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filterPrivacy="1" codeName="EstaPasta_de_trabalho" defaultThemeVersion="124226"/>
  <xr:revisionPtr revIDLastSave="0" documentId="13_ncr:1_{956A3AB0-1A4A-4151-A826-5EF0781ACDC3}" xr6:coauthVersionLast="36" xr6:coauthVersionMax="36" xr10:uidLastSave="{00000000-0000-0000-0000-000000000000}"/>
  <workbookProtection workbookAlgorithmName="SHA-512" workbookHashValue="HqGrJV3WUMD3XwDlJ7QnEUrkEzrUVNz5e665+DmEl919Dg2cqAj48OaEg0xHHvFzx5von/5kMNEWTzTnyUwzGA==" workbookSaltValue="Jy2Yh8yb3osJ1Utmgk0dzQ==" workbookSpinCount="100000" lockStructure="1"/>
  <bookViews>
    <workbookView xWindow="0" yWindow="0" windowWidth="24000" windowHeight="9732" tabRatio="865" firstSheet="12" activeTab="13" xr2:uid="{00000000-000D-0000-FFFF-FFFF00000000}"/>
  </bookViews>
  <sheets>
    <sheet name="REGRAS RPPS" sheetId="8" state="hidden" r:id="rId1"/>
    <sheet name="TabelaPontuação" sheetId="21" state="hidden" r:id="rId2"/>
    <sheet name="IPCA" sheetId="7" state="hidden" r:id="rId3"/>
    <sheet name="Tabua(fem)" sheetId="10" state="hidden" r:id="rId4"/>
    <sheet name="Tabua(masc)" sheetId="11" state="hidden" r:id="rId5"/>
    <sheet name="PREMISSAS" sheetId="1" state="hidden" r:id="rId6"/>
    <sheet name="ELEGIBILIDADE" sheetId="2" state="hidden" r:id="rId7"/>
    <sheet name="RESULTADOS" sheetId="5" state="hidden" r:id="rId8"/>
    <sheet name="CÁLCULO RPPS" sheetId="3" state="hidden" r:id="rId9"/>
    <sheet name="CÁLCULO RPPS ESPECIAL" sheetId="19" state="hidden" r:id="rId10"/>
    <sheet name="CÁLCULO FUNPRESP" sheetId="4" state="hidden" r:id="rId11"/>
    <sheet name="Info Graf" sheetId="20" state="hidden" r:id="rId12"/>
    <sheet name="Tutorial_para_Simulação" sheetId="27" r:id="rId13"/>
    <sheet name="Preencher_Dados" sheetId="16" r:id="rId14"/>
    <sheet name="Preencher_Salários" sheetId="18" r:id="rId15"/>
    <sheet name="Resultado_Salário" sheetId="22" r:id="rId16"/>
    <sheet name="Projeção_Aposentadoria" sheetId="24" r:id="rId17"/>
    <sheet name="Projeção_Invalidez" sheetId="25" r:id="rId18"/>
    <sheet name="Projeção_Pensão" sheetId="26" r:id="rId19"/>
    <sheet name="TETO" sheetId="23" state="hidden" r:id="rId20"/>
  </sheets>
  <externalReferences>
    <externalReference r:id="rId21"/>
  </externalReferences>
  <definedNames>
    <definedName name="_xlnm._FilterDatabase" localSheetId="14" hidden="1">Preencher_Salários!$D$6:$E$656</definedName>
    <definedName name="_xlnm.Print_Area" localSheetId="13">Preencher_Dados!$C$2:$O$54</definedName>
    <definedName name="_xlnm.Print_Area" localSheetId="16">Projeção_Aposentadoria!$B$2:$M$20</definedName>
    <definedName name="_xlnm.Print_Area" localSheetId="17">Projeção_Invalidez!$B$2:$K$19</definedName>
    <definedName name="_xlnm.Print_Area" localSheetId="18">Projeção_Pensão!$B$2:$K$19</definedName>
    <definedName name="_xlnm.Print_Area" localSheetId="15">Resultado_Salário!$B$2:$M$20</definedName>
    <definedName name="_xlnm.Print_Area" localSheetId="12">Tutorial_para_Simulação!$C$2:$O$89</definedName>
    <definedName name="CFG_AM_BEN_SUP" localSheetId="16">#REF!</definedName>
    <definedName name="CFG_AM_BEN_SUP" localSheetId="17">#REF!</definedName>
    <definedName name="CFG_AM_BEN_SUP" localSheetId="18">#REF!</definedName>
    <definedName name="CFG_AM_BEN_SUP" localSheetId="12">#REF!</definedName>
    <definedName name="CFG_AM_BEN_SUP">#REF!</definedName>
    <definedName name="CFG_AM_INSS" localSheetId="16">#REF!</definedName>
    <definedName name="CFG_AM_INSS" localSheetId="17">#REF!</definedName>
    <definedName name="CFG_AM_INSS" localSheetId="18">#REF!</definedName>
    <definedName name="CFG_AM_INSS" localSheetId="12">#REF!</definedName>
    <definedName name="CFG_AM_INSS">#REF!</definedName>
    <definedName name="CFG_CTB_FAC" localSheetId="16">#REF!</definedName>
    <definedName name="CFG_CTB_FAC" localSheetId="17">#REF!</definedName>
    <definedName name="CFG_CTB_FAC" localSheetId="18">#REF!</definedName>
    <definedName name="CFG_CTB_FAC" localSheetId="12">#REF!</definedName>
    <definedName name="CFG_CTB_FAC">#REF!</definedName>
    <definedName name="CFG_CTB_PCT_FAC" localSheetId="16">#REF!</definedName>
    <definedName name="CFG_CTB_PCT_FAC" localSheetId="17">#REF!</definedName>
    <definedName name="CFG_CTB_PCT_FAC" localSheetId="18">#REF!</definedName>
    <definedName name="CFG_CTB_PCT_FAC" localSheetId="12">#REF!</definedName>
    <definedName name="CFG_CTB_PCT_FAC">#REF!</definedName>
    <definedName name="CFG_DT_ING_ORG" localSheetId="16">#REF!</definedName>
    <definedName name="CFG_DT_ING_ORG" localSheetId="17">#REF!</definedName>
    <definedName name="CFG_DT_ING_ORG" localSheetId="18">#REF!</definedName>
    <definedName name="CFG_DT_ING_ORG" localSheetId="12">#REF!</definedName>
    <definedName name="CFG_DT_ING_ORG">#REF!</definedName>
    <definedName name="CFG_DT_ING_SRV_PUB" localSheetId="16">#REF!</definedName>
    <definedName name="CFG_DT_ING_SRV_PUB" localSheetId="17">#REF!</definedName>
    <definedName name="CFG_DT_ING_SRV_PUB" localSheetId="18">#REF!</definedName>
    <definedName name="CFG_DT_ING_SRV_PUB" localSheetId="12">#REF!</definedName>
    <definedName name="CFG_DT_ING_SRV_PUB">#REF!</definedName>
    <definedName name="CFG_DT_NASCIMENTO" localSheetId="16">#REF!</definedName>
    <definedName name="CFG_DT_NASCIMENTO" localSheetId="17">#REF!</definedName>
    <definedName name="CFG_DT_NASCIMENTO" localSheetId="18">#REF!</definedName>
    <definedName name="CFG_DT_NASCIMENTO" localSheetId="12">#REF!</definedName>
    <definedName name="CFG_DT_NASCIMENTO">#REF!</definedName>
    <definedName name="CFG_IDD_APOS" localSheetId="16">#REF!</definedName>
    <definedName name="CFG_IDD_APOS" localSheetId="17">#REF!</definedName>
    <definedName name="CFG_IDD_APOS" localSheetId="18">#REF!</definedName>
    <definedName name="CFG_IDD_APOS" localSheetId="12">#REF!</definedName>
    <definedName name="CFG_IDD_APOS">#REF!</definedName>
    <definedName name="CFG_IDD_MIN_APOS" localSheetId="16">#REF!</definedName>
    <definedName name="CFG_IDD_MIN_APOS" localSheetId="17">#REF!</definedName>
    <definedName name="CFG_IDD_MIN_APOS" localSheetId="18">#REF!</definedName>
    <definedName name="CFG_IDD_MIN_APOS" localSheetId="12">#REF!</definedName>
    <definedName name="CFG_IDD_MIN_APOS">#REF!</definedName>
    <definedName name="CFG_PCT_CTB" localSheetId="16">#REF!</definedName>
    <definedName name="CFG_PCT_CTB" localSheetId="17">#REF!</definedName>
    <definedName name="CFG_PCT_CTB" localSheetId="18">#REF!</definedName>
    <definedName name="CFG_PCT_CTB" localSheetId="12">#REF!</definedName>
    <definedName name="CFG_PCT_CTB">#REF!</definedName>
    <definedName name="CFG_PROF_N" localSheetId="16">#REF!</definedName>
    <definedName name="CFG_PROF_N" localSheetId="17">#REF!</definedName>
    <definedName name="CFG_PROF_N" localSheetId="18">#REF!</definedName>
    <definedName name="CFG_PROF_N" localSheetId="12">#REF!</definedName>
    <definedName name="CFG_PROF_N">#REF!</definedName>
    <definedName name="CFG_PROF_S" localSheetId="16">#REF!</definedName>
    <definedName name="CFG_PROF_S" localSheetId="17">#REF!</definedName>
    <definedName name="CFG_PROF_S" localSheetId="18">#REF!</definedName>
    <definedName name="CFG_PROF_S" localSheetId="12">#REF!</definedName>
    <definedName name="CFG_PROF_S">#REF!</definedName>
    <definedName name="CFG_REMUNERACAO" localSheetId="16">#REF!</definedName>
    <definedName name="CFG_REMUNERACAO" localSheetId="17">#REF!</definedName>
    <definedName name="CFG_REMUNERACAO" localSheetId="18">#REF!</definedName>
    <definedName name="CFG_REMUNERACAO" localSheetId="12">#REF!</definedName>
    <definedName name="CFG_REMUNERACAO">#REF!</definedName>
    <definedName name="CFG_SAL_PART" localSheetId="16">#REF!</definedName>
    <definedName name="CFG_SAL_PART" localSheetId="17">#REF!</definedName>
    <definedName name="CFG_SAL_PART" localSheetId="18">#REF!</definedName>
    <definedName name="CFG_SAL_PART" localSheetId="12">#REF!</definedName>
    <definedName name="CFG_SAL_PART">#REF!</definedName>
    <definedName name="CFG_SEXO" localSheetId="16">#REF!</definedName>
    <definedName name="CFG_SEXO" localSheetId="17">#REF!</definedName>
    <definedName name="CFG_SEXO" localSheetId="18">#REF!</definedName>
    <definedName name="CFG_SEXO" localSheetId="12">#REF!</definedName>
    <definedName name="CFG_SEXO">#REF!</definedName>
    <definedName name="CFG_TARGET_ANOMES" localSheetId="16">#REF!</definedName>
    <definedName name="CFG_TARGET_ANOMES" localSheetId="17">#REF!</definedName>
    <definedName name="CFG_TARGET_ANOMES" localSheetId="18">#REF!</definedName>
    <definedName name="CFG_TARGET_ANOMES" localSheetId="12">#REF!</definedName>
    <definedName name="CFG_TARGET_ANOMES">#REF!</definedName>
    <definedName name="CFG_TARGET_DT" localSheetId="16">#REF!</definedName>
    <definedName name="CFG_TARGET_DT" localSheetId="17">#REF!</definedName>
    <definedName name="CFG_TARGET_DT" localSheetId="18">#REF!</definedName>
    <definedName name="CFG_TARGET_DT" localSheetId="12">#REF!</definedName>
    <definedName name="CFG_TARGET_DT">#REF!</definedName>
    <definedName name="CFG_TARGET_MONEY" localSheetId="16">#REF!</definedName>
    <definedName name="CFG_TARGET_MONEY" localSheetId="17">#REF!</definedName>
    <definedName name="CFG_TARGET_MONEY" localSheetId="18">#REF!</definedName>
    <definedName name="CFG_TARGET_MONEY" localSheetId="12">#REF!</definedName>
    <definedName name="CFG_TARGET_MONEY">#REF!</definedName>
    <definedName name="CFG_TXT_APOS" localSheetId="16">#REF!</definedName>
    <definedName name="CFG_TXT_APOS" localSheetId="17">#REF!</definedName>
    <definedName name="CFG_TXT_APOS" localSheetId="18">#REF!</definedName>
    <definedName name="CFG_TXT_APOS" localSheetId="12">#REF!</definedName>
    <definedName name="CFG_TXT_APOS">#REF!</definedName>
    <definedName name="CFG_TXT_FAC" localSheetId="16">#REF!</definedName>
    <definedName name="CFG_TXT_FAC" localSheetId="17">#REF!</definedName>
    <definedName name="CFG_TXT_FAC" localSheetId="18">#REF!</definedName>
    <definedName name="CFG_TXT_FAC" localSheetId="12">#REF!</definedName>
    <definedName name="CFG_TXT_FAC">#REF!</definedName>
    <definedName name="CTB_REMUNERACAO">[1]CONFIG!$C$23</definedName>
    <definedName name="graficoteste" localSheetId="16">#REF!</definedName>
    <definedName name="graficoteste" localSheetId="17">#REF!</definedName>
    <definedName name="graficoteste" localSheetId="18">#REF!</definedName>
    <definedName name="graficoteste" localSheetId="12">#REF!</definedName>
    <definedName name="graficoteste">#REF!</definedName>
    <definedName name="LST_PCT_CTB" localSheetId="16">#REF!</definedName>
    <definedName name="LST_PCT_CTB" localSheetId="17">#REF!</definedName>
    <definedName name="LST_PCT_CTB" localSheetId="18">#REF!</definedName>
    <definedName name="LST_PCT_CTB" localSheetId="12">#REF!</definedName>
    <definedName name="LST_PCT_CTB">#REF!</definedName>
    <definedName name="PREMISSA_TETO">PREMISSAS!$C$14</definedName>
    <definedName name="PREMISSA_URP">PREMISSAS!$C$39</definedName>
    <definedName name="TabFem">'Tabua(fem)'!$C$3:$NJ$90</definedName>
    <definedName name="TabMasc">'Tabua(masc)'!$C$3:$NJ$90</definedName>
    <definedName name="_xlnm.Print_Titles" localSheetId="14">Preencher_Salários!$1:$6</definedName>
  </definedNames>
  <calcPr calcId="191029"/>
</workbook>
</file>

<file path=xl/calcChain.xml><?xml version="1.0" encoding="utf-8"?>
<calcChain xmlns="http://schemas.openxmlformats.org/spreadsheetml/2006/main">
  <c r="C34" i="2" l="1"/>
  <c r="C33" i="2"/>
  <c r="C25" i="2"/>
  <c r="C24" i="2"/>
  <c r="C18" i="2"/>
  <c r="C17" i="2"/>
  <c r="C16" i="2" l="1"/>
  <c r="C15" i="2"/>
  <c r="K60" i="27" l="1"/>
  <c r="K43" i="16"/>
  <c r="J50" i="27" l="1"/>
  <c r="E50" i="27"/>
  <c r="N54" i="16" l="1"/>
  <c r="J19" i="26"/>
  <c r="J12" i="26"/>
  <c r="J19" i="25"/>
  <c r="J12" i="25"/>
  <c r="L20" i="24"/>
  <c r="J13" i="24"/>
  <c r="L13" i="24" s="1"/>
  <c r="L8" i="18" l="1"/>
  <c r="L9" i="18" s="1"/>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L45" i="18" s="1"/>
  <c r="L46" i="18" s="1"/>
  <c r="L47" i="18" s="1"/>
  <c r="L48" i="18" s="1"/>
  <c r="L49" i="18" s="1"/>
  <c r="L50" i="18" s="1"/>
  <c r="L51" i="18" s="1"/>
  <c r="L52" i="18" s="1"/>
  <c r="L53" i="18" s="1"/>
  <c r="L54" i="18" s="1"/>
  <c r="L55" i="18" s="1"/>
  <c r="L56" i="18" s="1"/>
  <c r="L57" i="18" s="1"/>
  <c r="L58" i="18" s="1"/>
  <c r="L59" i="18" s="1"/>
  <c r="L60" i="18" s="1"/>
  <c r="L61" i="18" s="1"/>
  <c r="L62" i="18" s="1"/>
  <c r="L63" i="18" s="1"/>
  <c r="L64" i="18" s="1"/>
  <c r="L65" i="18" s="1"/>
  <c r="L66" i="18" s="1"/>
  <c r="L67" i="18" s="1"/>
  <c r="L68" i="18" s="1"/>
  <c r="L69" i="18" s="1"/>
  <c r="L70" i="18" s="1"/>
  <c r="L71" i="18" s="1"/>
  <c r="L72" i="18" s="1"/>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L99" i="18" s="1"/>
  <c r="L100" i="18" s="1"/>
  <c r="L101" i="18" s="1"/>
  <c r="L102" i="18" s="1"/>
  <c r="L103" i="18" s="1"/>
  <c r="L104" i="18" s="1"/>
  <c r="L105" i="18" s="1"/>
  <c r="L106" i="18" s="1"/>
  <c r="L107" i="18" s="1"/>
  <c r="L108" i="18" s="1"/>
  <c r="L109" i="18" s="1"/>
  <c r="L110" i="18" s="1"/>
  <c r="L111" i="18" s="1"/>
  <c r="L112" i="18" s="1"/>
  <c r="L113" i="18" s="1"/>
  <c r="L114" i="18" s="1"/>
  <c r="L115" i="18" s="1"/>
  <c r="L116" i="18" s="1"/>
  <c r="L117" i="18" s="1"/>
  <c r="L118" i="18" s="1"/>
  <c r="L119" i="18" s="1"/>
  <c r="L120" i="18" s="1"/>
  <c r="L121" i="18" s="1"/>
  <c r="L122" i="18" s="1"/>
  <c r="L123" i="18" s="1"/>
  <c r="L124" i="18" s="1"/>
  <c r="L125" i="18" s="1"/>
  <c r="L126" i="18" s="1"/>
  <c r="L127" i="18" s="1"/>
  <c r="L128" i="18" s="1"/>
  <c r="L129" i="18" s="1"/>
  <c r="L130" i="18" s="1"/>
  <c r="L131" i="18" s="1"/>
  <c r="L132" i="18" s="1"/>
  <c r="L133" i="18" s="1"/>
  <c r="L134" i="18" s="1"/>
  <c r="L135" i="18" s="1"/>
  <c r="L136" i="18" s="1"/>
  <c r="L137" i="18" s="1"/>
  <c r="L138" i="18" s="1"/>
  <c r="L139" i="18" s="1"/>
  <c r="L140" i="18" s="1"/>
  <c r="L141" i="18" s="1"/>
  <c r="L142" i="18" s="1"/>
  <c r="L143" i="18" s="1"/>
  <c r="L144" i="18" s="1"/>
  <c r="L145" i="18" s="1"/>
  <c r="L146" i="18" s="1"/>
  <c r="L147" i="18" s="1"/>
  <c r="L148" i="18" s="1"/>
  <c r="L149" i="18" s="1"/>
  <c r="L150" i="18" s="1"/>
  <c r="L151" i="18" s="1"/>
  <c r="L152" i="18" s="1"/>
  <c r="L153" i="18" s="1"/>
  <c r="L154" i="18" s="1"/>
  <c r="L155" i="18" s="1"/>
  <c r="L156" i="18" s="1"/>
  <c r="L157" i="18" s="1"/>
  <c r="L158" i="18" s="1"/>
  <c r="L159" i="18" s="1"/>
  <c r="L160" i="18" s="1"/>
  <c r="L161" i="18" s="1"/>
  <c r="L162" i="18" s="1"/>
  <c r="L163" i="18" s="1"/>
  <c r="L164" i="18" s="1"/>
  <c r="L165" i="18" s="1"/>
  <c r="L166" i="18" s="1"/>
  <c r="L167" i="18" s="1"/>
  <c r="L168" i="18" s="1"/>
  <c r="L169" i="18" s="1"/>
  <c r="L170" i="18" s="1"/>
  <c r="L171" i="18" s="1"/>
  <c r="L172" i="18" s="1"/>
  <c r="L173" i="18" s="1"/>
  <c r="L174" i="18" s="1"/>
  <c r="L175" i="18" s="1"/>
  <c r="L176" i="18" s="1"/>
  <c r="L177" i="18" s="1"/>
  <c r="L178" i="18" s="1"/>
  <c r="L179" i="18" s="1"/>
  <c r="L180" i="18" s="1"/>
  <c r="L181" i="18" s="1"/>
  <c r="L182" i="18" s="1"/>
  <c r="L183" i="18" s="1"/>
  <c r="L184" i="18" s="1"/>
  <c r="L185" i="18" s="1"/>
  <c r="L186" i="18" s="1"/>
  <c r="L187" i="18" s="1"/>
  <c r="L188" i="18" s="1"/>
  <c r="L189" i="18" s="1"/>
  <c r="L190" i="18" s="1"/>
  <c r="L191" i="18" s="1"/>
  <c r="L192" i="18" s="1"/>
  <c r="L193" i="18" s="1"/>
  <c r="L194" i="18" s="1"/>
  <c r="L195" i="18" s="1"/>
  <c r="L196" i="18" s="1"/>
  <c r="L197" i="18" s="1"/>
  <c r="L198" i="18" s="1"/>
  <c r="L199" i="18" s="1"/>
  <c r="L200" i="18" s="1"/>
  <c r="L201" i="18" s="1"/>
  <c r="L202" i="18" s="1"/>
  <c r="L203" i="18" s="1"/>
  <c r="L204" i="18" s="1"/>
  <c r="L205" i="18" s="1"/>
  <c r="L206" i="18" s="1"/>
  <c r="L207" i="18" s="1"/>
  <c r="L208" i="18" s="1"/>
  <c r="L209" i="18" s="1"/>
  <c r="L210" i="18" s="1"/>
  <c r="L211" i="18" s="1"/>
  <c r="L212" i="18" s="1"/>
  <c r="L213" i="18" s="1"/>
  <c r="L214" i="18" s="1"/>
  <c r="L215" i="18" s="1"/>
  <c r="L216" i="18" s="1"/>
  <c r="L217" i="18" s="1"/>
  <c r="L218" i="18" s="1"/>
  <c r="L219" i="18" s="1"/>
  <c r="L220" i="18" s="1"/>
  <c r="L221" i="18" s="1"/>
  <c r="L222" i="18" s="1"/>
  <c r="L223" i="18" s="1"/>
  <c r="L224" i="18" s="1"/>
  <c r="L225" i="18" s="1"/>
  <c r="L226" i="18" s="1"/>
  <c r="L227" i="18" s="1"/>
  <c r="L228" i="18" s="1"/>
  <c r="L229" i="18" s="1"/>
  <c r="L230" i="18" s="1"/>
  <c r="L231" i="18" s="1"/>
  <c r="L232" i="18" s="1"/>
  <c r="L233" i="18" s="1"/>
  <c r="L234" i="18" s="1"/>
  <c r="L235" i="18" s="1"/>
  <c r="L236" i="18" s="1"/>
  <c r="L237" i="18" s="1"/>
  <c r="L238" i="18" s="1"/>
  <c r="L239" i="18" s="1"/>
  <c r="L240" i="18" s="1"/>
  <c r="L241" i="18" s="1"/>
  <c r="L242" i="18" s="1"/>
  <c r="L243" i="18" s="1"/>
  <c r="L244" i="18" s="1"/>
  <c r="L245" i="18" s="1"/>
  <c r="L246" i="18" s="1"/>
  <c r="L247" i="18" s="1"/>
  <c r="L248" i="18" s="1"/>
  <c r="L249" i="18" s="1"/>
  <c r="L250" i="18" s="1"/>
  <c r="L251" i="18" s="1"/>
  <c r="L252" i="18" s="1"/>
  <c r="L253" i="18" s="1"/>
  <c r="L254" i="18" s="1"/>
  <c r="L255" i="18" s="1"/>
  <c r="L256" i="18" s="1"/>
  <c r="L257" i="18" s="1"/>
  <c r="L258" i="18" s="1"/>
  <c r="L259" i="18" s="1"/>
  <c r="L260" i="18" s="1"/>
  <c r="L261" i="18" s="1"/>
  <c r="L262" i="18" s="1"/>
  <c r="L263" i="18" s="1"/>
  <c r="L264" i="18" s="1"/>
  <c r="L265" i="18" s="1"/>
  <c r="L266" i="18" s="1"/>
  <c r="L267" i="18" s="1"/>
  <c r="L268" i="18" s="1"/>
  <c r="L269" i="18" s="1"/>
  <c r="L270" i="18" s="1"/>
  <c r="L271" i="18" s="1"/>
  <c r="L272" i="18" s="1"/>
  <c r="L273" i="18" s="1"/>
  <c r="L20" i="22"/>
  <c r="L274" i="18" l="1"/>
  <c r="D343" i="7"/>
  <c r="C338" i="7"/>
  <c r="C339" i="7"/>
  <c r="C340" i="7"/>
  <c r="C341" i="7"/>
  <c r="C342" i="7"/>
  <c r="D342" i="7" s="1"/>
  <c r="C343" i="7"/>
  <c r="W15" i="16"/>
  <c r="V15" i="16"/>
  <c r="U15" i="16"/>
  <c r="V9" i="16"/>
  <c r="V11" i="16" s="1"/>
  <c r="W9" i="16"/>
  <c r="W11" i="16" s="1"/>
  <c r="U9" i="16"/>
  <c r="U11" i="16" s="1"/>
  <c r="D338" i="7" l="1"/>
  <c r="L275" i="18"/>
  <c r="D341" i="7"/>
  <c r="D340" i="7"/>
  <c r="D339" i="7"/>
  <c r="C337" i="7"/>
  <c r="L276" i="18" l="1"/>
  <c r="D337" i="7"/>
  <c r="X840" i="3"/>
  <c r="X841" i="3" s="1"/>
  <c r="L277" i="18" l="1"/>
  <c r="C336" i="7"/>
  <c r="D336" i="7" s="1"/>
  <c r="L278" i="18" l="1"/>
  <c r="L15" i="5"/>
  <c r="L279" i="18" l="1"/>
  <c r="C335" i="7"/>
  <c r="D335" i="7" s="1"/>
  <c r="C10" i="2"/>
  <c r="C9" i="2"/>
  <c r="F35" i="21"/>
  <c r="E35" i="21"/>
  <c r="F34" i="21"/>
  <c r="E34" i="21"/>
  <c r="F33" i="21"/>
  <c r="E33" i="21"/>
  <c r="F32" i="21"/>
  <c r="E32" i="21"/>
  <c r="F31" i="21"/>
  <c r="E31" i="21"/>
  <c r="F30" i="21"/>
  <c r="E30" i="21"/>
  <c r="F29" i="21"/>
  <c r="E29" i="21"/>
  <c r="F28" i="21"/>
  <c r="E28" i="21"/>
  <c r="F27" i="21"/>
  <c r="E27" i="21"/>
  <c r="F18" i="21"/>
  <c r="E18" i="21"/>
  <c r="F17" i="21"/>
  <c r="E17" i="21"/>
  <c r="F16" i="21"/>
  <c r="E16" i="21"/>
  <c r="F15" i="21"/>
  <c r="E15" i="21"/>
  <c r="F14" i="21"/>
  <c r="E14" i="21"/>
  <c r="F13" i="21"/>
  <c r="E13" i="21"/>
  <c r="F12" i="21"/>
  <c r="E12" i="21"/>
  <c r="F11" i="21"/>
  <c r="E11" i="21"/>
  <c r="F10" i="21"/>
  <c r="E10" i="21"/>
  <c r="F9" i="21"/>
  <c r="E9" i="21"/>
  <c r="F8" i="21"/>
  <c r="E8" i="21"/>
  <c r="F7" i="21"/>
  <c r="E7" i="21"/>
  <c r="L280" i="18" l="1"/>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D330" i="7" s="1"/>
  <c r="C331" i="7"/>
  <c r="C332" i="7"/>
  <c r="D332" i="7" s="1"/>
  <c r="C333" i="7"/>
  <c r="D333" i="7" s="1"/>
  <c r="C334" i="7"/>
  <c r="D334" i="7" s="1"/>
  <c r="D322" i="7" l="1"/>
  <c r="D314" i="7"/>
  <c r="D298" i="7"/>
  <c r="D329" i="7"/>
  <c r="D321" i="7"/>
  <c r="D313" i="7"/>
  <c r="D305" i="7"/>
  <c r="D297" i="7"/>
  <c r="D328" i="7"/>
  <c r="D320" i="7"/>
  <c r="D312" i="7"/>
  <c r="D304" i="7"/>
  <c r="D327" i="7"/>
  <c r="D319" i="7"/>
  <c r="D311" i="7"/>
  <c r="D303" i="7"/>
  <c r="D326" i="7"/>
  <c r="D318" i="7"/>
  <c r="D310" i="7"/>
  <c r="D302" i="7"/>
  <c r="D306" i="7"/>
  <c r="D325" i="7"/>
  <c r="D317" i="7"/>
  <c r="D309" i="7"/>
  <c r="D301" i="7"/>
  <c r="D324" i="7"/>
  <c r="D316" i="7"/>
  <c r="D308" i="7"/>
  <c r="D300" i="7"/>
  <c r="D331" i="7"/>
  <c r="D323" i="7"/>
  <c r="D315" i="7"/>
  <c r="D307" i="7"/>
  <c r="D299" i="7"/>
  <c r="L281" i="18"/>
  <c r="C296" i="7"/>
  <c r="D296" i="7" s="1"/>
  <c r="C290" i="7"/>
  <c r="C291" i="7"/>
  <c r="C292" i="7"/>
  <c r="C293" i="7"/>
  <c r="C294" i="7"/>
  <c r="C295" i="7"/>
  <c r="D295" i="7" s="1"/>
  <c r="D293" i="7" l="1"/>
  <c r="D292" i="7"/>
  <c r="D294" i="7"/>
  <c r="D290" i="7"/>
  <c r="D291" i="7"/>
  <c r="L282" i="18"/>
  <c r="C289" i="7"/>
  <c r="D289" i="7" s="1"/>
  <c r="C288" i="7"/>
  <c r="D288" i="7" s="1"/>
  <c r="L283" i="18" l="1"/>
  <c r="C285" i="7"/>
  <c r="D285" i="7" s="1"/>
  <c r="C286" i="7"/>
  <c r="D286" i="7" s="1"/>
  <c r="C287" i="7"/>
  <c r="D287" i="7" s="1"/>
  <c r="L284" i="18" l="1"/>
  <c r="J35" i="16"/>
  <c r="E35" i="16"/>
  <c r="K46" i="16"/>
  <c r="D12" i="20"/>
  <c r="D10" i="20"/>
  <c r="L16" i="5"/>
  <c r="C15" i="5"/>
  <c r="C14" i="5"/>
  <c r="C13" i="5"/>
  <c r="C12" i="5"/>
  <c r="C10" i="5"/>
  <c r="C8" i="5"/>
  <c r="C6" i="5"/>
  <c r="C12" i="2" s="1"/>
  <c r="C5" i="5"/>
  <c r="C3" i="5"/>
  <c r="C46" i="1"/>
  <c r="C45" i="1"/>
  <c r="C44" i="1"/>
  <c r="C43" i="1"/>
  <c r="C19" i="1"/>
  <c r="C17" i="1"/>
  <c r="KS5" i="11"/>
  <c r="KS6" i="11" s="1"/>
  <c r="KS7" i="11" s="1"/>
  <c r="KS8" i="11" s="1"/>
  <c r="KS9" i="11" s="1"/>
  <c r="KS10" i="11" s="1"/>
  <c r="KS11" i="11" s="1"/>
  <c r="KS12" i="11" s="1"/>
  <c r="KS13" i="11" s="1"/>
  <c r="KS14" i="11" s="1"/>
  <c r="KS15" i="11" s="1"/>
  <c r="KS16" i="11" s="1"/>
  <c r="KS17" i="11" s="1"/>
  <c r="KS18" i="11" s="1"/>
  <c r="KS19" i="11" s="1"/>
  <c r="KS20" i="11" s="1"/>
  <c r="KS21" i="11" s="1"/>
  <c r="KS22" i="11" s="1"/>
  <c r="KS23" i="11" s="1"/>
  <c r="KS24" i="11" s="1"/>
  <c r="KS25" i="11" s="1"/>
  <c r="KS26" i="11" s="1"/>
  <c r="KS27" i="11" s="1"/>
  <c r="KS28" i="11" s="1"/>
  <c r="KS29" i="11" s="1"/>
  <c r="KS30" i="11" s="1"/>
  <c r="KS31" i="11" s="1"/>
  <c r="KS32" i="11" s="1"/>
  <c r="KS33" i="11" s="1"/>
  <c r="KS34" i="11" s="1"/>
  <c r="KS35" i="11" s="1"/>
  <c r="KS36" i="11" s="1"/>
  <c r="KS37" i="11" s="1"/>
  <c r="KS38" i="11" s="1"/>
  <c r="KS39" i="11" s="1"/>
  <c r="KS40" i="11" s="1"/>
  <c r="KS41" i="11" s="1"/>
  <c r="KS42" i="11" s="1"/>
  <c r="KS43" i="11" s="1"/>
  <c r="KS44" i="11" s="1"/>
  <c r="KS45" i="11" s="1"/>
  <c r="KS46" i="11" s="1"/>
  <c r="KS47" i="11" s="1"/>
  <c r="KS48" i="11" s="1"/>
  <c r="KS49" i="11" s="1"/>
  <c r="KS50" i="11" s="1"/>
  <c r="KS51" i="11" s="1"/>
  <c r="KS52" i="11" s="1"/>
  <c r="KS53" i="11" s="1"/>
  <c r="KS54" i="11" s="1"/>
  <c r="KS55" i="11" s="1"/>
  <c r="KS56" i="11" s="1"/>
  <c r="KS57" i="11" s="1"/>
  <c r="KS58" i="11" s="1"/>
  <c r="KS59" i="11" s="1"/>
  <c r="KS60" i="11" s="1"/>
  <c r="KS61" i="11" s="1"/>
  <c r="KS62" i="11" s="1"/>
  <c r="KS63" i="11" s="1"/>
  <c r="KR5" i="11"/>
  <c r="KR6" i="11" s="1"/>
  <c r="KR7" i="11" s="1"/>
  <c r="KR8" i="11" s="1"/>
  <c r="KR9" i="11" s="1"/>
  <c r="KR10" i="11" s="1"/>
  <c r="KR11" i="11" s="1"/>
  <c r="KR12" i="11" s="1"/>
  <c r="KR13" i="11" s="1"/>
  <c r="KR14" i="11" s="1"/>
  <c r="KR15" i="11" s="1"/>
  <c r="KR16" i="11" s="1"/>
  <c r="KR17" i="11" s="1"/>
  <c r="KR18" i="11" s="1"/>
  <c r="KR19" i="11" s="1"/>
  <c r="KR20" i="11" s="1"/>
  <c r="KR21" i="11" s="1"/>
  <c r="KR22" i="11" s="1"/>
  <c r="KR23" i="11" s="1"/>
  <c r="KR24" i="11" s="1"/>
  <c r="KR25" i="11" s="1"/>
  <c r="KR26" i="11" s="1"/>
  <c r="KR27" i="11" s="1"/>
  <c r="KR28" i="11" s="1"/>
  <c r="KR29" i="11" s="1"/>
  <c r="KR30" i="11" s="1"/>
  <c r="KR31" i="11" s="1"/>
  <c r="KR32" i="11" s="1"/>
  <c r="KR33" i="11" s="1"/>
  <c r="KR34" i="11" s="1"/>
  <c r="KR35" i="11" s="1"/>
  <c r="KR36" i="11" s="1"/>
  <c r="KR37" i="11" s="1"/>
  <c r="KR38" i="11" s="1"/>
  <c r="KR39" i="11" s="1"/>
  <c r="KR40" i="11" s="1"/>
  <c r="KR41" i="11" s="1"/>
  <c r="KR42" i="11" s="1"/>
  <c r="KR43" i="11" s="1"/>
  <c r="KR44" i="11" s="1"/>
  <c r="KR45" i="11" s="1"/>
  <c r="KR46" i="11" s="1"/>
  <c r="KR47" i="11" s="1"/>
  <c r="KR48" i="11" s="1"/>
  <c r="KR49" i="11" s="1"/>
  <c r="KR50" i="11" s="1"/>
  <c r="KR51" i="11" s="1"/>
  <c r="KR52" i="11" s="1"/>
  <c r="KR53" i="11" s="1"/>
  <c r="KR54" i="11" s="1"/>
  <c r="KR55" i="11" s="1"/>
  <c r="KR56" i="11" s="1"/>
  <c r="KR57" i="11" s="1"/>
  <c r="KR58" i="11" s="1"/>
  <c r="KR59" i="11" s="1"/>
  <c r="KR60" i="11" s="1"/>
  <c r="KR61" i="11" s="1"/>
  <c r="KR62" i="11" s="1"/>
  <c r="KR63" i="11" s="1"/>
  <c r="MY4" i="11"/>
  <c r="MY5" i="11" s="1"/>
  <c r="MY6" i="11" s="1"/>
  <c r="MY7" i="11" s="1"/>
  <c r="MY8" i="11" s="1"/>
  <c r="MY9" i="11" s="1"/>
  <c r="MY10" i="11" s="1"/>
  <c r="MY11" i="11" s="1"/>
  <c r="MY12" i="11" s="1"/>
  <c r="MY13" i="11" s="1"/>
  <c r="MY14" i="11" s="1"/>
  <c r="MY15" i="11" s="1"/>
  <c r="MY16" i="11" s="1"/>
  <c r="MY17" i="11" s="1"/>
  <c r="MY18" i="11" s="1"/>
  <c r="MY19" i="11" s="1"/>
  <c r="MY20" i="11" s="1"/>
  <c r="MY21" i="11" s="1"/>
  <c r="MY22" i="11" s="1"/>
  <c r="MY23" i="11" s="1"/>
  <c r="MY24" i="11" s="1"/>
  <c r="MY25" i="11" s="1"/>
  <c r="MY26" i="11" s="1"/>
  <c r="MY27" i="11" s="1"/>
  <c r="MY28" i="11" s="1"/>
  <c r="MY29" i="11" s="1"/>
  <c r="MY30" i="11" s="1"/>
  <c r="MY31" i="11" s="1"/>
  <c r="MY32" i="11" s="1"/>
  <c r="MY33" i="11" s="1"/>
  <c r="MY34" i="11" s="1"/>
  <c r="MY35" i="11" s="1"/>
  <c r="MY36" i="11" s="1"/>
  <c r="MY37" i="11" s="1"/>
  <c r="MY38" i="11" s="1"/>
  <c r="MY39" i="11" s="1"/>
  <c r="MY40" i="11" s="1"/>
  <c r="MY41" i="11" s="1"/>
  <c r="MY42" i="11" s="1"/>
  <c r="MY43" i="11" s="1"/>
  <c r="MY44" i="11" s="1"/>
  <c r="MY45" i="11" s="1"/>
  <c r="MY46" i="11" s="1"/>
  <c r="MY47" i="11" s="1"/>
  <c r="MY48" i="11" s="1"/>
  <c r="MY49" i="11" s="1"/>
  <c r="MY50" i="11" s="1"/>
  <c r="MY51" i="11" s="1"/>
  <c r="MY52" i="11" s="1"/>
  <c r="MY53" i="11" s="1"/>
  <c r="MY54" i="11" s="1"/>
  <c r="MY55" i="11" s="1"/>
  <c r="MY56" i="11" s="1"/>
  <c r="MY57" i="11" s="1"/>
  <c r="MY58" i="11" s="1"/>
  <c r="MY59" i="11" s="1"/>
  <c r="MY60" i="11" s="1"/>
  <c r="MY61" i="11" s="1"/>
  <c r="MY62" i="11" s="1"/>
  <c r="MY63" i="11" s="1"/>
  <c r="MX4" i="11"/>
  <c r="MX5" i="11" s="1"/>
  <c r="MX6" i="11" s="1"/>
  <c r="MX7" i="11" s="1"/>
  <c r="MX8" i="11" s="1"/>
  <c r="MX9" i="11" s="1"/>
  <c r="MX10" i="11" s="1"/>
  <c r="MX11" i="11" s="1"/>
  <c r="MX12" i="11" s="1"/>
  <c r="MX13" i="11" s="1"/>
  <c r="MX14" i="11" s="1"/>
  <c r="MX15" i="11" s="1"/>
  <c r="MX16" i="11" s="1"/>
  <c r="MX17" i="11" s="1"/>
  <c r="MX18" i="11" s="1"/>
  <c r="MX19" i="11" s="1"/>
  <c r="MX20" i="11" s="1"/>
  <c r="MX21" i="11" s="1"/>
  <c r="MX22" i="11" s="1"/>
  <c r="MX23" i="11" s="1"/>
  <c r="MX24" i="11" s="1"/>
  <c r="MX25" i="11" s="1"/>
  <c r="MX26" i="11" s="1"/>
  <c r="MX27" i="11" s="1"/>
  <c r="MX28" i="11" s="1"/>
  <c r="MX29" i="11" s="1"/>
  <c r="MX30" i="11" s="1"/>
  <c r="MX31" i="11" s="1"/>
  <c r="MX32" i="11" s="1"/>
  <c r="MX33" i="11" s="1"/>
  <c r="MX34" i="11" s="1"/>
  <c r="MX35" i="11" s="1"/>
  <c r="MX36" i="11" s="1"/>
  <c r="MX37" i="11" s="1"/>
  <c r="MX38" i="11" s="1"/>
  <c r="MX39" i="11" s="1"/>
  <c r="MX40" i="11" s="1"/>
  <c r="MX41" i="11" s="1"/>
  <c r="MX42" i="11" s="1"/>
  <c r="MX43" i="11" s="1"/>
  <c r="MX44" i="11" s="1"/>
  <c r="MX45" i="11" s="1"/>
  <c r="MX46" i="11" s="1"/>
  <c r="MX47" i="11" s="1"/>
  <c r="MX48" i="11" s="1"/>
  <c r="MX49" i="11" s="1"/>
  <c r="MX50" i="11" s="1"/>
  <c r="MX51" i="11" s="1"/>
  <c r="MX52" i="11" s="1"/>
  <c r="MX53" i="11" s="1"/>
  <c r="MX54" i="11" s="1"/>
  <c r="MX55" i="11" s="1"/>
  <c r="MX56" i="11" s="1"/>
  <c r="MX57" i="11" s="1"/>
  <c r="MX58" i="11" s="1"/>
  <c r="MX59" i="11" s="1"/>
  <c r="MX60" i="11" s="1"/>
  <c r="MX61" i="11" s="1"/>
  <c r="MX62" i="11" s="1"/>
  <c r="MX63" i="11" s="1"/>
  <c r="MW4" i="11"/>
  <c r="MW5" i="11" s="1"/>
  <c r="MW6" i="11" s="1"/>
  <c r="MW7" i="11" s="1"/>
  <c r="MW8" i="11" s="1"/>
  <c r="MW9" i="11" s="1"/>
  <c r="MW10" i="11" s="1"/>
  <c r="MW11" i="11" s="1"/>
  <c r="MW12" i="11" s="1"/>
  <c r="MW13" i="11" s="1"/>
  <c r="MW14" i="11" s="1"/>
  <c r="MW15" i="11" s="1"/>
  <c r="MW16" i="11" s="1"/>
  <c r="MW17" i="11" s="1"/>
  <c r="MW18" i="11" s="1"/>
  <c r="MW19" i="11" s="1"/>
  <c r="MW20" i="11" s="1"/>
  <c r="MW21" i="11" s="1"/>
  <c r="MW22" i="11" s="1"/>
  <c r="MW23" i="11" s="1"/>
  <c r="MW24" i="11" s="1"/>
  <c r="MW25" i="11" s="1"/>
  <c r="MW26" i="11" s="1"/>
  <c r="MW27" i="11" s="1"/>
  <c r="MW28" i="11" s="1"/>
  <c r="MW29" i="11" s="1"/>
  <c r="MW30" i="11" s="1"/>
  <c r="MW31" i="11" s="1"/>
  <c r="MW32" i="11" s="1"/>
  <c r="MW33" i="11" s="1"/>
  <c r="MW34" i="11" s="1"/>
  <c r="MW35" i="11" s="1"/>
  <c r="MW36" i="11" s="1"/>
  <c r="MW37" i="11" s="1"/>
  <c r="MW38" i="11" s="1"/>
  <c r="MW39" i="11" s="1"/>
  <c r="MW40" i="11" s="1"/>
  <c r="MW41" i="11" s="1"/>
  <c r="MW42" i="11" s="1"/>
  <c r="MW43" i="11" s="1"/>
  <c r="MW44" i="11" s="1"/>
  <c r="MW45" i="11" s="1"/>
  <c r="MW46" i="11" s="1"/>
  <c r="MW47" i="11" s="1"/>
  <c r="MW48" i="11" s="1"/>
  <c r="MW49" i="11" s="1"/>
  <c r="MW50" i="11" s="1"/>
  <c r="MW51" i="11" s="1"/>
  <c r="MW52" i="11" s="1"/>
  <c r="MW53" i="11" s="1"/>
  <c r="MW54" i="11" s="1"/>
  <c r="MW55" i="11" s="1"/>
  <c r="MW56" i="11" s="1"/>
  <c r="MW57" i="11" s="1"/>
  <c r="MW58" i="11" s="1"/>
  <c r="MW59" i="11" s="1"/>
  <c r="MW60" i="11" s="1"/>
  <c r="MW61" i="11" s="1"/>
  <c r="MW62" i="11" s="1"/>
  <c r="MW63" i="11" s="1"/>
  <c r="MV4" i="11"/>
  <c r="MV5" i="11" s="1"/>
  <c r="MV6" i="11" s="1"/>
  <c r="MV7" i="11" s="1"/>
  <c r="MV8" i="11" s="1"/>
  <c r="MV9" i="11" s="1"/>
  <c r="MV10" i="11" s="1"/>
  <c r="MV11" i="11" s="1"/>
  <c r="MV12" i="11" s="1"/>
  <c r="MV13" i="11" s="1"/>
  <c r="MV14" i="11" s="1"/>
  <c r="MV15" i="11" s="1"/>
  <c r="MV16" i="11" s="1"/>
  <c r="MV17" i="11" s="1"/>
  <c r="MV18" i="11" s="1"/>
  <c r="MV19" i="11" s="1"/>
  <c r="MV20" i="11" s="1"/>
  <c r="MV21" i="11" s="1"/>
  <c r="MV22" i="11" s="1"/>
  <c r="MV23" i="11" s="1"/>
  <c r="MV24" i="11" s="1"/>
  <c r="MV25" i="11" s="1"/>
  <c r="MV26" i="11" s="1"/>
  <c r="MV27" i="11" s="1"/>
  <c r="MV28" i="11" s="1"/>
  <c r="MV29" i="11" s="1"/>
  <c r="MV30" i="11" s="1"/>
  <c r="MV31" i="11" s="1"/>
  <c r="MV32" i="11" s="1"/>
  <c r="MV33" i="11" s="1"/>
  <c r="MV34" i="11" s="1"/>
  <c r="MV35" i="11" s="1"/>
  <c r="MV36" i="11" s="1"/>
  <c r="MV37" i="11" s="1"/>
  <c r="MV38" i="11" s="1"/>
  <c r="MV39" i="11" s="1"/>
  <c r="MV40" i="11" s="1"/>
  <c r="MV41" i="11" s="1"/>
  <c r="MV42" i="11" s="1"/>
  <c r="MV43" i="11" s="1"/>
  <c r="MV44" i="11" s="1"/>
  <c r="MV45" i="11" s="1"/>
  <c r="MV46" i="11" s="1"/>
  <c r="MV47" i="11" s="1"/>
  <c r="MV48" i="11" s="1"/>
  <c r="MV49" i="11" s="1"/>
  <c r="MV50" i="11" s="1"/>
  <c r="MV51" i="11" s="1"/>
  <c r="MV52" i="11" s="1"/>
  <c r="MV53" i="11" s="1"/>
  <c r="MV54" i="11" s="1"/>
  <c r="MV55" i="11" s="1"/>
  <c r="MV56" i="11" s="1"/>
  <c r="MV57" i="11" s="1"/>
  <c r="MV58" i="11" s="1"/>
  <c r="MV59" i="11" s="1"/>
  <c r="MV60" i="11" s="1"/>
  <c r="MV61" i="11" s="1"/>
  <c r="MV62" i="11" s="1"/>
  <c r="MV63" i="11" s="1"/>
  <c r="MU4" i="11"/>
  <c r="MU5" i="11" s="1"/>
  <c r="MU6" i="11" s="1"/>
  <c r="MU7" i="11" s="1"/>
  <c r="MU8" i="11" s="1"/>
  <c r="MU9" i="11" s="1"/>
  <c r="MU10" i="11" s="1"/>
  <c r="MU11" i="11" s="1"/>
  <c r="MU12" i="11" s="1"/>
  <c r="MU13" i="11" s="1"/>
  <c r="MU14" i="11" s="1"/>
  <c r="MU15" i="11" s="1"/>
  <c r="MU16" i="11" s="1"/>
  <c r="MU17" i="11" s="1"/>
  <c r="MU18" i="11" s="1"/>
  <c r="MU19" i="11" s="1"/>
  <c r="MU20" i="11" s="1"/>
  <c r="MU21" i="11" s="1"/>
  <c r="MU22" i="11" s="1"/>
  <c r="MU23" i="11" s="1"/>
  <c r="MU24" i="11" s="1"/>
  <c r="MU25" i="11" s="1"/>
  <c r="MU26" i="11" s="1"/>
  <c r="MU27" i="11" s="1"/>
  <c r="MU28" i="11" s="1"/>
  <c r="MU29" i="11" s="1"/>
  <c r="MU30" i="11" s="1"/>
  <c r="MU31" i="11" s="1"/>
  <c r="MU32" i="11" s="1"/>
  <c r="MU33" i="11" s="1"/>
  <c r="MU34" i="11" s="1"/>
  <c r="MU35" i="11" s="1"/>
  <c r="MU36" i="11" s="1"/>
  <c r="MU37" i="11" s="1"/>
  <c r="MU38" i="11" s="1"/>
  <c r="MU39" i="11" s="1"/>
  <c r="MU40" i="11" s="1"/>
  <c r="MU41" i="11" s="1"/>
  <c r="MU42" i="11" s="1"/>
  <c r="MU43" i="11" s="1"/>
  <c r="MU44" i="11" s="1"/>
  <c r="MU45" i="11" s="1"/>
  <c r="MU46" i="11" s="1"/>
  <c r="MU47" i="11" s="1"/>
  <c r="MU48" i="11" s="1"/>
  <c r="MU49" i="11" s="1"/>
  <c r="MU50" i="11" s="1"/>
  <c r="MU51" i="11" s="1"/>
  <c r="MU52" i="11" s="1"/>
  <c r="MU53" i="11" s="1"/>
  <c r="MU54" i="11" s="1"/>
  <c r="MU55" i="11" s="1"/>
  <c r="MU56" i="11" s="1"/>
  <c r="MU57" i="11" s="1"/>
  <c r="MU58" i="11" s="1"/>
  <c r="MU59" i="11" s="1"/>
  <c r="MU60" i="11" s="1"/>
  <c r="MU61" i="11" s="1"/>
  <c r="MU62" i="11" s="1"/>
  <c r="MU63" i="11" s="1"/>
  <c r="MT4" i="11"/>
  <c r="MT5" i="11" s="1"/>
  <c r="MT6" i="11" s="1"/>
  <c r="MT7" i="11" s="1"/>
  <c r="MT8" i="11" s="1"/>
  <c r="MT9" i="11" s="1"/>
  <c r="MT10" i="11" s="1"/>
  <c r="MT11" i="11" s="1"/>
  <c r="MT12" i="11" s="1"/>
  <c r="MT13" i="11" s="1"/>
  <c r="MT14" i="11" s="1"/>
  <c r="MT15" i="11" s="1"/>
  <c r="MT16" i="11" s="1"/>
  <c r="MT17" i="11" s="1"/>
  <c r="MT18" i="11" s="1"/>
  <c r="MT19" i="11" s="1"/>
  <c r="MT20" i="11" s="1"/>
  <c r="MT21" i="11" s="1"/>
  <c r="MT22" i="11" s="1"/>
  <c r="MT23" i="11" s="1"/>
  <c r="MT24" i="11" s="1"/>
  <c r="MT25" i="11" s="1"/>
  <c r="MT26" i="11" s="1"/>
  <c r="MT27" i="11" s="1"/>
  <c r="MT28" i="11" s="1"/>
  <c r="MT29" i="11" s="1"/>
  <c r="MT30" i="11" s="1"/>
  <c r="MT31" i="11" s="1"/>
  <c r="MT32" i="11" s="1"/>
  <c r="MT33" i="11" s="1"/>
  <c r="MT34" i="11" s="1"/>
  <c r="MT35" i="11" s="1"/>
  <c r="MT36" i="11" s="1"/>
  <c r="MT37" i="11" s="1"/>
  <c r="MT38" i="11" s="1"/>
  <c r="MT39" i="11" s="1"/>
  <c r="MT40" i="11" s="1"/>
  <c r="MT41" i="11" s="1"/>
  <c r="MT42" i="11" s="1"/>
  <c r="MT43" i="11" s="1"/>
  <c r="MT44" i="11" s="1"/>
  <c r="MT45" i="11" s="1"/>
  <c r="MT46" i="11" s="1"/>
  <c r="MT47" i="11" s="1"/>
  <c r="MT48" i="11" s="1"/>
  <c r="MT49" i="11" s="1"/>
  <c r="MT50" i="11" s="1"/>
  <c r="MT51" i="11" s="1"/>
  <c r="MT52" i="11" s="1"/>
  <c r="MT53" i="11" s="1"/>
  <c r="MT54" i="11" s="1"/>
  <c r="MT55" i="11" s="1"/>
  <c r="MT56" i="11" s="1"/>
  <c r="MT57" i="11" s="1"/>
  <c r="MT58" i="11" s="1"/>
  <c r="MT59" i="11" s="1"/>
  <c r="MT60" i="11" s="1"/>
  <c r="MT61" i="11" s="1"/>
  <c r="MT62" i="11" s="1"/>
  <c r="MT63" i="11" s="1"/>
  <c r="MS4" i="11"/>
  <c r="MS5" i="11" s="1"/>
  <c r="MS6" i="11" s="1"/>
  <c r="MS7" i="11" s="1"/>
  <c r="MS8" i="11" s="1"/>
  <c r="MS9" i="11" s="1"/>
  <c r="MS10" i="11" s="1"/>
  <c r="MS11" i="11" s="1"/>
  <c r="MS12" i="11" s="1"/>
  <c r="MS13" i="11" s="1"/>
  <c r="MS14" i="11" s="1"/>
  <c r="MS15" i="11" s="1"/>
  <c r="MS16" i="11" s="1"/>
  <c r="MS17" i="11" s="1"/>
  <c r="MS18" i="11" s="1"/>
  <c r="MS19" i="11" s="1"/>
  <c r="MS20" i="11" s="1"/>
  <c r="MS21" i="11" s="1"/>
  <c r="MS22" i="11" s="1"/>
  <c r="MS23" i="11" s="1"/>
  <c r="MS24" i="11" s="1"/>
  <c r="MS25" i="11" s="1"/>
  <c r="MS26" i="11" s="1"/>
  <c r="MS27" i="11" s="1"/>
  <c r="MS28" i="11" s="1"/>
  <c r="MS29" i="11" s="1"/>
  <c r="MS30" i="11" s="1"/>
  <c r="MS31" i="11" s="1"/>
  <c r="MS32" i="11" s="1"/>
  <c r="MS33" i="11" s="1"/>
  <c r="MS34" i="11" s="1"/>
  <c r="MS35" i="11" s="1"/>
  <c r="MS36" i="11" s="1"/>
  <c r="MS37" i="11" s="1"/>
  <c r="MS38" i="11" s="1"/>
  <c r="MS39" i="11" s="1"/>
  <c r="MS40" i="11" s="1"/>
  <c r="MS41" i="11" s="1"/>
  <c r="MS42" i="11" s="1"/>
  <c r="MS43" i="11" s="1"/>
  <c r="MS44" i="11" s="1"/>
  <c r="MS45" i="11" s="1"/>
  <c r="MS46" i="11" s="1"/>
  <c r="MS47" i="11" s="1"/>
  <c r="MS48" i="11" s="1"/>
  <c r="MS49" i="11" s="1"/>
  <c r="MS50" i="11" s="1"/>
  <c r="MS51" i="11" s="1"/>
  <c r="MS52" i="11" s="1"/>
  <c r="MS53" i="11" s="1"/>
  <c r="MS54" i="11" s="1"/>
  <c r="MS55" i="11" s="1"/>
  <c r="MS56" i="11" s="1"/>
  <c r="MS57" i="11" s="1"/>
  <c r="MS58" i="11" s="1"/>
  <c r="MS59" i="11" s="1"/>
  <c r="MS60" i="11" s="1"/>
  <c r="MS61" i="11" s="1"/>
  <c r="MS62" i="11" s="1"/>
  <c r="MS63" i="11" s="1"/>
  <c r="MR4" i="11"/>
  <c r="MR5" i="11" s="1"/>
  <c r="MR6" i="11" s="1"/>
  <c r="MR7" i="11" s="1"/>
  <c r="MR8" i="11" s="1"/>
  <c r="MR9" i="11" s="1"/>
  <c r="MR10" i="11" s="1"/>
  <c r="MR11" i="11" s="1"/>
  <c r="MR12" i="11" s="1"/>
  <c r="MR13" i="11" s="1"/>
  <c r="MR14" i="11" s="1"/>
  <c r="MR15" i="11" s="1"/>
  <c r="MR16" i="11" s="1"/>
  <c r="MR17" i="11" s="1"/>
  <c r="MR18" i="11" s="1"/>
  <c r="MR19" i="11" s="1"/>
  <c r="MR20" i="11" s="1"/>
  <c r="MR21" i="11" s="1"/>
  <c r="MR22" i="11" s="1"/>
  <c r="MR23" i="11" s="1"/>
  <c r="MR24" i="11" s="1"/>
  <c r="MR25" i="11" s="1"/>
  <c r="MR26" i="11" s="1"/>
  <c r="MR27" i="11" s="1"/>
  <c r="MR28" i="11" s="1"/>
  <c r="MR29" i="11" s="1"/>
  <c r="MR30" i="11" s="1"/>
  <c r="MR31" i="11" s="1"/>
  <c r="MR32" i="11" s="1"/>
  <c r="MR33" i="11" s="1"/>
  <c r="MR34" i="11" s="1"/>
  <c r="MR35" i="11" s="1"/>
  <c r="MR36" i="11" s="1"/>
  <c r="MR37" i="11" s="1"/>
  <c r="MR38" i="11" s="1"/>
  <c r="MR39" i="11" s="1"/>
  <c r="MR40" i="11" s="1"/>
  <c r="MR41" i="11" s="1"/>
  <c r="MR42" i="11" s="1"/>
  <c r="MR43" i="11" s="1"/>
  <c r="MR44" i="11" s="1"/>
  <c r="MR45" i="11" s="1"/>
  <c r="MR46" i="11" s="1"/>
  <c r="MR47" i="11" s="1"/>
  <c r="MR48" i="11" s="1"/>
  <c r="MR49" i="11" s="1"/>
  <c r="MR50" i="11" s="1"/>
  <c r="MR51" i="11" s="1"/>
  <c r="MR52" i="11" s="1"/>
  <c r="MR53" i="11" s="1"/>
  <c r="MR54" i="11" s="1"/>
  <c r="MR55" i="11" s="1"/>
  <c r="MR56" i="11" s="1"/>
  <c r="MR57" i="11" s="1"/>
  <c r="MR58" i="11" s="1"/>
  <c r="MR59" i="11" s="1"/>
  <c r="MR60" i="11" s="1"/>
  <c r="MR61" i="11" s="1"/>
  <c r="MR62" i="11" s="1"/>
  <c r="MR63" i="11" s="1"/>
  <c r="MQ4" i="11"/>
  <c r="MQ5" i="11" s="1"/>
  <c r="MQ6" i="11" s="1"/>
  <c r="MQ7" i="11" s="1"/>
  <c r="MQ8" i="11" s="1"/>
  <c r="MQ9" i="11" s="1"/>
  <c r="MQ10" i="11" s="1"/>
  <c r="MQ11" i="11" s="1"/>
  <c r="MQ12" i="11" s="1"/>
  <c r="MQ13" i="11" s="1"/>
  <c r="MQ14" i="11" s="1"/>
  <c r="MQ15" i="11" s="1"/>
  <c r="MQ16" i="11" s="1"/>
  <c r="MQ17" i="11" s="1"/>
  <c r="MQ18" i="11" s="1"/>
  <c r="MQ19" i="11" s="1"/>
  <c r="MQ20" i="11" s="1"/>
  <c r="MQ21" i="11" s="1"/>
  <c r="MQ22" i="11" s="1"/>
  <c r="MQ23" i="11" s="1"/>
  <c r="MQ24" i="11" s="1"/>
  <c r="MQ25" i="11" s="1"/>
  <c r="MQ26" i="11" s="1"/>
  <c r="MQ27" i="11" s="1"/>
  <c r="MQ28" i="11" s="1"/>
  <c r="MQ29" i="11" s="1"/>
  <c r="MQ30" i="11" s="1"/>
  <c r="MQ31" i="11" s="1"/>
  <c r="MQ32" i="11" s="1"/>
  <c r="MQ33" i="11" s="1"/>
  <c r="MQ34" i="11" s="1"/>
  <c r="MQ35" i="11" s="1"/>
  <c r="MQ36" i="11" s="1"/>
  <c r="MQ37" i="11" s="1"/>
  <c r="MQ38" i="11" s="1"/>
  <c r="MQ39" i="11" s="1"/>
  <c r="MQ40" i="11" s="1"/>
  <c r="MQ41" i="11" s="1"/>
  <c r="MQ42" i="11" s="1"/>
  <c r="MQ43" i="11" s="1"/>
  <c r="MQ44" i="11" s="1"/>
  <c r="MQ45" i="11" s="1"/>
  <c r="MQ46" i="11" s="1"/>
  <c r="MQ47" i="11" s="1"/>
  <c r="MQ48" i="11" s="1"/>
  <c r="MQ49" i="11" s="1"/>
  <c r="MQ50" i="11" s="1"/>
  <c r="MQ51" i="11" s="1"/>
  <c r="MQ52" i="11" s="1"/>
  <c r="MQ53" i="11" s="1"/>
  <c r="MQ54" i="11" s="1"/>
  <c r="MQ55" i="11" s="1"/>
  <c r="MQ56" i="11" s="1"/>
  <c r="MQ57" i="11" s="1"/>
  <c r="MQ58" i="11" s="1"/>
  <c r="MQ59" i="11" s="1"/>
  <c r="MQ60" i="11" s="1"/>
  <c r="MQ61" i="11" s="1"/>
  <c r="MQ62" i="11" s="1"/>
  <c r="MQ63" i="11" s="1"/>
  <c r="MP4" i="11"/>
  <c r="MP5" i="11" s="1"/>
  <c r="MP6" i="11" s="1"/>
  <c r="MP7" i="11" s="1"/>
  <c r="MP8" i="11" s="1"/>
  <c r="MP9" i="11" s="1"/>
  <c r="MP10" i="11" s="1"/>
  <c r="MP11" i="11" s="1"/>
  <c r="MP12" i="11" s="1"/>
  <c r="MP13" i="11" s="1"/>
  <c r="MP14" i="11" s="1"/>
  <c r="MP15" i="11" s="1"/>
  <c r="MP16" i="11" s="1"/>
  <c r="MP17" i="11" s="1"/>
  <c r="MP18" i="11" s="1"/>
  <c r="MP19" i="11" s="1"/>
  <c r="MP20" i="11" s="1"/>
  <c r="MP21" i="11" s="1"/>
  <c r="MP22" i="11" s="1"/>
  <c r="MP23" i="11" s="1"/>
  <c r="MP24" i="11" s="1"/>
  <c r="MP25" i="11" s="1"/>
  <c r="MP26" i="11" s="1"/>
  <c r="MP27" i="11" s="1"/>
  <c r="MP28" i="11" s="1"/>
  <c r="MP29" i="11" s="1"/>
  <c r="MP30" i="11" s="1"/>
  <c r="MP31" i="11" s="1"/>
  <c r="MP32" i="11" s="1"/>
  <c r="MP33" i="11" s="1"/>
  <c r="MP34" i="11" s="1"/>
  <c r="MP35" i="11" s="1"/>
  <c r="MP36" i="11" s="1"/>
  <c r="MP37" i="11" s="1"/>
  <c r="MP38" i="11" s="1"/>
  <c r="MP39" i="11" s="1"/>
  <c r="MP40" i="11" s="1"/>
  <c r="MP41" i="11" s="1"/>
  <c r="MP42" i="11" s="1"/>
  <c r="MP43" i="11" s="1"/>
  <c r="MP44" i="11" s="1"/>
  <c r="MP45" i="11" s="1"/>
  <c r="MP46" i="11" s="1"/>
  <c r="MP47" i="11" s="1"/>
  <c r="MP48" i="11" s="1"/>
  <c r="MP49" i="11" s="1"/>
  <c r="MP50" i="11" s="1"/>
  <c r="MP51" i="11" s="1"/>
  <c r="MP52" i="11" s="1"/>
  <c r="MP53" i="11" s="1"/>
  <c r="MP54" i="11" s="1"/>
  <c r="MP55" i="11" s="1"/>
  <c r="MP56" i="11" s="1"/>
  <c r="MP57" i="11" s="1"/>
  <c r="MP58" i="11" s="1"/>
  <c r="MP59" i="11" s="1"/>
  <c r="MP60" i="11" s="1"/>
  <c r="MP61" i="11" s="1"/>
  <c r="MP62" i="11" s="1"/>
  <c r="MP63" i="11" s="1"/>
  <c r="MO4" i="11"/>
  <c r="MO5" i="11" s="1"/>
  <c r="MO6" i="11" s="1"/>
  <c r="MO7" i="11" s="1"/>
  <c r="MO8" i="11" s="1"/>
  <c r="MO9" i="11" s="1"/>
  <c r="MO10" i="11" s="1"/>
  <c r="MO11" i="11" s="1"/>
  <c r="MO12" i="11" s="1"/>
  <c r="MO13" i="11" s="1"/>
  <c r="MO14" i="11" s="1"/>
  <c r="MO15" i="11" s="1"/>
  <c r="MO16" i="11" s="1"/>
  <c r="MO17" i="11" s="1"/>
  <c r="MO18" i="11" s="1"/>
  <c r="MO19" i="11" s="1"/>
  <c r="MO20" i="11" s="1"/>
  <c r="MO21" i="11" s="1"/>
  <c r="MO22" i="11" s="1"/>
  <c r="MO23" i="11" s="1"/>
  <c r="MO24" i="11" s="1"/>
  <c r="MO25" i="11" s="1"/>
  <c r="MO26" i="11" s="1"/>
  <c r="MO27" i="11" s="1"/>
  <c r="MO28" i="11" s="1"/>
  <c r="MO29" i="11" s="1"/>
  <c r="MO30" i="11" s="1"/>
  <c r="MO31" i="11" s="1"/>
  <c r="MO32" i="11" s="1"/>
  <c r="MO33" i="11" s="1"/>
  <c r="MO34" i="11" s="1"/>
  <c r="MO35" i="11" s="1"/>
  <c r="MO36" i="11" s="1"/>
  <c r="MO37" i="11" s="1"/>
  <c r="MO38" i="11" s="1"/>
  <c r="MO39" i="11" s="1"/>
  <c r="MO40" i="11" s="1"/>
  <c r="MO41" i="11" s="1"/>
  <c r="MO42" i="11" s="1"/>
  <c r="MO43" i="11" s="1"/>
  <c r="MO44" i="11" s="1"/>
  <c r="MO45" i="11" s="1"/>
  <c r="MO46" i="11" s="1"/>
  <c r="MO47" i="11" s="1"/>
  <c r="MO48" i="11" s="1"/>
  <c r="MO49" i="11" s="1"/>
  <c r="MO50" i="11" s="1"/>
  <c r="MO51" i="11" s="1"/>
  <c r="MO52" i="11" s="1"/>
  <c r="MO53" i="11" s="1"/>
  <c r="MO54" i="11" s="1"/>
  <c r="MO55" i="11" s="1"/>
  <c r="MO56" i="11" s="1"/>
  <c r="MO57" i="11" s="1"/>
  <c r="MO58" i="11" s="1"/>
  <c r="MO59" i="11" s="1"/>
  <c r="MO60" i="11" s="1"/>
  <c r="MO61" i="11" s="1"/>
  <c r="MO62" i="11" s="1"/>
  <c r="MO63" i="11" s="1"/>
  <c r="MN4" i="11"/>
  <c r="MN5" i="11" s="1"/>
  <c r="MN6" i="11" s="1"/>
  <c r="MN7" i="11" s="1"/>
  <c r="MN8" i="11" s="1"/>
  <c r="MN9" i="11" s="1"/>
  <c r="MN10" i="11" s="1"/>
  <c r="MN11" i="11" s="1"/>
  <c r="MN12" i="11" s="1"/>
  <c r="MN13" i="11" s="1"/>
  <c r="MN14" i="11" s="1"/>
  <c r="MN15" i="11" s="1"/>
  <c r="MN16" i="11" s="1"/>
  <c r="MN17" i="11" s="1"/>
  <c r="MN18" i="11" s="1"/>
  <c r="MN19" i="11" s="1"/>
  <c r="MN20" i="11" s="1"/>
  <c r="MN21" i="11" s="1"/>
  <c r="MN22" i="11" s="1"/>
  <c r="MN23" i="11" s="1"/>
  <c r="MN24" i="11" s="1"/>
  <c r="MN25" i="11" s="1"/>
  <c r="MN26" i="11" s="1"/>
  <c r="MN27" i="11" s="1"/>
  <c r="MN28" i="11" s="1"/>
  <c r="MN29" i="11" s="1"/>
  <c r="MN30" i="11" s="1"/>
  <c r="MN31" i="11" s="1"/>
  <c r="MN32" i="11" s="1"/>
  <c r="MN33" i="11" s="1"/>
  <c r="MN34" i="11" s="1"/>
  <c r="MN35" i="11" s="1"/>
  <c r="MN36" i="11" s="1"/>
  <c r="MN37" i="11" s="1"/>
  <c r="MN38" i="11" s="1"/>
  <c r="MN39" i="11" s="1"/>
  <c r="MN40" i="11" s="1"/>
  <c r="MN41" i="11" s="1"/>
  <c r="MN42" i="11" s="1"/>
  <c r="MN43" i="11" s="1"/>
  <c r="MN44" i="11" s="1"/>
  <c r="MN45" i="11" s="1"/>
  <c r="MN46" i="11" s="1"/>
  <c r="MN47" i="11" s="1"/>
  <c r="MN48" i="11" s="1"/>
  <c r="MN49" i="11" s="1"/>
  <c r="MN50" i="11" s="1"/>
  <c r="MN51" i="11" s="1"/>
  <c r="MN52" i="11" s="1"/>
  <c r="MN53" i="11" s="1"/>
  <c r="MN54" i="11" s="1"/>
  <c r="MN55" i="11" s="1"/>
  <c r="MN56" i="11" s="1"/>
  <c r="MN57" i="11" s="1"/>
  <c r="MN58" i="11" s="1"/>
  <c r="MN59" i="11" s="1"/>
  <c r="MN60" i="11" s="1"/>
  <c r="MN61" i="11" s="1"/>
  <c r="MN62" i="11" s="1"/>
  <c r="MN63" i="11" s="1"/>
  <c r="MM4" i="11"/>
  <c r="MM5" i="11" s="1"/>
  <c r="MM6" i="11" s="1"/>
  <c r="MM7" i="11" s="1"/>
  <c r="MM8" i="11" s="1"/>
  <c r="MM9" i="11" s="1"/>
  <c r="MM10" i="11" s="1"/>
  <c r="MM11" i="11" s="1"/>
  <c r="MM12" i="11" s="1"/>
  <c r="MM13" i="11" s="1"/>
  <c r="MM14" i="11" s="1"/>
  <c r="MM15" i="11" s="1"/>
  <c r="MM16" i="11" s="1"/>
  <c r="MM17" i="11" s="1"/>
  <c r="MM18" i="11" s="1"/>
  <c r="MM19" i="11" s="1"/>
  <c r="MM20" i="11" s="1"/>
  <c r="MM21" i="11" s="1"/>
  <c r="MM22" i="11" s="1"/>
  <c r="MM23" i="11" s="1"/>
  <c r="MM24" i="11" s="1"/>
  <c r="MM25" i="11" s="1"/>
  <c r="MM26" i="11" s="1"/>
  <c r="MM27" i="11" s="1"/>
  <c r="MM28" i="11" s="1"/>
  <c r="MM29" i="11" s="1"/>
  <c r="MM30" i="11" s="1"/>
  <c r="MM31" i="11" s="1"/>
  <c r="MM32" i="11" s="1"/>
  <c r="MM33" i="11" s="1"/>
  <c r="MM34" i="11" s="1"/>
  <c r="MM35" i="11" s="1"/>
  <c r="MM36" i="11" s="1"/>
  <c r="MM37" i="11" s="1"/>
  <c r="MM38" i="11" s="1"/>
  <c r="MM39" i="11" s="1"/>
  <c r="MM40" i="11" s="1"/>
  <c r="MM41" i="11" s="1"/>
  <c r="MM42" i="11" s="1"/>
  <c r="MM43" i="11" s="1"/>
  <c r="MM44" i="11" s="1"/>
  <c r="MM45" i="11" s="1"/>
  <c r="MM46" i="11" s="1"/>
  <c r="MM47" i="11" s="1"/>
  <c r="MM48" i="11" s="1"/>
  <c r="MM49" i="11" s="1"/>
  <c r="MM50" i="11" s="1"/>
  <c r="MM51" i="11" s="1"/>
  <c r="MM52" i="11" s="1"/>
  <c r="MM53" i="11" s="1"/>
  <c r="MM54" i="11" s="1"/>
  <c r="MM55" i="11" s="1"/>
  <c r="MM56" i="11" s="1"/>
  <c r="MM57" i="11" s="1"/>
  <c r="MM58" i="11" s="1"/>
  <c r="MM59" i="11" s="1"/>
  <c r="MM60" i="11" s="1"/>
  <c r="MM61" i="11" s="1"/>
  <c r="MM62" i="11" s="1"/>
  <c r="MM63" i="11" s="1"/>
  <c r="ML4" i="11"/>
  <c r="ML5" i="11" s="1"/>
  <c r="ML6" i="11" s="1"/>
  <c r="ML7" i="11" s="1"/>
  <c r="ML8" i="11" s="1"/>
  <c r="ML9" i="11" s="1"/>
  <c r="ML10" i="11" s="1"/>
  <c r="ML11" i="11" s="1"/>
  <c r="ML12" i="11" s="1"/>
  <c r="ML13" i="11" s="1"/>
  <c r="ML14" i="11" s="1"/>
  <c r="ML15" i="11" s="1"/>
  <c r="ML16" i="11" s="1"/>
  <c r="ML17" i="11" s="1"/>
  <c r="ML18" i="11" s="1"/>
  <c r="ML19" i="11" s="1"/>
  <c r="ML20" i="11" s="1"/>
  <c r="ML21" i="11" s="1"/>
  <c r="ML22" i="11" s="1"/>
  <c r="ML23" i="11" s="1"/>
  <c r="ML24" i="11" s="1"/>
  <c r="ML25" i="11" s="1"/>
  <c r="ML26" i="11" s="1"/>
  <c r="ML27" i="11" s="1"/>
  <c r="ML28" i="11" s="1"/>
  <c r="ML29" i="11" s="1"/>
  <c r="ML30" i="11" s="1"/>
  <c r="ML31" i="11" s="1"/>
  <c r="ML32" i="11" s="1"/>
  <c r="ML33" i="11" s="1"/>
  <c r="ML34" i="11" s="1"/>
  <c r="ML35" i="11" s="1"/>
  <c r="ML36" i="11" s="1"/>
  <c r="ML37" i="11" s="1"/>
  <c r="ML38" i="11" s="1"/>
  <c r="ML39" i="11" s="1"/>
  <c r="ML40" i="11" s="1"/>
  <c r="ML41" i="11" s="1"/>
  <c r="ML42" i="11" s="1"/>
  <c r="ML43" i="11" s="1"/>
  <c r="ML44" i="11" s="1"/>
  <c r="ML45" i="11" s="1"/>
  <c r="ML46" i="11" s="1"/>
  <c r="ML47" i="11" s="1"/>
  <c r="ML48" i="11" s="1"/>
  <c r="ML49" i="11" s="1"/>
  <c r="ML50" i="11" s="1"/>
  <c r="ML51" i="11" s="1"/>
  <c r="ML52" i="11" s="1"/>
  <c r="ML53" i="11" s="1"/>
  <c r="ML54" i="11" s="1"/>
  <c r="ML55" i="11" s="1"/>
  <c r="ML56" i="11" s="1"/>
  <c r="ML57" i="11" s="1"/>
  <c r="ML58" i="11" s="1"/>
  <c r="ML59" i="11" s="1"/>
  <c r="ML60" i="11" s="1"/>
  <c r="ML61" i="11" s="1"/>
  <c r="ML62" i="11" s="1"/>
  <c r="ML63" i="11" s="1"/>
  <c r="MK4" i="11"/>
  <c r="MK5" i="11" s="1"/>
  <c r="MK6" i="11" s="1"/>
  <c r="MK7" i="11" s="1"/>
  <c r="MK8" i="11" s="1"/>
  <c r="MK9" i="11" s="1"/>
  <c r="MK10" i="11" s="1"/>
  <c r="MK11" i="11" s="1"/>
  <c r="MK12" i="11" s="1"/>
  <c r="MK13" i="11" s="1"/>
  <c r="MK14" i="11" s="1"/>
  <c r="MK15" i="11" s="1"/>
  <c r="MK16" i="11" s="1"/>
  <c r="MK17" i="11" s="1"/>
  <c r="MK18" i="11" s="1"/>
  <c r="MK19" i="11" s="1"/>
  <c r="MK20" i="11" s="1"/>
  <c r="MK21" i="11" s="1"/>
  <c r="MK22" i="11" s="1"/>
  <c r="MK23" i="11" s="1"/>
  <c r="MK24" i="11" s="1"/>
  <c r="MK25" i="11" s="1"/>
  <c r="MK26" i="11" s="1"/>
  <c r="MK27" i="11" s="1"/>
  <c r="MK28" i="11" s="1"/>
  <c r="MK29" i="11" s="1"/>
  <c r="MK30" i="11" s="1"/>
  <c r="MK31" i="11" s="1"/>
  <c r="MK32" i="11" s="1"/>
  <c r="MK33" i="11" s="1"/>
  <c r="MK34" i="11" s="1"/>
  <c r="MK35" i="11" s="1"/>
  <c r="MK36" i="11" s="1"/>
  <c r="MK37" i="11" s="1"/>
  <c r="MK38" i="11" s="1"/>
  <c r="MK39" i="11" s="1"/>
  <c r="MK40" i="11" s="1"/>
  <c r="MK41" i="11" s="1"/>
  <c r="MK42" i="11" s="1"/>
  <c r="MK43" i="11" s="1"/>
  <c r="MK44" i="11" s="1"/>
  <c r="MK45" i="11" s="1"/>
  <c r="MK46" i="11" s="1"/>
  <c r="MK47" i="11" s="1"/>
  <c r="MK48" i="11" s="1"/>
  <c r="MK49" i="11" s="1"/>
  <c r="MK50" i="11" s="1"/>
  <c r="MK51" i="11" s="1"/>
  <c r="MK52" i="11" s="1"/>
  <c r="MK53" i="11" s="1"/>
  <c r="MK54" i="11" s="1"/>
  <c r="MK55" i="11" s="1"/>
  <c r="MK56" i="11" s="1"/>
  <c r="MK57" i="11" s="1"/>
  <c r="MK58" i="11" s="1"/>
  <c r="MK59" i="11" s="1"/>
  <c r="MK60" i="11" s="1"/>
  <c r="MK61" i="11" s="1"/>
  <c r="MK62" i="11" s="1"/>
  <c r="MK63" i="11" s="1"/>
  <c r="MJ4" i="11"/>
  <c r="MJ5" i="11" s="1"/>
  <c r="MJ6" i="11" s="1"/>
  <c r="MJ7" i="11" s="1"/>
  <c r="MJ8" i="11" s="1"/>
  <c r="MJ9" i="11" s="1"/>
  <c r="MJ10" i="11" s="1"/>
  <c r="MJ11" i="11" s="1"/>
  <c r="MJ12" i="11" s="1"/>
  <c r="MJ13" i="11" s="1"/>
  <c r="MJ14" i="11" s="1"/>
  <c r="MJ15" i="11" s="1"/>
  <c r="MJ16" i="11" s="1"/>
  <c r="MJ17" i="11" s="1"/>
  <c r="MJ18" i="11" s="1"/>
  <c r="MJ19" i="11" s="1"/>
  <c r="MJ20" i="11" s="1"/>
  <c r="MJ21" i="11" s="1"/>
  <c r="MJ22" i="11" s="1"/>
  <c r="MJ23" i="11" s="1"/>
  <c r="MJ24" i="11" s="1"/>
  <c r="MJ25" i="11" s="1"/>
  <c r="MJ26" i="11" s="1"/>
  <c r="MJ27" i="11" s="1"/>
  <c r="MJ28" i="11" s="1"/>
  <c r="MJ29" i="11" s="1"/>
  <c r="MJ30" i="11" s="1"/>
  <c r="MJ31" i="11" s="1"/>
  <c r="MJ32" i="11" s="1"/>
  <c r="MJ33" i="11" s="1"/>
  <c r="MJ34" i="11" s="1"/>
  <c r="MJ35" i="11" s="1"/>
  <c r="MJ36" i="11" s="1"/>
  <c r="MJ37" i="11" s="1"/>
  <c r="MJ38" i="11" s="1"/>
  <c r="MJ39" i="11" s="1"/>
  <c r="MJ40" i="11" s="1"/>
  <c r="MJ41" i="11" s="1"/>
  <c r="MJ42" i="11" s="1"/>
  <c r="MJ43" i="11" s="1"/>
  <c r="MJ44" i="11" s="1"/>
  <c r="MJ45" i="11" s="1"/>
  <c r="MJ46" i="11" s="1"/>
  <c r="MJ47" i="11" s="1"/>
  <c r="MJ48" i="11" s="1"/>
  <c r="MJ49" i="11" s="1"/>
  <c r="MJ50" i="11" s="1"/>
  <c r="MJ51" i="11" s="1"/>
  <c r="MJ52" i="11" s="1"/>
  <c r="MJ53" i="11" s="1"/>
  <c r="MJ54" i="11" s="1"/>
  <c r="MJ55" i="11" s="1"/>
  <c r="MJ56" i="11" s="1"/>
  <c r="MJ57" i="11" s="1"/>
  <c r="MJ58" i="11" s="1"/>
  <c r="MJ59" i="11" s="1"/>
  <c r="MJ60" i="11" s="1"/>
  <c r="MJ61" i="11" s="1"/>
  <c r="MJ62" i="11" s="1"/>
  <c r="MJ63" i="11" s="1"/>
  <c r="MI4" i="11"/>
  <c r="MI5" i="11" s="1"/>
  <c r="MI6" i="11" s="1"/>
  <c r="MI7" i="11" s="1"/>
  <c r="MI8" i="11" s="1"/>
  <c r="MI9" i="11" s="1"/>
  <c r="MI10" i="11" s="1"/>
  <c r="MI11" i="11" s="1"/>
  <c r="MI12" i="11" s="1"/>
  <c r="MI13" i="11" s="1"/>
  <c r="MI14" i="11" s="1"/>
  <c r="MI15" i="11" s="1"/>
  <c r="MI16" i="11" s="1"/>
  <c r="MI17" i="11" s="1"/>
  <c r="MI18" i="11" s="1"/>
  <c r="MI19" i="11" s="1"/>
  <c r="MI20" i="11" s="1"/>
  <c r="MI21" i="11" s="1"/>
  <c r="MI22" i="11" s="1"/>
  <c r="MI23" i="11" s="1"/>
  <c r="MI24" i="11" s="1"/>
  <c r="MI25" i="11" s="1"/>
  <c r="MI26" i="11" s="1"/>
  <c r="MI27" i="11" s="1"/>
  <c r="MI28" i="11" s="1"/>
  <c r="MI29" i="11" s="1"/>
  <c r="MI30" i="11" s="1"/>
  <c r="MI31" i="11" s="1"/>
  <c r="MI32" i="11" s="1"/>
  <c r="MI33" i="11" s="1"/>
  <c r="MI34" i="11" s="1"/>
  <c r="MI35" i="11" s="1"/>
  <c r="MI36" i="11" s="1"/>
  <c r="MI37" i="11" s="1"/>
  <c r="MI38" i="11" s="1"/>
  <c r="MI39" i="11" s="1"/>
  <c r="MI40" i="11" s="1"/>
  <c r="MI41" i="11" s="1"/>
  <c r="MI42" i="11" s="1"/>
  <c r="MI43" i="11" s="1"/>
  <c r="MI44" i="11" s="1"/>
  <c r="MI45" i="11" s="1"/>
  <c r="MI46" i="11" s="1"/>
  <c r="MI47" i="11" s="1"/>
  <c r="MI48" i="11" s="1"/>
  <c r="MI49" i="11" s="1"/>
  <c r="MI50" i="11" s="1"/>
  <c r="MI51" i="11" s="1"/>
  <c r="MI52" i="11" s="1"/>
  <c r="MI53" i="11" s="1"/>
  <c r="MI54" i="11" s="1"/>
  <c r="MI55" i="11" s="1"/>
  <c r="MI56" i="11" s="1"/>
  <c r="MI57" i="11" s="1"/>
  <c r="MI58" i="11" s="1"/>
  <c r="MI59" i="11" s="1"/>
  <c r="MI60" i="11" s="1"/>
  <c r="MI61" i="11" s="1"/>
  <c r="MI62" i="11" s="1"/>
  <c r="MI63" i="11" s="1"/>
  <c r="MH4" i="11"/>
  <c r="MH5" i="11" s="1"/>
  <c r="MH6" i="11" s="1"/>
  <c r="MH7" i="11" s="1"/>
  <c r="MH8" i="11" s="1"/>
  <c r="MH9" i="11" s="1"/>
  <c r="MH10" i="11" s="1"/>
  <c r="MH11" i="11" s="1"/>
  <c r="MH12" i="11" s="1"/>
  <c r="MH13" i="11" s="1"/>
  <c r="MH14" i="11" s="1"/>
  <c r="MH15" i="11" s="1"/>
  <c r="MH16" i="11" s="1"/>
  <c r="MH17" i="11" s="1"/>
  <c r="MH18" i="11" s="1"/>
  <c r="MH19" i="11" s="1"/>
  <c r="MH20" i="11" s="1"/>
  <c r="MH21" i="11" s="1"/>
  <c r="MH22" i="11" s="1"/>
  <c r="MH23" i="11" s="1"/>
  <c r="MH24" i="11" s="1"/>
  <c r="MH25" i="11" s="1"/>
  <c r="MH26" i="11" s="1"/>
  <c r="MH27" i="11" s="1"/>
  <c r="MH28" i="11" s="1"/>
  <c r="MH29" i="11" s="1"/>
  <c r="MH30" i="11" s="1"/>
  <c r="MH31" i="11" s="1"/>
  <c r="MH32" i="11" s="1"/>
  <c r="MH33" i="11" s="1"/>
  <c r="MH34" i="11" s="1"/>
  <c r="MH35" i="11" s="1"/>
  <c r="MH36" i="11" s="1"/>
  <c r="MH37" i="11" s="1"/>
  <c r="MH38" i="11" s="1"/>
  <c r="MH39" i="11" s="1"/>
  <c r="MH40" i="11" s="1"/>
  <c r="MH41" i="11" s="1"/>
  <c r="MH42" i="11" s="1"/>
  <c r="MH43" i="11" s="1"/>
  <c r="MH44" i="11" s="1"/>
  <c r="MH45" i="11" s="1"/>
  <c r="MH46" i="11" s="1"/>
  <c r="MH47" i="11" s="1"/>
  <c r="MH48" i="11" s="1"/>
  <c r="MH49" i="11" s="1"/>
  <c r="MH50" i="11" s="1"/>
  <c r="MH51" i="11" s="1"/>
  <c r="MH52" i="11" s="1"/>
  <c r="MH53" i="11" s="1"/>
  <c r="MH54" i="11" s="1"/>
  <c r="MH55" i="11" s="1"/>
  <c r="MH56" i="11" s="1"/>
  <c r="MH57" i="11" s="1"/>
  <c r="MH58" i="11" s="1"/>
  <c r="MH59" i="11" s="1"/>
  <c r="MH60" i="11" s="1"/>
  <c r="MH61" i="11" s="1"/>
  <c r="MH62" i="11" s="1"/>
  <c r="MH63" i="11" s="1"/>
  <c r="MG4" i="11"/>
  <c r="MG5" i="11" s="1"/>
  <c r="MG6" i="11" s="1"/>
  <c r="MG7" i="11" s="1"/>
  <c r="MG8" i="11" s="1"/>
  <c r="MG9" i="11" s="1"/>
  <c r="MG10" i="11" s="1"/>
  <c r="MG11" i="11" s="1"/>
  <c r="MG12" i="11" s="1"/>
  <c r="MG13" i="11" s="1"/>
  <c r="MG14" i="11" s="1"/>
  <c r="MG15" i="11" s="1"/>
  <c r="MG16" i="11" s="1"/>
  <c r="MG17" i="11" s="1"/>
  <c r="MG18" i="11" s="1"/>
  <c r="MG19" i="11" s="1"/>
  <c r="MG20" i="11" s="1"/>
  <c r="MG21" i="11" s="1"/>
  <c r="MG22" i="11" s="1"/>
  <c r="MG23" i="11" s="1"/>
  <c r="MG24" i="11" s="1"/>
  <c r="MG25" i="11" s="1"/>
  <c r="MG26" i="11" s="1"/>
  <c r="MG27" i="11" s="1"/>
  <c r="MG28" i="11" s="1"/>
  <c r="MG29" i="11" s="1"/>
  <c r="MG30" i="11" s="1"/>
  <c r="MG31" i="11" s="1"/>
  <c r="MG32" i="11" s="1"/>
  <c r="MG33" i="11" s="1"/>
  <c r="MG34" i="11" s="1"/>
  <c r="MG35" i="11" s="1"/>
  <c r="MG36" i="11" s="1"/>
  <c r="MG37" i="11" s="1"/>
  <c r="MG38" i="11" s="1"/>
  <c r="MG39" i="11" s="1"/>
  <c r="MG40" i="11" s="1"/>
  <c r="MG41" i="11" s="1"/>
  <c r="MG42" i="11" s="1"/>
  <c r="MG43" i="11" s="1"/>
  <c r="MG44" i="11" s="1"/>
  <c r="MG45" i="11" s="1"/>
  <c r="MG46" i="11" s="1"/>
  <c r="MG47" i="11" s="1"/>
  <c r="MG48" i="11" s="1"/>
  <c r="MG49" i="11" s="1"/>
  <c r="MG50" i="11" s="1"/>
  <c r="MG51" i="11" s="1"/>
  <c r="MG52" i="11" s="1"/>
  <c r="MG53" i="11" s="1"/>
  <c r="MG54" i="11" s="1"/>
  <c r="MG55" i="11" s="1"/>
  <c r="MG56" i="11" s="1"/>
  <c r="MG57" i="11" s="1"/>
  <c r="MG58" i="11" s="1"/>
  <c r="MG59" i="11" s="1"/>
  <c r="MG60" i="11" s="1"/>
  <c r="MG61" i="11" s="1"/>
  <c r="MG62" i="11" s="1"/>
  <c r="MG63" i="11" s="1"/>
  <c r="MF4" i="11"/>
  <c r="MF5" i="11" s="1"/>
  <c r="MF6" i="11" s="1"/>
  <c r="MF7" i="11" s="1"/>
  <c r="MF8" i="11" s="1"/>
  <c r="MF9" i="11" s="1"/>
  <c r="MF10" i="11" s="1"/>
  <c r="MF11" i="11" s="1"/>
  <c r="MF12" i="11" s="1"/>
  <c r="MF13" i="11" s="1"/>
  <c r="MF14" i="11" s="1"/>
  <c r="MF15" i="11" s="1"/>
  <c r="MF16" i="11" s="1"/>
  <c r="MF17" i="11" s="1"/>
  <c r="MF18" i="11" s="1"/>
  <c r="MF19" i="11" s="1"/>
  <c r="MF20" i="11" s="1"/>
  <c r="MF21" i="11" s="1"/>
  <c r="MF22" i="11" s="1"/>
  <c r="MF23" i="11" s="1"/>
  <c r="MF24" i="11" s="1"/>
  <c r="MF25" i="11" s="1"/>
  <c r="MF26" i="11" s="1"/>
  <c r="MF27" i="11" s="1"/>
  <c r="MF28" i="11" s="1"/>
  <c r="MF29" i="11" s="1"/>
  <c r="MF30" i="11" s="1"/>
  <c r="MF31" i="11" s="1"/>
  <c r="MF32" i="11" s="1"/>
  <c r="MF33" i="11" s="1"/>
  <c r="MF34" i="11" s="1"/>
  <c r="MF35" i="11" s="1"/>
  <c r="MF36" i="11" s="1"/>
  <c r="MF37" i="11" s="1"/>
  <c r="MF38" i="11" s="1"/>
  <c r="MF39" i="11" s="1"/>
  <c r="MF40" i="11" s="1"/>
  <c r="MF41" i="11" s="1"/>
  <c r="MF42" i="11" s="1"/>
  <c r="MF43" i="11" s="1"/>
  <c r="MF44" i="11" s="1"/>
  <c r="MF45" i="11" s="1"/>
  <c r="MF46" i="11" s="1"/>
  <c r="MF47" i="11" s="1"/>
  <c r="MF48" i="11" s="1"/>
  <c r="MF49" i="11" s="1"/>
  <c r="MF50" i="11" s="1"/>
  <c r="MF51" i="11" s="1"/>
  <c r="MF52" i="11" s="1"/>
  <c r="MF53" i="11" s="1"/>
  <c r="MF54" i="11" s="1"/>
  <c r="MF55" i="11" s="1"/>
  <c r="MF56" i="11" s="1"/>
  <c r="MF57" i="11" s="1"/>
  <c r="MF58" i="11" s="1"/>
  <c r="MF59" i="11" s="1"/>
  <c r="MF60" i="11" s="1"/>
  <c r="MF61" i="11" s="1"/>
  <c r="MF62" i="11" s="1"/>
  <c r="MF63" i="11" s="1"/>
  <c r="ME4" i="11"/>
  <c r="ME5" i="11" s="1"/>
  <c r="ME6" i="11" s="1"/>
  <c r="ME7" i="11" s="1"/>
  <c r="ME8" i="11" s="1"/>
  <c r="ME9" i="11" s="1"/>
  <c r="ME10" i="11" s="1"/>
  <c r="ME11" i="11" s="1"/>
  <c r="ME12" i="11" s="1"/>
  <c r="ME13" i="11" s="1"/>
  <c r="ME14" i="11" s="1"/>
  <c r="ME15" i="11" s="1"/>
  <c r="ME16" i="11" s="1"/>
  <c r="ME17" i="11" s="1"/>
  <c r="ME18" i="11" s="1"/>
  <c r="ME19" i="11" s="1"/>
  <c r="ME20" i="11" s="1"/>
  <c r="ME21" i="11" s="1"/>
  <c r="ME22" i="11" s="1"/>
  <c r="ME23" i="11" s="1"/>
  <c r="ME24" i="11" s="1"/>
  <c r="ME25" i="11" s="1"/>
  <c r="ME26" i="11" s="1"/>
  <c r="ME27" i="11" s="1"/>
  <c r="ME28" i="11" s="1"/>
  <c r="ME29" i="11" s="1"/>
  <c r="ME30" i="11" s="1"/>
  <c r="ME31" i="11" s="1"/>
  <c r="ME32" i="11" s="1"/>
  <c r="ME33" i="11" s="1"/>
  <c r="ME34" i="11" s="1"/>
  <c r="ME35" i="11" s="1"/>
  <c r="ME36" i="11" s="1"/>
  <c r="ME37" i="11" s="1"/>
  <c r="ME38" i="11" s="1"/>
  <c r="ME39" i="11" s="1"/>
  <c r="ME40" i="11" s="1"/>
  <c r="ME41" i="11" s="1"/>
  <c r="ME42" i="11" s="1"/>
  <c r="ME43" i="11" s="1"/>
  <c r="ME44" i="11" s="1"/>
  <c r="ME45" i="11" s="1"/>
  <c r="ME46" i="11" s="1"/>
  <c r="ME47" i="11" s="1"/>
  <c r="ME48" i="11" s="1"/>
  <c r="ME49" i="11" s="1"/>
  <c r="ME50" i="11" s="1"/>
  <c r="ME51" i="11" s="1"/>
  <c r="ME52" i="11" s="1"/>
  <c r="ME53" i="11" s="1"/>
  <c r="ME54" i="11" s="1"/>
  <c r="ME55" i="11" s="1"/>
  <c r="ME56" i="11" s="1"/>
  <c r="ME57" i="11" s="1"/>
  <c r="ME58" i="11" s="1"/>
  <c r="ME59" i="11" s="1"/>
  <c r="ME60" i="11" s="1"/>
  <c r="ME61" i="11" s="1"/>
  <c r="ME62" i="11" s="1"/>
  <c r="ME63" i="11" s="1"/>
  <c r="MD4" i="11"/>
  <c r="MD5" i="11" s="1"/>
  <c r="MD6" i="11" s="1"/>
  <c r="MD7" i="11" s="1"/>
  <c r="MD8" i="11" s="1"/>
  <c r="MD9" i="11" s="1"/>
  <c r="MD10" i="11" s="1"/>
  <c r="MD11" i="11" s="1"/>
  <c r="MD12" i="11" s="1"/>
  <c r="MD13" i="11" s="1"/>
  <c r="MD14" i="11" s="1"/>
  <c r="MD15" i="11" s="1"/>
  <c r="MD16" i="11" s="1"/>
  <c r="MD17" i="11" s="1"/>
  <c r="MD18" i="11" s="1"/>
  <c r="MD19" i="11" s="1"/>
  <c r="MD20" i="11" s="1"/>
  <c r="MD21" i="11" s="1"/>
  <c r="MD22" i="11" s="1"/>
  <c r="MD23" i="11" s="1"/>
  <c r="MD24" i="11" s="1"/>
  <c r="MD25" i="11" s="1"/>
  <c r="MD26" i="11" s="1"/>
  <c r="MD27" i="11" s="1"/>
  <c r="MD28" i="11" s="1"/>
  <c r="MD29" i="11" s="1"/>
  <c r="MD30" i="11" s="1"/>
  <c r="MD31" i="11" s="1"/>
  <c r="MD32" i="11" s="1"/>
  <c r="MD33" i="11" s="1"/>
  <c r="MD34" i="11" s="1"/>
  <c r="MD35" i="11" s="1"/>
  <c r="MD36" i="11" s="1"/>
  <c r="MD37" i="11" s="1"/>
  <c r="MD38" i="11" s="1"/>
  <c r="MD39" i="11" s="1"/>
  <c r="MD40" i="11" s="1"/>
  <c r="MD41" i="11" s="1"/>
  <c r="MD42" i="11" s="1"/>
  <c r="MD43" i="11" s="1"/>
  <c r="MD44" i="11" s="1"/>
  <c r="MD45" i="11" s="1"/>
  <c r="MD46" i="11" s="1"/>
  <c r="MD47" i="11" s="1"/>
  <c r="MD48" i="11" s="1"/>
  <c r="MD49" i="11" s="1"/>
  <c r="MD50" i="11" s="1"/>
  <c r="MD51" i="11" s="1"/>
  <c r="MD52" i="11" s="1"/>
  <c r="MD53" i="11" s="1"/>
  <c r="MD54" i="11" s="1"/>
  <c r="MD55" i="11" s="1"/>
  <c r="MD56" i="11" s="1"/>
  <c r="MD57" i="11" s="1"/>
  <c r="MD58" i="11" s="1"/>
  <c r="MD59" i="11" s="1"/>
  <c r="MD60" i="11" s="1"/>
  <c r="MD61" i="11" s="1"/>
  <c r="MD62" i="11" s="1"/>
  <c r="MD63" i="11" s="1"/>
  <c r="MC4" i="11"/>
  <c r="MC5" i="11" s="1"/>
  <c r="MC6" i="11" s="1"/>
  <c r="MC7" i="11" s="1"/>
  <c r="MC8" i="11" s="1"/>
  <c r="MC9" i="11" s="1"/>
  <c r="MC10" i="11" s="1"/>
  <c r="MC11" i="11" s="1"/>
  <c r="MC12" i="11" s="1"/>
  <c r="MC13" i="11" s="1"/>
  <c r="MC14" i="11" s="1"/>
  <c r="MC15" i="11" s="1"/>
  <c r="MC16" i="11" s="1"/>
  <c r="MC17" i="11" s="1"/>
  <c r="MC18" i="11" s="1"/>
  <c r="MC19" i="11" s="1"/>
  <c r="MC20" i="11" s="1"/>
  <c r="MC21" i="11" s="1"/>
  <c r="MC22" i="11" s="1"/>
  <c r="MC23" i="11" s="1"/>
  <c r="MC24" i="11" s="1"/>
  <c r="MC25" i="11" s="1"/>
  <c r="MC26" i="11" s="1"/>
  <c r="MC27" i="11" s="1"/>
  <c r="MC28" i="11" s="1"/>
  <c r="MC29" i="11" s="1"/>
  <c r="MC30" i="11" s="1"/>
  <c r="MC31" i="11" s="1"/>
  <c r="MC32" i="11" s="1"/>
  <c r="MC33" i="11" s="1"/>
  <c r="MC34" i="11" s="1"/>
  <c r="MC35" i="11" s="1"/>
  <c r="MC36" i="11" s="1"/>
  <c r="MC37" i="11" s="1"/>
  <c r="MC38" i="11" s="1"/>
  <c r="MC39" i="11" s="1"/>
  <c r="MC40" i="11" s="1"/>
  <c r="MC41" i="11" s="1"/>
  <c r="MC42" i="11" s="1"/>
  <c r="MC43" i="11" s="1"/>
  <c r="MC44" i="11" s="1"/>
  <c r="MC45" i="11" s="1"/>
  <c r="MC46" i="11" s="1"/>
  <c r="MC47" i="11" s="1"/>
  <c r="MC48" i="11" s="1"/>
  <c r="MC49" i="11" s="1"/>
  <c r="MC50" i="11" s="1"/>
  <c r="MC51" i="11" s="1"/>
  <c r="MC52" i="11" s="1"/>
  <c r="MC53" i="11" s="1"/>
  <c r="MC54" i="11" s="1"/>
  <c r="MC55" i="11" s="1"/>
  <c r="MC56" i="11" s="1"/>
  <c r="MC57" i="11" s="1"/>
  <c r="MC58" i="11" s="1"/>
  <c r="MC59" i="11" s="1"/>
  <c r="MC60" i="11" s="1"/>
  <c r="MC61" i="11" s="1"/>
  <c r="MC62" i="11" s="1"/>
  <c r="MC63" i="11" s="1"/>
  <c r="MB4" i="11"/>
  <c r="MB5" i="11" s="1"/>
  <c r="MB6" i="11" s="1"/>
  <c r="MB7" i="11" s="1"/>
  <c r="MB8" i="11" s="1"/>
  <c r="MB9" i="11" s="1"/>
  <c r="MB10" i="11" s="1"/>
  <c r="MB11" i="11" s="1"/>
  <c r="MB12" i="11" s="1"/>
  <c r="MB13" i="11" s="1"/>
  <c r="MB14" i="11" s="1"/>
  <c r="MB15" i="11" s="1"/>
  <c r="MB16" i="11" s="1"/>
  <c r="MB17" i="11" s="1"/>
  <c r="MB18" i="11" s="1"/>
  <c r="MB19" i="11" s="1"/>
  <c r="MB20" i="11" s="1"/>
  <c r="MB21" i="11" s="1"/>
  <c r="MB22" i="11" s="1"/>
  <c r="MB23" i="11" s="1"/>
  <c r="MB24" i="11" s="1"/>
  <c r="MB25" i="11" s="1"/>
  <c r="MB26" i="11" s="1"/>
  <c r="MB27" i="11" s="1"/>
  <c r="MB28" i="11" s="1"/>
  <c r="MB29" i="11" s="1"/>
  <c r="MB30" i="11" s="1"/>
  <c r="MB31" i="11" s="1"/>
  <c r="MB32" i="11" s="1"/>
  <c r="MB33" i="11" s="1"/>
  <c r="MB34" i="11" s="1"/>
  <c r="MB35" i="11" s="1"/>
  <c r="MB36" i="11" s="1"/>
  <c r="MB37" i="11" s="1"/>
  <c r="MB38" i="11" s="1"/>
  <c r="MB39" i="11" s="1"/>
  <c r="MB40" i="11" s="1"/>
  <c r="MB41" i="11" s="1"/>
  <c r="MB42" i="11" s="1"/>
  <c r="MB43" i="11" s="1"/>
  <c r="MB44" i="11" s="1"/>
  <c r="MB45" i="11" s="1"/>
  <c r="MB46" i="11" s="1"/>
  <c r="MB47" i="11" s="1"/>
  <c r="MB48" i="11" s="1"/>
  <c r="MB49" i="11" s="1"/>
  <c r="MB50" i="11" s="1"/>
  <c r="MB51" i="11" s="1"/>
  <c r="MB52" i="11" s="1"/>
  <c r="MB53" i="11" s="1"/>
  <c r="MB54" i="11" s="1"/>
  <c r="MB55" i="11" s="1"/>
  <c r="MB56" i="11" s="1"/>
  <c r="MB57" i="11" s="1"/>
  <c r="MB58" i="11" s="1"/>
  <c r="MB59" i="11" s="1"/>
  <c r="MB60" i="11" s="1"/>
  <c r="MB61" i="11" s="1"/>
  <c r="MB62" i="11" s="1"/>
  <c r="MB63" i="11" s="1"/>
  <c r="MA4" i="11"/>
  <c r="MA5" i="11" s="1"/>
  <c r="MA6" i="11" s="1"/>
  <c r="MA7" i="11" s="1"/>
  <c r="MA8" i="11" s="1"/>
  <c r="MA9" i="11" s="1"/>
  <c r="MA10" i="11" s="1"/>
  <c r="MA11" i="11" s="1"/>
  <c r="MA12" i="11" s="1"/>
  <c r="MA13" i="11" s="1"/>
  <c r="MA14" i="11" s="1"/>
  <c r="MA15" i="11" s="1"/>
  <c r="MA16" i="11" s="1"/>
  <c r="MA17" i="11" s="1"/>
  <c r="MA18" i="11" s="1"/>
  <c r="MA19" i="11" s="1"/>
  <c r="MA20" i="11" s="1"/>
  <c r="MA21" i="11" s="1"/>
  <c r="MA22" i="11" s="1"/>
  <c r="MA23" i="11" s="1"/>
  <c r="MA24" i="11" s="1"/>
  <c r="MA25" i="11" s="1"/>
  <c r="MA26" i="11" s="1"/>
  <c r="MA27" i="11" s="1"/>
  <c r="MA28" i="11" s="1"/>
  <c r="MA29" i="11" s="1"/>
  <c r="MA30" i="11" s="1"/>
  <c r="MA31" i="11" s="1"/>
  <c r="MA32" i="11" s="1"/>
  <c r="MA33" i="11" s="1"/>
  <c r="MA34" i="11" s="1"/>
  <c r="MA35" i="11" s="1"/>
  <c r="MA36" i="11" s="1"/>
  <c r="MA37" i="11" s="1"/>
  <c r="MA38" i="11" s="1"/>
  <c r="MA39" i="11" s="1"/>
  <c r="MA40" i="11" s="1"/>
  <c r="MA41" i="11" s="1"/>
  <c r="MA42" i="11" s="1"/>
  <c r="MA43" i="11" s="1"/>
  <c r="MA44" i="11" s="1"/>
  <c r="MA45" i="11" s="1"/>
  <c r="MA46" i="11" s="1"/>
  <c r="MA47" i="11" s="1"/>
  <c r="MA48" i="11" s="1"/>
  <c r="MA49" i="11" s="1"/>
  <c r="MA50" i="11" s="1"/>
  <c r="MA51" i="11" s="1"/>
  <c r="MA52" i="11" s="1"/>
  <c r="MA53" i="11" s="1"/>
  <c r="MA54" i="11" s="1"/>
  <c r="MA55" i="11" s="1"/>
  <c r="MA56" i="11" s="1"/>
  <c r="MA57" i="11" s="1"/>
  <c r="MA58" i="11" s="1"/>
  <c r="MA59" i="11" s="1"/>
  <c r="MA60" i="11" s="1"/>
  <c r="MA61" i="11" s="1"/>
  <c r="MA62" i="11" s="1"/>
  <c r="MA63" i="11" s="1"/>
  <c r="LZ4" i="11"/>
  <c r="LZ5" i="11" s="1"/>
  <c r="LZ6" i="11" s="1"/>
  <c r="LZ7" i="11" s="1"/>
  <c r="LZ8" i="11" s="1"/>
  <c r="LZ9" i="11" s="1"/>
  <c r="LZ10" i="11" s="1"/>
  <c r="LZ11" i="11" s="1"/>
  <c r="LZ12" i="11" s="1"/>
  <c r="LZ13" i="11" s="1"/>
  <c r="LZ14" i="11" s="1"/>
  <c r="LZ15" i="11" s="1"/>
  <c r="LZ16" i="11" s="1"/>
  <c r="LZ17" i="11" s="1"/>
  <c r="LZ18" i="11" s="1"/>
  <c r="LZ19" i="11" s="1"/>
  <c r="LZ20" i="11" s="1"/>
  <c r="LZ21" i="11" s="1"/>
  <c r="LZ22" i="11" s="1"/>
  <c r="LZ23" i="11" s="1"/>
  <c r="LZ24" i="11" s="1"/>
  <c r="LZ25" i="11" s="1"/>
  <c r="LZ26" i="11" s="1"/>
  <c r="LZ27" i="11" s="1"/>
  <c r="LZ28" i="11" s="1"/>
  <c r="LZ29" i="11" s="1"/>
  <c r="LZ30" i="11" s="1"/>
  <c r="LZ31" i="11" s="1"/>
  <c r="LZ32" i="11" s="1"/>
  <c r="LZ33" i="11" s="1"/>
  <c r="LZ34" i="11" s="1"/>
  <c r="LZ35" i="11" s="1"/>
  <c r="LZ36" i="11" s="1"/>
  <c r="LZ37" i="11" s="1"/>
  <c r="LZ38" i="11" s="1"/>
  <c r="LZ39" i="11" s="1"/>
  <c r="LZ40" i="11" s="1"/>
  <c r="LZ41" i="11" s="1"/>
  <c r="LZ42" i="11" s="1"/>
  <c r="LZ43" i="11" s="1"/>
  <c r="LZ44" i="11" s="1"/>
  <c r="LZ45" i="11" s="1"/>
  <c r="LZ46" i="11" s="1"/>
  <c r="LZ47" i="11" s="1"/>
  <c r="LZ48" i="11" s="1"/>
  <c r="LZ49" i="11" s="1"/>
  <c r="LZ50" i="11" s="1"/>
  <c r="LZ51" i="11" s="1"/>
  <c r="LZ52" i="11" s="1"/>
  <c r="LZ53" i="11" s="1"/>
  <c r="LZ54" i="11" s="1"/>
  <c r="LZ55" i="11" s="1"/>
  <c r="LZ56" i="11" s="1"/>
  <c r="LZ57" i="11" s="1"/>
  <c r="LZ58" i="11" s="1"/>
  <c r="LZ59" i="11" s="1"/>
  <c r="LZ60" i="11" s="1"/>
  <c r="LZ61" i="11" s="1"/>
  <c r="LZ62" i="11" s="1"/>
  <c r="LZ63" i="11" s="1"/>
  <c r="LY4" i="11"/>
  <c r="LY5" i="11" s="1"/>
  <c r="LY6" i="11" s="1"/>
  <c r="LY7" i="11" s="1"/>
  <c r="LY8" i="11" s="1"/>
  <c r="LY9" i="11" s="1"/>
  <c r="LY10" i="11" s="1"/>
  <c r="LY11" i="11" s="1"/>
  <c r="LY12" i="11" s="1"/>
  <c r="LY13" i="11" s="1"/>
  <c r="LY14" i="11" s="1"/>
  <c r="LY15" i="11" s="1"/>
  <c r="LY16" i="11" s="1"/>
  <c r="LY17" i="11" s="1"/>
  <c r="LY18" i="11" s="1"/>
  <c r="LY19" i="11" s="1"/>
  <c r="LY20" i="11" s="1"/>
  <c r="LY21" i="11" s="1"/>
  <c r="LY22" i="11" s="1"/>
  <c r="LY23" i="11" s="1"/>
  <c r="LY24" i="11" s="1"/>
  <c r="LY25" i="11" s="1"/>
  <c r="LY26" i="11" s="1"/>
  <c r="LY27" i="11" s="1"/>
  <c r="LY28" i="11" s="1"/>
  <c r="LY29" i="11" s="1"/>
  <c r="LY30" i="11" s="1"/>
  <c r="LY31" i="11" s="1"/>
  <c r="LY32" i="11" s="1"/>
  <c r="LY33" i="11" s="1"/>
  <c r="LY34" i="11" s="1"/>
  <c r="LY35" i="11" s="1"/>
  <c r="LY36" i="11" s="1"/>
  <c r="LY37" i="11" s="1"/>
  <c r="LY38" i="11" s="1"/>
  <c r="LY39" i="11" s="1"/>
  <c r="LY40" i="11" s="1"/>
  <c r="LY41" i="11" s="1"/>
  <c r="LY42" i="11" s="1"/>
  <c r="LY43" i="11" s="1"/>
  <c r="LY44" i="11" s="1"/>
  <c r="LY45" i="11" s="1"/>
  <c r="LY46" i="11" s="1"/>
  <c r="LY47" i="11" s="1"/>
  <c r="LY48" i="11" s="1"/>
  <c r="LY49" i="11" s="1"/>
  <c r="LY50" i="11" s="1"/>
  <c r="LY51" i="11" s="1"/>
  <c r="LY52" i="11" s="1"/>
  <c r="LY53" i="11" s="1"/>
  <c r="LY54" i="11" s="1"/>
  <c r="LY55" i="11" s="1"/>
  <c r="LY56" i="11" s="1"/>
  <c r="LY57" i="11" s="1"/>
  <c r="LY58" i="11" s="1"/>
  <c r="LY59" i="11" s="1"/>
  <c r="LY60" i="11" s="1"/>
  <c r="LY61" i="11" s="1"/>
  <c r="LY62" i="11" s="1"/>
  <c r="LY63" i="11" s="1"/>
  <c r="LX4" i="11"/>
  <c r="LX5" i="11" s="1"/>
  <c r="LX6" i="11" s="1"/>
  <c r="LX7" i="11" s="1"/>
  <c r="LX8" i="11" s="1"/>
  <c r="LX9" i="11" s="1"/>
  <c r="LX10" i="11" s="1"/>
  <c r="LX11" i="11" s="1"/>
  <c r="LX12" i="11" s="1"/>
  <c r="LX13" i="11" s="1"/>
  <c r="LX14" i="11" s="1"/>
  <c r="LX15" i="11" s="1"/>
  <c r="LX16" i="11" s="1"/>
  <c r="LX17" i="11" s="1"/>
  <c r="LX18" i="11" s="1"/>
  <c r="LX19" i="11" s="1"/>
  <c r="LX20" i="11" s="1"/>
  <c r="LX21" i="11" s="1"/>
  <c r="LX22" i="11" s="1"/>
  <c r="LX23" i="11" s="1"/>
  <c r="LX24" i="11" s="1"/>
  <c r="LX25" i="11" s="1"/>
  <c r="LX26" i="11" s="1"/>
  <c r="LX27" i="11" s="1"/>
  <c r="LX28" i="11" s="1"/>
  <c r="LX29" i="11" s="1"/>
  <c r="LX30" i="11" s="1"/>
  <c r="LX31" i="11" s="1"/>
  <c r="LX32" i="11" s="1"/>
  <c r="LX33" i="11" s="1"/>
  <c r="LX34" i="11" s="1"/>
  <c r="LX35" i="11" s="1"/>
  <c r="LX36" i="11" s="1"/>
  <c r="LX37" i="11" s="1"/>
  <c r="LX38" i="11" s="1"/>
  <c r="LX39" i="11" s="1"/>
  <c r="LX40" i="11" s="1"/>
  <c r="LX41" i="11" s="1"/>
  <c r="LX42" i="11" s="1"/>
  <c r="LX43" i="11" s="1"/>
  <c r="LX44" i="11" s="1"/>
  <c r="LX45" i="11" s="1"/>
  <c r="LX46" i="11" s="1"/>
  <c r="LX47" i="11" s="1"/>
  <c r="LX48" i="11" s="1"/>
  <c r="LX49" i="11" s="1"/>
  <c r="LX50" i="11" s="1"/>
  <c r="LX51" i="11" s="1"/>
  <c r="LX52" i="11" s="1"/>
  <c r="LX53" i="11" s="1"/>
  <c r="LX54" i="11" s="1"/>
  <c r="LX55" i="11" s="1"/>
  <c r="LX56" i="11" s="1"/>
  <c r="LX57" i="11" s="1"/>
  <c r="LX58" i="11" s="1"/>
  <c r="LX59" i="11" s="1"/>
  <c r="LX60" i="11" s="1"/>
  <c r="LX61" i="11" s="1"/>
  <c r="LX62" i="11" s="1"/>
  <c r="LX63" i="11" s="1"/>
  <c r="LW4" i="11"/>
  <c r="LW5" i="11" s="1"/>
  <c r="LW6" i="11" s="1"/>
  <c r="LW7" i="11" s="1"/>
  <c r="LW8" i="11" s="1"/>
  <c r="LW9" i="11" s="1"/>
  <c r="LW10" i="11" s="1"/>
  <c r="LW11" i="11" s="1"/>
  <c r="LW12" i="11" s="1"/>
  <c r="LW13" i="11" s="1"/>
  <c r="LW14" i="11" s="1"/>
  <c r="LW15" i="11" s="1"/>
  <c r="LW16" i="11" s="1"/>
  <c r="LW17" i="11" s="1"/>
  <c r="LW18" i="11" s="1"/>
  <c r="LW19" i="11" s="1"/>
  <c r="LW20" i="11" s="1"/>
  <c r="LW21" i="11" s="1"/>
  <c r="LW22" i="11" s="1"/>
  <c r="LW23" i="11" s="1"/>
  <c r="LW24" i="11" s="1"/>
  <c r="LW25" i="11" s="1"/>
  <c r="LW26" i="11" s="1"/>
  <c r="LW27" i="11" s="1"/>
  <c r="LW28" i="11" s="1"/>
  <c r="LW29" i="11" s="1"/>
  <c r="LW30" i="11" s="1"/>
  <c r="LW31" i="11" s="1"/>
  <c r="LW32" i="11" s="1"/>
  <c r="LW33" i="11" s="1"/>
  <c r="LW34" i="11" s="1"/>
  <c r="LW35" i="11" s="1"/>
  <c r="LW36" i="11" s="1"/>
  <c r="LW37" i="11" s="1"/>
  <c r="LW38" i="11" s="1"/>
  <c r="LW39" i="11" s="1"/>
  <c r="LW40" i="11" s="1"/>
  <c r="LW41" i="11" s="1"/>
  <c r="LW42" i="11" s="1"/>
  <c r="LW43" i="11" s="1"/>
  <c r="LW44" i="11" s="1"/>
  <c r="LW45" i="11" s="1"/>
  <c r="LW46" i="11" s="1"/>
  <c r="LW47" i="11" s="1"/>
  <c r="LW48" i="11" s="1"/>
  <c r="LW49" i="11" s="1"/>
  <c r="LW50" i="11" s="1"/>
  <c r="LW51" i="11" s="1"/>
  <c r="LW52" i="11" s="1"/>
  <c r="LW53" i="11" s="1"/>
  <c r="LW54" i="11" s="1"/>
  <c r="LW55" i="11" s="1"/>
  <c r="LW56" i="11" s="1"/>
  <c r="LW57" i="11" s="1"/>
  <c r="LW58" i="11" s="1"/>
  <c r="LW59" i="11" s="1"/>
  <c r="LW60" i="11" s="1"/>
  <c r="LW61" i="11" s="1"/>
  <c r="LW62" i="11" s="1"/>
  <c r="LW63" i="11" s="1"/>
  <c r="LV4" i="11"/>
  <c r="LV5" i="11" s="1"/>
  <c r="LV6" i="11" s="1"/>
  <c r="LV7" i="11" s="1"/>
  <c r="LV8" i="11" s="1"/>
  <c r="LV9" i="11" s="1"/>
  <c r="LV10" i="11" s="1"/>
  <c r="LV11" i="11" s="1"/>
  <c r="LV12" i="11" s="1"/>
  <c r="LV13" i="11" s="1"/>
  <c r="LV14" i="11" s="1"/>
  <c r="LV15" i="11" s="1"/>
  <c r="LV16" i="11" s="1"/>
  <c r="LV17" i="11" s="1"/>
  <c r="LV18" i="11" s="1"/>
  <c r="LV19" i="11" s="1"/>
  <c r="LV20" i="11" s="1"/>
  <c r="LV21" i="11" s="1"/>
  <c r="LV22" i="11" s="1"/>
  <c r="LV23" i="11" s="1"/>
  <c r="LV24" i="11" s="1"/>
  <c r="LV25" i="11" s="1"/>
  <c r="LV26" i="11" s="1"/>
  <c r="LV27" i="11" s="1"/>
  <c r="LV28" i="11" s="1"/>
  <c r="LV29" i="11" s="1"/>
  <c r="LV30" i="11" s="1"/>
  <c r="LV31" i="11" s="1"/>
  <c r="LV32" i="11" s="1"/>
  <c r="LV33" i="11" s="1"/>
  <c r="LV34" i="11" s="1"/>
  <c r="LV35" i="11" s="1"/>
  <c r="LV36" i="11" s="1"/>
  <c r="LV37" i="11" s="1"/>
  <c r="LV38" i="11" s="1"/>
  <c r="LV39" i="11" s="1"/>
  <c r="LV40" i="11" s="1"/>
  <c r="LV41" i="11" s="1"/>
  <c r="LV42" i="11" s="1"/>
  <c r="LV43" i="11" s="1"/>
  <c r="LV44" i="11" s="1"/>
  <c r="LV45" i="11" s="1"/>
  <c r="LV46" i="11" s="1"/>
  <c r="LV47" i="11" s="1"/>
  <c r="LV48" i="11" s="1"/>
  <c r="LV49" i="11" s="1"/>
  <c r="LV50" i="11" s="1"/>
  <c r="LV51" i="11" s="1"/>
  <c r="LV52" i="11" s="1"/>
  <c r="LV53" i="11" s="1"/>
  <c r="LV54" i="11" s="1"/>
  <c r="LV55" i="11" s="1"/>
  <c r="LV56" i="11" s="1"/>
  <c r="LV57" i="11" s="1"/>
  <c r="LV58" i="11" s="1"/>
  <c r="LV59" i="11" s="1"/>
  <c r="LV60" i="11" s="1"/>
  <c r="LV61" i="11" s="1"/>
  <c r="LV62" i="11" s="1"/>
  <c r="LV63" i="11" s="1"/>
  <c r="LU4" i="11"/>
  <c r="LU5" i="11" s="1"/>
  <c r="LU6" i="11" s="1"/>
  <c r="LU7" i="11" s="1"/>
  <c r="LU8" i="11" s="1"/>
  <c r="LU9" i="11" s="1"/>
  <c r="LU10" i="11" s="1"/>
  <c r="LU11" i="11" s="1"/>
  <c r="LU12" i="11" s="1"/>
  <c r="LU13" i="11" s="1"/>
  <c r="LU14" i="11" s="1"/>
  <c r="LU15" i="11" s="1"/>
  <c r="LU16" i="11" s="1"/>
  <c r="LU17" i="11" s="1"/>
  <c r="LU18" i="11" s="1"/>
  <c r="LU19" i="11" s="1"/>
  <c r="LU20" i="11" s="1"/>
  <c r="LU21" i="11" s="1"/>
  <c r="LU22" i="11" s="1"/>
  <c r="LU23" i="11" s="1"/>
  <c r="LU24" i="11" s="1"/>
  <c r="LU25" i="11" s="1"/>
  <c r="LU26" i="11" s="1"/>
  <c r="LU27" i="11" s="1"/>
  <c r="LU28" i="11" s="1"/>
  <c r="LU29" i="11" s="1"/>
  <c r="LU30" i="11" s="1"/>
  <c r="LU31" i="11" s="1"/>
  <c r="LU32" i="11" s="1"/>
  <c r="LU33" i="11" s="1"/>
  <c r="LU34" i="11" s="1"/>
  <c r="LU35" i="11" s="1"/>
  <c r="LU36" i="11" s="1"/>
  <c r="LU37" i="11" s="1"/>
  <c r="LU38" i="11" s="1"/>
  <c r="LU39" i="11" s="1"/>
  <c r="LU40" i="11" s="1"/>
  <c r="LU41" i="11" s="1"/>
  <c r="LU42" i="11" s="1"/>
  <c r="LU43" i="11" s="1"/>
  <c r="LU44" i="11" s="1"/>
  <c r="LU45" i="11" s="1"/>
  <c r="LU46" i="11" s="1"/>
  <c r="LU47" i="11" s="1"/>
  <c r="LU48" i="11" s="1"/>
  <c r="LU49" i="11" s="1"/>
  <c r="LU50" i="11" s="1"/>
  <c r="LU51" i="11" s="1"/>
  <c r="LU52" i="11" s="1"/>
  <c r="LU53" i="11" s="1"/>
  <c r="LU54" i="11" s="1"/>
  <c r="LU55" i="11" s="1"/>
  <c r="LU56" i="11" s="1"/>
  <c r="LU57" i="11" s="1"/>
  <c r="LU58" i="11" s="1"/>
  <c r="LU59" i="11" s="1"/>
  <c r="LU60" i="11" s="1"/>
  <c r="LU61" i="11" s="1"/>
  <c r="LU62" i="11" s="1"/>
  <c r="LU63" i="11" s="1"/>
  <c r="LT4" i="11"/>
  <c r="LT5" i="11" s="1"/>
  <c r="LT6" i="11" s="1"/>
  <c r="LT7" i="11" s="1"/>
  <c r="LT8" i="11" s="1"/>
  <c r="LT9" i="11" s="1"/>
  <c r="LT10" i="11" s="1"/>
  <c r="LT11" i="11" s="1"/>
  <c r="LT12" i="11" s="1"/>
  <c r="LT13" i="11" s="1"/>
  <c r="LT14" i="11" s="1"/>
  <c r="LT15" i="11" s="1"/>
  <c r="LT16" i="11" s="1"/>
  <c r="LT17" i="11" s="1"/>
  <c r="LT18" i="11" s="1"/>
  <c r="LT19" i="11" s="1"/>
  <c r="LT20" i="11" s="1"/>
  <c r="LT21" i="11" s="1"/>
  <c r="LT22" i="11" s="1"/>
  <c r="LT23" i="11" s="1"/>
  <c r="LT24" i="11" s="1"/>
  <c r="LT25" i="11" s="1"/>
  <c r="LT26" i="11" s="1"/>
  <c r="LT27" i="11" s="1"/>
  <c r="LT28" i="11" s="1"/>
  <c r="LT29" i="11" s="1"/>
  <c r="LT30" i="11" s="1"/>
  <c r="LT31" i="11" s="1"/>
  <c r="LT32" i="11" s="1"/>
  <c r="LT33" i="11" s="1"/>
  <c r="LT34" i="11" s="1"/>
  <c r="LT35" i="11" s="1"/>
  <c r="LT36" i="11" s="1"/>
  <c r="LT37" i="11" s="1"/>
  <c r="LT38" i="11" s="1"/>
  <c r="LT39" i="11" s="1"/>
  <c r="LT40" i="11" s="1"/>
  <c r="LT41" i="11" s="1"/>
  <c r="LT42" i="11" s="1"/>
  <c r="LT43" i="11" s="1"/>
  <c r="LT44" i="11" s="1"/>
  <c r="LT45" i="11" s="1"/>
  <c r="LT46" i="11" s="1"/>
  <c r="LT47" i="11" s="1"/>
  <c r="LT48" i="11" s="1"/>
  <c r="LT49" i="11" s="1"/>
  <c r="LT50" i="11" s="1"/>
  <c r="LT51" i="11" s="1"/>
  <c r="LT52" i="11" s="1"/>
  <c r="LT53" i="11" s="1"/>
  <c r="LT54" i="11" s="1"/>
  <c r="LT55" i="11" s="1"/>
  <c r="LT56" i="11" s="1"/>
  <c r="LT57" i="11" s="1"/>
  <c r="LT58" i="11" s="1"/>
  <c r="LT59" i="11" s="1"/>
  <c r="LT60" i="11" s="1"/>
  <c r="LT61" i="11" s="1"/>
  <c r="LT62" i="11" s="1"/>
  <c r="LT63" i="11" s="1"/>
  <c r="LS4" i="11"/>
  <c r="LS5" i="11" s="1"/>
  <c r="LS6" i="11" s="1"/>
  <c r="LS7" i="11" s="1"/>
  <c r="LS8" i="11" s="1"/>
  <c r="LS9" i="11" s="1"/>
  <c r="LS10" i="11" s="1"/>
  <c r="LS11" i="11" s="1"/>
  <c r="LS12" i="11" s="1"/>
  <c r="LS13" i="11" s="1"/>
  <c r="LS14" i="11" s="1"/>
  <c r="LS15" i="11" s="1"/>
  <c r="LS16" i="11" s="1"/>
  <c r="LS17" i="11" s="1"/>
  <c r="LS18" i="11" s="1"/>
  <c r="LS19" i="11" s="1"/>
  <c r="LS20" i="11" s="1"/>
  <c r="LS21" i="11" s="1"/>
  <c r="LS22" i="11" s="1"/>
  <c r="LS23" i="11" s="1"/>
  <c r="LS24" i="11" s="1"/>
  <c r="LS25" i="11" s="1"/>
  <c r="LS26" i="11" s="1"/>
  <c r="LS27" i="11" s="1"/>
  <c r="LS28" i="11" s="1"/>
  <c r="LS29" i="11" s="1"/>
  <c r="LS30" i="11" s="1"/>
  <c r="LS31" i="11" s="1"/>
  <c r="LS32" i="11" s="1"/>
  <c r="LS33" i="11" s="1"/>
  <c r="LS34" i="11" s="1"/>
  <c r="LS35" i="11" s="1"/>
  <c r="LS36" i="11" s="1"/>
  <c r="LS37" i="11" s="1"/>
  <c r="LS38" i="11" s="1"/>
  <c r="LS39" i="11" s="1"/>
  <c r="LS40" i="11" s="1"/>
  <c r="LS41" i="11" s="1"/>
  <c r="LS42" i="11" s="1"/>
  <c r="LS43" i="11" s="1"/>
  <c r="LS44" i="11" s="1"/>
  <c r="LS45" i="11" s="1"/>
  <c r="LS46" i="11" s="1"/>
  <c r="LS47" i="11" s="1"/>
  <c r="LS48" i="11" s="1"/>
  <c r="LS49" i="11" s="1"/>
  <c r="LS50" i="11" s="1"/>
  <c r="LS51" i="11" s="1"/>
  <c r="LS52" i="11" s="1"/>
  <c r="LS53" i="11" s="1"/>
  <c r="LS54" i="11" s="1"/>
  <c r="LS55" i="11" s="1"/>
  <c r="LS56" i="11" s="1"/>
  <c r="LS57" i="11" s="1"/>
  <c r="LS58" i="11" s="1"/>
  <c r="LS59" i="11" s="1"/>
  <c r="LS60" i="11" s="1"/>
  <c r="LS61" i="11" s="1"/>
  <c r="LS62" i="11" s="1"/>
  <c r="LS63" i="11" s="1"/>
  <c r="LR4" i="11"/>
  <c r="LR5" i="11" s="1"/>
  <c r="LR6" i="11" s="1"/>
  <c r="LR7" i="11" s="1"/>
  <c r="LR8" i="11" s="1"/>
  <c r="LR9" i="11" s="1"/>
  <c r="LR10" i="11" s="1"/>
  <c r="LR11" i="11" s="1"/>
  <c r="LR12" i="11" s="1"/>
  <c r="LR13" i="11" s="1"/>
  <c r="LR14" i="11" s="1"/>
  <c r="LR15" i="11" s="1"/>
  <c r="LR16" i="11" s="1"/>
  <c r="LR17" i="11" s="1"/>
  <c r="LR18" i="11" s="1"/>
  <c r="LR19" i="11" s="1"/>
  <c r="LR20" i="11" s="1"/>
  <c r="LR21" i="11" s="1"/>
  <c r="LR22" i="11" s="1"/>
  <c r="LR23" i="11" s="1"/>
  <c r="LR24" i="11" s="1"/>
  <c r="LR25" i="11" s="1"/>
  <c r="LR26" i="11" s="1"/>
  <c r="LR27" i="11" s="1"/>
  <c r="LR28" i="11" s="1"/>
  <c r="LR29" i="11" s="1"/>
  <c r="LR30" i="11" s="1"/>
  <c r="LR31" i="11" s="1"/>
  <c r="LR32" i="11" s="1"/>
  <c r="LR33" i="11" s="1"/>
  <c r="LR34" i="11" s="1"/>
  <c r="LR35" i="11" s="1"/>
  <c r="LR36" i="11" s="1"/>
  <c r="LR37" i="11" s="1"/>
  <c r="LR38" i="11" s="1"/>
  <c r="LR39" i="11" s="1"/>
  <c r="LR40" i="11" s="1"/>
  <c r="LR41" i="11" s="1"/>
  <c r="LR42" i="11" s="1"/>
  <c r="LR43" i="11" s="1"/>
  <c r="LR44" i="11" s="1"/>
  <c r="LR45" i="11" s="1"/>
  <c r="LR46" i="11" s="1"/>
  <c r="LR47" i="11" s="1"/>
  <c r="LR48" i="11" s="1"/>
  <c r="LR49" i="11" s="1"/>
  <c r="LR50" i="11" s="1"/>
  <c r="LR51" i="11" s="1"/>
  <c r="LR52" i="11" s="1"/>
  <c r="LR53" i="11" s="1"/>
  <c r="LR54" i="11" s="1"/>
  <c r="LR55" i="11" s="1"/>
  <c r="LR56" i="11" s="1"/>
  <c r="LR57" i="11" s="1"/>
  <c r="LR58" i="11" s="1"/>
  <c r="LR59" i="11" s="1"/>
  <c r="LR60" i="11" s="1"/>
  <c r="LR61" i="11" s="1"/>
  <c r="LR62" i="11" s="1"/>
  <c r="LR63" i="11" s="1"/>
  <c r="LQ4" i="11"/>
  <c r="LQ5" i="11" s="1"/>
  <c r="LQ6" i="11" s="1"/>
  <c r="LQ7" i="11" s="1"/>
  <c r="LQ8" i="11" s="1"/>
  <c r="LQ9" i="11" s="1"/>
  <c r="LQ10" i="11" s="1"/>
  <c r="LQ11" i="11" s="1"/>
  <c r="LQ12" i="11" s="1"/>
  <c r="LQ13" i="11" s="1"/>
  <c r="LQ14" i="11" s="1"/>
  <c r="LQ15" i="11" s="1"/>
  <c r="LQ16" i="11" s="1"/>
  <c r="LQ17" i="11" s="1"/>
  <c r="LQ18" i="11" s="1"/>
  <c r="LQ19" i="11" s="1"/>
  <c r="LQ20" i="11" s="1"/>
  <c r="LQ21" i="11" s="1"/>
  <c r="LQ22" i="11" s="1"/>
  <c r="LQ23" i="11" s="1"/>
  <c r="LQ24" i="11" s="1"/>
  <c r="LQ25" i="11" s="1"/>
  <c r="LQ26" i="11" s="1"/>
  <c r="LQ27" i="11" s="1"/>
  <c r="LQ28" i="11" s="1"/>
  <c r="LQ29" i="11" s="1"/>
  <c r="LQ30" i="11" s="1"/>
  <c r="LQ31" i="11" s="1"/>
  <c r="LQ32" i="11" s="1"/>
  <c r="LQ33" i="11" s="1"/>
  <c r="LQ34" i="11" s="1"/>
  <c r="LQ35" i="11" s="1"/>
  <c r="LQ36" i="11" s="1"/>
  <c r="LQ37" i="11" s="1"/>
  <c r="LQ38" i="11" s="1"/>
  <c r="LQ39" i="11" s="1"/>
  <c r="LQ40" i="11" s="1"/>
  <c r="LQ41" i="11" s="1"/>
  <c r="LQ42" i="11" s="1"/>
  <c r="LQ43" i="11" s="1"/>
  <c r="LQ44" i="11" s="1"/>
  <c r="LQ45" i="11" s="1"/>
  <c r="LQ46" i="11" s="1"/>
  <c r="LQ47" i="11" s="1"/>
  <c r="LQ48" i="11" s="1"/>
  <c r="LQ49" i="11" s="1"/>
  <c r="LQ50" i="11" s="1"/>
  <c r="LQ51" i="11" s="1"/>
  <c r="LQ52" i="11" s="1"/>
  <c r="LQ53" i="11" s="1"/>
  <c r="LQ54" i="11" s="1"/>
  <c r="LQ55" i="11" s="1"/>
  <c r="LQ56" i="11" s="1"/>
  <c r="LQ57" i="11" s="1"/>
  <c r="LQ58" i="11" s="1"/>
  <c r="LQ59" i="11" s="1"/>
  <c r="LQ60" i="11" s="1"/>
  <c r="LQ61" i="11" s="1"/>
  <c r="LQ62" i="11" s="1"/>
  <c r="LQ63" i="11" s="1"/>
  <c r="LP4" i="11"/>
  <c r="LP5" i="11" s="1"/>
  <c r="LP6" i="11" s="1"/>
  <c r="LP7" i="11" s="1"/>
  <c r="LP8" i="11" s="1"/>
  <c r="LP9" i="11" s="1"/>
  <c r="LP10" i="11" s="1"/>
  <c r="LP11" i="11" s="1"/>
  <c r="LP12" i="11" s="1"/>
  <c r="LP13" i="11" s="1"/>
  <c r="LP14" i="11" s="1"/>
  <c r="LP15" i="11" s="1"/>
  <c r="LP16" i="11" s="1"/>
  <c r="LP17" i="11" s="1"/>
  <c r="LP18" i="11" s="1"/>
  <c r="LP19" i="11" s="1"/>
  <c r="LP20" i="11" s="1"/>
  <c r="LP21" i="11" s="1"/>
  <c r="LP22" i="11" s="1"/>
  <c r="LP23" i="11" s="1"/>
  <c r="LP24" i="11" s="1"/>
  <c r="LP25" i="11" s="1"/>
  <c r="LP26" i="11" s="1"/>
  <c r="LP27" i="11" s="1"/>
  <c r="LP28" i="11" s="1"/>
  <c r="LP29" i="11" s="1"/>
  <c r="LP30" i="11" s="1"/>
  <c r="LP31" i="11" s="1"/>
  <c r="LP32" i="11" s="1"/>
  <c r="LP33" i="11" s="1"/>
  <c r="LP34" i="11" s="1"/>
  <c r="LP35" i="11" s="1"/>
  <c r="LP36" i="11" s="1"/>
  <c r="LP37" i="11" s="1"/>
  <c r="LP38" i="11" s="1"/>
  <c r="LP39" i="11" s="1"/>
  <c r="LP40" i="11" s="1"/>
  <c r="LP41" i="11" s="1"/>
  <c r="LP42" i="11" s="1"/>
  <c r="LP43" i="11" s="1"/>
  <c r="LP44" i="11" s="1"/>
  <c r="LP45" i="11" s="1"/>
  <c r="LP46" i="11" s="1"/>
  <c r="LP47" i="11" s="1"/>
  <c r="LP48" i="11" s="1"/>
  <c r="LP49" i="11" s="1"/>
  <c r="LP50" i="11" s="1"/>
  <c r="LP51" i="11" s="1"/>
  <c r="LP52" i="11" s="1"/>
  <c r="LP53" i="11" s="1"/>
  <c r="LP54" i="11" s="1"/>
  <c r="LP55" i="11" s="1"/>
  <c r="LP56" i="11" s="1"/>
  <c r="LP57" i="11" s="1"/>
  <c r="LP58" i="11" s="1"/>
  <c r="LP59" i="11" s="1"/>
  <c r="LP60" i="11" s="1"/>
  <c r="LP61" i="11" s="1"/>
  <c r="LP62" i="11" s="1"/>
  <c r="LP63" i="11" s="1"/>
  <c r="LO4" i="11"/>
  <c r="LO5" i="11" s="1"/>
  <c r="LO6" i="11" s="1"/>
  <c r="LO7" i="11" s="1"/>
  <c r="LO8" i="11" s="1"/>
  <c r="LO9" i="11" s="1"/>
  <c r="LO10" i="11" s="1"/>
  <c r="LO11" i="11" s="1"/>
  <c r="LO12" i="11" s="1"/>
  <c r="LO13" i="11" s="1"/>
  <c r="LO14" i="11" s="1"/>
  <c r="LO15" i="11" s="1"/>
  <c r="LO16" i="11" s="1"/>
  <c r="LO17" i="11" s="1"/>
  <c r="LO18" i="11" s="1"/>
  <c r="LO19" i="11" s="1"/>
  <c r="LO20" i="11" s="1"/>
  <c r="LO21" i="11" s="1"/>
  <c r="LO22" i="11" s="1"/>
  <c r="LO23" i="11" s="1"/>
  <c r="LO24" i="11" s="1"/>
  <c r="LO25" i="11" s="1"/>
  <c r="LO26" i="11" s="1"/>
  <c r="LO27" i="11" s="1"/>
  <c r="LO28" i="11" s="1"/>
  <c r="LO29" i="11" s="1"/>
  <c r="LO30" i="11" s="1"/>
  <c r="LO31" i="11" s="1"/>
  <c r="LO32" i="11" s="1"/>
  <c r="LO33" i="11" s="1"/>
  <c r="LO34" i="11" s="1"/>
  <c r="LO35" i="11" s="1"/>
  <c r="LO36" i="11" s="1"/>
  <c r="LO37" i="11" s="1"/>
  <c r="LO38" i="11" s="1"/>
  <c r="LO39" i="11" s="1"/>
  <c r="LO40" i="11" s="1"/>
  <c r="LO41" i="11" s="1"/>
  <c r="LO42" i="11" s="1"/>
  <c r="LO43" i="11" s="1"/>
  <c r="LO44" i="11" s="1"/>
  <c r="LO45" i="11" s="1"/>
  <c r="LO46" i="11" s="1"/>
  <c r="LO47" i="11" s="1"/>
  <c r="LO48" i="11" s="1"/>
  <c r="LO49" i="11" s="1"/>
  <c r="LO50" i="11" s="1"/>
  <c r="LO51" i="11" s="1"/>
  <c r="LO52" i="11" s="1"/>
  <c r="LO53" i="11" s="1"/>
  <c r="LO54" i="11" s="1"/>
  <c r="LO55" i="11" s="1"/>
  <c r="LO56" i="11" s="1"/>
  <c r="LO57" i="11" s="1"/>
  <c r="LO58" i="11" s="1"/>
  <c r="LO59" i="11" s="1"/>
  <c r="LO60" i="11" s="1"/>
  <c r="LO61" i="11" s="1"/>
  <c r="LO62" i="11" s="1"/>
  <c r="LO63" i="11" s="1"/>
  <c r="LN4" i="11"/>
  <c r="LN5" i="11" s="1"/>
  <c r="LN6" i="11" s="1"/>
  <c r="LN7" i="11" s="1"/>
  <c r="LN8" i="11" s="1"/>
  <c r="LN9" i="11" s="1"/>
  <c r="LN10" i="11" s="1"/>
  <c r="LN11" i="11" s="1"/>
  <c r="LN12" i="11" s="1"/>
  <c r="LN13" i="11" s="1"/>
  <c r="LN14" i="11" s="1"/>
  <c r="LN15" i="11" s="1"/>
  <c r="LN16" i="11" s="1"/>
  <c r="LN17" i="11" s="1"/>
  <c r="LN18" i="11" s="1"/>
  <c r="LN19" i="11" s="1"/>
  <c r="LN20" i="11" s="1"/>
  <c r="LN21" i="11" s="1"/>
  <c r="LN22" i="11" s="1"/>
  <c r="LN23" i="11" s="1"/>
  <c r="LN24" i="11" s="1"/>
  <c r="LN25" i="11" s="1"/>
  <c r="LN26" i="11" s="1"/>
  <c r="LN27" i="11" s="1"/>
  <c r="LN28" i="11" s="1"/>
  <c r="LN29" i="11" s="1"/>
  <c r="LN30" i="11" s="1"/>
  <c r="LN31" i="11" s="1"/>
  <c r="LN32" i="11" s="1"/>
  <c r="LN33" i="11" s="1"/>
  <c r="LN34" i="11" s="1"/>
  <c r="LN35" i="11" s="1"/>
  <c r="LN36" i="11" s="1"/>
  <c r="LN37" i="11" s="1"/>
  <c r="LN38" i="11" s="1"/>
  <c r="LN39" i="11" s="1"/>
  <c r="LN40" i="11" s="1"/>
  <c r="LN41" i="11" s="1"/>
  <c r="LN42" i="11" s="1"/>
  <c r="LN43" i="11" s="1"/>
  <c r="LN44" i="11" s="1"/>
  <c r="LN45" i="11" s="1"/>
  <c r="LN46" i="11" s="1"/>
  <c r="LN47" i="11" s="1"/>
  <c r="LN48" i="11" s="1"/>
  <c r="LN49" i="11" s="1"/>
  <c r="LN50" i="11" s="1"/>
  <c r="LN51" i="11" s="1"/>
  <c r="LN52" i="11" s="1"/>
  <c r="LN53" i="11" s="1"/>
  <c r="LN54" i="11" s="1"/>
  <c r="LN55" i="11" s="1"/>
  <c r="LN56" i="11" s="1"/>
  <c r="LN57" i="11" s="1"/>
  <c r="LN58" i="11" s="1"/>
  <c r="LN59" i="11" s="1"/>
  <c r="LN60" i="11" s="1"/>
  <c r="LN61" i="11" s="1"/>
  <c r="LN62" i="11" s="1"/>
  <c r="LN63" i="11" s="1"/>
  <c r="LM4" i="11"/>
  <c r="LM5" i="11" s="1"/>
  <c r="LM6" i="11" s="1"/>
  <c r="LM7" i="11" s="1"/>
  <c r="LM8" i="11" s="1"/>
  <c r="LM9" i="11" s="1"/>
  <c r="LM10" i="11" s="1"/>
  <c r="LM11" i="11" s="1"/>
  <c r="LM12" i="11" s="1"/>
  <c r="LM13" i="11" s="1"/>
  <c r="LM14" i="11" s="1"/>
  <c r="LM15" i="11" s="1"/>
  <c r="LM16" i="11" s="1"/>
  <c r="LM17" i="11" s="1"/>
  <c r="LM18" i="11" s="1"/>
  <c r="LM19" i="11" s="1"/>
  <c r="LM20" i="11" s="1"/>
  <c r="LM21" i="11" s="1"/>
  <c r="LM22" i="11" s="1"/>
  <c r="LM23" i="11" s="1"/>
  <c r="LM24" i="11" s="1"/>
  <c r="LM25" i="11" s="1"/>
  <c r="LM26" i="11" s="1"/>
  <c r="LM27" i="11" s="1"/>
  <c r="LM28" i="11" s="1"/>
  <c r="LM29" i="11" s="1"/>
  <c r="LM30" i="11" s="1"/>
  <c r="LM31" i="11" s="1"/>
  <c r="LM32" i="11" s="1"/>
  <c r="LM33" i="11" s="1"/>
  <c r="LM34" i="11" s="1"/>
  <c r="LM35" i="11" s="1"/>
  <c r="LM36" i="11" s="1"/>
  <c r="LM37" i="11" s="1"/>
  <c r="LM38" i="11" s="1"/>
  <c r="LM39" i="11" s="1"/>
  <c r="LM40" i="11" s="1"/>
  <c r="LM41" i="11" s="1"/>
  <c r="LM42" i="11" s="1"/>
  <c r="LM43" i="11" s="1"/>
  <c r="LM44" i="11" s="1"/>
  <c r="LM45" i="11" s="1"/>
  <c r="LM46" i="11" s="1"/>
  <c r="LM47" i="11" s="1"/>
  <c r="LM48" i="11" s="1"/>
  <c r="LM49" i="11" s="1"/>
  <c r="LM50" i="11" s="1"/>
  <c r="LM51" i="11" s="1"/>
  <c r="LM52" i="11" s="1"/>
  <c r="LM53" i="11" s="1"/>
  <c r="LM54" i="11" s="1"/>
  <c r="LM55" i="11" s="1"/>
  <c r="LM56" i="11" s="1"/>
  <c r="LM57" i="11" s="1"/>
  <c r="LM58" i="11" s="1"/>
  <c r="LM59" i="11" s="1"/>
  <c r="LM60" i="11" s="1"/>
  <c r="LM61" i="11" s="1"/>
  <c r="LM62" i="11" s="1"/>
  <c r="LM63" i="11" s="1"/>
  <c r="LL4" i="11"/>
  <c r="LL5" i="11" s="1"/>
  <c r="LL6" i="11" s="1"/>
  <c r="LL7" i="11" s="1"/>
  <c r="LL8" i="11" s="1"/>
  <c r="LL9" i="11" s="1"/>
  <c r="LL10" i="11" s="1"/>
  <c r="LL11" i="11" s="1"/>
  <c r="LL12" i="11" s="1"/>
  <c r="LL13" i="11" s="1"/>
  <c r="LL14" i="11" s="1"/>
  <c r="LL15" i="11" s="1"/>
  <c r="LL16" i="11" s="1"/>
  <c r="LL17" i="11" s="1"/>
  <c r="LL18" i="11" s="1"/>
  <c r="LL19" i="11" s="1"/>
  <c r="LL20" i="11" s="1"/>
  <c r="LL21" i="11" s="1"/>
  <c r="LL22" i="11" s="1"/>
  <c r="LL23" i="11" s="1"/>
  <c r="LL24" i="11" s="1"/>
  <c r="LL25" i="11" s="1"/>
  <c r="LL26" i="11" s="1"/>
  <c r="LL27" i="11" s="1"/>
  <c r="LL28" i="11" s="1"/>
  <c r="LL29" i="11" s="1"/>
  <c r="LL30" i="11" s="1"/>
  <c r="LL31" i="11" s="1"/>
  <c r="LL32" i="11" s="1"/>
  <c r="LL33" i="11" s="1"/>
  <c r="LL34" i="11" s="1"/>
  <c r="LL35" i="11" s="1"/>
  <c r="LL36" i="11" s="1"/>
  <c r="LL37" i="11" s="1"/>
  <c r="LL38" i="11" s="1"/>
  <c r="LL39" i="11" s="1"/>
  <c r="LL40" i="11" s="1"/>
  <c r="LL41" i="11" s="1"/>
  <c r="LL42" i="11" s="1"/>
  <c r="LL43" i="11" s="1"/>
  <c r="LL44" i="11" s="1"/>
  <c r="LL45" i="11" s="1"/>
  <c r="LL46" i="11" s="1"/>
  <c r="LL47" i="11" s="1"/>
  <c r="LL48" i="11" s="1"/>
  <c r="LL49" i="11" s="1"/>
  <c r="LL50" i="11" s="1"/>
  <c r="LL51" i="11" s="1"/>
  <c r="LL52" i="11" s="1"/>
  <c r="LL53" i="11" s="1"/>
  <c r="LL54" i="11" s="1"/>
  <c r="LL55" i="11" s="1"/>
  <c r="LL56" i="11" s="1"/>
  <c r="LL57" i="11" s="1"/>
  <c r="LL58" i="11" s="1"/>
  <c r="LL59" i="11" s="1"/>
  <c r="LL60" i="11" s="1"/>
  <c r="LL61" i="11" s="1"/>
  <c r="LL62" i="11" s="1"/>
  <c r="LL63" i="11" s="1"/>
  <c r="LK4" i="11"/>
  <c r="LK5" i="11" s="1"/>
  <c r="LK6" i="11" s="1"/>
  <c r="LK7" i="11" s="1"/>
  <c r="LK8" i="11" s="1"/>
  <c r="LK9" i="11" s="1"/>
  <c r="LK10" i="11" s="1"/>
  <c r="LK11" i="11" s="1"/>
  <c r="LK12" i="11" s="1"/>
  <c r="LK13" i="11" s="1"/>
  <c r="LK14" i="11" s="1"/>
  <c r="LK15" i="11" s="1"/>
  <c r="LK16" i="11" s="1"/>
  <c r="LK17" i="11" s="1"/>
  <c r="LK18" i="11" s="1"/>
  <c r="LK19" i="11" s="1"/>
  <c r="LK20" i="11" s="1"/>
  <c r="LK21" i="11" s="1"/>
  <c r="LK22" i="11" s="1"/>
  <c r="LK23" i="11" s="1"/>
  <c r="LK24" i="11" s="1"/>
  <c r="LK25" i="11" s="1"/>
  <c r="LK26" i="11" s="1"/>
  <c r="LK27" i="11" s="1"/>
  <c r="LK28" i="11" s="1"/>
  <c r="LK29" i="11" s="1"/>
  <c r="LK30" i="11" s="1"/>
  <c r="LK31" i="11" s="1"/>
  <c r="LK32" i="11" s="1"/>
  <c r="LK33" i="11" s="1"/>
  <c r="LK34" i="11" s="1"/>
  <c r="LK35" i="11" s="1"/>
  <c r="LK36" i="11" s="1"/>
  <c r="LK37" i="11" s="1"/>
  <c r="LK38" i="11" s="1"/>
  <c r="LK39" i="11" s="1"/>
  <c r="LK40" i="11" s="1"/>
  <c r="LK41" i="11" s="1"/>
  <c r="LK42" i="11" s="1"/>
  <c r="LK43" i="11" s="1"/>
  <c r="LK44" i="11" s="1"/>
  <c r="LK45" i="11" s="1"/>
  <c r="LK46" i="11" s="1"/>
  <c r="LK47" i="11" s="1"/>
  <c r="LK48" i="11" s="1"/>
  <c r="LK49" i="11" s="1"/>
  <c r="LK50" i="11" s="1"/>
  <c r="LK51" i="11" s="1"/>
  <c r="LK52" i="11" s="1"/>
  <c r="LK53" i="11" s="1"/>
  <c r="LK54" i="11" s="1"/>
  <c r="LK55" i="11" s="1"/>
  <c r="LK56" i="11" s="1"/>
  <c r="LK57" i="11" s="1"/>
  <c r="LK58" i="11" s="1"/>
  <c r="LK59" i="11" s="1"/>
  <c r="LK60" i="11" s="1"/>
  <c r="LK61" i="11" s="1"/>
  <c r="LK62" i="11" s="1"/>
  <c r="LK63" i="11" s="1"/>
  <c r="LJ4" i="11"/>
  <c r="LJ5" i="11" s="1"/>
  <c r="LJ6" i="11" s="1"/>
  <c r="LJ7" i="11" s="1"/>
  <c r="LJ8" i="11" s="1"/>
  <c r="LJ9" i="11" s="1"/>
  <c r="LJ10" i="11" s="1"/>
  <c r="LJ11" i="11" s="1"/>
  <c r="LJ12" i="11" s="1"/>
  <c r="LJ13" i="11" s="1"/>
  <c r="LJ14" i="11" s="1"/>
  <c r="LJ15" i="11" s="1"/>
  <c r="LJ16" i="11" s="1"/>
  <c r="LJ17" i="11" s="1"/>
  <c r="LJ18" i="11" s="1"/>
  <c r="LJ19" i="11" s="1"/>
  <c r="LJ20" i="11" s="1"/>
  <c r="LJ21" i="11" s="1"/>
  <c r="LJ22" i="11" s="1"/>
  <c r="LJ23" i="11" s="1"/>
  <c r="LJ24" i="11" s="1"/>
  <c r="LJ25" i="11" s="1"/>
  <c r="LJ26" i="11" s="1"/>
  <c r="LJ27" i="11" s="1"/>
  <c r="LJ28" i="11" s="1"/>
  <c r="LJ29" i="11" s="1"/>
  <c r="LJ30" i="11" s="1"/>
  <c r="LJ31" i="11" s="1"/>
  <c r="LJ32" i="11" s="1"/>
  <c r="LJ33" i="11" s="1"/>
  <c r="LJ34" i="11" s="1"/>
  <c r="LJ35" i="11" s="1"/>
  <c r="LJ36" i="11" s="1"/>
  <c r="LJ37" i="11" s="1"/>
  <c r="LJ38" i="11" s="1"/>
  <c r="LJ39" i="11" s="1"/>
  <c r="LJ40" i="11" s="1"/>
  <c r="LJ41" i="11" s="1"/>
  <c r="LJ42" i="11" s="1"/>
  <c r="LJ43" i="11" s="1"/>
  <c r="LJ44" i="11" s="1"/>
  <c r="LJ45" i="11" s="1"/>
  <c r="LJ46" i="11" s="1"/>
  <c r="LJ47" i="11" s="1"/>
  <c r="LJ48" i="11" s="1"/>
  <c r="LJ49" i="11" s="1"/>
  <c r="LJ50" i="11" s="1"/>
  <c r="LJ51" i="11" s="1"/>
  <c r="LJ52" i="11" s="1"/>
  <c r="LJ53" i="11" s="1"/>
  <c r="LJ54" i="11" s="1"/>
  <c r="LJ55" i="11" s="1"/>
  <c r="LJ56" i="11" s="1"/>
  <c r="LJ57" i="11" s="1"/>
  <c r="LJ58" i="11" s="1"/>
  <c r="LJ59" i="11" s="1"/>
  <c r="LJ60" i="11" s="1"/>
  <c r="LJ61" i="11" s="1"/>
  <c r="LJ62" i="11" s="1"/>
  <c r="LJ63" i="11" s="1"/>
  <c r="LI4" i="11"/>
  <c r="LI5" i="11" s="1"/>
  <c r="LI6" i="11" s="1"/>
  <c r="LI7" i="11" s="1"/>
  <c r="LI8" i="11" s="1"/>
  <c r="LI9" i="11" s="1"/>
  <c r="LI10" i="11" s="1"/>
  <c r="LI11" i="11" s="1"/>
  <c r="LI12" i="11" s="1"/>
  <c r="LI13" i="11" s="1"/>
  <c r="LI14" i="11" s="1"/>
  <c r="LI15" i="11" s="1"/>
  <c r="LI16" i="11" s="1"/>
  <c r="LI17" i="11" s="1"/>
  <c r="LI18" i="11" s="1"/>
  <c r="LI19" i="11" s="1"/>
  <c r="LI20" i="11" s="1"/>
  <c r="LI21" i="11" s="1"/>
  <c r="LI22" i="11" s="1"/>
  <c r="LI23" i="11" s="1"/>
  <c r="LI24" i="11" s="1"/>
  <c r="LI25" i="11" s="1"/>
  <c r="LI26" i="11" s="1"/>
  <c r="LI27" i="11" s="1"/>
  <c r="LI28" i="11" s="1"/>
  <c r="LI29" i="11" s="1"/>
  <c r="LI30" i="11" s="1"/>
  <c r="LI31" i="11" s="1"/>
  <c r="LI32" i="11" s="1"/>
  <c r="LI33" i="11" s="1"/>
  <c r="LI34" i="11" s="1"/>
  <c r="LI35" i="11" s="1"/>
  <c r="LI36" i="11" s="1"/>
  <c r="LI37" i="11" s="1"/>
  <c r="LI38" i="11" s="1"/>
  <c r="LI39" i="11" s="1"/>
  <c r="LI40" i="11" s="1"/>
  <c r="LI41" i="11" s="1"/>
  <c r="LI42" i="11" s="1"/>
  <c r="LI43" i="11" s="1"/>
  <c r="LI44" i="11" s="1"/>
  <c r="LI45" i="11" s="1"/>
  <c r="LI46" i="11" s="1"/>
  <c r="LI47" i="11" s="1"/>
  <c r="LI48" i="11" s="1"/>
  <c r="LI49" i="11" s="1"/>
  <c r="LI50" i="11" s="1"/>
  <c r="LI51" i="11" s="1"/>
  <c r="LI52" i="11" s="1"/>
  <c r="LI53" i="11" s="1"/>
  <c r="LI54" i="11" s="1"/>
  <c r="LI55" i="11" s="1"/>
  <c r="LI56" i="11" s="1"/>
  <c r="LI57" i="11" s="1"/>
  <c r="LI58" i="11" s="1"/>
  <c r="LI59" i="11" s="1"/>
  <c r="LI60" i="11" s="1"/>
  <c r="LI61" i="11" s="1"/>
  <c r="LI62" i="11" s="1"/>
  <c r="LI63" i="11" s="1"/>
  <c r="LH4" i="11"/>
  <c r="LH5" i="11" s="1"/>
  <c r="LH6" i="11" s="1"/>
  <c r="LH7" i="11" s="1"/>
  <c r="LH8" i="11" s="1"/>
  <c r="LH9" i="11" s="1"/>
  <c r="LH10" i="11" s="1"/>
  <c r="LH11" i="11" s="1"/>
  <c r="LH12" i="11" s="1"/>
  <c r="LH13" i="11" s="1"/>
  <c r="LH14" i="11" s="1"/>
  <c r="LH15" i="11" s="1"/>
  <c r="LH16" i="11" s="1"/>
  <c r="LH17" i="11" s="1"/>
  <c r="LH18" i="11" s="1"/>
  <c r="LH19" i="11" s="1"/>
  <c r="LH20" i="11" s="1"/>
  <c r="LH21" i="11" s="1"/>
  <c r="LH22" i="11" s="1"/>
  <c r="LH23" i="11" s="1"/>
  <c r="LH24" i="11" s="1"/>
  <c r="LH25" i="11" s="1"/>
  <c r="LH26" i="11" s="1"/>
  <c r="LH27" i="11" s="1"/>
  <c r="LH28" i="11" s="1"/>
  <c r="LH29" i="11" s="1"/>
  <c r="LH30" i="11" s="1"/>
  <c r="LH31" i="11" s="1"/>
  <c r="LH32" i="11" s="1"/>
  <c r="LH33" i="11" s="1"/>
  <c r="LH34" i="11" s="1"/>
  <c r="LH35" i="11" s="1"/>
  <c r="LH36" i="11" s="1"/>
  <c r="LH37" i="11" s="1"/>
  <c r="LH38" i="11" s="1"/>
  <c r="LH39" i="11" s="1"/>
  <c r="LH40" i="11" s="1"/>
  <c r="LH41" i="11" s="1"/>
  <c r="LH42" i="11" s="1"/>
  <c r="LH43" i="11" s="1"/>
  <c r="LH44" i="11" s="1"/>
  <c r="LH45" i="11" s="1"/>
  <c r="LH46" i="11" s="1"/>
  <c r="LH47" i="11" s="1"/>
  <c r="LH48" i="11" s="1"/>
  <c r="LH49" i="11" s="1"/>
  <c r="LH50" i="11" s="1"/>
  <c r="LH51" i="11" s="1"/>
  <c r="LH52" i="11" s="1"/>
  <c r="LH53" i="11" s="1"/>
  <c r="LH54" i="11" s="1"/>
  <c r="LH55" i="11" s="1"/>
  <c r="LH56" i="11" s="1"/>
  <c r="LH57" i="11" s="1"/>
  <c r="LH58" i="11" s="1"/>
  <c r="LH59" i="11" s="1"/>
  <c r="LH60" i="11" s="1"/>
  <c r="LH61" i="11" s="1"/>
  <c r="LH62" i="11" s="1"/>
  <c r="LH63" i="11" s="1"/>
  <c r="LG4" i="11"/>
  <c r="LG5" i="11" s="1"/>
  <c r="LG6" i="11" s="1"/>
  <c r="LG7" i="11" s="1"/>
  <c r="LG8" i="11" s="1"/>
  <c r="LG9" i="11" s="1"/>
  <c r="LG10" i="11" s="1"/>
  <c r="LG11" i="11" s="1"/>
  <c r="LG12" i="11" s="1"/>
  <c r="LG13" i="11" s="1"/>
  <c r="LG14" i="11" s="1"/>
  <c r="LG15" i="11" s="1"/>
  <c r="LG16" i="11" s="1"/>
  <c r="LG17" i="11" s="1"/>
  <c r="LG18" i="11" s="1"/>
  <c r="LG19" i="11" s="1"/>
  <c r="LG20" i="11" s="1"/>
  <c r="LG21" i="11" s="1"/>
  <c r="LG22" i="11" s="1"/>
  <c r="LG23" i="11" s="1"/>
  <c r="LG24" i="11" s="1"/>
  <c r="LG25" i="11" s="1"/>
  <c r="LG26" i="11" s="1"/>
  <c r="LG27" i="11" s="1"/>
  <c r="LG28" i="11" s="1"/>
  <c r="LG29" i="11" s="1"/>
  <c r="LG30" i="11" s="1"/>
  <c r="LG31" i="11" s="1"/>
  <c r="LG32" i="11" s="1"/>
  <c r="LG33" i="11" s="1"/>
  <c r="LG34" i="11" s="1"/>
  <c r="LG35" i="11" s="1"/>
  <c r="LG36" i="11" s="1"/>
  <c r="LG37" i="11" s="1"/>
  <c r="LG38" i="11" s="1"/>
  <c r="LG39" i="11" s="1"/>
  <c r="LG40" i="11" s="1"/>
  <c r="LG41" i="11" s="1"/>
  <c r="LG42" i="11" s="1"/>
  <c r="LG43" i="11" s="1"/>
  <c r="LG44" i="11" s="1"/>
  <c r="LG45" i="11" s="1"/>
  <c r="LG46" i="11" s="1"/>
  <c r="LG47" i="11" s="1"/>
  <c r="LG48" i="11" s="1"/>
  <c r="LG49" i="11" s="1"/>
  <c r="LG50" i="11" s="1"/>
  <c r="LG51" i="11" s="1"/>
  <c r="LG52" i="11" s="1"/>
  <c r="LG53" i="11" s="1"/>
  <c r="LG54" i="11" s="1"/>
  <c r="LG55" i="11" s="1"/>
  <c r="LG56" i="11" s="1"/>
  <c r="LG57" i="11" s="1"/>
  <c r="LG58" i="11" s="1"/>
  <c r="LG59" i="11" s="1"/>
  <c r="LG60" i="11" s="1"/>
  <c r="LG61" i="11" s="1"/>
  <c r="LG62" i="11" s="1"/>
  <c r="LG63" i="11" s="1"/>
  <c r="LF4" i="11"/>
  <c r="LF5" i="11" s="1"/>
  <c r="LF6" i="11" s="1"/>
  <c r="LF7" i="11" s="1"/>
  <c r="LF8" i="11" s="1"/>
  <c r="LF9" i="11" s="1"/>
  <c r="LF10" i="11" s="1"/>
  <c r="LF11" i="11" s="1"/>
  <c r="LF12" i="11" s="1"/>
  <c r="LF13" i="11" s="1"/>
  <c r="LF14" i="11" s="1"/>
  <c r="LF15" i="11" s="1"/>
  <c r="LF16" i="11" s="1"/>
  <c r="LF17" i="11" s="1"/>
  <c r="LF18" i="11" s="1"/>
  <c r="LF19" i="11" s="1"/>
  <c r="LF20" i="11" s="1"/>
  <c r="LF21" i="11" s="1"/>
  <c r="LF22" i="11" s="1"/>
  <c r="LF23" i="11" s="1"/>
  <c r="LF24" i="11" s="1"/>
  <c r="LF25" i="11" s="1"/>
  <c r="LF26" i="11" s="1"/>
  <c r="LF27" i="11" s="1"/>
  <c r="LF28" i="11" s="1"/>
  <c r="LF29" i="11" s="1"/>
  <c r="LF30" i="11" s="1"/>
  <c r="LF31" i="11" s="1"/>
  <c r="LF32" i="11" s="1"/>
  <c r="LF33" i="11" s="1"/>
  <c r="LF34" i="11" s="1"/>
  <c r="LF35" i="11" s="1"/>
  <c r="LF36" i="11" s="1"/>
  <c r="LF37" i="11" s="1"/>
  <c r="LF38" i="11" s="1"/>
  <c r="LF39" i="11" s="1"/>
  <c r="LF40" i="11" s="1"/>
  <c r="LF41" i="11" s="1"/>
  <c r="LF42" i="11" s="1"/>
  <c r="LF43" i="11" s="1"/>
  <c r="LF44" i="11" s="1"/>
  <c r="LF45" i="11" s="1"/>
  <c r="LF46" i="11" s="1"/>
  <c r="LF47" i="11" s="1"/>
  <c r="LF48" i="11" s="1"/>
  <c r="LF49" i="11" s="1"/>
  <c r="LF50" i="11" s="1"/>
  <c r="LF51" i="11" s="1"/>
  <c r="LF52" i="11" s="1"/>
  <c r="LF53" i="11" s="1"/>
  <c r="LF54" i="11" s="1"/>
  <c r="LF55" i="11" s="1"/>
  <c r="LF56" i="11" s="1"/>
  <c r="LF57" i="11" s="1"/>
  <c r="LF58" i="11" s="1"/>
  <c r="LF59" i="11" s="1"/>
  <c r="LF60" i="11" s="1"/>
  <c r="LF61" i="11" s="1"/>
  <c r="LF62" i="11" s="1"/>
  <c r="LF63" i="11" s="1"/>
  <c r="LE4" i="11"/>
  <c r="LE5" i="11" s="1"/>
  <c r="LE6" i="11" s="1"/>
  <c r="LE7" i="11" s="1"/>
  <c r="LE8" i="11" s="1"/>
  <c r="LE9" i="11" s="1"/>
  <c r="LE10" i="11" s="1"/>
  <c r="LE11" i="11" s="1"/>
  <c r="LE12" i="11" s="1"/>
  <c r="LE13" i="11" s="1"/>
  <c r="LE14" i="11" s="1"/>
  <c r="LE15" i="11" s="1"/>
  <c r="LE16" i="11" s="1"/>
  <c r="LE17" i="11" s="1"/>
  <c r="LE18" i="11" s="1"/>
  <c r="LE19" i="11" s="1"/>
  <c r="LE20" i="11" s="1"/>
  <c r="LE21" i="11" s="1"/>
  <c r="LE22" i="11" s="1"/>
  <c r="LE23" i="11" s="1"/>
  <c r="LE24" i="11" s="1"/>
  <c r="LE25" i="11" s="1"/>
  <c r="LE26" i="11" s="1"/>
  <c r="LE27" i="11" s="1"/>
  <c r="LE28" i="11" s="1"/>
  <c r="LE29" i="11" s="1"/>
  <c r="LE30" i="11" s="1"/>
  <c r="LE31" i="11" s="1"/>
  <c r="LE32" i="11" s="1"/>
  <c r="LE33" i="11" s="1"/>
  <c r="LE34" i="11" s="1"/>
  <c r="LE35" i="11" s="1"/>
  <c r="LE36" i="11" s="1"/>
  <c r="LE37" i="11" s="1"/>
  <c r="LE38" i="11" s="1"/>
  <c r="LE39" i="11" s="1"/>
  <c r="LE40" i="11" s="1"/>
  <c r="LE41" i="11" s="1"/>
  <c r="LE42" i="11" s="1"/>
  <c r="LE43" i="11" s="1"/>
  <c r="LE44" i="11" s="1"/>
  <c r="LE45" i="11" s="1"/>
  <c r="LE46" i="11" s="1"/>
  <c r="LE47" i="11" s="1"/>
  <c r="LE48" i="11" s="1"/>
  <c r="LE49" i="11" s="1"/>
  <c r="LE50" i="11" s="1"/>
  <c r="LE51" i="11" s="1"/>
  <c r="LE52" i="11" s="1"/>
  <c r="LE53" i="11" s="1"/>
  <c r="LE54" i="11" s="1"/>
  <c r="LE55" i="11" s="1"/>
  <c r="LE56" i="11" s="1"/>
  <c r="LE57" i="11" s="1"/>
  <c r="LE58" i="11" s="1"/>
  <c r="LE59" i="11" s="1"/>
  <c r="LE60" i="11" s="1"/>
  <c r="LE61" i="11" s="1"/>
  <c r="LE62" i="11" s="1"/>
  <c r="LE63" i="11" s="1"/>
  <c r="LD4" i="11"/>
  <c r="LD5" i="11" s="1"/>
  <c r="LD6" i="11" s="1"/>
  <c r="LD7" i="11" s="1"/>
  <c r="LD8" i="11" s="1"/>
  <c r="LD9" i="11" s="1"/>
  <c r="LD10" i="11" s="1"/>
  <c r="LD11" i="11" s="1"/>
  <c r="LD12" i="11" s="1"/>
  <c r="LD13" i="11" s="1"/>
  <c r="LD14" i="11" s="1"/>
  <c r="LD15" i="11" s="1"/>
  <c r="LD16" i="11" s="1"/>
  <c r="LD17" i="11" s="1"/>
  <c r="LD18" i="11" s="1"/>
  <c r="LD19" i="11" s="1"/>
  <c r="LD20" i="11" s="1"/>
  <c r="LD21" i="11" s="1"/>
  <c r="LD22" i="11" s="1"/>
  <c r="LD23" i="11" s="1"/>
  <c r="LD24" i="11" s="1"/>
  <c r="LD25" i="11" s="1"/>
  <c r="LD26" i="11" s="1"/>
  <c r="LD27" i="11" s="1"/>
  <c r="LD28" i="11" s="1"/>
  <c r="LD29" i="11" s="1"/>
  <c r="LD30" i="11" s="1"/>
  <c r="LD31" i="11" s="1"/>
  <c r="LD32" i="11" s="1"/>
  <c r="LD33" i="11" s="1"/>
  <c r="LD34" i="11" s="1"/>
  <c r="LD35" i="11" s="1"/>
  <c r="LD36" i="11" s="1"/>
  <c r="LD37" i="11" s="1"/>
  <c r="LD38" i="11" s="1"/>
  <c r="LD39" i="11" s="1"/>
  <c r="LD40" i="11" s="1"/>
  <c r="LD41" i="11" s="1"/>
  <c r="LD42" i="11" s="1"/>
  <c r="LD43" i="11" s="1"/>
  <c r="LD44" i="11" s="1"/>
  <c r="LD45" i="11" s="1"/>
  <c r="LD46" i="11" s="1"/>
  <c r="LD47" i="11" s="1"/>
  <c r="LD48" i="11" s="1"/>
  <c r="LD49" i="11" s="1"/>
  <c r="LD50" i="11" s="1"/>
  <c r="LD51" i="11" s="1"/>
  <c r="LD52" i="11" s="1"/>
  <c r="LD53" i="11" s="1"/>
  <c r="LD54" i="11" s="1"/>
  <c r="LD55" i="11" s="1"/>
  <c r="LD56" i="11" s="1"/>
  <c r="LD57" i="11" s="1"/>
  <c r="LD58" i="11" s="1"/>
  <c r="LD59" i="11" s="1"/>
  <c r="LD60" i="11" s="1"/>
  <c r="LD61" i="11" s="1"/>
  <c r="LD62" i="11" s="1"/>
  <c r="LD63" i="11" s="1"/>
  <c r="LC4" i="11"/>
  <c r="LC5" i="11" s="1"/>
  <c r="LC6" i="11" s="1"/>
  <c r="LC7" i="11" s="1"/>
  <c r="LC8" i="11" s="1"/>
  <c r="LC9" i="11" s="1"/>
  <c r="LC10" i="11" s="1"/>
  <c r="LC11" i="11" s="1"/>
  <c r="LC12" i="11" s="1"/>
  <c r="LC13" i="11" s="1"/>
  <c r="LC14" i="11" s="1"/>
  <c r="LC15" i="11" s="1"/>
  <c r="LC16" i="11" s="1"/>
  <c r="LC17" i="11" s="1"/>
  <c r="LC18" i="11" s="1"/>
  <c r="LC19" i="11" s="1"/>
  <c r="LC20" i="11" s="1"/>
  <c r="LC21" i="11" s="1"/>
  <c r="LC22" i="11" s="1"/>
  <c r="LC23" i="11" s="1"/>
  <c r="LC24" i="11" s="1"/>
  <c r="LC25" i="11" s="1"/>
  <c r="LC26" i="11" s="1"/>
  <c r="LC27" i="11" s="1"/>
  <c r="LC28" i="11" s="1"/>
  <c r="LC29" i="11" s="1"/>
  <c r="LC30" i="11" s="1"/>
  <c r="LC31" i="11" s="1"/>
  <c r="LC32" i="11" s="1"/>
  <c r="LC33" i="11" s="1"/>
  <c r="LC34" i="11" s="1"/>
  <c r="LC35" i="11" s="1"/>
  <c r="LC36" i="11" s="1"/>
  <c r="LC37" i="11" s="1"/>
  <c r="LC38" i="11" s="1"/>
  <c r="LC39" i="11" s="1"/>
  <c r="LC40" i="11" s="1"/>
  <c r="LC41" i="11" s="1"/>
  <c r="LC42" i="11" s="1"/>
  <c r="LC43" i="11" s="1"/>
  <c r="LC44" i="11" s="1"/>
  <c r="LC45" i="11" s="1"/>
  <c r="LC46" i="11" s="1"/>
  <c r="LC47" i="11" s="1"/>
  <c r="LC48" i="11" s="1"/>
  <c r="LC49" i="11" s="1"/>
  <c r="LC50" i="11" s="1"/>
  <c r="LC51" i="11" s="1"/>
  <c r="LC52" i="11" s="1"/>
  <c r="LC53" i="11" s="1"/>
  <c r="LC54" i="11" s="1"/>
  <c r="LC55" i="11" s="1"/>
  <c r="LC56" i="11" s="1"/>
  <c r="LC57" i="11" s="1"/>
  <c r="LC58" i="11" s="1"/>
  <c r="LC59" i="11" s="1"/>
  <c r="LC60" i="11" s="1"/>
  <c r="LC61" i="11" s="1"/>
  <c r="LC62" i="11" s="1"/>
  <c r="LC63" i="11" s="1"/>
  <c r="LB4" i="11"/>
  <c r="LB5" i="11" s="1"/>
  <c r="LB6" i="11" s="1"/>
  <c r="LB7" i="11" s="1"/>
  <c r="LB8" i="11" s="1"/>
  <c r="LB9" i="11" s="1"/>
  <c r="LB10" i="11" s="1"/>
  <c r="LB11" i="11" s="1"/>
  <c r="LB12" i="11" s="1"/>
  <c r="LB13" i="11" s="1"/>
  <c r="LB14" i="11" s="1"/>
  <c r="LB15" i="11" s="1"/>
  <c r="LB16" i="11" s="1"/>
  <c r="LB17" i="11" s="1"/>
  <c r="LB18" i="11" s="1"/>
  <c r="LB19" i="11" s="1"/>
  <c r="LB20" i="11" s="1"/>
  <c r="LB21" i="11" s="1"/>
  <c r="LB22" i="11" s="1"/>
  <c r="LB23" i="11" s="1"/>
  <c r="LB24" i="11" s="1"/>
  <c r="LB25" i="11" s="1"/>
  <c r="LB26" i="11" s="1"/>
  <c r="LB27" i="11" s="1"/>
  <c r="LB28" i="11" s="1"/>
  <c r="LB29" i="11" s="1"/>
  <c r="LB30" i="11" s="1"/>
  <c r="LB31" i="11" s="1"/>
  <c r="LB32" i="11" s="1"/>
  <c r="LB33" i="11" s="1"/>
  <c r="LB34" i="11" s="1"/>
  <c r="LB35" i="11" s="1"/>
  <c r="LB36" i="11" s="1"/>
  <c r="LB37" i="11" s="1"/>
  <c r="LB38" i="11" s="1"/>
  <c r="LB39" i="11" s="1"/>
  <c r="LB40" i="11" s="1"/>
  <c r="LB41" i="11" s="1"/>
  <c r="LB42" i="11" s="1"/>
  <c r="LB43" i="11" s="1"/>
  <c r="LB44" i="11" s="1"/>
  <c r="LB45" i="11" s="1"/>
  <c r="LB46" i="11" s="1"/>
  <c r="LB47" i="11" s="1"/>
  <c r="LB48" i="11" s="1"/>
  <c r="LB49" i="11" s="1"/>
  <c r="LB50" i="11" s="1"/>
  <c r="LB51" i="11" s="1"/>
  <c r="LB52" i="11" s="1"/>
  <c r="LB53" i="11" s="1"/>
  <c r="LB54" i="11" s="1"/>
  <c r="LB55" i="11" s="1"/>
  <c r="LB56" i="11" s="1"/>
  <c r="LB57" i="11" s="1"/>
  <c r="LB58" i="11" s="1"/>
  <c r="LB59" i="11" s="1"/>
  <c r="LB60" i="11" s="1"/>
  <c r="LB61" i="11" s="1"/>
  <c r="LB62" i="11" s="1"/>
  <c r="LB63" i="11" s="1"/>
  <c r="LA4" i="11"/>
  <c r="LA5" i="11" s="1"/>
  <c r="LA6" i="11" s="1"/>
  <c r="LA7" i="11" s="1"/>
  <c r="LA8" i="11" s="1"/>
  <c r="LA9" i="11" s="1"/>
  <c r="LA10" i="11" s="1"/>
  <c r="LA11" i="11" s="1"/>
  <c r="LA12" i="11" s="1"/>
  <c r="LA13" i="11" s="1"/>
  <c r="LA14" i="11" s="1"/>
  <c r="LA15" i="11" s="1"/>
  <c r="LA16" i="11" s="1"/>
  <c r="LA17" i="11" s="1"/>
  <c r="LA18" i="11" s="1"/>
  <c r="LA19" i="11" s="1"/>
  <c r="LA20" i="11" s="1"/>
  <c r="LA21" i="11" s="1"/>
  <c r="LA22" i="11" s="1"/>
  <c r="LA23" i="11" s="1"/>
  <c r="LA24" i="11" s="1"/>
  <c r="LA25" i="11" s="1"/>
  <c r="LA26" i="11" s="1"/>
  <c r="LA27" i="11" s="1"/>
  <c r="LA28" i="11" s="1"/>
  <c r="LA29" i="11" s="1"/>
  <c r="LA30" i="11" s="1"/>
  <c r="LA31" i="11" s="1"/>
  <c r="LA32" i="11" s="1"/>
  <c r="LA33" i="11" s="1"/>
  <c r="LA34" i="11" s="1"/>
  <c r="LA35" i="11" s="1"/>
  <c r="LA36" i="11" s="1"/>
  <c r="LA37" i="11" s="1"/>
  <c r="LA38" i="11" s="1"/>
  <c r="LA39" i="11" s="1"/>
  <c r="LA40" i="11" s="1"/>
  <c r="LA41" i="11" s="1"/>
  <c r="LA42" i="11" s="1"/>
  <c r="LA43" i="11" s="1"/>
  <c r="LA44" i="11" s="1"/>
  <c r="LA45" i="11" s="1"/>
  <c r="LA46" i="11" s="1"/>
  <c r="LA47" i="11" s="1"/>
  <c r="LA48" i="11" s="1"/>
  <c r="LA49" i="11" s="1"/>
  <c r="LA50" i="11" s="1"/>
  <c r="LA51" i="11" s="1"/>
  <c r="LA52" i="11" s="1"/>
  <c r="LA53" i="11" s="1"/>
  <c r="LA54" i="11" s="1"/>
  <c r="LA55" i="11" s="1"/>
  <c r="LA56" i="11" s="1"/>
  <c r="LA57" i="11" s="1"/>
  <c r="LA58" i="11" s="1"/>
  <c r="LA59" i="11" s="1"/>
  <c r="LA60" i="11" s="1"/>
  <c r="LA61" i="11" s="1"/>
  <c r="LA62" i="11" s="1"/>
  <c r="LA63" i="11" s="1"/>
  <c r="KY4" i="11"/>
  <c r="KY5" i="11" s="1"/>
  <c r="KY6" i="11" s="1"/>
  <c r="KY7" i="11" s="1"/>
  <c r="KY8" i="11" s="1"/>
  <c r="KY9" i="11" s="1"/>
  <c r="KY10" i="11" s="1"/>
  <c r="KY11" i="11" s="1"/>
  <c r="KY12" i="11" s="1"/>
  <c r="KY13" i="11" s="1"/>
  <c r="KY14" i="11" s="1"/>
  <c r="KY15" i="11" s="1"/>
  <c r="KY16" i="11" s="1"/>
  <c r="KY17" i="11" s="1"/>
  <c r="KY18" i="11" s="1"/>
  <c r="KY19" i="11" s="1"/>
  <c r="KY20" i="11" s="1"/>
  <c r="KY21" i="11" s="1"/>
  <c r="KY22" i="11" s="1"/>
  <c r="KY23" i="11" s="1"/>
  <c r="KY24" i="11" s="1"/>
  <c r="KY25" i="11" s="1"/>
  <c r="KY26" i="11" s="1"/>
  <c r="KY27" i="11" s="1"/>
  <c r="KY28" i="11" s="1"/>
  <c r="KY29" i="11" s="1"/>
  <c r="KY30" i="11" s="1"/>
  <c r="KY31" i="11" s="1"/>
  <c r="KY32" i="11" s="1"/>
  <c r="KY33" i="11" s="1"/>
  <c r="KY34" i="11" s="1"/>
  <c r="KY35" i="11" s="1"/>
  <c r="KY36" i="11" s="1"/>
  <c r="KY37" i="11" s="1"/>
  <c r="KY38" i="11" s="1"/>
  <c r="KY39" i="11" s="1"/>
  <c r="KY40" i="11" s="1"/>
  <c r="KY41" i="11" s="1"/>
  <c r="KY42" i="11" s="1"/>
  <c r="KY43" i="11" s="1"/>
  <c r="KY44" i="11" s="1"/>
  <c r="KY45" i="11" s="1"/>
  <c r="KY46" i="11" s="1"/>
  <c r="KY47" i="11" s="1"/>
  <c r="KY48" i="11" s="1"/>
  <c r="KY49" i="11" s="1"/>
  <c r="KY50" i="11" s="1"/>
  <c r="KY51" i="11" s="1"/>
  <c r="KY52" i="11" s="1"/>
  <c r="KY53" i="11" s="1"/>
  <c r="KY54" i="11" s="1"/>
  <c r="KY55" i="11" s="1"/>
  <c r="KY56" i="11" s="1"/>
  <c r="KY57" i="11" s="1"/>
  <c r="KY58" i="11" s="1"/>
  <c r="KY59" i="11" s="1"/>
  <c r="KY60" i="11" s="1"/>
  <c r="KY61" i="11" s="1"/>
  <c r="KY62" i="11" s="1"/>
  <c r="KY63" i="11" s="1"/>
  <c r="KX4" i="11"/>
  <c r="KX5" i="11" s="1"/>
  <c r="KX6" i="11" s="1"/>
  <c r="KX7" i="11" s="1"/>
  <c r="KX8" i="11" s="1"/>
  <c r="KX9" i="11" s="1"/>
  <c r="KX10" i="11" s="1"/>
  <c r="KX11" i="11" s="1"/>
  <c r="KX12" i="11" s="1"/>
  <c r="KX13" i="11" s="1"/>
  <c r="KX14" i="11" s="1"/>
  <c r="KX15" i="11" s="1"/>
  <c r="KX16" i="11" s="1"/>
  <c r="KX17" i="11" s="1"/>
  <c r="KX18" i="11" s="1"/>
  <c r="KX19" i="11" s="1"/>
  <c r="KX20" i="11" s="1"/>
  <c r="KX21" i="11" s="1"/>
  <c r="KX22" i="11" s="1"/>
  <c r="KX23" i="11" s="1"/>
  <c r="KX24" i="11" s="1"/>
  <c r="KX25" i="11" s="1"/>
  <c r="KX26" i="11" s="1"/>
  <c r="KX27" i="11" s="1"/>
  <c r="KX28" i="11" s="1"/>
  <c r="KX29" i="11" s="1"/>
  <c r="KX30" i="11" s="1"/>
  <c r="KX31" i="11" s="1"/>
  <c r="KX32" i="11" s="1"/>
  <c r="KX33" i="11" s="1"/>
  <c r="KX34" i="11" s="1"/>
  <c r="KX35" i="11" s="1"/>
  <c r="KX36" i="11" s="1"/>
  <c r="KX37" i="11" s="1"/>
  <c r="KX38" i="11" s="1"/>
  <c r="KX39" i="11" s="1"/>
  <c r="KX40" i="11" s="1"/>
  <c r="KX41" i="11" s="1"/>
  <c r="KX42" i="11" s="1"/>
  <c r="KX43" i="11" s="1"/>
  <c r="KX44" i="11" s="1"/>
  <c r="KX45" i="11" s="1"/>
  <c r="KX46" i="11" s="1"/>
  <c r="KX47" i="11" s="1"/>
  <c r="KX48" i="11" s="1"/>
  <c r="KX49" i="11" s="1"/>
  <c r="KX50" i="11" s="1"/>
  <c r="KX51" i="11" s="1"/>
  <c r="KX52" i="11" s="1"/>
  <c r="KX53" i="11" s="1"/>
  <c r="KX54" i="11" s="1"/>
  <c r="KX55" i="11" s="1"/>
  <c r="KX56" i="11" s="1"/>
  <c r="KX57" i="11" s="1"/>
  <c r="KX58" i="11" s="1"/>
  <c r="KX59" i="11" s="1"/>
  <c r="KX60" i="11" s="1"/>
  <c r="KX61" i="11" s="1"/>
  <c r="KX62" i="11" s="1"/>
  <c r="KX63" i="11" s="1"/>
  <c r="KW4" i="11"/>
  <c r="KW5" i="11" s="1"/>
  <c r="KW6" i="11" s="1"/>
  <c r="KW7" i="11" s="1"/>
  <c r="KW8" i="11" s="1"/>
  <c r="KW9" i="11" s="1"/>
  <c r="KW10" i="11" s="1"/>
  <c r="KW11" i="11" s="1"/>
  <c r="KW12" i="11" s="1"/>
  <c r="KW13" i="11" s="1"/>
  <c r="KW14" i="11" s="1"/>
  <c r="KW15" i="11" s="1"/>
  <c r="KW16" i="11" s="1"/>
  <c r="KW17" i="11" s="1"/>
  <c r="KW18" i="11" s="1"/>
  <c r="KW19" i="11" s="1"/>
  <c r="KW20" i="11" s="1"/>
  <c r="KW21" i="11" s="1"/>
  <c r="KW22" i="11" s="1"/>
  <c r="KW23" i="11" s="1"/>
  <c r="KW24" i="11" s="1"/>
  <c r="KW25" i="11" s="1"/>
  <c r="KW26" i="11" s="1"/>
  <c r="KW27" i="11" s="1"/>
  <c r="KW28" i="11" s="1"/>
  <c r="KW29" i="11" s="1"/>
  <c r="KW30" i="11" s="1"/>
  <c r="KW31" i="11" s="1"/>
  <c r="KW32" i="11" s="1"/>
  <c r="KW33" i="11" s="1"/>
  <c r="KW34" i="11" s="1"/>
  <c r="KW35" i="11" s="1"/>
  <c r="KW36" i="11" s="1"/>
  <c r="KW37" i="11" s="1"/>
  <c r="KW38" i="11" s="1"/>
  <c r="KW39" i="11" s="1"/>
  <c r="KW40" i="11" s="1"/>
  <c r="KW41" i="11" s="1"/>
  <c r="KW42" i="11" s="1"/>
  <c r="KW43" i="11" s="1"/>
  <c r="KW44" i="11" s="1"/>
  <c r="KW45" i="11" s="1"/>
  <c r="KW46" i="11" s="1"/>
  <c r="KW47" i="11" s="1"/>
  <c r="KW48" i="11" s="1"/>
  <c r="KW49" i="11" s="1"/>
  <c r="KW50" i="11" s="1"/>
  <c r="KW51" i="11" s="1"/>
  <c r="KW52" i="11" s="1"/>
  <c r="KW53" i="11" s="1"/>
  <c r="KW54" i="11" s="1"/>
  <c r="KW55" i="11" s="1"/>
  <c r="KW56" i="11" s="1"/>
  <c r="KW57" i="11" s="1"/>
  <c r="KW58" i="11" s="1"/>
  <c r="KW59" i="11" s="1"/>
  <c r="KW60" i="11" s="1"/>
  <c r="KW61" i="11" s="1"/>
  <c r="KW62" i="11" s="1"/>
  <c r="KW63" i="11" s="1"/>
  <c r="KV4" i="11"/>
  <c r="KV5" i="11" s="1"/>
  <c r="KV6" i="11" s="1"/>
  <c r="KV7" i="11" s="1"/>
  <c r="KV8" i="11" s="1"/>
  <c r="KV9" i="11" s="1"/>
  <c r="KV10" i="11" s="1"/>
  <c r="KV11" i="11" s="1"/>
  <c r="KV12" i="11" s="1"/>
  <c r="KV13" i="11" s="1"/>
  <c r="KV14" i="11" s="1"/>
  <c r="KV15" i="11" s="1"/>
  <c r="KV16" i="11" s="1"/>
  <c r="KV17" i="11" s="1"/>
  <c r="KV18" i="11" s="1"/>
  <c r="KV19" i="11" s="1"/>
  <c r="KV20" i="11" s="1"/>
  <c r="KV21" i="11" s="1"/>
  <c r="KV22" i="11" s="1"/>
  <c r="KV23" i="11" s="1"/>
  <c r="KV24" i="11" s="1"/>
  <c r="KV25" i="11" s="1"/>
  <c r="KV26" i="11" s="1"/>
  <c r="KV27" i="11" s="1"/>
  <c r="KV28" i="11" s="1"/>
  <c r="KV29" i="11" s="1"/>
  <c r="KV30" i="11" s="1"/>
  <c r="KV31" i="11" s="1"/>
  <c r="KV32" i="11" s="1"/>
  <c r="KV33" i="11" s="1"/>
  <c r="KV34" i="11" s="1"/>
  <c r="KV35" i="11" s="1"/>
  <c r="KV36" i="11" s="1"/>
  <c r="KV37" i="11" s="1"/>
  <c r="KV38" i="11" s="1"/>
  <c r="KV39" i="11" s="1"/>
  <c r="KV40" i="11" s="1"/>
  <c r="KV41" i="11" s="1"/>
  <c r="KV42" i="11" s="1"/>
  <c r="KV43" i="11" s="1"/>
  <c r="KV44" i="11" s="1"/>
  <c r="KV45" i="11" s="1"/>
  <c r="KV46" i="11" s="1"/>
  <c r="KV47" i="11" s="1"/>
  <c r="KV48" i="11" s="1"/>
  <c r="KV49" i="11" s="1"/>
  <c r="KV50" i="11" s="1"/>
  <c r="KV51" i="11" s="1"/>
  <c r="KV52" i="11" s="1"/>
  <c r="KV53" i="11" s="1"/>
  <c r="KV54" i="11" s="1"/>
  <c r="KV55" i="11" s="1"/>
  <c r="KV56" i="11" s="1"/>
  <c r="KV57" i="11" s="1"/>
  <c r="KV58" i="11" s="1"/>
  <c r="KV59" i="11" s="1"/>
  <c r="KV60" i="11" s="1"/>
  <c r="KV61" i="11" s="1"/>
  <c r="KV62" i="11" s="1"/>
  <c r="KV63" i="11" s="1"/>
  <c r="KU4" i="11"/>
  <c r="KU5" i="11" s="1"/>
  <c r="KU6" i="11" s="1"/>
  <c r="KU7" i="11" s="1"/>
  <c r="KU8" i="11" s="1"/>
  <c r="KU9" i="11" s="1"/>
  <c r="KU10" i="11" s="1"/>
  <c r="KU11" i="11" s="1"/>
  <c r="KU12" i="11" s="1"/>
  <c r="KU13" i="11" s="1"/>
  <c r="KU14" i="11" s="1"/>
  <c r="KU15" i="11" s="1"/>
  <c r="KU16" i="11" s="1"/>
  <c r="KU17" i="11" s="1"/>
  <c r="KU18" i="11" s="1"/>
  <c r="KU19" i="11" s="1"/>
  <c r="KU20" i="11" s="1"/>
  <c r="KU21" i="11" s="1"/>
  <c r="KU22" i="11" s="1"/>
  <c r="KU23" i="11" s="1"/>
  <c r="KU24" i="11" s="1"/>
  <c r="KU25" i="11" s="1"/>
  <c r="KU26" i="11" s="1"/>
  <c r="KU27" i="11" s="1"/>
  <c r="KU28" i="11" s="1"/>
  <c r="KU29" i="11" s="1"/>
  <c r="KU30" i="11" s="1"/>
  <c r="KU31" i="11" s="1"/>
  <c r="KU32" i="11" s="1"/>
  <c r="KU33" i="11" s="1"/>
  <c r="KU34" i="11" s="1"/>
  <c r="KU35" i="11" s="1"/>
  <c r="KU36" i="11" s="1"/>
  <c r="KU37" i="11" s="1"/>
  <c r="KU38" i="11" s="1"/>
  <c r="KU39" i="11" s="1"/>
  <c r="KU40" i="11" s="1"/>
  <c r="KU41" i="11" s="1"/>
  <c r="KU42" i="11" s="1"/>
  <c r="KU43" i="11" s="1"/>
  <c r="KU44" i="11" s="1"/>
  <c r="KU45" i="11" s="1"/>
  <c r="KU46" i="11" s="1"/>
  <c r="KU47" i="11" s="1"/>
  <c r="KU48" i="11" s="1"/>
  <c r="KU49" i="11" s="1"/>
  <c r="KU50" i="11" s="1"/>
  <c r="KU51" i="11" s="1"/>
  <c r="KU52" i="11" s="1"/>
  <c r="KU53" i="11" s="1"/>
  <c r="KU54" i="11" s="1"/>
  <c r="KU55" i="11" s="1"/>
  <c r="KU56" i="11" s="1"/>
  <c r="KU57" i="11" s="1"/>
  <c r="KU58" i="11" s="1"/>
  <c r="KU59" i="11" s="1"/>
  <c r="KU60" i="11" s="1"/>
  <c r="KU61" i="11" s="1"/>
  <c r="KU62" i="11" s="1"/>
  <c r="KU63" i="11" s="1"/>
  <c r="KT4" i="11"/>
  <c r="KT5" i="11" s="1"/>
  <c r="KT6" i="11" s="1"/>
  <c r="KT7" i="11" s="1"/>
  <c r="KT8" i="11" s="1"/>
  <c r="KT9" i="11" s="1"/>
  <c r="KT10" i="11" s="1"/>
  <c r="KT11" i="11" s="1"/>
  <c r="KT12" i="11" s="1"/>
  <c r="KT13" i="11" s="1"/>
  <c r="KT14" i="11" s="1"/>
  <c r="KT15" i="11" s="1"/>
  <c r="KT16" i="11" s="1"/>
  <c r="KT17" i="11" s="1"/>
  <c r="KT18" i="11" s="1"/>
  <c r="KT19" i="11" s="1"/>
  <c r="KT20" i="11" s="1"/>
  <c r="KT21" i="11" s="1"/>
  <c r="KT22" i="11" s="1"/>
  <c r="KT23" i="11" s="1"/>
  <c r="KT24" i="11" s="1"/>
  <c r="KT25" i="11" s="1"/>
  <c r="KT26" i="11" s="1"/>
  <c r="KT27" i="11" s="1"/>
  <c r="KT28" i="11" s="1"/>
  <c r="KT29" i="11" s="1"/>
  <c r="KT30" i="11" s="1"/>
  <c r="KT31" i="11" s="1"/>
  <c r="KT32" i="11" s="1"/>
  <c r="KT33" i="11" s="1"/>
  <c r="KT34" i="11" s="1"/>
  <c r="KT35" i="11" s="1"/>
  <c r="KT36" i="11" s="1"/>
  <c r="KT37" i="11" s="1"/>
  <c r="KT38" i="11" s="1"/>
  <c r="KT39" i="11" s="1"/>
  <c r="KT40" i="11" s="1"/>
  <c r="KT41" i="11" s="1"/>
  <c r="KT42" i="11" s="1"/>
  <c r="KT43" i="11" s="1"/>
  <c r="KT44" i="11" s="1"/>
  <c r="KT45" i="11" s="1"/>
  <c r="KT46" i="11" s="1"/>
  <c r="KT47" i="11" s="1"/>
  <c r="KT48" i="11" s="1"/>
  <c r="KT49" i="11" s="1"/>
  <c r="KT50" i="11" s="1"/>
  <c r="KT51" i="11" s="1"/>
  <c r="KT52" i="11" s="1"/>
  <c r="KT53" i="11" s="1"/>
  <c r="KT54" i="11" s="1"/>
  <c r="KT55" i="11" s="1"/>
  <c r="KT56" i="11" s="1"/>
  <c r="KT57" i="11" s="1"/>
  <c r="KT58" i="11" s="1"/>
  <c r="KT59" i="11" s="1"/>
  <c r="KT60" i="11" s="1"/>
  <c r="KT61" i="11" s="1"/>
  <c r="KT62" i="11" s="1"/>
  <c r="KT63" i="11" s="1"/>
  <c r="KZ3" i="11"/>
  <c r="KZ4" i="11" s="1"/>
  <c r="KZ5" i="11" s="1"/>
  <c r="KZ6" i="11" s="1"/>
  <c r="KZ7" i="11" s="1"/>
  <c r="KZ8" i="11" s="1"/>
  <c r="KZ9" i="11" s="1"/>
  <c r="KZ10" i="11" s="1"/>
  <c r="KZ11" i="11" s="1"/>
  <c r="KZ12" i="11" s="1"/>
  <c r="KZ13" i="11" s="1"/>
  <c r="KZ14" i="11" s="1"/>
  <c r="KZ15" i="11" s="1"/>
  <c r="KZ16" i="11" s="1"/>
  <c r="KZ17" i="11" s="1"/>
  <c r="KZ18" i="11" s="1"/>
  <c r="KZ19" i="11" s="1"/>
  <c r="KZ20" i="11" s="1"/>
  <c r="KZ21" i="11" s="1"/>
  <c r="KZ22" i="11" s="1"/>
  <c r="KZ23" i="11" s="1"/>
  <c r="KZ24" i="11" s="1"/>
  <c r="KZ25" i="11" s="1"/>
  <c r="KZ26" i="11" s="1"/>
  <c r="KZ27" i="11" s="1"/>
  <c r="KZ28" i="11" s="1"/>
  <c r="KZ29" i="11" s="1"/>
  <c r="KZ30" i="11" s="1"/>
  <c r="KZ31" i="11" s="1"/>
  <c r="KZ32" i="11" s="1"/>
  <c r="KZ33" i="11" s="1"/>
  <c r="KZ34" i="11" s="1"/>
  <c r="KZ35" i="11" s="1"/>
  <c r="KZ36" i="11" s="1"/>
  <c r="KZ37" i="11" s="1"/>
  <c r="KZ38" i="11" s="1"/>
  <c r="KZ39" i="11" s="1"/>
  <c r="KZ40" i="11" s="1"/>
  <c r="KZ41" i="11" s="1"/>
  <c r="KZ42" i="11" s="1"/>
  <c r="KZ43" i="11" s="1"/>
  <c r="KZ44" i="11" s="1"/>
  <c r="KZ45" i="11" s="1"/>
  <c r="KZ46" i="11" s="1"/>
  <c r="KZ47" i="11" s="1"/>
  <c r="KZ48" i="11" s="1"/>
  <c r="KZ49" i="11" s="1"/>
  <c r="KZ50" i="11" s="1"/>
  <c r="KZ51" i="11" s="1"/>
  <c r="KZ52" i="11" s="1"/>
  <c r="KZ53" i="11" s="1"/>
  <c r="KZ54" i="11" s="1"/>
  <c r="KZ55" i="11" s="1"/>
  <c r="KZ56" i="11" s="1"/>
  <c r="KZ57" i="11" s="1"/>
  <c r="KZ58" i="11" s="1"/>
  <c r="KZ59" i="11" s="1"/>
  <c r="KZ60" i="11" s="1"/>
  <c r="KZ61" i="11" s="1"/>
  <c r="KZ62" i="11" s="1"/>
  <c r="KZ63" i="11" s="1"/>
  <c r="C2" i="11"/>
  <c r="D2" i="11" s="1"/>
  <c r="C2" i="10"/>
  <c r="C1" i="10" s="1"/>
  <c r="C284" i="7"/>
  <c r="D284" i="7" s="1"/>
  <c r="C283" i="7"/>
  <c r="D283" i="7" s="1"/>
  <c r="C282" i="7"/>
  <c r="D282" i="7" s="1"/>
  <c r="C281" i="7"/>
  <c r="D281" i="7" s="1"/>
  <c r="C280" i="7"/>
  <c r="C279" i="7"/>
  <c r="C278" i="7"/>
  <c r="C277" i="7"/>
  <c r="C276" i="7"/>
  <c r="C275" i="7"/>
  <c r="C274" i="7"/>
  <c r="C273" i="7"/>
  <c r="D273" i="7" s="1"/>
  <c r="C272" i="7"/>
  <c r="C271" i="7"/>
  <c r="C270" i="7"/>
  <c r="C269" i="7"/>
  <c r="C268" i="7"/>
  <c r="C267" i="7"/>
  <c r="C266" i="7"/>
  <c r="C265" i="7"/>
  <c r="D265" i="7" s="1"/>
  <c r="C264" i="7"/>
  <c r="C263" i="7"/>
  <c r="C262" i="7"/>
  <c r="C261" i="7"/>
  <c r="C260" i="7"/>
  <c r="C259" i="7"/>
  <c r="C258" i="7"/>
  <c r="C257" i="7"/>
  <c r="D257" i="7" s="1"/>
  <c r="C256" i="7"/>
  <c r="C255" i="7"/>
  <c r="C254" i="7"/>
  <c r="C253" i="7"/>
  <c r="C252" i="7"/>
  <c r="C251" i="7"/>
  <c r="C250" i="7"/>
  <c r="C249" i="7"/>
  <c r="D249" i="7" s="1"/>
  <c r="C248" i="7"/>
  <c r="C247" i="7"/>
  <c r="C246" i="7"/>
  <c r="C245" i="7"/>
  <c r="C244" i="7"/>
  <c r="C243" i="7"/>
  <c r="C242" i="7"/>
  <c r="C241" i="7"/>
  <c r="D241" i="7" s="1"/>
  <c r="C240" i="7"/>
  <c r="C239" i="7"/>
  <c r="C238" i="7"/>
  <c r="C237" i="7"/>
  <c r="C236" i="7"/>
  <c r="C235" i="7"/>
  <c r="C234" i="7"/>
  <c r="C233" i="7"/>
  <c r="D233" i="7" s="1"/>
  <c r="C232" i="7"/>
  <c r="C231" i="7"/>
  <c r="C230" i="7"/>
  <c r="C229" i="7"/>
  <c r="C228" i="7"/>
  <c r="C227" i="7"/>
  <c r="C226" i="7"/>
  <c r="C225" i="7"/>
  <c r="D225" i="7" s="1"/>
  <c r="C224" i="7"/>
  <c r="C223" i="7"/>
  <c r="C222" i="7"/>
  <c r="C221" i="7"/>
  <c r="C220" i="7"/>
  <c r="C219" i="7"/>
  <c r="C218" i="7"/>
  <c r="C217" i="7"/>
  <c r="D217" i="7" s="1"/>
  <c r="C216" i="7"/>
  <c r="C215" i="7"/>
  <c r="C214" i="7"/>
  <c r="C213" i="7"/>
  <c r="C212" i="7"/>
  <c r="C211" i="7"/>
  <c r="C210" i="7"/>
  <c r="C209" i="7"/>
  <c r="D209" i="7" s="1"/>
  <c r="C208" i="7"/>
  <c r="C207" i="7"/>
  <c r="C206" i="7"/>
  <c r="C205" i="7"/>
  <c r="C204" i="7"/>
  <c r="C203" i="7"/>
  <c r="C202" i="7"/>
  <c r="C201" i="7"/>
  <c r="D201" i="7" s="1"/>
  <c r="C200" i="7"/>
  <c r="C199" i="7"/>
  <c r="C198" i="7"/>
  <c r="C197" i="7"/>
  <c r="C196" i="7"/>
  <c r="C195" i="7"/>
  <c r="C194" i="7"/>
  <c r="C193" i="7"/>
  <c r="D193" i="7" s="1"/>
  <c r="C192" i="7"/>
  <c r="C191" i="7"/>
  <c r="C190" i="7"/>
  <c r="C189" i="7"/>
  <c r="C188" i="7"/>
  <c r="C187" i="7"/>
  <c r="C186" i="7"/>
  <c r="C185" i="7"/>
  <c r="D185" i="7" s="1"/>
  <c r="C184" i="7"/>
  <c r="C183" i="7"/>
  <c r="C182" i="7"/>
  <c r="C181" i="7"/>
  <c r="C180" i="7"/>
  <c r="C179" i="7"/>
  <c r="C178" i="7"/>
  <c r="C177" i="7"/>
  <c r="D177" i="7" s="1"/>
  <c r="C176" i="7"/>
  <c r="C175" i="7"/>
  <c r="C174" i="7"/>
  <c r="C173" i="7"/>
  <c r="C172" i="7"/>
  <c r="C171" i="7"/>
  <c r="C170" i="7"/>
  <c r="C169" i="7"/>
  <c r="C168" i="7"/>
  <c r="C167" i="7"/>
  <c r="C166" i="7"/>
  <c r="C165" i="7"/>
  <c r="C164" i="7"/>
  <c r="C163" i="7"/>
  <c r="C162" i="7"/>
  <c r="C161" i="7"/>
  <c r="D161" i="7" s="1"/>
  <c r="C160" i="7"/>
  <c r="C159" i="7"/>
  <c r="C158" i="7"/>
  <c r="C157" i="7"/>
  <c r="C156" i="7"/>
  <c r="C155" i="7"/>
  <c r="C154" i="7"/>
  <c r="C153" i="7"/>
  <c r="C152" i="7"/>
  <c r="C151" i="7"/>
  <c r="C150" i="7"/>
  <c r="C149" i="7"/>
  <c r="C148" i="7"/>
  <c r="C147" i="7"/>
  <c r="C146" i="7"/>
  <c r="C145" i="7"/>
  <c r="D145" i="7" s="1"/>
  <c r="C144" i="7"/>
  <c r="C143" i="7"/>
  <c r="C142" i="7"/>
  <c r="C141" i="7"/>
  <c r="C140" i="7"/>
  <c r="C139" i="7"/>
  <c r="C138" i="7"/>
  <c r="C137" i="7"/>
  <c r="D137" i="7" s="1"/>
  <c r="C136" i="7"/>
  <c r="C135" i="7"/>
  <c r="C134" i="7"/>
  <c r="C133" i="7"/>
  <c r="C132" i="7"/>
  <c r="C131" i="7"/>
  <c r="C130" i="7"/>
  <c r="C129" i="7"/>
  <c r="D129" i="7" s="1"/>
  <c r="C128" i="7"/>
  <c r="C127" i="7"/>
  <c r="C126" i="7"/>
  <c r="C125" i="7"/>
  <c r="C124" i="7"/>
  <c r="C123" i="7"/>
  <c r="C122" i="7"/>
  <c r="C121" i="7"/>
  <c r="D121" i="7" s="1"/>
  <c r="C120" i="7"/>
  <c r="C119" i="7"/>
  <c r="C118" i="7"/>
  <c r="C117" i="7"/>
  <c r="C116" i="7"/>
  <c r="C115" i="7"/>
  <c r="C114" i="7"/>
  <c r="C113" i="7"/>
  <c r="D113" i="7" s="1"/>
  <c r="C112" i="7"/>
  <c r="C111" i="7"/>
  <c r="C110" i="7"/>
  <c r="C109" i="7"/>
  <c r="C108" i="7"/>
  <c r="C107" i="7"/>
  <c r="C106" i="7"/>
  <c r="C105" i="7"/>
  <c r="D105" i="7" s="1"/>
  <c r="C104" i="7"/>
  <c r="C103" i="7"/>
  <c r="C102" i="7"/>
  <c r="C101" i="7"/>
  <c r="C100" i="7"/>
  <c r="C99" i="7"/>
  <c r="C98" i="7"/>
  <c r="C97" i="7"/>
  <c r="D97" i="7" s="1"/>
  <c r="C96" i="7"/>
  <c r="C95" i="7"/>
  <c r="C94" i="7"/>
  <c r="C93" i="7"/>
  <c r="C92" i="7"/>
  <c r="C91" i="7"/>
  <c r="C90" i="7"/>
  <c r="C89" i="7"/>
  <c r="D89" i="7" s="1"/>
  <c r="C88" i="7"/>
  <c r="C87" i="7"/>
  <c r="C86" i="7"/>
  <c r="C85" i="7"/>
  <c r="C84" i="7"/>
  <c r="C83" i="7"/>
  <c r="C82" i="7"/>
  <c r="C81" i="7"/>
  <c r="D81" i="7" s="1"/>
  <c r="C80" i="7"/>
  <c r="C79" i="7"/>
  <c r="C78" i="7"/>
  <c r="C77" i="7"/>
  <c r="C76" i="7"/>
  <c r="C75" i="7"/>
  <c r="C74" i="7"/>
  <c r="C73" i="7"/>
  <c r="D73" i="7" s="1"/>
  <c r="C72" i="7"/>
  <c r="C71" i="7"/>
  <c r="C70" i="7"/>
  <c r="C69" i="7"/>
  <c r="C68" i="7"/>
  <c r="C67" i="7"/>
  <c r="C66" i="7"/>
  <c r="C65" i="7"/>
  <c r="D65" i="7" s="1"/>
  <c r="C64" i="7"/>
  <c r="C63" i="7"/>
  <c r="C62" i="7"/>
  <c r="C61" i="7"/>
  <c r="C60" i="7"/>
  <c r="C59" i="7"/>
  <c r="C58" i="7"/>
  <c r="C57" i="7"/>
  <c r="D57" i="7" s="1"/>
  <c r="C56" i="7"/>
  <c r="C55" i="7"/>
  <c r="C54" i="7"/>
  <c r="C53" i="7"/>
  <c r="C52" i="7"/>
  <c r="C51" i="7"/>
  <c r="C50" i="7"/>
  <c r="C49" i="7"/>
  <c r="D49" i="7" s="1"/>
  <c r="C48" i="7"/>
  <c r="C47" i="7"/>
  <c r="C46" i="7"/>
  <c r="C45" i="7"/>
  <c r="C44" i="7"/>
  <c r="C43" i="7"/>
  <c r="C42" i="7"/>
  <c r="C41" i="7"/>
  <c r="D41" i="7" s="1"/>
  <c r="C40" i="7"/>
  <c r="C39" i="7"/>
  <c r="C38" i="7"/>
  <c r="C37" i="7"/>
  <c r="C36" i="7"/>
  <c r="C35" i="7"/>
  <c r="C34" i="7"/>
  <c r="C33" i="7"/>
  <c r="D33" i="7" s="1"/>
  <c r="C32" i="7"/>
  <c r="C31" i="7"/>
  <c r="C30" i="7"/>
  <c r="C29" i="7"/>
  <c r="C28" i="7"/>
  <c r="C27" i="7"/>
  <c r="C26" i="7"/>
  <c r="C25" i="7"/>
  <c r="D25" i="7" s="1"/>
  <c r="C24" i="7"/>
  <c r="C23" i="7"/>
  <c r="C22" i="7"/>
  <c r="C21" i="7"/>
  <c r="C20" i="7"/>
  <c r="C19" i="7"/>
  <c r="C18" i="7"/>
  <c r="C17" i="7"/>
  <c r="D17" i="7" s="1"/>
  <c r="C16" i="7"/>
  <c r="C15" i="7"/>
  <c r="C14" i="7"/>
  <c r="C13" i="7"/>
  <c r="C12" i="7"/>
  <c r="C11" i="7"/>
  <c r="C10" i="7"/>
  <c r="C9" i="7"/>
  <c r="D9" i="7" s="1"/>
  <c r="C8" i="7"/>
  <c r="C7" i="7"/>
  <c r="C6" i="7"/>
  <c r="C5" i="7"/>
  <c r="C4" i="7"/>
  <c r="C3" i="7"/>
  <c r="C23" i="2" l="1"/>
  <c r="C22" i="2"/>
  <c r="C30" i="2"/>
  <c r="D153" i="7"/>
  <c r="D169" i="7"/>
  <c r="D82" i="7"/>
  <c r="D11" i="7"/>
  <c r="D19" i="7"/>
  <c r="D27" i="7"/>
  <c r="D35" i="7"/>
  <c r="D43" i="7"/>
  <c r="D51" i="7"/>
  <c r="D59" i="7"/>
  <c r="D67" i="7"/>
  <c r="D75" i="7"/>
  <c r="D83" i="7"/>
  <c r="D91" i="7"/>
  <c r="D99" i="7"/>
  <c r="D107" i="7"/>
  <c r="D115" i="7"/>
  <c r="D123" i="7"/>
  <c r="D131" i="7"/>
  <c r="D139" i="7"/>
  <c r="D147" i="7"/>
  <c r="D155" i="7"/>
  <c r="D163" i="7"/>
  <c r="D171" i="7"/>
  <c r="D179" i="7"/>
  <c r="D187" i="7"/>
  <c r="D195" i="7"/>
  <c r="D203" i="7"/>
  <c r="D211" i="7"/>
  <c r="D219" i="7"/>
  <c r="D227" i="7"/>
  <c r="D235" i="7"/>
  <c r="D243" i="7"/>
  <c r="D251" i="7"/>
  <c r="D259" i="7"/>
  <c r="D267" i="7"/>
  <c r="D275" i="7"/>
  <c r="D26" i="7"/>
  <c r="D66" i="7"/>
  <c r="D106" i="7"/>
  <c r="D130" i="7"/>
  <c r="D154" i="7"/>
  <c r="D178" i="7"/>
  <c r="D202" i="7"/>
  <c r="D226" i="7"/>
  <c r="D250" i="7"/>
  <c r="D258" i="7"/>
  <c r="D274" i="7"/>
  <c r="D4" i="7"/>
  <c r="D12" i="7"/>
  <c r="D20" i="7"/>
  <c r="D28" i="7"/>
  <c r="D36" i="7"/>
  <c r="D44" i="7"/>
  <c r="D52" i="7"/>
  <c r="D60" i="7"/>
  <c r="D68" i="7"/>
  <c r="D76" i="7"/>
  <c r="D84" i="7"/>
  <c r="D92" i="7"/>
  <c r="D100" i="7"/>
  <c r="D108" i="7"/>
  <c r="D116" i="7"/>
  <c r="D124" i="7"/>
  <c r="D132" i="7"/>
  <c r="D140" i="7"/>
  <c r="D148" i="7"/>
  <c r="D156" i="7"/>
  <c r="D164" i="7"/>
  <c r="D172" i="7"/>
  <c r="D180" i="7"/>
  <c r="D188" i="7"/>
  <c r="D196" i="7"/>
  <c r="D204" i="7"/>
  <c r="D212" i="7"/>
  <c r="D220" i="7"/>
  <c r="D228" i="7"/>
  <c r="D236" i="7"/>
  <c r="D244" i="7"/>
  <c r="D252" i="7"/>
  <c r="D260" i="7"/>
  <c r="D268" i="7"/>
  <c r="D276" i="7"/>
  <c r="D58" i="7"/>
  <c r="D3" i="7"/>
  <c r="D5" i="7"/>
  <c r="D13" i="7"/>
  <c r="D21" i="7"/>
  <c r="D29" i="7"/>
  <c r="D37" i="7"/>
  <c r="D45" i="7"/>
  <c r="D53" i="7"/>
  <c r="D61" i="7"/>
  <c r="D69" i="7"/>
  <c r="D77" i="7"/>
  <c r="D85" i="7"/>
  <c r="D93" i="7"/>
  <c r="D101" i="7"/>
  <c r="D109" i="7"/>
  <c r="D117" i="7"/>
  <c r="D125" i="7"/>
  <c r="D133" i="7"/>
  <c r="D141" i="7"/>
  <c r="D149" i="7"/>
  <c r="D157" i="7"/>
  <c r="D165" i="7"/>
  <c r="D173" i="7"/>
  <c r="D181" i="7"/>
  <c r="D189" i="7"/>
  <c r="D197" i="7"/>
  <c r="D205" i="7"/>
  <c r="D213" i="7"/>
  <c r="D221" i="7"/>
  <c r="D229" i="7"/>
  <c r="D237" i="7"/>
  <c r="D245" i="7"/>
  <c r="D253" i="7"/>
  <c r="D261" i="7"/>
  <c r="D269" i="7"/>
  <c r="D277" i="7"/>
  <c r="D18" i="7"/>
  <c r="D50" i="7"/>
  <c r="D90" i="7"/>
  <c r="D114" i="7"/>
  <c r="D138" i="7"/>
  <c r="D170" i="7"/>
  <c r="D194" i="7"/>
  <c r="D218" i="7"/>
  <c r="D242" i="7"/>
  <c r="D266" i="7"/>
  <c r="D6" i="7"/>
  <c r="D14" i="7"/>
  <c r="D22" i="7"/>
  <c r="D30" i="7"/>
  <c r="D38" i="7"/>
  <c r="D46" i="7"/>
  <c r="D54" i="7"/>
  <c r="D62" i="7"/>
  <c r="D70" i="7"/>
  <c r="D78" i="7"/>
  <c r="D86" i="7"/>
  <c r="D94" i="7"/>
  <c r="D102" i="7"/>
  <c r="D110" i="7"/>
  <c r="D118" i="7"/>
  <c r="D126" i="7"/>
  <c r="D134" i="7"/>
  <c r="D142" i="7"/>
  <c r="D150" i="7"/>
  <c r="D158" i="7"/>
  <c r="D166" i="7"/>
  <c r="D174" i="7"/>
  <c r="D182" i="7"/>
  <c r="D190" i="7"/>
  <c r="D198" i="7"/>
  <c r="D206" i="7"/>
  <c r="D214" i="7"/>
  <c r="D222" i="7"/>
  <c r="D230" i="7"/>
  <c r="D238" i="7"/>
  <c r="D246" i="7"/>
  <c r="D254" i="7"/>
  <c r="D262" i="7"/>
  <c r="D270" i="7"/>
  <c r="D278" i="7"/>
  <c r="D10" i="7"/>
  <c r="D34" i="7"/>
  <c r="D74" i="7"/>
  <c r="D98" i="7"/>
  <c r="D122" i="7"/>
  <c r="D162" i="7"/>
  <c r="D186" i="7"/>
  <c r="D210" i="7"/>
  <c r="D234" i="7"/>
  <c r="D7" i="7"/>
  <c r="D23" i="7"/>
  <c r="D39" i="7"/>
  <c r="D55" i="7"/>
  <c r="D63" i="7"/>
  <c r="D71" i="7"/>
  <c r="D79" i="7"/>
  <c r="D87" i="7"/>
  <c r="D103" i="7"/>
  <c r="D111" i="7"/>
  <c r="D119" i="7"/>
  <c r="D127" i="7"/>
  <c r="D135" i="7"/>
  <c r="D143" i="7"/>
  <c r="D151" i="7"/>
  <c r="D159" i="7"/>
  <c r="D167" i="7"/>
  <c r="D175" i="7"/>
  <c r="D183" i="7"/>
  <c r="D191" i="7"/>
  <c r="D199" i="7"/>
  <c r="D207" i="7"/>
  <c r="D215" i="7"/>
  <c r="D223" i="7"/>
  <c r="D231" i="7"/>
  <c r="D239" i="7"/>
  <c r="D247" i="7"/>
  <c r="D255" i="7"/>
  <c r="D263" i="7"/>
  <c r="D271" i="7"/>
  <c r="D279" i="7"/>
  <c r="D42" i="7"/>
  <c r="D146" i="7"/>
  <c r="D15" i="7"/>
  <c r="D31" i="7"/>
  <c r="D47" i="7"/>
  <c r="D95" i="7"/>
  <c r="D8" i="7"/>
  <c r="D16" i="7"/>
  <c r="D24" i="7"/>
  <c r="D32" i="7"/>
  <c r="D40" i="7"/>
  <c r="D48" i="7"/>
  <c r="D56" i="7"/>
  <c r="D64" i="7"/>
  <c r="D72" i="7"/>
  <c r="D80" i="7"/>
  <c r="D88" i="7"/>
  <c r="D96" i="7"/>
  <c r="D104" i="7"/>
  <c r="D112" i="7"/>
  <c r="D120" i="7"/>
  <c r="D128" i="7"/>
  <c r="D136" i="7"/>
  <c r="D144" i="7"/>
  <c r="D152" i="7"/>
  <c r="D160" i="7"/>
  <c r="D168" i="7"/>
  <c r="D176" i="7"/>
  <c r="D184" i="7"/>
  <c r="D192" i="7"/>
  <c r="D200" i="7"/>
  <c r="D208" i="7"/>
  <c r="D216" i="7"/>
  <c r="D224" i="7"/>
  <c r="D232" i="7"/>
  <c r="D240" i="7"/>
  <c r="D248" i="7"/>
  <c r="D256" i="7"/>
  <c r="D264" i="7"/>
  <c r="D272" i="7"/>
  <c r="D280" i="7"/>
  <c r="L285" i="18"/>
  <c r="C3" i="1"/>
  <c r="F5" i="5"/>
  <c r="D2" i="10"/>
  <c r="E2" i="11"/>
  <c r="D1" i="11"/>
  <c r="C1" i="11"/>
  <c r="C9" i="5"/>
  <c r="F8" i="5"/>
  <c r="F10" i="5"/>
  <c r="D31" i="2" l="1"/>
  <c r="C31" i="2" s="1"/>
  <c r="C32" i="2" s="1"/>
  <c r="C5" i="19"/>
  <c r="L286" i="18"/>
  <c r="D4" i="2"/>
  <c r="D5" i="2"/>
  <c r="D7" i="18"/>
  <c r="C11" i="5"/>
  <c r="C11" i="2"/>
  <c r="B5" i="3"/>
  <c r="B5" i="4"/>
  <c r="D3" i="2"/>
  <c r="K13" i="16"/>
  <c r="G8" i="5"/>
  <c r="K15" i="16"/>
  <c r="G10" i="5"/>
  <c r="K9" i="16"/>
  <c r="G5" i="5"/>
  <c r="D6" i="2"/>
  <c r="C6" i="2" s="1"/>
  <c r="D25" i="2" s="1"/>
  <c r="E2" i="10"/>
  <c r="D1" i="10"/>
  <c r="F9" i="5"/>
  <c r="G9" i="5" s="1"/>
  <c r="E1" i="11"/>
  <c r="F2" i="11"/>
  <c r="E25" i="2" l="1"/>
  <c r="D34" i="2"/>
  <c r="E34" i="2" s="1"/>
  <c r="L287" i="18"/>
  <c r="O5" i="5"/>
  <c r="I7" i="18" s="1"/>
  <c r="Q5" i="3"/>
  <c r="M5" i="3"/>
  <c r="U5" i="3" s="1"/>
  <c r="F5" i="3"/>
  <c r="D8" i="18"/>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D128" i="18" s="1"/>
  <c r="D129" i="18" s="1"/>
  <c r="D130" i="18" s="1"/>
  <c r="D131" i="18" s="1"/>
  <c r="D132" i="18" s="1"/>
  <c r="D133" i="18" s="1"/>
  <c r="D134" i="18" s="1"/>
  <c r="D135" i="18" s="1"/>
  <c r="D136" i="18" s="1"/>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D159" i="18" s="1"/>
  <c r="D160" i="18" s="1"/>
  <c r="D161" i="18" s="1"/>
  <c r="D162" i="18" s="1"/>
  <c r="D163" i="18" s="1"/>
  <c r="D164" i="18" s="1"/>
  <c r="D165" i="18" s="1"/>
  <c r="D166" i="18" s="1"/>
  <c r="D167" i="18" s="1"/>
  <c r="D168" i="18" s="1"/>
  <c r="D169" i="18" s="1"/>
  <c r="D170" i="18" s="1"/>
  <c r="D171" i="18" s="1"/>
  <c r="D172" i="18" s="1"/>
  <c r="D173" i="18" s="1"/>
  <c r="D174" i="18" s="1"/>
  <c r="D175" i="18" s="1"/>
  <c r="D176" i="18" s="1"/>
  <c r="D177" i="18" s="1"/>
  <c r="D178" i="18" s="1"/>
  <c r="D179" i="18" s="1"/>
  <c r="D180" i="18" s="1"/>
  <c r="D181" i="18" s="1"/>
  <c r="D182" i="18" s="1"/>
  <c r="D183" i="18" s="1"/>
  <c r="D184" i="18" s="1"/>
  <c r="D185" i="18" s="1"/>
  <c r="D186" i="18" s="1"/>
  <c r="D187" i="18" s="1"/>
  <c r="D188" i="18" s="1"/>
  <c r="D189" i="18" s="1"/>
  <c r="D190" i="18" s="1"/>
  <c r="D191" i="18" s="1"/>
  <c r="D192" i="18" s="1"/>
  <c r="D193" i="18" s="1"/>
  <c r="D194" i="18" s="1"/>
  <c r="D195" i="18" s="1"/>
  <c r="D196" i="18" s="1"/>
  <c r="D197" i="18" s="1"/>
  <c r="D198" i="18" s="1"/>
  <c r="D199" i="18" s="1"/>
  <c r="D200" i="18" s="1"/>
  <c r="D201" i="18" s="1"/>
  <c r="D202" i="18" s="1"/>
  <c r="D203" i="18" s="1"/>
  <c r="M7" i="18"/>
  <c r="C4" i="2"/>
  <c r="D23" i="2" s="1"/>
  <c r="E23" i="2" s="1"/>
  <c r="C5" i="2"/>
  <c r="D24" i="2" s="1"/>
  <c r="D7" i="2"/>
  <c r="D18" i="2"/>
  <c r="E18" i="2" s="1"/>
  <c r="C3" i="2"/>
  <c r="E1" i="10"/>
  <c r="F2" i="10"/>
  <c r="C6" i="19"/>
  <c r="F1" i="11"/>
  <c r="G2" i="11"/>
  <c r="J5" i="3"/>
  <c r="E24" i="2" l="1"/>
  <c r="D30" i="2"/>
  <c r="E30" i="2" s="1"/>
  <c r="D22" i="2"/>
  <c r="E22" i="2" s="1"/>
  <c r="D33" i="2"/>
  <c r="E33" i="2" s="1"/>
  <c r="D32" i="2"/>
  <c r="E32" i="2" s="1"/>
  <c r="L288" i="18"/>
  <c r="O6" i="5"/>
  <c r="O7" i="5" s="1"/>
  <c r="D204" i="18"/>
  <c r="M8" i="18"/>
  <c r="M9" i="18"/>
  <c r="H7" i="21"/>
  <c r="M7" i="21" s="1"/>
  <c r="D16" i="2"/>
  <c r="E16" i="2" s="1"/>
  <c r="D15" i="2"/>
  <c r="E15" i="2" s="1"/>
  <c r="D17" i="2"/>
  <c r="E17" i="2" s="1"/>
  <c r="I7" i="21"/>
  <c r="C7" i="2"/>
  <c r="D26" i="2" s="1"/>
  <c r="E26" i="2" s="1"/>
  <c r="G2" i="10"/>
  <c r="F1" i="10"/>
  <c r="H2" i="11"/>
  <c r="G1" i="11"/>
  <c r="C7" i="19"/>
  <c r="E27" i="2" l="1"/>
  <c r="E35" i="2"/>
  <c r="L289" i="18"/>
  <c r="I8" i="18"/>
  <c r="D205" i="18"/>
  <c r="M10" i="18"/>
  <c r="H27" i="21"/>
  <c r="H28" i="21" s="1"/>
  <c r="H8" i="21"/>
  <c r="H9" i="21" s="1"/>
  <c r="J7" i="21"/>
  <c r="K7" i="21" s="1"/>
  <c r="I27" i="21"/>
  <c r="N7" i="21"/>
  <c r="N8" i="21" s="1"/>
  <c r="N9" i="21" s="1"/>
  <c r="N10" i="21" s="1"/>
  <c r="N11" i="21" s="1"/>
  <c r="N12" i="21" s="1"/>
  <c r="N13" i="21" s="1"/>
  <c r="N14" i="21" s="1"/>
  <c r="N15" i="21" s="1"/>
  <c r="N16" i="21" s="1"/>
  <c r="N17" i="21" s="1"/>
  <c r="N18" i="21" s="1"/>
  <c r="I8" i="21"/>
  <c r="I9" i="21" s="1"/>
  <c r="I10" i="21" s="1"/>
  <c r="I11" i="21" s="1"/>
  <c r="I12" i="21" s="1"/>
  <c r="I13" i="21" s="1"/>
  <c r="I14" i="21" s="1"/>
  <c r="I15" i="21" s="1"/>
  <c r="I16" i="21" s="1"/>
  <c r="I17" i="21" s="1"/>
  <c r="I18" i="21" s="1"/>
  <c r="M8" i="21"/>
  <c r="H2" i="10"/>
  <c r="G1" i="10"/>
  <c r="I9" i="18"/>
  <c r="I2" i="11"/>
  <c r="H1" i="11"/>
  <c r="C8" i="19"/>
  <c r="L290" i="18" l="1"/>
  <c r="D206" i="18"/>
  <c r="M11" i="18"/>
  <c r="M27" i="21"/>
  <c r="M28" i="21" s="1"/>
  <c r="J27" i="21"/>
  <c r="K24" i="21" s="1"/>
  <c r="K4" i="21"/>
  <c r="E19" i="2"/>
  <c r="E13" i="2" s="1"/>
  <c r="J8" i="21"/>
  <c r="K8" i="21" s="1"/>
  <c r="O7" i="21"/>
  <c r="P4" i="21" s="1"/>
  <c r="N27" i="21"/>
  <c r="N28" i="21" s="1"/>
  <c r="N29" i="21" s="1"/>
  <c r="N30" i="21" s="1"/>
  <c r="N31" i="21" s="1"/>
  <c r="N32" i="21" s="1"/>
  <c r="N33" i="21" s="1"/>
  <c r="N34" i="21" s="1"/>
  <c r="N35" i="21" s="1"/>
  <c r="I28" i="21"/>
  <c r="I29" i="21" s="1"/>
  <c r="I30" i="21" s="1"/>
  <c r="I31" i="21" s="1"/>
  <c r="I32" i="21" s="1"/>
  <c r="I33" i="21" s="1"/>
  <c r="I34" i="21" s="1"/>
  <c r="I35" i="21" s="1"/>
  <c r="M9" i="21"/>
  <c r="O8" i="21"/>
  <c r="P8" i="21" s="1"/>
  <c r="H29" i="21"/>
  <c r="H10" i="21"/>
  <c r="J9" i="21"/>
  <c r="K9" i="21" s="1"/>
  <c r="I2" i="10"/>
  <c r="H1" i="10"/>
  <c r="O8" i="5"/>
  <c r="I10" i="18" s="1"/>
  <c r="C9" i="19"/>
  <c r="I1" i="11"/>
  <c r="J2" i="11"/>
  <c r="F13" i="2" l="1"/>
  <c r="E3" i="2"/>
  <c r="L291" i="18"/>
  <c r="D207" i="18"/>
  <c r="M12" i="18"/>
  <c r="K27" i="21"/>
  <c r="J28" i="21"/>
  <c r="K28" i="21" s="1"/>
  <c r="P7" i="21"/>
  <c r="O27" i="21"/>
  <c r="P27" i="21" s="1"/>
  <c r="M29" i="21"/>
  <c r="O28" i="21"/>
  <c r="P28" i="21" s="1"/>
  <c r="M10" i="21"/>
  <c r="O9" i="21"/>
  <c r="P9" i="21" s="1"/>
  <c r="H11" i="21"/>
  <c r="J10" i="21"/>
  <c r="K10" i="21" s="1"/>
  <c r="H30" i="21"/>
  <c r="J29" i="21"/>
  <c r="K29" i="21" s="1"/>
  <c r="I1" i="10"/>
  <c r="J2" i="10"/>
  <c r="O9" i="5"/>
  <c r="I11" i="18" s="1"/>
  <c r="J1" i="11"/>
  <c r="K2" i="11"/>
  <c r="C10" i="19"/>
  <c r="F3" i="2" l="1"/>
  <c r="C25" i="5"/>
  <c r="K31" i="16" s="1"/>
  <c r="L292" i="18"/>
  <c r="D208" i="18"/>
  <c r="M13" i="18"/>
  <c r="E5" i="2"/>
  <c r="J16" i="2" s="1"/>
  <c r="J17" i="2" s="1"/>
  <c r="P24" i="21"/>
  <c r="J11" i="21"/>
  <c r="K11" i="21" s="1"/>
  <c r="H12" i="21"/>
  <c r="M11" i="21"/>
  <c r="O10" i="21"/>
  <c r="P10" i="21" s="1"/>
  <c r="J30" i="21"/>
  <c r="K30" i="21" s="1"/>
  <c r="H31" i="21"/>
  <c r="M30" i="21"/>
  <c r="O29" i="21"/>
  <c r="P29" i="21" s="1"/>
  <c r="K2" i="10"/>
  <c r="J1" i="10"/>
  <c r="L2" i="11"/>
  <c r="K1" i="11"/>
  <c r="C11" i="19"/>
  <c r="O10" i="5"/>
  <c r="I12" i="18" s="1"/>
  <c r="L25" i="5" l="1"/>
  <c r="L293" i="18"/>
  <c r="D209" i="18"/>
  <c r="M14" i="18"/>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F1" i="3"/>
  <c r="Q6" i="3" s="1"/>
  <c r="C1" i="19"/>
  <c r="C26" i="5"/>
  <c r="O30" i="21"/>
  <c r="P30" i="21" s="1"/>
  <c r="M31" i="21"/>
  <c r="H32" i="21"/>
  <c r="J31" i="21"/>
  <c r="K31" i="21" s="1"/>
  <c r="O11" i="21"/>
  <c r="P11" i="21" s="1"/>
  <c r="M12" i="21"/>
  <c r="H13" i="21"/>
  <c r="J12" i="21"/>
  <c r="K12" i="21" s="1"/>
  <c r="L2" i="10"/>
  <c r="K1" i="10"/>
  <c r="C12" i="19"/>
  <c r="M2" i="11"/>
  <c r="L1" i="11"/>
  <c r="O11" i="5"/>
  <c r="I13" i="18" s="1"/>
  <c r="Q7" i="3" l="1"/>
  <c r="D210" i="18"/>
  <c r="M15" i="18"/>
  <c r="I31" i="16"/>
  <c r="C19" i="5"/>
  <c r="M6" i="3"/>
  <c r="U6" i="3" s="1"/>
  <c r="F6" i="3"/>
  <c r="L26" i="5"/>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H14" i="21"/>
  <c r="J13" i="21"/>
  <c r="K13" i="21" s="1"/>
  <c r="M13" i="21"/>
  <c r="O12" i="21"/>
  <c r="P12" i="21" s="1"/>
  <c r="H33" i="21"/>
  <c r="J32" i="21"/>
  <c r="K32" i="21" s="1"/>
  <c r="M32" i="21"/>
  <c r="O31" i="21"/>
  <c r="P31" i="21" s="1"/>
  <c r="L1" i="10"/>
  <c r="M2" i="10"/>
  <c r="O12" i="5"/>
  <c r="I14" i="18" s="1"/>
  <c r="M1" i="11"/>
  <c r="N2" i="11"/>
  <c r="C13" i="19"/>
  <c r="Q8" i="3" l="1"/>
  <c r="Q9" i="3" s="1"/>
  <c r="D211" i="18"/>
  <c r="M16" i="18"/>
  <c r="C723" i="3"/>
  <c r="B724" i="3"/>
  <c r="F7" i="3"/>
  <c r="F8" i="3" s="1"/>
  <c r="J6" i="3"/>
  <c r="M7" i="3"/>
  <c r="M8" i="3" s="1"/>
  <c r="L31" i="5"/>
  <c r="M31" i="5"/>
  <c r="M33" i="21"/>
  <c r="O32" i="21"/>
  <c r="P32" i="21" s="1"/>
  <c r="H34" i="21"/>
  <c r="J33" i="21"/>
  <c r="K33" i="21" s="1"/>
  <c r="M14" i="21"/>
  <c r="O13" i="21"/>
  <c r="P13" i="21" s="1"/>
  <c r="H15" i="21"/>
  <c r="J14" i="21"/>
  <c r="K14" i="21" s="1"/>
  <c r="N2" i="10"/>
  <c r="M1" i="10"/>
  <c r="O13" i="5"/>
  <c r="I15" i="18" s="1"/>
  <c r="C14" i="19"/>
  <c r="N1" i="11"/>
  <c r="O2" i="11"/>
  <c r="D212" i="18" l="1"/>
  <c r="M17" i="18"/>
  <c r="C724" i="3"/>
  <c r="B725" i="3"/>
  <c r="J7" i="3"/>
  <c r="U7" i="3"/>
  <c r="Q10" i="3"/>
  <c r="M9" i="3"/>
  <c r="U8" i="3"/>
  <c r="F9" i="3"/>
  <c r="J8" i="3"/>
  <c r="M15" i="21"/>
  <c r="O14" i="21"/>
  <c r="P14" i="21" s="1"/>
  <c r="H35" i="21"/>
  <c r="J35" i="21" s="1"/>
  <c r="K35" i="21" s="1"/>
  <c r="J34" i="21"/>
  <c r="K34" i="21" s="1"/>
  <c r="H16" i="21"/>
  <c r="J15" i="21"/>
  <c r="K15" i="21" s="1"/>
  <c r="M34" i="21"/>
  <c r="O33" i="21"/>
  <c r="P33" i="21" s="1"/>
  <c r="N1" i="10"/>
  <c r="O2" i="10"/>
  <c r="C15" i="19"/>
  <c r="P2" i="11"/>
  <c r="O1" i="11"/>
  <c r="O14" i="5"/>
  <c r="I16" i="18" s="1"/>
  <c r="D213" i="18" l="1"/>
  <c r="M18" i="18"/>
  <c r="B726" i="3"/>
  <c r="C725" i="3"/>
  <c r="Q11" i="3"/>
  <c r="F10" i="3"/>
  <c r="J9" i="3"/>
  <c r="M10" i="3"/>
  <c r="U9" i="3"/>
  <c r="M35" i="21"/>
  <c r="O35" i="21" s="1"/>
  <c r="P35" i="21" s="1"/>
  <c r="O34" i="21"/>
  <c r="P34" i="21" s="1"/>
  <c r="H17" i="21"/>
  <c r="J16" i="21"/>
  <c r="K16" i="21" s="1"/>
  <c r="O15" i="21"/>
  <c r="P15" i="21" s="1"/>
  <c r="M16" i="21"/>
  <c r="P2" i="10"/>
  <c r="O1" i="10"/>
  <c r="C16" i="19"/>
  <c r="Q2" i="11"/>
  <c r="P1" i="11"/>
  <c r="O15" i="5"/>
  <c r="I17" i="18" s="1"/>
  <c r="D214" i="18" l="1"/>
  <c r="M19" i="18"/>
  <c r="C726" i="3"/>
  <c r="B727" i="3"/>
  <c r="Q12" i="3"/>
  <c r="M11" i="3"/>
  <c r="U10" i="3"/>
  <c r="F11" i="3"/>
  <c r="J10" i="3"/>
  <c r="M17" i="21"/>
  <c r="O16" i="21"/>
  <c r="P16" i="21" s="1"/>
  <c r="J17" i="21"/>
  <c r="K17" i="21" s="1"/>
  <c r="H18" i="21"/>
  <c r="J18" i="21" s="1"/>
  <c r="K18" i="21" s="1"/>
  <c r="Q2" i="10"/>
  <c r="P1" i="10"/>
  <c r="C17" i="19"/>
  <c r="O16" i="5"/>
  <c r="I18" i="18" s="1"/>
  <c r="Q1" i="11"/>
  <c r="R2" i="11"/>
  <c r="D215" i="18" l="1"/>
  <c r="M20" i="18"/>
  <c r="C727" i="3"/>
  <c r="B728" i="3"/>
  <c r="Q13" i="3"/>
  <c r="J11" i="3"/>
  <c r="F12" i="3"/>
  <c r="M12" i="3"/>
  <c r="U11" i="3"/>
  <c r="M18" i="21"/>
  <c r="O18" i="21" s="1"/>
  <c r="P18" i="21" s="1"/>
  <c r="O17" i="21"/>
  <c r="P17" i="21" s="1"/>
  <c r="Q1" i="10"/>
  <c r="R2" i="10"/>
  <c r="R1" i="11"/>
  <c r="S2" i="11"/>
  <c r="O17" i="5"/>
  <c r="I19" i="18" s="1"/>
  <c r="C18" i="19"/>
  <c r="D216" i="18" l="1"/>
  <c r="M21" i="18"/>
  <c r="B729" i="3"/>
  <c r="C728" i="3"/>
  <c r="Q14" i="3"/>
  <c r="M13" i="3"/>
  <c r="U12" i="3"/>
  <c r="F13" i="3"/>
  <c r="J12" i="3"/>
  <c r="R1" i="10"/>
  <c r="S2" i="10"/>
  <c r="O18" i="5"/>
  <c r="I20" i="18" s="1"/>
  <c r="C19" i="19"/>
  <c r="T2" i="11"/>
  <c r="S1" i="11"/>
  <c r="D217" i="18" l="1"/>
  <c r="M22" i="18"/>
  <c r="C729" i="3"/>
  <c r="B730" i="3"/>
  <c r="Q15" i="3"/>
  <c r="F14" i="3"/>
  <c r="J13" i="3"/>
  <c r="M14" i="3"/>
  <c r="U13" i="3"/>
  <c r="T2" i="10"/>
  <c r="S1" i="10"/>
  <c r="O19" i="5"/>
  <c r="I21" i="18" s="1"/>
  <c r="C20" i="19"/>
  <c r="U2" i="11"/>
  <c r="T1" i="11"/>
  <c r="D218" i="18" l="1"/>
  <c r="M23" i="18"/>
  <c r="C730" i="3"/>
  <c r="B731" i="3"/>
  <c r="Q16" i="3"/>
  <c r="M15" i="3"/>
  <c r="U14" i="3"/>
  <c r="J14" i="3"/>
  <c r="F15" i="3"/>
  <c r="U2" i="10"/>
  <c r="T1" i="10"/>
  <c r="O20" i="5"/>
  <c r="I22" i="18" s="1"/>
  <c r="C21" i="19"/>
  <c r="U1" i="11"/>
  <c r="V2" i="11"/>
  <c r="D219" i="18" l="1"/>
  <c r="M24" i="18"/>
  <c r="B732" i="3"/>
  <c r="C731" i="3"/>
  <c r="Q17" i="3"/>
  <c r="J15" i="3"/>
  <c r="F16" i="3"/>
  <c r="M16" i="3"/>
  <c r="U15" i="3"/>
  <c r="V2" i="10"/>
  <c r="U1" i="10"/>
  <c r="V1" i="11"/>
  <c r="W2" i="11"/>
  <c r="C22" i="19"/>
  <c r="O21" i="5"/>
  <c r="I23" i="18" s="1"/>
  <c r="D220" i="18" l="1"/>
  <c r="M25" i="18"/>
  <c r="B733" i="3"/>
  <c r="C732" i="3"/>
  <c r="Q18" i="3"/>
  <c r="F17" i="3"/>
  <c r="J16" i="3"/>
  <c r="U16" i="3"/>
  <c r="M17" i="3"/>
  <c r="V1" i="10"/>
  <c r="W2" i="10"/>
  <c r="C23" i="19"/>
  <c r="X2" i="11"/>
  <c r="W1" i="11"/>
  <c r="O22" i="5"/>
  <c r="I24" i="18" s="1"/>
  <c r="D221" i="18" l="1"/>
  <c r="M26" i="18"/>
  <c r="B734" i="3"/>
  <c r="C733" i="3"/>
  <c r="Q19" i="3"/>
  <c r="M18" i="3"/>
  <c r="U17" i="3"/>
  <c r="F18" i="3"/>
  <c r="J17" i="3"/>
  <c r="X2" i="10"/>
  <c r="W1" i="10"/>
  <c r="O23" i="5"/>
  <c r="I25" i="18" s="1"/>
  <c r="Y2" i="11"/>
  <c r="X1" i="11"/>
  <c r="C24" i="19"/>
  <c r="D222" i="18" l="1"/>
  <c r="M27" i="18"/>
  <c r="C734" i="3"/>
  <c r="B735" i="3"/>
  <c r="Q20" i="3"/>
  <c r="F19" i="3"/>
  <c r="J18" i="3"/>
  <c r="M19" i="3"/>
  <c r="U18" i="3"/>
  <c r="Y2" i="10"/>
  <c r="X1" i="10"/>
  <c r="O24" i="5"/>
  <c r="I26" i="18" s="1"/>
  <c r="Y1" i="11"/>
  <c r="Z2" i="11"/>
  <c r="C25" i="19"/>
  <c r="D223" i="18" l="1"/>
  <c r="M28" i="18"/>
  <c r="C735" i="3"/>
  <c r="B736" i="3"/>
  <c r="Q21" i="3"/>
  <c r="M20" i="3"/>
  <c r="U19" i="3"/>
  <c r="F20" i="3"/>
  <c r="J19" i="3"/>
  <c r="Z2" i="10"/>
  <c r="Y1" i="10"/>
  <c r="O25" i="5"/>
  <c r="I27" i="18" s="1"/>
  <c r="C26" i="19"/>
  <c r="Z1" i="11"/>
  <c r="AA2" i="11"/>
  <c r="D224" i="18" l="1"/>
  <c r="M29" i="18"/>
  <c r="B737" i="3"/>
  <c r="C736" i="3"/>
  <c r="Q22" i="3"/>
  <c r="F21" i="3"/>
  <c r="J20" i="3"/>
  <c r="M21" i="3"/>
  <c r="U20" i="3"/>
  <c r="Z1" i="10"/>
  <c r="AA2" i="10"/>
  <c r="O26" i="5"/>
  <c r="I28" i="18" s="1"/>
  <c r="C27" i="19"/>
  <c r="AB2" i="11"/>
  <c r="AA1" i="11"/>
  <c r="D225" i="18" l="1"/>
  <c r="M30" i="18"/>
  <c r="B738" i="3"/>
  <c r="C737" i="3"/>
  <c r="Q23" i="3"/>
  <c r="M22" i="3"/>
  <c r="U21" i="3"/>
  <c r="J21" i="3"/>
  <c r="F22" i="3"/>
  <c r="AB2" i="10"/>
  <c r="AA1" i="10"/>
  <c r="AC2" i="11"/>
  <c r="AB1" i="11"/>
  <c r="C28" i="19"/>
  <c r="O27" i="5"/>
  <c r="I29" i="18" s="1"/>
  <c r="D226" i="18" l="1"/>
  <c r="M31" i="18"/>
  <c r="C738" i="3"/>
  <c r="B739" i="3"/>
  <c r="Q24" i="3"/>
  <c r="F23" i="3"/>
  <c r="J22" i="3"/>
  <c r="M23" i="3"/>
  <c r="U22" i="3"/>
  <c r="AC2" i="10"/>
  <c r="AB1" i="10"/>
  <c r="C29" i="19"/>
  <c r="O28" i="5"/>
  <c r="I30" i="18" s="1"/>
  <c r="AC1" i="11"/>
  <c r="AD2" i="11"/>
  <c r="D227" i="18" l="1"/>
  <c r="M32" i="18"/>
  <c r="B740" i="3"/>
  <c r="C739" i="3"/>
  <c r="Q25" i="3"/>
  <c r="M24" i="3"/>
  <c r="U23" i="3"/>
  <c r="F24" i="3"/>
  <c r="J23" i="3"/>
  <c r="AC1" i="10"/>
  <c r="AD2" i="10"/>
  <c r="O29" i="5"/>
  <c r="I31" i="18" s="1"/>
  <c r="AD1" i="11"/>
  <c r="AE2" i="11"/>
  <c r="C30" i="19"/>
  <c r="D228" i="18" l="1"/>
  <c r="M33" i="18"/>
  <c r="B741" i="3"/>
  <c r="C740" i="3"/>
  <c r="Q26" i="3"/>
  <c r="F25" i="3"/>
  <c r="J24" i="3"/>
  <c r="M25" i="3"/>
  <c r="U24" i="3"/>
  <c r="AD1" i="10"/>
  <c r="AE2" i="10"/>
  <c r="C31" i="19"/>
  <c r="AF2" i="11"/>
  <c r="AE1" i="11"/>
  <c r="O30" i="5"/>
  <c r="I32" i="18" s="1"/>
  <c r="D229" i="18" l="1"/>
  <c r="M34" i="18"/>
  <c r="C741" i="3"/>
  <c r="B742" i="3"/>
  <c r="Q27" i="3"/>
  <c r="M26" i="3"/>
  <c r="U25" i="3"/>
  <c r="F26" i="3"/>
  <c r="J25" i="3"/>
  <c r="AF2" i="10"/>
  <c r="AE1" i="10"/>
  <c r="O31" i="5"/>
  <c r="I33" i="18" s="1"/>
  <c r="AG2" i="11"/>
  <c r="AF1" i="11"/>
  <c r="C32" i="19"/>
  <c r="D230" i="18" l="1"/>
  <c r="M35" i="18"/>
  <c r="C742" i="3"/>
  <c r="B743" i="3"/>
  <c r="Q28" i="3"/>
  <c r="F27" i="3"/>
  <c r="J26" i="3"/>
  <c r="M27" i="3"/>
  <c r="U26" i="3"/>
  <c r="AG2" i="10"/>
  <c r="AF1" i="10"/>
  <c r="O32" i="5"/>
  <c r="I34" i="18" s="1"/>
  <c r="C33" i="19"/>
  <c r="AG1" i="11"/>
  <c r="AH2" i="11"/>
  <c r="D231" i="18" l="1"/>
  <c r="M36" i="18"/>
  <c r="C743" i="3"/>
  <c r="B744" i="3"/>
  <c r="Q29" i="3"/>
  <c r="M28" i="3"/>
  <c r="U27" i="3"/>
  <c r="J27" i="3"/>
  <c r="F28" i="3"/>
  <c r="AH2" i="10"/>
  <c r="AG1" i="10"/>
  <c r="C34" i="19"/>
  <c r="AH1" i="11"/>
  <c r="AI2" i="11"/>
  <c r="O33" i="5"/>
  <c r="I35" i="18" s="1"/>
  <c r="D232" i="18" l="1"/>
  <c r="M37" i="18"/>
  <c r="C744" i="3"/>
  <c r="B745" i="3"/>
  <c r="Q30" i="3"/>
  <c r="F29" i="3"/>
  <c r="J28" i="3"/>
  <c r="U28" i="3"/>
  <c r="M29" i="3"/>
  <c r="AH1" i="10"/>
  <c r="AI2" i="10"/>
  <c r="O34" i="5"/>
  <c r="I36" i="18" s="1"/>
  <c r="AJ2" i="11"/>
  <c r="AI1" i="11"/>
  <c r="C35" i="19"/>
  <c r="D233" i="18" l="1"/>
  <c r="M38" i="18"/>
  <c r="B746" i="3"/>
  <c r="C745" i="3"/>
  <c r="Q31" i="3"/>
  <c r="M30" i="3"/>
  <c r="U29" i="3"/>
  <c r="F30" i="3"/>
  <c r="J29" i="3"/>
  <c r="AJ2" i="10"/>
  <c r="AI1" i="10"/>
  <c r="C36" i="19"/>
  <c r="O35" i="5"/>
  <c r="I37" i="18" s="1"/>
  <c r="AK2" i="11"/>
  <c r="AJ1" i="11"/>
  <c r="D234" i="18" l="1"/>
  <c r="M39" i="18"/>
  <c r="C746" i="3"/>
  <c r="B747" i="3"/>
  <c r="Q32" i="3"/>
  <c r="F31" i="3"/>
  <c r="J30" i="3"/>
  <c r="M31" i="3"/>
  <c r="U30" i="3"/>
  <c r="AK2" i="10"/>
  <c r="AJ1" i="10"/>
  <c r="O36" i="5"/>
  <c r="I38" i="18" s="1"/>
  <c r="C37" i="19"/>
  <c r="AK1" i="11"/>
  <c r="AL2" i="11"/>
  <c r="D235" i="18" l="1"/>
  <c r="M40" i="18"/>
  <c r="B748" i="3"/>
  <c r="C747" i="3"/>
  <c r="Q33" i="3"/>
  <c r="M32" i="3"/>
  <c r="U31" i="3"/>
  <c r="F32" i="3"/>
  <c r="J31" i="3"/>
  <c r="AL2" i="10"/>
  <c r="AK1" i="10"/>
  <c r="AL1" i="11"/>
  <c r="AM2" i="11"/>
  <c r="O37" i="5"/>
  <c r="I39" i="18" s="1"/>
  <c r="C38" i="19"/>
  <c r="D236" i="18" l="1"/>
  <c r="M41" i="18"/>
  <c r="B749" i="3"/>
  <c r="C748" i="3"/>
  <c r="Q34" i="3"/>
  <c r="F33" i="3"/>
  <c r="J32" i="3"/>
  <c r="M33" i="3"/>
  <c r="U32" i="3"/>
  <c r="AL1" i="10"/>
  <c r="AM2" i="10"/>
  <c r="AN2" i="11"/>
  <c r="AM1" i="11"/>
  <c r="C39" i="19"/>
  <c r="O38" i="5"/>
  <c r="I40" i="18" s="1"/>
  <c r="D237" i="18" l="1"/>
  <c r="M42" i="18"/>
  <c r="C749" i="3"/>
  <c r="B750" i="3"/>
  <c r="Q35" i="3"/>
  <c r="M34" i="3"/>
  <c r="U33" i="3"/>
  <c r="J33" i="3"/>
  <c r="F34" i="3"/>
  <c r="AM1" i="10"/>
  <c r="AN2" i="10"/>
  <c r="C40" i="19"/>
  <c r="O39" i="5"/>
  <c r="I41" i="18" s="1"/>
  <c r="AO2" i="11"/>
  <c r="AN1" i="11"/>
  <c r="D238" i="18" l="1"/>
  <c r="M43" i="18"/>
  <c r="C750" i="3"/>
  <c r="B751" i="3"/>
  <c r="Q36" i="3"/>
  <c r="F35" i="3"/>
  <c r="J34" i="3"/>
  <c r="M35" i="3"/>
  <c r="U34" i="3"/>
  <c r="AN1" i="10"/>
  <c r="AO2" i="10"/>
  <c r="AO1" i="11"/>
  <c r="AP2" i="11"/>
  <c r="C41" i="19"/>
  <c r="O40" i="5"/>
  <c r="I42" i="18" s="1"/>
  <c r="D239" i="18" l="1"/>
  <c r="M44" i="18"/>
  <c r="B752" i="3"/>
  <c r="C751" i="3"/>
  <c r="Q37" i="3"/>
  <c r="M36" i="3"/>
  <c r="U35" i="3"/>
  <c r="F36" i="3"/>
  <c r="J35" i="3"/>
  <c r="AP2" i="10"/>
  <c r="AO1" i="10"/>
  <c r="O41" i="5"/>
  <c r="I43" i="18" s="1"/>
  <c r="C42" i="19"/>
  <c r="AP1" i="11"/>
  <c r="AQ2" i="11"/>
  <c r="D240" i="18" l="1"/>
  <c r="M45" i="18"/>
  <c r="C752" i="3"/>
  <c r="B753" i="3"/>
  <c r="Q38" i="3"/>
  <c r="F37" i="3"/>
  <c r="J36" i="3"/>
  <c r="M37" i="3"/>
  <c r="U36" i="3"/>
  <c r="AP1" i="10"/>
  <c r="AQ2" i="10"/>
  <c r="AR2" i="11"/>
  <c r="AQ1" i="11"/>
  <c r="C43" i="19"/>
  <c r="O42" i="5"/>
  <c r="I44" i="18" s="1"/>
  <c r="D241" i="18" l="1"/>
  <c r="M46" i="18"/>
  <c r="B754" i="3"/>
  <c r="C753" i="3"/>
  <c r="Q39" i="3"/>
  <c r="M38" i="3"/>
  <c r="U37" i="3"/>
  <c r="F38" i="3"/>
  <c r="J37" i="3"/>
  <c r="AQ1" i="10"/>
  <c r="AR2" i="10"/>
  <c r="C44" i="19"/>
  <c r="AS2" i="11"/>
  <c r="AR1" i="11"/>
  <c r="O43" i="5"/>
  <c r="I45" i="18" s="1"/>
  <c r="D242" i="18" l="1"/>
  <c r="M47" i="18"/>
  <c r="C754" i="3"/>
  <c r="B755" i="3"/>
  <c r="Q40" i="3"/>
  <c r="F39" i="3"/>
  <c r="J38" i="3"/>
  <c r="U38" i="3"/>
  <c r="M39" i="3"/>
  <c r="AS2" i="10"/>
  <c r="AR1" i="10"/>
  <c r="C45" i="19"/>
  <c r="O44" i="5"/>
  <c r="I46" i="18" s="1"/>
  <c r="AS1" i="11"/>
  <c r="AT2" i="11"/>
  <c r="D243" i="18" l="1"/>
  <c r="M48" i="18"/>
  <c r="C755" i="3"/>
  <c r="B756" i="3"/>
  <c r="Q41" i="3"/>
  <c r="M40" i="3"/>
  <c r="U39" i="3"/>
  <c r="J39" i="3"/>
  <c r="F40" i="3"/>
  <c r="AT2" i="10"/>
  <c r="AS1" i="10"/>
  <c r="C46" i="19"/>
  <c r="O45" i="5"/>
  <c r="I47" i="18" s="1"/>
  <c r="AT1" i="11"/>
  <c r="AU2" i="11"/>
  <c r="D244" i="18" l="1"/>
  <c r="M49" i="18"/>
  <c r="B757" i="3"/>
  <c r="C756" i="3"/>
  <c r="Q42" i="3"/>
  <c r="F41" i="3"/>
  <c r="J40" i="3"/>
  <c r="U40" i="3"/>
  <c r="M41" i="3"/>
  <c r="AT1" i="10"/>
  <c r="AU2" i="10"/>
  <c r="AV2" i="11"/>
  <c r="AU1" i="11"/>
  <c r="O46" i="5"/>
  <c r="I48" i="18" s="1"/>
  <c r="C47" i="19"/>
  <c r="D245" i="18" l="1"/>
  <c r="M50" i="18"/>
  <c r="C757" i="3"/>
  <c r="B758" i="3"/>
  <c r="Q43" i="3"/>
  <c r="M42" i="3"/>
  <c r="U41" i="3"/>
  <c r="F42" i="3"/>
  <c r="J41" i="3"/>
  <c r="AV2" i="10"/>
  <c r="AU1" i="10"/>
  <c r="O47" i="5"/>
  <c r="I49" i="18" s="1"/>
  <c r="AW2" i="11"/>
  <c r="AV1" i="11"/>
  <c r="C48" i="19"/>
  <c r="D246" i="18" l="1"/>
  <c r="M51" i="18"/>
  <c r="C758" i="3"/>
  <c r="B759" i="3"/>
  <c r="Q44" i="3"/>
  <c r="F43" i="3"/>
  <c r="J42" i="3"/>
  <c r="M43" i="3"/>
  <c r="U42" i="3"/>
  <c r="AW2" i="10"/>
  <c r="AV1" i="10"/>
  <c r="AW1" i="11"/>
  <c r="AX2" i="11"/>
  <c r="C49" i="19"/>
  <c r="O48" i="5"/>
  <c r="I50" i="18" s="1"/>
  <c r="D247" i="18" l="1"/>
  <c r="M52" i="18"/>
  <c r="B760" i="3"/>
  <c r="C759" i="3"/>
  <c r="Q45" i="3"/>
  <c r="M44" i="3"/>
  <c r="U43" i="3"/>
  <c r="F44" i="3"/>
  <c r="J43" i="3"/>
  <c r="AX2" i="10"/>
  <c r="AW1" i="10"/>
  <c r="AX1" i="11"/>
  <c r="AY2" i="11"/>
  <c r="C50" i="19"/>
  <c r="O49" i="5"/>
  <c r="I51" i="18" s="1"/>
  <c r="D248" i="18" l="1"/>
  <c r="M53" i="18"/>
  <c r="C760" i="3"/>
  <c r="B761" i="3"/>
  <c r="Q46" i="3"/>
  <c r="F45" i="3"/>
  <c r="J44" i="3"/>
  <c r="U44" i="3"/>
  <c r="M45" i="3"/>
  <c r="AX1" i="10"/>
  <c r="AY2" i="10"/>
  <c r="C51" i="19"/>
  <c r="AZ2" i="11"/>
  <c r="AY1" i="11"/>
  <c r="O50" i="5"/>
  <c r="I52" i="18" s="1"/>
  <c r="D249" i="18" l="1"/>
  <c r="M54" i="18"/>
  <c r="B762" i="3"/>
  <c r="C761" i="3"/>
  <c r="Q47" i="3"/>
  <c r="M46" i="3"/>
  <c r="U45" i="3"/>
  <c r="F46" i="3"/>
  <c r="J45" i="3"/>
  <c r="AY1" i="10"/>
  <c r="AZ2" i="10"/>
  <c r="O51" i="5"/>
  <c r="I53" i="18" s="1"/>
  <c r="BA2" i="11"/>
  <c r="AZ1" i="11"/>
  <c r="C52" i="19"/>
  <c r="D250" i="18" l="1"/>
  <c r="M55" i="18"/>
  <c r="B763" i="3"/>
  <c r="C762" i="3"/>
  <c r="Q48" i="3"/>
  <c r="F47" i="3"/>
  <c r="J46" i="3"/>
  <c r="M47" i="3"/>
  <c r="U46" i="3"/>
  <c r="BA2" i="10"/>
  <c r="AZ1" i="10"/>
  <c r="BA1" i="11"/>
  <c r="BB2" i="11"/>
  <c r="O52" i="5"/>
  <c r="I54" i="18" s="1"/>
  <c r="C53" i="19"/>
  <c r="D251" i="18" l="1"/>
  <c r="M56" i="18"/>
  <c r="C763" i="3"/>
  <c r="B764" i="3"/>
  <c r="Q49" i="3"/>
  <c r="M48" i="3"/>
  <c r="U47" i="3"/>
  <c r="J47" i="3"/>
  <c r="F48" i="3"/>
  <c r="BA1" i="10"/>
  <c r="BB2" i="10"/>
  <c r="C54" i="19"/>
  <c r="O53" i="5"/>
  <c r="I55" i="18" s="1"/>
  <c r="BB1" i="11"/>
  <c r="BC2" i="11"/>
  <c r="D252" i="18" l="1"/>
  <c r="M57" i="18"/>
  <c r="B765" i="3"/>
  <c r="C764" i="3"/>
  <c r="Q50" i="3"/>
  <c r="F49" i="3"/>
  <c r="J48" i="3"/>
  <c r="M49" i="3"/>
  <c r="U48" i="3"/>
  <c r="BC2" i="10"/>
  <c r="BB1" i="10"/>
  <c r="O54" i="5"/>
  <c r="I56" i="18" s="1"/>
  <c r="C55" i="19"/>
  <c r="BD2" i="11"/>
  <c r="BC1" i="11"/>
  <c r="D253" i="18" l="1"/>
  <c r="M58" i="18"/>
  <c r="B766" i="3"/>
  <c r="C765" i="3"/>
  <c r="Q51" i="3"/>
  <c r="M50" i="3"/>
  <c r="U49" i="3"/>
  <c r="J49" i="3"/>
  <c r="F50" i="3"/>
  <c r="BC1" i="10"/>
  <c r="BD2" i="10"/>
  <c r="C56" i="19"/>
  <c r="O55" i="5"/>
  <c r="I57" i="18" s="1"/>
  <c r="BE2" i="11"/>
  <c r="BD1" i="11"/>
  <c r="D254" i="18" l="1"/>
  <c r="M59" i="18"/>
  <c r="C766" i="3"/>
  <c r="B767" i="3"/>
  <c r="Q52" i="3"/>
  <c r="F51" i="3"/>
  <c r="J50" i="3"/>
  <c r="M51" i="3"/>
  <c r="U50" i="3"/>
  <c r="BD1" i="10"/>
  <c r="BE2" i="10"/>
  <c r="O56" i="5"/>
  <c r="I58" i="18" s="1"/>
  <c r="C57" i="19"/>
  <c r="BE1" i="11"/>
  <c r="BF2" i="11"/>
  <c r="D255" i="18" l="1"/>
  <c r="M60" i="18"/>
  <c r="C767" i="3"/>
  <c r="B768" i="3"/>
  <c r="Q53" i="3"/>
  <c r="M52" i="3"/>
  <c r="U51" i="3"/>
  <c r="F52" i="3"/>
  <c r="J51" i="3"/>
  <c r="BF2" i="10"/>
  <c r="BE1" i="10"/>
  <c r="C58" i="19"/>
  <c r="O57" i="5"/>
  <c r="I59" i="18" s="1"/>
  <c r="BF1" i="11"/>
  <c r="BG2" i="11"/>
  <c r="D256" i="18" l="1"/>
  <c r="M61" i="18"/>
  <c r="B769" i="3"/>
  <c r="C768" i="3"/>
  <c r="Q54" i="3"/>
  <c r="F53" i="3"/>
  <c r="J52" i="3"/>
  <c r="M53" i="3"/>
  <c r="U52" i="3"/>
  <c r="BF1" i="10"/>
  <c r="BG2" i="10"/>
  <c r="C59" i="19"/>
  <c r="BH2" i="11"/>
  <c r="BG1" i="11"/>
  <c r="O58" i="5"/>
  <c r="I60" i="18" s="1"/>
  <c r="D257" i="18" l="1"/>
  <c r="M62" i="18"/>
  <c r="C769" i="3"/>
  <c r="B770" i="3"/>
  <c r="Q55" i="3"/>
  <c r="M54" i="3"/>
  <c r="U53" i="3"/>
  <c r="J53" i="3"/>
  <c r="F54" i="3"/>
  <c r="BH2" i="10"/>
  <c r="BG1" i="10"/>
  <c r="O59" i="5"/>
  <c r="I61" i="18" s="1"/>
  <c r="BI2" i="11"/>
  <c r="BH1" i="11"/>
  <c r="C60" i="19"/>
  <c r="D258" i="18" l="1"/>
  <c r="M63" i="18"/>
  <c r="C770" i="3"/>
  <c r="B771" i="3"/>
  <c r="Q56" i="3"/>
  <c r="F55" i="3"/>
  <c r="J54" i="3"/>
  <c r="M55" i="3"/>
  <c r="U54" i="3"/>
  <c r="BI2" i="10"/>
  <c r="BH1" i="10"/>
  <c r="BI1" i="11"/>
  <c r="BJ2" i="11"/>
  <c r="C61" i="19"/>
  <c r="O60" i="5"/>
  <c r="I62" i="18" s="1"/>
  <c r="D259" i="18" l="1"/>
  <c r="M64" i="18"/>
  <c r="C771" i="3"/>
  <c r="B772" i="3"/>
  <c r="Q57" i="3"/>
  <c r="M56" i="3"/>
  <c r="U55" i="3"/>
  <c r="J55" i="3"/>
  <c r="F56" i="3"/>
  <c r="BJ2" i="10"/>
  <c r="BI1" i="10"/>
  <c r="O61" i="5"/>
  <c r="I63" i="18" s="1"/>
  <c r="BJ1" i="11"/>
  <c r="BK2" i="11"/>
  <c r="C62" i="19"/>
  <c r="D260" i="18" l="1"/>
  <c r="M65" i="18"/>
  <c r="C772" i="3"/>
  <c r="B773" i="3"/>
  <c r="Q58" i="3"/>
  <c r="F57" i="3"/>
  <c r="J56" i="3"/>
  <c r="M57" i="3"/>
  <c r="U56" i="3"/>
  <c r="BJ1" i="10"/>
  <c r="BK2" i="10"/>
  <c r="C63" i="19"/>
  <c r="BL2" i="11"/>
  <c r="BK1" i="11"/>
  <c r="O62" i="5"/>
  <c r="I64" i="18" s="1"/>
  <c r="D261" i="18" l="1"/>
  <c r="M66" i="18"/>
  <c r="B774" i="3"/>
  <c r="C773" i="3"/>
  <c r="Q59" i="3"/>
  <c r="M58" i="3"/>
  <c r="U57" i="3"/>
  <c r="F58" i="3"/>
  <c r="J57" i="3"/>
  <c r="BK1" i="10"/>
  <c r="BL2" i="10"/>
  <c r="BM2" i="11"/>
  <c r="BL1" i="11"/>
  <c r="O63" i="5"/>
  <c r="I65" i="18" s="1"/>
  <c r="C64" i="19"/>
  <c r="D262" i="18" l="1"/>
  <c r="M67" i="18"/>
  <c r="B775" i="3"/>
  <c r="C774" i="3"/>
  <c r="Q60" i="3"/>
  <c r="F59" i="3"/>
  <c r="J58" i="3"/>
  <c r="U58" i="3"/>
  <c r="M59" i="3"/>
  <c r="BM2" i="10"/>
  <c r="BL1" i="10"/>
  <c r="O64" i="5"/>
  <c r="I66" i="18" s="1"/>
  <c r="C65" i="19"/>
  <c r="BM1" i="11"/>
  <c r="BN2" i="11"/>
  <c r="D263" i="18" l="1"/>
  <c r="M68" i="18"/>
  <c r="C775" i="3"/>
  <c r="B776" i="3"/>
  <c r="Q61" i="3"/>
  <c r="M60" i="3"/>
  <c r="U59" i="3"/>
  <c r="F60" i="3"/>
  <c r="J59" i="3"/>
  <c r="BN2" i="10"/>
  <c r="BM1" i="10"/>
  <c r="C66" i="19"/>
  <c r="O65" i="5"/>
  <c r="I67" i="18" s="1"/>
  <c r="BN1" i="11"/>
  <c r="BO2" i="11"/>
  <c r="D264" i="18" l="1"/>
  <c r="M69" i="18"/>
  <c r="C776" i="3"/>
  <c r="B777" i="3"/>
  <c r="Q62" i="3"/>
  <c r="F61" i="3"/>
  <c r="J60" i="3"/>
  <c r="M61" i="3"/>
  <c r="U60" i="3"/>
  <c r="BN1" i="10"/>
  <c r="BO2" i="10"/>
  <c r="C67" i="19"/>
  <c r="BP2" i="11"/>
  <c r="BO1" i="11"/>
  <c r="O66" i="5"/>
  <c r="I68" i="18" s="1"/>
  <c r="D265" i="18" l="1"/>
  <c r="M70" i="18"/>
  <c r="B778" i="3"/>
  <c r="C777" i="3"/>
  <c r="Q63" i="3"/>
  <c r="M62" i="3"/>
  <c r="U61" i="3"/>
  <c r="F62" i="3"/>
  <c r="J61" i="3"/>
  <c r="BP2" i="10"/>
  <c r="BO1" i="10"/>
  <c r="BQ2" i="11"/>
  <c r="BP1" i="11"/>
  <c r="O67" i="5"/>
  <c r="I69" i="18" s="1"/>
  <c r="C68" i="19"/>
  <c r="D266" i="18" l="1"/>
  <c r="M71" i="18"/>
  <c r="B779" i="3"/>
  <c r="C778" i="3"/>
  <c r="Q64" i="3"/>
  <c r="F63" i="3"/>
  <c r="J62" i="3"/>
  <c r="M63" i="3"/>
  <c r="U62" i="3"/>
  <c r="BQ2" i="10"/>
  <c r="BP1" i="10"/>
  <c r="BQ1" i="11"/>
  <c r="BR2" i="11"/>
  <c r="C69" i="19"/>
  <c r="O68" i="5"/>
  <c r="I70" i="18" s="1"/>
  <c r="D267" i="18" l="1"/>
  <c r="M72" i="18"/>
  <c r="B780" i="3"/>
  <c r="C779" i="3"/>
  <c r="Q65" i="3"/>
  <c r="M64" i="3"/>
  <c r="U63" i="3"/>
  <c r="F64" i="3"/>
  <c r="J63" i="3"/>
  <c r="BR2" i="10"/>
  <c r="BQ1" i="10"/>
  <c r="O69" i="5"/>
  <c r="I71" i="18" s="1"/>
  <c r="C70" i="19"/>
  <c r="BR1" i="11"/>
  <c r="BS2" i="11"/>
  <c r="D268" i="18" l="1"/>
  <c r="M73" i="18"/>
  <c r="C780" i="3"/>
  <c r="B781" i="3"/>
  <c r="Q66" i="3"/>
  <c r="F65" i="3"/>
  <c r="J64" i="3"/>
  <c r="M65" i="3"/>
  <c r="U64" i="3"/>
  <c r="BR1" i="10"/>
  <c r="BS2" i="10"/>
  <c r="BT2" i="11"/>
  <c r="BS1" i="11"/>
  <c r="O70" i="5"/>
  <c r="I72" i="18" s="1"/>
  <c r="C71" i="19"/>
  <c r="D269" i="18" l="1"/>
  <c r="M74" i="18"/>
  <c r="C781" i="3"/>
  <c r="B782" i="3"/>
  <c r="Q67" i="3"/>
  <c r="M66" i="3"/>
  <c r="U65" i="3"/>
  <c r="F66" i="3"/>
  <c r="J65" i="3"/>
  <c r="BT2" i="10"/>
  <c r="BS1" i="10"/>
  <c r="O71" i="5"/>
  <c r="I73" i="18" s="1"/>
  <c r="C72" i="19"/>
  <c r="BU2" i="11"/>
  <c r="BT1" i="11"/>
  <c r="D270" i="18" l="1"/>
  <c r="M75" i="18"/>
  <c r="C782" i="3"/>
  <c r="B783" i="3"/>
  <c r="Q68" i="3"/>
  <c r="F67" i="3"/>
  <c r="J66" i="3"/>
  <c r="U66" i="3"/>
  <c r="M67" i="3"/>
  <c r="BU2" i="10"/>
  <c r="BT1" i="10"/>
  <c r="O72" i="5"/>
  <c r="I74" i="18" s="1"/>
  <c r="C73" i="19"/>
  <c r="BU1" i="11"/>
  <c r="BV2" i="11"/>
  <c r="D271" i="18" l="1"/>
  <c r="M76" i="18"/>
  <c r="B784" i="3"/>
  <c r="C783" i="3"/>
  <c r="Q69" i="3"/>
  <c r="M68" i="3"/>
  <c r="U67" i="3"/>
  <c r="J67" i="3"/>
  <c r="F68" i="3"/>
  <c r="BV2" i="10"/>
  <c r="BU1" i="10"/>
  <c r="O73" i="5"/>
  <c r="I75" i="18" s="1"/>
  <c r="C74" i="19"/>
  <c r="BV1" i="11"/>
  <c r="BW2" i="11"/>
  <c r="D272" i="18" l="1"/>
  <c r="M77" i="18"/>
  <c r="C784" i="3"/>
  <c r="B785" i="3"/>
  <c r="Q70" i="3"/>
  <c r="F69" i="3"/>
  <c r="J68" i="3"/>
  <c r="M69" i="3"/>
  <c r="U68" i="3"/>
  <c r="BW2" i="10"/>
  <c r="BV1" i="10"/>
  <c r="BX2" i="11"/>
  <c r="BW1" i="11"/>
  <c r="C75" i="19"/>
  <c r="O74" i="5"/>
  <c r="I76" i="18" s="1"/>
  <c r="D273" i="18" l="1"/>
  <c r="M78" i="18"/>
  <c r="B786" i="3"/>
  <c r="C785" i="3"/>
  <c r="Q71" i="3"/>
  <c r="M70" i="3"/>
  <c r="U69" i="3"/>
  <c r="F70" i="3"/>
  <c r="J69" i="3"/>
  <c r="BX2" i="10"/>
  <c r="BW1" i="10"/>
  <c r="O75" i="5"/>
  <c r="I77" i="18" s="1"/>
  <c r="C76" i="19"/>
  <c r="BY2" i="11"/>
  <c r="BX1" i="11"/>
  <c r="D274" i="18" l="1"/>
  <c r="M79" i="18"/>
  <c r="B787" i="3"/>
  <c r="C786" i="3"/>
  <c r="Q72" i="3"/>
  <c r="F71" i="3"/>
  <c r="J70" i="3"/>
  <c r="M71" i="3"/>
  <c r="U70" i="3"/>
  <c r="BY2" i="10"/>
  <c r="BX1" i="10"/>
  <c r="BY1" i="11"/>
  <c r="BZ2" i="11"/>
  <c r="C77" i="19"/>
  <c r="O76" i="5"/>
  <c r="I78" i="18" s="1"/>
  <c r="D275" i="18" l="1"/>
  <c r="M80" i="18"/>
  <c r="C787" i="3"/>
  <c r="B788" i="3"/>
  <c r="Q73" i="3"/>
  <c r="M72" i="3"/>
  <c r="U71" i="3"/>
  <c r="F72" i="3"/>
  <c r="J71" i="3"/>
  <c r="BZ2" i="10"/>
  <c r="BY1" i="10"/>
  <c r="O77" i="5"/>
  <c r="I79" i="18" s="1"/>
  <c r="C78" i="19"/>
  <c r="BZ1" i="11"/>
  <c r="CA2" i="11"/>
  <c r="D276" i="18" l="1"/>
  <c r="M81" i="18"/>
  <c r="C788" i="3"/>
  <c r="B789" i="3"/>
  <c r="Q74" i="3"/>
  <c r="F73" i="3"/>
  <c r="J72" i="3"/>
  <c r="M73" i="3"/>
  <c r="U72" i="3"/>
  <c r="BZ1" i="10"/>
  <c r="CA2" i="10"/>
  <c r="O78" i="5"/>
  <c r="I80" i="18" s="1"/>
  <c r="CB2" i="11"/>
  <c r="CA1" i="11"/>
  <c r="C79" i="19"/>
  <c r="D277" i="18" l="1"/>
  <c r="M82" i="18"/>
  <c r="B790" i="3"/>
  <c r="C789" i="3"/>
  <c r="Q75" i="3"/>
  <c r="M74" i="3"/>
  <c r="U73" i="3"/>
  <c r="F74" i="3"/>
  <c r="J73" i="3"/>
  <c r="CB2" i="10"/>
  <c r="CA1" i="10"/>
  <c r="CC2" i="11"/>
  <c r="CB1" i="11"/>
  <c r="C80" i="19"/>
  <c r="O79" i="5"/>
  <c r="I81" i="18" s="1"/>
  <c r="D278" i="18" l="1"/>
  <c r="M83" i="18"/>
  <c r="C790" i="3"/>
  <c r="B791" i="3"/>
  <c r="Q76" i="3"/>
  <c r="F75" i="3"/>
  <c r="J74" i="3"/>
  <c r="M75" i="3"/>
  <c r="U74" i="3"/>
  <c r="CC2" i="10"/>
  <c r="CB1" i="10"/>
  <c r="C81" i="19"/>
  <c r="CC1" i="11"/>
  <c r="CD2" i="11"/>
  <c r="O80" i="5"/>
  <c r="I82" i="18" s="1"/>
  <c r="D279" i="18" l="1"/>
  <c r="M84" i="18"/>
  <c r="B792" i="3"/>
  <c r="C791" i="3"/>
  <c r="Q77" i="3"/>
  <c r="M76" i="3"/>
  <c r="U75" i="3"/>
  <c r="J75" i="3"/>
  <c r="F76" i="3"/>
  <c r="CD2" i="10"/>
  <c r="CC1" i="10"/>
  <c r="C82" i="19"/>
  <c r="O81" i="5"/>
  <c r="I83" i="18" s="1"/>
  <c r="CD1" i="11"/>
  <c r="CE2" i="11"/>
  <c r="D280" i="18" l="1"/>
  <c r="M85" i="18"/>
  <c r="C792" i="3"/>
  <c r="B793" i="3"/>
  <c r="Q78" i="3"/>
  <c r="F77" i="3"/>
  <c r="J76" i="3"/>
  <c r="M77" i="3"/>
  <c r="U76" i="3"/>
  <c r="CD1" i="10"/>
  <c r="CE2" i="10"/>
  <c r="O82" i="5"/>
  <c r="I84" i="18" s="1"/>
  <c r="CF2" i="11"/>
  <c r="CE1" i="11"/>
  <c r="C83" i="19"/>
  <c r="D281" i="18" l="1"/>
  <c r="M86" i="18"/>
  <c r="C793" i="3"/>
  <c r="B794" i="3"/>
  <c r="Q79" i="3"/>
  <c r="M78" i="3"/>
  <c r="U77" i="3"/>
  <c r="F78" i="3"/>
  <c r="J77" i="3"/>
  <c r="CF2" i="10"/>
  <c r="CE1" i="10"/>
  <c r="CG2" i="11"/>
  <c r="CF1" i="11"/>
  <c r="O83" i="5"/>
  <c r="I85" i="18" s="1"/>
  <c r="C84" i="19"/>
  <c r="D282" i="18" l="1"/>
  <c r="M87" i="18"/>
  <c r="B795" i="3"/>
  <c r="C794" i="3"/>
  <c r="Q80" i="3"/>
  <c r="F79" i="3"/>
  <c r="J78" i="3"/>
  <c r="U78" i="3"/>
  <c r="M79" i="3"/>
  <c r="CG2" i="10"/>
  <c r="CF1" i="10"/>
  <c r="C85" i="19"/>
  <c r="O84" i="5"/>
  <c r="I86" i="18" s="1"/>
  <c r="CG1" i="11"/>
  <c r="CH2" i="11"/>
  <c r="D283" i="18" l="1"/>
  <c r="M88" i="18"/>
  <c r="C795" i="3"/>
  <c r="B796" i="3"/>
  <c r="Q81" i="3"/>
  <c r="M80" i="3"/>
  <c r="U79" i="3"/>
  <c r="J79" i="3"/>
  <c r="F80" i="3"/>
  <c r="CH2" i="10"/>
  <c r="CG1" i="10"/>
  <c r="O85" i="5"/>
  <c r="I87" i="18" s="1"/>
  <c r="CH1" i="11"/>
  <c r="CI2" i="11"/>
  <c r="C86" i="19"/>
  <c r="D284" i="18" l="1"/>
  <c r="M89" i="18"/>
  <c r="C796" i="3"/>
  <c r="B797" i="3"/>
  <c r="B798" i="3" s="1"/>
  <c r="Q82" i="3"/>
  <c r="F81" i="3"/>
  <c r="J80" i="3"/>
  <c r="M81" i="3"/>
  <c r="U80" i="3"/>
  <c r="CH1" i="10"/>
  <c r="CI2" i="10"/>
  <c r="CJ2" i="11"/>
  <c r="CI1" i="11"/>
  <c r="O86" i="5"/>
  <c r="I88" i="18" s="1"/>
  <c r="C87" i="19"/>
  <c r="D285" i="18" l="1"/>
  <c r="M90" i="18"/>
  <c r="B799" i="3"/>
  <c r="C798" i="3"/>
  <c r="C797" i="3"/>
  <c r="Q83" i="3"/>
  <c r="M82" i="3"/>
  <c r="U81" i="3"/>
  <c r="F82" i="3"/>
  <c r="J81" i="3"/>
  <c r="CJ2" i="10"/>
  <c r="CI1" i="10"/>
  <c r="C88" i="19"/>
  <c r="O87" i="5"/>
  <c r="I89" i="18" s="1"/>
  <c r="CK2" i="11"/>
  <c r="CJ1" i="11"/>
  <c r="D286" i="18" l="1"/>
  <c r="M91" i="18"/>
  <c r="B800" i="3"/>
  <c r="C799" i="3"/>
  <c r="Q84" i="3"/>
  <c r="F83" i="3"/>
  <c r="J82" i="3"/>
  <c r="U82" i="3"/>
  <c r="M83" i="3"/>
  <c r="CJ1" i="10"/>
  <c r="CK2" i="10"/>
  <c r="O88" i="5"/>
  <c r="I90" i="18" s="1"/>
  <c r="CK1" i="11"/>
  <c r="CL2" i="11"/>
  <c r="C89" i="19"/>
  <c r="D287" i="18" l="1"/>
  <c r="M92" i="18"/>
  <c r="C800" i="3"/>
  <c r="B801" i="3"/>
  <c r="Q85" i="3"/>
  <c r="M84" i="3"/>
  <c r="U83" i="3"/>
  <c r="J83" i="3"/>
  <c r="F84" i="3"/>
  <c r="CL2" i="10"/>
  <c r="CK1" i="10"/>
  <c r="CL1" i="11"/>
  <c r="CM2" i="11"/>
  <c r="C90" i="19"/>
  <c r="O89" i="5"/>
  <c r="I91" i="18" s="1"/>
  <c r="D288" i="18" l="1"/>
  <c r="M93" i="18"/>
  <c r="C801" i="3"/>
  <c r="B802" i="3"/>
  <c r="Q86" i="3"/>
  <c r="F85" i="3"/>
  <c r="J84" i="3"/>
  <c r="M85" i="3"/>
  <c r="U84" i="3"/>
  <c r="CM2" i="10"/>
  <c r="CL1" i="10"/>
  <c r="O90" i="5"/>
  <c r="I92" i="18" s="1"/>
  <c r="C91" i="19"/>
  <c r="CN2" i="11"/>
  <c r="CM1" i="11"/>
  <c r="D289" i="18" l="1"/>
  <c r="M94" i="18"/>
  <c r="C802" i="3"/>
  <c r="B803" i="3"/>
  <c r="Q87" i="3"/>
  <c r="M86" i="3"/>
  <c r="U85" i="3"/>
  <c r="J85" i="3"/>
  <c r="F86" i="3"/>
  <c r="CN2" i="10"/>
  <c r="CM1" i="10"/>
  <c r="CO2" i="11"/>
  <c r="CN1" i="11"/>
  <c r="O91" i="5"/>
  <c r="I93" i="18" s="1"/>
  <c r="C92" i="19"/>
  <c r="D290" i="18" l="1"/>
  <c r="M95" i="18"/>
  <c r="C803" i="3"/>
  <c r="B804" i="3"/>
  <c r="Q88" i="3"/>
  <c r="F87" i="3"/>
  <c r="J86" i="3"/>
  <c r="M87" i="3"/>
  <c r="U86" i="3"/>
  <c r="CO2" i="10"/>
  <c r="CN1" i="10"/>
  <c r="CO1" i="11"/>
  <c r="CP2" i="11"/>
  <c r="O92" i="5"/>
  <c r="I94" i="18" s="1"/>
  <c r="C93" i="19"/>
  <c r="D291" i="18" l="1"/>
  <c r="M96" i="18"/>
  <c r="B805" i="3"/>
  <c r="C804" i="3"/>
  <c r="Q89" i="3"/>
  <c r="M88" i="3"/>
  <c r="U87" i="3"/>
  <c r="F88" i="3"/>
  <c r="J87" i="3"/>
  <c r="CP2" i="10"/>
  <c r="CO1" i="10"/>
  <c r="C94" i="19"/>
  <c r="O93" i="5"/>
  <c r="I95" i="18" s="1"/>
  <c r="CP1" i="11"/>
  <c r="CQ2" i="11"/>
  <c r="D292" i="18" l="1"/>
  <c r="M97" i="18"/>
  <c r="B806" i="3"/>
  <c r="C805" i="3"/>
  <c r="Q90" i="3"/>
  <c r="F89" i="3"/>
  <c r="J88" i="3"/>
  <c r="U88" i="3"/>
  <c r="M89" i="3"/>
  <c r="CQ2" i="10"/>
  <c r="CP1" i="10"/>
  <c r="C95" i="19"/>
  <c r="CR2" i="11"/>
  <c r="CQ1" i="11"/>
  <c r="O94" i="5"/>
  <c r="I96" i="18" s="1"/>
  <c r="D293" i="18" l="1"/>
  <c r="M98" i="18"/>
  <c r="B807" i="3"/>
  <c r="C806" i="3"/>
  <c r="Q91" i="3"/>
  <c r="M90" i="3"/>
  <c r="U89" i="3"/>
  <c r="F90" i="3"/>
  <c r="J89" i="3"/>
  <c r="CQ1" i="10"/>
  <c r="CR2" i="10"/>
  <c r="CS2" i="11"/>
  <c r="CR1" i="11"/>
  <c r="O95" i="5"/>
  <c r="I97" i="18" s="1"/>
  <c r="C96" i="19"/>
  <c r="D294" i="18" l="1"/>
  <c r="D295" i="18" s="1"/>
  <c r="D296" i="18" s="1"/>
  <c r="D297" i="18" s="1"/>
  <c r="D298" i="18" s="1"/>
  <c r="D299" i="18" s="1"/>
  <c r="D300" i="18" s="1"/>
  <c r="D301" i="18" s="1"/>
  <c r="D302" i="18" s="1"/>
  <c r="D303" i="18" s="1"/>
  <c r="D304" i="18" s="1"/>
  <c r="D305" i="18" s="1"/>
  <c r="D306" i="18" s="1"/>
  <c r="D307" i="18" s="1"/>
  <c r="D308" i="18" s="1"/>
  <c r="D309" i="18" s="1"/>
  <c r="D310" i="18" s="1"/>
  <c r="D311" i="18" s="1"/>
  <c r="D312" i="18" s="1"/>
  <c r="D313" i="18" s="1"/>
  <c r="D314" i="18" s="1"/>
  <c r="D315" i="18" s="1"/>
  <c r="D316" i="18" s="1"/>
  <c r="D317" i="18" s="1"/>
  <c r="D318" i="18" s="1"/>
  <c r="D319" i="18" s="1"/>
  <c r="D320" i="18" s="1"/>
  <c r="D321" i="18" s="1"/>
  <c r="D322" i="18" s="1"/>
  <c r="D323" i="18" s="1"/>
  <c r="D324" i="18" s="1"/>
  <c r="D325" i="18" s="1"/>
  <c r="D326" i="18" s="1"/>
  <c r="D327" i="18" s="1"/>
  <c r="D328" i="18" s="1"/>
  <c r="D329" i="18" s="1"/>
  <c r="D330" i="18" s="1"/>
  <c r="D331" i="18" s="1"/>
  <c r="D332" i="18" s="1"/>
  <c r="D333" i="18" s="1"/>
  <c r="D334" i="18" s="1"/>
  <c r="D335" i="18" s="1"/>
  <c r="D336" i="18" s="1"/>
  <c r="D337" i="18" s="1"/>
  <c r="D338" i="18" s="1"/>
  <c r="D339" i="18" s="1"/>
  <c r="D340" i="18" s="1"/>
  <c r="D341" i="18" s="1"/>
  <c r="D342" i="18" s="1"/>
  <c r="D343" i="18" s="1"/>
  <c r="D344" i="18" s="1"/>
  <c r="D345" i="18" s="1"/>
  <c r="D346" i="18" s="1"/>
  <c r="D347" i="18" s="1"/>
  <c r="D348" i="18" s="1"/>
  <c r="D349" i="18" s="1"/>
  <c r="D350" i="18" s="1"/>
  <c r="D351" i="18" s="1"/>
  <c r="D352" i="18" s="1"/>
  <c r="D353" i="18" s="1"/>
  <c r="D354" i="18" s="1"/>
  <c r="D355" i="18" s="1"/>
  <c r="D356" i="18" s="1"/>
  <c r="D357" i="18" s="1"/>
  <c r="D358" i="18" s="1"/>
  <c r="D359" i="18" s="1"/>
  <c r="D360" i="18" s="1"/>
  <c r="D361" i="18" s="1"/>
  <c r="D362" i="18" s="1"/>
  <c r="D363" i="18" s="1"/>
  <c r="D364" i="18" s="1"/>
  <c r="D365" i="18" s="1"/>
  <c r="D366" i="18" s="1"/>
  <c r="D367" i="18" s="1"/>
  <c r="D368" i="18" s="1"/>
  <c r="D369" i="18" s="1"/>
  <c r="D370" i="18" s="1"/>
  <c r="D371" i="18" s="1"/>
  <c r="D372" i="18" s="1"/>
  <c r="D373" i="18" s="1"/>
  <c r="D374" i="18" s="1"/>
  <c r="D375" i="18" s="1"/>
  <c r="D376" i="18" s="1"/>
  <c r="D377" i="18" s="1"/>
  <c r="D378" i="18" s="1"/>
  <c r="D379" i="18" s="1"/>
  <c r="D380" i="18" s="1"/>
  <c r="D381" i="18" s="1"/>
  <c r="D382" i="18" s="1"/>
  <c r="D383" i="18" s="1"/>
  <c r="D384" i="18" s="1"/>
  <c r="D385" i="18" s="1"/>
  <c r="D386" i="18" s="1"/>
  <c r="D387" i="18" s="1"/>
  <c r="D388" i="18" s="1"/>
  <c r="D389" i="18" s="1"/>
  <c r="D390" i="18" s="1"/>
  <c r="D391" i="18" s="1"/>
  <c r="D392" i="18" s="1"/>
  <c r="D393" i="18" s="1"/>
  <c r="D394" i="18" s="1"/>
  <c r="D395" i="18" s="1"/>
  <c r="D396" i="18" s="1"/>
  <c r="D397" i="18" s="1"/>
  <c r="D398" i="18" s="1"/>
  <c r="D399" i="18" s="1"/>
  <c r="D400" i="18" s="1"/>
  <c r="D401" i="18" s="1"/>
  <c r="D402" i="18" s="1"/>
  <c r="D403" i="18" s="1"/>
  <c r="D404" i="18" s="1"/>
  <c r="D405" i="18" s="1"/>
  <c r="D406" i="18" s="1"/>
  <c r="D407" i="18" s="1"/>
  <c r="D408" i="18" s="1"/>
  <c r="D409" i="18" s="1"/>
  <c r="D410" i="18" s="1"/>
  <c r="D411" i="18" s="1"/>
  <c r="D412" i="18" s="1"/>
  <c r="D413" i="18" s="1"/>
  <c r="D414" i="18" s="1"/>
  <c r="D415" i="18" s="1"/>
  <c r="D416" i="18" s="1"/>
  <c r="D417" i="18" s="1"/>
  <c r="D418" i="18" s="1"/>
  <c r="D419" i="18" s="1"/>
  <c r="D420" i="18" s="1"/>
  <c r="D421" i="18" s="1"/>
  <c r="D422" i="18" s="1"/>
  <c r="D423" i="18" s="1"/>
  <c r="D424" i="18" s="1"/>
  <c r="D425" i="18" s="1"/>
  <c r="D426" i="18" s="1"/>
  <c r="D427" i="18" s="1"/>
  <c r="D428" i="18" s="1"/>
  <c r="D429" i="18" s="1"/>
  <c r="D430" i="18" s="1"/>
  <c r="D431" i="18" s="1"/>
  <c r="D432" i="18" s="1"/>
  <c r="D433" i="18" s="1"/>
  <c r="D434" i="18" s="1"/>
  <c r="D435" i="18" s="1"/>
  <c r="D436" i="18" s="1"/>
  <c r="D437" i="18" s="1"/>
  <c r="D438" i="18" s="1"/>
  <c r="D439" i="18" s="1"/>
  <c r="D440" i="18" s="1"/>
  <c r="D441" i="18" s="1"/>
  <c r="D442" i="18" s="1"/>
  <c r="D443" i="18" s="1"/>
  <c r="D444" i="18" s="1"/>
  <c r="D445" i="18" s="1"/>
  <c r="D446" i="18" s="1"/>
  <c r="D447" i="18" s="1"/>
  <c r="D448" i="18" s="1"/>
  <c r="D449" i="18" s="1"/>
  <c r="D450" i="18" s="1"/>
  <c r="D451" i="18" s="1"/>
  <c r="D452" i="18" s="1"/>
  <c r="D453" i="18" s="1"/>
  <c r="D454" i="18" s="1"/>
  <c r="D455" i="18" s="1"/>
  <c r="D456" i="18" s="1"/>
  <c r="D457" i="18" s="1"/>
  <c r="D458" i="18" s="1"/>
  <c r="D459" i="18" s="1"/>
  <c r="D460" i="18" s="1"/>
  <c r="D461" i="18" s="1"/>
  <c r="D462" i="18" s="1"/>
  <c r="D463" i="18" s="1"/>
  <c r="D464" i="18" s="1"/>
  <c r="D465" i="18" s="1"/>
  <c r="D466" i="18" s="1"/>
  <c r="D467" i="18" s="1"/>
  <c r="D468" i="18" s="1"/>
  <c r="D469" i="18" s="1"/>
  <c r="D470" i="18" s="1"/>
  <c r="D471" i="18" s="1"/>
  <c r="D472" i="18" s="1"/>
  <c r="D473" i="18" s="1"/>
  <c r="D474" i="18" s="1"/>
  <c r="D475" i="18" s="1"/>
  <c r="D476" i="18" s="1"/>
  <c r="D477" i="18" s="1"/>
  <c r="D478" i="18" s="1"/>
  <c r="D479" i="18" s="1"/>
  <c r="D480" i="18" s="1"/>
  <c r="D481" i="18" s="1"/>
  <c r="D482" i="18" s="1"/>
  <c r="D483" i="18" s="1"/>
  <c r="D484" i="18" s="1"/>
  <c r="D485" i="18" s="1"/>
  <c r="D486" i="18" s="1"/>
  <c r="D487" i="18" s="1"/>
  <c r="D488" i="18" s="1"/>
  <c r="D489" i="18" s="1"/>
  <c r="D490" i="18" s="1"/>
  <c r="D491" i="18" s="1"/>
  <c r="D492" i="18" s="1"/>
  <c r="D493" i="18" s="1"/>
  <c r="D494" i="18" s="1"/>
  <c r="D495" i="18" s="1"/>
  <c r="D496" i="18" s="1"/>
  <c r="D497" i="18" s="1"/>
  <c r="D498" i="18" s="1"/>
  <c r="D499" i="18" s="1"/>
  <c r="D500" i="18" s="1"/>
  <c r="D501" i="18" s="1"/>
  <c r="D502" i="18" s="1"/>
  <c r="D503" i="18" s="1"/>
  <c r="D504" i="18" s="1"/>
  <c r="D505" i="18" s="1"/>
  <c r="D506" i="18" s="1"/>
  <c r="D507" i="18" s="1"/>
  <c r="D508" i="18" s="1"/>
  <c r="D509" i="18" s="1"/>
  <c r="D510" i="18" s="1"/>
  <c r="D511" i="18" s="1"/>
  <c r="D512" i="18" s="1"/>
  <c r="D513" i="18" s="1"/>
  <c r="D514" i="18" s="1"/>
  <c r="D515" i="18" s="1"/>
  <c r="D516" i="18" s="1"/>
  <c r="D517" i="18" s="1"/>
  <c r="D518" i="18" s="1"/>
  <c r="D519" i="18" s="1"/>
  <c r="D520" i="18" s="1"/>
  <c r="D521" i="18" s="1"/>
  <c r="D522" i="18" s="1"/>
  <c r="D523" i="18" s="1"/>
  <c r="D524" i="18" s="1"/>
  <c r="D525" i="18" s="1"/>
  <c r="D526" i="18" s="1"/>
  <c r="D527" i="18" s="1"/>
  <c r="D528" i="18" s="1"/>
  <c r="D529" i="18" s="1"/>
  <c r="D530" i="18" s="1"/>
  <c r="D531" i="18" s="1"/>
  <c r="D532" i="18" s="1"/>
  <c r="D533" i="18" s="1"/>
  <c r="D534" i="18" s="1"/>
  <c r="D535" i="18" s="1"/>
  <c r="D536" i="18" s="1"/>
  <c r="D537" i="18" s="1"/>
  <c r="D538" i="18" s="1"/>
  <c r="D539" i="18" s="1"/>
  <c r="D540" i="18" s="1"/>
  <c r="D541" i="18" s="1"/>
  <c r="D542" i="18" s="1"/>
  <c r="D543" i="18" s="1"/>
  <c r="D544" i="18" s="1"/>
  <c r="D545" i="18" s="1"/>
  <c r="D546" i="18" s="1"/>
  <c r="D547" i="18" s="1"/>
  <c r="D548" i="18" s="1"/>
  <c r="D549" i="18" s="1"/>
  <c r="D550" i="18" s="1"/>
  <c r="D551" i="18" s="1"/>
  <c r="D552" i="18" s="1"/>
  <c r="D553" i="18" s="1"/>
  <c r="D554" i="18" s="1"/>
  <c r="D555" i="18" s="1"/>
  <c r="D556" i="18" s="1"/>
  <c r="D557" i="18" s="1"/>
  <c r="D558" i="18" s="1"/>
  <c r="D559" i="18" s="1"/>
  <c r="D560" i="18" s="1"/>
  <c r="D561" i="18" s="1"/>
  <c r="D562" i="18" s="1"/>
  <c r="D563" i="18" s="1"/>
  <c r="D564" i="18" s="1"/>
  <c r="D565" i="18" s="1"/>
  <c r="D566" i="18" s="1"/>
  <c r="D567" i="18" s="1"/>
  <c r="D568" i="18" s="1"/>
  <c r="D569" i="18" s="1"/>
  <c r="D570" i="18" s="1"/>
  <c r="D571" i="18" s="1"/>
  <c r="D572" i="18" s="1"/>
  <c r="D573" i="18" s="1"/>
  <c r="D574" i="18" s="1"/>
  <c r="D575" i="18" s="1"/>
  <c r="D576" i="18" s="1"/>
  <c r="D577" i="18" s="1"/>
  <c r="D578" i="18" s="1"/>
  <c r="D579" i="18" s="1"/>
  <c r="D580" i="18" s="1"/>
  <c r="D581" i="18" s="1"/>
  <c r="D582" i="18" s="1"/>
  <c r="D583" i="18" s="1"/>
  <c r="D584" i="18" s="1"/>
  <c r="D585" i="18" s="1"/>
  <c r="D586" i="18" s="1"/>
  <c r="D587" i="18" s="1"/>
  <c r="D588" i="18" s="1"/>
  <c r="D589" i="18" s="1"/>
  <c r="D590" i="18" s="1"/>
  <c r="D591" i="18" s="1"/>
  <c r="D592" i="18" s="1"/>
  <c r="D593" i="18" s="1"/>
  <c r="D594" i="18" s="1"/>
  <c r="D595" i="18" s="1"/>
  <c r="D596" i="18" s="1"/>
  <c r="D597" i="18" s="1"/>
  <c r="D598" i="18" s="1"/>
  <c r="D599" i="18" s="1"/>
  <c r="D600" i="18" s="1"/>
  <c r="D601" i="18" s="1"/>
  <c r="D602" i="18" s="1"/>
  <c r="D603" i="18" s="1"/>
  <c r="D604" i="18" s="1"/>
  <c r="D605" i="18" s="1"/>
  <c r="D606" i="18" s="1"/>
  <c r="D607" i="18" s="1"/>
  <c r="D608" i="18" s="1"/>
  <c r="D609" i="18" s="1"/>
  <c r="D610" i="18" s="1"/>
  <c r="D611" i="18" s="1"/>
  <c r="D612" i="18" s="1"/>
  <c r="D613" i="18" s="1"/>
  <c r="D614" i="18" s="1"/>
  <c r="D615" i="18" s="1"/>
  <c r="D616" i="18" s="1"/>
  <c r="D617" i="18" s="1"/>
  <c r="D618" i="18" s="1"/>
  <c r="D619" i="18" s="1"/>
  <c r="D620" i="18" s="1"/>
  <c r="D621" i="18" s="1"/>
  <c r="D622" i="18" s="1"/>
  <c r="D623" i="18" s="1"/>
  <c r="D624" i="18" s="1"/>
  <c r="D625" i="18" s="1"/>
  <c r="D626" i="18" s="1"/>
  <c r="D627" i="18" s="1"/>
  <c r="D628" i="18" s="1"/>
  <c r="D629" i="18" s="1"/>
  <c r="D630" i="18" s="1"/>
  <c r="D631" i="18" s="1"/>
  <c r="D632" i="18" s="1"/>
  <c r="D633" i="18" s="1"/>
  <c r="D634" i="18" s="1"/>
  <c r="D635" i="18" s="1"/>
  <c r="D636" i="18" s="1"/>
  <c r="D637" i="18" s="1"/>
  <c r="D638" i="18" s="1"/>
  <c r="D639" i="18" s="1"/>
  <c r="D640" i="18" s="1"/>
  <c r="D641" i="18" s="1"/>
  <c r="D642" i="18" s="1"/>
  <c r="D643" i="18" s="1"/>
  <c r="D644" i="18" s="1"/>
  <c r="D645" i="18" s="1"/>
  <c r="D646" i="18" s="1"/>
  <c r="D647" i="18" s="1"/>
  <c r="D648" i="18" s="1"/>
  <c r="D649" i="18" s="1"/>
  <c r="D650" i="18" s="1"/>
  <c r="D651" i="18" s="1"/>
  <c r="D652" i="18" s="1"/>
  <c r="D653" i="18" s="1"/>
  <c r="D654" i="18" s="1"/>
  <c r="D655" i="18" s="1"/>
  <c r="D656" i="18" s="1"/>
  <c r="M99" i="18"/>
  <c r="B808" i="3"/>
  <c r="C807" i="3"/>
  <c r="Q92" i="3"/>
  <c r="F91" i="3"/>
  <c r="J90" i="3"/>
  <c r="M91" i="3"/>
  <c r="U90" i="3"/>
  <c r="CS2" i="10"/>
  <c r="CR1" i="10"/>
  <c r="O96" i="5"/>
  <c r="I98" i="18" s="1"/>
  <c r="CS1" i="11"/>
  <c r="CT2" i="11"/>
  <c r="C97" i="19"/>
  <c r="M100" i="18" l="1"/>
  <c r="C808" i="3"/>
  <c r="B809" i="3"/>
  <c r="Q93" i="3"/>
  <c r="M92" i="3"/>
  <c r="U91" i="3"/>
  <c r="F92" i="3"/>
  <c r="J91" i="3"/>
  <c r="CT2" i="10"/>
  <c r="CS1" i="10"/>
  <c r="O97" i="5"/>
  <c r="I99" i="18" s="1"/>
  <c r="CT1" i="11"/>
  <c r="CU2" i="11"/>
  <c r="C98" i="19"/>
  <c r="M101" i="18" l="1"/>
  <c r="C809" i="3"/>
  <c r="B810" i="3"/>
  <c r="Q94" i="3"/>
  <c r="F93" i="3"/>
  <c r="J92" i="3"/>
  <c r="M93" i="3"/>
  <c r="U92" i="3"/>
  <c r="CT1" i="10"/>
  <c r="CU2" i="10"/>
  <c r="CV2" i="11"/>
  <c r="CU1" i="11"/>
  <c r="C99" i="19"/>
  <c r="O98" i="5"/>
  <c r="I100" i="18" s="1"/>
  <c r="M102" i="18" l="1"/>
  <c r="C810" i="3"/>
  <c r="B811" i="3"/>
  <c r="Q95" i="3"/>
  <c r="M94" i="3"/>
  <c r="U93" i="3"/>
  <c r="F94" i="3"/>
  <c r="J93" i="3"/>
  <c r="CU1" i="10"/>
  <c r="CV2" i="10"/>
  <c r="O99" i="5"/>
  <c r="I101" i="18" s="1"/>
  <c r="CW2" i="11"/>
  <c r="CV1" i="11"/>
  <c r="C100" i="19"/>
  <c r="M103" i="18" l="1"/>
  <c r="B812" i="3"/>
  <c r="C811" i="3"/>
  <c r="Q96" i="3"/>
  <c r="F95" i="3"/>
  <c r="J94" i="3"/>
  <c r="U94" i="3"/>
  <c r="M95" i="3"/>
  <c r="CW2" i="10"/>
  <c r="CV1" i="10"/>
  <c r="O100" i="5"/>
  <c r="I102" i="18" s="1"/>
  <c r="C101" i="19"/>
  <c r="CW1" i="11"/>
  <c r="CX2" i="11"/>
  <c r="M104" i="18" l="1"/>
  <c r="C812" i="3"/>
  <c r="B813" i="3"/>
  <c r="Q97" i="3"/>
  <c r="M96" i="3"/>
  <c r="U95" i="3"/>
  <c r="F96" i="3"/>
  <c r="J95" i="3"/>
  <c r="CX2" i="10"/>
  <c r="CW1" i="10"/>
  <c r="CX1" i="11"/>
  <c r="CY2" i="11"/>
  <c r="C102" i="19"/>
  <c r="O101" i="5"/>
  <c r="I103" i="18" s="1"/>
  <c r="M105" i="18" l="1"/>
  <c r="C813" i="3"/>
  <c r="B814" i="3"/>
  <c r="Q98" i="3"/>
  <c r="F97" i="3"/>
  <c r="J96" i="3"/>
  <c r="U96" i="3"/>
  <c r="M97" i="3"/>
  <c r="CX1" i="10"/>
  <c r="CY2" i="10"/>
  <c r="O102" i="5"/>
  <c r="I104" i="18" s="1"/>
  <c r="CZ2" i="11"/>
  <c r="CY1" i="11"/>
  <c r="C103" i="19"/>
  <c r="M106" i="18" l="1"/>
  <c r="B815" i="3"/>
  <c r="C814" i="3"/>
  <c r="Q99" i="3"/>
  <c r="M98" i="3"/>
  <c r="U97" i="3"/>
  <c r="F98" i="3"/>
  <c r="J97" i="3"/>
  <c r="CZ2" i="10"/>
  <c r="CY1" i="10"/>
  <c r="DA2" i="11"/>
  <c r="CZ1" i="11"/>
  <c r="O103" i="5"/>
  <c r="I105" i="18" s="1"/>
  <c r="C104" i="19"/>
  <c r="M107" i="18" l="1"/>
  <c r="B816" i="3"/>
  <c r="C815" i="3"/>
  <c r="Q100" i="3"/>
  <c r="F99" i="3"/>
  <c r="J98" i="3"/>
  <c r="U98" i="3"/>
  <c r="M99" i="3"/>
  <c r="DA2" i="10"/>
  <c r="CZ1" i="10"/>
  <c r="C105" i="19"/>
  <c r="O104" i="5"/>
  <c r="I106" i="18" s="1"/>
  <c r="DA1" i="11"/>
  <c r="DB2" i="11"/>
  <c r="M108" i="18" l="1"/>
  <c r="C816" i="3"/>
  <c r="B817" i="3"/>
  <c r="Q101" i="3"/>
  <c r="M100" i="3"/>
  <c r="U99" i="3"/>
  <c r="F100" i="3"/>
  <c r="J99" i="3"/>
  <c r="DB2" i="10"/>
  <c r="DA1" i="10"/>
  <c r="C106" i="19"/>
  <c r="O105" i="5"/>
  <c r="I107" i="18" s="1"/>
  <c r="DB1" i="11"/>
  <c r="DC2" i="11"/>
  <c r="M109" i="18" l="1"/>
  <c r="C817" i="3"/>
  <c r="B818" i="3"/>
  <c r="Q102" i="3"/>
  <c r="F101" i="3"/>
  <c r="J100" i="3"/>
  <c r="M101" i="3"/>
  <c r="U100" i="3"/>
  <c r="DC2" i="10"/>
  <c r="DB1" i="10"/>
  <c r="DD2" i="11"/>
  <c r="DC1" i="11"/>
  <c r="C107" i="19"/>
  <c r="O106" i="5"/>
  <c r="I108" i="18" s="1"/>
  <c r="M110" i="18" l="1"/>
  <c r="B819" i="3"/>
  <c r="C818" i="3"/>
  <c r="Q103" i="3"/>
  <c r="M102" i="3"/>
  <c r="U101" i="3"/>
  <c r="F102" i="3"/>
  <c r="J101" i="3"/>
  <c r="DC1" i="10"/>
  <c r="DD2" i="10"/>
  <c r="O107" i="5"/>
  <c r="I109" i="18" s="1"/>
  <c r="C108" i="19"/>
  <c r="DE2" i="11"/>
  <c r="DD1" i="11"/>
  <c r="M111" i="18" l="1"/>
  <c r="C819" i="3"/>
  <c r="B820" i="3"/>
  <c r="Q104" i="3"/>
  <c r="F103" i="3"/>
  <c r="J102" i="3"/>
  <c r="M103" i="3"/>
  <c r="U102" i="3"/>
  <c r="DD1" i="10"/>
  <c r="DE2" i="10"/>
  <c r="C109" i="19"/>
  <c r="O108" i="5"/>
  <c r="I110" i="18" s="1"/>
  <c r="DE1" i="11"/>
  <c r="DF2" i="11"/>
  <c r="M112" i="18" l="1"/>
  <c r="B821" i="3"/>
  <c r="B822" i="3" s="1"/>
  <c r="C820" i="3"/>
  <c r="Q105" i="3"/>
  <c r="M104" i="3"/>
  <c r="U103" i="3"/>
  <c r="F104" i="3"/>
  <c r="J103" i="3"/>
  <c r="DF2" i="10"/>
  <c r="DE1" i="10"/>
  <c r="C110" i="19"/>
  <c r="O109" i="5"/>
  <c r="I111" i="18" s="1"/>
  <c r="DF1" i="11"/>
  <c r="DG2" i="11"/>
  <c r="M113" i="18" l="1"/>
  <c r="C822" i="3"/>
  <c r="B823" i="3"/>
  <c r="C821" i="3"/>
  <c r="Q106" i="3"/>
  <c r="F105" i="3"/>
  <c r="J104" i="3"/>
  <c r="M105" i="3"/>
  <c r="U104" i="3"/>
  <c r="DF1" i="10"/>
  <c r="DG2" i="10"/>
  <c r="O110" i="5"/>
  <c r="I112" i="18" s="1"/>
  <c r="DH2" i="11"/>
  <c r="DG1" i="11"/>
  <c r="C111" i="19"/>
  <c r="M114" i="18" l="1"/>
  <c r="C823" i="3"/>
  <c r="B824" i="3"/>
  <c r="Q107" i="3"/>
  <c r="M106" i="3"/>
  <c r="U105" i="3"/>
  <c r="J105" i="3"/>
  <c r="F106" i="3"/>
  <c r="DH2" i="10"/>
  <c r="DG1" i="10"/>
  <c r="C112" i="19"/>
  <c r="DI2" i="11"/>
  <c r="DH1" i="11"/>
  <c r="O111" i="5"/>
  <c r="I113" i="18" s="1"/>
  <c r="M115" i="18" l="1"/>
  <c r="C824" i="3"/>
  <c r="B825" i="3"/>
  <c r="Q108" i="3"/>
  <c r="F107" i="3"/>
  <c r="J106" i="3"/>
  <c r="M107" i="3"/>
  <c r="U106" i="3"/>
  <c r="DH1" i="10"/>
  <c r="DI2" i="10"/>
  <c r="DI1" i="11"/>
  <c r="DJ2" i="11"/>
  <c r="O112" i="5"/>
  <c r="I114" i="18" s="1"/>
  <c r="C113" i="19"/>
  <c r="M116" i="18" l="1"/>
  <c r="B826" i="3"/>
  <c r="C825" i="3"/>
  <c r="Q109" i="3"/>
  <c r="M108" i="3"/>
  <c r="U107" i="3"/>
  <c r="F108" i="3"/>
  <c r="J107" i="3"/>
  <c r="DJ2" i="10"/>
  <c r="DI1" i="10"/>
  <c r="C114" i="19"/>
  <c r="O113" i="5"/>
  <c r="I115" i="18" s="1"/>
  <c r="DJ1" i="11"/>
  <c r="DK2" i="11"/>
  <c r="M117" i="18" l="1"/>
  <c r="B827" i="3"/>
  <c r="C826" i="3"/>
  <c r="Q110" i="3"/>
  <c r="F109" i="3"/>
  <c r="J108" i="3"/>
  <c r="M109" i="3"/>
  <c r="U108" i="3"/>
  <c r="DK2" i="10"/>
  <c r="DJ1" i="10"/>
  <c r="DL2" i="11"/>
  <c r="DK1" i="11"/>
  <c r="O114" i="5"/>
  <c r="I116" i="18" s="1"/>
  <c r="C115" i="19"/>
  <c r="M118" i="18" l="1"/>
  <c r="B828" i="3"/>
  <c r="C827" i="3"/>
  <c r="Q111" i="3"/>
  <c r="M110" i="3"/>
  <c r="U109" i="3"/>
  <c r="F110" i="3"/>
  <c r="J109" i="3"/>
  <c r="DK1" i="10"/>
  <c r="DL2" i="10"/>
  <c r="C116" i="19"/>
  <c r="DM2" i="11"/>
  <c r="DL1" i="11"/>
  <c r="O115" i="5"/>
  <c r="I117" i="18" s="1"/>
  <c r="M119" i="18" l="1"/>
  <c r="B829" i="3"/>
  <c r="C828" i="3"/>
  <c r="Q112" i="3"/>
  <c r="F111" i="3"/>
  <c r="J110" i="3"/>
  <c r="M111" i="3"/>
  <c r="U110" i="3"/>
  <c r="DM2" i="10"/>
  <c r="DL1" i="10"/>
  <c r="O116" i="5"/>
  <c r="I118" i="18" s="1"/>
  <c r="DM1" i="11"/>
  <c r="DN2" i="11"/>
  <c r="C117" i="19"/>
  <c r="M120" i="18" l="1"/>
  <c r="B830" i="3"/>
  <c r="C829" i="3"/>
  <c r="Q113" i="3"/>
  <c r="M112" i="3"/>
  <c r="U111" i="3"/>
  <c r="J111" i="3"/>
  <c r="F112" i="3"/>
  <c r="DN2" i="10"/>
  <c r="DM1" i="10"/>
  <c r="C118" i="19"/>
  <c r="DN1" i="11"/>
  <c r="DO2" i="11"/>
  <c r="O117" i="5"/>
  <c r="I119" i="18" s="1"/>
  <c r="M121" i="18" l="1"/>
  <c r="C830" i="3"/>
  <c r="B831" i="3"/>
  <c r="Q114" i="3"/>
  <c r="F113" i="3"/>
  <c r="J112" i="3"/>
  <c r="M113" i="3"/>
  <c r="U112" i="3"/>
  <c r="DO2" i="10"/>
  <c r="DN1" i="10"/>
  <c r="C119" i="19"/>
  <c r="DP2" i="11"/>
  <c r="DO1" i="11"/>
  <c r="O118" i="5"/>
  <c r="I120" i="18" s="1"/>
  <c r="M122" i="18" l="1"/>
  <c r="C831" i="3"/>
  <c r="B832" i="3"/>
  <c r="Q115" i="3"/>
  <c r="M114" i="3"/>
  <c r="U113" i="3"/>
  <c r="F114" i="3"/>
  <c r="J113" i="3"/>
  <c r="DO1" i="10"/>
  <c r="DP2" i="10"/>
  <c r="O119" i="5"/>
  <c r="I121" i="18" s="1"/>
  <c r="DQ2" i="11"/>
  <c r="DP1" i="11"/>
  <c r="C120" i="19"/>
  <c r="M123" i="18" l="1"/>
  <c r="B833" i="3"/>
  <c r="C832" i="3"/>
  <c r="Q116" i="3"/>
  <c r="F115" i="3"/>
  <c r="J114" i="3"/>
  <c r="M115" i="3"/>
  <c r="U114" i="3"/>
  <c r="DP1" i="10"/>
  <c r="DQ2" i="10"/>
  <c r="C121" i="19"/>
  <c r="DQ1" i="11"/>
  <c r="DR2" i="11"/>
  <c r="O120" i="5"/>
  <c r="I122" i="18" s="1"/>
  <c r="M124" i="18" l="1"/>
  <c r="B834" i="3"/>
  <c r="C833" i="3"/>
  <c r="Q117" i="3"/>
  <c r="M116" i="3"/>
  <c r="U115" i="3"/>
  <c r="F116" i="3"/>
  <c r="J115" i="3"/>
  <c r="DR2" i="10"/>
  <c r="DQ1" i="10"/>
  <c r="C122" i="19"/>
  <c r="O121" i="5"/>
  <c r="I123" i="18" s="1"/>
  <c r="DR1" i="11"/>
  <c r="DS2" i="11"/>
  <c r="M125" i="18" l="1"/>
  <c r="B835" i="3"/>
  <c r="C834" i="3"/>
  <c r="Q118" i="3"/>
  <c r="F117" i="3"/>
  <c r="J116" i="3"/>
  <c r="M117" i="3"/>
  <c r="U116" i="3"/>
  <c r="DR1" i="10"/>
  <c r="DS2" i="10"/>
  <c r="DT2" i="11"/>
  <c r="DS1" i="11"/>
  <c r="C123" i="19"/>
  <c r="O122" i="5"/>
  <c r="I124" i="18" s="1"/>
  <c r="M126" i="18" l="1"/>
  <c r="B836" i="3"/>
  <c r="C835" i="3"/>
  <c r="Q119" i="3"/>
  <c r="M118" i="3"/>
  <c r="U117" i="3"/>
  <c r="F118" i="3"/>
  <c r="J117" i="3"/>
  <c r="DT2" i="10"/>
  <c r="DS1" i="10"/>
  <c r="O123" i="5"/>
  <c r="I125" i="18" s="1"/>
  <c r="C124" i="19"/>
  <c r="DU2" i="11"/>
  <c r="DT1" i="11"/>
  <c r="M127" i="18" l="1"/>
  <c r="B837" i="3"/>
  <c r="C836" i="3"/>
  <c r="Q120" i="3"/>
  <c r="F119" i="3"/>
  <c r="J118" i="3"/>
  <c r="M119" i="3"/>
  <c r="U118" i="3"/>
  <c r="DU2" i="10"/>
  <c r="DT1" i="10"/>
  <c r="O124" i="5"/>
  <c r="I126" i="18" s="1"/>
  <c r="C125" i="19"/>
  <c r="DU1" i="11"/>
  <c r="DV2" i="11"/>
  <c r="M128" i="18" l="1"/>
  <c r="B838" i="3"/>
  <c r="C837" i="3"/>
  <c r="Q121" i="3"/>
  <c r="M120" i="3"/>
  <c r="U119" i="3"/>
  <c r="F120" i="3"/>
  <c r="J119" i="3"/>
  <c r="DV2" i="10"/>
  <c r="DU1" i="10"/>
  <c r="O125" i="5"/>
  <c r="I127" i="18" s="1"/>
  <c r="C126" i="19"/>
  <c r="DV1" i="11"/>
  <c r="DW2" i="11"/>
  <c r="M129" i="18" l="1"/>
  <c r="C838" i="3"/>
  <c r="B839" i="3"/>
  <c r="Q122" i="3"/>
  <c r="F121" i="3"/>
  <c r="J120" i="3"/>
  <c r="M121" i="3"/>
  <c r="U120" i="3"/>
  <c r="DW2" i="10"/>
  <c r="DV1" i="10"/>
  <c r="C127" i="19"/>
  <c r="DX2" i="11"/>
  <c r="DW1" i="11"/>
  <c r="O126" i="5"/>
  <c r="I128" i="18" s="1"/>
  <c r="M130" i="18" l="1"/>
  <c r="C839" i="3"/>
  <c r="B840" i="3"/>
  <c r="Q123" i="3"/>
  <c r="M122" i="3"/>
  <c r="U121" i="3"/>
  <c r="F122" i="3"/>
  <c r="J121" i="3"/>
  <c r="DX2" i="10"/>
  <c r="DW1" i="10"/>
  <c r="O127" i="5"/>
  <c r="I129" i="18" s="1"/>
  <c r="C128" i="19"/>
  <c r="DY2" i="11"/>
  <c r="DX1" i="11"/>
  <c r="M131" i="18" l="1"/>
  <c r="B841" i="3"/>
  <c r="C840" i="3"/>
  <c r="Q124" i="3"/>
  <c r="F123" i="3"/>
  <c r="J122" i="3"/>
  <c r="M123" i="3"/>
  <c r="U122" i="3"/>
  <c r="DX1" i="10"/>
  <c r="DY2" i="10"/>
  <c r="DY1" i="11"/>
  <c r="DZ2" i="11"/>
  <c r="C129" i="19"/>
  <c r="O128" i="5"/>
  <c r="I130" i="18" s="1"/>
  <c r="M132" i="18" l="1"/>
  <c r="B842" i="3"/>
  <c r="C842" i="3" s="1"/>
  <c r="C841" i="3"/>
  <c r="Q125" i="3"/>
  <c r="M124" i="3"/>
  <c r="U123" i="3"/>
  <c r="F124" i="3"/>
  <c r="J123" i="3"/>
  <c r="DY1" i="10"/>
  <c r="DZ2" i="10"/>
  <c r="C130" i="19"/>
  <c r="DZ1" i="11"/>
  <c r="EA2" i="11"/>
  <c r="O129" i="5"/>
  <c r="I131" i="18" s="1"/>
  <c r="M133" i="18" l="1"/>
  <c r="Q126" i="3"/>
  <c r="F125" i="3"/>
  <c r="J124" i="3"/>
  <c r="M125" i="3"/>
  <c r="U124" i="3"/>
  <c r="DZ1" i="10"/>
  <c r="EA2" i="10"/>
  <c r="O130" i="5"/>
  <c r="I132" i="18" s="1"/>
  <c r="EB2" i="11"/>
  <c r="EA1" i="11"/>
  <c r="C131" i="19"/>
  <c r="M134" i="18" l="1"/>
  <c r="Q127" i="3"/>
  <c r="M126" i="3"/>
  <c r="U125" i="3"/>
  <c r="F126" i="3"/>
  <c r="J125" i="3"/>
  <c r="EB2" i="10"/>
  <c r="EA1" i="10"/>
  <c r="EC2" i="11"/>
  <c r="EB1" i="11"/>
  <c r="O131" i="5"/>
  <c r="I133" i="18" s="1"/>
  <c r="C132" i="19"/>
  <c r="M135" i="18" l="1"/>
  <c r="Q128" i="3"/>
  <c r="F127" i="3"/>
  <c r="J126" i="3"/>
  <c r="U126" i="3"/>
  <c r="M127" i="3"/>
  <c r="EB1" i="10"/>
  <c r="EC2" i="10"/>
  <c r="EC1" i="11"/>
  <c r="ED2" i="11"/>
  <c r="C133" i="19"/>
  <c r="O132" i="5"/>
  <c r="I134" i="18" s="1"/>
  <c r="Q129" i="3" l="1"/>
  <c r="M128" i="3"/>
  <c r="U127" i="3"/>
  <c r="J127" i="3"/>
  <c r="F128" i="3"/>
  <c r="EC1" i="10"/>
  <c r="ED2" i="10"/>
  <c r="O133" i="5"/>
  <c r="I135" i="18" s="1"/>
  <c r="C134" i="19"/>
  <c r="ED1" i="11"/>
  <c r="EE2" i="11"/>
  <c r="M136" i="18" l="1"/>
  <c r="Q130" i="3"/>
  <c r="F129" i="3"/>
  <c r="J128" i="3"/>
  <c r="M129" i="3"/>
  <c r="U128" i="3"/>
  <c r="ED1" i="10"/>
  <c r="EE2" i="10"/>
  <c r="O134" i="5"/>
  <c r="I136" i="18" s="1"/>
  <c r="EF2" i="11"/>
  <c r="EE1" i="11"/>
  <c r="C135" i="19"/>
  <c r="M137" i="18" l="1"/>
  <c r="M138" i="18"/>
  <c r="Q131" i="3"/>
  <c r="M130" i="3"/>
  <c r="U129" i="3"/>
  <c r="F130" i="3"/>
  <c r="J129" i="3"/>
  <c r="EF2" i="10"/>
  <c r="EE1" i="10"/>
  <c r="C136" i="19"/>
  <c r="EG2" i="11"/>
  <c r="EF1" i="11"/>
  <c r="O135" i="5"/>
  <c r="I137" i="18" s="1"/>
  <c r="M139" i="18" l="1"/>
  <c r="Q132" i="3"/>
  <c r="F131" i="3"/>
  <c r="J130" i="3"/>
  <c r="U130" i="3"/>
  <c r="M131" i="3"/>
  <c r="EG2" i="10"/>
  <c r="EF1" i="10"/>
  <c r="EG1" i="11"/>
  <c r="EH2" i="11"/>
  <c r="C137" i="19"/>
  <c r="O136" i="5"/>
  <c r="I138" i="18" s="1"/>
  <c r="M140" i="18" l="1"/>
  <c r="Q133" i="3"/>
  <c r="M132" i="3"/>
  <c r="U131" i="3"/>
  <c r="F132" i="3"/>
  <c r="J131" i="3"/>
  <c r="EG1" i="10"/>
  <c r="EH2" i="10"/>
  <c r="EH1" i="11"/>
  <c r="EI2" i="11"/>
  <c r="O137" i="5"/>
  <c r="I139" i="18" s="1"/>
  <c r="C138" i="19"/>
  <c r="M141" i="18" l="1"/>
  <c r="Q134" i="3"/>
  <c r="F133" i="3"/>
  <c r="J132" i="3"/>
  <c r="M133" i="3"/>
  <c r="U132" i="3"/>
  <c r="EH1" i="10"/>
  <c r="EI2" i="10"/>
  <c r="O138" i="5"/>
  <c r="I140" i="18" s="1"/>
  <c r="EJ2" i="11"/>
  <c r="EI1" i="11"/>
  <c r="C139" i="19"/>
  <c r="M142" i="18" l="1"/>
  <c r="Q135" i="3"/>
  <c r="M134" i="3"/>
  <c r="U133" i="3"/>
  <c r="J133" i="3"/>
  <c r="F134" i="3"/>
  <c r="EJ2" i="10"/>
  <c r="EI1" i="10"/>
  <c r="O139" i="5"/>
  <c r="I141" i="18" s="1"/>
  <c r="C140" i="19"/>
  <c r="EK2" i="11"/>
  <c r="EJ1" i="11"/>
  <c r="M143" i="18" l="1"/>
  <c r="Q136" i="3"/>
  <c r="F135" i="3"/>
  <c r="J134" i="3"/>
  <c r="M135" i="3"/>
  <c r="U134" i="3"/>
  <c r="EK2" i="10"/>
  <c r="EJ1" i="10"/>
  <c r="EK1" i="11"/>
  <c r="EL2" i="11"/>
  <c r="O140" i="5"/>
  <c r="I142" i="18" s="1"/>
  <c r="C141" i="19"/>
  <c r="M144" i="18" l="1"/>
  <c r="Q137" i="3"/>
  <c r="M136" i="3"/>
  <c r="U135" i="3"/>
  <c r="J135" i="3"/>
  <c r="F136" i="3"/>
  <c r="EL2" i="10"/>
  <c r="EK1" i="10"/>
  <c r="O141" i="5"/>
  <c r="I143" i="18" s="1"/>
  <c r="C142" i="19"/>
  <c r="EL1" i="11"/>
  <c r="EM2" i="11"/>
  <c r="M145" i="18" l="1"/>
  <c r="Q138" i="3"/>
  <c r="F137" i="3"/>
  <c r="J136" i="3"/>
  <c r="M137" i="3"/>
  <c r="U136" i="3"/>
  <c r="EM2" i="10"/>
  <c r="EL1" i="10"/>
  <c r="EN2" i="11"/>
  <c r="EM1" i="11"/>
  <c r="C143" i="19"/>
  <c r="O142" i="5"/>
  <c r="I144" i="18" s="1"/>
  <c r="M146" i="18" l="1"/>
  <c r="Q139" i="3"/>
  <c r="M138" i="3"/>
  <c r="U137" i="3"/>
  <c r="J137" i="3"/>
  <c r="F138" i="3"/>
  <c r="EN2" i="10"/>
  <c r="EM1" i="10"/>
  <c r="EO2" i="11"/>
  <c r="EN1" i="11"/>
  <c r="O143" i="5"/>
  <c r="I145" i="18" s="1"/>
  <c r="C144" i="19"/>
  <c r="M147" i="18" l="1"/>
  <c r="Q140" i="3"/>
  <c r="F139" i="3"/>
  <c r="J138" i="3"/>
  <c r="M139" i="3"/>
  <c r="U138" i="3"/>
  <c r="EN1" i="10"/>
  <c r="EO2" i="10"/>
  <c r="C145" i="19"/>
  <c r="O144" i="5"/>
  <c r="I146" i="18" s="1"/>
  <c r="EO1" i="11"/>
  <c r="EP2" i="11"/>
  <c r="M148" i="18" l="1"/>
  <c r="Q141" i="3"/>
  <c r="M140" i="3"/>
  <c r="U139" i="3"/>
  <c r="F140" i="3"/>
  <c r="J139" i="3"/>
  <c r="EO1" i="10"/>
  <c r="EP2" i="10"/>
  <c r="EP1" i="11"/>
  <c r="EQ2" i="11"/>
  <c r="O145" i="5"/>
  <c r="I147" i="18" s="1"/>
  <c r="C146" i="19"/>
  <c r="M149" i="18" l="1"/>
  <c r="Q142" i="3"/>
  <c r="F141" i="3"/>
  <c r="J140" i="3"/>
  <c r="M141" i="3"/>
  <c r="U140" i="3"/>
  <c r="EP1" i="10"/>
  <c r="EQ2" i="10"/>
  <c r="ER2" i="11"/>
  <c r="EQ1" i="11"/>
  <c r="C147" i="19"/>
  <c r="O146" i="5"/>
  <c r="I148" i="18" s="1"/>
  <c r="M150" i="18" l="1"/>
  <c r="Q143" i="3"/>
  <c r="M142" i="3"/>
  <c r="U141" i="3"/>
  <c r="F142" i="3"/>
  <c r="J141" i="3"/>
  <c r="ER2" i="10"/>
  <c r="EQ1" i="10"/>
  <c r="ES2" i="11"/>
  <c r="ER1" i="11"/>
  <c r="O147" i="5"/>
  <c r="I149" i="18" s="1"/>
  <c r="C148" i="19"/>
  <c r="M151" i="18" l="1"/>
  <c r="Q144" i="3"/>
  <c r="F143" i="3"/>
  <c r="J142" i="3"/>
  <c r="M143" i="3"/>
  <c r="U142" i="3"/>
  <c r="ES2" i="10"/>
  <c r="ER1" i="10"/>
  <c r="ES1" i="11"/>
  <c r="ET2" i="11"/>
  <c r="O148" i="5"/>
  <c r="I150" i="18" s="1"/>
  <c r="C149" i="19"/>
  <c r="M152" i="18" l="1"/>
  <c r="Q145" i="3"/>
  <c r="M144" i="3"/>
  <c r="U143" i="3"/>
  <c r="J143" i="3"/>
  <c r="F144" i="3"/>
  <c r="ET2" i="10"/>
  <c r="ES1" i="10"/>
  <c r="ET1" i="11"/>
  <c r="EU2" i="11"/>
  <c r="C150" i="19"/>
  <c r="O149" i="5"/>
  <c r="I151" i="18" s="1"/>
  <c r="M153" i="18" l="1"/>
  <c r="Q146" i="3"/>
  <c r="F145" i="3"/>
  <c r="J144" i="3"/>
  <c r="U144" i="3"/>
  <c r="M145" i="3"/>
  <c r="EU2" i="10"/>
  <c r="ET1" i="10"/>
  <c r="C151" i="19"/>
  <c r="O150" i="5"/>
  <c r="I152" i="18" s="1"/>
  <c r="EV2" i="11"/>
  <c r="EU1" i="11"/>
  <c r="M154" i="18" l="1"/>
  <c r="Q147" i="3"/>
  <c r="M146" i="3"/>
  <c r="U145" i="3"/>
  <c r="J145" i="3"/>
  <c r="F146" i="3"/>
  <c r="EU1" i="10"/>
  <c r="EV2" i="10"/>
  <c r="EW2" i="11"/>
  <c r="EV1" i="11"/>
  <c r="O151" i="5"/>
  <c r="I153" i="18" s="1"/>
  <c r="C152" i="19"/>
  <c r="M155" i="18" l="1"/>
  <c r="Q148" i="3"/>
  <c r="F147" i="3"/>
  <c r="J146" i="3"/>
  <c r="U146" i="3"/>
  <c r="M147" i="3"/>
  <c r="EV1" i="10"/>
  <c r="EW2" i="10"/>
  <c r="C153" i="19"/>
  <c r="EW1" i="11"/>
  <c r="EX2" i="11"/>
  <c r="O152" i="5"/>
  <c r="I154" i="18" s="1"/>
  <c r="M156" i="18" l="1"/>
  <c r="Q149" i="3"/>
  <c r="M148" i="3"/>
  <c r="U147" i="3"/>
  <c r="J147" i="3"/>
  <c r="F148" i="3"/>
  <c r="EX2" i="10"/>
  <c r="EW1" i="10"/>
  <c r="EX1" i="11"/>
  <c r="EY2" i="11"/>
  <c r="C154" i="19"/>
  <c r="O153" i="5"/>
  <c r="I155" i="18" s="1"/>
  <c r="M157" i="18" l="1"/>
  <c r="Q150" i="3"/>
  <c r="F149" i="3"/>
  <c r="J148" i="3"/>
  <c r="M149" i="3"/>
  <c r="U148" i="3"/>
  <c r="EX1" i="10"/>
  <c r="EY2" i="10"/>
  <c r="O154" i="5"/>
  <c r="I156" i="18" s="1"/>
  <c r="C155" i="19"/>
  <c r="EZ2" i="11"/>
  <c r="EY1" i="11"/>
  <c r="M158" i="18" l="1"/>
  <c r="Q151" i="3"/>
  <c r="M150" i="3"/>
  <c r="U149" i="3"/>
  <c r="F150" i="3"/>
  <c r="J149" i="3"/>
  <c r="EY1" i="10"/>
  <c r="EZ2" i="10"/>
  <c r="FA2" i="11"/>
  <c r="EZ1" i="11"/>
  <c r="C156" i="19"/>
  <c r="O155" i="5"/>
  <c r="I157" i="18" s="1"/>
  <c r="M159" i="18" l="1"/>
  <c r="Q152" i="3"/>
  <c r="F151" i="3"/>
  <c r="J150" i="3"/>
  <c r="U150" i="3"/>
  <c r="M151" i="3"/>
  <c r="FA2" i="10"/>
  <c r="EZ1" i="10"/>
  <c r="O156" i="5"/>
  <c r="I158" i="18" s="1"/>
  <c r="C157" i="19"/>
  <c r="FA1" i="11"/>
  <c r="FB2" i="11"/>
  <c r="M160" i="18" l="1"/>
  <c r="J158" i="18"/>
  <c r="P156" i="5" s="1"/>
  <c r="Q153" i="3"/>
  <c r="M152" i="3"/>
  <c r="U151" i="3"/>
  <c r="F152" i="3"/>
  <c r="J151" i="3"/>
  <c r="FA1" i="10"/>
  <c r="FB2" i="10"/>
  <c r="C158" i="19"/>
  <c r="FB1" i="11"/>
  <c r="FC2" i="11"/>
  <c r="O157" i="5"/>
  <c r="I159" i="18" s="1"/>
  <c r="M161" i="18" l="1"/>
  <c r="J159" i="18"/>
  <c r="P157" i="5" s="1"/>
  <c r="Q154" i="3"/>
  <c r="F153" i="3"/>
  <c r="J152" i="3"/>
  <c r="U152" i="3"/>
  <c r="M153" i="3"/>
  <c r="FB1" i="10"/>
  <c r="FC2" i="10"/>
  <c r="O158" i="5"/>
  <c r="I160" i="18" s="1"/>
  <c r="FD2" i="11"/>
  <c r="FC1" i="11"/>
  <c r="C159" i="19"/>
  <c r="M162" i="18" l="1"/>
  <c r="J160" i="18"/>
  <c r="P158" i="5" s="1"/>
  <c r="Q155" i="3"/>
  <c r="M154" i="3"/>
  <c r="U153" i="3"/>
  <c r="F154" i="3"/>
  <c r="J153" i="3"/>
  <c r="FD2" i="10"/>
  <c r="FC1" i="10"/>
  <c r="FE2" i="11"/>
  <c r="FD1" i="11"/>
  <c r="O159" i="5"/>
  <c r="I161" i="18" s="1"/>
  <c r="C160" i="19"/>
  <c r="M163" i="18" l="1"/>
  <c r="J161" i="18"/>
  <c r="P159" i="5" s="1"/>
  <c r="Q156" i="3"/>
  <c r="F155" i="3"/>
  <c r="J154" i="3"/>
  <c r="M155" i="3"/>
  <c r="U154" i="3"/>
  <c r="FE2" i="10"/>
  <c r="FD1" i="10"/>
  <c r="C161" i="19"/>
  <c r="FE1" i="11"/>
  <c r="FF2" i="11"/>
  <c r="O160" i="5"/>
  <c r="I162" i="18" s="1"/>
  <c r="M164" i="18" l="1"/>
  <c r="J162" i="18"/>
  <c r="P160" i="5" s="1"/>
  <c r="Q157" i="3"/>
  <c r="M156" i="3"/>
  <c r="U155" i="3"/>
  <c r="F156" i="3"/>
  <c r="J155" i="3"/>
  <c r="FF2" i="10"/>
  <c r="FE1" i="10"/>
  <c r="O161" i="5"/>
  <c r="I163" i="18" s="1"/>
  <c r="C162" i="19"/>
  <c r="FF1" i="11"/>
  <c r="FG2" i="11"/>
  <c r="M165" i="18" l="1"/>
  <c r="J163" i="18"/>
  <c r="P161" i="5" s="1"/>
  <c r="Q158" i="3"/>
  <c r="F157" i="3"/>
  <c r="J156" i="3"/>
  <c r="M157" i="3"/>
  <c r="U156" i="3"/>
  <c r="FF1" i="10"/>
  <c r="FG2" i="10"/>
  <c r="O162" i="5"/>
  <c r="I164" i="18" s="1"/>
  <c r="FH2" i="11"/>
  <c r="FG1" i="11"/>
  <c r="C163" i="19"/>
  <c r="M166" i="18" l="1"/>
  <c r="J164" i="18"/>
  <c r="P162" i="5" s="1"/>
  <c r="Q159" i="3"/>
  <c r="M158" i="3"/>
  <c r="U157" i="3"/>
  <c r="J157" i="3"/>
  <c r="F158" i="3"/>
  <c r="FH2" i="10"/>
  <c r="FG1" i="10"/>
  <c r="C164" i="19"/>
  <c r="FI2" i="11"/>
  <c r="FH1" i="11"/>
  <c r="O163" i="5"/>
  <c r="I165" i="18" s="1"/>
  <c r="M167" i="18" l="1"/>
  <c r="J165" i="18"/>
  <c r="P163" i="5" s="1"/>
  <c r="Q160" i="3"/>
  <c r="F159" i="3"/>
  <c r="J158" i="3"/>
  <c r="M159" i="3"/>
  <c r="U158" i="3"/>
  <c r="FI2" i="10"/>
  <c r="FH1" i="10"/>
  <c r="O164" i="5"/>
  <c r="I166" i="18" s="1"/>
  <c r="FI1" i="11"/>
  <c r="FJ2" i="11"/>
  <c r="C165" i="19"/>
  <c r="M168" i="18" l="1"/>
  <c r="J166" i="18"/>
  <c r="P164" i="5" s="1"/>
  <c r="Q161" i="3"/>
  <c r="M160" i="3"/>
  <c r="U159" i="3"/>
  <c r="J159" i="3"/>
  <c r="F160" i="3"/>
  <c r="FI1" i="10"/>
  <c r="FJ2" i="10"/>
  <c r="O165" i="5"/>
  <c r="I167" i="18" s="1"/>
  <c r="C166" i="19"/>
  <c r="FJ1" i="11"/>
  <c r="FK2" i="11"/>
  <c r="M169" i="18" l="1"/>
  <c r="J167" i="18"/>
  <c r="P165" i="5" s="1"/>
  <c r="Q162" i="3"/>
  <c r="F161" i="3"/>
  <c r="J160" i="3"/>
  <c r="M161" i="3"/>
  <c r="U160" i="3"/>
  <c r="FJ1" i="10"/>
  <c r="FK2" i="10"/>
  <c r="FL2" i="11"/>
  <c r="FK1" i="11"/>
  <c r="C167" i="19"/>
  <c r="O166" i="5"/>
  <c r="I168" i="18" s="1"/>
  <c r="M170" i="18" l="1"/>
  <c r="J168" i="18"/>
  <c r="P166" i="5" s="1"/>
  <c r="Q163" i="3"/>
  <c r="M162" i="3"/>
  <c r="U161" i="3"/>
  <c r="F162" i="3"/>
  <c r="J161" i="3"/>
  <c r="FL2" i="10"/>
  <c r="FK1" i="10"/>
  <c r="O167" i="5"/>
  <c r="I169" i="18" s="1"/>
  <c r="C168" i="19"/>
  <c r="FM2" i="11"/>
  <c r="FL1" i="11"/>
  <c r="M171" i="18" l="1"/>
  <c r="J169" i="18"/>
  <c r="P167" i="5" s="1"/>
  <c r="Q164" i="3"/>
  <c r="F163" i="3"/>
  <c r="J162" i="3"/>
  <c r="M163" i="3"/>
  <c r="U162" i="3"/>
  <c r="FM2" i="10"/>
  <c r="FL1" i="10"/>
  <c r="O168" i="5"/>
  <c r="I170" i="18" s="1"/>
  <c r="FM1" i="11"/>
  <c r="FN2" i="11"/>
  <c r="C169" i="19"/>
  <c r="M172" i="18" l="1"/>
  <c r="J170" i="18"/>
  <c r="P168" i="5" s="1"/>
  <c r="Q165" i="3"/>
  <c r="M164" i="3"/>
  <c r="U163" i="3"/>
  <c r="F164" i="3"/>
  <c r="J163" i="3"/>
  <c r="FM1" i="10"/>
  <c r="FN2" i="10"/>
  <c r="C170" i="19"/>
  <c r="O169" i="5"/>
  <c r="I171" i="18" s="1"/>
  <c r="FN1" i="11"/>
  <c r="FO2" i="11"/>
  <c r="M173" i="18" l="1"/>
  <c r="J171" i="18"/>
  <c r="P169" i="5" s="1"/>
  <c r="Q166" i="3"/>
  <c r="F165" i="3"/>
  <c r="J164" i="3"/>
  <c r="M165" i="3"/>
  <c r="U164" i="3"/>
  <c r="FN1" i="10"/>
  <c r="FO2" i="10"/>
  <c r="O170" i="5"/>
  <c r="I172" i="18" s="1"/>
  <c r="C171" i="19"/>
  <c r="FP2" i="11"/>
  <c r="FO1" i="11"/>
  <c r="M174" i="18" l="1"/>
  <c r="J172" i="18"/>
  <c r="P170" i="5" s="1"/>
  <c r="Q167" i="3"/>
  <c r="M166" i="3"/>
  <c r="U165" i="3"/>
  <c r="F166" i="3"/>
  <c r="J165" i="3"/>
  <c r="FP2" i="10"/>
  <c r="FO1" i="10"/>
  <c r="FQ2" i="11"/>
  <c r="FP1" i="11"/>
  <c r="C172" i="19"/>
  <c r="O171" i="5"/>
  <c r="M175" i="18" l="1"/>
  <c r="O172" i="5"/>
  <c r="I174" i="18" s="1"/>
  <c r="I173" i="18"/>
  <c r="Q168" i="3"/>
  <c r="F167" i="3"/>
  <c r="J166" i="3"/>
  <c r="M167" i="3"/>
  <c r="U166" i="3"/>
  <c r="FQ2" i="10"/>
  <c r="FP1" i="10"/>
  <c r="FQ1" i="11"/>
  <c r="FR2" i="11"/>
  <c r="C173" i="19"/>
  <c r="M176" i="18" l="1"/>
  <c r="J173" i="18"/>
  <c r="P171" i="5" s="1"/>
  <c r="J174" i="18"/>
  <c r="P172" i="5" s="1"/>
  <c r="Q169" i="3"/>
  <c r="M168" i="3"/>
  <c r="U167" i="3"/>
  <c r="F168" i="3"/>
  <c r="J167" i="3"/>
  <c r="FR2" i="10"/>
  <c r="FQ1" i="10"/>
  <c r="C174" i="19"/>
  <c r="FR1" i="11"/>
  <c r="FS2" i="11"/>
  <c r="O173" i="5"/>
  <c r="I175" i="18" s="1"/>
  <c r="M177" i="18" l="1"/>
  <c r="J175" i="18"/>
  <c r="P173" i="5" s="1"/>
  <c r="Q170" i="3"/>
  <c r="F169" i="3"/>
  <c r="J168" i="3"/>
  <c r="M169" i="3"/>
  <c r="U168" i="3"/>
  <c r="FS2" i="10"/>
  <c r="FR1" i="10"/>
  <c r="C175" i="19"/>
  <c r="O174" i="5"/>
  <c r="I176" i="18" s="1"/>
  <c r="FT2" i="11"/>
  <c r="FS1" i="11"/>
  <c r="M178" i="18" l="1"/>
  <c r="J176" i="18"/>
  <c r="P174" i="5" s="1"/>
  <c r="Q171" i="3"/>
  <c r="M170" i="3"/>
  <c r="U169" i="3"/>
  <c r="F170" i="3"/>
  <c r="J169" i="3"/>
  <c r="FT2" i="10"/>
  <c r="FS1" i="10"/>
  <c r="FU2" i="11"/>
  <c r="FT1" i="11"/>
  <c r="C176" i="19"/>
  <c r="O175" i="5"/>
  <c r="I177" i="18" s="1"/>
  <c r="M179" i="18" l="1"/>
  <c r="J177" i="18"/>
  <c r="P175" i="5" s="1"/>
  <c r="Q172" i="3"/>
  <c r="F171" i="3"/>
  <c r="J170" i="3"/>
  <c r="M171" i="3"/>
  <c r="U170" i="3"/>
  <c r="FU2" i="10"/>
  <c r="FT1" i="10"/>
  <c r="FU1" i="11"/>
  <c r="FV2" i="11"/>
  <c r="O176" i="5"/>
  <c r="I178" i="18" s="1"/>
  <c r="C177" i="19"/>
  <c r="M180" i="18" l="1"/>
  <c r="J178" i="18"/>
  <c r="P176" i="5" s="1"/>
  <c r="Q173" i="3"/>
  <c r="M172" i="3"/>
  <c r="U171" i="3"/>
  <c r="F172" i="3"/>
  <c r="J171" i="3"/>
  <c r="FV2" i="10"/>
  <c r="FU1" i="10"/>
  <c r="C178" i="19"/>
  <c r="FV1" i="11"/>
  <c r="FW2" i="11"/>
  <c r="O177" i="5"/>
  <c r="I179" i="18" s="1"/>
  <c r="M181" i="18" l="1"/>
  <c r="J179" i="18"/>
  <c r="P177" i="5" s="1"/>
  <c r="Q174" i="3"/>
  <c r="F173" i="3"/>
  <c r="J172" i="3"/>
  <c r="M173" i="3"/>
  <c r="U172" i="3"/>
  <c r="FV1" i="10"/>
  <c r="FW2" i="10"/>
  <c r="O178" i="5"/>
  <c r="I180" i="18" s="1"/>
  <c r="FX2" i="11"/>
  <c r="FW1" i="11"/>
  <c r="C179" i="19"/>
  <c r="M182" i="18" l="1"/>
  <c r="J180" i="18"/>
  <c r="P178" i="5" s="1"/>
  <c r="Q175" i="3"/>
  <c r="M174" i="3"/>
  <c r="U173" i="3"/>
  <c r="F174" i="3"/>
  <c r="J173" i="3"/>
  <c r="FX2" i="10"/>
  <c r="FW1" i="10"/>
  <c r="C180" i="19"/>
  <c r="O179" i="5"/>
  <c r="I181" i="18" s="1"/>
  <c r="FY2" i="11"/>
  <c r="FX1" i="11"/>
  <c r="M183" i="18" l="1"/>
  <c r="J181" i="18"/>
  <c r="P179" i="5" s="1"/>
  <c r="Q176" i="3"/>
  <c r="F175" i="3"/>
  <c r="J174" i="3"/>
  <c r="M175" i="3"/>
  <c r="U174" i="3"/>
  <c r="FX1" i="10"/>
  <c r="FY2" i="10"/>
  <c r="C181" i="19"/>
  <c r="FY1" i="11"/>
  <c r="FZ2" i="11"/>
  <c r="O180" i="5"/>
  <c r="I182" i="18" s="1"/>
  <c r="M184" i="18" l="1"/>
  <c r="J182" i="18"/>
  <c r="P180" i="5" s="1"/>
  <c r="Q177" i="3"/>
  <c r="M176" i="3"/>
  <c r="U175" i="3"/>
  <c r="F176" i="3"/>
  <c r="J175" i="3"/>
  <c r="FZ2" i="10"/>
  <c r="FY1" i="10"/>
  <c r="O181" i="5"/>
  <c r="I183" i="18" s="1"/>
  <c r="FZ1" i="11"/>
  <c r="GA2" i="11"/>
  <c r="C182" i="19"/>
  <c r="M185" i="18" l="1"/>
  <c r="J183" i="18"/>
  <c r="P181" i="5" s="1"/>
  <c r="Q178" i="3"/>
  <c r="F177" i="3"/>
  <c r="J176" i="3"/>
  <c r="M177" i="3"/>
  <c r="U176" i="3"/>
  <c r="FZ1" i="10"/>
  <c r="GA2" i="10"/>
  <c r="C183" i="19"/>
  <c r="O182" i="5"/>
  <c r="I184" i="18" s="1"/>
  <c r="GB2" i="11"/>
  <c r="GA1" i="11"/>
  <c r="M186" i="18" l="1"/>
  <c r="J184" i="18"/>
  <c r="P182" i="5" s="1"/>
  <c r="Q179" i="3"/>
  <c r="M178" i="3"/>
  <c r="U177" i="3"/>
  <c r="J177" i="3"/>
  <c r="F178" i="3"/>
  <c r="GB2" i="10"/>
  <c r="GA1" i="10"/>
  <c r="O183" i="5"/>
  <c r="I185" i="18" s="1"/>
  <c r="GC2" i="11"/>
  <c r="GB1" i="11"/>
  <c r="C184" i="19"/>
  <c r="M187" i="18" l="1"/>
  <c r="J185" i="18"/>
  <c r="P183" i="5" s="1"/>
  <c r="Q180" i="3"/>
  <c r="F179" i="3"/>
  <c r="J178" i="3"/>
  <c r="U178" i="3"/>
  <c r="M179" i="3"/>
  <c r="GC2" i="10"/>
  <c r="GB1" i="10"/>
  <c r="O184" i="5"/>
  <c r="I186" i="18" s="1"/>
  <c r="C185" i="19"/>
  <c r="GC1" i="11"/>
  <c r="GD2" i="11"/>
  <c r="M188" i="18" l="1"/>
  <c r="J186" i="18"/>
  <c r="P184" i="5" s="1"/>
  <c r="Q181" i="3"/>
  <c r="M180" i="3"/>
  <c r="U179" i="3"/>
  <c r="F180" i="3"/>
  <c r="J179" i="3"/>
  <c r="GD2" i="10"/>
  <c r="GC1" i="10"/>
  <c r="GD1" i="11"/>
  <c r="GE2" i="11"/>
  <c r="C186" i="19"/>
  <c r="O185" i="5"/>
  <c r="I187" i="18" s="1"/>
  <c r="M189" i="18" l="1"/>
  <c r="J187" i="18"/>
  <c r="P185" i="5" s="1"/>
  <c r="Q182" i="3"/>
  <c r="F181" i="3"/>
  <c r="J180" i="3"/>
  <c r="U180" i="3"/>
  <c r="M181" i="3"/>
  <c r="GE2" i="10"/>
  <c r="GD1" i="10"/>
  <c r="O186" i="5"/>
  <c r="I188" i="18" s="1"/>
  <c r="GF2" i="11"/>
  <c r="GE1" i="11"/>
  <c r="C187" i="19"/>
  <c r="M190" i="18" l="1"/>
  <c r="J188" i="18"/>
  <c r="P186" i="5" s="1"/>
  <c r="Q183" i="3"/>
  <c r="M182" i="3"/>
  <c r="U181" i="3"/>
  <c r="J181" i="3"/>
  <c r="F182" i="3"/>
  <c r="GF2" i="10"/>
  <c r="GE1" i="10"/>
  <c r="GG2" i="11"/>
  <c r="GF1" i="11"/>
  <c r="O187" i="5"/>
  <c r="I189" i="18" s="1"/>
  <c r="C188" i="19"/>
  <c r="M191" i="18" l="1"/>
  <c r="J189" i="18"/>
  <c r="P187" i="5" s="1"/>
  <c r="Q184" i="3"/>
  <c r="F183" i="3"/>
  <c r="J182" i="3"/>
  <c r="M183" i="3"/>
  <c r="U182" i="3"/>
  <c r="GF1" i="10"/>
  <c r="GG2" i="10"/>
  <c r="GG1" i="11"/>
  <c r="GH2" i="11"/>
  <c r="C189" i="19"/>
  <c r="O188" i="5"/>
  <c r="I190" i="18" s="1"/>
  <c r="M192" i="18" l="1"/>
  <c r="J190" i="18"/>
  <c r="P188" i="5" s="1"/>
  <c r="Q185" i="3"/>
  <c r="M184" i="3"/>
  <c r="U183" i="3"/>
  <c r="F184" i="3"/>
  <c r="J183" i="3"/>
  <c r="GH2" i="10"/>
  <c r="GG1" i="10"/>
  <c r="GH1" i="11"/>
  <c r="GI2" i="11"/>
  <c r="O189" i="5"/>
  <c r="I191" i="18" s="1"/>
  <c r="C190" i="19"/>
  <c r="M193" i="18" l="1"/>
  <c r="J191" i="18"/>
  <c r="P189" i="5" s="1"/>
  <c r="Q186" i="3"/>
  <c r="F185" i="3"/>
  <c r="J184" i="3"/>
  <c r="M185" i="3"/>
  <c r="U184" i="3"/>
  <c r="GI2" i="10"/>
  <c r="GH1" i="10"/>
  <c r="C191" i="19"/>
  <c r="O190" i="5"/>
  <c r="I192" i="18" s="1"/>
  <c r="GJ2" i="11"/>
  <c r="GI1" i="11"/>
  <c r="M194" i="18" l="1"/>
  <c r="J192" i="18"/>
  <c r="P190" i="5" s="1"/>
  <c r="Q187" i="3"/>
  <c r="M186" i="3"/>
  <c r="U185" i="3"/>
  <c r="F186" i="3"/>
  <c r="J185" i="3"/>
  <c r="GJ2" i="10"/>
  <c r="GI1" i="10"/>
  <c r="C192" i="19"/>
  <c r="GK2" i="11"/>
  <c r="GJ1" i="11"/>
  <c r="O191" i="5"/>
  <c r="I193" i="18" s="1"/>
  <c r="M195" i="18" l="1"/>
  <c r="J193" i="18"/>
  <c r="P191" i="5" s="1"/>
  <c r="Q188" i="3"/>
  <c r="F187" i="3"/>
  <c r="J186" i="3"/>
  <c r="U186" i="3"/>
  <c r="M187" i="3"/>
  <c r="GK2" i="10"/>
  <c r="GJ1" i="10"/>
  <c r="GK1" i="11"/>
  <c r="GL2" i="11"/>
  <c r="O192" i="5"/>
  <c r="I194" i="18" s="1"/>
  <c r="C193" i="19"/>
  <c r="M196" i="18" l="1"/>
  <c r="J194" i="18"/>
  <c r="P192" i="5" s="1"/>
  <c r="Q189" i="3"/>
  <c r="M188" i="3"/>
  <c r="U187" i="3"/>
  <c r="F188" i="3"/>
  <c r="J187" i="3"/>
  <c r="GL2" i="10"/>
  <c r="GK1" i="10"/>
  <c r="GL1" i="11"/>
  <c r="GM2" i="11"/>
  <c r="C194" i="19"/>
  <c r="O193" i="5"/>
  <c r="I195" i="18" s="1"/>
  <c r="M197" i="18" l="1"/>
  <c r="J195" i="18"/>
  <c r="P193" i="5" s="1"/>
  <c r="Q190" i="3"/>
  <c r="F189" i="3"/>
  <c r="J188" i="3"/>
  <c r="M189" i="3"/>
  <c r="U188" i="3"/>
  <c r="GL1" i="10"/>
  <c r="GM2" i="10"/>
  <c r="C195" i="19"/>
  <c r="O194" i="5"/>
  <c r="I196" i="18" s="1"/>
  <c r="GN2" i="11"/>
  <c r="GM1" i="11"/>
  <c r="M198" i="18" l="1"/>
  <c r="J196" i="18"/>
  <c r="P194" i="5" s="1"/>
  <c r="Q191" i="3"/>
  <c r="M190" i="3"/>
  <c r="U189" i="3"/>
  <c r="F190" i="3"/>
  <c r="J189" i="3"/>
  <c r="GN2" i="10"/>
  <c r="GM1" i="10"/>
  <c r="C196" i="19"/>
  <c r="O195" i="5"/>
  <c r="I197" i="18" s="1"/>
  <c r="GO2" i="11"/>
  <c r="GN1" i="11"/>
  <c r="M199" i="18" l="1"/>
  <c r="J197" i="18"/>
  <c r="P195" i="5" s="1"/>
  <c r="Q192" i="3"/>
  <c r="F191" i="3"/>
  <c r="J190" i="3"/>
  <c r="M191" i="3"/>
  <c r="U190" i="3"/>
  <c r="GO2" i="10"/>
  <c r="GN1" i="10"/>
  <c r="GO1" i="11"/>
  <c r="GP2" i="11"/>
  <c r="C197" i="19"/>
  <c r="O196" i="5"/>
  <c r="I198" i="18" s="1"/>
  <c r="M200" i="18" l="1"/>
  <c r="J198" i="18"/>
  <c r="P196" i="5" s="1"/>
  <c r="Q193" i="3"/>
  <c r="M192" i="3"/>
  <c r="U191" i="3"/>
  <c r="J191" i="3"/>
  <c r="F192" i="3"/>
  <c r="GP2" i="10"/>
  <c r="GO1" i="10"/>
  <c r="C198" i="19"/>
  <c r="GP1" i="11"/>
  <c r="GQ2" i="11"/>
  <c r="O197" i="5"/>
  <c r="I199" i="18" s="1"/>
  <c r="M201" i="18" l="1"/>
  <c r="J199" i="18"/>
  <c r="P197" i="5" s="1"/>
  <c r="Q194" i="3"/>
  <c r="F193" i="3"/>
  <c r="J192" i="3"/>
  <c r="M193" i="3"/>
  <c r="U192" i="3"/>
  <c r="GP1" i="10"/>
  <c r="GQ2" i="10"/>
  <c r="C199" i="19"/>
  <c r="O198" i="5"/>
  <c r="I200" i="18" s="1"/>
  <c r="GR2" i="11"/>
  <c r="GQ1" i="11"/>
  <c r="M202" i="18" l="1"/>
  <c r="J200" i="18"/>
  <c r="P198" i="5" s="1"/>
  <c r="Q195" i="3"/>
  <c r="M194" i="3"/>
  <c r="U193" i="3"/>
  <c r="F194" i="3"/>
  <c r="J193" i="3"/>
  <c r="GR2" i="10"/>
  <c r="GQ1" i="10"/>
  <c r="C200" i="19"/>
  <c r="GS2" i="11"/>
  <c r="GR1" i="11"/>
  <c r="O199" i="5"/>
  <c r="I201" i="18" s="1"/>
  <c r="J201" i="18" l="1"/>
  <c r="P199" i="5" s="1"/>
  <c r="Q196" i="3"/>
  <c r="F195" i="3"/>
  <c r="J194" i="3"/>
  <c r="M195" i="3"/>
  <c r="U194" i="3"/>
  <c r="GS2" i="10"/>
  <c r="GR1" i="10"/>
  <c r="C201" i="19"/>
  <c r="GS1" i="11"/>
  <c r="GT2" i="11"/>
  <c r="O200" i="5"/>
  <c r="I202" i="18" s="1"/>
  <c r="M203" i="18" l="1"/>
  <c r="M204" i="18" s="1"/>
  <c r="J202" i="18"/>
  <c r="P200" i="5" s="1"/>
  <c r="Q197" i="3"/>
  <c r="M196" i="3"/>
  <c r="U195" i="3"/>
  <c r="J195" i="3"/>
  <c r="F196" i="3"/>
  <c r="GT2" i="10"/>
  <c r="GS1" i="10"/>
  <c r="GT1" i="11"/>
  <c r="GU2" i="11"/>
  <c r="C202" i="19"/>
  <c r="O201" i="5"/>
  <c r="I203" i="18" s="1"/>
  <c r="M205" i="18" l="1"/>
  <c r="J203" i="18"/>
  <c r="P201" i="5" s="1"/>
  <c r="Q198" i="3"/>
  <c r="F197" i="3"/>
  <c r="J196" i="3"/>
  <c r="M197" i="3"/>
  <c r="U196" i="3"/>
  <c r="GT1" i="10"/>
  <c r="GU2" i="10"/>
  <c r="O202" i="5"/>
  <c r="I204" i="18" s="1"/>
  <c r="C203" i="19"/>
  <c r="GV2" i="11"/>
  <c r="GU1" i="11"/>
  <c r="M206" i="18" l="1"/>
  <c r="J204" i="18"/>
  <c r="P202" i="5" s="1"/>
  <c r="Q199" i="3"/>
  <c r="M198" i="3"/>
  <c r="U197" i="3"/>
  <c r="F198" i="3"/>
  <c r="J197" i="3"/>
  <c r="GV2" i="10"/>
  <c r="GU1" i="10"/>
  <c r="GW2" i="11"/>
  <c r="GV1" i="11"/>
  <c r="O203" i="5"/>
  <c r="I205" i="18" s="1"/>
  <c r="C204" i="19"/>
  <c r="M207" i="18" l="1"/>
  <c r="J205" i="18"/>
  <c r="P203" i="5" s="1"/>
  <c r="Q200" i="3"/>
  <c r="F199" i="3"/>
  <c r="J198" i="3"/>
  <c r="M199" i="3"/>
  <c r="U198" i="3"/>
  <c r="GV1" i="10"/>
  <c r="GW2" i="10"/>
  <c r="C205" i="19"/>
  <c r="GW1" i="11"/>
  <c r="GX2" i="11"/>
  <c r="O204" i="5"/>
  <c r="I206" i="18" s="1"/>
  <c r="M208" i="18" l="1"/>
  <c r="J206" i="18"/>
  <c r="P204" i="5" s="1"/>
  <c r="Q201" i="3"/>
  <c r="M200" i="3"/>
  <c r="U199" i="3"/>
  <c r="F200" i="3"/>
  <c r="J199" i="3"/>
  <c r="GW1" i="10"/>
  <c r="GX2" i="10"/>
  <c r="O205" i="5"/>
  <c r="I207" i="18" s="1"/>
  <c r="GX1" i="11"/>
  <c r="GY2" i="11"/>
  <c r="C206" i="19"/>
  <c r="M209" i="18" l="1"/>
  <c r="J207" i="18"/>
  <c r="P205" i="5" s="1"/>
  <c r="Q202" i="3"/>
  <c r="F201" i="3"/>
  <c r="J200" i="3"/>
  <c r="U200" i="3"/>
  <c r="M201" i="3"/>
  <c r="GX1" i="10"/>
  <c r="GY2" i="10"/>
  <c r="C207" i="19"/>
  <c r="GZ2" i="11"/>
  <c r="GY1" i="11"/>
  <c r="O206" i="5"/>
  <c r="I208" i="18" s="1"/>
  <c r="M210" i="18" l="1"/>
  <c r="J208" i="18"/>
  <c r="P206" i="5" s="1"/>
  <c r="Q203" i="3"/>
  <c r="M202" i="3"/>
  <c r="U201" i="3"/>
  <c r="F202" i="3"/>
  <c r="J201" i="3"/>
  <c r="GZ2" i="10"/>
  <c r="GY1" i="10"/>
  <c r="C208" i="19"/>
  <c r="O207" i="5"/>
  <c r="I209" i="18" s="1"/>
  <c r="HA2" i="11"/>
  <c r="GZ1" i="11"/>
  <c r="M211" i="18" l="1"/>
  <c r="J209" i="18"/>
  <c r="P207" i="5" s="1"/>
  <c r="Q204" i="3"/>
  <c r="F203" i="3"/>
  <c r="J202" i="3"/>
  <c r="U202" i="3"/>
  <c r="M203" i="3"/>
  <c r="HA2" i="10"/>
  <c r="GZ1" i="10"/>
  <c r="O208" i="5"/>
  <c r="I210" i="18" s="1"/>
  <c r="C209" i="19"/>
  <c r="HA1" i="11"/>
  <c r="HB2" i="11"/>
  <c r="M212" i="18" l="1"/>
  <c r="J210" i="18"/>
  <c r="P208" i="5" s="1"/>
  <c r="Q205" i="3"/>
  <c r="M204" i="3"/>
  <c r="U203" i="3"/>
  <c r="F204" i="3"/>
  <c r="J203" i="3"/>
  <c r="HB2" i="10"/>
  <c r="HA1" i="10"/>
  <c r="C210" i="19"/>
  <c r="HB1" i="11"/>
  <c r="HC2" i="11"/>
  <c r="O209" i="5"/>
  <c r="I211" i="18" s="1"/>
  <c r="M213" i="18" l="1"/>
  <c r="J211" i="18"/>
  <c r="P209" i="5" s="1"/>
  <c r="Q206" i="3"/>
  <c r="F205" i="3"/>
  <c r="J204" i="3"/>
  <c r="M205" i="3"/>
  <c r="U204" i="3"/>
  <c r="HB1" i="10"/>
  <c r="HC2" i="10"/>
  <c r="O210" i="5"/>
  <c r="I212" i="18" s="1"/>
  <c r="HD2" i="11"/>
  <c r="HC1" i="11"/>
  <c r="C211" i="19"/>
  <c r="M214" i="18" l="1"/>
  <c r="J212" i="18"/>
  <c r="P210" i="5" s="1"/>
  <c r="Q207" i="3"/>
  <c r="M206" i="3"/>
  <c r="U205" i="3"/>
  <c r="F206" i="3"/>
  <c r="J205" i="3"/>
  <c r="HD2" i="10"/>
  <c r="HC1" i="10"/>
  <c r="O211" i="5"/>
  <c r="I213" i="18" s="1"/>
  <c r="C212" i="19"/>
  <c r="HE2" i="11"/>
  <c r="HD1" i="11"/>
  <c r="M215" i="18" l="1"/>
  <c r="J213" i="18"/>
  <c r="P211" i="5" s="1"/>
  <c r="Q208" i="3"/>
  <c r="F207" i="3"/>
  <c r="J206" i="3"/>
  <c r="M207" i="3"/>
  <c r="U206" i="3"/>
  <c r="HE2" i="10"/>
  <c r="HD1" i="10"/>
  <c r="HE1" i="11"/>
  <c r="HF2" i="11"/>
  <c r="O212" i="5"/>
  <c r="I214" i="18" s="1"/>
  <c r="C213" i="19"/>
  <c r="M216" i="18" l="1"/>
  <c r="J214" i="18"/>
  <c r="P212" i="5" s="1"/>
  <c r="Q209" i="3"/>
  <c r="M208" i="3"/>
  <c r="U207" i="3"/>
  <c r="F208" i="3"/>
  <c r="J207" i="3"/>
  <c r="HE1" i="10"/>
  <c r="HF2" i="10"/>
  <c r="C214" i="19"/>
  <c r="O213" i="5"/>
  <c r="I215" i="18" s="1"/>
  <c r="HF1" i="11"/>
  <c r="HG2" i="11"/>
  <c r="M217" i="18" l="1"/>
  <c r="J215" i="18"/>
  <c r="P213" i="5" s="1"/>
  <c r="Q210" i="3"/>
  <c r="F209" i="3"/>
  <c r="J208" i="3"/>
  <c r="M209" i="3"/>
  <c r="U208" i="3"/>
  <c r="HG2" i="10"/>
  <c r="HF1" i="10"/>
  <c r="HH2" i="11"/>
  <c r="HG1" i="11"/>
  <c r="O214" i="5"/>
  <c r="I216" i="18" s="1"/>
  <c r="C215" i="19"/>
  <c r="M218" i="18" l="1"/>
  <c r="J216" i="18"/>
  <c r="P214" i="5" s="1"/>
  <c r="Q211" i="3"/>
  <c r="M210" i="3"/>
  <c r="U209" i="3"/>
  <c r="F210" i="3"/>
  <c r="J209" i="3"/>
  <c r="HH2" i="10"/>
  <c r="HG1" i="10"/>
  <c r="HI2" i="11"/>
  <c r="HH1" i="11"/>
  <c r="C216" i="19"/>
  <c r="O215" i="5"/>
  <c r="I217" i="18" s="1"/>
  <c r="M219" i="18" l="1"/>
  <c r="J217" i="18"/>
  <c r="P215" i="5" s="1"/>
  <c r="Q212" i="3"/>
  <c r="F211" i="3"/>
  <c r="J210" i="3"/>
  <c r="M211" i="3"/>
  <c r="U210" i="3"/>
  <c r="HI2" i="10"/>
  <c r="HH1" i="10"/>
  <c r="O216" i="5"/>
  <c r="I218" i="18" s="1"/>
  <c r="HI1" i="11"/>
  <c r="HJ2" i="11"/>
  <c r="C217" i="19"/>
  <c r="M220" i="18" l="1"/>
  <c r="J218" i="18"/>
  <c r="P216" i="5" s="1"/>
  <c r="Q213" i="3"/>
  <c r="M212" i="3"/>
  <c r="U211" i="3"/>
  <c r="J211" i="3"/>
  <c r="F212" i="3"/>
  <c r="HJ2" i="10"/>
  <c r="HI1" i="10"/>
  <c r="O217" i="5"/>
  <c r="I219" i="18" s="1"/>
  <c r="HJ1" i="11"/>
  <c r="HK2" i="11"/>
  <c r="C218" i="19"/>
  <c r="M221" i="18" l="1"/>
  <c r="J219" i="18"/>
  <c r="P217" i="5" s="1"/>
  <c r="Q214" i="3"/>
  <c r="F213" i="3"/>
  <c r="J212" i="3"/>
  <c r="M213" i="3"/>
  <c r="U212" i="3"/>
  <c r="HJ1" i="10"/>
  <c r="HK2" i="10"/>
  <c r="O218" i="5"/>
  <c r="I220" i="18" s="1"/>
  <c r="C219" i="19"/>
  <c r="HL2" i="11"/>
  <c r="HK1" i="11"/>
  <c r="M222" i="18" l="1"/>
  <c r="J220" i="18"/>
  <c r="P218" i="5" s="1"/>
  <c r="Q215" i="3"/>
  <c r="M214" i="3"/>
  <c r="U213" i="3"/>
  <c r="F214" i="3"/>
  <c r="J213" i="3"/>
  <c r="HL2" i="10"/>
  <c r="HK1" i="10"/>
  <c r="HM2" i="11"/>
  <c r="HL1" i="11"/>
  <c r="C220" i="19"/>
  <c r="O219" i="5"/>
  <c r="I221" i="18" s="1"/>
  <c r="M223" i="18" l="1"/>
  <c r="J221" i="18"/>
  <c r="P219" i="5" s="1"/>
  <c r="Q216" i="3"/>
  <c r="F215" i="3"/>
  <c r="J214" i="3"/>
  <c r="M215" i="3"/>
  <c r="U214" i="3"/>
  <c r="HM2" i="10"/>
  <c r="HL1" i="10"/>
  <c r="O220" i="5"/>
  <c r="I222" i="18" s="1"/>
  <c r="C221" i="19"/>
  <c r="HM1" i="11"/>
  <c r="HN2" i="11"/>
  <c r="M224" i="18" l="1"/>
  <c r="J222" i="18"/>
  <c r="P220" i="5" s="1"/>
  <c r="Q217" i="3"/>
  <c r="M216" i="3"/>
  <c r="U215" i="3"/>
  <c r="F216" i="3"/>
  <c r="J215" i="3"/>
  <c r="HN2" i="10"/>
  <c r="HM1" i="10"/>
  <c r="C222" i="19"/>
  <c r="O221" i="5"/>
  <c r="I223" i="18" s="1"/>
  <c r="HN1" i="11"/>
  <c r="HO2" i="11"/>
  <c r="M225" i="18" l="1"/>
  <c r="J223" i="18"/>
  <c r="P221" i="5" s="1"/>
  <c r="Q218" i="3"/>
  <c r="F217" i="3"/>
  <c r="J216" i="3"/>
  <c r="M217" i="3"/>
  <c r="U216" i="3"/>
  <c r="HO2" i="10"/>
  <c r="HN1" i="10"/>
  <c r="HP2" i="11"/>
  <c r="HO1" i="11"/>
  <c r="C223" i="19"/>
  <c r="O222" i="5"/>
  <c r="I224" i="18" s="1"/>
  <c r="M226" i="18" l="1"/>
  <c r="J224" i="18"/>
  <c r="P222" i="5" s="1"/>
  <c r="Q219" i="3"/>
  <c r="M218" i="3"/>
  <c r="U217" i="3"/>
  <c r="F218" i="3"/>
  <c r="J217" i="3"/>
  <c r="HO1" i="10"/>
  <c r="HP2" i="10"/>
  <c r="HQ2" i="11"/>
  <c r="HP1" i="11"/>
  <c r="C224" i="19"/>
  <c r="O223" i="5"/>
  <c r="I225" i="18" s="1"/>
  <c r="M227" i="18" l="1"/>
  <c r="J225" i="18"/>
  <c r="P223" i="5" s="1"/>
  <c r="Q220" i="3"/>
  <c r="F219" i="3"/>
  <c r="J218" i="3"/>
  <c r="U218" i="3"/>
  <c r="M219" i="3"/>
  <c r="HQ2" i="10"/>
  <c r="HP1" i="10"/>
  <c r="C225" i="19"/>
  <c r="O224" i="5"/>
  <c r="I226" i="18" s="1"/>
  <c r="HQ1" i="11"/>
  <c r="HR2" i="11"/>
  <c r="M228" i="18" l="1"/>
  <c r="J226" i="18"/>
  <c r="P224" i="5" s="1"/>
  <c r="Q221" i="3"/>
  <c r="M220" i="3"/>
  <c r="U219" i="3"/>
  <c r="F220" i="3"/>
  <c r="J219" i="3"/>
  <c r="HR2" i="10"/>
  <c r="HQ1" i="10"/>
  <c r="O225" i="5"/>
  <c r="I227" i="18" s="1"/>
  <c r="C226" i="19"/>
  <c r="HR1" i="11"/>
  <c r="HS2" i="11"/>
  <c r="M229" i="18" l="1"/>
  <c r="J227" i="18"/>
  <c r="P225" i="5" s="1"/>
  <c r="Q222" i="3"/>
  <c r="F221" i="3"/>
  <c r="J220" i="3"/>
  <c r="M221" i="3"/>
  <c r="U220" i="3"/>
  <c r="HS2" i="10"/>
  <c r="HR1" i="10"/>
  <c r="O226" i="5"/>
  <c r="I228" i="18" s="1"/>
  <c r="HT2" i="11"/>
  <c r="HS1" i="11"/>
  <c r="C227" i="19"/>
  <c r="M230" i="18" l="1"/>
  <c r="J228" i="18"/>
  <c r="P226" i="5" s="1"/>
  <c r="Q223" i="3"/>
  <c r="M222" i="3"/>
  <c r="U221" i="3"/>
  <c r="J221" i="3"/>
  <c r="F222" i="3"/>
  <c r="HS1" i="10"/>
  <c r="HT2" i="10"/>
  <c r="HU2" i="11"/>
  <c r="HT1" i="11"/>
  <c r="O227" i="5"/>
  <c r="I229" i="18" s="1"/>
  <c r="C228" i="19"/>
  <c r="M231" i="18" l="1"/>
  <c r="J229" i="18"/>
  <c r="P227" i="5" s="1"/>
  <c r="Q224" i="3"/>
  <c r="F223" i="3"/>
  <c r="J222" i="3"/>
  <c r="M223" i="3"/>
  <c r="U222" i="3"/>
  <c r="HT1" i="10"/>
  <c r="HU2" i="10"/>
  <c r="C229" i="19"/>
  <c r="HU1" i="11"/>
  <c r="HV2" i="11"/>
  <c r="O228" i="5"/>
  <c r="I230" i="18" s="1"/>
  <c r="M232" i="18" l="1"/>
  <c r="J230" i="18"/>
  <c r="P228" i="5" s="1"/>
  <c r="Q225" i="3"/>
  <c r="M224" i="3"/>
  <c r="U223" i="3"/>
  <c r="J223" i="3"/>
  <c r="F224" i="3"/>
  <c r="HV2" i="10"/>
  <c r="HU1" i="10"/>
  <c r="C230" i="19"/>
  <c r="O229" i="5"/>
  <c r="I231" i="18" s="1"/>
  <c r="HV1" i="11"/>
  <c r="HW2" i="11"/>
  <c r="M233" i="18" l="1"/>
  <c r="J231" i="18"/>
  <c r="P229" i="5" s="1"/>
  <c r="Q226" i="3"/>
  <c r="F225" i="3"/>
  <c r="J224" i="3"/>
  <c r="M225" i="3"/>
  <c r="U224" i="3"/>
  <c r="HV1" i="10"/>
  <c r="HW2" i="10"/>
  <c r="C231" i="19"/>
  <c r="HX2" i="11"/>
  <c r="HW1" i="11"/>
  <c r="O230" i="5"/>
  <c r="I232" i="18" s="1"/>
  <c r="M234" i="18" l="1"/>
  <c r="J232" i="18"/>
  <c r="P230" i="5" s="1"/>
  <c r="Q227" i="3"/>
  <c r="M226" i="3"/>
  <c r="U225" i="3"/>
  <c r="F226" i="3"/>
  <c r="J225" i="3"/>
  <c r="HX2" i="10"/>
  <c r="HW1" i="10"/>
  <c r="C232" i="19"/>
  <c r="O231" i="5"/>
  <c r="I233" i="18" s="1"/>
  <c r="HY2" i="11"/>
  <c r="HX1" i="11"/>
  <c r="M235" i="18" l="1"/>
  <c r="J233" i="18"/>
  <c r="P231" i="5" s="1"/>
  <c r="Q228" i="3"/>
  <c r="J226" i="3"/>
  <c r="F227" i="3"/>
  <c r="U226" i="3"/>
  <c r="M227" i="3"/>
  <c r="HY2" i="10"/>
  <c r="HX1" i="10"/>
  <c r="O232" i="5"/>
  <c r="I234" i="18" s="1"/>
  <c r="HY1" i="11"/>
  <c r="HZ2" i="11"/>
  <c r="C233" i="19"/>
  <c r="M236" i="18" l="1"/>
  <c r="J234" i="18"/>
  <c r="P232" i="5" s="1"/>
  <c r="Q229" i="3"/>
  <c r="M228" i="3"/>
  <c r="U227" i="3"/>
  <c r="F228" i="3"/>
  <c r="J227" i="3"/>
  <c r="HZ2" i="10"/>
  <c r="HY1" i="10"/>
  <c r="C234" i="19"/>
  <c r="O233" i="5"/>
  <c r="I235" i="18" s="1"/>
  <c r="HZ1" i="11"/>
  <c r="IA2" i="11"/>
  <c r="M237" i="18" l="1"/>
  <c r="J235" i="18"/>
  <c r="P233" i="5" s="1"/>
  <c r="Q230" i="3"/>
  <c r="F229" i="3"/>
  <c r="J228" i="3"/>
  <c r="M229" i="3"/>
  <c r="U228" i="3"/>
  <c r="HZ1" i="10"/>
  <c r="IA2" i="10"/>
  <c r="O234" i="5"/>
  <c r="I236" i="18" s="1"/>
  <c r="IB2" i="11"/>
  <c r="IA1" i="11"/>
  <c r="C235" i="19"/>
  <c r="M238" i="18" l="1"/>
  <c r="J236" i="18"/>
  <c r="P234" i="5" s="1"/>
  <c r="Q231" i="3"/>
  <c r="M230" i="3"/>
  <c r="U229" i="3"/>
  <c r="J229" i="3"/>
  <c r="F230" i="3"/>
  <c r="IB2" i="10"/>
  <c r="IA1" i="10"/>
  <c r="C236" i="19"/>
  <c r="IC2" i="11"/>
  <c r="IB1" i="11"/>
  <c r="O235" i="5"/>
  <c r="I237" i="18" s="1"/>
  <c r="M239" i="18" l="1"/>
  <c r="J237" i="18"/>
  <c r="P235" i="5" s="1"/>
  <c r="Q232" i="3"/>
  <c r="F231" i="3"/>
  <c r="J230" i="3"/>
  <c r="M231" i="3"/>
  <c r="U230" i="3"/>
  <c r="IC2" i="10"/>
  <c r="IB1" i="10"/>
  <c r="IC1" i="11"/>
  <c r="ID2" i="11"/>
  <c r="O236" i="5"/>
  <c r="I238" i="18" s="1"/>
  <c r="C237" i="19"/>
  <c r="M240" i="18" l="1"/>
  <c r="J238" i="18"/>
  <c r="P236" i="5" s="1"/>
  <c r="Q233" i="3"/>
  <c r="M232" i="3"/>
  <c r="U231" i="3"/>
  <c r="F232" i="3"/>
  <c r="J231" i="3"/>
  <c r="ID2" i="10"/>
  <c r="IC1" i="10"/>
  <c r="O237" i="5"/>
  <c r="I239" i="18" s="1"/>
  <c r="ID1" i="11"/>
  <c r="IE2" i="11"/>
  <c r="C238" i="19"/>
  <c r="M241" i="18" l="1"/>
  <c r="J239" i="18"/>
  <c r="P237" i="5" s="1"/>
  <c r="Q234" i="3"/>
  <c r="F233" i="3"/>
  <c r="J232" i="3"/>
  <c r="M233" i="3"/>
  <c r="U232" i="3"/>
  <c r="ID1" i="10"/>
  <c r="IE2" i="10"/>
  <c r="IF2" i="11"/>
  <c r="IE1" i="11"/>
  <c r="C239" i="19"/>
  <c r="O238" i="5"/>
  <c r="I240" i="18" s="1"/>
  <c r="M242" i="18" l="1"/>
  <c r="J240" i="18"/>
  <c r="P238" i="5" s="1"/>
  <c r="Q235" i="3"/>
  <c r="M234" i="3"/>
  <c r="U233" i="3"/>
  <c r="F234" i="3"/>
  <c r="J233" i="3"/>
  <c r="IF2" i="10"/>
  <c r="IE1" i="10"/>
  <c r="O239" i="5"/>
  <c r="I241" i="18" s="1"/>
  <c r="C240" i="19"/>
  <c r="IG2" i="11"/>
  <c r="IF1" i="11"/>
  <c r="M243" i="18" l="1"/>
  <c r="J241" i="18"/>
  <c r="P239" i="5" s="1"/>
  <c r="Q236" i="3"/>
  <c r="F235" i="3"/>
  <c r="J234" i="3"/>
  <c r="M235" i="3"/>
  <c r="U234" i="3"/>
  <c r="IG2" i="10"/>
  <c r="IF1" i="10"/>
  <c r="C241" i="19"/>
  <c r="O240" i="5"/>
  <c r="I242" i="18" s="1"/>
  <c r="IG1" i="11"/>
  <c r="IH2" i="11"/>
  <c r="M244" i="18" l="1"/>
  <c r="J242" i="18"/>
  <c r="P240" i="5" s="1"/>
  <c r="Q237" i="3"/>
  <c r="M236" i="3"/>
  <c r="U235" i="3"/>
  <c r="F236" i="3"/>
  <c r="J235" i="3"/>
  <c r="IH2" i="10"/>
  <c r="IG1" i="10"/>
  <c r="IH1" i="11"/>
  <c r="II2" i="11"/>
  <c r="O241" i="5"/>
  <c r="I243" i="18" s="1"/>
  <c r="C242" i="19"/>
  <c r="M245" i="18" l="1"/>
  <c r="J243" i="18"/>
  <c r="P241" i="5" s="1"/>
  <c r="Q238" i="3"/>
  <c r="F237" i="3"/>
  <c r="J236" i="3"/>
  <c r="M237" i="3"/>
  <c r="U236" i="3"/>
  <c r="IH1" i="10"/>
  <c r="II2" i="10"/>
  <c r="C243" i="19"/>
  <c r="O242" i="5"/>
  <c r="I244" i="18" s="1"/>
  <c r="IJ2" i="11"/>
  <c r="II1" i="11"/>
  <c r="M246" i="18" l="1"/>
  <c r="J244" i="18"/>
  <c r="P242" i="5" s="1"/>
  <c r="Q239" i="3"/>
  <c r="M238" i="3"/>
  <c r="U237" i="3"/>
  <c r="J237" i="3"/>
  <c r="F238" i="3"/>
  <c r="IJ2" i="10"/>
  <c r="II1" i="10"/>
  <c r="C244" i="19"/>
  <c r="IK2" i="11"/>
  <c r="IJ1" i="11"/>
  <c r="O243" i="5"/>
  <c r="I245" i="18" s="1"/>
  <c r="M247" i="18" l="1"/>
  <c r="J245" i="18"/>
  <c r="P243" i="5" s="1"/>
  <c r="Q240" i="3"/>
  <c r="F239" i="3"/>
  <c r="J238" i="3"/>
  <c r="M239" i="3"/>
  <c r="U238" i="3"/>
  <c r="IK2" i="10"/>
  <c r="IJ1" i="10"/>
  <c r="IK1" i="11"/>
  <c r="IL2" i="11"/>
  <c r="C245" i="19"/>
  <c r="O244" i="5"/>
  <c r="I246" i="18" s="1"/>
  <c r="M248" i="18" l="1"/>
  <c r="J246" i="18"/>
  <c r="P244" i="5" s="1"/>
  <c r="Q241" i="3"/>
  <c r="M240" i="3"/>
  <c r="U239" i="3"/>
  <c r="F240" i="3"/>
  <c r="J239" i="3"/>
  <c r="IL2" i="10"/>
  <c r="IK1" i="10"/>
  <c r="O245" i="5"/>
  <c r="I247" i="18" s="1"/>
  <c r="C246" i="19"/>
  <c r="IL1" i="11"/>
  <c r="IM2" i="11"/>
  <c r="M249" i="18" l="1"/>
  <c r="J247" i="18"/>
  <c r="P245" i="5" s="1"/>
  <c r="Q242" i="3"/>
  <c r="M241" i="3"/>
  <c r="U240" i="3"/>
  <c r="F241" i="3"/>
  <c r="J240" i="3"/>
  <c r="IL1" i="10"/>
  <c r="IM2" i="10"/>
  <c r="IN2" i="11"/>
  <c r="IM1" i="11"/>
  <c r="C247" i="19"/>
  <c r="O246" i="5"/>
  <c r="I248" i="18" s="1"/>
  <c r="M250" i="18" l="1"/>
  <c r="J248" i="18"/>
  <c r="P246" i="5" s="1"/>
  <c r="Q243" i="3"/>
  <c r="F242" i="3"/>
  <c r="J241" i="3"/>
  <c r="M242" i="3"/>
  <c r="U241" i="3"/>
  <c r="IN2" i="10"/>
  <c r="IM1" i="10"/>
  <c r="IO2" i="11"/>
  <c r="IN1" i="11"/>
  <c r="C248" i="19"/>
  <c r="O247" i="5"/>
  <c r="I249" i="18" s="1"/>
  <c r="M251" i="18" l="1"/>
  <c r="J249" i="18"/>
  <c r="P247" i="5" s="1"/>
  <c r="Q244" i="3"/>
  <c r="F243" i="3"/>
  <c r="J242" i="3"/>
  <c r="M243" i="3"/>
  <c r="U242" i="3"/>
  <c r="IO2" i="10"/>
  <c r="IN1" i="10"/>
  <c r="O248" i="5"/>
  <c r="I250" i="18" s="1"/>
  <c r="C249" i="19"/>
  <c r="IO1" i="11"/>
  <c r="IP2" i="11"/>
  <c r="M252" i="18" l="1"/>
  <c r="J250" i="18"/>
  <c r="P248" i="5" s="1"/>
  <c r="Q245" i="3"/>
  <c r="U243" i="3"/>
  <c r="M244" i="3"/>
  <c r="F244" i="3"/>
  <c r="J243" i="3"/>
  <c r="IP2" i="10"/>
  <c r="IO1" i="10"/>
  <c r="C250" i="19"/>
  <c r="O249" i="5"/>
  <c r="I251" i="18" s="1"/>
  <c r="IP1" i="11"/>
  <c r="IQ2" i="11"/>
  <c r="M253" i="18" l="1"/>
  <c r="J251" i="18"/>
  <c r="P249" i="5" s="1"/>
  <c r="Q246" i="3"/>
  <c r="J244" i="3"/>
  <c r="F245" i="3"/>
  <c r="M245" i="3"/>
  <c r="U244" i="3"/>
  <c r="IP1" i="10"/>
  <c r="IQ2" i="10"/>
  <c r="IR2" i="11"/>
  <c r="IQ1" i="11"/>
  <c r="O250" i="5"/>
  <c r="I252" i="18" s="1"/>
  <c r="C251" i="19"/>
  <c r="M254" i="18" l="1"/>
  <c r="J252" i="18"/>
  <c r="P250" i="5" s="1"/>
  <c r="Q247" i="3"/>
  <c r="U245" i="3"/>
  <c r="M246" i="3"/>
  <c r="F246" i="3"/>
  <c r="J245" i="3"/>
  <c r="IR2" i="10"/>
  <c r="IQ1" i="10"/>
  <c r="C252" i="19"/>
  <c r="IS2" i="11"/>
  <c r="IR1" i="11"/>
  <c r="O251" i="5"/>
  <c r="I253" i="18" s="1"/>
  <c r="M255" i="18" l="1"/>
  <c r="J253" i="18"/>
  <c r="P251" i="5" s="1"/>
  <c r="Q248" i="3"/>
  <c r="J246" i="3"/>
  <c r="F247" i="3"/>
  <c r="M247" i="3"/>
  <c r="U246" i="3"/>
  <c r="IS2" i="10"/>
  <c r="IR1" i="10"/>
  <c r="O252" i="5"/>
  <c r="I254" i="18" s="1"/>
  <c r="C253" i="19"/>
  <c r="IS1" i="11"/>
  <c r="IT2" i="11"/>
  <c r="M256" i="18" l="1"/>
  <c r="J254" i="18"/>
  <c r="P252" i="5" s="1"/>
  <c r="Q249" i="3"/>
  <c r="M248" i="3"/>
  <c r="U247" i="3"/>
  <c r="F248" i="3"/>
  <c r="J247" i="3"/>
  <c r="IT2" i="10"/>
  <c r="IS1" i="10"/>
  <c r="C254" i="19"/>
  <c r="O253" i="5"/>
  <c r="I255" i="18" s="1"/>
  <c r="IT1" i="11"/>
  <c r="IU2" i="11"/>
  <c r="M257" i="18" l="1"/>
  <c r="J255" i="18"/>
  <c r="P253" i="5" s="1"/>
  <c r="Q250" i="3"/>
  <c r="F249" i="3"/>
  <c r="J248" i="3"/>
  <c r="M249" i="3"/>
  <c r="U248" i="3"/>
  <c r="IT1" i="10"/>
  <c r="IU2" i="10"/>
  <c r="IV2" i="11"/>
  <c r="IU1" i="11"/>
  <c r="C255" i="19"/>
  <c r="O254" i="5"/>
  <c r="I256" i="18" s="1"/>
  <c r="M258" i="18" l="1"/>
  <c r="J256" i="18"/>
  <c r="P254" i="5" s="1"/>
  <c r="Q251" i="3"/>
  <c r="F250" i="3"/>
  <c r="J249" i="3"/>
  <c r="U249" i="3"/>
  <c r="M250" i="3"/>
  <c r="IU1" i="10"/>
  <c r="IV2" i="10"/>
  <c r="C256" i="19"/>
  <c r="O255" i="5"/>
  <c r="I257" i="18" s="1"/>
  <c r="IW2" i="11"/>
  <c r="IV1" i="11"/>
  <c r="M259" i="18" l="1"/>
  <c r="J257" i="18"/>
  <c r="P255" i="5" s="1"/>
  <c r="Q252" i="3"/>
  <c r="M251" i="3"/>
  <c r="U250" i="3"/>
  <c r="J250" i="3"/>
  <c r="F251" i="3"/>
  <c r="IW2" i="10"/>
  <c r="IV1" i="10"/>
  <c r="IW1" i="11"/>
  <c r="IX2" i="11"/>
  <c r="O256" i="5"/>
  <c r="I258" i="18" s="1"/>
  <c r="C257" i="19"/>
  <c r="M260" i="18" l="1"/>
  <c r="J258" i="18"/>
  <c r="P256" i="5" s="1"/>
  <c r="Q253" i="3"/>
  <c r="U251" i="3"/>
  <c r="M252" i="3"/>
  <c r="F252" i="3"/>
  <c r="J251" i="3"/>
  <c r="IX2" i="10"/>
  <c r="IW1" i="10"/>
  <c r="C258" i="19"/>
  <c r="O257" i="5"/>
  <c r="I259" i="18" s="1"/>
  <c r="IX1" i="11"/>
  <c r="IY2" i="11"/>
  <c r="M261" i="18" l="1"/>
  <c r="J259" i="18"/>
  <c r="P257" i="5" s="1"/>
  <c r="Q254" i="3"/>
  <c r="J252" i="3"/>
  <c r="F253" i="3"/>
  <c r="M253" i="3"/>
  <c r="U252" i="3"/>
  <c r="IX1" i="10"/>
  <c r="IY2" i="10"/>
  <c r="C259" i="19"/>
  <c r="IZ2" i="11"/>
  <c r="IY1" i="11"/>
  <c r="O258" i="5"/>
  <c r="I260" i="18" s="1"/>
  <c r="M262" i="18" l="1"/>
  <c r="J260" i="18"/>
  <c r="P258" i="5" s="1"/>
  <c r="Q255" i="3"/>
  <c r="M254" i="3"/>
  <c r="U253" i="3"/>
  <c r="F254" i="3"/>
  <c r="J253" i="3"/>
  <c r="IZ2" i="10"/>
  <c r="IY1" i="10"/>
  <c r="O259" i="5"/>
  <c r="I261" i="18" s="1"/>
  <c r="JA2" i="11"/>
  <c r="IZ1" i="11"/>
  <c r="C260" i="19"/>
  <c r="M263" i="18" l="1"/>
  <c r="J261" i="18"/>
  <c r="P259" i="5" s="1"/>
  <c r="Q256" i="3"/>
  <c r="F255" i="3"/>
  <c r="J254" i="3"/>
  <c r="M255" i="3"/>
  <c r="U254" i="3"/>
  <c r="JA2" i="10"/>
  <c r="IZ1" i="10"/>
  <c r="JA1" i="11"/>
  <c r="JB2" i="11"/>
  <c r="O260" i="5"/>
  <c r="I262" i="18" s="1"/>
  <c r="C261" i="19"/>
  <c r="M264" i="18" l="1"/>
  <c r="J262" i="18"/>
  <c r="P260" i="5" s="1"/>
  <c r="Q257" i="3"/>
  <c r="F256" i="3"/>
  <c r="J255" i="3"/>
  <c r="M256" i="3"/>
  <c r="U255" i="3"/>
  <c r="JB2" i="10"/>
  <c r="JA1" i="10"/>
  <c r="O261" i="5"/>
  <c r="I263" i="18" s="1"/>
  <c r="JB1" i="11"/>
  <c r="JC2" i="11"/>
  <c r="C262" i="19"/>
  <c r="M265" i="18" l="1"/>
  <c r="J263" i="18"/>
  <c r="P261" i="5" s="1"/>
  <c r="Q258" i="3"/>
  <c r="M257" i="3"/>
  <c r="U256" i="3"/>
  <c r="J256" i="3"/>
  <c r="F257" i="3"/>
  <c r="JB1" i="10"/>
  <c r="JC2" i="10"/>
  <c r="C263" i="19"/>
  <c r="JD2" i="11"/>
  <c r="JC1" i="11"/>
  <c r="O262" i="5"/>
  <c r="I264" i="18" s="1"/>
  <c r="G263" i="19" l="1"/>
  <c r="F263" i="19"/>
  <c r="M266" i="18"/>
  <c r="M267" i="18" s="1"/>
  <c r="M268" i="18" s="1"/>
  <c r="M269" i="18" s="1"/>
  <c r="M270" i="18" s="1"/>
  <c r="M271" i="18" s="1"/>
  <c r="M272" i="18" s="1"/>
  <c r="M273" i="18" s="1"/>
  <c r="M274" i="18" s="1"/>
  <c r="M275" i="18" s="1"/>
  <c r="M276" i="18" s="1"/>
  <c r="M277" i="18" s="1"/>
  <c r="M278" i="18" s="1"/>
  <c r="M279" i="18" s="1"/>
  <c r="M280" i="18" s="1"/>
  <c r="M281" i="18" s="1"/>
  <c r="M282" i="18" s="1"/>
  <c r="M283" i="18" s="1"/>
  <c r="M284" i="18" s="1"/>
  <c r="M285" i="18" s="1"/>
  <c r="M286" i="18" s="1"/>
  <c r="M287" i="18" s="1"/>
  <c r="M288" i="18" s="1"/>
  <c r="M289" i="18" s="1"/>
  <c r="M290" i="18" s="1"/>
  <c r="M291" i="18" s="1"/>
  <c r="M292" i="18" s="1"/>
  <c r="M293" i="18" s="1"/>
  <c r="J264" i="18"/>
  <c r="P262" i="5" s="1"/>
  <c r="Q259" i="3"/>
  <c r="U257" i="3"/>
  <c r="M258" i="3"/>
  <c r="F258" i="3"/>
  <c r="J257" i="3"/>
  <c r="JC1" i="10"/>
  <c r="JD2" i="10"/>
  <c r="C264" i="19"/>
  <c r="JE2" i="11"/>
  <c r="JD1" i="11"/>
  <c r="O263" i="5"/>
  <c r="I265" i="18" s="1"/>
  <c r="G264" i="19" l="1"/>
  <c r="F264" i="19"/>
  <c r="J265" i="18"/>
  <c r="P263" i="5" s="1"/>
  <c r="Q260" i="3"/>
  <c r="J258" i="3"/>
  <c r="F259" i="3"/>
  <c r="M259" i="3"/>
  <c r="U258" i="3"/>
  <c r="JE2" i="10"/>
  <c r="JD1" i="10"/>
  <c r="JE1" i="11"/>
  <c r="JF2" i="11"/>
  <c r="O264" i="5"/>
  <c r="I266" i="18" s="1"/>
  <c r="C265" i="19"/>
  <c r="G265" i="19" l="1"/>
  <c r="F265" i="19"/>
  <c r="H117" i="1"/>
  <c r="J266" i="18"/>
  <c r="P264" i="5" s="1"/>
  <c r="Q261" i="3"/>
  <c r="U259" i="3"/>
  <c r="M260" i="3"/>
  <c r="F260" i="3"/>
  <c r="J259" i="3"/>
  <c r="JF2" i="10"/>
  <c r="JE1" i="10"/>
  <c r="C266" i="19"/>
  <c r="O265" i="5"/>
  <c r="I267" i="18" s="1"/>
  <c r="JF1" i="11"/>
  <c r="JG2" i="11"/>
  <c r="G266" i="19" l="1"/>
  <c r="F266" i="19"/>
  <c r="J133" i="18"/>
  <c r="P131" i="5" s="1"/>
  <c r="J135" i="18"/>
  <c r="P133" i="5" s="1"/>
  <c r="J134" i="18"/>
  <c r="P132" i="5" s="1"/>
  <c r="J136" i="18"/>
  <c r="P134" i="5" s="1"/>
  <c r="J137" i="18"/>
  <c r="P135" i="5" s="1"/>
  <c r="J138" i="18"/>
  <c r="P136" i="5" s="1"/>
  <c r="J139" i="18"/>
  <c r="P137" i="5" s="1"/>
  <c r="J140" i="18"/>
  <c r="P138" i="5" s="1"/>
  <c r="J141" i="18"/>
  <c r="P139" i="5" s="1"/>
  <c r="J142" i="18"/>
  <c r="P140" i="5" s="1"/>
  <c r="J143" i="18"/>
  <c r="P141" i="5" s="1"/>
  <c r="J144" i="18"/>
  <c r="P142" i="5" s="1"/>
  <c r="J145" i="18"/>
  <c r="P143" i="5" s="1"/>
  <c r="J146" i="18"/>
  <c r="P144" i="5" s="1"/>
  <c r="J147" i="18"/>
  <c r="P145" i="5" s="1"/>
  <c r="J148" i="18"/>
  <c r="P146" i="5" s="1"/>
  <c r="J149" i="18"/>
  <c r="P147" i="5" s="1"/>
  <c r="J150" i="18"/>
  <c r="P148" i="5" s="1"/>
  <c r="J151" i="18"/>
  <c r="P149" i="5" s="1"/>
  <c r="J152" i="18"/>
  <c r="P150" i="5" s="1"/>
  <c r="J153" i="18"/>
  <c r="P151" i="5" s="1"/>
  <c r="J154" i="18"/>
  <c r="P152" i="5" s="1"/>
  <c r="J155" i="18"/>
  <c r="P153" i="5" s="1"/>
  <c r="J156" i="18"/>
  <c r="P154" i="5" s="1"/>
  <c r="J157" i="18"/>
  <c r="P155" i="5" s="1"/>
  <c r="F9" i="22"/>
  <c r="J267" i="18"/>
  <c r="P265" i="5" s="1"/>
  <c r="Q262" i="3"/>
  <c r="J260" i="3"/>
  <c r="F261" i="3"/>
  <c r="M261" i="3"/>
  <c r="U260" i="3"/>
  <c r="JF1" i="10"/>
  <c r="JG2" i="10"/>
  <c r="O266" i="5"/>
  <c r="I268" i="18" s="1"/>
  <c r="C267" i="19"/>
  <c r="JH2" i="11"/>
  <c r="JG1" i="11"/>
  <c r="G267" i="19" l="1"/>
  <c r="F267" i="19"/>
  <c r="J268" i="18"/>
  <c r="P266" i="5" s="1"/>
  <c r="Q263" i="3"/>
  <c r="F262" i="3"/>
  <c r="J261" i="3"/>
  <c r="U261" i="3"/>
  <c r="M262" i="3"/>
  <c r="JH2" i="10"/>
  <c r="JG1" i="10"/>
  <c r="C268" i="19"/>
  <c r="O267" i="5"/>
  <c r="I269" i="18" s="1"/>
  <c r="JI2" i="11"/>
  <c r="JH1" i="11"/>
  <c r="G268" i="19" l="1"/>
  <c r="F268" i="19"/>
  <c r="J269" i="18"/>
  <c r="P267" i="5" s="1"/>
  <c r="Q264" i="3"/>
  <c r="M263" i="3"/>
  <c r="U262" i="3"/>
  <c r="F263" i="3"/>
  <c r="J262" i="3"/>
  <c r="JI2" i="10"/>
  <c r="JH1" i="10"/>
  <c r="JI1" i="11"/>
  <c r="JJ2" i="11"/>
  <c r="C269" i="19"/>
  <c r="O268" i="5"/>
  <c r="I270" i="18" s="1"/>
  <c r="G269" i="19" l="1"/>
  <c r="F269" i="19"/>
  <c r="J270" i="18"/>
  <c r="P268" i="5" s="1"/>
  <c r="Q265" i="3"/>
  <c r="F264" i="3"/>
  <c r="J263" i="3"/>
  <c r="M264" i="3"/>
  <c r="U263" i="3"/>
  <c r="JJ2" i="10"/>
  <c r="JI1" i="10"/>
  <c r="O269" i="5"/>
  <c r="I271" i="18" s="1"/>
  <c r="JJ1" i="11"/>
  <c r="JK2" i="11"/>
  <c r="C270" i="19"/>
  <c r="G270" i="19" l="1"/>
  <c r="F270" i="19"/>
  <c r="J271" i="18"/>
  <c r="P269" i="5" s="1"/>
  <c r="Q266" i="3"/>
  <c r="M265" i="3"/>
  <c r="U264" i="3"/>
  <c r="F265" i="3"/>
  <c r="J264" i="3"/>
  <c r="JK2" i="10"/>
  <c r="JJ1" i="10"/>
  <c r="O270" i="5"/>
  <c r="I272" i="18" s="1"/>
  <c r="C271" i="19"/>
  <c r="JL2" i="11"/>
  <c r="JK1" i="11"/>
  <c r="G271" i="19" l="1"/>
  <c r="F271" i="19"/>
  <c r="J272" i="18"/>
  <c r="P270" i="5" s="1"/>
  <c r="Q267" i="3"/>
  <c r="F266" i="3"/>
  <c r="J265" i="3"/>
  <c r="M266" i="3"/>
  <c r="U265" i="3"/>
  <c r="JL2" i="10"/>
  <c r="JK1" i="10"/>
  <c r="JM2" i="11"/>
  <c r="JL1" i="11"/>
  <c r="O271" i="5"/>
  <c r="I273" i="18" s="1"/>
  <c r="C272" i="19"/>
  <c r="G272" i="19" l="1"/>
  <c r="F272" i="19"/>
  <c r="J273" i="18"/>
  <c r="P271" i="5" s="1"/>
  <c r="Q268" i="3"/>
  <c r="M267" i="3"/>
  <c r="U266" i="3"/>
  <c r="F267" i="3"/>
  <c r="J266" i="3"/>
  <c r="JM2" i="10"/>
  <c r="JL1" i="10"/>
  <c r="JM1" i="11"/>
  <c r="JN2" i="11"/>
  <c r="O272" i="5"/>
  <c r="I274" i="18" s="1"/>
  <c r="C273" i="19"/>
  <c r="G273" i="19" l="1"/>
  <c r="F273" i="19"/>
  <c r="J274" i="18"/>
  <c r="P272" i="5" s="1"/>
  <c r="Q269" i="3"/>
  <c r="F268" i="3"/>
  <c r="J267" i="3"/>
  <c r="M268" i="3"/>
  <c r="U267" i="3"/>
  <c r="JM1" i="10"/>
  <c r="JN2" i="10"/>
  <c r="C274" i="19"/>
  <c r="JN1" i="11"/>
  <c r="JO2" i="11"/>
  <c r="O273" i="5"/>
  <c r="I275" i="18" s="1"/>
  <c r="G274" i="19" l="1"/>
  <c r="F274" i="19"/>
  <c r="J275" i="18"/>
  <c r="P273" i="5" s="1"/>
  <c r="Q270" i="3"/>
  <c r="M269" i="3"/>
  <c r="U268" i="3"/>
  <c r="F269" i="3"/>
  <c r="J268" i="3"/>
  <c r="JN1" i="10"/>
  <c r="JO2" i="10"/>
  <c r="O274" i="5"/>
  <c r="I276" i="18" s="1"/>
  <c r="C275" i="19"/>
  <c r="JP2" i="11"/>
  <c r="JO1" i="11"/>
  <c r="G275" i="19" l="1"/>
  <c r="F275" i="19"/>
  <c r="J276" i="18"/>
  <c r="P274" i="5" s="1"/>
  <c r="Q271" i="3"/>
  <c r="F270" i="3"/>
  <c r="J269" i="3"/>
  <c r="M270" i="3"/>
  <c r="U269" i="3"/>
  <c r="JP2" i="10"/>
  <c r="JO1" i="10"/>
  <c r="O275" i="5"/>
  <c r="I277" i="18" s="1"/>
  <c r="JQ2" i="11"/>
  <c r="JP1" i="11"/>
  <c r="C276" i="19"/>
  <c r="G276" i="19" l="1"/>
  <c r="F276" i="19"/>
  <c r="J277" i="18"/>
  <c r="P275" i="5" s="1"/>
  <c r="Q272" i="3"/>
  <c r="M271" i="3"/>
  <c r="U270" i="3"/>
  <c r="F271" i="3"/>
  <c r="J270" i="3"/>
  <c r="JQ2" i="10"/>
  <c r="JP1" i="10"/>
  <c r="JQ1" i="11"/>
  <c r="JR2" i="11"/>
  <c r="C277" i="19"/>
  <c r="O276" i="5"/>
  <c r="I278" i="18" s="1"/>
  <c r="G277" i="19" l="1"/>
  <c r="F277" i="19"/>
  <c r="J278" i="18"/>
  <c r="P276" i="5" s="1"/>
  <c r="Q273" i="3"/>
  <c r="F272" i="3"/>
  <c r="J271" i="3"/>
  <c r="M272" i="3"/>
  <c r="U271" i="3"/>
  <c r="JQ1" i="10"/>
  <c r="JR2" i="10"/>
  <c r="JR1" i="11"/>
  <c r="JS2" i="11"/>
  <c r="O277" i="5"/>
  <c r="I279" i="18" s="1"/>
  <c r="C278" i="19"/>
  <c r="G278" i="19" l="1"/>
  <c r="F278" i="19"/>
  <c r="J279" i="18"/>
  <c r="P277" i="5" s="1"/>
  <c r="Q274" i="3"/>
  <c r="U272" i="3"/>
  <c r="M273" i="3"/>
  <c r="F273" i="3"/>
  <c r="J272" i="3"/>
  <c r="JS2" i="10"/>
  <c r="JR1" i="10"/>
  <c r="JT2" i="11"/>
  <c r="JS1" i="11"/>
  <c r="O278" i="5"/>
  <c r="I280" i="18" s="1"/>
  <c r="C279" i="19"/>
  <c r="G279" i="19" l="1"/>
  <c r="F279" i="19"/>
  <c r="J280" i="18"/>
  <c r="P278" i="5" s="1"/>
  <c r="Q275" i="3"/>
  <c r="M274" i="3"/>
  <c r="U273" i="3"/>
  <c r="F274" i="3"/>
  <c r="J273" i="3"/>
  <c r="JT2" i="10"/>
  <c r="JS1" i="10"/>
  <c r="C280" i="19"/>
  <c r="O279" i="5"/>
  <c r="I281" i="18" s="1"/>
  <c r="JU2" i="11"/>
  <c r="JT1" i="11"/>
  <c r="G280" i="19" l="1"/>
  <c r="F280" i="19"/>
  <c r="J281" i="18"/>
  <c r="P279" i="5" s="1"/>
  <c r="Q276" i="3"/>
  <c r="F275" i="3"/>
  <c r="J274" i="3"/>
  <c r="M275" i="3"/>
  <c r="U274" i="3"/>
  <c r="JU2" i="10"/>
  <c r="JT1" i="10"/>
  <c r="C281" i="19"/>
  <c r="JU1" i="11"/>
  <c r="JV2" i="11"/>
  <c r="O280" i="5"/>
  <c r="I282" i="18" s="1"/>
  <c r="G281" i="19" l="1"/>
  <c r="F281" i="19"/>
  <c r="J282" i="18"/>
  <c r="P280" i="5" s="1"/>
  <c r="Q277" i="3"/>
  <c r="M276" i="3"/>
  <c r="U275" i="3"/>
  <c r="F276" i="3"/>
  <c r="J275" i="3"/>
  <c r="JU1" i="10"/>
  <c r="JV2" i="10"/>
  <c r="JV1" i="11"/>
  <c r="JW2" i="11"/>
  <c r="C282" i="19"/>
  <c r="O281" i="5"/>
  <c r="I283" i="18" s="1"/>
  <c r="G282" i="19" l="1"/>
  <c r="F282" i="19"/>
  <c r="J283" i="18"/>
  <c r="P281" i="5" s="1"/>
  <c r="Q278" i="3"/>
  <c r="F277" i="3"/>
  <c r="J276" i="3"/>
  <c r="M277" i="3"/>
  <c r="U276" i="3"/>
  <c r="JV1" i="10"/>
  <c r="JW2" i="10"/>
  <c r="O282" i="5"/>
  <c r="I284" i="18" s="1"/>
  <c r="C283" i="19"/>
  <c r="JX2" i="11"/>
  <c r="JW1" i="11"/>
  <c r="G283" i="19" l="1"/>
  <c r="F283" i="19"/>
  <c r="J284" i="18"/>
  <c r="P282" i="5" s="1"/>
  <c r="Q279" i="3"/>
  <c r="M278" i="3"/>
  <c r="U277" i="3"/>
  <c r="F278" i="3"/>
  <c r="J277" i="3"/>
  <c r="JX2" i="10"/>
  <c r="JW1" i="10"/>
  <c r="JY2" i="11"/>
  <c r="JX1" i="11"/>
  <c r="C284" i="19"/>
  <c r="O283" i="5"/>
  <c r="I285" i="18" s="1"/>
  <c r="G284" i="19" l="1"/>
  <c r="F284" i="19"/>
  <c r="J285" i="18"/>
  <c r="P283" i="5" s="1"/>
  <c r="Q280" i="3"/>
  <c r="F279" i="3"/>
  <c r="J278" i="3"/>
  <c r="M279" i="3"/>
  <c r="U278" i="3"/>
  <c r="JY2" i="10"/>
  <c r="JX1" i="10"/>
  <c r="C285" i="19"/>
  <c r="JY1" i="11"/>
  <c r="JZ2" i="11"/>
  <c r="O284" i="5"/>
  <c r="I286" i="18" s="1"/>
  <c r="G285" i="19" l="1"/>
  <c r="F285" i="19"/>
  <c r="J286" i="18"/>
  <c r="P284" i="5" s="1"/>
  <c r="Q281" i="3"/>
  <c r="M280" i="3"/>
  <c r="U279" i="3"/>
  <c r="F280" i="3"/>
  <c r="J279" i="3"/>
  <c r="JZ2" i="10"/>
  <c r="JY1" i="10"/>
  <c r="O285" i="5"/>
  <c r="I287" i="18" s="1"/>
  <c r="C286" i="19"/>
  <c r="JZ1" i="11"/>
  <c r="KA2" i="11"/>
  <c r="G286" i="19" l="1"/>
  <c r="F286" i="19"/>
  <c r="J287" i="18"/>
  <c r="P285" i="5" s="1"/>
  <c r="Q282" i="3"/>
  <c r="F281" i="3"/>
  <c r="J280" i="3"/>
  <c r="M281" i="3"/>
  <c r="U280" i="3"/>
  <c r="JZ1" i="10"/>
  <c r="KA2" i="10"/>
  <c r="KB2" i="11"/>
  <c r="KA1" i="11"/>
  <c r="C287" i="19"/>
  <c r="O286" i="5"/>
  <c r="I288" i="18" s="1"/>
  <c r="G287" i="19" l="1"/>
  <c r="F287" i="19"/>
  <c r="J288" i="18"/>
  <c r="P286" i="5" s="1"/>
  <c r="Q283" i="3"/>
  <c r="M282" i="3"/>
  <c r="U281" i="3"/>
  <c r="F282" i="3"/>
  <c r="J281" i="3"/>
  <c r="KB2" i="10"/>
  <c r="KA1" i="10"/>
  <c r="O287" i="5"/>
  <c r="I289" i="18" s="1"/>
  <c r="C288" i="19"/>
  <c r="KC2" i="11"/>
  <c r="KB1" i="11"/>
  <c r="G288" i="19" l="1"/>
  <c r="F288" i="19"/>
  <c r="J289" i="18"/>
  <c r="P287" i="5" s="1"/>
  <c r="Q284" i="3"/>
  <c r="F283" i="3"/>
  <c r="J282" i="3"/>
  <c r="M283" i="3"/>
  <c r="U282" i="3"/>
  <c r="KC2" i="10"/>
  <c r="KB1" i="10"/>
  <c r="KC1" i="11"/>
  <c r="KD2" i="11"/>
  <c r="C289" i="19"/>
  <c r="O288" i="5"/>
  <c r="I290" i="18" s="1"/>
  <c r="G289" i="19" l="1"/>
  <c r="F289" i="19"/>
  <c r="J290" i="18"/>
  <c r="P288" i="5" s="1"/>
  <c r="Q285" i="3"/>
  <c r="M284" i="3"/>
  <c r="U283" i="3"/>
  <c r="F284" i="3"/>
  <c r="J283" i="3"/>
  <c r="KD2" i="10"/>
  <c r="KC1" i="10"/>
  <c r="O289" i="5"/>
  <c r="I291" i="18" s="1"/>
  <c r="KD1" i="11"/>
  <c r="KE2" i="11"/>
  <c r="C290" i="19"/>
  <c r="G290" i="19" l="1"/>
  <c r="F290" i="19"/>
  <c r="J291" i="18"/>
  <c r="P289" i="5" s="1"/>
  <c r="Q286" i="3"/>
  <c r="F285" i="3"/>
  <c r="J284" i="3"/>
  <c r="M285" i="3"/>
  <c r="U284" i="3"/>
  <c r="KD1" i="10"/>
  <c r="KE2" i="10"/>
  <c r="C291" i="19"/>
  <c r="O290" i="5"/>
  <c r="I292" i="18" s="1"/>
  <c r="KF2" i="11"/>
  <c r="KE1" i="11"/>
  <c r="G291" i="19" l="1"/>
  <c r="F291" i="19"/>
  <c r="J292" i="18"/>
  <c r="P290" i="5" s="1"/>
  <c r="Q287" i="3"/>
  <c r="M286" i="3"/>
  <c r="U285" i="3"/>
  <c r="J285" i="3"/>
  <c r="F286" i="3"/>
  <c r="KF2" i="10"/>
  <c r="KE1" i="10"/>
  <c r="KG2" i="11"/>
  <c r="KF1" i="11"/>
  <c r="O291" i="5"/>
  <c r="I293" i="18" s="1"/>
  <c r="C292" i="19"/>
  <c r="G292" i="19" l="1"/>
  <c r="F292" i="19"/>
  <c r="J293" i="18"/>
  <c r="P291" i="5" s="1"/>
  <c r="Q288" i="3"/>
  <c r="F287" i="3"/>
  <c r="J286" i="3"/>
  <c r="U286" i="3"/>
  <c r="M287" i="3"/>
  <c r="KG2" i="10"/>
  <c r="KF1" i="10"/>
  <c r="C293" i="19"/>
  <c r="O292" i="5"/>
  <c r="I294" i="18" s="1"/>
  <c r="KG1" i="11"/>
  <c r="KH2" i="11"/>
  <c r="G293" i="19" l="1"/>
  <c r="F293" i="19"/>
  <c r="J294" i="18"/>
  <c r="P292" i="5" s="1"/>
  <c r="Q289" i="3"/>
  <c r="M288" i="3"/>
  <c r="U287" i="3"/>
  <c r="F288" i="3"/>
  <c r="J287" i="3"/>
  <c r="KG1" i="10"/>
  <c r="KH2" i="10"/>
  <c r="O293" i="5"/>
  <c r="I295" i="18" s="1"/>
  <c r="KH1" i="11"/>
  <c r="KI2" i="11"/>
  <c r="C294" i="19"/>
  <c r="G294" i="19" l="1"/>
  <c r="F294" i="19"/>
  <c r="J295" i="18"/>
  <c r="P293" i="5" s="1"/>
  <c r="Q290" i="3"/>
  <c r="F289" i="3"/>
  <c r="J288" i="3"/>
  <c r="M289" i="3"/>
  <c r="U288" i="3"/>
  <c r="KI2" i="10"/>
  <c r="KH1" i="10"/>
  <c r="C295" i="19"/>
  <c r="KJ2" i="11"/>
  <c r="KI1" i="11"/>
  <c r="O294" i="5"/>
  <c r="I296" i="18" s="1"/>
  <c r="G295" i="19" l="1"/>
  <c r="F295" i="19"/>
  <c r="J296" i="18"/>
  <c r="P294" i="5" s="1"/>
  <c r="Q291" i="3"/>
  <c r="M290" i="3"/>
  <c r="U289" i="3"/>
  <c r="F290" i="3"/>
  <c r="J289" i="3"/>
  <c r="KJ2" i="10"/>
  <c r="KI1" i="10"/>
  <c r="O295" i="5"/>
  <c r="I297" i="18" s="1"/>
  <c r="C296" i="19"/>
  <c r="KK2" i="11"/>
  <c r="KJ1" i="11"/>
  <c r="G296" i="19" l="1"/>
  <c r="F296" i="19"/>
  <c r="J297" i="18"/>
  <c r="P295" i="5" s="1"/>
  <c r="Q292" i="3"/>
  <c r="F291" i="3"/>
  <c r="J290" i="3"/>
  <c r="M291" i="3"/>
  <c r="U290" i="3"/>
  <c r="KK2" i="10"/>
  <c r="KJ1" i="10"/>
  <c r="KK1" i="11"/>
  <c r="KL2" i="11"/>
  <c r="C297" i="19"/>
  <c r="O296" i="5"/>
  <c r="I298" i="18" s="1"/>
  <c r="G297" i="19" l="1"/>
  <c r="F297" i="19"/>
  <c r="J298" i="18"/>
  <c r="P296" i="5" s="1"/>
  <c r="Q293" i="3"/>
  <c r="M292" i="3"/>
  <c r="U291" i="3"/>
  <c r="F292" i="3"/>
  <c r="J291" i="3"/>
  <c r="KL2" i="10"/>
  <c r="KK1" i="10"/>
  <c r="C298" i="19"/>
  <c r="KL1" i="11"/>
  <c r="KM2" i="11"/>
  <c r="O297" i="5"/>
  <c r="I299" i="18" s="1"/>
  <c r="G298" i="19" l="1"/>
  <c r="F298" i="19"/>
  <c r="J299" i="18"/>
  <c r="P297" i="5" s="1"/>
  <c r="Q294" i="3"/>
  <c r="F293" i="3"/>
  <c r="J292" i="3"/>
  <c r="M293" i="3"/>
  <c r="U292" i="3"/>
  <c r="KL1" i="10"/>
  <c r="KM2" i="10"/>
  <c r="KN2" i="11"/>
  <c r="KM1" i="11"/>
  <c r="O298" i="5"/>
  <c r="I300" i="18" s="1"/>
  <c r="C299" i="19"/>
  <c r="G299" i="19" l="1"/>
  <c r="F299" i="19"/>
  <c r="J300" i="18"/>
  <c r="P298" i="5" s="1"/>
  <c r="Q295" i="3"/>
  <c r="M294" i="3"/>
  <c r="U293" i="3"/>
  <c r="F294" i="3"/>
  <c r="J293" i="3"/>
  <c r="KN2" i="10"/>
  <c r="KM1" i="10"/>
  <c r="KO2" i="11"/>
  <c r="KN1" i="11"/>
  <c r="O299" i="5"/>
  <c r="I301" i="18" s="1"/>
  <c r="C300" i="19"/>
  <c r="G300" i="19" l="1"/>
  <c r="F300" i="19"/>
  <c r="J301" i="18"/>
  <c r="P299" i="5" s="1"/>
  <c r="Q296" i="3"/>
  <c r="F295" i="3"/>
  <c r="J294" i="3"/>
  <c r="M295" i="3"/>
  <c r="U294" i="3"/>
  <c r="KO2" i="10"/>
  <c r="KN1" i="10"/>
  <c r="C301" i="19"/>
  <c r="KO1" i="11"/>
  <c r="KP2" i="11"/>
  <c r="O300" i="5"/>
  <c r="I302" i="18" s="1"/>
  <c r="G301" i="19" l="1"/>
  <c r="F301" i="19"/>
  <c r="J302" i="18"/>
  <c r="P300" i="5" s="1"/>
  <c r="Q297" i="3"/>
  <c r="M296" i="3"/>
  <c r="U295" i="3"/>
  <c r="F296" i="3"/>
  <c r="J295" i="3"/>
  <c r="KP2" i="10"/>
  <c r="KO1" i="10"/>
  <c r="O301" i="5"/>
  <c r="I303" i="18" s="1"/>
  <c r="C302" i="19"/>
  <c r="KP1" i="11"/>
  <c r="KQ2" i="11"/>
  <c r="G302" i="19" l="1"/>
  <c r="F302" i="19"/>
  <c r="J303" i="18"/>
  <c r="P301" i="5" s="1"/>
  <c r="Q298" i="3"/>
  <c r="F297" i="3"/>
  <c r="J296" i="3"/>
  <c r="M297" i="3"/>
  <c r="U296" i="3"/>
  <c r="KP1" i="10"/>
  <c r="KQ2" i="10"/>
  <c r="KR2" i="11"/>
  <c r="KQ1" i="11"/>
  <c r="C303" i="19"/>
  <c r="O302" i="5"/>
  <c r="I304" i="18" s="1"/>
  <c r="G303" i="19" l="1"/>
  <c r="F303" i="19"/>
  <c r="J304" i="18"/>
  <c r="P302" i="5" s="1"/>
  <c r="Q299" i="3"/>
  <c r="M298" i="3"/>
  <c r="U297" i="3"/>
  <c r="F298" i="3"/>
  <c r="J297" i="3"/>
  <c r="KR2" i="10"/>
  <c r="KQ1" i="10"/>
  <c r="O303" i="5"/>
  <c r="I305" i="18" s="1"/>
  <c r="C304" i="19"/>
  <c r="KS2" i="11"/>
  <c r="KR1" i="11"/>
  <c r="G304" i="19" l="1"/>
  <c r="F304" i="19"/>
  <c r="J305" i="18"/>
  <c r="P303" i="5" s="1"/>
  <c r="Q300" i="3"/>
  <c r="F299" i="3"/>
  <c r="J298" i="3"/>
  <c r="M299" i="3"/>
  <c r="U298" i="3"/>
  <c r="KS2" i="10"/>
  <c r="KR1" i="10"/>
  <c r="KS1" i="11"/>
  <c r="KT2" i="11"/>
  <c r="O304" i="5"/>
  <c r="I306" i="18" s="1"/>
  <c r="C305" i="19"/>
  <c r="G305" i="19" l="1"/>
  <c r="F305" i="19"/>
  <c r="J306" i="18"/>
  <c r="P304" i="5" s="1"/>
  <c r="Q301" i="3"/>
  <c r="M300" i="3"/>
  <c r="U299" i="3"/>
  <c r="F300" i="3"/>
  <c r="J299" i="3"/>
  <c r="KT2" i="10"/>
  <c r="KS1" i="10"/>
  <c r="O305" i="5"/>
  <c r="I307" i="18" s="1"/>
  <c r="KT1" i="11"/>
  <c r="KU2" i="11"/>
  <c r="C306" i="19"/>
  <c r="G306" i="19" l="1"/>
  <c r="F306" i="19"/>
  <c r="J307" i="18"/>
  <c r="P305" i="5" s="1"/>
  <c r="Q302" i="3"/>
  <c r="F301" i="3"/>
  <c r="J300" i="3"/>
  <c r="M301" i="3"/>
  <c r="U300" i="3"/>
  <c r="KT1" i="10"/>
  <c r="KU2" i="10"/>
  <c r="O306" i="5"/>
  <c r="I308" i="18" s="1"/>
  <c r="C307" i="19"/>
  <c r="KV2" i="11"/>
  <c r="KU1" i="11"/>
  <c r="G307" i="19" l="1"/>
  <c r="F307" i="19"/>
  <c r="J308" i="18"/>
  <c r="P306" i="5" s="1"/>
  <c r="Q303" i="3"/>
  <c r="M302" i="3"/>
  <c r="U301" i="3"/>
  <c r="J301" i="3"/>
  <c r="F302" i="3"/>
  <c r="KV2" i="10"/>
  <c r="KU1" i="10"/>
  <c r="KW2" i="11"/>
  <c r="KV1" i="11"/>
  <c r="C308" i="19"/>
  <c r="O307" i="5"/>
  <c r="I309" i="18" s="1"/>
  <c r="G308" i="19" l="1"/>
  <c r="F308" i="19"/>
  <c r="J309" i="18"/>
  <c r="P307" i="5" s="1"/>
  <c r="Q304" i="3"/>
  <c r="F303" i="3"/>
  <c r="J302" i="3"/>
  <c r="M303" i="3"/>
  <c r="U302" i="3"/>
  <c r="KV1" i="10"/>
  <c r="KW2" i="10"/>
  <c r="O308" i="5"/>
  <c r="I310" i="18" s="1"/>
  <c r="KW1" i="11"/>
  <c r="KX2" i="11"/>
  <c r="C309" i="19"/>
  <c r="G309" i="19" l="1"/>
  <c r="F309" i="19"/>
  <c r="J310" i="18"/>
  <c r="P308" i="5" s="1"/>
  <c r="Q305" i="3"/>
  <c r="M304" i="3"/>
  <c r="U303" i="3"/>
  <c r="F304" i="3"/>
  <c r="J303" i="3"/>
  <c r="KX2" i="10"/>
  <c r="KW1" i="10"/>
  <c r="KX1" i="11"/>
  <c r="KY2" i="11"/>
  <c r="O309" i="5"/>
  <c r="I311" i="18" s="1"/>
  <c r="C310" i="19"/>
  <c r="G310" i="19" l="1"/>
  <c r="F310" i="19"/>
  <c r="J311" i="18"/>
  <c r="P309" i="5" s="1"/>
  <c r="Q306" i="3"/>
  <c r="F305" i="3"/>
  <c r="J304" i="3"/>
  <c r="M305" i="3"/>
  <c r="U304" i="3"/>
  <c r="KX1" i="10"/>
  <c r="KY2" i="10"/>
  <c r="O310" i="5"/>
  <c r="I312" i="18" s="1"/>
  <c r="KZ2" i="11"/>
  <c r="KY1" i="11"/>
  <c r="C311" i="19"/>
  <c r="G311" i="19" l="1"/>
  <c r="F311" i="19"/>
  <c r="J312" i="18"/>
  <c r="P310" i="5" s="1"/>
  <c r="Q307" i="3"/>
  <c r="M306" i="3"/>
  <c r="U305" i="3"/>
  <c r="F306" i="3"/>
  <c r="J305" i="3"/>
  <c r="KZ2" i="10"/>
  <c r="KY1" i="10"/>
  <c r="C312" i="19"/>
  <c r="LA2" i="11"/>
  <c r="KZ1" i="11"/>
  <c r="O311" i="5"/>
  <c r="I313" i="18" s="1"/>
  <c r="G312" i="19" l="1"/>
  <c r="F312" i="19"/>
  <c r="J313" i="18"/>
  <c r="P311" i="5" s="1"/>
  <c r="Q308" i="3"/>
  <c r="F307" i="3"/>
  <c r="J306" i="3"/>
  <c r="M307" i="3"/>
  <c r="U306" i="3"/>
  <c r="LA2" i="10"/>
  <c r="KZ1" i="10"/>
  <c r="C313" i="19"/>
  <c r="O312" i="5"/>
  <c r="I314" i="18" s="1"/>
  <c r="LA1" i="11"/>
  <c r="LB2" i="11"/>
  <c r="G313" i="19" l="1"/>
  <c r="F313" i="19"/>
  <c r="J314" i="18"/>
  <c r="P312" i="5" s="1"/>
  <c r="Q309" i="3"/>
  <c r="M308" i="3"/>
  <c r="U307" i="3"/>
  <c r="F308" i="3"/>
  <c r="J307" i="3"/>
  <c r="LB2" i="10"/>
  <c r="LA1" i="10"/>
  <c r="O313" i="5"/>
  <c r="I315" i="18" s="1"/>
  <c r="C314" i="19"/>
  <c r="LB1" i="11"/>
  <c r="LC2" i="11"/>
  <c r="G314" i="19" l="1"/>
  <c r="F314" i="19"/>
  <c r="J315" i="18"/>
  <c r="P313" i="5" s="1"/>
  <c r="Q310" i="3"/>
  <c r="F309" i="3"/>
  <c r="J308" i="3"/>
  <c r="M309" i="3"/>
  <c r="U308" i="3"/>
  <c r="LB1" i="10"/>
  <c r="LC2" i="10"/>
  <c r="C315" i="19"/>
  <c r="O314" i="5"/>
  <c r="I316" i="18" s="1"/>
  <c r="LD2" i="11"/>
  <c r="LC1" i="11"/>
  <c r="G315" i="19" l="1"/>
  <c r="F315" i="19"/>
  <c r="J316" i="18"/>
  <c r="P314" i="5" s="1"/>
  <c r="Q311" i="3"/>
  <c r="M310" i="3"/>
  <c r="U309" i="3"/>
  <c r="F310" i="3"/>
  <c r="J309" i="3"/>
  <c r="LD2" i="10"/>
  <c r="LC1" i="10"/>
  <c r="LE2" i="11"/>
  <c r="LD1" i="11"/>
  <c r="C316" i="19"/>
  <c r="O315" i="5"/>
  <c r="I317" i="18" s="1"/>
  <c r="G316" i="19" l="1"/>
  <c r="F316" i="19"/>
  <c r="J317" i="18"/>
  <c r="P315" i="5" s="1"/>
  <c r="Q312" i="3"/>
  <c r="F311" i="3"/>
  <c r="J310" i="3"/>
  <c r="M311" i="3"/>
  <c r="U310" i="3"/>
  <c r="LE2" i="10"/>
  <c r="LD1" i="10"/>
  <c r="C317" i="19"/>
  <c r="O316" i="5"/>
  <c r="I318" i="18" s="1"/>
  <c r="LE1" i="11"/>
  <c r="LF2" i="11"/>
  <c r="G317" i="19" l="1"/>
  <c r="F317" i="19"/>
  <c r="J318" i="18"/>
  <c r="P316" i="5" s="1"/>
  <c r="Q313" i="3"/>
  <c r="M312" i="3"/>
  <c r="U311" i="3"/>
  <c r="F312" i="3"/>
  <c r="J311" i="3"/>
  <c r="LF2" i="10"/>
  <c r="LE1" i="10"/>
  <c r="O317" i="5"/>
  <c r="I319" i="18" s="1"/>
  <c r="LF1" i="11"/>
  <c r="LG2" i="11"/>
  <c r="C318" i="19"/>
  <c r="G318" i="19" l="1"/>
  <c r="F318" i="19"/>
  <c r="J319" i="18"/>
  <c r="P317" i="5" s="1"/>
  <c r="Q314" i="3"/>
  <c r="F313" i="3"/>
  <c r="J312" i="3"/>
  <c r="U312" i="3"/>
  <c r="M313" i="3"/>
  <c r="LF1" i="10"/>
  <c r="LG2" i="10"/>
  <c r="LH2" i="11"/>
  <c r="LG1" i="11"/>
  <c r="O318" i="5"/>
  <c r="I320" i="18" s="1"/>
  <c r="C319" i="19"/>
  <c r="G319" i="19" l="1"/>
  <c r="F319" i="19"/>
  <c r="J320" i="18"/>
  <c r="P318" i="5" s="1"/>
  <c r="Q315" i="3"/>
  <c r="M314" i="3"/>
  <c r="U313" i="3"/>
  <c r="F314" i="3"/>
  <c r="J313" i="3"/>
  <c r="LH2" i="10"/>
  <c r="LG1" i="10"/>
  <c r="LI2" i="11"/>
  <c r="LH1" i="11"/>
  <c r="C320" i="19"/>
  <c r="O319" i="5"/>
  <c r="I321" i="18" s="1"/>
  <c r="G320" i="19" l="1"/>
  <c r="F320" i="19"/>
  <c r="J321" i="18"/>
  <c r="P319" i="5" s="1"/>
  <c r="Q316" i="3"/>
  <c r="F315" i="3"/>
  <c r="J314" i="3"/>
  <c r="M315" i="3"/>
  <c r="U314" i="3"/>
  <c r="LI2" i="10"/>
  <c r="LH1" i="10"/>
  <c r="O320" i="5"/>
  <c r="I322" i="18" s="1"/>
  <c r="C321" i="19"/>
  <c r="LI1" i="11"/>
  <c r="LJ2" i="11"/>
  <c r="G321" i="19" l="1"/>
  <c r="F321" i="19"/>
  <c r="J322" i="18"/>
  <c r="P320" i="5" s="1"/>
  <c r="Q317" i="3"/>
  <c r="M316" i="3"/>
  <c r="U315" i="3"/>
  <c r="F316" i="3"/>
  <c r="J315" i="3"/>
  <c r="LJ2" i="10"/>
  <c r="LI1" i="10"/>
  <c r="LJ1" i="11"/>
  <c r="LK2" i="11"/>
  <c r="C322" i="19"/>
  <c r="O321" i="5"/>
  <c r="I323" i="18" s="1"/>
  <c r="G322" i="19" l="1"/>
  <c r="F322" i="19"/>
  <c r="J323" i="18"/>
  <c r="P321" i="5" s="1"/>
  <c r="Q318" i="3"/>
  <c r="F317" i="3"/>
  <c r="J316" i="3"/>
  <c r="M317" i="3"/>
  <c r="U316" i="3"/>
  <c r="LJ1" i="10"/>
  <c r="LK2" i="10"/>
  <c r="O322" i="5"/>
  <c r="I324" i="18" s="1"/>
  <c r="C323" i="19"/>
  <c r="LL2" i="11"/>
  <c r="LK1" i="11"/>
  <c r="G323" i="19" l="1"/>
  <c r="F323" i="19"/>
  <c r="J324" i="18"/>
  <c r="P322" i="5" s="1"/>
  <c r="Q319" i="3"/>
  <c r="M318" i="3"/>
  <c r="U317" i="3"/>
  <c r="F318" i="3"/>
  <c r="J317" i="3"/>
  <c r="LL2" i="10"/>
  <c r="LK1" i="10"/>
  <c r="O323" i="5"/>
  <c r="I325" i="18" s="1"/>
  <c r="C324" i="19"/>
  <c r="LM2" i="11"/>
  <c r="LL1" i="11"/>
  <c r="G324" i="19" l="1"/>
  <c r="F324" i="19"/>
  <c r="J325" i="18"/>
  <c r="P323" i="5" s="1"/>
  <c r="Q320" i="3"/>
  <c r="F319" i="3"/>
  <c r="J318" i="3"/>
  <c r="M319" i="3"/>
  <c r="U318" i="3"/>
  <c r="LM2" i="10"/>
  <c r="LL1" i="10"/>
  <c r="LM1" i="11"/>
  <c r="LN2" i="11"/>
  <c r="C325" i="19"/>
  <c r="O324" i="5"/>
  <c r="I326" i="18" s="1"/>
  <c r="G325" i="19" l="1"/>
  <c r="F325" i="19"/>
  <c r="J326" i="18"/>
  <c r="P324" i="5" s="1"/>
  <c r="Q321" i="3"/>
  <c r="M320" i="3"/>
  <c r="U319" i="3"/>
  <c r="F320" i="3"/>
  <c r="J319" i="3"/>
  <c r="LN2" i="10"/>
  <c r="LM1" i="10"/>
  <c r="O325" i="5"/>
  <c r="I327" i="18" s="1"/>
  <c r="C326" i="19"/>
  <c r="LN1" i="11"/>
  <c r="LO2" i="11"/>
  <c r="G326" i="19" l="1"/>
  <c r="F326" i="19"/>
  <c r="J327" i="18"/>
  <c r="P325" i="5" s="1"/>
  <c r="Q322" i="3"/>
  <c r="F321" i="3"/>
  <c r="J320" i="3"/>
  <c r="M321" i="3"/>
  <c r="U320" i="3"/>
  <c r="LN1" i="10"/>
  <c r="LO2" i="10"/>
  <c r="O326" i="5"/>
  <c r="I328" i="18" s="1"/>
  <c r="LP2" i="11"/>
  <c r="LO1" i="11"/>
  <c r="C327" i="19"/>
  <c r="G327" i="19" l="1"/>
  <c r="F327" i="19"/>
  <c r="J328" i="18"/>
  <c r="P326" i="5" s="1"/>
  <c r="Q323" i="3"/>
  <c r="M322" i="3"/>
  <c r="U321" i="3"/>
  <c r="F322" i="3"/>
  <c r="J321" i="3"/>
  <c r="LP2" i="10"/>
  <c r="LO1" i="10"/>
  <c r="C328" i="19"/>
  <c r="LQ2" i="11"/>
  <c r="LP1" i="11"/>
  <c r="O327" i="5"/>
  <c r="I329" i="18" s="1"/>
  <c r="G328" i="19" l="1"/>
  <c r="F328" i="19"/>
  <c r="J329" i="18"/>
  <c r="P327" i="5" s="1"/>
  <c r="Q324" i="3"/>
  <c r="F323" i="3"/>
  <c r="J322" i="3"/>
  <c r="M323" i="3"/>
  <c r="U322" i="3"/>
  <c r="LQ2" i="10"/>
  <c r="LP1" i="10"/>
  <c r="O328" i="5"/>
  <c r="I330" i="18" s="1"/>
  <c r="C329" i="19"/>
  <c r="LQ1" i="11"/>
  <c r="LR2" i="11"/>
  <c r="G329" i="19" l="1"/>
  <c r="F329" i="19"/>
  <c r="J330" i="18"/>
  <c r="P328" i="5" s="1"/>
  <c r="Q325" i="3"/>
  <c r="M324" i="3"/>
  <c r="U323" i="3"/>
  <c r="F324" i="3"/>
  <c r="J323" i="3"/>
  <c r="LR2" i="10"/>
  <c r="LQ1" i="10"/>
  <c r="LR1" i="11"/>
  <c r="LS2" i="11"/>
  <c r="C330" i="19"/>
  <c r="O329" i="5"/>
  <c r="I331" i="18" s="1"/>
  <c r="G330" i="19" l="1"/>
  <c r="F330" i="19"/>
  <c r="J331" i="18"/>
  <c r="P329" i="5" s="1"/>
  <c r="Q326" i="3"/>
  <c r="F325" i="3"/>
  <c r="J324" i="3"/>
  <c r="U324" i="3"/>
  <c r="M325" i="3"/>
  <c r="LR1" i="10"/>
  <c r="LS2" i="10"/>
  <c r="O330" i="5"/>
  <c r="I332" i="18" s="1"/>
  <c r="LT2" i="11"/>
  <c r="LS1" i="11"/>
  <c r="C331" i="19"/>
  <c r="G331" i="19" l="1"/>
  <c r="F331" i="19"/>
  <c r="J332" i="18"/>
  <c r="P330" i="5" s="1"/>
  <c r="Q327" i="3"/>
  <c r="M326" i="3"/>
  <c r="U325" i="3"/>
  <c r="J325" i="3"/>
  <c r="F326" i="3"/>
  <c r="LT2" i="10"/>
  <c r="LS1" i="10"/>
  <c r="LU2" i="11"/>
  <c r="LT1" i="11"/>
  <c r="O331" i="5"/>
  <c r="I333" i="18" s="1"/>
  <c r="C332" i="19"/>
  <c r="G332" i="19" l="1"/>
  <c r="F332" i="19"/>
  <c r="J333" i="18"/>
  <c r="P331" i="5" s="1"/>
  <c r="Q328" i="3"/>
  <c r="F327" i="3"/>
  <c r="J326" i="3"/>
  <c r="M327" i="3"/>
  <c r="U326" i="3"/>
  <c r="LU2" i="10"/>
  <c r="LT1" i="10"/>
  <c r="C333" i="19"/>
  <c r="O332" i="5"/>
  <c r="I334" i="18" s="1"/>
  <c r="LU1" i="11"/>
  <c r="LV2" i="11"/>
  <c r="G333" i="19" l="1"/>
  <c r="F333" i="19"/>
  <c r="J334" i="18"/>
  <c r="P332" i="5" s="1"/>
  <c r="Q329" i="3"/>
  <c r="M328" i="3"/>
  <c r="U327" i="3"/>
  <c r="F328" i="3"/>
  <c r="J327" i="3"/>
  <c r="LU1" i="10"/>
  <c r="LV2" i="10"/>
  <c r="C334" i="19"/>
  <c r="O333" i="5"/>
  <c r="I335" i="18" s="1"/>
  <c r="LV1" i="11"/>
  <c r="LW2" i="11"/>
  <c r="G334" i="19" l="1"/>
  <c r="F334" i="19"/>
  <c r="J335" i="18"/>
  <c r="P333" i="5" s="1"/>
  <c r="Q330" i="3"/>
  <c r="F329" i="3"/>
  <c r="J328" i="3"/>
  <c r="M329" i="3"/>
  <c r="U328" i="3"/>
  <c r="LV1" i="10"/>
  <c r="LW2" i="10"/>
  <c r="C335" i="19"/>
  <c r="O334" i="5"/>
  <c r="I336" i="18" s="1"/>
  <c r="LX2" i="11"/>
  <c r="LW1" i="11"/>
  <c r="G335" i="19" l="1"/>
  <c r="F335" i="19"/>
  <c r="J336" i="18"/>
  <c r="P334" i="5" s="1"/>
  <c r="Q331" i="3"/>
  <c r="M330" i="3"/>
  <c r="U329" i="3"/>
  <c r="F330" i="3"/>
  <c r="J329" i="3"/>
  <c r="LW1" i="10"/>
  <c r="LX2" i="10"/>
  <c r="C336" i="19"/>
  <c r="LY2" i="11"/>
  <c r="LX1" i="11"/>
  <c r="O335" i="5"/>
  <c r="I337" i="18" s="1"/>
  <c r="G336" i="19" l="1"/>
  <c r="F336" i="19"/>
  <c r="J337" i="18"/>
  <c r="P335" i="5" s="1"/>
  <c r="Q332" i="3"/>
  <c r="F331" i="3"/>
  <c r="J330" i="3"/>
  <c r="M331" i="3"/>
  <c r="U330" i="3"/>
  <c r="LY2" i="10"/>
  <c r="LX1" i="10"/>
  <c r="C337" i="19"/>
  <c r="LY1" i="11"/>
  <c r="LZ2" i="11"/>
  <c r="O336" i="5"/>
  <c r="I338" i="18" s="1"/>
  <c r="G337" i="19" l="1"/>
  <c r="F337" i="19"/>
  <c r="J338" i="18"/>
  <c r="P336" i="5" s="1"/>
  <c r="Q333" i="3"/>
  <c r="M332" i="3"/>
  <c r="U331" i="3"/>
  <c r="F332" i="3"/>
  <c r="J331" i="3"/>
  <c r="LZ2" i="10"/>
  <c r="LY1" i="10"/>
  <c r="LZ1" i="11"/>
  <c r="MA2" i="11"/>
  <c r="C338" i="19"/>
  <c r="O337" i="5"/>
  <c r="I339" i="18" s="1"/>
  <c r="G338" i="19" l="1"/>
  <c r="F338" i="19"/>
  <c r="J339" i="18"/>
  <c r="P337" i="5" s="1"/>
  <c r="Q334" i="3"/>
  <c r="F333" i="3"/>
  <c r="J332" i="3"/>
  <c r="U332" i="3"/>
  <c r="M333" i="3"/>
  <c r="LZ1" i="10"/>
  <c r="MA2" i="10"/>
  <c r="MB2" i="11"/>
  <c r="MA1" i="11"/>
  <c r="C339" i="19"/>
  <c r="O338" i="5"/>
  <c r="I340" i="18" s="1"/>
  <c r="G339" i="19" l="1"/>
  <c r="F339" i="19"/>
  <c r="J340" i="18"/>
  <c r="P338" i="5" s="1"/>
  <c r="Q335" i="3"/>
  <c r="M334" i="3"/>
  <c r="U333" i="3"/>
  <c r="J333" i="3"/>
  <c r="F334" i="3"/>
  <c r="MB2" i="10"/>
  <c r="MA1" i="10"/>
  <c r="O339" i="5"/>
  <c r="I341" i="18" s="1"/>
  <c r="C340" i="19"/>
  <c r="MC2" i="11"/>
  <c r="MB1" i="11"/>
  <c r="G340" i="19" l="1"/>
  <c r="F340" i="19"/>
  <c r="J341" i="18"/>
  <c r="P339" i="5" s="1"/>
  <c r="Q336" i="3"/>
  <c r="F335" i="3"/>
  <c r="J334" i="3"/>
  <c r="M335" i="3"/>
  <c r="U334" i="3"/>
  <c r="MB1" i="10"/>
  <c r="MC2" i="10"/>
  <c r="MC1" i="11"/>
  <c r="MD2" i="11"/>
  <c r="C341" i="19"/>
  <c r="O340" i="5"/>
  <c r="I342" i="18" s="1"/>
  <c r="G341" i="19" l="1"/>
  <c r="F341" i="19"/>
  <c r="J342" i="18"/>
  <c r="P340" i="5" s="1"/>
  <c r="Q337" i="3"/>
  <c r="M336" i="3"/>
  <c r="U335" i="3"/>
  <c r="F336" i="3"/>
  <c r="J335" i="3"/>
  <c r="MD2" i="10"/>
  <c r="MC1" i="10"/>
  <c r="O341" i="5"/>
  <c r="I343" i="18" s="1"/>
  <c r="MD1" i="11"/>
  <c r="ME2" i="11"/>
  <c r="C342" i="19"/>
  <c r="G342" i="19" l="1"/>
  <c r="F342" i="19"/>
  <c r="J343" i="18"/>
  <c r="P341" i="5" s="1"/>
  <c r="Q338" i="3"/>
  <c r="F337" i="3"/>
  <c r="J336" i="3"/>
  <c r="M337" i="3"/>
  <c r="U336" i="3"/>
  <c r="MD1" i="10"/>
  <c r="ME2" i="10"/>
  <c r="O342" i="5"/>
  <c r="I344" i="18" s="1"/>
  <c r="MF2" i="11"/>
  <c r="ME1" i="11"/>
  <c r="C343" i="19"/>
  <c r="G343" i="19" l="1"/>
  <c r="F343" i="19"/>
  <c r="J344" i="18"/>
  <c r="P342" i="5" s="1"/>
  <c r="Q339" i="3"/>
  <c r="M338" i="3"/>
  <c r="U337" i="3"/>
  <c r="F338" i="3"/>
  <c r="J337" i="3"/>
  <c r="MF2" i="10"/>
  <c r="ME1" i="10"/>
  <c r="C344" i="19"/>
  <c r="MG2" i="11"/>
  <c r="MF1" i="11"/>
  <c r="O343" i="5"/>
  <c r="I345" i="18" s="1"/>
  <c r="G344" i="19" l="1"/>
  <c r="F344" i="19"/>
  <c r="J345" i="18"/>
  <c r="P343" i="5" s="1"/>
  <c r="Q340" i="3"/>
  <c r="F339" i="3"/>
  <c r="J338" i="3"/>
  <c r="M339" i="3"/>
  <c r="U338" i="3"/>
  <c r="MG2" i="10"/>
  <c r="MF1" i="10"/>
  <c r="O344" i="5"/>
  <c r="I346" i="18" s="1"/>
  <c r="C345" i="19"/>
  <c r="MG1" i="11"/>
  <c r="MH2" i="11"/>
  <c r="G345" i="19" l="1"/>
  <c r="F345" i="19"/>
  <c r="J346" i="18"/>
  <c r="P344" i="5" s="1"/>
  <c r="Q341" i="3"/>
  <c r="M340" i="3"/>
  <c r="U339" i="3"/>
  <c r="F340" i="3"/>
  <c r="J339" i="3"/>
  <c r="MG1" i="10"/>
  <c r="MH2" i="10"/>
  <c r="MH1" i="11"/>
  <c r="MI2" i="11"/>
  <c r="C346" i="19"/>
  <c r="O345" i="5"/>
  <c r="I347" i="18" s="1"/>
  <c r="G346" i="19" l="1"/>
  <c r="F346" i="19"/>
  <c r="J347" i="18"/>
  <c r="P345" i="5" s="1"/>
  <c r="Q342" i="3"/>
  <c r="F341" i="3"/>
  <c r="J340" i="3"/>
  <c r="M341" i="3"/>
  <c r="U340" i="3"/>
  <c r="MH1" i="10"/>
  <c r="MI2" i="10"/>
  <c r="O346" i="5"/>
  <c r="I348" i="18" s="1"/>
  <c r="MJ2" i="11"/>
  <c r="MI1" i="11"/>
  <c r="C347" i="19"/>
  <c r="G347" i="19" l="1"/>
  <c r="F347" i="19"/>
  <c r="J348" i="18"/>
  <c r="P346" i="5" s="1"/>
  <c r="Q343" i="3"/>
  <c r="M342" i="3"/>
  <c r="U341" i="3"/>
  <c r="F342" i="3"/>
  <c r="J341" i="3"/>
  <c r="MI1" i="10"/>
  <c r="MJ2" i="10"/>
  <c r="O347" i="5"/>
  <c r="I349" i="18" s="1"/>
  <c r="C348" i="19"/>
  <c r="MK2" i="11"/>
  <c r="MJ1" i="11"/>
  <c r="G348" i="19" l="1"/>
  <c r="F348" i="19"/>
  <c r="J349" i="18"/>
  <c r="P347" i="5" s="1"/>
  <c r="Q344" i="3"/>
  <c r="F343" i="3"/>
  <c r="J342" i="3"/>
  <c r="M343" i="3"/>
  <c r="U342" i="3"/>
  <c r="MK2" i="10"/>
  <c r="MJ1" i="10"/>
  <c r="O348" i="5"/>
  <c r="I350" i="18" s="1"/>
  <c r="MK1" i="11"/>
  <c r="ML2" i="11"/>
  <c r="C349" i="19"/>
  <c r="G349" i="19" l="1"/>
  <c r="F349" i="19"/>
  <c r="J350" i="18"/>
  <c r="P348" i="5" s="1"/>
  <c r="Q345" i="3"/>
  <c r="M344" i="3"/>
  <c r="U343" i="3"/>
  <c r="F344" i="3"/>
  <c r="J343" i="3"/>
  <c r="ML2" i="10"/>
  <c r="MK1" i="10"/>
  <c r="O349" i="5"/>
  <c r="I351" i="18" s="1"/>
  <c r="ML1" i="11"/>
  <c r="MM2" i="11"/>
  <c r="C350" i="19"/>
  <c r="G350" i="19" l="1"/>
  <c r="F350" i="19"/>
  <c r="J351" i="18"/>
  <c r="P349" i="5" s="1"/>
  <c r="Q346" i="3"/>
  <c r="F345" i="3"/>
  <c r="J344" i="3"/>
  <c r="M345" i="3"/>
  <c r="U344" i="3"/>
  <c r="ML1" i="10"/>
  <c r="MM2" i="10"/>
  <c r="C351" i="19"/>
  <c r="MN2" i="11"/>
  <c r="MM1" i="11"/>
  <c r="O350" i="5"/>
  <c r="I352" i="18" s="1"/>
  <c r="G351" i="19" l="1"/>
  <c r="F351" i="19"/>
  <c r="J352" i="18"/>
  <c r="P350" i="5" s="1"/>
  <c r="Q347" i="3"/>
  <c r="M346" i="3"/>
  <c r="U345" i="3"/>
  <c r="F346" i="3"/>
  <c r="J345" i="3"/>
  <c r="MM1" i="10"/>
  <c r="MN2" i="10"/>
  <c r="MO2" i="11"/>
  <c r="MN1" i="11"/>
  <c r="O351" i="5"/>
  <c r="I353" i="18" s="1"/>
  <c r="C352" i="19"/>
  <c r="G352" i="19" l="1"/>
  <c r="F352" i="19"/>
  <c r="J353" i="18"/>
  <c r="P351" i="5" s="1"/>
  <c r="Q348" i="3"/>
  <c r="F347" i="3"/>
  <c r="J346" i="3"/>
  <c r="M347" i="3"/>
  <c r="U346" i="3"/>
  <c r="MO2" i="10"/>
  <c r="MN1" i="10"/>
  <c r="C353" i="19"/>
  <c r="O352" i="5"/>
  <c r="I354" i="18" s="1"/>
  <c r="MO1" i="11"/>
  <c r="MP2" i="11"/>
  <c r="G353" i="19" l="1"/>
  <c r="F353" i="19"/>
  <c r="J354" i="18"/>
  <c r="P352" i="5" s="1"/>
  <c r="Q349" i="3"/>
  <c r="M348" i="3"/>
  <c r="U347" i="3"/>
  <c r="F348" i="3"/>
  <c r="J347" i="3"/>
  <c r="MP2" i="10"/>
  <c r="MO1" i="10"/>
  <c r="C354" i="19"/>
  <c r="O353" i="5"/>
  <c r="I355" i="18" s="1"/>
  <c r="MP1" i="11"/>
  <c r="MQ2" i="11"/>
  <c r="G354" i="19" l="1"/>
  <c r="F354" i="19"/>
  <c r="J355" i="18"/>
  <c r="P353" i="5" s="1"/>
  <c r="Q350" i="3"/>
  <c r="F349" i="3"/>
  <c r="J348" i="3"/>
  <c r="M349" i="3"/>
  <c r="U348" i="3"/>
  <c r="MP1" i="10"/>
  <c r="MQ2" i="10"/>
  <c r="O354" i="5"/>
  <c r="I356" i="18" s="1"/>
  <c r="MR2" i="11"/>
  <c r="MQ1" i="11"/>
  <c r="C355" i="19"/>
  <c r="G355" i="19" l="1"/>
  <c r="F355" i="19"/>
  <c r="J356" i="18"/>
  <c r="P354" i="5" s="1"/>
  <c r="Q351" i="3"/>
  <c r="M350" i="3"/>
  <c r="U349" i="3"/>
  <c r="F350" i="3"/>
  <c r="J349" i="3"/>
  <c r="MR2" i="10"/>
  <c r="MQ1" i="10"/>
  <c r="C356" i="19"/>
  <c r="O355" i="5"/>
  <c r="I357" i="18" s="1"/>
  <c r="MS2" i="11"/>
  <c r="MR1" i="11"/>
  <c r="G356" i="19" l="1"/>
  <c r="F356" i="19"/>
  <c r="J357" i="18"/>
  <c r="P355" i="5" s="1"/>
  <c r="Q352" i="3"/>
  <c r="F351" i="3"/>
  <c r="J350" i="3"/>
  <c r="M351" i="3"/>
  <c r="U350" i="3"/>
  <c r="MS2" i="10"/>
  <c r="MR1" i="10"/>
  <c r="MS1" i="11"/>
  <c r="MT2" i="11"/>
  <c r="O356" i="5"/>
  <c r="I358" i="18" s="1"/>
  <c r="C357" i="19"/>
  <c r="G357" i="19" l="1"/>
  <c r="F357" i="19"/>
  <c r="J358" i="18"/>
  <c r="P356" i="5" s="1"/>
  <c r="Q353" i="3"/>
  <c r="M352" i="3"/>
  <c r="U351" i="3"/>
  <c r="F352" i="3"/>
  <c r="J351" i="3"/>
  <c r="MS1" i="10"/>
  <c r="MT2" i="10"/>
  <c r="C358" i="19"/>
  <c r="O357" i="5"/>
  <c r="I359" i="18" s="1"/>
  <c r="MT1" i="11"/>
  <c r="MU2" i="11"/>
  <c r="G358" i="19" l="1"/>
  <c r="F358" i="19"/>
  <c r="J359" i="18"/>
  <c r="P357" i="5" s="1"/>
  <c r="Q354" i="3"/>
  <c r="F353" i="3"/>
  <c r="J352" i="3"/>
  <c r="M353" i="3"/>
  <c r="U352" i="3"/>
  <c r="MU2" i="10"/>
  <c r="MT1" i="10"/>
  <c r="C359" i="19"/>
  <c r="MV2" i="11"/>
  <c r="MU1" i="11"/>
  <c r="O358" i="5"/>
  <c r="I360" i="18" s="1"/>
  <c r="G359" i="19" l="1"/>
  <c r="F359" i="19"/>
  <c r="J360" i="18"/>
  <c r="P358" i="5" s="1"/>
  <c r="Q355" i="3"/>
  <c r="M354" i="3"/>
  <c r="U353" i="3"/>
  <c r="F354" i="3"/>
  <c r="J353" i="3"/>
  <c r="MU1" i="10"/>
  <c r="MV2" i="10"/>
  <c r="O359" i="5"/>
  <c r="I361" i="18" s="1"/>
  <c r="C360" i="19"/>
  <c r="MW2" i="11"/>
  <c r="MV1" i="11"/>
  <c r="G360" i="19" l="1"/>
  <c r="F360" i="19"/>
  <c r="J361" i="18"/>
  <c r="P359" i="5" s="1"/>
  <c r="Q356" i="3"/>
  <c r="F355" i="3"/>
  <c r="J354" i="3"/>
  <c r="M355" i="3"/>
  <c r="U354" i="3"/>
  <c r="MW2" i="10"/>
  <c r="MV1" i="10"/>
  <c r="MW1" i="11"/>
  <c r="MX2" i="11"/>
  <c r="O360" i="5"/>
  <c r="I362" i="18" s="1"/>
  <c r="C361" i="19"/>
  <c r="G361" i="19" l="1"/>
  <c r="F361" i="19"/>
  <c r="J362" i="18"/>
  <c r="P360" i="5" s="1"/>
  <c r="Q357" i="3"/>
  <c r="M356" i="3"/>
  <c r="U355" i="3"/>
  <c r="F356" i="3"/>
  <c r="J355" i="3"/>
  <c r="MX2" i="10"/>
  <c r="MW1" i="10"/>
  <c r="MX1" i="11"/>
  <c r="MY2" i="11"/>
  <c r="MY1" i="11" s="1"/>
  <c r="C362" i="19"/>
  <c r="O361" i="5"/>
  <c r="I363" i="18" s="1"/>
  <c r="G362" i="19" l="1"/>
  <c r="F362" i="19"/>
  <c r="J363" i="18"/>
  <c r="P361" i="5" s="1"/>
  <c r="Q358" i="3"/>
  <c r="F357" i="3"/>
  <c r="J356" i="3"/>
  <c r="M357" i="3"/>
  <c r="U356" i="3"/>
  <c r="MX1" i="10"/>
  <c r="MY2" i="10"/>
  <c r="O362" i="5"/>
  <c r="I364" i="18" s="1"/>
  <c r="C363" i="19"/>
  <c r="G363" i="19" l="1"/>
  <c r="F363" i="19"/>
  <c r="J364" i="18"/>
  <c r="P362" i="5" s="1"/>
  <c r="Q359" i="3"/>
  <c r="M358" i="3"/>
  <c r="U357" i="3"/>
  <c r="F358" i="3"/>
  <c r="J357" i="3"/>
  <c r="MZ2" i="10"/>
  <c r="MY1" i="10"/>
  <c r="C364" i="19"/>
  <c r="O363" i="5"/>
  <c r="I365" i="18" s="1"/>
  <c r="G364" i="19" l="1"/>
  <c r="F364" i="19"/>
  <c r="J365" i="18"/>
  <c r="P363" i="5" s="1"/>
  <c r="Q360" i="3"/>
  <c r="F359" i="3"/>
  <c r="J358" i="3"/>
  <c r="M359" i="3"/>
  <c r="U358" i="3"/>
  <c r="NA2" i="10"/>
  <c r="MZ1" i="10"/>
  <c r="C365" i="19"/>
  <c r="O364" i="5"/>
  <c r="I366" i="18" s="1"/>
  <c r="G365" i="19" l="1"/>
  <c r="F365" i="19"/>
  <c r="J366" i="18"/>
  <c r="P364" i="5" s="1"/>
  <c r="Q361" i="3"/>
  <c r="M360" i="3"/>
  <c r="U359" i="3"/>
  <c r="F360" i="3"/>
  <c r="J359" i="3"/>
  <c r="NA1" i="10"/>
  <c r="NB2" i="10"/>
  <c r="O365" i="5"/>
  <c r="I367" i="18" s="1"/>
  <c r="C366" i="19"/>
  <c r="G366" i="19" l="1"/>
  <c r="F366" i="19"/>
  <c r="J367" i="18"/>
  <c r="P365" i="5" s="1"/>
  <c r="Q362" i="3"/>
  <c r="F361" i="3"/>
  <c r="J360" i="3"/>
  <c r="M361" i="3"/>
  <c r="U360" i="3"/>
  <c r="NB1" i="10"/>
  <c r="NC2" i="10"/>
  <c r="O366" i="5"/>
  <c r="I368" i="18" s="1"/>
  <c r="C367" i="19"/>
  <c r="G367" i="19" l="1"/>
  <c r="F367" i="19"/>
  <c r="J368" i="18"/>
  <c r="P366" i="5" s="1"/>
  <c r="Q363" i="3"/>
  <c r="M362" i="3"/>
  <c r="U361" i="3"/>
  <c r="F362" i="3"/>
  <c r="J361" i="3"/>
  <c r="ND2" i="10"/>
  <c r="NC1" i="10"/>
  <c r="O367" i="5"/>
  <c r="I369" i="18" s="1"/>
  <c r="C368" i="19"/>
  <c r="G368" i="19" l="1"/>
  <c r="F368" i="19"/>
  <c r="J369" i="18"/>
  <c r="P367" i="5" s="1"/>
  <c r="Q364" i="3"/>
  <c r="F363" i="3"/>
  <c r="J362" i="3"/>
  <c r="M363" i="3"/>
  <c r="U362" i="3"/>
  <c r="NE2" i="10"/>
  <c r="ND1" i="10"/>
  <c r="O368" i="5"/>
  <c r="I370" i="18" s="1"/>
  <c r="C369" i="19"/>
  <c r="G369" i="19" l="1"/>
  <c r="F369" i="19"/>
  <c r="J370" i="18"/>
  <c r="P368" i="5" s="1"/>
  <c r="Q365" i="3"/>
  <c r="M364" i="3"/>
  <c r="U363" i="3"/>
  <c r="F364" i="3"/>
  <c r="J363" i="3"/>
  <c r="NF2" i="10"/>
  <c r="NE1" i="10"/>
  <c r="C370" i="19"/>
  <c r="O369" i="5"/>
  <c r="I371" i="18" s="1"/>
  <c r="G370" i="19" l="1"/>
  <c r="F370" i="19"/>
  <c r="J371" i="18"/>
  <c r="P369" i="5" s="1"/>
  <c r="Q366" i="3"/>
  <c r="F365" i="3"/>
  <c r="J364" i="3"/>
  <c r="U364" i="3"/>
  <c r="M365" i="3"/>
  <c r="NF1" i="10"/>
  <c r="NG2" i="10"/>
  <c r="O370" i="5"/>
  <c r="I372" i="18" s="1"/>
  <c r="C371" i="19"/>
  <c r="G371" i="19" l="1"/>
  <c r="F371" i="19"/>
  <c r="J372" i="18"/>
  <c r="P370" i="5" s="1"/>
  <c r="Q367" i="3"/>
  <c r="M366" i="3"/>
  <c r="U365" i="3"/>
  <c r="F366" i="3"/>
  <c r="J365" i="3"/>
  <c r="NH2" i="10"/>
  <c r="NG1" i="10"/>
  <c r="O371" i="5"/>
  <c r="I373" i="18" s="1"/>
  <c r="C372" i="19"/>
  <c r="G372" i="19" l="1"/>
  <c r="F372" i="19"/>
  <c r="J373" i="18"/>
  <c r="P371" i="5" s="1"/>
  <c r="Q368" i="3"/>
  <c r="F367" i="3"/>
  <c r="J366" i="3"/>
  <c r="M367" i="3"/>
  <c r="U366" i="3"/>
  <c r="NI2" i="10"/>
  <c r="NH1" i="10"/>
  <c r="O372" i="5"/>
  <c r="I374" i="18" s="1"/>
  <c r="C373" i="19"/>
  <c r="G373" i="19" l="1"/>
  <c r="F373" i="19"/>
  <c r="J374" i="18"/>
  <c r="P372" i="5" s="1"/>
  <c r="Q369" i="3"/>
  <c r="M368" i="3"/>
  <c r="U367" i="3"/>
  <c r="F368" i="3"/>
  <c r="J367" i="3"/>
  <c r="NI1" i="10"/>
  <c r="NJ2" i="10"/>
  <c r="NJ1" i="10" s="1"/>
  <c r="C374" i="19"/>
  <c r="O373" i="5"/>
  <c r="I375" i="18" s="1"/>
  <c r="G374" i="19" l="1"/>
  <c r="F374" i="19"/>
  <c r="J375" i="18"/>
  <c r="P373" i="5" s="1"/>
  <c r="Q370" i="3"/>
  <c r="F369" i="3"/>
  <c r="J368" i="3"/>
  <c r="M369" i="3"/>
  <c r="U368" i="3"/>
  <c r="O374" i="5"/>
  <c r="I376" i="18" s="1"/>
  <c r="C375" i="19"/>
  <c r="G375" i="19" l="1"/>
  <c r="F375" i="19"/>
  <c r="J376" i="18"/>
  <c r="P374" i="5" s="1"/>
  <c r="Q371" i="3"/>
  <c r="M370" i="3"/>
  <c r="U369" i="3"/>
  <c r="F370" i="3"/>
  <c r="J369" i="3"/>
  <c r="O375" i="5"/>
  <c r="I377" i="18" s="1"/>
  <c r="C376" i="19"/>
  <c r="G376" i="19" l="1"/>
  <c r="F376" i="19"/>
  <c r="J377" i="18"/>
  <c r="P375" i="5" s="1"/>
  <c r="Q372" i="3"/>
  <c r="F371" i="3"/>
  <c r="J370" i="3"/>
  <c r="M371" i="3"/>
  <c r="U370" i="3"/>
  <c r="O376" i="5"/>
  <c r="I378" i="18" s="1"/>
  <c r="C377" i="19"/>
  <c r="G377" i="19" l="1"/>
  <c r="F377" i="19"/>
  <c r="J378" i="18"/>
  <c r="P376" i="5" s="1"/>
  <c r="Q373" i="3"/>
  <c r="U371" i="3"/>
  <c r="M372" i="3"/>
  <c r="F372" i="3"/>
  <c r="J371" i="3"/>
  <c r="C378" i="19"/>
  <c r="O377" i="5"/>
  <c r="I379" i="18" s="1"/>
  <c r="G378" i="19" l="1"/>
  <c r="F378" i="19"/>
  <c r="J379" i="18"/>
  <c r="P377" i="5" s="1"/>
  <c r="Q374" i="3"/>
  <c r="J372" i="3"/>
  <c r="F373" i="3"/>
  <c r="M373" i="3"/>
  <c r="U372" i="3"/>
  <c r="C379" i="19"/>
  <c r="O378" i="5"/>
  <c r="I380" i="18" s="1"/>
  <c r="G379" i="19" l="1"/>
  <c r="F379" i="19"/>
  <c r="J380" i="18"/>
  <c r="P378" i="5" s="1"/>
  <c r="Q375" i="3"/>
  <c r="M374" i="3"/>
  <c r="U373" i="3"/>
  <c r="F374" i="3"/>
  <c r="J373" i="3"/>
  <c r="O379" i="5"/>
  <c r="I381" i="18" s="1"/>
  <c r="C380" i="19"/>
  <c r="G380" i="19" l="1"/>
  <c r="F380" i="19"/>
  <c r="J381" i="18"/>
  <c r="P379" i="5" s="1"/>
  <c r="Q376" i="3"/>
  <c r="F375" i="3"/>
  <c r="J374" i="3"/>
  <c r="M375" i="3"/>
  <c r="U374" i="3"/>
  <c r="C381" i="19"/>
  <c r="O380" i="5"/>
  <c r="I382" i="18" s="1"/>
  <c r="G381" i="19" l="1"/>
  <c r="F381" i="19"/>
  <c r="J382" i="18"/>
  <c r="P380" i="5" s="1"/>
  <c r="Q377" i="3"/>
  <c r="M376" i="3"/>
  <c r="U375" i="3"/>
  <c r="F376" i="3"/>
  <c r="J375" i="3"/>
  <c r="C382" i="19"/>
  <c r="O381" i="5"/>
  <c r="I383" i="18" s="1"/>
  <c r="G382" i="19" l="1"/>
  <c r="F382" i="19"/>
  <c r="J383" i="18"/>
  <c r="P381" i="5" s="1"/>
  <c r="Q378" i="3"/>
  <c r="F377" i="3"/>
  <c r="J376" i="3"/>
  <c r="M377" i="3"/>
  <c r="U376" i="3"/>
  <c r="O382" i="5"/>
  <c r="I384" i="18" s="1"/>
  <c r="C383" i="19"/>
  <c r="G383" i="19" l="1"/>
  <c r="F383" i="19"/>
  <c r="J384" i="18"/>
  <c r="P382" i="5" s="1"/>
  <c r="Q379" i="3"/>
  <c r="M378" i="3"/>
  <c r="U377" i="3"/>
  <c r="F378" i="3"/>
  <c r="J377" i="3"/>
  <c r="O383" i="5"/>
  <c r="I385" i="18" s="1"/>
  <c r="C384" i="19"/>
  <c r="G384" i="19" l="1"/>
  <c r="F384" i="19"/>
  <c r="J385" i="18"/>
  <c r="P383" i="5" s="1"/>
  <c r="Q380" i="3"/>
  <c r="F379" i="3"/>
  <c r="J378" i="3"/>
  <c r="M379" i="3"/>
  <c r="U378" i="3"/>
  <c r="O384" i="5"/>
  <c r="I386" i="18" s="1"/>
  <c r="C385" i="19"/>
  <c r="G385" i="19" l="1"/>
  <c r="F385" i="19"/>
  <c r="J386" i="18"/>
  <c r="P384" i="5" s="1"/>
  <c r="Q381" i="3"/>
  <c r="M380" i="3"/>
  <c r="U379" i="3"/>
  <c r="F380" i="3"/>
  <c r="J379" i="3"/>
  <c r="O385" i="5"/>
  <c r="I387" i="18" s="1"/>
  <c r="C386" i="19"/>
  <c r="G386" i="19" l="1"/>
  <c r="F386" i="19"/>
  <c r="J387" i="18"/>
  <c r="P385" i="5" s="1"/>
  <c r="Q382" i="3"/>
  <c r="F381" i="3"/>
  <c r="J380" i="3"/>
  <c r="M381" i="3"/>
  <c r="U380" i="3"/>
  <c r="C387" i="19"/>
  <c r="O386" i="5"/>
  <c r="I388" i="18" s="1"/>
  <c r="G387" i="19" l="1"/>
  <c r="F387" i="19"/>
  <c r="J388" i="18"/>
  <c r="P386" i="5" s="1"/>
  <c r="Q383" i="3"/>
  <c r="M382" i="3"/>
  <c r="U381" i="3"/>
  <c r="F382" i="3"/>
  <c r="J381" i="3"/>
  <c r="C388" i="19"/>
  <c r="O387" i="5"/>
  <c r="I389" i="18" s="1"/>
  <c r="G388" i="19" l="1"/>
  <c r="F388" i="19"/>
  <c r="J389" i="18"/>
  <c r="P387" i="5" s="1"/>
  <c r="Q384" i="3"/>
  <c r="F383" i="3"/>
  <c r="J382" i="3"/>
  <c r="M383" i="3"/>
  <c r="U382" i="3"/>
  <c r="C389" i="19"/>
  <c r="O388" i="5"/>
  <c r="I390" i="18" s="1"/>
  <c r="G389" i="19" l="1"/>
  <c r="F389" i="19"/>
  <c r="J390" i="18"/>
  <c r="P388" i="5" s="1"/>
  <c r="Q385" i="3"/>
  <c r="M384" i="3"/>
  <c r="U383" i="3"/>
  <c r="F384" i="3"/>
  <c r="J383" i="3"/>
  <c r="O389" i="5"/>
  <c r="I391" i="18" s="1"/>
  <c r="C390" i="19"/>
  <c r="G390" i="19" l="1"/>
  <c r="F390" i="19"/>
  <c r="J391" i="18"/>
  <c r="P389" i="5" s="1"/>
  <c r="Q386" i="3"/>
  <c r="F385" i="3"/>
  <c r="J384" i="3"/>
  <c r="M385" i="3"/>
  <c r="U384" i="3"/>
  <c r="C391" i="19"/>
  <c r="O390" i="5"/>
  <c r="I392" i="18" s="1"/>
  <c r="G391" i="19" l="1"/>
  <c r="F391" i="19"/>
  <c r="J392" i="18"/>
  <c r="P390" i="5" s="1"/>
  <c r="Q387" i="3"/>
  <c r="M386" i="3"/>
  <c r="U385" i="3"/>
  <c r="F386" i="3"/>
  <c r="J385" i="3"/>
  <c r="C392" i="19"/>
  <c r="O391" i="5"/>
  <c r="I393" i="18" s="1"/>
  <c r="G392" i="19" l="1"/>
  <c r="F392" i="19"/>
  <c r="J393" i="18"/>
  <c r="P391" i="5" s="1"/>
  <c r="Q388" i="3"/>
  <c r="F387" i="3"/>
  <c r="J386" i="3"/>
  <c r="M387" i="3"/>
  <c r="U386" i="3"/>
  <c r="O392" i="5"/>
  <c r="I394" i="18" s="1"/>
  <c r="C393" i="19"/>
  <c r="G393" i="19" l="1"/>
  <c r="F393" i="19"/>
  <c r="J394" i="18"/>
  <c r="P392" i="5" s="1"/>
  <c r="Q389" i="3"/>
  <c r="M388" i="3"/>
  <c r="U387" i="3"/>
  <c r="F388" i="3"/>
  <c r="J387" i="3"/>
  <c r="C394" i="19"/>
  <c r="O393" i="5"/>
  <c r="I395" i="18" s="1"/>
  <c r="G394" i="19" l="1"/>
  <c r="F394" i="19"/>
  <c r="J395" i="18"/>
  <c r="P393" i="5" s="1"/>
  <c r="Q390" i="3"/>
  <c r="F389" i="3"/>
  <c r="J388" i="3"/>
  <c r="M389" i="3"/>
  <c r="U388" i="3"/>
  <c r="C395" i="19"/>
  <c r="O394" i="5"/>
  <c r="I396" i="18" s="1"/>
  <c r="G395" i="19" l="1"/>
  <c r="F395" i="19"/>
  <c r="J396" i="18"/>
  <c r="P394" i="5" s="1"/>
  <c r="Q391" i="3"/>
  <c r="M390" i="3"/>
  <c r="U389" i="3"/>
  <c r="F390" i="3"/>
  <c r="J389" i="3"/>
  <c r="O395" i="5"/>
  <c r="I397" i="18" s="1"/>
  <c r="C396" i="19"/>
  <c r="G396" i="19" l="1"/>
  <c r="F396" i="19"/>
  <c r="J397" i="18"/>
  <c r="P395" i="5" s="1"/>
  <c r="Q392" i="3"/>
  <c r="F391" i="3"/>
  <c r="J390" i="3"/>
  <c r="U390" i="3"/>
  <c r="M391" i="3"/>
  <c r="C397" i="19"/>
  <c r="O396" i="5"/>
  <c r="I398" i="18" s="1"/>
  <c r="G397" i="19" l="1"/>
  <c r="F397" i="19"/>
  <c r="J398" i="18"/>
  <c r="P396" i="5" s="1"/>
  <c r="Q393" i="3"/>
  <c r="M392" i="3"/>
  <c r="U391" i="3"/>
  <c r="F392" i="3"/>
  <c r="J391" i="3"/>
  <c r="C398" i="19"/>
  <c r="O397" i="5"/>
  <c r="I399" i="18" s="1"/>
  <c r="G398" i="19" l="1"/>
  <c r="F398" i="19"/>
  <c r="J399" i="18"/>
  <c r="P397" i="5" s="1"/>
  <c r="Q394" i="3"/>
  <c r="F393" i="3"/>
  <c r="J392" i="3"/>
  <c r="U392" i="3"/>
  <c r="M393" i="3"/>
  <c r="O398" i="5"/>
  <c r="I400" i="18" s="1"/>
  <c r="C399" i="19"/>
  <c r="G399" i="19" l="1"/>
  <c r="F399" i="19"/>
  <c r="J400" i="18"/>
  <c r="P398" i="5" s="1"/>
  <c r="Q395" i="3"/>
  <c r="M394" i="3"/>
  <c r="U393" i="3"/>
  <c r="F394" i="3"/>
  <c r="J393" i="3"/>
  <c r="C400" i="19"/>
  <c r="O399" i="5"/>
  <c r="I401" i="18" s="1"/>
  <c r="G400" i="19" l="1"/>
  <c r="F400" i="19"/>
  <c r="J401" i="18"/>
  <c r="P399" i="5" s="1"/>
  <c r="Q396" i="3"/>
  <c r="F395" i="3"/>
  <c r="J394" i="3"/>
  <c r="M395" i="3"/>
  <c r="U394" i="3"/>
  <c r="O400" i="5"/>
  <c r="I402" i="18" s="1"/>
  <c r="C401" i="19"/>
  <c r="G401" i="19" l="1"/>
  <c r="F401" i="19"/>
  <c r="J402" i="18"/>
  <c r="P400" i="5" s="1"/>
  <c r="Q397" i="3"/>
  <c r="M396" i="3"/>
  <c r="U395" i="3"/>
  <c r="F396" i="3"/>
  <c r="J395" i="3"/>
  <c r="C402" i="19"/>
  <c r="O401" i="5"/>
  <c r="I403" i="18" s="1"/>
  <c r="G402" i="19" l="1"/>
  <c r="F402" i="19"/>
  <c r="J403" i="18"/>
  <c r="P401" i="5" s="1"/>
  <c r="Q398" i="3"/>
  <c r="F397" i="3"/>
  <c r="J396" i="3"/>
  <c r="M397" i="3"/>
  <c r="U396" i="3"/>
  <c r="O402" i="5"/>
  <c r="I404" i="18" s="1"/>
  <c r="C403" i="19"/>
  <c r="G403" i="19" l="1"/>
  <c r="F403" i="19"/>
  <c r="J404" i="18"/>
  <c r="P402" i="5" s="1"/>
  <c r="Q399" i="3"/>
  <c r="M398" i="3"/>
  <c r="U397" i="3"/>
  <c r="F398" i="3"/>
  <c r="J397" i="3"/>
  <c r="C404" i="19"/>
  <c r="O403" i="5"/>
  <c r="I405" i="18" s="1"/>
  <c r="G404" i="19" l="1"/>
  <c r="F404" i="19"/>
  <c r="J405" i="18"/>
  <c r="P403" i="5" s="1"/>
  <c r="Q400" i="3"/>
  <c r="F399" i="3"/>
  <c r="J398" i="3"/>
  <c r="M399" i="3"/>
  <c r="U398" i="3"/>
  <c r="C405" i="19"/>
  <c r="O404" i="5"/>
  <c r="I406" i="18" s="1"/>
  <c r="G405" i="19" l="1"/>
  <c r="F405" i="19"/>
  <c r="J406" i="18"/>
  <c r="P404" i="5" s="1"/>
  <c r="Q401" i="3"/>
  <c r="M400" i="3"/>
  <c r="U399" i="3"/>
  <c r="F400" i="3"/>
  <c r="J399" i="3"/>
  <c r="C406" i="19"/>
  <c r="O405" i="5"/>
  <c r="I407" i="18" s="1"/>
  <c r="G406" i="19" l="1"/>
  <c r="F406" i="19"/>
  <c r="J407" i="18"/>
  <c r="P405" i="5" s="1"/>
  <c r="Q402" i="3"/>
  <c r="F401" i="3"/>
  <c r="J400" i="3"/>
  <c r="M401" i="3"/>
  <c r="U400" i="3"/>
  <c r="C407" i="19"/>
  <c r="O406" i="5"/>
  <c r="I408" i="18" s="1"/>
  <c r="G407" i="19" l="1"/>
  <c r="F407" i="19"/>
  <c r="J408" i="18"/>
  <c r="P406" i="5" s="1"/>
  <c r="Q403" i="3"/>
  <c r="M402" i="3"/>
  <c r="U401" i="3"/>
  <c r="F402" i="3"/>
  <c r="J401" i="3"/>
  <c r="O407" i="5"/>
  <c r="I409" i="18" s="1"/>
  <c r="C408" i="19"/>
  <c r="G408" i="19" l="1"/>
  <c r="F408" i="19"/>
  <c r="J409" i="18"/>
  <c r="P407" i="5" s="1"/>
  <c r="Q404" i="3"/>
  <c r="F403" i="3"/>
  <c r="J402" i="3"/>
  <c r="M403" i="3"/>
  <c r="U402" i="3"/>
  <c r="C409" i="19"/>
  <c r="O408" i="5"/>
  <c r="I410" i="18" s="1"/>
  <c r="G409" i="19" l="1"/>
  <c r="F409" i="19"/>
  <c r="J410" i="18"/>
  <c r="P408" i="5" s="1"/>
  <c r="Q405" i="3"/>
  <c r="U403" i="3"/>
  <c r="M404" i="3"/>
  <c r="J403" i="3"/>
  <c r="F404" i="3"/>
  <c r="O409" i="5"/>
  <c r="I411" i="18" s="1"/>
  <c r="C410" i="19"/>
  <c r="G410" i="19" l="1"/>
  <c r="F410" i="19"/>
  <c r="J411" i="18"/>
  <c r="P409" i="5" s="1"/>
  <c r="Q406" i="3"/>
  <c r="F405" i="3"/>
  <c r="J404" i="3"/>
  <c r="M405" i="3"/>
  <c r="U404" i="3"/>
  <c r="O410" i="5"/>
  <c r="I412" i="18" s="1"/>
  <c r="C411" i="19"/>
  <c r="G411" i="19" l="1"/>
  <c r="F411" i="19"/>
  <c r="J412" i="18"/>
  <c r="P410" i="5" s="1"/>
  <c r="Q407" i="3"/>
  <c r="M406" i="3"/>
  <c r="U405" i="3"/>
  <c r="F406" i="3"/>
  <c r="J405" i="3"/>
  <c r="C412" i="19"/>
  <c r="O411" i="5"/>
  <c r="I413" i="18" s="1"/>
  <c r="G412" i="19" l="1"/>
  <c r="F412" i="19"/>
  <c r="J413" i="18"/>
  <c r="P411" i="5" s="1"/>
  <c r="Q408" i="3"/>
  <c r="F407" i="3"/>
  <c r="J406" i="3"/>
  <c r="M407" i="3"/>
  <c r="U406" i="3"/>
  <c r="C413" i="19"/>
  <c r="O412" i="5"/>
  <c r="I414" i="18" s="1"/>
  <c r="G413" i="19" l="1"/>
  <c r="F413" i="19"/>
  <c r="J414" i="18"/>
  <c r="P412" i="5" s="1"/>
  <c r="Q409" i="3"/>
  <c r="M408" i="3"/>
  <c r="U407" i="3"/>
  <c r="F408" i="3"/>
  <c r="J407" i="3"/>
  <c r="C414" i="19"/>
  <c r="O413" i="5"/>
  <c r="I415" i="18" s="1"/>
  <c r="G414" i="19" l="1"/>
  <c r="F414" i="19"/>
  <c r="J415" i="18"/>
  <c r="P413" i="5" s="1"/>
  <c r="Q410" i="3"/>
  <c r="F409" i="3"/>
  <c r="J408" i="3"/>
  <c r="M409" i="3"/>
  <c r="U408" i="3"/>
  <c r="O414" i="5"/>
  <c r="I416" i="18" s="1"/>
  <c r="C415" i="19"/>
  <c r="G415" i="19" l="1"/>
  <c r="F415" i="19"/>
  <c r="J416" i="18"/>
  <c r="P414" i="5" s="1"/>
  <c r="Q411" i="3"/>
  <c r="U409" i="3"/>
  <c r="M410" i="3"/>
  <c r="J409" i="3"/>
  <c r="F410" i="3"/>
  <c r="C416" i="19"/>
  <c r="O415" i="5"/>
  <c r="I417" i="18" s="1"/>
  <c r="G416" i="19" l="1"/>
  <c r="F416" i="19"/>
  <c r="J417" i="18"/>
  <c r="P415" i="5" s="1"/>
  <c r="Q412" i="3"/>
  <c r="F411" i="3"/>
  <c r="J410" i="3"/>
  <c r="M411" i="3"/>
  <c r="U410" i="3"/>
  <c r="O416" i="5"/>
  <c r="I418" i="18" s="1"/>
  <c r="C417" i="19"/>
  <c r="G417" i="19" l="1"/>
  <c r="F417" i="19"/>
  <c r="J418" i="18"/>
  <c r="P416" i="5" s="1"/>
  <c r="Q413" i="3"/>
  <c r="M412" i="3"/>
  <c r="U411" i="3"/>
  <c r="F412" i="3"/>
  <c r="J411" i="3"/>
  <c r="C418" i="19"/>
  <c r="O417" i="5"/>
  <c r="I419" i="18" s="1"/>
  <c r="G418" i="19" l="1"/>
  <c r="F418" i="19"/>
  <c r="J419" i="18"/>
  <c r="P417" i="5" s="1"/>
  <c r="Q414" i="3"/>
  <c r="J412" i="3"/>
  <c r="F413" i="3"/>
  <c r="M413" i="3"/>
  <c r="U412" i="3"/>
  <c r="C419" i="19"/>
  <c r="O418" i="5"/>
  <c r="I420" i="18" s="1"/>
  <c r="G419" i="19" l="1"/>
  <c r="F419" i="19"/>
  <c r="J420" i="18"/>
  <c r="P418" i="5" s="1"/>
  <c r="Q415" i="3"/>
  <c r="M414" i="3"/>
  <c r="U413" i="3"/>
  <c r="F414" i="3"/>
  <c r="J413" i="3"/>
  <c r="C420" i="19"/>
  <c r="O419" i="5"/>
  <c r="I421" i="18" s="1"/>
  <c r="G420" i="19" l="1"/>
  <c r="F420" i="19"/>
  <c r="J421" i="18"/>
  <c r="P419" i="5" s="1"/>
  <c r="Q416" i="3"/>
  <c r="F415" i="3"/>
  <c r="J414" i="3"/>
  <c r="M415" i="3"/>
  <c r="U414" i="3"/>
  <c r="O420" i="5"/>
  <c r="I422" i="18" s="1"/>
  <c r="C421" i="19"/>
  <c r="G421" i="19" l="1"/>
  <c r="F421" i="19"/>
  <c r="J422" i="18"/>
  <c r="P420" i="5" s="1"/>
  <c r="Q417" i="3"/>
  <c r="M416" i="3"/>
  <c r="U415" i="3"/>
  <c r="F416" i="3"/>
  <c r="J415" i="3"/>
  <c r="C422" i="19"/>
  <c r="O421" i="5"/>
  <c r="I423" i="18" s="1"/>
  <c r="G422" i="19" l="1"/>
  <c r="F422" i="19"/>
  <c r="J423" i="18"/>
  <c r="P421" i="5" s="1"/>
  <c r="Q418" i="3"/>
  <c r="F417" i="3"/>
  <c r="J416" i="3"/>
  <c r="U416" i="3"/>
  <c r="M417" i="3"/>
  <c r="O422" i="5"/>
  <c r="I424" i="18" s="1"/>
  <c r="C423" i="19"/>
  <c r="G423" i="19" l="1"/>
  <c r="F423" i="19"/>
  <c r="J424" i="18"/>
  <c r="P422" i="5" s="1"/>
  <c r="Q419" i="3"/>
  <c r="M418" i="3"/>
  <c r="U417" i="3"/>
  <c r="F418" i="3"/>
  <c r="J417" i="3"/>
  <c r="C424" i="19"/>
  <c r="O423" i="5"/>
  <c r="I425" i="18" s="1"/>
  <c r="G424" i="19" l="1"/>
  <c r="F424" i="19"/>
  <c r="J425" i="18"/>
  <c r="P423" i="5" s="1"/>
  <c r="Q420" i="3"/>
  <c r="F419" i="3"/>
  <c r="J418" i="3"/>
  <c r="M419" i="3"/>
  <c r="U418" i="3"/>
  <c r="O424" i="5"/>
  <c r="I426" i="18" s="1"/>
  <c r="C425" i="19"/>
  <c r="G425" i="19" l="1"/>
  <c r="F425" i="19"/>
  <c r="J426" i="18"/>
  <c r="P424" i="5" s="1"/>
  <c r="Q421" i="3"/>
  <c r="M420" i="3"/>
  <c r="U419" i="3"/>
  <c r="J419" i="3"/>
  <c r="F420" i="3"/>
  <c r="O425" i="5"/>
  <c r="I427" i="18" s="1"/>
  <c r="C426" i="19"/>
  <c r="G426" i="19" l="1"/>
  <c r="F426" i="19"/>
  <c r="J427" i="18"/>
  <c r="P425" i="5" s="1"/>
  <c r="Q422" i="3"/>
  <c r="F421" i="3"/>
  <c r="J420" i="3"/>
  <c r="M421" i="3"/>
  <c r="U420" i="3"/>
  <c r="C427" i="19"/>
  <c r="O426" i="5"/>
  <c r="I428" i="18" s="1"/>
  <c r="G427" i="19" l="1"/>
  <c r="F427" i="19"/>
  <c r="J428" i="18"/>
  <c r="P426" i="5" s="1"/>
  <c r="Q423" i="3"/>
  <c r="M422" i="3"/>
  <c r="U421" i="3"/>
  <c r="F422" i="3"/>
  <c r="J421" i="3"/>
  <c r="O427" i="5"/>
  <c r="I429" i="18" s="1"/>
  <c r="C428" i="19"/>
  <c r="G428" i="19" l="1"/>
  <c r="F428" i="19"/>
  <c r="J429" i="18"/>
  <c r="P427" i="5" s="1"/>
  <c r="C429" i="19"/>
  <c r="Q424" i="3"/>
  <c r="F423" i="3"/>
  <c r="J422" i="3"/>
  <c r="U422" i="3"/>
  <c r="M423" i="3"/>
  <c r="O428" i="5"/>
  <c r="I430" i="18" s="1"/>
  <c r="G429" i="19" l="1"/>
  <c r="F429" i="19"/>
  <c r="J430" i="18"/>
  <c r="P428" i="5" s="1"/>
  <c r="C430" i="19"/>
  <c r="Q425" i="3"/>
  <c r="M424" i="3"/>
  <c r="U423" i="3"/>
  <c r="F424" i="3"/>
  <c r="J423" i="3"/>
  <c r="O429" i="5"/>
  <c r="I431" i="18" s="1"/>
  <c r="G430" i="19" l="1"/>
  <c r="F430" i="19"/>
  <c r="J431" i="18"/>
  <c r="P429" i="5" s="1"/>
  <c r="Q426" i="3"/>
  <c r="F425" i="3"/>
  <c r="J424" i="3"/>
  <c r="M425" i="3"/>
  <c r="U424" i="3"/>
  <c r="C431" i="19"/>
  <c r="O430" i="5"/>
  <c r="I432" i="18" s="1"/>
  <c r="G431" i="19" l="1"/>
  <c r="F431" i="19"/>
  <c r="J432" i="18"/>
  <c r="P430" i="5" s="1"/>
  <c r="Q427" i="3"/>
  <c r="M426" i="3"/>
  <c r="U425" i="3"/>
  <c r="F426" i="3"/>
  <c r="J425" i="3"/>
  <c r="O431" i="5"/>
  <c r="I433" i="18" s="1"/>
  <c r="C432" i="19"/>
  <c r="G432" i="19" l="1"/>
  <c r="F432" i="19"/>
  <c r="J433" i="18"/>
  <c r="P431" i="5" s="1"/>
  <c r="Q428" i="3"/>
  <c r="F427" i="3"/>
  <c r="J426" i="3"/>
  <c r="M427" i="3"/>
  <c r="U426" i="3"/>
  <c r="C433" i="19"/>
  <c r="O432" i="5"/>
  <c r="I434" i="18" s="1"/>
  <c r="G433" i="19" l="1"/>
  <c r="F433" i="19"/>
  <c r="J434" i="18"/>
  <c r="P432" i="5" s="1"/>
  <c r="Q429" i="3"/>
  <c r="M428" i="3"/>
  <c r="U427" i="3"/>
  <c r="F428" i="3"/>
  <c r="J427" i="3"/>
  <c r="O433" i="5"/>
  <c r="I435" i="18" s="1"/>
  <c r="C434" i="19"/>
  <c r="G434" i="19" l="1"/>
  <c r="F434" i="19"/>
  <c r="J435" i="18"/>
  <c r="P433" i="5" s="1"/>
  <c r="Q430" i="3"/>
  <c r="J428" i="3"/>
  <c r="F429" i="3"/>
  <c r="M429" i="3"/>
  <c r="U428" i="3"/>
  <c r="C435" i="19"/>
  <c r="O434" i="5"/>
  <c r="I436" i="18" s="1"/>
  <c r="G435" i="19" l="1"/>
  <c r="F435" i="19"/>
  <c r="J436" i="18"/>
  <c r="P434" i="5" s="1"/>
  <c r="Q431" i="3"/>
  <c r="F430" i="3"/>
  <c r="J429" i="3"/>
  <c r="U429" i="3"/>
  <c r="M430" i="3"/>
  <c r="C436" i="19"/>
  <c r="O435" i="5"/>
  <c r="I437" i="18" s="1"/>
  <c r="G436" i="19" l="1"/>
  <c r="F436" i="19"/>
  <c r="J437" i="18"/>
  <c r="P435" i="5" s="1"/>
  <c r="Q432" i="3"/>
  <c r="U430" i="3"/>
  <c r="M431" i="3"/>
  <c r="F431" i="3"/>
  <c r="J430" i="3"/>
  <c r="C437" i="19"/>
  <c r="O436" i="5"/>
  <c r="I438" i="18" s="1"/>
  <c r="G437" i="19" l="1"/>
  <c r="F437" i="19"/>
  <c r="J438" i="18"/>
  <c r="P436" i="5" s="1"/>
  <c r="Q433" i="3"/>
  <c r="M432" i="3"/>
  <c r="U431" i="3"/>
  <c r="J431" i="3"/>
  <c r="F432" i="3"/>
  <c r="C438" i="19"/>
  <c r="O437" i="5"/>
  <c r="I439" i="18" s="1"/>
  <c r="G438" i="19" l="1"/>
  <c r="F438" i="19"/>
  <c r="J439" i="18"/>
  <c r="P437" i="5" s="1"/>
  <c r="Q434" i="3"/>
  <c r="F433" i="3"/>
  <c r="J432" i="3"/>
  <c r="M433" i="3"/>
  <c r="U432" i="3"/>
  <c r="O438" i="5"/>
  <c r="I440" i="18" s="1"/>
  <c r="C439" i="19"/>
  <c r="G439" i="19" l="1"/>
  <c r="F439" i="19"/>
  <c r="J440" i="18"/>
  <c r="P438" i="5" s="1"/>
  <c r="Q435" i="3"/>
  <c r="M434" i="3"/>
  <c r="U433" i="3"/>
  <c r="J433" i="3"/>
  <c r="F434" i="3"/>
  <c r="O439" i="5"/>
  <c r="I441" i="18" s="1"/>
  <c r="C440" i="19"/>
  <c r="G440" i="19" l="1"/>
  <c r="F440" i="19"/>
  <c r="J441" i="18"/>
  <c r="P439" i="5" s="1"/>
  <c r="Q436" i="3"/>
  <c r="F435" i="3"/>
  <c r="J434" i="3"/>
  <c r="U434" i="3"/>
  <c r="M435" i="3"/>
  <c r="O440" i="5"/>
  <c r="I442" i="18" s="1"/>
  <c r="C441" i="19"/>
  <c r="G441" i="19" l="1"/>
  <c r="F441" i="19"/>
  <c r="J442" i="18"/>
  <c r="P440" i="5" s="1"/>
  <c r="Q437" i="3"/>
  <c r="M436" i="3"/>
  <c r="U435" i="3"/>
  <c r="J435" i="3"/>
  <c r="F436" i="3"/>
  <c r="C442" i="19"/>
  <c r="O441" i="5"/>
  <c r="I443" i="18" s="1"/>
  <c r="G442" i="19" l="1"/>
  <c r="F442" i="19"/>
  <c r="J443" i="18"/>
  <c r="P441" i="5" s="1"/>
  <c r="Q438" i="3"/>
  <c r="J436" i="3"/>
  <c r="F437" i="3"/>
  <c r="M437" i="3"/>
  <c r="U436" i="3"/>
  <c r="O442" i="5"/>
  <c r="I444" i="18" s="1"/>
  <c r="C443" i="19"/>
  <c r="G443" i="19" l="1"/>
  <c r="F443" i="19"/>
  <c r="J444" i="18"/>
  <c r="P442" i="5" s="1"/>
  <c r="Q439" i="3"/>
  <c r="M438" i="3"/>
  <c r="U437" i="3"/>
  <c r="J437" i="3"/>
  <c r="F438" i="3"/>
  <c r="C444" i="19"/>
  <c r="O443" i="5"/>
  <c r="I445" i="18" s="1"/>
  <c r="G444" i="19" l="1"/>
  <c r="F444" i="19"/>
  <c r="J445" i="18"/>
  <c r="P443" i="5" s="1"/>
  <c r="Q440" i="3"/>
  <c r="F439" i="3"/>
  <c r="J438" i="3"/>
  <c r="M439" i="3"/>
  <c r="U438" i="3"/>
  <c r="C445" i="19"/>
  <c r="O444" i="5"/>
  <c r="I446" i="18" s="1"/>
  <c r="G445" i="19" l="1"/>
  <c r="F445" i="19"/>
  <c r="J446" i="18"/>
  <c r="P444" i="5" s="1"/>
  <c r="Q441" i="3"/>
  <c r="M440" i="3"/>
  <c r="U439" i="3"/>
  <c r="J439" i="3"/>
  <c r="F440" i="3"/>
  <c r="O445" i="5"/>
  <c r="I447" i="18" s="1"/>
  <c r="C446" i="19"/>
  <c r="G446" i="19" l="1"/>
  <c r="F446" i="19"/>
  <c r="J447" i="18"/>
  <c r="P445" i="5" s="1"/>
  <c r="Q442" i="3"/>
  <c r="F441" i="3"/>
  <c r="J440" i="3"/>
  <c r="U440" i="3"/>
  <c r="M441" i="3"/>
  <c r="O446" i="5"/>
  <c r="I448" i="18" s="1"/>
  <c r="C447" i="19"/>
  <c r="G447" i="19" l="1"/>
  <c r="F447" i="19"/>
  <c r="J448" i="18"/>
  <c r="P446" i="5" s="1"/>
  <c r="Q443" i="3"/>
  <c r="M442" i="3"/>
  <c r="U441" i="3"/>
  <c r="J441" i="3"/>
  <c r="F442" i="3"/>
  <c r="C448" i="19"/>
  <c r="O447" i="5"/>
  <c r="I449" i="18" s="1"/>
  <c r="G448" i="19" l="1"/>
  <c r="F448" i="19"/>
  <c r="J449" i="18"/>
  <c r="P447" i="5" s="1"/>
  <c r="Q444" i="3"/>
  <c r="F443" i="3"/>
  <c r="J442" i="3"/>
  <c r="M443" i="3"/>
  <c r="U442" i="3"/>
  <c r="C449" i="19"/>
  <c r="O448" i="5"/>
  <c r="I450" i="18" s="1"/>
  <c r="G449" i="19" l="1"/>
  <c r="F449" i="19"/>
  <c r="J450" i="18"/>
  <c r="P448" i="5" s="1"/>
  <c r="Q445" i="3"/>
  <c r="M444" i="3"/>
  <c r="U443" i="3"/>
  <c r="J443" i="3"/>
  <c r="F444" i="3"/>
  <c r="C450" i="19"/>
  <c r="O449" i="5"/>
  <c r="I451" i="18" s="1"/>
  <c r="G450" i="19" l="1"/>
  <c r="F450" i="19"/>
  <c r="J451" i="18"/>
  <c r="P449" i="5" s="1"/>
  <c r="Q446" i="3"/>
  <c r="F445" i="3"/>
  <c r="J444" i="3"/>
  <c r="M445" i="3"/>
  <c r="U444" i="3"/>
  <c r="O450" i="5"/>
  <c r="I452" i="18" s="1"/>
  <c r="C451" i="19"/>
  <c r="G451" i="19" l="1"/>
  <c r="F451" i="19"/>
  <c r="J452" i="18"/>
  <c r="P450" i="5" s="1"/>
  <c r="Q447" i="3"/>
  <c r="M446" i="3"/>
  <c r="U445" i="3"/>
  <c r="F446" i="3"/>
  <c r="J445" i="3"/>
  <c r="O451" i="5"/>
  <c r="I453" i="18" s="1"/>
  <c r="C452" i="19"/>
  <c r="G452" i="19" l="1"/>
  <c r="F452" i="19"/>
  <c r="J453" i="18"/>
  <c r="P451" i="5" s="1"/>
  <c r="Q448" i="3"/>
  <c r="F447" i="3"/>
  <c r="J446" i="3"/>
  <c r="M447" i="3"/>
  <c r="U446" i="3"/>
  <c r="C453" i="19"/>
  <c r="O452" i="5"/>
  <c r="I454" i="18" s="1"/>
  <c r="G453" i="19" l="1"/>
  <c r="F453" i="19"/>
  <c r="J454" i="18"/>
  <c r="P452" i="5" s="1"/>
  <c r="Q449" i="3"/>
  <c r="M448" i="3"/>
  <c r="U447" i="3"/>
  <c r="F448" i="3"/>
  <c r="J447" i="3"/>
  <c r="O453" i="5"/>
  <c r="I455" i="18" s="1"/>
  <c r="C454" i="19"/>
  <c r="G454" i="19" l="1"/>
  <c r="F454" i="19"/>
  <c r="J455" i="18"/>
  <c r="P453" i="5" s="1"/>
  <c r="Q450" i="3"/>
  <c r="F449" i="3"/>
  <c r="J448" i="3"/>
  <c r="U448" i="3"/>
  <c r="M449" i="3"/>
  <c r="C455" i="19"/>
  <c r="O454" i="5"/>
  <c r="I456" i="18" s="1"/>
  <c r="G455" i="19" l="1"/>
  <c r="F455" i="19"/>
  <c r="J456" i="18"/>
  <c r="P454" i="5" s="1"/>
  <c r="Q451" i="3"/>
  <c r="M450" i="3"/>
  <c r="U449" i="3"/>
  <c r="J449" i="3"/>
  <c r="F450" i="3"/>
  <c r="C456" i="19"/>
  <c r="O455" i="5"/>
  <c r="I457" i="18" s="1"/>
  <c r="G456" i="19" l="1"/>
  <c r="F456" i="19"/>
  <c r="J457" i="18"/>
  <c r="P455" i="5" s="1"/>
  <c r="Q452" i="3"/>
  <c r="F451" i="3"/>
  <c r="J450" i="3"/>
  <c r="U450" i="3"/>
  <c r="M451" i="3"/>
  <c r="O456" i="5"/>
  <c r="I458" i="18" s="1"/>
  <c r="C457" i="19"/>
  <c r="G457" i="19" l="1"/>
  <c r="F457" i="19"/>
  <c r="J458" i="18"/>
  <c r="P456" i="5" s="1"/>
  <c r="Q453" i="3"/>
  <c r="M452" i="3"/>
  <c r="U451" i="3"/>
  <c r="J451" i="3"/>
  <c r="F452" i="3"/>
  <c r="C458" i="19"/>
  <c r="O457" i="5"/>
  <c r="I459" i="18" s="1"/>
  <c r="G458" i="19" l="1"/>
  <c r="F458" i="19"/>
  <c r="J459" i="18"/>
  <c r="P457" i="5" s="1"/>
  <c r="Q454" i="3"/>
  <c r="F453" i="3"/>
  <c r="J452" i="3"/>
  <c r="M453" i="3"/>
  <c r="U452" i="3"/>
  <c r="O458" i="5"/>
  <c r="I460" i="18" s="1"/>
  <c r="C459" i="19"/>
  <c r="G459" i="19" l="1"/>
  <c r="F459" i="19"/>
  <c r="J460" i="18"/>
  <c r="P458" i="5" s="1"/>
  <c r="Q455" i="3"/>
  <c r="M454" i="3"/>
  <c r="U453" i="3"/>
  <c r="F454" i="3"/>
  <c r="J453" i="3"/>
  <c r="C460" i="19"/>
  <c r="O459" i="5"/>
  <c r="I461" i="18" s="1"/>
  <c r="G460" i="19" l="1"/>
  <c r="F460" i="19"/>
  <c r="J461" i="18"/>
  <c r="P459" i="5" s="1"/>
  <c r="Q456" i="3"/>
  <c r="F455" i="3"/>
  <c r="J454" i="3"/>
  <c r="U454" i="3"/>
  <c r="M455" i="3"/>
  <c r="O460" i="5"/>
  <c r="I462" i="18" s="1"/>
  <c r="C461" i="19"/>
  <c r="G461" i="19" l="1"/>
  <c r="F461" i="19"/>
  <c r="J462" i="18"/>
  <c r="P460" i="5" s="1"/>
  <c r="Q457" i="3"/>
  <c r="M456" i="3"/>
  <c r="U455" i="3"/>
  <c r="F456" i="3"/>
  <c r="J455" i="3"/>
  <c r="C462" i="19"/>
  <c r="O461" i="5"/>
  <c r="I463" i="18" s="1"/>
  <c r="G462" i="19" l="1"/>
  <c r="F462" i="19"/>
  <c r="J463" i="18"/>
  <c r="P461" i="5" s="1"/>
  <c r="Q458" i="3"/>
  <c r="F457" i="3"/>
  <c r="J456" i="3"/>
  <c r="U456" i="3"/>
  <c r="M457" i="3"/>
  <c r="O462" i="5"/>
  <c r="I464" i="18" s="1"/>
  <c r="C463" i="19"/>
  <c r="G463" i="19" l="1"/>
  <c r="F463" i="19"/>
  <c r="J464" i="18"/>
  <c r="P462" i="5" s="1"/>
  <c r="Q459" i="3"/>
  <c r="M458" i="3"/>
  <c r="U457" i="3"/>
  <c r="J457" i="3"/>
  <c r="F458" i="3"/>
  <c r="O463" i="5"/>
  <c r="I465" i="18" s="1"/>
  <c r="C464" i="19"/>
  <c r="G464" i="19" l="1"/>
  <c r="F464" i="19"/>
  <c r="J465" i="18"/>
  <c r="P463" i="5" s="1"/>
  <c r="Q460" i="3"/>
  <c r="F459" i="3"/>
  <c r="J458" i="3"/>
  <c r="U458" i="3"/>
  <c r="M459" i="3"/>
  <c r="O464" i="5"/>
  <c r="I466" i="18" s="1"/>
  <c r="C465" i="19"/>
  <c r="G465" i="19" l="1"/>
  <c r="F465" i="19"/>
  <c r="J466" i="18"/>
  <c r="P464" i="5" s="1"/>
  <c r="Q461" i="3"/>
  <c r="M460" i="3"/>
  <c r="U459" i="3"/>
  <c r="F460" i="3"/>
  <c r="J459" i="3"/>
  <c r="C466" i="19"/>
  <c r="O465" i="5"/>
  <c r="I467" i="18" s="1"/>
  <c r="G466" i="19" l="1"/>
  <c r="F466" i="19"/>
  <c r="J467" i="18"/>
  <c r="P465" i="5" s="1"/>
  <c r="Q462" i="3"/>
  <c r="F461" i="3"/>
  <c r="J460" i="3"/>
  <c r="U460" i="3"/>
  <c r="M461" i="3"/>
  <c r="C467" i="19"/>
  <c r="O466" i="5"/>
  <c r="I468" i="18" s="1"/>
  <c r="G467" i="19" l="1"/>
  <c r="F467" i="19"/>
  <c r="J468" i="18"/>
  <c r="P466" i="5" s="1"/>
  <c r="Q463" i="3"/>
  <c r="M462" i="3"/>
  <c r="U461" i="3"/>
  <c r="J461" i="3"/>
  <c r="F462" i="3"/>
  <c r="C468" i="19"/>
  <c r="O467" i="5"/>
  <c r="I469" i="18" s="1"/>
  <c r="G468" i="19" l="1"/>
  <c r="F468" i="19"/>
  <c r="J469" i="18"/>
  <c r="P467" i="5" s="1"/>
  <c r="Q464" i="3"/>
  <c r="F463" i="3"/>
  <c r="J462" i="3"/>
  <c r="U462" i="3"/>
  <c r="M463" i="3"/>
  <c r="O468" i="5"/>
  <c r="I470" i="18" s="1"/>
  <c r="C469" i="19"/>
  <c r="G469" i="19" l="1"/>
  <c r="F469" i="19"/>
  <c r="J470" i="18"/>
  <c r="P468" i="5" s="1"/>
  <c r="Q465" i="3"/>
  <c r="M464" i="3"/>
  <c r="U463" i="3"/>
  <c r="J463" i="3"/>
  <c r="F464" i="3"/>
  <c r="C470" i="19"/>
  <c r="O469" i="5"/>
  <c r="I471" i="18" s="1"/>
  <c r="G470" i="19" l="1"/>
  <c r="F470" i="19"/>
  <c r="J471" i="18"/>
  <c r="P469" i="5" s="1"/>
  <c r="Q466" i="3"/>
  <c r="F465" i="3"/>
  <c r="J464" i="3"/>
  <c r="U464" i="3"/>
  <c r="M465" i="3"/>
  <c r="C471" i="19"/>
  <c r="O470" i="5"/>
  <c r="I472" i="18" s="1"/>
  <c r="G471" i="19" l="1"/>
  <c r="F471" i="19"/>
  <c r="J472" i="18"/>
  <c r="P470" i="5" s="1"/>
  <c r="Q467" i="3"/>
  <c r="M466" i="3"/>
  <c r="U465" i="3"/>
  <c r="J465" i="3"/>
  <c r="F466" i="3"/>
  <c r="O471" i="5"/>
  <c r="I473" i="18" s="1"/>
  <c r="C472" i="19"/>
  <c r="G472" i="19" l="1"/>
  <c r="F472" i="19"/>
  <c r="J473" i="18"/>
  <c r="P471" i="5" s="1"/>
  <c r="Q468" i="3"/>
  <c r="F467" i="3"/>
  <c r="J466" i="3"/>
  <c r="U466" i="3"/>
  <c r="M467" i="3"/>
  <c r="C473" i="19"/>
  <c r="O472" i="5"/>
  <c r="I474" i="18" s="1"/>
  <c r="G473" i="19" l="1"/>
  <c r="F473" i="19"/>
  <c r="J474" i="18"/>
  <c r="P472" i="5" s="1"/>
  <c r="Q469" i="3"/>
  <c r="M468" i="3"/>
  <c r="U467" i="3"/>
  <c r="F468" i="3"/>
  <c r="J467" i="3"/>
  <c r="O473" i="5"/>
  <c r="I475" i="18" s="1"/>
  <c r="C474" i="19"/>
  <c r="G474" i="19" l="1"/>
  <c r="F474" i="19"/>
  <c r="J475" i="18"/>
  <c r="P473" i="5" s="1"/>
  <c r="Q470" i="3"/>
  <c r="F469" i="3"/>
  <c r="J468" i="3"/>
  <c r="M469" i="3"/>
  <c r="U468" i="3"/>
  <c r="O474" i="5"/>
  <c r="I476" i="18" s="1"/>
  <c r="C475" i="19"/>
  <c r="G475" i="19" l="1"/>
  <c r="F475" i="19"/>
  <c r="J476" i="18"/>
  <c r="P474" i="5" s="1"/>
  <c r="Q471" i="3"/>
  <c r="M470" i="3"/>
  <c r="U469" i="3"/>
  <c r="J469" i="3"/>
  <c r="F470" i="3"/>
  <c r="C476" i="19"/>
  <c r="O475" i="5"/>
  <c r="I477" i="18" s="1"/>
  <c r="G476" i="19" l="1"/>
  <c r="F476" i="19"/>
  <c r="J477" i="18"/>
  <c r="P475" i="5" s="1"/>
  <c r="Q472" i="3"/>
  <c r="F471" i="3"/>
  <c r="J470" i="3"/>
  <c r="U470" i="3"/>
  <c r="M471" i="3"/>
  <c r="C477" i="19"/>
  <c r="O476" i="5"/>
  <c r="I478" i="18" s="1"/>
  <c r="G477" i="19" l="1"/>
  <c r="F477" i="19"/>
  <c r="J478" i="18"/>
  <c r="P476" i="5" s="1"/>
  <c r="Q473" i="3"/>
  <c r="M472" i="3"/>
  <c r="U471" i="3"/>
  <c r="J471" i="3"/>
  <c r="F472" i="3"/>
  <c r="O477" i="5"/>
  <c r="I479" i="18" s="1"/>
  <c r="C478" i="19"/>
  <c r="G478" i="19" l="1"/>
  <c r="F478" i="19"/>
  <c r="J479" i="18"/>
  <c r="P477" i="5" s="1"/>
  <c r="Q474" i="3"/>
  <c r="F473" i="3"/>
  <c r="J472" i="3"/>
  <c r="M473" i="3"/>
  <c r="U472" i="3"/>
  <c r="C479" i="19"/>
  <c r="O478" i="5"/>
  <c r="I480" i="18" s="1"/>
  <c r="G479" i="19" l="1"/>
  <c r="F479" i="19"/>
  <c r="J480" i="18"/>
  <c r="P478" i="5" s="1"/>
  <c r="Q475" i="3"/>
  <c r="M474" i="3"/>
  <c r="U473" i="3"/>
  <c r="F474" i="3"/>
  <c r="J473" i="3"/>
  <c r="C480" i="19"/>
  <c r="O479" i="5"/>
  <c r="I481" i="18" s="1"/>
  <c r="G480" i="19" l="1"/>
  <c r="F480" i="19"/>
  <c r="J481" i="18"/>
  <c r="P479" i="5" s="1"/>
  <c r="Q476" i="3"/>
  <c r="F475" i="3"/>
  <c r="J474" i="3"/>
  <c r="U474" i="3"/>
  <c r="M475" i="3"/>
  <c r="C481" i="19"/>
  <c r="O480" i="5"/>
  <c r="I482" i="18" s="1"/>
  <c r="G481" i="19" l="1"/>
  <c r="F481" i="19"/>
  <c r="J482" i="18"/>
  <c r="P480" i="5" s="1"/>
  <c r="Q477" i="3"/>
  <c r="M476" i="3"/>
  <c r="U475" i="3"/>
  <c r="F476" i="3"/>
  <c r="J475" i="3"/>
  <c r="O481" i="5"/>
  <c r="I483" i="18" s="1"/>
  <c r="C482" i="19"/>
  <c r="G482" i="19" l="1"/>
  <c r="F482" i="19"/>
  <c r="J483" i="18"/>
  <c r="P481" i="5" s="1"/>
  <c r="Q478" i="3"/>
  <c r="F477" i="3"/>
  <c r="J476" i="3"/>
  <c r="U476" i="3"/>
  <c r="M477" i="3"/>
  <c r="C483" i="19"/>
  <c r="O482" i="5"/>
  <c r="I484" i="18" s="1"/>
  <c r="G483" i="19" l="1"/>
  <c r="F483" i="19"/>
  <c r="J484" i="18"/>
  <c r="P482" i="5" s="1"/>
  <c r="Q479" i="3"/>
  <c r="M478" i="3"/>
  <c r="U477" i="3"/>
  <c r="F478" i="3"/>
  <c r="J477" i="3"/>
  <c r="C484" i="19"/>
  <c r="O483" i="5"/>
  <c r="I485" i="18" s="1"/>
  <c r="G484" i="19" l="1"/>
  <c r="F484" i="19"/>
  <c r="J485" i="18"/>
  <c r="P483" i="5" s="1"/>
  <c r="Q480" i="3"/>
  <c r="F479" i="3"/>
  <c r="J478" i="3"/>
  <c r="M479" i="3"/>
  <c r="U478" i="3"/>
  <c r="O484" i="5"/>
  <c r="I486" i="18" s="1"/>
  <c r="C485" i="19"/>
  <c r="G485" i="19" l="1"/>
  <c r="F485" i="19"/>
  <c r="J486" i="18"/>
  <c r="P484" i="5" s="1"/>
  <c r="Q481" i="3"/>
  <c r="M480" i="3"/>
  <c r="U479" i="3"/>
  <c r="F480" i="3"/>
  <c r="J479" i="3"/>
  <c r="C486" i="19"/>
  <c r="O485" i="5"/>
  <c r="I487" i="18" s="1"/>
  <c r="G486" i="19" l="1"/>
  <c r="F486" i="19"/>
  <c r="J487" i="18"/>
  <c r="P485" i="5" s="1"/>
  <c r="Q482" i="3"/>
  <c r="F481" i="3"/>
  <c r="J480" i="3"/>
  <c r="M481" i="3"/>
  <c r="U480" i="3"/>
  <c r="O486" i="5"/>
  <c r="I488" i="18" s="1"/>
  <c r="C487" i="19"/>
  <c r="G487" i="19" l="1"/>
  <c r="F487" i="19"/>
  <c r="J488" i="18"/>
  <c r="P486" i="5" s="1"/>
  <c r="Q483" i="3"/>
  <c r="M482" i="3"/>
  <c r="U481" i="3"/>
  <c r="J481" i="3"/>
  <c r="F482" i="3"/>
  <c r="C488" i="19"/>
  <c r="O487" i="5"/>
  <c r="I489" i="18" s="1"/>
  <c r="G488" i="19" l="1"/>
  <c r="F488" i="19"/>
  <c r="J489" i="18"/>
  <c r="P487" i="5" s="1"/>
  <c r="Q484" i="3"/>
  <c r="F483" i="3"/>
  <c r="J482" i="3"/>
  <c r="M483" i="3"/>
  <c r="U482" i="3"/>
  <c r="C489" i="19"/>
  <c r="O488" i="5"/>
  <c r="I490" i="18" s="1"/>
  <c r="G489" i="19" l="1"/>
  <c r="F489" i="19"/>
  <c r="J490" i="18"/>
  <c r="P488" i="5" s="1"/>
  <c r="Q485" i="3"/>
  <c r="M484" i="3"/>
  <c r="U483" i="3"/>
  <c r="F484" i="3"/>
  <c r="J483" i="3"/>
  <c r="C490" i="19"/>
  <c r="O489" i="5"/>
  <c r="I491" i="18" s="1"/>
  <c r="G490" i="19" l="1"/>
  <c r="F490" i="19"/>
  <c r="J491" i="18"/>
  <c r="P489" i="5" s="1"/>
  <c r="Q486" i="3"/>
  <c r="F485" i="3"/>
  <c r="J484" i="3"/>
  <c r="M485" i="3"/>
  <c r="U484" i="3"/>
  <c r="O490" i="5"/>
  <c r="I492" i="18" s="1"/>
  <c r="C491" i="19"/>
  <c r="G491" i="19" l="1"/>
  <c r="F491" i="19"/>
  <c r="J492" i="18"/>
  <c r="P490" i="5" s="1"/>
  <c r="Q487" i="3"/>
  <c r="M486" i="3"/>
  <c r="U485" i="3"/>
  <c r="J485" i="3"/>
  <c r="F486" i="3"/>
  <c r="O491" i="5"/>
  <c r="I493" i="18" s="1"/>
  <c r="C492" i="19"/>
  <c r="G492" i="19" l="1"/>
  <c r="F492" i="19"/>
  <c r="J493" i="18"/>
  <c r="P491" i="5" s="1"/>
  <c r="Q488" i="3"/>
  <c r="F487" i="3"/>
  <c r="J486" i="3"/>
  <c r="M487" i="3"/>
  <c r="U486" i="3"/>
  <c r="C493" i="19"/>
  <c r="O492" i="5"/>
  <c r="I494" i="18" s="1"/>
  <c r="G493" i="19" l="1"/>
  <c r="F493" i="19"/>
  <c r="J494" i="18"/>
  <c r="P492" i="5" s="1"/>
  <c r="Q489" i="3"/>
  <c r="M488" i="3"/>
  <c r="U487" i="3"/>
  <c r="F488" i="3"/>
  <c r="J487" i="3"/>
  <c r="C494" i="19"/>
  <c r="O493" i="5"/>
  <c r="I495" i="18" s="1"/>
  <c r="G494" i="19" l="1"/>
  <c r="F494" i="19"/>
  <c r="J495" i="18"/>
  <c r="P493" i="5" s="1"/>
  <c r="Q490" i="3"/>
  <c r="F489" i="3"/>
  <c r="J488" i="3"/>
  <c r="U488" i="3"/>
  <c r="M489" i="3"/>
  <c r="C495" i="19"/>
  <c r="O494" i="5"/>
  <c r="I496" i="18" s="1"/>
  <c r="G495" i="19" l="1"/>
  <c r="F495" i="19"/>
  <c r="J496" i="18"/>
  <c r="P494" i="5" s="1"/>
  <c r="Q491" i="3"/>
  <c r="M490" i="3"/>
  <c r="U489" i="3"/>
  <c r="F490" i="3"/>
  <c r="J489" i="3"/>
  <c r="O495" i="5"/>
  <c r="I497" i="18" s="1"/>
  <c r="C496" i="19"/>
  <c r="G496" i="19" l="1"/>
  <c r="F496" i="19"/>
  <c r="J497" i="18"/>
  <c r="P495" i="5" s="1"/>
  <c r="Q492" i="3"/>
  <c r="F491" i="3"/>
  <c r="J490" i="3"/>
  <c r="U490" i="3"/>
  <c r="M491" i="3"/>
  <c r="O496" i="5"/>
  <c r="I498" i="18" s="1"/>
  <c r="C497" i="19"/>
  <c r="G497" i="19" l="1"/>
  <c r="F497" i="19"/>
  <c r="J498" i="18"/>
  <c r="P496" i="5" s="1"/>
  <c r="Q493" i="3"/>
  <c r="M492" i="3"/>
  <c r="U491" i="3"/>
  <c r="F492" i="3"/>
  <c r="J491" i="3"/>
  <c r="O497" i="5"/>
  <c r="I499" i="18" s="1"/>
  <c r="C498" i="19"/>
  <c r="G498" i="19" l="1"/>
  <c r="F498" i="19"/>
  <c r="J499" i="18"/>
  <c r="P497" i="5" s="1"/>
  <c r="Q494" i="3"/>
  <c r="F493" i="3"/>
  <c r="J492" i="3"/>
  <c r="M493" i="3"/>
  <c r="U492" i="3"/>
  <c r="O498" i="5"/>
  <c r="I500" i="18" s="1"/>
  <c r="C499" i="19"/>
  <c r="G499" i="19" l="1"/>
  <c r="F499" i="19"/>
  <c r="J500" i="18"/>
  <c r="P498" i="5" s="1"/>
  <c r="Q495" i="3"/>
  <c r="M494" i="3"/>
  <c r="U493" i="3"/>
  <c r="F494" i="3"/>
  <c r="J493" i="3"/>
  <c r="C500" i="19"/>
  <c r="O499" i="5"/>
  <c r="I501" i="18" s="1"/>
  <c r="G500" i="19" l="1"/>
  <c r="F500" i="19"/>
  <c r="J501" i="18"/>
  <c r="P499" i="5" s="1"/>
  <c r="Q496" i="3"/>
  <c r="F495" i="3"/>
  <c r="J494" i="3"/>
  <c r="U494" i="3"/>
  <c r="M495" i="3"/>
  <c r="O500" i="5"/>
  <c r="I502" i="18" s="1"/>
  <c r="C501" i="19"/>
  <c r="G501" i="19" l="1"/>
  <c r="F501" i="19"/>
  <c r="J502" i="18"/>
  <c r="P500" i="5" s="1"/>
  <c r="Q497" i="3"/>
  <c r="M496" i="3"/>
  <c r="U495" i="3"/>
  <c r="F496" i="3"/>
  <c r="J495" i="3"/>
  <c r="C502" i="19"/>
  <c r="O501" i="5"/>
  <c r="I503" i="18" s="1"/>
  <c r="G502" i="19" l="1"/>
  <c r="F502" i="19"/>
  <c r="J503" i="18"/>
  <c r="P501" i="5" s="1"/>
  <c r="Q498" i="3"/>
  <c r="F497" i="3"/>
  <c r="J496" i="3"/>
  <c r="M497" i="3"/>
  <c r="U496" i="3"/>
  <c r="O502" i="5"/>
  <c r="I504" i="18" s="1"/>
  <c r="C503" i="19"/>
  <c r="G503" i="19" l="1"/>
  <c r="F503" i="19"/>
  <c r="J504" i="18"/>
  <c r="P502" i="5" s="1"/>
  <c r="Q499" i="3"/>
  <c r="M498" i="3"/>
  <c r="U497" i="3"/>
  <c r="F498" i="3"/>
  <c r="J497" i="3"/>
  <c r="O503" i="5"/>
  <c r="I505" i="18" s="1"/>
  <c r="C504" i="19"/>
  <c r="G504" i="19" l="1"/>
  <c r="F504" i="19"/>
  <c r="J505" i="18"/>
  <c r="P503" i="5" s="1"/>
  <c r="Q500" i="3"/>
  <c r="F499" i="3"/>
  <c r="J498" i="3"/>
  <c r="M499" i="3"/>
  <c r="U498" i="3"/>
  <c r="O504" i="5"/>
  <c r="I506" i="18" s="1"/>
  <c r="C505" i="19"/>
  <c r="G505" i="19" l="1"/>
  <c r="F505" i="19"/>
  <c r="J506" i="18"/>
  <c r="P504" i="5" s="1"/>
  <c r="Q501" i="3"/>
  <c r="M500" i="3"/>
  <c r="U499" i="3"/>
  <c r="F500" i="3"/>
  <c r="J499" i="3"/>
  <c r="O505" i="5"/>
  <c r="I507" i="18" s="1"/>
  <c r="C506" i="19"/>
  <c r="G506" i="19" l="1"/>
  <c r="F506" i="19"/>
  <c r="J507" i="18"/>
  <c r="P505" i="5" s="1"/>
  <c r="Q502" i="3"/>
  <c r="F501" i="3"/>
  <c r="J500" i="3"/>
  <c r="M501" i="3"/>
  <c r="U500" i="3"/>
  <c r="C507" i="19"/>
  <c r="O506" i="5"/>
  <c r="I508" i="18" s="1"/>
  <c r="G507" i="19" l="1"/>
  <c r="F507" i="19"/>
  <c r="J508" i="18"/>
  <c r="P506" i="5" s="1"/>
  <c r="Q503" i="3"/>
  <c r="M502" i="3"/>
  <c r="U501" i="3"/>
  <c r="F502" i="3"/>
  <c r="J501" i="3"/>
  <c r="C508" i="19"/>
  <c r="O507" i="5"/>
  <c r="I509" i="18" s="1"/>
  <c r="G508" i="19" l="1"/>
  <c r="F508" i="19"/>
  <c r="J509" i="18"/>
  <c r="P507" i="5" s="1"/>
  <c r="Q504" i="3"/>
  <c r="F503" i="3"/>
  <c r="J502" i="3"/>
  <c r="M503" i="3"/>
  <c r="U502" i="3"/>
  <c r="O508" i="5"/>
  <c r="I510" i="18" s="1"/>
  <c r="C509" i="19"/>
  <c r="G509" i="19" l="1"/>
  <c r="F509" i="19"/>
  <c r="J510" i="18"/>
  <c r="P508" i="5" s="1"/>
  <c r="Q505" i="3"/>
  <c r="M504" i="3"/>
  <c r="U503" i="3"/>
  <c r="F504" i="3"/>
  <c r="J503" i="3"/>
  <c r="C510" i="19"/>
  <c r="O509" i="5"/>
  <c r="I511" i="18" s="1"/>
  <c r="G510" i="19" l="1"/>
  <c r="F510" i="19"/>
  <c r="J511" i="18"/>
  <c r="P509" i="5" s="1"/>
  <c r="Q506" i="3"/>
  <c r="F505" i="3"/>
  <c r="J504" i="3"/>
  <c r="U504" i="3"/>
  <c r="M505" i="3"/>
  <c r="O510" i="5"/>
  <c r="I512" i="18" s="1"/>
  <c r="C511" i="19"/>
  <c r="G511" i="19" l="1"/>
  <c r="F511" i="19"/>
  <c r="J512" i="18"/>
  <c r="P510" i="5" s="1"/>
  <c r="Q507" i="3"/>
  <c r="M506" i="3"/>
  <c r="U505" i="3"/>
  <c r="F506" i="3"/>
  <c r="J505" i="3"/>
  <c r="O511" i="5"/>
  <c r="I513" i="18" s="1"/>
  <c r="C512" i="19"/>
  <c r="G512" i="19" l="1"/>
  <c r="F512" i="19"/>
  <c r="J513" i="18"/>
  <c r="P511" i="5" s="1"/>
  <c r="Q508" i="3"/>
  <c r="F507" i="3"/>
  <c r="J506" i="3"/>
  <c r="M507" i="3"/>
  <c r="U506" i="3"/>
  <c r="O512" i="5"/>
  <c r="I514" i="18" s="1"/>
  <c r="C513" i="19"/>
  <c r="G513" i="19" l="1"/>
  <c r="F513" i="19"/>
  <c r="J514" i="18"/>
  <c r="P512" i="5" s="1"/>
  <c r="Q509" i="3"/>
  <c r="M508" i="3"/>
  <c r="U507" i="3"/>
  <c r="J507" i="3"/>
  <c r="F508" i="3"/>
  <c r="C514" i="19"/>
  <c r="O513" i="5"/>
  <c r="I515" i="18" s="1"/>
  <c r="G514" i="19" l="1"/>
  <c r="F514" i="19"/>
  <c r="J515" i="18"/>
  <c r="P513" i="5" s="1"/>
  <c r="Q510" i="3"/>
  <c r="F509" i="3"/>
  <c r="J508" i="3"/>
  <c r="U508" i="3"/>
  <c r="M509" i="3"/>
  <c r="C515" i="19"/>
  <c r="O514" i="5"/>
  <c r="I516" i="18" s="1"/>
  <c r="G515" i="19" l="1"/>
  <c r="F515" i="19"/>
  <c r="J516" i="18"/>
  <c r="P514" i="5" s="1"/>
  <c r="Q511" i="3"/>
  <c r="M510" i="3"/>
  <c r="U509" i="3"/>
  <c r="F510" i="3"/>
  <c r="J509" i="3"/>
  <c r="O515" i="5"/>
  <c r="I517" i="18" s="1"/>
  <c r="C516" i="19"/>
  <c r="G516" i="19" l="1"/>
  <c r="F516" i="19"/>
  <c r="J517" i="18"/>
  <c r="P515" i="5" s="1"/>
  <c r="Q512" i="3"/>
  <c r="F511" i="3"/>
  <c r="J510" i="3"/>
  <c r="M511" i="3"/>
  <c r="U510" i="3"/>
  <c r="C517" i="19"/>
  <c r="O516" i="5"/>
  <c r="I518" i="18" s="1"/>
  <c r="G517" i="19" l="1"/>
  <c r="F517" i="19"/>
  <c r="J518" i="18"/>
  <c r="P516" i="5" s="1"/>
  <c r="Q513" i="3"/>
  <c r="M512" i="3"/>
  <c r="U511" i="3"/>
  <c r="J511" i="3"/>
  <c r="F512" i="3"/>
  <c r="C518" i="19"/>
  <c r="O517" i="5"/>
  <c r="I519" i="18" s="1"/>
  <c r="G518" i="19" l="1"/>
  <c r="F518" i="19"/>
  <c r="J519" i="18"/>
  <c r="P517" i="5" s="1"/>
  <c r="Q514" i="3"/>
  <c r="F513" i="3"/>
  <c r="J512" i="3"/>
  <c r="M513" i="3"/>
  <c r="U512" i="3"/>
  <c r="O518" i="5"/>
  <c r="I520" i="18" s="1"/>
  <c r="C519" i="19"/>
  <c r="G519" i="19" l="1"/>
  <c r="F519" i="19"/>
  <c r="J520" i="18"/>
  <c r="P518" i="5" s="1"/>
  <c r="Q515" i="3"/>
  <c r="M514" i="3"/>
  <c r="U513" i="3"/>
  <c r="F514" i="3"/>
  <c r="J513" i="3"/>
  <c r="C520" i="19"/>
  <c r="O519" i="5"/>
  <c r="I521" i="18" s="1"/>
  <c r="G520" i="19" l="1"/>
  <c r="F520" i="19"/>
  <c r="J521" i="18"/>
  <c r="P519" i="5" s="1"/>
  <c r="Q516" i="3"/>
  <c r="F515" i="3"/>
  <c r="J514" i="3"/>
  <c r="M515" i="3"/>
  <c r="U514" i="3"/>
  <c r="O520" i="5"/>
  <c r="I522" i="18" s="1"/>
  <c r="C521" i="19"/>
  <c r="G521" i="19" l="1"/>
  <c r="F521" i="19"/>
  <c r="J522" i="18"/>
  <c r="P520" i="5" s="1"/>
  <c r="Q517" i="3"/>
  <c r="M516" i="3"/>
  <c r="U515" i="3"/>
  <c r="F516" i="3"/>
  <c r="J515" i="3"/>
  <c r="C522" i="19"/>
  <c r="O521" i="5"/>
  <c r="I523" i="18" s="1"/>
  <c r="G522" i="19" l="1"/>
  <c r="F522" i="19"/>
  <c r="J523" i="18"/>
  <c r="P521" i="5" s="1"/>
  <c r="Q518" i="3"/>
  <c r="F517" i="3"/>
  <c r="J516" i="3"/>
  <c r="M517" i="3"/>
  <c r="U516" i="3"/>
  <c r="O522" i="5"/>
  <c r="I524" i="18" s="1"/>
  <c r="C523" i="19"/>
  <c r="G523" i="19" l="1"/>
  <c r="F523" i="19"/>
  <c r="J524" i="18"/>
  <c r="P522" i="5" s="1"/>
  <c r="Q519" i="3"/>
  <c r="M518" i="3"/>
  <c r="U517" i="3"/>
  <c r="F518" i="3"/>
  <c r="J517" i="3"/>
  <c r="O523" i="5"/>
  <c r="I525" i="18" s="1"/>
  <c r="C524" i="19"/>
  <c r="G524" i="19" l="1"/>
  <c r="F524" i="19"/>
  <c r="J525" i="18"/>
  <c r="P523" i="5" s="1"/>
  <c r="Q520" i="3"/>
  <c r="F519" i="3"/>
  <c r="J518" i="3"/>
  <c r="M519" i="3"/>
  <c r="U518" i="3"/>
  <c r="O524" i="5"/>
  <c r="I526" i="18" s="1"/>
  <c r="C525" i="19"/>
  <c r="G525" i="19" l="1"/>
  <c r="F525" i="19"/>
  <c r="J526" i="18"/>
  <c r="P524" i="5" s="1"/>
  <c r="Q521" i="3"/>
  <c r="M520" i="3"/>
  <c r="U519" i="3"/>
  <c r="J519" i="3"/>
  <c r="F520" i="3"/>
  <c r="C526" i="19"/>
  <c r="O525" i="5"/>
  <c r="I527" i="18" s="1"/>
  <c r="G526" i="19" l="1"/>
  <c r="F526" i="19"/>
  <c r="J527" i="18"/>
  <c r="P525" i="5" s="1"/>
  <c r="Q522" i="3"/>
  <c r="F521" i="3"/>
  <c r="J520" i="3"/>
  <c r="M521" i="3"/>
  <c r="U520" i="3"/>
  <c r="O526" i="5"/>
  <c r="I528" i="18" s="1"/>
  <c r="C527" i="19"/>
  <c r="G527" i="19" l="1"/>
  <c r="F527" i="19"/>
  <c r="J528" i="18"/>
  <c r="P526" i="5" s="1"/>
  <c r="Q523" i="3"/>
  <c r="M522" i="3"/>
  <c r="U521" i="3"/>
  <c r="F522" i="3"/>
  <c r="J521" i="3"/>
  <c r="O527" i="5"/>
  <c r="I529" i="18" s="1"/>
  <c r="C528" i="19"/>
  <c r="G528" i="19" l="1"/>
  <c r="F528" i="19"/>
  <c r="J529" i="18"/>
  <c r="P527" i="5" s="1"/>
  <c r="Q524" i="3"/>
  <c r="F523" i="3"/>
  <c r="J522" i="3"/>
  <c r="M523" i="3"/>
  <c r="U522" i="3"/>
  <c r="C529" i="19"/>
  <c r="O528" i="5"/>
  <c r="I530" i="18" s="1"/>
  <c r="G529" i="19" l="1"/>
  <c r="F529" i="19"/>
  <c r="J530" i="18"/>
  <c r="P528" i="5" s="1"/>
  <c r="Q525" i="3"/>
  <c r="M524" i="3"/>
  <c r="U523" i="3"/>
  <c r="J523" i="3"/>
  <c r="F524" i="3"/>
  <c r="C530" i="19"/>
  <c r="O529" i="5"/>
  <c r="I531" i="18" s="1"/>
  <c r="G530" i="19" l="1"/>
  <c r="F530" i="19"/>
  <c r="J531" i="18"/>
  <c r="P529" i="5" s="1"/>
  <c r="Q526" i="3"/>
  <c r="F525" i="3"/>
  <c r="J524" i="3"/>
  <c r="M525" i="3"/>
  <c r="U524" i="3"/>
  <c r="O530" i="5"/>
  <c r="I532" i="18" s="1"/>
  <c r="C531" i="19"/>
  <c r="G531" i="19" l="1"/>
  <c r="F531" i="19"/>
  <c r="J532" i="18"/>
  <c r="P530" i="5" s="1"/>
  <c r="Q527" i="3"/>
  <c r="M526" i="3"/>
  <c r="U525" i="3"/>
  <c r="F526" i="3"/>
  <c r="J525" i="3"/>
  <c r="C532" i="19"/>
  <c r="O531" i="5"/>
  <c r="I533" i="18" s="1"/>
  <c r="G532" i="19" l="1"/>
  <c r="F532" i="19"/>
  <c r="J533" i="18"/>
  <c r="P531" i="5" s="1"/>
  <c r="Q528" i="3"/>
  <c r="F527" i="3"/>
  <c r="J526" i="3"/>
  <c r="M527" i="3"/>
  <c r="U526" i="3"/>
  <c r="O532" i="5"/>
  <c r="I534" i="18" s="1"/>
  <c r="C533" i="19"/>
  <c r="G533" i="19" l="1"/>
  <c r="F533" i="19"/>
  <c r="J534" i="18"/>
  <c r="P532" i="5" s="1"/>
  <c r="Q529" i="3"/>
  <c r="M528" i="3"/>
  <c r="U527" i="3"/>
  <c r="F528" i="3"/>
  <c r="J527" i="3"/>
  <c r="C534" i="19"/>
  <c r="O533" i="5"/>
  <c r="I535" i="18" s="1"/>
  <c r="G534" i="19" l="1"/>
  <c r="F534" i="19"/>
  <c r="J535" i="18"/>
  <c r="P533" i="5" s="1"/>
  <c r="Q530" i="3"/>
  <c r="F529" i="3"/>
  <c r="J528" i="3"/>
  <c r="M529" i="3"/>
  <c r="U528" i="3"/>
  <c r="C535" i="19"/>
  <c r="O534" i="5"/>
  <c r="I536" i="18" s="1"/>
  <c r="G535" i="19" l="1"/>
  <c r="F535" i="19"/>
  <c r="J536" i="18"/>
  <c r="P534" i="5" s="1"/>
  <c r="Q531" i="3"/>
  <c r="M530" i="3"/>
  <c r="U529" i="3"/>
  <c r="F530" i="3"/>
  <c r="J529" i="3"/>
  <c r="O535" i="5"/>
  <c r="I537" i="18" s="1"/>
  <c r="C536" i="19"/>
  <c r="G536" i="19" l="1"/>
  <c r="F536" i="19"/>
  <c r="J537" i="18"/>
  <c r="P535" i="5" s="1"/>
  <c r="Q532" i="3"/>
  <c r="F531" i="3"/>
  <c r="J530" i="3"/>
  <c r="U530" i="3"/>
  <c r="M531" i="3"/>
  <c r="C537" i="19"/>
  <c r="O536" i="5"/>
  <c r="I538" i="18" s="1"/>
  <c r="G537" i="19" l="1"/>
  <c r="F537" i="19"/>
  <c r="J538" i="18"/>
  <c r="P536" i="5" s="1"/>
  <c r="Q533" i="3"/>
  <c r="M532" i="3"/>
  <c r="U531" i="3"/>
  <c r="F532" i="3"/>
  <c r="J531" i="3"/>
  <c r="O537" i="5"/>
  <c r="I539" i="18" s="1"/>
  <c r="C538" i="19"/>
  <c r="G538" i="19" l="1"/>
  <c r="F538" i="19"/>
  <c r="J539" i="18"/>
  <c r="P537" i="5" s="1"/>
  <c r="Q534" i="3"/>
  <c r="F533" i="3"/>
  <c r="J532" i="3"/>
  <c r="M533" i="3"/>
  <c r="U532" i="3"/>
  <c r="O538" i="5"/>
  <c r="I540" i="18" s="1"/>
  <c r="C539" i="19"/>
  <c r="G539" i="19" l="1"/>
  <c r="F539" i="19"/>
  <c r="J540" i="18"/>
  <c r="P538" i="5" s="1"/>
  <c r="Q535" i="3"/>
  <c r="M534" i="3"/>
  <c r="U533" i="3"/>
  <c r="F534" i="3"/>
  <c r="J533" i="3"/>
  <c r="O539" i="5"/>
  <c r="I541" i="18" s="1"/>
  <c r="C540" i="19"/>
  <c r="G540" i="19" l="1"/>
  <c r="F540" i="19"/>
  <c r="J541" i="18"/>
  <c r="P539" i="5" s="1"/>
  <c r="Q536" i="3"/>
  <c r="F535" i="3"/>
  <c r="J534" i="3"/>
  <c r="M535" i="3"/>
  <c r="U534" i="3"/>
  <c r="C541" i="19"/>
  <c r="O540" i="5"/>
  <c r="I542" i="18" s="1"/>
  <c r="G541" i="19" l="1"/>
  <c r="F541" i="19"/>
  <c r="J542" i="18"/>
  <c r="P540" i="5" s="1"/>
  <c r="Q537" i="3"/>
  <c r="M536" i="3"/>
  <c r="U535" i="3"/>
  <c r="J535" i="3"/>
  <c r="F536" i="3"/>
  <c r="C542" i="19"/>
  <c r="O541" i="5"/>
  <c r="I543" i="18" s="1"/>
  <c r="G542" i="19" l="1"/>
  <c r="F542" i="19"/>
  <c r="J543" i="18"/>
  <c r="P541" i="5" s="1"/>
  <c r="Q538" i="3"/>
  <c r="F537" i="3"/>
  <c r="J536" i="3"/>
  <c r="U536" i="3"/>
  <c r="M537" i="3"/>
  <c r="O542" i="5"/>
  <c r="I544" i="18" s="1"/>
  <c r="C543" i="19"/>
  <c r="G543" i="19" l="1"/>
  <c r="F543" i="19"/>
  <c r="J544" i="18"/>
  <c r="P542" i="5" s="1"/>
  <c r="Q539" i="3"/>
  <c r="M538" i="3"/>
  <c r="U537" i="3"/>
  <c r="J537" i="3"/>
  <c r="F538" i="3"/>
  <c r="O543" i="5"/>
  <c r="I545" i="18" s="1"/>
  <c r="C544" i="19"/>
  <c r="G544" i="19" l="1"/>
  <c r="F544" i="19"/>
  <c r="J545" i="18"/>
  <c r="P543" i="5" s="1"/>
  <c r="Q540" i="3"/>
  <c r="F539" i="3"/>
  <c r="J538" i="3"/>
  <c r="U538" i="3"/>
  <c r="M539" i="3"/>
  <c r="O544" i="5"/>
  <c r="I546" i="18" s="1"/>
  <c r="C545" i="19"/>
  <c r="G545" i="19" l="1"/>
  <c r="F545" i="19"/>
  <c r="J546" i="18"/>
  <c r="P544" i="5" s="1"/>
  <c r="Q541" i="3"/>
  <c r="M540" i="3"/>
  <c r="U539" i="3"/>
  <c r="J539" i="3"/>
  <c r="F540" i="3"/>
  <c r="O545" i="5"/>
  <c r="I547" i="18" s="1"/>
  <c r="C546" i="19"/>
  <c r="G546" i="19" l="1"/>
  <c r="F546" i="19"/>
  <c r="J547" i="18"/>
  <c r="P545" i="5" s="1"/>
  <c r="C7" i="5"/>
  <c r="C17" i="5" s="1"/>
  <c r="J74" i="1"/>
  <c r="Q542" i="3"/>
  <c r="F541" i="3"/>
  <c r="J540" i="3"/>
  <c r="U540" i="3"/>
  <c r="M541" i="3"/>
  <c r="O546" i="5"/>
  <c r="I548" i="18" s="1"/>
  <c r="C547" i="19"/>
  <c r="G547" i="19" l="1"/>
  <c r="F547" i="19"/>
  <c r="F17" i="5"/>
  <c r="H113" i="1"/>
  <c r="H9" i="22"/>
  <c r="J9" i="22"/>
  <c r="J548" i="18"/>
  <c r="P546" i="5" s="1"/>
  <c r="J76" i="1"/>
  <c r="J77" i="1"/>
  <c r="J82" i="1"/>
  <c r="J75" i="1"/>
  <c r="K75" i="1" s="1"/>
  <c r="L75" i="1" s="1"/>
  <c r="C5" i="3"/>
  <c r="C5" i="4"/>
  <c r="P5" i="4" s="1"/>
  <c r="J78" i="1"/>
  <c r="J79" i="1"/>
  <c r="J80" i="1"/>
  <c r="J81" i="1"/>
  <c r="Q543" i="3"/>
  <c r="M542" i="3"/>
  <c r="U541" i="3"/>
  <c r="J541" i="3"/>
  <c r="F542" i="3"/>
  <c r="C548" i="19"/>
  <c r="O547" i="5"/>
  <c r="I549" i="18" s="1"/>
  <c r="G548" i="19" l="1"/>
  <c r="F548" i="19"/>
  <c r="L9" i="22"/>
  <c r="D11" i="22"/>
  <c r="D12" i="24"/>
  <c r="D12" i="22"/>
  <c r="J7" i="24"/>
  <c r="D11" i="24"/>
  <c r="D5" i="4"/>
  <c r="J549" i="18"/>
  <c r="P547" i="5" s="1"/>
  <c r="C6" i="4"/>
  <c r="D6" i="4" s="1"/>
  <c r="C6" i="3"/>
  <c r="Q544" i="3"/>
  <c r="F543" i="3"/>
  <c r="J542" i="3"/>
  <c r="U542" i="3"/>
  <c r="M543" i="3"/>
  <c r="O548" i="5"/>
  <c r="I550" i="18" s="1"/>
  <c r="C549" i="19"/>
  <c r="I5" i="20"/>
  <c r="G549" i="19" l="1"/>
  <c r="F549" i="19"/>
  <c r="C7" i="4"/>
  <c r="D7" i="4" s="1"/>
  <c r="G7" i="4" s="1"/>
  <c r="P6" i="4"/>
  <c r="I6" i="20" s="1"/>
  <c r="J550" i="18"/>
  <c r="P548" i="5" s="1"/>
  <c r="C7" i="3"/>
  <c r="C8" i="3" s="1"/>
  <c r="E6" i="4"/>
  <c r="H6" i="4" s="1"/>
  <c r="G5" i="4"/>
  <c r="Q545" i="3"/>
  <c r="M544" i="3"/>
  <c r="U543" i="3"/>
  <c r="F544" i="3"/>
  <c r="J543" i="3"/>
  <c r="J5" i="4"/>
  <c r="E5" i="4"/>
  <c r="J6" i="4"/>
  <c r="G6" i="4"/>
  <c r="C550" i="19"/>
  <c r="O549" i="5"/>
  <c r="I551" i="18" s="1"/>
  <c r="G550" i="19" l="1"/>
  <c r="F550" i="19"/>
  <c r="J11" i="22"/>
  <c r="C8" i="4"/>
  <c r="D8" i="4" s="1"/>
  <c r="G8" i="4" s="1"/>
  <c r="P7" i="4"/>
  <c r="I7" i="20" s="1"/>
  <c r="J551" i="18"/>
  <c r="P549" i="5" s="1"/>
  <c r="M83" i="1"/>
  <c r="Q546" i="3"/>
  <c r="F545" i="3"/>
  <c r="J544" i="3"/>
  <c r="M545" i="3"/>
  <c r="U544" i="3"/>
  <c r="I6" i="4"/>
  <c r="H5" i="4"/>
  <c r="C9" i="3"/>
  <c r="C551" i="19"/>
  <c r="J7" i="4"/>
  <c r="E7" i="4"/>
  <c r="O550" i="5"/>
  <c r="I552" i="18" s="1"/>
  <c r="G551" i="19" l="1"/>
  <c r="F551" i="19"/>
  <c r="L11" i="22"/>
  <c r="C9" i="4"/>
  <c r="D9" i="4" s="1"/>
  <c r="G9" i="4" s="1"/>
  <c r="P8" i="4"/>
  <c r="I8" i="20" s="1"/>
  <c r="J552" i="18"/>
  <c r="P550" i="5" s="1"/>
  <c r="Q547" i="3"/>
  <c r="M546" i="3"/>
  <c r="U545" i="3"/>
  <c r="F546" i="3"/>
  <c r="J545" i="3"/>
  <c r="I5" i="4"/>
  <c r="K5" i="4" s="1"/>
  <c r="C10" i="3"/>
  <c r="J8" i="4"/>
  <c r="E8" i="4"/>
  <c r="C552" i="19"/>
  <c r="O551" i="5"/>
  <c r="I553" i="18" s="1"/>
  <c r="H7" i="4"/>
  <c r="I7" i="4" s="1"/>
  <c r="G552" i="19" l="1"/>
  <c r="F552" i="19"/>
  <c r="P9" i="4"/>
  <c r="I9" i="20" s="1"/>
  <c r="C10" i="4"/>
  <c r="D10" i="4" s="1"/>
  <c r="G10" i="4" s="1"/>
  <c r="J553" i="18"/>
  <c r="P551" i="5" s="1"/>
  <c r="Q548" i="3"/>
  <c r="F547" i="3"/>
  <c r="J546" i="3"/>
  <c r="M547" i="3"/>
  <c r="U546" i="3"/>
  <c r="R5" i="4"/>
  <c r="K5" i="20" s="1"/>
  <c r="K6" i="4"/>
  <c r="C11" i="3"/>
  <c r="J9" i="4"/>
  <c r="E9" i="4"/>
  <c r="O552" i="5"/>
  <c r="I554" i="18" s="1"/>
  <c r="C553" i="19"/>
  <c r="H8" i="4"/>
  <c r="I8" i="4" s="1"/>
  <c r="G553" i="19" l="1"/>
  <c r="F553" i="19"/>
  <c r="P10" i="4"/>
  <c r="I10" i="20" s="1"/>
  <c r="C11" i="4"/>
  <c r="D11" i="4" s="1"/>
  <c r="G11" i="4" s="1"/>
  <c r="J554" i="18"/>
  <c r="P552" i="5" s="1"/>
  <c r="K7" i="4"/>
  <c r="Q549" i="3"/>
  <c r="R6" i="4"/>
  <c r="K6" i="20" s="1"/>
  <c r="M548" i="3"/>
  <c r="U547" i="3"/>
  <c r="F548" i="3"/>
  <c r="J547" i="3"/>
  <c r="C12" i="3"/>
  <c r="C554" i="19"/>
  <c r="E10" i="4"/>
  <c r="J10" i="4"/>
  <c r="H9" i="4"/>
  <c r="I9" i="4" s="1"/>
  <c r="O553" i="5"/>
  <c r="I555" i="18" s="1"/>
  <c r="G554" i="19" l="1"/>
  <c r="F554" i="19"/>
  <c r="P11" i="4"/>
  <c r="I11" i="20" s="1"/>
  <c r="C12" i="4"/>
  <c r="D12" i="4" s="1"/>
  <c r="G12" i="4" s="1"/>
  <c r="J555" i="18"/>
  <c r="P553" i="5" s="1"/>
  <c r="Q550" i="3"/>
  <c r="F549" i="3"/>
  <c r="J548" i="3"/>
  <c r="R7" i="4"/>
  <c r="K7" i="20" s="1"/>
  <c r="M549" i="3"/>
  <c r="U548" i="3"/>
  <c r="C13" i="3"/>
  <c r="K8" i="4"/>
  <c r="H10" i="4"/>
  <c r="I10" i="4" s="1"/>
  <c r="O554" i="5"/>
  <c r="I556" i="18" s="1"/>
  <c r="J11" i="4"/>
  <c r="E11" i="4"/>
  <c r="C555" i="19"/>
  <c r="G555" i="19" l="1"/>
  <c r="F555" i="19"/>
  <c r="C13" i="4"/>
  <c r="D13" i="4" s="1"/>
  <c r="G13" i="4" s="1"/>
  <c r="P12" i="4"/>
  <c r="I12" i="20" s="1"/>
  <c r="J556" i="18"/>
  <c r="P554" i="5" s="1"/>
  <c r="Q551" i="3"/>
  <c r="R8" i="4"/>
  <c r="K8" i="20" s="1"/>
  <c r="U549" i="3"/>
  <c r="M550" i="3"/>
  <c r="F550" i="3"/>
  <c r="J549" i="3"/>
  <c r="C14" i="3"/>
  <c r="K9" i="4"/>
  <c r="K10" i="4" s="1"/>
  <c r="C556" i="19"/>
  <c r="H11" i="4"/>
  <c r="I11" i="4" s="1"/>
  <c r="J12" i="4"/>
  <c r="E12" i="4"/>
  <c r="O555" i="5"/>
  <c r="I557" i="18" s="1"/>
  <c r="G556" i="19" l="1"/>
  <c r="F556" i="19"/>
  <c r="C14" i="4"/>
  <c r="D14" i="4" s="1"/>
  <c r="P13" i="4"/>
  <c r="I13" i="20" s="1"/>
  <c r="J557" i="18"/>
  <c r="P555" i="5" s="1"/>
  <c r="R9" i="4"/>
  <c r="K9" i="20" s="1"/>
  <c r="Q552" i="3"/>
  <c r="F551" i="3"/>
  <c r="J550" i="3"/>
  <c r="U550" i="3"/>
  <c r="M551" i="3"/>
  <c r="C15" i="3"/>
  <c r="J13" i="4"/>
  <c r="E13" i="4"/>
  <c r="H12" i="4"/>
  <c r="I12" i="4" s="1"/>
  <c r="G14" i="4"/>
  <c r="C557" i="19"/>
  <c r="O556" i="5"/>
  <c r="I558" i="18" s="1"/>
  <c r="G557" i="19" l="1"/>
  <c r="F557" i="19"/>
  <c r="C15" i="4"/>
  <c r="D15" i="4" s="1"/>
  <c r="G15" i="4" s="1"/>
  <c r="P14" i="4"/>
  <c r="I14" i="20" s="1"/>
  <c r="J558" i="18"/>
  <c r="P556" i="5" s="1"/>
  <c r="R10" i="4"/>
  <c r="K10" i="20" s="1"/>
  <c r="Q553" i="3"/>
  <c r="M552" i="3"/>
  <c r="U551" i="3"/>
  <c r="F552" i="3"/>
  <c r="J551" i="3"/>
  <c r="C16" i="3"/>
  <c r="K11" i="4"/>
  <c r="K12" i="4" s="1"/>
  <c r="O557" i="5"/>
  <c r="I559" i="18" s="1"/>
  <c r="E14" i="4"/>
  <c r="J14" i="4"/>
  <c r="H13" i="4"/>
  <c r="C558" i="19"/>
  <c r="G558" i="19" l="1"/>
  <c r="F558" i="19"/>
  <c r="C16" i="4"/>
  <c r="D16" i="4" s="1"/>
  <c r="G16" i="4" s="1"/>
  <c r="P15" i="4"/>
  <c r="I15" i="20" s="1"/>
  <c r="J559" i="18"/>
  <c r="P557" i="5" s="1"/>
  <c r="R11" i="4"/>
  <c r="K11" i="20" s="1"/>
  <c r="Q554" i="3"/>
  <c r="F553" i="3"/>
  <c r="J552" i="3"/>
  <c r="M553" i="3"/>
  <c r="U552" i="3"/>
  <c r="I13" i="4"/>
  <c r="C17" i="3"/>
  <c r="C559" i="19"/>
  <c r="O558" i="5"/>
  <c r="I560" i="18" s="1"/>
  <c r="H14" i="4"/>
  <c r="J15" i="4"/>
  <c r="E15" i="4"/>
  <c r="G559" i="19" l="1"/>
  <c r="F559" i="19"/>
  <c r="C17" i="4"/>
  <c r="D17" i="4" s="1"/>
  <c r="G17" i="4" s="1"/>
  <c r="P16" i="4"/>
  <c r="I16" i="20" s="1"/>
  <c r="J560" i="18"/>
  <c r="P558" i="5" s="1"/>
  <c r="R12" i="4"/>
  <c r="K12" i="20" s="1"/>
  <c r="Q555" i="3"/>
  <c r="M554" i="3"/>
  <c r="U553" i="3"/>
  <c r="F554" i="3"/>
  <c r="J553" i="3"/>
  <c r="K13" i="4"/>
  <c r="I14" i="4"/>
  <c r="C18" i="3"/>
  <c r="H15" i="4"/>
  <c r="C560" i="19"/>
  <c r="J16" i="4"/>
  <c r="E16" i="4"/>
  <c r="O559" i="5"/>
  <c r="I561" i="18" s="1"/>
  <c r="G560" i="19" l="1"/>
  <c r="F560" i="19"/>
  <c r="C18" i="4"/>
  <c r="D18" i="4" s="1"/>
  <c r="P17" i="4"/>
  <c r="I17" i="20" s="1"/>
  <c r="J561" i="18"/>
  <c r="P559" i="5" s="1"/>
  <c r="R13" i="4"/>
  <c r="K13" i="20" s="1"/>
  <c r="K14" i="4"/>
  <c r="Q556" i="3"/>
  <c r="F555" i="3"/>
  <c r="J554" i="3"/>
  <c r="M555" i="3"/>
  <c r="U554" i="3"/>
  <c r="I15" i="4"/>
  <c r="C19" i="3"/>
  <c r="C19" i="4"/>
  <c r="D19" i="4" s="1"/>
  <c r="G18" i="4"/>
  <c r="C561" i="19"/>
  <c r="J17" i="4"/>
  <c r="E17" i="4"/>
  <c r="H16" i="4"/>
  <c r="O560" i="5"/>
  <c r="I562" i="18" s="1"/>
  <c r="G561" i="19" l="1"/>
  <c r="F561" i="19"/>
  <c r="P18" i="4"/>
  <c r="I18" i="20" s="1"/>
  <c r="J562" i="18"/>
  <c r="P560" i="5" s="1"/>
  <c r="R14" i="4"/>
  <c r="K14" i="20" s="1"/>
  <c r="Q557" i="3"/>
  <c r="M556" i="3"/>
  <c r="U555" i="3"/>
  <c r="F556" i="3"/>
  <c r="J555" i="3"/>
  <c r="K15" i="4"/>
  <c r="I16" i="4"/>
  <c r="C20" i="3"/>
  <c r="O561" i="5"/>
  <c r="I563" i="18" s="1"/>
  <c r="P19" i="4"/>
  <c r="I19" i="20" s="1"/>
  <c r="C20" i="4"/>
  <c r="D20" i="4" s="1"/>
  <c r="G19" i="4"/>
  <c r="H17" i="4"/>
  <c r="C562" i="19"/>
  <c r="E18" i="4"/>
  <c r="J18" i="4"/>
  <c r="G562" i="19" l="1"/>
  <c r="F562" i="19"/>
  <c r="J563" i="18"/>
  <c r="P561" i="5" s="1"/>
  <c r="R15" i="4"/>
  <c r="K15" i="20" s="1"/>
  <c r="Q558" i="3"/>
  <c r="F557" i="3"/>
  <c r="J556" i="3"/>
  <c r="U556" i="3"/>
  <c r="M557" i="3"/>
  <c r="K16" i="4"/>
  <c r="I17" i="4"/>
  <c r="C21" i="3"/>
  <c r="C563" i="19"/>
  <c r="P20" i="4"/>
  <c r="I20" i="20" s="1"/>
  <c r="C21" i="4"/>
  <c r="D21" i="4" s="1"/>
  <c r="G20" i="4"/>
  <c r="O562" i="5"/>
  <c r="I564" i="18" s="1"/>
  <c r="H18" i="4"/>
  <c r="J19" i="4"/>
  <c r="E19" i="4"/>
  <c r="G563" i="19" l="1"/>
  <c r="F563" i="19"/>
  <c r="J564" i="18"/>
  <c r="P562" i="5" s="1"/>
  <c r="R16" i="4"/>
  <c r="K16" i="20" s="1"/>
  <c r="K17" i="4"/>
  <c r="Q559" i="3"/>
  <c r="M558" i="3"/>
  <c r="U557" i="3"/>
  <c r="F558" i="3"/>
  <c r="J557" i="3"/>
  <c r="I18" i="4"/>
  <c r="C22" i="3"/>
  <c r="P21" i="4"/>
  <c r="I21" i="20" s="1"/>
  <c r="C22" i="4"/>
  <c r="D22" i="4" s="1"/>
  <c r="G21" i="4"/>
  <c r="C564" i="19"/>
  <c r="O563" i="5"/>
  <c r="I565" i="18" s="1"/>
  <c r="H19" i="4"/>
  <c r="J20" i="4"/>
  <c r="E20" i="4"/>
  <c r="G564" i="19" l="1"/>
  <c r="F564" i="19"/>
  <c r="J565" i="18"/>
  <c r="P563" i="5" s="1"/>
  <c r="R17" i="4"/>
  <c r="K17" i="20" s="1"/>
  <c r="Q560" i="3"/>
  <c r="F559" i="3"/>
  <c r="J558" i="3"/>
  <c r="U558" i="3"/>
  <c r="M559" i="3"/>
  <c r="K18" i="4"/>
  <c r="I19" i="4"/>
  <c r="C23" i="3"/>
  <c r="J21" i="4"/>
  <c r="E21" i="4"/>
  <c r="O564" i="5"/>
  <c r="I566" i="18" s="1"/>
  <c r="P22" i="4"/>
  <c r="I22" i="20" s="1"/>
  <c r="C23" i="4"/>
  <c r="D23" i="4" s="1"/>
  <c r="G22" i="4"/>
  <c r="H20" i="4"/>
  <c r="C565" i="19"/>
  <c r="G565" i="19" l="1"/>
  <c r="F565" i="19"/>
  <c r="J566" i="18"/>
  <c r="P564" i="5" s="1"/>
  <c r="R18" i="4"/>
  <c r="K18" i="20" s="1"/>
  <c r="Q561" i="3"/>
  <c r="M560" i="3"/>
  <c r="U559" i="3"/>
  <c r="F560" i="3"/>
  <c r="J559" i="3"/>
  <c r="K19" i="4"/>
  <c r="I20" i="4"/>
  <c r="C24" i="3"/>
  <c r="C566" i="19"/>
  <c r="E22" i="4"/>
  <c r="J22" i="4"/>
  <c r="O565" i="5"/>
  <c r="I567" i="18" s="1"/>
  <c r="P23" i="4"/>
  <c r="I23" i="20" s="1"/>
  <c r="C24" i="4"/>
  <c r="D24" i="4" s="1"/>
  <c r="G23" i="4"/>
  <c r="H21" i="4"/>
  <c r="G566" i="19" l="1"/>
  <c r="F566" i="19"/>
  <c r="J567" i="18"/>
  <c r="P565" i="5" s="1"/>
  <c r="R19" i="4"/>
  <c r="K19" i="20" s="1"/>
  <c r="Q562" i="3"/>
  <c r="F561" i="3"/>
  <c r="J560" i="3"/>
  <c r="M561" i="3"/>
  <c r="U560" i="3"/>
  <c r="K20" i="4"/>
  <c r="I21" i="4"/>
  <c r="C25" i="3"/>
  <c r="J23" i="4"/>
  <c r="E23" i="4"/>
  <c r="O566" i="5"/>
  <c r="I568" i="18" s="1"/>
  <c r="H22" i="4"/>
  <c r="C567" i="19"/>
  <c r="P24" i="4"/>
  <c r="I24" i="20" s="1"/>
  <c r="C25" i="4"/>
  <c r="D25" i="4" s="1"/>
  <c r="G24" i="4"/>
  <c r="G567" i="19" l="1"/>
  <c r="F567" i="19"/>
  <c r="J568" i="18"/>
  <c r="P566" i="5" s="1"/>
  <c r="R20" i="4"/>
  <c r="R21" i="4" s="1"/>
  <c r="K21" i="20" s="1"/>
  <c r="Q563" i="3"/>
  <c r="M562" i="3"/>
  <c r="U561" i="3"/>
  <c r="F562" i="3"/>
  <c r="J561" i="3"/>
  <c r="K21" i="4"/>
  <c r="I22" i="4"/>
  <c r="C26" i="3"/>
  <c r="P25" i="4"/>
  <c r="I25" i="20" s="1"/>
  <c r="C26" i="4"/>
  <c r="D26" i="4" s="1"/>
  <c r="G25" i="4"/>
  <c r="O567" i="5"/>
  <c r="I569" i="18" s="1"/>
  <c r="H23" i="4"/>
  <c r="C568" i="19"/>
  <c r="J24" i="4"/>
  <c r="E24" i="4"/>
  <c r="G568" i="19" l="1"/>
  <c r="F568" i="19"/>
  <c r="J569" i="18"/>
  <c r="P567" i="5" s="1"/>
  <c r="K20" i="20"/>
  <c r="K22" i="4"/>
  <c r="Q564" i="3"/>
  <c r="R22" i="4"/>
  <c r="K22" i="20" s="1"/>
  <c r="F563" i="3"/>
  <c r="J562" i="3"/>
  <c r="U562" i="3"/>
  <c r="M563" i="3"/>
  <c r="I23" i="4"/>
  <c r="C27" i="3"/>
  <c r="O568" i="5"/>
  <c r="I570" i="18" s="1"/>
  <c r="C569" i="19"/>
  <c r="J25" i="4"/>
  <c r="E25" i="4"/>
  <c r="H24" i="4"/>
  <c r="P26" i="4"/>
  <c r="I26" i="20" s="1"/>
  <c r="C27" i="4"/>
  <c r="D27" i="4" s="1"/>
  <c r="G26" i="4"/>
  <c r="G569" i="19" l="1"/>
  <c r="F569" i="19"/>
  <c r="J570" i="18"/>
  <c r="P568" i="5" s="1"/>
  <c r="Q565" i="3"/>
  <c r="M564" i="3"/>
  <c r="U563" i="3"/>
  <c r="J563" i="3"/>
  <c r="F564" i="3"/>
  <c r="R23" i="4"/>
  <c r="K23" i="20" s="1"/>
  <c r="K23" i="4"/>
  <c r="I24" i="4"/>
  <c r="C28" i="3"/>
  <c r="C570" i="19"/>
  <c r="P27" i="4"/>
  <c r="I27" i="20" s="1"/>
  <c r="C28" i="4"/>
  <c r="D28" i="4" s="1"/>
  <c r="G27" i="4"/>
  <c r="H25" i="4"/>
  <c r="E26" i="4"/>
  <c r="J26" i="4"/>
  <c r="O569" i="5"/>
  <c r="I571" i="18" s="1"/>
  <c r="G570" i="19" l="1"/>
  <c r="F570" i="19"/>
  <c r="J571" i="18"/>
  <c r="P569" i="5" s="1"/>
  <c r="Q566" i="3"/>
  <c r="F565" i="3"/>
  <c r="J564" i="3"/>
  <c r="M565" i="3"/>
  <c r="U564" i="3"/>
  <c r="R24" i="4"/>
  <c r="K24" i="20" s="1"/>
  <c r="K24" i="4"/>
  <c r="I25" i="4"/>
  <c r="C29" i="3"/>
  <c r="H26" i="4"/>
  <c r="P28" i="4"/>
  <c r="I28" i="20" s="1"/>
  <c r="C29" i="4"/>
  <c r="D29" i="4" s="1"/>
  <c r="G28" i="4"/>
  <c r="C571" i="19"/>
  <c r="O570" i="5"/>
  <c r="I572" i="18" s="1"/>
  <c r="J27" i="4"/>
  <c r="E27" i="4"/>
  <c r="G571" i="19" l="1"/>
  <c r="F571" i="19"/>
  <c r="J572" i="18"/>
  <c r="P570" i="5" s="1"/>
  <c r="Q567" i="3"/>
  <c r="M566" i="3"/>
  <c r="U565" i="3"/>
  <c r="F566" i="3"/>
  <c r="J565" i="3"/>
  <c r="K25" i="4"/>
  <c r="R25" i="4"/>
  <c r="K25" i="20" s="1"/>
  <c r="I26" i="4"/>
  <c r="C30" i="3"/>
  <c r="O571" i="5"/>
  <c r="I573" i="18" s="1"/>
  <c r="H27" i="4"/>
  <c r="J28" i="4"/>
  <c r="E28" i="4"/>
  <c r="C572" i="19"/>
  <c r="P29" i="4"/>
  <c r="I29" i="20" s="1"/>
  <c r="C30" i="4"/>
  <c r="D30" i="4" s="1"/>
  <c r="G29" i="4"/>
  <c r="G572" i="19" l="1"/>
  <c r="F572" i="19"/>
  <c r="J573" i="18"/>
  <c r="P571" i="5" s="1"/>
  <c r="K26" i="4"/>
  <c r="Q568" i="3"/>
  <c r="F567" i="3"/>
  <c r="J566" i="3"/>
  <c r="M567" i="3"/>
  <c r="U566" i="3"/>
  <c r="R26" i="4"/>
  <c r="K26" i="20" s="1"/>
  <c r="I27" i="4"/>
  <c r="C31" i="3"/>
  <c r="O572" i="5"/>
  <c r="I574" i="18" s="1"/>
  <c r="J29" i="4"/>
  <c r="E29" i="4"/>
  <c r="P30" i="4"/>
  <c r="I30" i="20" s="1"/>
  <c r="C31" i="4"/>
  <c r="D31" i="4" s="1"/>
  <c r="G30" i="4"/>
  <c r="C573" i="19"/>
  <c r="H28" i="4"/>
  <c r="G573" i="19" l="1"/>
  <c r="F573" i="19"/>
  <c r="J574" i="18"/>
  <c r="P572" i="5" s="1"/>
  <c r="R27" i="4"/>
  <c r="K27" i="20" s="1"/>
  <c r="K27" i="4"/>
  <c r="Q569" i="3"/>
  <c r="M568" i="3"/>
  <c r="U567" i="3"/>
  <c r="F568" i="3"/>
  <c r="J567" i="3"/>
  <c r="I28" i="4"/>
  <c r="C32" i="3"/>
  <c r="H29" i="4"/>
  <c r="C574" i="19"/>
  <c r="P31" i="4"/>
  <c r="I31" i="20" s="1"/>
  <c r="C32" i="4"/>
  <c r="D32" i="4" s="1"/>
  <c r="G31" i="4"/>
  <c r="O573" i="5"/>
  <c r="I575" i="18" s="1"/>
  <c r="E30" i="4"/>
  <c r="J30" i="4"/>
  <c r="G574" i="19" l="1"/>
  <c r="F574" i="19"/>
  <c r="J575" i="18"/>
  <c r="P573" i="5" s="1"/>
  <c r="R28" i="4"/>
  <c r="K28" i="20" s="1"/>
  <c r="Q570" i="3"/>
  <c r="F569" i="3"/>
  <c r="J568" i="3"/>
  <c r="M569" i="3"/>
  <c r="U568" i="3"/>
  <c r="K28" i="4"/>
  <c r="I29" i="4"/>
  <c r="C33" i="3"/>
  <c r="H30" i="4"/>
  <c r="O574" i="5"/>
  <c r="I576" i="18" s="1"/>
  <c r="P32" i="4"/>
  <c r="I32" i="20" s="1"/>
  <c r="C33" i="4"/>
  <c r="D33" i="4" s="1"/>
  <c r="G32" i="4"/>
  <c r="C575" i="19"/>
  <c r="J31" i="4"/>
  <c r="E31" i="4"/>
  <c r="G575" i="19" l="1"/>
  <c r="F575" i="19"/>
  <c r="J576" i="18"/>
  <c r="P574" i="5" s="1"/>
  <c r="R29" i="4"/>
  <c r="K29" i="20" s="1"/>
  <c r="Q571" i="3"/>
  <c r="K29" i="4"/>
  <c r="M570" i="3"/>
  <c r="U569" i="3"/>
  <c r="F570" i="3"/>
  <c r="J569" i="3"/>
  <c r="I30" i="4"/>
  <c r="C34" i="3"/>
  <c r="H31" i="4"/>
  <c r="J32" i="4"/>
  <c r="E32" i="4"/>
  <c r="C576" i="19"/>
  <c r="P33" i="4"/>
  <c r="I33" i="20" s="1"/>
  <c r="C34" i="4"/>
  <c r="D34" i="4" s="1"/>
  <c r="G33" i="4"/>
  <c r="O575" i="5"/>
  <c r="I577" i="18" s="1"/>
  <c r="G576" i="19" l="1"/>
  <c r="F576" i="19"/>
  <c r="J577" i="18"/>
  <c r="P575" i="5" s="1"/>
  <c r="K30" i="4"/>
  <c r="Q572" i="3"/>
  <c r="R30" i="4"/>
  <c r="K30" i="20" s="1"/>
  <c r="F571" i="3"/>
  <c r="J570" i="3"/>
  <c r="M571" i="3"/>
  <c r="U570" i="3"/>
  <c r="I31" i="4"/>
  <c r="C35" i="3"/>
  <c r="H32" i="4"/>
  <c r="J33" i="4"/>
  <c r="E33" i="4"/>
  <c r="O576" i="5"/>
  <c r="I578" i="18" s="1"/>
  <c r="P34" i="4"/>
  <c r="I34" i="20" s="1"/>
  <c r="C35" i="4"/>
  <c r="D35" i="4" s="1"/>
  <c r="G34" i="4"/>
  <c r="C577" i="19"/>
  <c r="G577" i="19" l="1"/>
  <c r="F577" i="19"/>
  <c r="J578" i="18"/>
  <c r="P576" i="5" s="1"/>
  <c r="R31" i="4"/>
  <c r="K31" i="20" s="1"/>
  <c r="Q573" i="3"/>
  <c r="K31" i="4"/>
  <c r="M572" i="3"/>
  <c r="U571" i="3"/>
  <c r="F572" i="3"/>
  <c r="J571" i="3"/>
  <c r="I32" i="4"/>
  <c r="C36" i="3"/>
  <c r="E34" i="4"/>
  <c r="J34" i="4"/>
  <c r="C578" i="19"/>
  <c r="H33" i="4"/>
  <c r="O577" i="5"/>
  <c r="I579" i="18" s="1"/>
  <c r="P35" i="4"/>
  <c r="I35" i="20" s="1"/>
  <c r="C36" i="4"/>
  <c r="D36" i="4" s="1"/>
  <c r="G35" i="4"/>
  <c r="G578" i="19" l="1"/>
  <c r="F578" i="19"/>
  <c r="J579" i="18"/>
  <c r="P577" i="5" s="1"/>
  <c r="R32" i="4"/>
  <c r="K32" i="20" s="1"/>
  <c r="K32" i="4"/>
  <c r="Q574" i="3"/>
  <c r="F573" i="3"/>
  <c r="J572" i="3"/>
  <c r="M573" i="3"/>
  <c r="U572" i="3"/>
  <c r="I33" i="4"/>
  <c r="C37" i="3"/>
  <c r="J35" i="4"/>
  <c r="E35" i="4"/>
  <c r="C579" i="19"/>
  <c r="P36" i="4"/>
  <c r="I36" i="20" s="1"/>
  <c r="C37" i="4"/>
  <c r="D37" i="4" s="1"/>
  <c r="G36" i="4"/>
  <c r="O578" i="5"/>
  <c r="I580" i="18" s="1"/>
  <c r="H34" i="4"/>
  <c r="G579" i="19" l="1"/>
  <c r="F579" i="19"/>
  <c r="J580" i="18"/>
  <c r="P578" i="5" s="1"/>
  <c r="K33" i="4"/>
  <c r="Q575" i="3"/>
  <c r="R33" i="4"/>
  <c r="K33" i="20" s="1"/>
  <c r="M574" i="3"/>
  <c r="U573" i="3"/>
  <c r="F574" i="3"/>
  <c r="J573" i="3"/>
  <c r="I34" i="4"/>
  <c r="C38" i="3"/>
  <c r="C580" i="19"/>
  <c r="H35" i="4"/>
  <c r="P37" i="4"/>
  <c r="I37" i="20" s="1"/>
  <c r="C38" i="4"/>
  <c r="D38" i="4" s="1"/>
  <c r="G37" i="4"/>
  <c r="O579" i="5"/>
  <c r="I581" i="18" s="1"/>
  <c r="J36" i="4"/>
  <c r="E36" i="4"/>
  <c r="G580" i="19" l="1"/>
  <c r="F580" i="19"/>
  <c r="J581" i="18"/>
  <c r="P579" i="5" s="1"/>
  <c r="K34" i="4"/>
  <c r="Q576" i="3"/>
  <c r="F575" i="3"/>
  <c r="J574" i="3"/>
  <c r="M575" i="3"/>
  <c r="U574" i="3"/>
  <c r="R34" i="4"/>
  <c r="K34" i="20" s="1"/>
  <c r="I35" i="4"/>
  <c r="C39" i="3"/>
  <c r="J37" i="4"/>
  <c r="E37" i="4"/>
  <c r="C581" i="19"/>
  <c r="H36" i="4"/>
  <c r="P38" i="4"/>
  <c r="I38" i="20" s="1"/>
  <c r="C39" i="4"/>
  <c r="D39" i="4" s="1"/>
  <c r="G38" i="4"/>
  <c r="O580" i="5"/>
  <c r="I582" i="18" s="1"/>
  <c r="G581" i="19" l="1"/>
  <c r="F581" i="19"/>
  <c r="J582" i="18"/>
  <c r="P580" i="5" s="1"/>
  <c r="R35" i="4"/>
  <c r="K35" i="20" s="1"/>
  <c r="Q577" i="3"/>
  <c r="M576" i="3"/>
  <c r="U575" i="3"/>
  <c r="F576" i="3"/>
  <c r="J575" i="3"/>
  <c r="K35" i="4"/>
  <c r="I36" i="4"/>
  <c r="C40" i="3"/>
  <c r="O581" i="5"/>
  <c r="I583" i="18" s="1"/>
  <c r="E38" i="4"/>
  <c r="J38" i="4"/>
  <c r="C582" i="19"/>
  <c r="P39" i="4"/>
  <c r="I39" i="20" s="1"/>
  <c r="C40" i="4"/>
  <c r="D40" i="4" s="1"/>
  <c r="G39" i="4"/>
  <c r="H37" i="4"/>
  <c r="G582" i="19" l="1"/>
  <c r="F582" i="19"/>
  <c r="J583" i="18"/>
  <c r="P581" i="5" s="1"/>
  <c r="R36" i="4"/>
  <c r="K36" i="20" s="1"/>
  <c r="Q578" i="3"/>
  <c r="K36" i="4"/>
  <c r="F577" i="3"/>
  <c r="J576" i="3"/>
  <c r="M577" i="3"/>
  <c r="U576" i="3"/>
  <c r="I37" i="4"/>
  <c r="C41" i="3"/>
  <c r="J39" i="4"/>
  <c r="E39" i="4"/>
  <c r="H38" i="4"/>
  <c r="P40" i="4"/>
  <c r="I40" i="20" s="1"/>
  <c r="C41" i="4"/>
  <c r="D41" i="4" s="1"/>
  <c r="G40" i="4"/>
  <c r="C583" i="19"/>
  <c r="O582" i="5"/>
  <c r="I584" i="18" s="1"/>
  <c r="G583" i="19" l="1"/>
  <c r="F583" i="19"/>
  <c r="J584" i="18"/>
  <c r="P582" i="5" s="1"/>
  <c r="R37" i="4"/>
  <c r="K37" i="20" s="1"/>
  <c r="Q579" i="3"/>
  <c r="K37" i="4"/>
  <c r="M578" i="3"/>
  <c r="U577" i="3"/>
  <c r="F578" i="3"/>
  <c r="J577" i="3"/>
  <c r="I38" i="4"/>
  <c r="C42" i="3"/>
  <c r="J40" i="4"/>
  <c r="E40" i="4"/>
  <c r="O583" i="5"/>
  <c r="I585" i="18" s="1"/>
  <c r="P41" i="4"/>
  <c r="I41" i="20" s="1"/>
  <c r="C42" i="4"/>
  <c r="D42" i="4" s="1"/>
  <c r="G41" i="4"/>
  <c r="C584" i="19"/>
  <c r="H39" i="4"/>
  <c r="G584" i="19" l="1"/>
  <c r="F584" i="19"/>
  <c r="R38" i="4"/>
  <c r="K38" i="20" s="1"/>
  <c r="J585" i="18"/>
  <c r="P583" i="5" s="1"/>
  <c r="Q580" i="3"/>
  <c r="K38" i="4"/>
  <c r="F579" i="3"/>
  <c r="J578" i="3"/>
  <c r="M579" i="3"/>
  <c r="U578" i="3"/>
  <c r="I39" i="4"/>
  <c r="C43" i="3"/>
  <c r="P42" i="4"/>
  <c r="I42" i="20" s="1"/>
  <c r="C43" i="4"/>
  <c r="D43" i="4" s="1"/>
  <c r="G42" i="4"/>
  <c r="O584" i="5"/>
  <c r="I586" i="18" s="1"/>
  <c r="C585" i="19"/>
  <c r="J41" i="4"/>
  <c r="E41" i="4"/>
  <c r="H40" i="4"/>
  <c r="G585" i="19" l="1"/>
  <c r="F585" i="19"/>
  <c r="J586" i="18"/>
  <c r="P584" i="5" s="1"/>
  <c r="K39" i="4"/>
  <c r="R39" i="4"/>
  <c r="K39" i="20" s="1"/>
  <c r="Q581" i="3"/>
  <c r="M580" i="3"/>
  <c r="U579" i="3"/>
  <c r="F580" i="3"/>
  <c r="J579" i="3"/>
  <c r="I40" i="4"/>
  <c r="C44" i="3"/>
  <c r="E42" i="4"/>
  <c r="J42" i="4"/>
  <c r="P43" i="4"/>
  <c r="I43" i="20" s="1"/>
  <c r="C44" i="4"/>
  <c r="D44" i="4" s="1"/>
  <c r="G43" i="4"/>
  <c r="O585" i="5"/>
  <c r="I587" i="18" s="1"/>
  <c r="H41" i="4"/>
  <c r="C586" i="19"/>
  <c r="G586" i="19" l="1"/>
  <c r="F586" i="19"/>
  <c r="J587" i="18"/>
  <c r="P585" i="5" s="1"/>
  <c r="R40" i="4"/>
  <c r="K40" i="20" s="1"/>
  <c r="K40" i="4"/>
  <c r="Q582" i="3"/>
  <c r="F581" i="3"/>
  <c r="J580" i="3"/>
  <c r="M581" i="3"/>
  <c r="U580" i="3"/>
  <c r="I41" i="4"/>
  <c r="C45" i="3"/>
  <c r="O586" i="5"/>
  <c r="I588" i="18" s="1"/>
  <c r="J43" i="4"/>
  <c r="E43" i="4"/>
  <c r="P44" i="4"/>
  <c r="I44" i="20" s="1"/>
  <c r="C45" i="4"/>
  <c r="D45" i="4" s="1"/>
  <c r="G44" i="4"/>
  <c r="C587" i="19"/>
  <c r="H42" i="4"/>
  <c r="G587" i="19" l="1"/>
  <c r="F587" i="19"/>
  <c r="J588" i="18"/>
  <c r="P586" i="5" s="1"/>
  <c r="K41" i="4"/>
  <c r="Q583" i="3"/>
  <c r="M582" i="3"/>
  <c r="U581" i="3"/>
  <c r="F582" i="3"/>
  <c r="J581" i="3"/>
  <c r="R41" i="4"/>
  <c r="K41" i="20" s="1"/>
  <c r="I42" i="4"/>
  <c r="C46" i="3"/>
  <c r="C588" i="19"/>
  <c r="H43" i="4"/>
  <c r="J44" i="4"/>
  <c r="E44" i="4"/>
  <c r="P45" i="4"/>
  <c r="I45" i="20" s="1"/>
  <c r="C46" i="4"/>
  <c r="D46" i="4" s="1"/>
  <c r="G45" i="4"/>
  <c r="O587" i="5"/>
  <c r="I589" i="18" s="1"/>
  <c r="G588" i="19" l="1"/>
  <c r="F588" i="19"/>
  <c r="J589" i="18"/>
  <c r="P587" i="5" s="1"/>
  <c r="Q584" i="3"/>
  <c r="R42" i="4"/>
  <c r="K42" i="20" s="1"/>
  <c r="K42" i="4"/>
  <c r="F583" i="3"/>
  <c r="J582" i="3"/>
  <c r="M583" i="3"/>
  <c r="U582" i="3"/>
  <c r="I43" i="4"/>
  <c r="C47" i="3"/>
  <c r="J45" i="4"/>
  <c r="E45" i="4"/>
  <c r="H44" i="4"/>
  <c r="O588" i="5"/>
  <c r="I590" i="18" s="1"/>
  <c r="C589" i="19"/>
  <c r="P46" i="4"/>
  <c r="I46" i="20" s="1"/>
  <c r="C47" i="4"/>
  <c r="D47" i="4" s="1"/>
  <c r="G46" i="4"/>
  <c r="G589" i="19" l="1"/>
  <c r="F589" i="19"/>
  <c r="J590" i="18"/>
  <c r="P588" i="5" s="1"/>
  <c r="R43" i="4"/>
  <c r="K43" i="20" s="1"/>
  <c r="Q585" i="3"/>
  <c r="K43" i="4"/>
  <c r="M584" i="3"/>
  <c r="U583" i="3"/>
  <c r="F584" i="3"/>
  <c r="J583" i="3"/>
  <c r="I44" i="4"/>
  <c r="C48" i="3"/>
  <c r="P47" i="4"/>
  <c r="I47" i="20" s="1"/>
  <c r="C48" i="4"/>
  <c r="D48" i="4" s="1"/>
  <c r="G47" i="4"/>
  <c r="C590" i="19"/>
  <c r="O589" i="5"/>
  <c r="I591" i="18" s="1"/>
  <c r="E46" i="4"/>
  <c r="J46" i="4"/>
  <c r="H45" i="4"/>
  <c r="G590" i="19" l="1"/>
  <c r="F590" i="19"/>
  <c r="J591" i="18"/>
  <c r="P589" i="5" s="1"/>
  <c r="R44" i="4"/>
  <c r="K44" i="20" s="1"/>
  <c r="K44" i="4"/>
  <c r="Q586" i="3"/>
  <c r="F585" i="3"/>
  <c r="J584" i="3"/>
  <c r="M585" i="3"/>
  <c r="U584" i="3"/>
  <c r="I45" i="4"/>
  <c r="C49" i="3"/>
  <c r="H46" i="4"/>
  <c r="C591" i="19"/>
  <c r="O590" i="5"/>
  <c r="I592" i="18" s="1"/>
  <c r="J47" i="4"/>
  <c r="E47" i="4"/>
  <c r="P48" i="4"/>
  <c r="I48" i="20" s="1"/>
  <c r="C49" i="4"/>
  <c r="D49" i="4" s="1"/>
  <c r="G48" i="4"/>
  <c r="G591" i="19" l="1"/>
  <c r="F591" i="19"/>
  <c r="J592" i="18"/>
  <c r="P590" i="5" s="1"/>
  <c r="R45" i="4"/>
  <c r="K45" i="20" s="1"/>
  <c r="Q587" i="3"/>
  <c r="K45" i="4"/>
  <c r="M586" i="3"/>
  <c r="U585" i="3"/>
  <c r="F586" i="3"/>
  <c r="J585" i="3"/>
  <c r="I46" i="4"/>
  <c r="C50" i="3"/>
  <c r="P49" i="4"/>
  <c r="I49" i="20" s="1"/>
  <c r="C50" i="4"/>
  <c r="D50" i="4" s="1"/>
  <c r="G49" i="4"/>
  <c r="O591" i="5"/>
  <c r="I593" i="18" s="1"/>
  <c r="C592" i="19"/>
  <c r="J48" i="4"/>
  <c r="E48" i="4"/>
  <c r="H47" i="4"/>
  <c r="G592" i="19" l="1"/>
  <c r="F592" i="19"/>
  <c r="J593" i="18"/>
  <c r="P591" i="5" s="1"/>
  <c r="K46" i="4"/>
  <c r="Q588" i="3"/>
  <c r="R46" i="4"/>
  <c r="K46" i="20" s="1"/>
  <c r="F587" i="3"/>
  <c r="J586" i="3"/>
  <c r="M587" i="3"/>
  <c r="U586" i="3"/>
  <c r="I47" i="4"/>
  <c r="C51" i="3"/>
  <c r="C593" i="19"/>
  <c r="J49" i="4"/>
  <c r="E49" i="4"/>
  <c r="H48" i="4"/>
  <c r="O592" i="5"/>
  <c r="I594" i="18" s="1"/>
  <c r="P50" i="4"/>
  <c r="I50" i="20" s="1"/>
  <c r="C51" i="4"/>
  <c r="D51" i="4" s="1"/>
  <c r="G50" i="4"/>
  <c r="G593" i="19" l="1"/>
  <c r="F593" i="19"/>
  <c r="J594" i="18"/>
  <c r="P592" i="5" s="1"/>
  <c r="K47" i="4"/>
  <c r="Q589" i="3"/>
  <c r="R47" i="4"/>
  <c r="K47" i="20" s="1"/>
  <c r="M588" i="3"/>
  <c r="U587" i="3"/>
  <c r="F588" i="3"/>
  <c r="J587" i="3"/>
  <c r="I48" i="4"/>
  <c r="C52" i="3"/>
  <c r="E50" i="4"/>
  <c r="J50" i="4"/>
  <c r="H49" i="4"/>
  <c r="C594" i="19"/>
  <c r="O593" i="5"/>
  <c r="I595" i="18" s="1"/>
  <c r="P51" i="4"/>
  <c r="I51" i="20" s="1"/>
  <c r="C52" i="4"/>
  <c r="D52" i="4" s="1"/>
  <c r="G51" i="4"/>
  <c r="G594" i="19" l="1"/>
  <c r="F594" i="19"/>
  <c r="J595" i="18"/>
  <c r="P593" i="5" s="1"/>
  <c r="K48" i="4"/>
  <c r="Q590" i="3"/>
  <c r="R48" i="4"/>
  <c r="K48" i="20" s="1"/>
  <c r="F589" i="3"/>
  <c r="J588" i="3"/>
  <c r="M589" i="3"/>
  <c r="U588" i="3"/>
  <c r="I49" i="4"/>
  <c r="C53" i="3"/>
  <c r="J51" i="4"/>
  <c r="E51" i="4"/>
  <c r="C595" i="19"/>
  <c r="P52" i="4"/>
  <c r="I52" i="20" s="1"/>
  <c r="C53" i="4"/>
  <c r="D53" i="4" s="1"/>
  <c r="G52" i="4"/>
  <c r="O594" i="5"/>
  <c r="I596" i="18" s="1"/>
  <c r="H50" i="4"/>
  <c r="G595" i="19" l="1"/>
  <c r="F595" i="19"/>
  <c r="J596" i="18"/>
  <c r="P594" i="5" s="1"/>
  <c r="R49" i="4"/>
  <c r="K49" i="20" s="1"/>
  <c r="Q591" i="3"/>
  <c r="M590" i="3"/>
  <c r="U589" i="3"/>
  <c r="F590" i="3"/>
  <c r="J589" i="3"/>
  <c r="K49" i="4"/>
  <c r="I50" i="4"/>
  <c r="C54" i="3"/>
  <c r="H51" i="4"/>
  <c r="O595" i="5"/>
  <c r="I597" i="18" s="1"/>
  <c r="P53" i="4"/>
  <c r="I53" i="20" s="1"/>
  <c r="C54" i="4"/>
  <c r="D54" i="4" s="1"/>
  <c r="G53" i="4"/>
  <c r="J52" i="4"/>
  <c r="E52" i="4"/>
  <c r="C596" i="19"/>
  <c r="G596" i="19" l="1"/>
  <c r="F596" i="19"/>
  <c r="J597" i="18"/>
  <c r="P595" i="5" s="1"/>
  <c r="R50" i="4"/>
  <c r="K50" i="20" s="1"/>
  <c r="Q592" i="3"/>
  <c r="K50" i="4"/>
  <c r="F591" i="3"/>
  <c r="J590" i="3"/>
  <c r="M591" i="3"/>
  <c r="U590" i="3"/>
  <c r="I51" i="4"/>
  <c r="C55" i="3"/>
  <c r="P54" i="4"/>
  <c r="I54" i="20" s="1"/>
  <c r="C55" i="4"/>
  <c r="D55" i="4" s="1"/>
  <c r="G54" i="4"/>
  <c r="H52" i="4"/>
  <c r="O596" i="5"/>
  <c r="I598" i="18" s="1"/>
  <c r="C597" i="19"/>
  <c r="J53" i="4"/>
  <c r="E53" i="4"/>
  <c r="G597" i="19" l="1"/>
  <c r="F597" i="19"/>
  <c r="J598" i="18"/>
  <c r="P596" i="5" s="1"/>
  <c r="K51" i="4"/>
  <c r="Q593" i="3"/>
  <c r="M592" i="3"/>
  <c r="U591" i="3"/>
  <c r="F592" i="3"/>
  <c r="J591" i="3"/>
  <c r="R51" i="4"/>
  <c r="K51" i="20" s="1"/>
  <c r="I52" i="4"/>
  <c r="C56" i="3"/>
  <c r="C598" i="19"/>
  <c r="H53" i="4"/>
  <c r="O597" i="5"/>
  <c r="I599" i="18" s="1"/>
  <c r="E54" i="4"/>
  <c r="J54" i="4"/>
  <c r="P55" i="4"/>
  <c r="I55" i="20" s="1"/>
  <c r="C56" i="4"/>
  <c r="D56" i="4" s="1"/>
  <c r="G55" i="4"/>
  <c r="G598" i="19" l="1"/>
  <c r="F598" i="19"/>
  <c r="J599" i="18"/>
  <c r="P597" i="5" s="1"/>
  <c r="K52" i="4"/>
  <c r="Q594" i="3"/>
  <c r="R52" i="4"/>
  <c r="K52" i="20" s="1"/>
  <c r="F593" i="3"/>
  <c r="J592" i="3"/>
  <c r="M593" i="3"/>
  <c r="U592" i="3"/>
  <c r="I53" i="4"/>
  <c r="C57" i="3"/>
  <c r="O598" i="5"/>
  <c r="I600" i="18" s="1"/>
  <c r="P56" i="4"/>
  <c r="I56" i="20" s="1"/>
  <c r="C57" i="4"/>
  <c r="D57" i="4" s="1"/>
  <c r="G56" i="4"/>
  <c r="H54" i="4"/>
  <c r="C599" i="19"/>
  <c r="J55" i="4"/>
  <c r="E55" i="4"/>
  <c r="G599" i="19" l="1"/>
  <c r="F599" i="19"/>
  <c r="J600" i="18"/>
  <c r="P598" i="5" s="1"/>
  <c r="R53" i="4"/>
  <c r="K53" i="20" s="1"/>
  <c r="Q595" i="3"/>
  <c r="K53" i="4"/>
  <c r="M594" i="3"/>
  <c r="U593" i="3"/>
  <c r="F594" i="3"/>
  <c r="J593" i="3"/>
  <c r="I54" i="4"/>
  <c r="C58" i="3"/>
  <c r="H55" i="4"/>
  <c r="O599" i="5"/>
  <c r="I601" i="18" s="1"/>
  <c r="J56" i="4"/>
  <c r="E56" i="4"/>
  <c r="C600" i="19"/>
  <c r="P57" i="4"/>
  <c r="I57" i="20" s="1"/>
  <c r="C58" i="4"/>
  <c r="D58" i="4" s="1"/>
  <c r="G57" i="4"/>
  <c r="G600" i="19" l="1"/>
  <c r="F600" i="19"/>
  <c r="J601" i="18"/>
  <c r="P599" i="5" s="1"/>
  <c r="R54" i="4"/>
  <c r="K54" i="20" s="1"/>
  <c r="K54" i="4"/>
  <c r="Q596" i="3"/>
  <c r="F595" i="3"/>
  <c r="J594" i="3"/>
  <c r="M595" i="3"/>
  <c r="U594" i="3"/>
  <c r="I55" i="4"/>
  <c r="C59" i="3"/>
  <c r="J57" i="4"/>
  <c r="E57" i="4"/>
  <c r="P58" i="4"/>
  <c r="I58" i="20" s="1"/>
  <c r="C59" i="4"/>
  <c r="D59" i="4" s="1"/>
  <c r="G58" i="4"/>
  <c r="C601" i="19"/>
  <c r="H56" i="4"/>
  <c r="O600" i="5"/>
  <c r="I602" i="18" s="1"/>
  <c r="G601" i="19" l="1"/>
  <c r="F601" i="19"/>
  <c r="R55" i="4"/>
  <c r="K55" i="20" s="1"/>
  <c r="J602" i="18"/>
  <c r="P600" i="5" s="1"/>
  <c r="Q597" i="3"/>
  <c r="M596" i="3"/>
  <c r="U595" i="3"/>
  <c r="F596" i="3"/>
  <c r="J595" i="3"/>
  <c r="K55" i="4"/>
  <c r="I56" i="4"/>
  <c r="C60" i="3"/>
  <c r="O601" i="5"/>
  <c r="I603" i="18" s="1"/>
  <c r="C602" i="19"/>
  <c r="P59" i="4"/>
  <c r="I59" i="20" s="1"/>
  <c r="C60" i="4"/>
  <c r="D60" i="4" s="1"/>
  <c r="G59" i="4"/>
  <c r="E58" i="4"/>
  <c r="J58" i="4"/>
  <c r="H57" i="4"/>
  <c r="G602" i="19" l="1"/>
  <c r="F602" i="19"/>
  <c r="R56" i="4"/>
  <c r="K56" i="20" s="1"/>
  <c r="J603" i="18"/>
  <c r="P601" i="5" s="1"/>
  <c r="K56" i="4"/>
  <c r="Q598" i="3"/>
  <c r="F597" i="3"/>
  <c r="J596" i="3"/>
  <c r="M597" i="3"/>
  <c r="U596" i="3"/>
  <c r="I57" i="4"/>
  <c r="C61" i="3"/>
  <c r="C603" i="19"/>
  <c r="H58" i="4"/>
  <c r="P60" i="4"/>
  <c r="I60" i="20" s="1"/>
  <c r="C61" i="4"/>
  <c r="D61" i="4" s="1"/>
  <c r="G60" i="4"/>
  <c r="O602" i="5"/>
  <c r="I604" i="18" s="1"/>
  <c r="J59" i="4"/>
  <c r="E59" i="4"/>
  <c r="G603" i="19" l="1"/>
  <c r="F603" i="19"/>
  <c r="R57" i="4"/>
  <c r="K57" i="20" s="1"/>
  <c r="J604" i="18"/>
  <c r="P602" i="5" s="1"/>
  <c r="K57" i="4"/>
  <c r="Q599" i="3"/>
  <c r="M598" i="3"/>
  <c r="U597" i="3"/>
  <c r="F598" i="3"/>
  <c r="J597" i="3"/>
  <c r="I58" i="4"/>
  <c r="R58" i="4" s="1"/>
  <c r="C62" i="3"/>
  <c r="H59" i="4"/>
  <c r="J60" i="4"/>
  <c r="E60" i="4"/>
  <c r="C604" i="19"/>
  <c r="P61" i="4"/>
  <c r="I61" i="20" s="1"/>
  <c r="C62" i="4"/>
  <c r="D62" i="4" s="1"/>
  <c r="G61" i="4"/>
  <c r="O603" i="5"/>
  <c r="I605" i="18" s="1"/>
  <c r="G604" i="19" l="1"/>
  <c r="F604" i="19"/>
  <c r="J605" i="18"/>
  <c r="P603" i="5" s="1"/>
  <c r="Q600" i="3"/>
  <c r="K58" i="4"/>
  <c r="F599" i="3"/>
  <c r="J598" i="3"/>
  <c r="M599" i="3"/>
  <c r="U598" i="3"/>
  <c r="I59" i="4"/>
  <c r="R59" i="4" s="1"/>
  <c r="C63" i="3"/>
  <c r="K58" i="20"/>
  <c r="C605" i="19"/>
  <c r="H60" i="4"/>
  <c r="O604" i="5"/>
  <c r="I606" i="18" s="1"/>
  <c r="J61" i="4"/>
  <c r="E61" i="4"/>
  <c r="P62" i="4"/>
  <c r="I62" i="20" s="1"/>
  <c r="C63" i="4"/>
  <c r="D63" i="4" s="1"/>
  <c r="G62" i="4"/>
  <c r="G605" i="19" l="1"/>
  <c r="F605" i="19"/>
  <c r="J606" i="18"/>
  <c r="P604" i="5" s="1"/>
  <c r="Q601" i="3"/>
  <c r="K59" i="4"/>
  <c r="M600" i="3"/>
  <c r="U599" i="3"/>
  <c r="F600" i="3"/>
  <c r="J599" i="3"/>
  <c r="I60" i="4"/>
  <c r="R60" i="4" s="1"/>
  <c r="C64" i="3"/>
  <c r="O605" i="5"/>
  <c r="I607" i="18" s="1"/>
  <c r="E62" i="4"/>
  <c r="J62" i="4"/>
  <c r="K59" i="20"/>
  <c r="P63" i="4"/>
  <c r="I63" i="20" s="1"/>
  <c r="C64" i="4"/>
  <c r="D64" i="4" s="1"/>
  <c r="G63" i="4"/>
  <c r="H61" i="4"/>
  <c r="C606" i="19"/>
  <c r="G606" i="19" l="1"/>
  <c r="F606" i="19"/>
  <c r="J607" i="18"/>
  <c r="P605" i="5" s="1"/>
  <c r="Q602" i="3"/>
  <c r="F601" i="3"/>
  <c r="J600" i="3"/>
  <c r="M601" i="3"/>
  <c r="U600" i="3"/>
  <c r="K60" i="4"/>
  <c r="I61" i="4"/>
  <c r="R61" i="4" s="1"/>
  <c r="C65" i="3"/>
  <c r="C607" i="19"/>
  <c r="P64" i="4"/>
  <c r="I64" i="20" s="1"/>
  <c r="C65" i="4"/>
  <c r="D65" i="4" s="1"/>
  <c r="G64" i="4"/>
  <c r="H62" i="4"/>
  <c r="J63" i="4"/>
  <c r="E63" i="4"/>
  <c r="K60" i="20"/>
  <c r="O606" i="5"/>
  <c r="I608" i="18" s="1"/>
  <c r="G607" i="19" l="1"/>
  <c r="F607" i="19"/>
  <c r="J608" i="18"/>
  <c r="P606" i="5" s="1"/>
  <c r="Q603" i="3"/>
  <c r="M602" i="3"/>
  <c r="U601" i="3"/>
  <c r="F602" i="3"/>
  <c r="J601" i="3"/>
  <c r="K61" i="4"/>
  <c r="I62" i="4"/>
  <c r="R62" i="4" s="1"/>
  <c r="C66" i="3"/>
  <c r="P65" i="4"/>
  <c r="I65" i="20" s="1"/>
  <c r="C66" i="4"/>
  <c r="D66" i="4" s="1"/>
  <c r="G65" i="4"/>
  <c r="O607" i="5"/>
  <c r="I609" i="18" s="1"/>
  <c r="C608" i="19"/>
  <c r="H63" i="4"/>
  <c r="K61" i="20"/>
  <c r="J64" i="4"/>
  <c r="E64" i="4"/>
  <c r="G608" i="19" l="1"/>
  <c r="F608" i="19"/>
  <c r="J609" i="18"/>
  <c r="P607" i="5" s="1"/>
  <c r="Q604" i="3"/>
  <c r="K62" i="4"/>
  <c r="F603" i="3"/>
  <c r="J602" i="3"/>
  <c r="M603" i="3"/>
  <c r="U602" i="3"/>
  <c r="I63" i="4"/>
  <c r="R63" i="4" s="1"/>
  <c r="C67" i="3"/>
  <c r="H64" i="4"/>
  <c r="K62" i="20"/>
  <c r="J65" i="4"/>
  <c r="E65" i="4"/>
  <c r="C609" i="19"/>
  <c r="O608" i="5"/>
  <c r="I610" i="18" s="1"/>
  <c r="P66" i="4"/>
  <c r="I66" i="20" s="1"/>
  <c r="C67" i="4"/>
  <c r="D67" i="4" s="1"/>
  <c r="G66" i="4"/>
  <c r="G609" i="19" l="1"/>
  <c r="F609" i="19"/>
  <c r="J610" i="18"/>
  <c r="P608" i="5" s="1"/>
  <c r="Q605" i="3"/>
  <c r="K63" i="4"/>
  <c r="M604" i="3"/>
  <c r="U603" i="3"/>
  <c r="F604" i="3"/>
  <c r="J603" i="3"/>
  <c r="I64" i="4"/>
  <c r="R64" i="4" s="1"/>
  <c r="C68" i="3"/>
  <c r="P67" i="4"/>
  <c r="I67" i="20" s="1"/>
  <c r="C68" i="4"/>
  <c r="D68" i="4" s="1"/>
  <c r="G67" i="4"/>
  <c r="C610" i="19"/>
  <c r="K63" i="20"/>
  <c r="E66" i="4"/>
  <c r="J66" i="4"/>
  <c r="H65" i="4"/>
  <c r="O609" i="5"/>
  <c r="I611" i="18" s="1"/>
  <c r="G610" i="19" l="1"/>
  <c r="F610" i="19"/>
  <c r="J611" i="18"/>
  <c r="P609" i="5" s="1"/>
  <c r="K64" i="4"/>
  <c r="Q606" i="3"/>
  <c r="F605" i="3"/>
  <c r="J604" i="3"/>
  <c r="M605" i="3"/>
  <c r="U604" i="3"/>
  <c r="I65" i="4"/>
  <c r="C69" i="3"/>
  <c r="O610" i="5"/>
  <c r="I612" i="18" s="1"/>
  <c r="J67" i="4"/>
  <c r="E67" i="4"/>
  <c r="H66" i="4"/>
  <c r="K64" i="20"/>
  <c r="C611" i="19"/>
  <c r="P68" i="4"/>
  <c r="I68" i="20" s="1"/>
  <c r="C69" i="4"/>
  <c r="D69" i="4" s="1"/>
  <c r="G68" i="4"/>
  <c r="G611" i="19" l="1"/>
  <c r="F611" i="19"/>
  <c r="J612" i="18"/>
  <c r="P610" i="5" s="1"/>
  <c r="Q607" i="3"/>
  <c r="M606" i="3"/>
  <c r="U605" i="3"/>
  <c r="F606" i="3"/>
  <c r="J605" i="3"/>
  <c r="R65" i="4"/>
  <c r="K65" i="20" s="1"/>
  <c r="K65" i="4"/>
  <c r="I66" i="4"/>
  <c r="C70" i="3"/>
  <c r="O611" i="5"/>
  <c r="I613" i="18" s="1"/>
  <c r="J68" i="4"/>
  <c r="E68" i="4"/>
  <c r="H67" i="4"/>
  <c r="P69" i="4"/>
  <c r="I69" i="20" s="1"/>
  <c r="C70" i="4"/>
  <c r="D70" i="4" s="1"/>
  <c r="G69" i="4"/>
  <c r="C612" i="19"/>
  <c r="G612" i="19" l="1"/>
  <c r="F612" i="19"/>
  <c r="J613" i="18"/>
  <c r="P611" i="5" s="1"/>
  <c r="R66" i="4"/>
  <c r="K66" i="20" s="1"/>
  <c r="Q608" i="3"/>
  <c r="F607" i="3"/>
  <c r="J606" i="3"/>
  <c r="M607" i="3"/>
  <c r="U606" i="3"/>
  <c r="K66" i="4"/>
  <c r="I67" i="4"/>
  <c r="C71" i="3"/>
  <c r="H68" i="4"/>
  <c r="J69" i="4"/>
  <c r="E69" i="4"/>
  <c r="C613" i="19"/>
  <c r="P70" i="4"/>
  <c r="I70" i="20" s="1"/>
  <c r="C71" i="4"/>
  <c r="D71" i="4" s="1"/>
  <c r="G70" i="4"/>
  <c r="O612" i="5"/>
  <c r="I614" i="18" s="1"/>
  <c r="G613" i="19" l="1"/>
  <c r="F613" i="19"/>
  <c r="J614" i="18"/>
  <c r="P612" i="5" s="1"/>
  <c r="R67" i="4"/>
  <c r="K67" i="20" s="1"/>
  <c r="Q609" i="3"/>
  <c r="K67" i="4"/>
  <c r="M608" i="3"/>
  <c r="U607" i="3"/>
  <c r="F608" i="3"/>
  <c r="J607" i="3"/>
  <c r="I68" i="4"/>
  <c r="C72" i="3"/>
  <c r="O613" i="5"/>
  <c r="I615" i="18" s="1"/>
  <c r="H69" i="4"/>
  <c r="E70" i="4"/>
  <c r="J70" i="4"/>
  <c r="P71" i="4"/>
  <c r="I71" i="20" s="1"/>
  <c r="C72" i="4"/>
  <c r="D72" i="4" s="1"/>
  <c r="G71" i="4"/>
  <c r="C614" i="19"/>
  <c r="G614" i="19" l="1"/>
  <c r="F614" i="19"/>
  <c r="J615" i="18"/>
  <c r="P613" i="5" s="1"/>
  <c r="R68" i="4"/>
  <c r="K68" i="20" s="1"/>
  <c r="Q610" i="3"/>
  <c r="F609" i="3"/>
  <c r="J608" i="3"/>
  <c r="M609" i="3"/>
  <c r="U608" i="3"/>
  <c r="K68" i="4"/>
  <c r="I69" i="4"/>
  <c r="C73" i="3"/>
  <c r="C615" i="19"/>
  <c r="P72" i="4"/>
  <c r="I72" i="20" s="1"/>
  <c r="C73" i="4"/>
  <c r="D73" i="4" s="1"/>
  <c r="G72" i="4"/>
  <c r="O614" i="5"/>
  <c r="I616" i="18" s="1"/>
  <c r="H70" i="4"/>
  <c r="J71" i="4"/>
  <c r="E71" i="4"/>
  <c r="G615" i="19" l="1"/>
  <c r="F615" i="19"/>
  <c r="J616" i="18"/>
  <c r="P614" i="5" s="1"/>
  <c r="R69" i="4"/>
  <c r="K69" i="20" s="1"/>
  <c r="Q611" i="3"/>
  <c r="K69" i="4"/>
  <c r="M610" i="3"/>
  <c r="U609" i="3"/>
  <c r="F610" i="3"/>
  <c r="J609" i="3"/>
  <c r="I70" i="4"/>
  <c r="C74" i="3"/>
  <c r="J72" i="4"/>
  <c r="E72" i="4"/>
  <c r="O615" i="5"/>
  <c r="I617" i="18" s="1"/>
  <c r="P73" i="4"/>
  <c r="I73" i="20" s="1"/>
  <c r="C74" i="4"/>
  <c r="D74" i="4" s="1"/>
  <c r="G73" i="4"/>
  <c r="C616" i="19"/>
  <c r="H71" i="4"/>
  <c r="G616" i="19" l="1"/>
  <c r="F616" i="19"/>
  <c r="J617" i="18"/>
  <c r="P615" i="5" s="1"/>
  <c r="R70" i="4"/>
  <c r="K70" i="20" s="1"/>
  <c r="Q612" i="3"/>
  <c r="F611" i="3"/>
  <c r="J610" i="3"/>
  <c r="K70" i="4"/>
  <c r="M611" i="3"/>
  <c r="U610" i="3"/>
  <c r="I71" i="4"/>
  <c r="C75" i="3"/>
  <c r="J73" i="4"/>
  <c r="E73" i="4"/>
  <c r="H72" i="4"/>
  <c r="C617" i="19"/>
  <c r="P74" i="4"/>
  <c r="I74" i="20" s="1"/>
  <c r="C75" i="4"/>
  <c r="D75" i="4" s="1"/>
  <c r="G74" i="4"/>
  <c r="O616" i="5"/>
  <c r="I618" i="18" s="1"/>
  <c r="G617" i="19" l="1"/>
  <c r="F617" i="19"/>
  <c r="R71" i="4"/>
  <c r="K71" i="20" s="1"/>
  <c r="J618" i="18"/>
  <c r="P616" i="5" s="1"/>
  <c r="Q613" i="3"/>
  <c r="K71" i="4"/>
  <c r="M612" i="3"/>
  <c r="U611" i="3"/>
  <c r="F612" i="3"/>
  <c r="J611" i="3"/>
  <c r="I72" i="4"/>
  <c r="C76" i="3"/>
  <c r="O617" i="5"/>
  <c r="I619" i="18" s="1"/>
  <c r="H73" i="4"/>
  <c r="E74" i="4"/>
  <c r="J74" i="4"/>
  <c r="P75" i="4"/>
  <c r="I75" i="20" s="1"/>
  <c r="C76" i="4"/>
  <c r="D76" i="4" s="1"/>
  <c r="G75" i="4"/>
  <c r="C618" i="19"/>
  <c r="G618" i="19" l="1"/>
  <c r="F618" i="19"/>
  <c r="J619" i="18"/>
  <c r="P617" i="5" s="1"/>
  <c r="K72" i="4"/>
  <c r="Q614" i="3"/>
  <c r="F613" i="3"/>
  <c r="J612" i="3"/>
  <c r="M613" i="3"/>
  <c r="U612" i="3"/>
  <c r="R72" i="4"/>
  <c r="K72" i="20" s="1"/>
  <c r="I73" i="4"/>
  <c r="C77" i="3"/>
  <c r="J75" i="4"/>
  <c r="E75" i="4"/>
  <c r="C619" i="19"/>
  <c r="P76" i="4"/>
  <c r="I76" i="20" s="1"/>
  <c r="C77" i="4"/>
  <c r="D77" i="4" s="1"/>
  <c r="G76" i="4"/>
  <c r="H74" i="4"/>
  <c r="O618" i="5"/>
  <c r="I620" i="18" s="1"/>
  <c r="G619" i="19" l="1"/>
  <c r="F619" i="19"/>
  <c r="J620" i="18"/>
  <c r="P618" i="5" s="1"/>
  <c r="K73" i="4"/>
  <c r="Q615" i="3"/>
  <c r="M614" i="3"/>
  <c r="U613" i="3"/>
  <c r="F614" i="3"/>
  <c r="J613" i="3"/>
  <c r="R73" i="4"/>
  <c r="K73" i="20" s="1"/>
  <c r="I74" i="4"/>
  <c r="C78" i="3"/>
  <c r="J76" i="4"/>
  <c r="E76" i="4"/>
  <c r="O619" i="5"/>
  <c r="I621" i="18" s="1"/>
  <c r="P77" i="4"/>
  <c r="I77" i="20" s="1"/>
  <c r="C78" i="4"/>
  <c r="D78" i="4" s="1"/>
  <c r="G77" i="4"/>
  <c r="C620" i="19"/>
  <c r="H75" i="4"/>
  <c r="G620" i="19" l="1"/>
  <c r="F620" i="19"/>
  <c r="J621" i="18"/>
  <c r="P619" i="5" s="1"/>
  <c r="Q616" i="3"/>
  <c r="R74" i="4"/>
  <c r="K74" i="20" s="1"/>
  <c r="F615" i="3"/>
  <c r="J614" i="3"/>
  <c r="M615" i="3"/>
  <c r="U614" i="3"/>
  <c r="K74" i="4"/>
  <c r="I75" i="4"/>
  <c r="C79" i="3"/>
  <c r="O620" i="5"/>
  <c r="I622" i="18" s="1"/>
  <c r="C621" i="19"/>
  <c r="J77" i="4"/>
  <c r="E77" i="4"/>
  <c r="H76" i="4"/>
  <c r="P78" i="4"/>
  <c r="I78" i="20" s="1"/>
  <c r="C79" i="4"/>
  <c r="D79" i="4" s="1"/>
  <c r="G78" i="4"/>
  <c r="G621" i="19" l="1"/>
  <c r="F621" i="19"/>
  <c r="J622" i="18"/>
  <c r="P620" i="5" s="1"/>
  <c r="R75" i="4"/>
  <c r="K75" i="20" s="1"/>
  <c r="Q617" i="3"/>
  <c r="K75" i="4"/>
  <c r="M616" i="3"/>
  <c r="U615" i="3"/>
  <c r="F616" i="3"/>
  <c r="J615" i="3"/>
  <c r="I76" i="4"/>
  <c r="C80" i="3"/>
  <c r="C622" i="19"/>
  <c r="O621" i="5"/>
  <c r="I623" i="18" s="1"/>
  <c r="E78" i="4"/>
  <c r="J78" i="4"/>
  <c r="P79" i="4"/>
  <c r="I79" i="20" s="1"/>
  <c r="C80" i="4"/>
  <c r="D80" i="4" s="1"/>
  <c r="G79" i="4"/>
  <c r="H77" i="4"/>
  <c r="G622" i="19" l="1"/>
  <c r="F622" i="19"/>
  <c r="J623" i="18"/>
  <c r="P621" i="5" s="1"/>
  <c r="Q618" i="3"/>
  <c r="K76" i="4"/>
  <c r="R76" i="4"/>
  <c r="K76" i="20" s="1"/>
  <c r="F617" i="3"/>
  <c r="J616" i="3"/>
  <c r="M617" i="3"/>
  <c r="U616" i="3"/>
  <c r="I77" i="4"/>
  <c r="C81" i="3"/>
  <c r="J79" i="4"/>
  <c r="E79" i="4"/>
  <c r="C623" i="19"/>
  <c r="P80" i="4"/>
  <c r="I80" i="20" s="1"/>
  <c r="C81" i="4"/>
  <c r="D81" i="4" s="1"/>
  <c r="G80" i="4"/>
  <c r="H78" i="4"/>
  <c r="O622" i="5"/>
  <c r="I624" i="18" s="1"/>
  <c r="G623" i="19" l="1"/>
  <c r="F623" i="19"/>
  <c r="J624" i="18"/>
  <c r="P622" i="5" s="1"/>
  <c r="R77" i="4"/>
  <c r="K77" i="20" s="1"/>
  <c r="Q619" i="3"/>
  <c r="K77" i="4"/>
  <c r="M618" i="3"/>
  <c r="U617" i="3"/>
  <c r="F618" i="3"/>
  <c r="J617" i="3"/>
  <c r="I78" i="4"/>
  <c r="C82" i="3"/>
  <c r="P81" i="4"/>
  <c r="I81" i="20" s="1"/>
  <c r="C82" i="4"/>
  <c r="D82" i="4" s="1"/>
  <c r="G81" i="4"/>
  <c r="H79" i="4"/>
  <c r="O623" i="5"/>
  <c r="I625" i="18" s="1"/>
  <c r="C624" i="19"/>
  <c r="J80" i="4"/>
  <c r="E80" i="4"/>
  <c r="G624" i="19" l="1"/>
  <c r="F624" i="19"/>
  <c r="J625" i="18"/>
  <c r="P623" i="5" s="1"/>
  <c r="R78" i="4"/>
  <c r="K78" i="20" s="1"/>
  <c r="K78" i="4"/>
  <c r="Q620" i="3"/>
  <c r="F619" i="3"/>
  <c r="J618" i="3"/>
  <c r="M619" i="3"/>
  <c r="U618" i="3"/>
  <c r="I79" i="4"/>
  <c r="C83" i="3"/>
  <c r="H80" i="4"/>
  <c r="C625" i="19"/>
  <c r="O624" i="5"/>
  <c r="I626" i="18" s="1"/>
  <c r="J81" i="4"/>
  <c r="E81" i="4"/>
  <c r="P82" i="4"/>
  <c r="I82" i="20" s="1"/>
  <c r="C83" i="4"/>
  <c r="D83" i="4" s="1"/>
  <c r="G82" i="4"/>
  <c r="G625" i="19" l="1"/>
  <c r="F625" i="19"/>
  <c r="R79" i="4"/>
  <c r="K79" i="20" s="1"/>
  <c r="J626" i="18"/>
  <c r="P624" i="5" s="1"/>
  <c r="K79" i="4"/>
  <c r="Q621" i="3"/>
  <c r="M620" i="3"/>
  <c r="U619" i="3"/>
  <c r="F620" i="3"/>
  <c r="J619" i="3"/>
  <c r="I80" i="4"/>
  <c r="C84" i="3"/>
  <c r="E82" i="4"/>
  <c r="J82" i="4"/>
  <c r="P83" i="4"/>
  <c r="I83" i="20" s="1"/>
  <c r="C84" i="4"/>
  <c r="D84" i="4" s="1"/>
  <c r="G83" i="4"/>
  <c r="C626" i="19"/>
  <c r="H81" i="4"/>
  <c r="O625" i="5"/>
  <c r="I627" i="18" s="1"/>
  <c r="G626" i="19" l="1"/>
  <c r="F626" i="19"/>
  <c r="R80" i="4"/>
  <c r="K80" i="20" s="1"/>
  <c r="J627" i="18"/>
  <c r="P625" i="5" s="1"/>
  <c r="Q622" i="3"/>
  <c r="K80" i="4"/>
  <c r="F621" i="3"/>
  <c r="J620" i="3"/>
  <c r="M621" i="3"/>
  <c r="U620" i="3"/>
  <c r="I81" i="4"/>
  <c r="R81" i="4" s="1"/>
  <c r="C85" i="3"/>
  <c r="O626" i="5"/>
  <c r="I628" i="18" s="1"/>
  <c r="C627" i="19"/>
  <c r="J83" i="4"/>
  <c r="E83" i="4"/>
  <c r="P84" i="4"/>
  <c r="I84" i="20" s="1"/>
  <c r="C85" i="4"/>
  <c r="D85" i="4" s="1"/>
  <c r="G84" i="4"/>
  <c r="H82" i="4"/>
  <c r="G627" i="19" l="1"/>
  <c r="F627" i="19"/>
  <c r="J628" i="18"/>
  <c r="P626" i="5" s="1"/>
  <c r="Q623" i="3"/>
  <c r="K81" i="4"/>
  <c r="M622" i="3"/>
  <c r="U621" i="3"/>
  <c r="F622" i="3"/>
  <c r="J621" i="3"/>
  <c r="I82" i="4"/>
  <c r="R82" i="4" s="1"/>
  <c r="C86" i="3"/>
  <c r="H83" i="4"/>
  <c r="K81" i="20"/>
  <c r="J84" i="4"/>
  <c r="E84" i="4"/>
  <c r="C628" i="19"/>
  <c r="P85" i="4"/>
  <c r="I85" i="20" s="1"/>
  <c r="C86" i="4"/>
  <c r="D86" i="4" s="1"/>
  <c r="G85" i="4"/>
  <c r="O627" i="5"/>
  <c r="I629" i="18" s="1"/>
  <c r="G628" i="19" l="1"/>
  <c r="F628" i="19"/>
  <c r="J629" i="18"/>
  <c r="P627" i="5" s="1"/>
  <c r="Q624" i="3"/>
  <c r="F623" i="3"/>
  <c r="J622" i="3"/>
  <c r="M623" i="3"/>
  <c r="U622" i="3"/>
  <c r="K82" i="4"/>
  <c r="I83" i="4"/>
  <c r="R83" i="4" s="1"/>
  <c r="C87" i="3"/>
  <c r="P86" i="4"/>
  <c r="I86" i="20" s="1"/>
  <c r="C87" i="4"/>
  <c r="D87" i="4" s="1"/>
  <c r="G86" i="4"/>
  <c r="H84" i="4"/>
  <c r="C629" i="19"/>
  <c r="O628" i="5"/>
  <c r="I630" i="18" s="1"/>
  <c r="J85" i="4"/>
  <c r="E85" i="4"/>
  <c r="K82" i="20"/>
  <c r="G629" i="19" l="1"/>
  <c r="F629" i="19"/>
  <c r="J630" i="18"/>
  <c r="P628" i="5" s="1"/>
  <c r="Q625" i="3"/>
  <c r="K83" i="4"/>
  <c r="M624" i="3"/>
  <c r="U623" i="3"/>
  <c r="F624" i="3"/>
  <c r="J623" i="3"/>
  <c r="I84" i="4"/>
  <c r="C88" i="3"/>
  <c r="H85" i="4"/>
  <c r="O629" i="5"/>
  <c r="I631" i="18" s="1"/>
  <c r="E86" i="4"/>
  <c r="J86" i="4"/>
  <c r="K83" i="20"/>
  <c r="C630" i="19"/>
  <c r="P87" i="4"/>
  <c r="I87" i="20" s="1"/>
  <c r="C88" i="4"/>
  <c r="D88" i="4" s="1"/>
  <c r="G87" i="4"/>
  <c r="G630" i="19" l="1"/>
  <c r="F630" i="19"/>
  <c r="J631" i="18"/>
  <c r="P629" i="5" s="1"/>
  <c r="K84" i="4"/>
  <c r="Q626" i="3"/>
  <c r="R84" i="4"/>
  <c r="K84" i="20" s="1"/>
  <c r="F625" i="3"/>
  <c r="J624" i="3"/>
  <c r="M625" i="3"/>
  <c r="U624" i="3"/>
  <c r="I85" i="4"/>
  <c r="C89" i="3"/>
  <c r="C631" i="19"/>
  <c r="J87" i="4"/>
  <c r="E87" i="4"/>
  <c r="H86" i="4"/>
  <c r="P88" i="4"/>
  <c r="I88" i="20" s="1"/>
  <c r="C89" i="4"/>
  <c r="D89" i="4" s="1"/>
  <c r="G88" i="4"/>
  <c r="O630" i="5"/>
  <c r="I632" i="18" s="1"/>
  <c r="G631" i="19" l="1"/>
  <c r="F631" i="19"/>
  <c r="J632" i="18"/>
  <c r="P630" i="5" s="1"/>
  <c r="R85" i="4"/>
  <c r="K85" i="20" s="1"/>
  <c r="K85" i="4"/>
  <c r="Q627" i="3"/>
  <c r="M626" i="3"/>
  <c r="U625" i="3"/>
  <c r="F626" i="3"/>
  <c r="J625" i="3"/>
  <c r="I86" i="4"/>
  <c r="C90" i="3"/>
  <c r="J88" i="4"/>
  <c r="E88" i="4"/>
  <c r="P89" i="4"/>
  <c r="I89" i="20" s="1"/>
  <c r="C90" i="4"/>
  <c r="D90" i="4" s="1"/>
  <c r="G89" i="4"/>
  <c r="O631" i="5"/>
  <c r="I633" i="18" s="1"/>
  <c r="H87" i="4"/>
  <c r="C632" i="19"/>
  <c r="G632" i="19" l="1"/>
  <c r="F632" i="19"/>
  <c r="J633" i="18"/>
  <c r="P631" i="5" s="1"/>
  <c r="R86" i="4"/>
  <c r="K86" i="20" s="1"/>
  <c r="K86" i="4"/>
  <c r="Q628" i="3"/>
  <c r="F627" i="3"/>
  <c r="J626" i="3"/>
  <c r="M627" i="3"/>
  <c r="U626" i="3"/>
  <c r="I87" i="4"/>
  <c r="C91" i="3"/>
  <c r="O632" i="5"/>
  <c r="I634" i="18" s="1"/>
  <c r="J89" i="4"/>
  <c r="E89" i="4"/>
  <c r="H88" i="4"/>
  <c r="C633" i="19"/>
  <c r="P90" i="4"/>
  <c r="I90" i="20" s="1"/>
  <c r="C91" i="4"/>
  <c r="D91" i="4" s="1"/>
  <c r="G90" i="4"/>
  <c r="G633" i="19" l="1"/>
  <c r="F633" i="19"/>
  <c r="J634" i="18"/>
  <c r="P632" i="5" s="1"/>
  <c r="R87" i="4"/>
  <c r="K87" i="20" s="1"/>
  <c r="K87" i="4"/>
  <c r="Q629" i="3"/>
  <c r="M628" i="3"/>
  <c r="U627" i="3"/>
  <c r="F628" i="3"/>
  <c r="J627" i="3"/>
  <c r="I88" i="4"/>
  <c r="C92" i="3"/>
  <c r="E90" i="4"/>
  <c r="J90" i="4"/>
  <c r="O633" i="5"/>
  <c r="I635" i="18" s="1"/>
  <c r="P91" i="4"/>
  <c r="I91" i="20" s="1"/>
  <c r="C92" i="4"/>
  <c r="D92" i="4" s="1"/>
  <c r="G91" i="4"/>
  <c r="H89" i="4"/>
  <c r="C634" i="19"/>
  <c r="G634" i="19" l="1"/>
  <c r="F634" i="19"/>
  <c r="J635" i="18"/>
  <c r="P633" i="5" s="1"/>
  <c r="K88" i="4"/>
  <c r="R88" i="4"/>
  <c r="K88" i="20" s="1"/>
  <c r="Q630" i="3"/>
  <c r="F629" i="3"/>
  <c r="J628" i="3"/>
  <c r="M629" i="3"/>
  <c r="U628" i="3"/>
  <c r="I89" i="4"/>
  <c r="C93" i="3"/>
  <c r="P92" i="4"/>
  <c r="I92" i="20" s="1"/>
  <c r="C93" i="4"/>
  <c r="D93" i="4" s="1"/>
  <c r="G92" i="4"/>
  <c r="H90" i="4"/>
  <c r="O634" i="5"/>
  <c r="I636" i="18" s="1"/>
  <c r="C635" i="19"/>
  <c r="J91" i="4"/>
  <c r="E91" i="4"/>
  <c r="G635" i="19" l="1"/>
  <c r="F635" i="19"/>
  <c r="J636" i="18"/>
  <c r="P634" i="5" s="1"/>
  <c r="R89" i="4"/>
  <c r="K89" i="20" s="1"/>
  <c r="Q631" i="3"/>
  <c r="K89" i="4"/>
  <c r="M630" i="3"/>
  <c r="U629" i="3"/>
  <c r="J629" i="3"/>
  <c r="F630" i="3"/>
  <c r="I90" i="4"/>
  <c r="C94" i="3"/>
  <c r="C636" i="19"/>
  <c r="O635" i="5"/>
  <c r="I637" i="18" s="1"/>
  <c r="J92" i="4"/>
  <c r="E92" i="4"/>
  <c r="H91" i="4"/>
  <c r="P93" i="4"/>
  <c r="I93" i="20" s="1"/>
  <c r="C94" i="4"/>
  <c r="D94" i="4" s="1"/>
  <c r="G93" i="4"/>
  <c r="G636" i="19" l="1"/>
  <c r="F636" i="19"/>
  <c r="J637" i="18"/>
  <c r="P635" i="5" s="1"/>
  <c r="K90" i="4"/>
  <c r="R90" i="4"/>
  <c r="K90" i="20" s="1"/>
  <c r="Q632" i="3"/>
  <c r="F631" i="3"/>
  <c r="J630" i="3"/>
  <c r="U630" i="3"/>
  <c r="M631" i="3"/>
  <c r="I91" i="4"/>
  <c r="C95" i="3"/>
  <c r="C637" i="19"/>
  <c r="H92" i="4"/>
  <c r="O636" i="5"/>
  <c r="I638" i="18" s="1"/>
  <c r="J93" i="4"/>
  <c r="E93" i="4"/>
  <c r="P94" i="4"/>
  <c r="I94" i="20" s="1"/>
  <c r="C95" i="4"/>
  <c r="D95" i="4" s="1"/>
  <c r="G94" i="4"/>
  <c r="G637" i="19" l="1"/>
  <c r="F637" i="19"/>
  <c r="J638" i="18"/>
  <c r="P636" i="5" s="1"/>
  <c r="R91" i="4"/>
  <c r="K91" i="20" s="1"/>
  <c r="K91" i="4"/>
  <c r="Q633" i="3"/>
  <c r="M632" i="3"/>
  <c r="U631" i="3"/>
  <c r="J631" i="3"/>
  <c r="F632" i="3"/>
  <c r="I92" i="4"/>
  <c r="C96" i="3"/>
  <c r="O637" i="5"/>
  <c r="I639" i="18" s="1"/>
  <c r="H93" i="4"/>
  <c r="E94" i="4"/>
  <c r="J94" i="4"/>
  <c r="P95" i="4"/>
  <c r="I95" i="20" s="1"/>
  <c r="C96" i="4"/>
  <c r="D96" i="4" s="1"/>
  <c r="G95" i="4"/>
  <c r="C638" i="19"/>
  <c r="G638" i="19" l="1"/>
  <c r="F638" i="19"/>
  <c r="J639" i="18"/>
  <c r="P637" i="5" s="1"/>
  <c r="K92" i="4"/>
  <c r="R92" i="4"/>
  <c r="K92" i="20" s="1"/>
  <c r="Q634" i="3"/>
  <c r="F633" i="3"/>
  <c r="J632" i="3"/>
  <c r="U632" i="3"/>
  <c r="M633" i="3"/>
  <c r="I93" i="4"/>
  <c r="C97" i="3"/>
  <c r="O638" i="5"/>
  <c r="I640" i="18" s="1"/>
  <c r="C639" i="19"/>
  <c r="H94" i="4"/>
  <c r="J95" i="4"/>
  <c r="E95" i="4"/>
  <c r="P96" i="4"/>
  <c r="I96" i="20" s="1"/>
  <c r="C97" i="4"/>
  <c r="D97" i="4" s="1"/>
  <c r="G96" i="4"/>
  <c r="G639" i="19" l="1"/>
  <c r="F639" i="19"/>
  <c r="J640" i="18"/>
  <c r="P638" i="5" s="1"/>
  <c r="K93" i="4"/>
  <c r="Q635" i="3"/>
  <c r="M634" i="3"/>
  <c r="U633" i="3"/>
  <c r="J633" i="3"/>
  <c r="F634" i="3"/>
  <c r="R93" i="4"/>
  <c r="K93" i="20" s="1"/>
  <c r="I94" i="4"/>
  <c r="C98" i="3"/>
  <c r="P97" i="4"/>
  <c r="I97" i="20" s="1"/>
  <c r="C98" i="4"/>
  <c r="D98" i="4" s="1"/>
  <c r="G97" i="4"/>
  <c r="H95" i="4"/>
  <c r="O639" i="5"/>
  <c r="I641" i="18" s="1"/>
  <c r="J96" i="4"/>
  <c r="E96" i="4"/>
  <c r="C640" i="19"/>
  <c r="G640" i="19" l="1"/>
  <c r="F640" i="19"/>
  <c r="J641" i="18"/>
  <c r="P639" i="5" s="1"/>
  <c r="K94" i="4"/>
  <c r="Q636" i="3"/>
  <c r="R94" i="4"/>
  <c r="K94" i="20" s="1"/>
  <c r="J634" i="3"/>
  <c r="F635" i="3"/>
  <c r="M635" i="3"/>
  <c r="U634" i="3"/>
  <c r="I95" i="4"/>
  <c r="C99" i="3"/>
  <c r="H96" i="4"/>
  <c r="C641" i="19"/>
  <c r="O640" i="5"/>
  <c r="I642" i="18" s="1"/>
  <c r="J97" i="4"/>
  <c r="E97" i="4"/>
  <c r="P98" i="4"/>
  <c r="I98" i="20" s="1"/>
  <c r="C99" i="4"/>
  <c r="D99" i="4" s="1"/>
  <c r="G98" i="4"/>
  <c r="G641" i="19" l="1"/>
  <c r="F641" i="19"/>
  <c r="J642" i="18"/>
  <c r="P640" i="5" s="1"/>
  <c r="R95" i="4"/>
  <c r="K95" i="20" s="1"/>
  <c r="K95" i="4"/>
  <c r="Q637" i="3"/>
  <c r="M636" i="3"/>
  <c r="U635" i="3"/>
  <c r="J635" i="3"/>
  <c r="F636" i="3"/>
  <c r="I96" i="4"/>
  <c r="C100" i="3"/>
  <c r="E98" i="4"/>
  <c r="J98" i="4"/>
  <c r="C642" i="19"/>
  <c r="P99" i="4"/>
  <c r="I99" i="20" s="1"/>
  <c r="C100" i="4"/>
  <c r="D100" i="4" s="1"/>
  <c r="G99" i="4"/>
  <c r="H97" i="4"/>
  <c r="O641" i="5"/>
  <c r="I643" i="18" s="1"/>
  <c r="G642" i="19" l="1"/>
  <c r="F642" i="19"/>
  <c r="J643" i="18"/>
  <c r="P641" i="5" s="1"/>
  <c r="K96" i="4"/>
  <c r="Q638" i="3"/>
  <c r="F637" i="3"/>
  <c r="J636" i="3"/>
  <c r="U636" i="3"/>
  <c r="M637" i="3"/>
  <c r="R96" i="4"/>
  <c r="K96" i="20" s="1"/>
  <c r="I97" i="4"/>
  <c r="C101" i="3"/>
  <c r="J99" i="4"/>
  <c r="E99" i="4"/>
  <c r="O642" i="5"/>
  <c r="I644" i="18" s="1"/>
  <c r="P100" i="4"/>
  <c r="I100" i="20" s="1"/>
  <c r="C101" i="4"/>
  <c r="D101" i="4" s="1"/>
  <c r="G100" i="4"/>
  <c r="C643" i="19"/>
  <c r="H98" i="4"/>
  <c r="G643" i="19" l="1"/>
  <c r="F643" i="19"/>
  <c r="J644" i="18"/>
  <c r="P642" i="5" s="1"/>
  <c r="K97" i="4"/>
  <c r="Q639" i="3"/>
  <c r="M638" i="3"/>
  <c r="U637" i="3"/>
  <c r="F638" i="3"/>
  <c r="J637" i="3"/>
  <c r="R97" i="4"/>
  <c r="K97" i="20" s="1"/>
  <c r="I98" i="4"/>
  <c r="C102" i="3"/>
  <c r="J100" i="4"/>
  <c r="E100" i="4"/>
  <c r="O643" i="5"/>
  <c r="I645" i="18" s="1"/>
  <c r="C644" i="19"/>
  <c r="P101" i="4"/>
  <c r="I101" i="20" s="1"/>
  <c r="C102" i="4"/>
  <c r="D102" i="4" s="1"/>
  <c r="G101" i="4"/>
  <c r="H99" i="4"/>
  <c r="G644" i="19" l="1"/>
  <c r="F644" i="19"/>
  <c r="J645" i="18"/>
  <c r="P643" i="5" s="1"/>
  <c r="K98" i="4"/>
  <c r="Q640" i="3"/>
  <c r="F639" i="3"/>
  <c r="J638" i="3"/>
  <c r="M639" i="3"/>
  <c r="U638" i="3"/>
  <c r="R98" i="4"/>
  <c r="K98" i="20" s="1"/>
  <c r="I99" i="4"/>
  <c r="C103" i="3"/>
  <c r="O644" i="5"/>
  <c r="I646" i="18" s="1"/>
  <c r="J101" i="4"/>
  <c r="E101" i="4"/>
  <c r="P102" i="4"/>
  <c r="I102" i="20" s="1"/>
  <c r="C103" i="4"/>
  <c r="D103" i="4" s="1"/>
  <c r="G102" i="4"/>
  <c r="C645" i="19"/>
  <c r="H100" i="4"/>
  <c r="G645" i="19" l="1"/>
  <c r="F645" i="19"/>
  <c r="J646" i="18"/>
  <c r="P644" i="5" s="1"/>
  <c r="K99" i="4"/>
  <c r="Q641" i="3"/>
  <c r="R99" i="4"/>
  <c r="K99" i="20" s="1"/>
  <c r="M640" i="3"/>
  <c r="U639" i="3"/>
  <c r="F640" i="3"/>
  <c r="J639" i="3"/>
  <c r="I100" i="4"/>
  <c r="C104" i="3"/>
  <c r="E102" i="4"/>
  <c r="J102" i="4"/>
  <c r="C646" i="19"/>
  <c r="P103" i="4"/>
  <c r="I103" i="20" s="1"/>
  <c r="C104" i="4"/>
  <c r="D104" i="4" s="1"/>
  <c r="G103" i="4"/>
  <c r="H101" i="4"/>
  <c r="O645" i="5"/>
  <c r="I647" i="18" s="1"/>
  <c r="G646" i="19" l="1"/>
  <c r="F646" i="19"/>
  <c r="J647" i="18"/>
  <c r="P645" i="5" s="1"/>
  <c r="K100" i="4"/>
  <c r="Q642" i="3"/>
  <c r="F641" i="3"/>
  <c r="J640" i="3"/>
  <c r="M641" i="3"/>
  <c r="U640" i="3"/>
  <c r="R100" i="4"/>
  <c r="K100" i="20" s="1"/>
  <c r="I101" i="4"/>
  <c r="C105" i="3"/>
  <c r="J103" i="4"/>
  <c r="E103" i="4"/>
  <c r="O646" i="5"/>
  <c r="I648" i="18" s="1"/>
  <c r="P104" i="4"/>
  <c r="I104" i="20" s="1"/>
  <c r="C105" i="4"/>
  <c r="D105" i="4" s="1"/>
  <c r="G104" i="4"/>
  <c r="C647" i="19"/>
  <c r="H102" i="4"/>
  <c r="G647" i="19" l="1"/>
  <c r="F647" i="19"/>
  <c r="J648" i="18"/>
  <c r="P646" i="5" s="1"/>
  <c r="Q643" i="3"/>
  <c r="R101" i="4"/>
  <c r="K101" i="20" s="1"/>
  <c r="M642" i="3"/>
  <c r="U641" i="3"/>
  <c r="F642" i="3"/>
  <c r="J641" i="3"/>
  <c r="K101" i="4"/>
  <c r="I102" i="4"/>
  <c r="C106" i="3"/>
  <c r="J104" i="4"/>
  <c r="E104" i="4"/>
  <c r="H103" i="4"/>
  <c r="C648" i="19"/>
  <c r="P105" i="4"/>
  <c r="I105" i="20" s="1"/>
  <c r="C106" i="4"/>
  <c r="D106" i="4" s="1"/>
  <c r="G105" i="4"/>
  <c r="O647" i="5"/>
  <c r="I649" i="18" s="1"/>
  <c r="G648" i="19" l="1"/>
  <c r="F648" i="19"/>
  <c r="J649" i="18"/>
  <c r="P647" i="5" s="1"/>
  <c r="Q644" i="3"/>
  <c r="F643" i="3"/>
  <c r="J642" i="3"/>
  <c r="M643" i="3"/>
  <c r="U642" i="3"/>
  <c r="K102" i="4"/>
  <c r="I103" i="4"/>
  <c r="R102" i="4"/>
  <c r="K102" i="20" s="1"/>
  <c r="C107" i="3"/>
  <c r="H104" i="4"/>
  <c r="P106" i="4"/>
  <c r="I106" i="20" s="1"/>
  <c r="C107" i="4"/>
  <c r="D107" i="4" s="1"/>
  <c r="G106" i="4"/>
  <c r="C649" i="19"/>
  <c r="J105" i="4"/>
  <c r="E105" i="4"/>
  <c r="O648" i="5"/>
  <c r="I650" i="18" s="1"/>
  <c r="G649" i="19" l="1"/>
  <c r="F649" i="19"/>
  <c r="J650" i="18"/>
  <c r="P648" i="5" s="1"/>
  <c r="Q645" i="3"/>
  <c r="K103" i="4"/>
  <c r="M644" i="3"/>
  <c r="U643" i="3"/>
  <c r="F644" i="3"/>
  <c r="J643" i="3"/>
  <c r="I104" i="4"/>
  <c r="R103" i="4"/>
  <c r="K103" i="20" s="1"/>
  <c r="C108" i="3"/>
  <c r="H105" i="4"/>
  <c r="E106" i="4"/>
  <c r="J106" i="4"/>
  <c r="O649" i="5"/>
  <c r="I651" i="18" s="1"/>
  <c r="C650" i="19"/>
  <c r="P107" i="4"/>
  <c r="I107" i="20" s="1"/>
  <c r="C108" i="4"/>
  <c r="D108" i="4" s="1"/>
  <c r="G107" i="4"/>
  <c r="G650" i="19" l="1"/>
  <c r="F650" i="19"/>
  <c r="J651" i="18"/>
  <c r="P649" i="5" s="1"/>
  <c r="K104" i="4"/>
  <c r="R104" i="4"/>
  <c r="K104" i="20" s="1"/>
  <c r="Q646" i="3"/>
  <c r="F645" i="3"/>
  <c r="J644" i="3"/>
  <c r="M645" i="3"/>
  <c r="U644" i="3"/>
  <c r="I105" i="4"/>
  <c r="C109" i="3"/>
  <c r="O650" i="5"/>
  <c r="I652" i="18" s="1"/>
  <c r="J107" i="4"/>
  <c r="E107" i="4"/>
  <c r="H106" i="4"/>
  <c r="P108" i="4"/>
  <c r="I108" i="20" s="1"/>
  <c r="C109" i="4"/>
  <c r="D109" i="4" s="1"/>
  <c r="G108" i="4"/>
  <c r="C651" i="19"/>
  <c r="G651" i="19" l="1"/>
  <c r="F651" i="19"/>
  <c r="J652" i="18"/>
  <c r="P650" i="5" s="1"/>
  <c r="R105" i="4"/>
  <c r="K105" i="20" s="1"/>
  <c r="Q647" i="3"/>
  <c r="K105" i="4"/>
  <c r="M646" i="3"/>
  <c r="U645" i="3"/>
  <c r="F646" i="3"/>
  <c r="J645" i="3"/>
  <c r="I106" i="4"/>
  <c r="C110" i="3"/>
  <c r="O651" i="5"/>
  <c r="I653" i="18" s="1"/>
  <c r="J108" i="4"/>
  <c r="E108" i="4"/>
  <c r="H107" i="4"/>
  <c r="P109" i="4"/>
  <c r="I109" i="20" s="1"/>
  <c r="C110" i="4"/>
  <c r="D110" i="4" s="1"/>
  <c r="G109" i="4"/>
  <c r="C652" i="19"/>
  <c r="G652" i="19" l="1"/>
  <c r="F652" i="19"/>
  <c r="D650" i="19"/>
  <c r="E650" i="19" s="1"/>
  <c r="D648" i="19"/>
  <c r="E648" i="19" s="1"/>
  <c r="D646" i="19"/>
  <c r="E646" i="19" s="1"/>
  <c r="D644" i="19"/>
  <c r="E644" i="19" s="1"/>
  <c r="D642" i="19"/>
  <c r="E642" i="19" s="1"/>
  <c r="J653" i="18"/>
  <c r="P651" i="5" s="1"/>
  <c r="K106" i="4"/>
  <c r="Q648" i="3"/>
  <c r="R106" i="4"/>
  <c r="K106" i="20" s="1"/>
  <c r="F647" i="3"/>
  <c r="J646" i="3"/>
  <c r="M647" i="3"/>
  <c r="U646" i="3"/>
  <c r="I107" i="4"/>
  <c r="C111" i="3"/>
  <c r="D652" i="19"/>
  <c r="E652" i="19" s="1"/>
  <c r="J109" i="4"/>
  <c r="E109" i="4"/>
  <c r="O652" i="5"/>
  <c r="I654" i="18" s="1"/>
  <c r="P110" i="4"/>
  <c r="I110" i="20" s="1"/>
  <c r="C111" i="4"/>
  <c r="D111" i="4" s="1"/>
  <c r="G110" i="4"/>
  <c r="C653" i="19"/>
  <c r="H108" i="4"/>
  <c r="G653" i="19" l="1"/>
  <c r="F653" i="19"/>
  <c r="D264" i="19"/>
  <c r="E264" i="19" s="1"/>
  <c r="D265" i="19"/>
  <c r="E265" i="19" s="1"/>
  <c r="D263" i="19"/>
  <c r="E263" i="19" s="1"/>
  <c r="D266" i="19"/>
  <c r="E266" i="19" s="1"/>
  <c r="D261" i="19"/>
  <c r="E261" i="19" s="1"/>
  <c r="D267" i="19"/>
  <c r="E267" i="19" s="1"/>
  <c r="D268" i="19"/>
  <c r="E268" i="19" s="1"/>
  <c r="D269" i="19"/>
  <c r="E269" i="19" s="1"/>
  <c r="D271" i="19"/>
  <c r="E271" i="19" s="1"/>
  <c r="D260" i="19"/>
  <c r="E260" i="19" s="1"/>
  <c r="D258" i="19"/>
  <c r="E258" i="19" s="1"/>
  <c r="D259" i="19"/>
  <c r="E259" i="19" s="1"/>
  <c r="D262" i="19"/>
  <c r="E262" i="19" s="1"/>
  <c r="D272" i="19"/>
  <c r="E272" i="19" s="1"/>
  <c r="D257" i="19"/>
  <c r="E257" i="19" s="1"/>
  <c r="D270" i="19"/>
  <c r="E270" i="19" s="1"/>
  <c r="D273" i="19"/>
  <c r="E273" i="19" s="1"/>
  <c r="D256" i="19"/>
  <c r="E256" i="19" s="1"/>
  <c r="D255" i="19"/>
  <c r="E255" i="19" s="1"/>
  <c r="D253" i="19"/>
  <c r="E253" i="19" s="1"/>
  <c r="D274" i="19"/>
  <c r="E274" i="19" s="1"/>
  <c r="D276" i="19"/>
  <c r="E276" i="19" s="1"/>
  <c r="D254" i="19"/>
  <c r="E254" i="19" s="1"/>
  <c r="D275" i="19"/>
  <c r="E275" i="19" s="1"/>
  <c r="D252" i="19"/>
  <c r="E252" i="19" s="1"/>
  <c r="D277" i="19"/>
  <c r="E277" i="19" s="1"/>
  <c r="D279" i="19"/>
  <c r="E279" i="19" s="1"/>
  <c r="D278" i="19"/>
  <c r="E278" i="19" s="1"/>
  <c r="D250" i="19"/>
  <c r="E250" i="19" s="1"/>
  <c r="D251" i="19"/>
  <c r="E251" i="19" s="1"/>
  <c r="D248" i="19"/>
  <c r="E248" i="19" s="1"/>
  <c r="D280" i="19"/>
  <c r="E280" i="19" s="1"/>
  <c r="D249" i="19"/>
  <c r="E249" i="19" s="1"/>
  <c r="D247" i="19"/>
  <c r="E247" i="19" s="1"/>
  <c r="D282" i="19"/>
  <c r="E282" i="19" s="1"/>
  <c r="D281" i="19"/>
  <c r="E281" i="19" s="1"/>
  <c r="D246" i="19"/>
  <c r="E246" i="19" s="1"/>
  <c r="D283" i="19"/>
  <c r="E283" i="19" s="1"/>
  <c r="D285" i="19"/>
  <c r="E285" i="19" s="1"/>
  <c r="D284" i="19"/>
  <c r="E284" i="19" s="1"/>
  <c r="D243" i="19"/>
  <c r="E243" i="19" s="1"/>
  <c r="D244" i="19"/>
  <c r="E244" i="19" s="1"/>
  <c r="D245" i="19"/>
  <c r="E245" i="19" s="1"/>
  <c r="D287" i="19"/>
  <c r="E287" i="19" s="1"/>
  <c r="D242" i="19"/>
  <c r="E242" i="19" s="1"/>
  <c r="D289" i="19"/>
  <c r="E289" i="19" s="1"/>
  <c r="D288" i="19"/>
  <c r="E288" i="19" s="1"/>
  <c r="D241" i="19"/>
  <c r="E241" i="19" s="1"/>
  <c r="D286" i="19"/>
  <c r="E286" i="19" s="1"/>
  <c r="D240" i="19"/>
  <c r="E240" i="19" s="1"/>
  <c r="D238" i="19"/>
  <c r="E238" i="19" s="1"/>
  <c r="D291" i="19"/>
  <c r="E291" i="19" s="1"/>
  <c r="D290" i="19"/>
  <c r="E290" i="19" s="1"/>
  <c r="D237" i="19"/>
  <c r="E237" i="19" s="1"/>
  <c r="D292" i="19"/>
  <c r="E292" i="19" s="1"/>
  <c r="D239" i="19"/>
  <c r="E239" i="19" s="1"/>
  <c r="D235" i="19"/>
  <c r="E235" i="19" s="1"/>
  <c r="D236" i="19"/>
  <c r="E236" i="19" s="1"/>
  <c r="D293" i="19"/>
  <c r="E293" i="19" s="1"/>
  <c r="D294" i="19"/>
  <c r="E294" i="19" s="1"/>
  <c r="D295" i="19"/>
  <c r="E295" i="19" s="1"/>
  <c r="D234" i="19"/>
  <c r="E234" i="19" s="1"/>
  <c r="D233" i="19"/>
  <c r="E233" i="19" s="1"/>
  <c r="D296" i="19"/>
  <c r="E296" i="19" s="1"/>
  <c r="D297" i="19"/>
  <c r="E297" i="19" s="1"/>
  <c r="D298" i="19"/>
  <c r="E298" i="19" s="1"/>
  <c r="D232" i="19"/>
  <c r="E232" i="19" s="1"/>
  <c r="D231" i="19"/>
  <c r="E231" i="19" s="1"/>
  <c r="D300" i="19"/>
  <c r="E300" i="19" s="1"/>
  <c r="D230" i="19"/>
  <c r="E230" i="19" s="1"/>
  <c r="D229" i="19"/>
  <c r="E229" i="19" s="1"/>
  <c r="D301" i="19"/>
  <c r="E301" i="19" s="1"/>
  <c r="D299" i="19"/>
  <c r="E299" i="19" s="1"/>
  <c r="D228" i="19"/>
  <c r="E228" i="19" s="1"/>
  <c r="D226" i="19"/>
  <c r="E226" i="19" s="1"/>
  <c r="D303" i="19"/>
  <c r="E303" i="19" s="1"/>
  <c r="D302" i="19"/>
  <c r="E302" i="19" s="1"/>
  <c r="D304" i="19"/>
  <c r="E304" i="19" s="1"/>
  <c r="D227" i="19"/>
  <c r="E227" i="19" s="1"/>
  <c r="D225" i="19"/>
  <c r="E225" i="19" s="1"/>
  <c r="D224" i="19"/>
  <c r="E224" i="19" s="1"/>
  <c r="D223" i="19"/>
  <c r="E223" i="19" s="1"/>
  <c r="D306" i="19"/>
  <c r="E306" i="19" s="1"/>
  <c r="D305" i="19"/>
  <c r="E305" i="19" s="1"/>
  <c r="D307" i="19"/>
  <c r="E307" i="19" s="1"/>
  <c r="D309" i="19"/>
  <c r="E309" i="19" s="1"/>
  <c r="D308" i="19"/>
  <c r="E308" i="19" s="1"/>
  <c r="D311" i="19"/>
  <c r="E311" i="19" s="1"/>
  <c r="D310" i="19"/>
  <c r="E310" i="19" s="1"/>
  <c r="D312" i="19"/>
  <c r="E312" i="19" s="1"/>
  <c r="D313" i="19"/>
  <c r="E313" i="19" s="1"/>
  <c r="D314" i="19"/>
  <c r="E314" i="19" s="1"/>
  <c r="D315" i="19"/>
  <c r="E315" i="19" s="1"/>
  <c r="D316" i="19"/>
  <c r="E316" i="19" s="1"/>
  <c r="D317" i="19"/>
  <c r="E317" i="19" s="1"/>
  <c r="D318" i="19"/>
  <c r="E318" i="19" s="1"/>
  <c r="D319" i="19"/>
  <c r="E319" i="19" s="1"/>
  <c r="D322" i="19"/>
  <c r="E322" i="19" s="1"/>
  <c r="D323" i="19"/>
  <c r="E323" i="19" s="1"/>
  <c r="D320" i="19"/>
  <c r="E320" i="19" s="1"/>
  <c r="D321" i="19"/>
  <c r="E321" i="19" s="1"/>
  <c r="D325" i="19"/>
  <c r="E325" i="19" s="1"/>
  <c r="D326" i="19"/>
  <c r="E326" i="19" s="1"/>
  <c r="D324" i="19"/>
  <c r="E324" i="19" s="1"/>
  <c r="D327" i="19"/>
  <c r="E327" i="19" s="1"/>
  <c r="D328" i="19"/>
  <c r="E328" i="19" s="1"/>
  <c r="D329" i="19"/>
  <c r="E329" i="19" s="1"/>
  <c r="D330" i="19"/>
  <c r="E330" i="19" s="1"/>
  <c r="D332" i="19"/>
  <c r="E332" i="19" s="1"/>
  <c r="D331" i="19"/>
  <c r="E331" i="19" s="1"/>
  <c r="D334" i="19"/>
  <c r="E334" i="19" s="1"/>
  <c r="D333" i="19"/>
  <c r="E333" i="19" s="1"/>
  <c r="D335" i="19"/>
  <c r="E335" i="19" s="1"/>
  <c r="D337" i="19"/>
  <c r="E337" i="19" s="1"/>
  <c r="D336" i="19"/>
  <c r="E336" i="19" s="1"/>
  <c r="D338" i="19"/>
  <c r="E338" i="19" s="1"/>
  <c r="D340" i="19"/>
  <c r="E340" i="19" s="1"/>
  <c r="D341" i="19"/>
  <c r="E341" i="19" s="1"/>
  <c r="D339" i="19"/>
  <c r="E339" i="19" s="1"/>
  <c r="D342" i="19"/>
  <c r="E342" i="19" s="1"/>
  <c r="D343" i="19"/>
  <c r="E343" i="19" s="1"/>
  <c r="D344" i="19"/>
  <c r="E344" i="19" s="1"/>
  <c r="D345" i="19"/>
  <c r="E345" i="19" s="1"/>
  <c r="D346" i="19"/>
  <c r="E346" i="19" s="1"/>
  <c r="D348" i="19"/>
  <c r="E348" i="19" s="1"/>
  <c r="D347" i="19"/>
  <c r="E347" i="19" s="1"/>
  <c r="D350" i="19"/>
  <c r="E350" i="19" s="1"/>
  <c r="D349" i="19"/>
  <c r="E349" i="19" s="1"/>
  <c r="D351" i="19"/>
  <c r="E351" i="19" s="1"/>
  <c r="D352" i="19"/>
  <c r="E352" i="19" s="1"/>
  <c r="D353" i="19"/>
  <c r="E353" i="19" s="1"/>
  <c r="D354" i="19"/>
  <c r="E354" i="19" s="1"/>
  <c r="D356" i="19"/>
  <c r="E356" i="19" s="1"/>
  <c r="D355" i="19"/>
  <c r="E355" i="19" s="1"/>
  <c r="D357" i="19"/>
  <c r="E357" i="19" s="1"/>
  <c r="D359" i="19"/>
  <c r="E359" i="19" s="1"/>
  <c r="D358" i="19"/>
  <c r="E358" i="19" s="1"/>
  <c r="D362" i="19"/>
  <c r="E362" i="19" s="1"/>
  <c r="D360" i="19"/>
  <c r="E360" i="19" s="1"/>
  <c r="D363" i="19"/>
  <c r="E363" i="19" s="1"/>
  <c r="D361" i="19"/>
  <c r="E361" i="19" s="1"/>
  <c r="D364" i="19"/>
  <c r="E364" i="19" s="1"/>
  <c r="D365" i="19"/>
  <c r="E365" i="19" s="1"/>
  <c r="D366" i="19"/>
  <c r="E366" i="19" s="1"/>
  <c r="D367" i="19"/>
  <c r="E367" i="19" s="1"/>
  <c r="D368" i="19"/>
  <c r="E368" i="19" s="1"/>
  <c r="D370" i="19"/>
  <c r="E370" i="19" s="1"/>
  <c r="D372" i="19"/>
  <c r="E372" i="19" s="1"/>
  <c r="D369" i="19"/>
  <c r="E369" i="19" s="1"/>
  <c r="D371" i="19"/>
  <c r="E371" i="19" s="1"/>
  <c r="D373" i="19"/>
  <c r="E373" i="19" s="1"/>
  <c r="D374" i="19"/>
  <c r="E374" i="19" s="1"/>
  <c r="D375" i="19"/>
  <c r="E375" i="19" s="1"/>
  <c r="D376" i="19"/>
  <c r="E376" i="19" s="1"/>
  <c r="D377" i="19"/>
  <c r="E377" i="19" s="1"/>
  <c r="D378" i="19"/>
  <c r="E378" i="19" s="1"/>
  <c r="D380" i="19"/>
  <c r="E380" i="19" s="1"/>
  <c r="D379" i="19"/>
  <c r="E379" i="19" s="1"/>
  <c r="D382" i="19"/>
  <c r="E382" i="19" s="1"/>
  <c r="D381" i="19"/>
  <c r="E381" i="19" s="1"/>
  <c r="D383" i="19"/>
  <c r="E383" i="19" s="1"/>
  <c r="D384" i="19"/>
  <c r="E384" i="19" s="1"/>
  <c r="D385" i="19"/>
  <c r="E385" i="19" s="1"/>
  <c r="D387" i="19"/>
  <c r="E387" i="19" s="1"/>
  <c r="D386" i="19"/>
  <c r="E386" i="19" s="1"/>
  <c r="D388" i="19"/>
  <c r="E388" i="19" s="1"/>
  <c r="D390" i="19"/>
  <c r="E390" i="19" s="1"/>
  <c r="D389" i="19"/>
  <c r="E389" i="19" s="1"/>
  <c r="D391" i="19"/>
  <c r="E391" i="19" s="1"/>
  <c r="D392" i="19"/>
  <c r="E392" i="19" s="1"/>
  <c r="D393" i="19"/>
  <c r="E393" i="19" s="1"/>
  <c r="D395" i="19"/>
  <c r="E395" i="19" s="1"/>
  <c r="D397" i="19"/>
  <c r="E397" i="19" s="1"/>
  <c r="D394" i="19"/>
  <c r="E394" i="19" s="1"/>
  <c r="D396" i="19"/>
  <c r="E396" i="19" s="1"/>
  <c r="D398" i="19"/>
  <c r="E398" i="19" s="1"/>
  <c r="D399" i="19"/>
  <c r="E399" i="19" s="1"/>
  <c r="D400" i="19"/>
  <c r="E400" i="19" s="1"/>
  <c r="D401" i="19"/>
  <c r="E401" i="19" s="1"/>
  <c r="D402" i="19"/>
  <c r="E402" i="19" s="1"/>
  <c r="D403" i="19"/>
  <c r="E403" i="19" s="1"/>
  <c r="D407" i="19"/>
  <c r="E407" i="19" s="1"/>
  <c r="D404" i="19"/>
  <c r="E404" i="19" s="1"/>
  <c r="D405" i="19"/>
  <c r="E405" i="19" s="1"/>
  <c r="D406" i="19"/>
  <c r="E406" i="19" s="1"/>
  <c r="D411" i="19"/>
  <c r="E411" i="19" s="1"/>
  <c r="D408" i="19"/>
  <c r="E408" i="19" s="1"/>
  <c r="D410" i="19"/>
  <c r="E410" i="19" s="1"/>
  <c r="D409" i="19"/>
  <c r="E409" i="19" s="1"/>
  <c r="D414" i="19"/>
  <c r="E414" i="19" s="1"/>
  <c r="D412" i="19"/>
  <c r="E412" i="19" s="1"/>
  <c r="D413" i="19"/>
  <c r="E413" i="19" s="1"/>
  <c r="D415" i="19"/>
  <c r="E415" i="19" s="1"/>
  <c r="D416" i="19"/>
  <c r="E416" i="19" s="1"/>
  <c r="D417" i="19"/>
  <c r="E417" i="19" s="1"/>
  <c r="D418" i="19"/>
  <c r="E418" i="19" s="1"/>
  <c r="D419" i="19"/>
  <c r="E419" i="19" s="1"/>
  <c r="D420" i="19"/>
  <c r="E420" i="19" s="1"/>
  <c r="D421" i="19"/>
  <c r="E421" i="19" s="1"/>
  <c r="D422" i="19"/>
  <c r="E422" i="19" s="1"/>
  <c r="D423" i="19"/>
  <c r="E423" i="19" s="1"/>
  <c r="D424" i="19"/>
  <c r="E424" i="19" s="1"/>
  <c r="D425" i="19"/>
  <c r="E425" i="19" s="1"/>
  <c r="D427" i="19"/>
  <c r="E427" i="19" s="1"/>
  <c r="D426" i="19"/>
  <c r="E426" i="19" s="1"/>
  <c r="D428" i="19"/>
  <c r="E428" i="19" s="1"/>
  <c r="D429" i="19"/>
  <c r="E429" i="19" s="1"/>
  <c r="D432" i="19"/>
  <c r="E432" i="19" s="1"/>
  <c r="D430" i="19"/>
  <c r="E430" i="19" s="1"/>
  <c r="D431" i="19"/>
  <c r="E431" i="19" s="1"/>
  <c r="D434" i="19"/>
  <c r="E434" i="19" s="1"/>
  <c r="D433" i="19"/>
  <c r="E433" i="19" s="1"/>
  <c r="D435" i="19"/>
  <c r="E435" i="19" s="1"/>
  <c r="D436" i="19"/>
  <c r="E436" i="19" s="1"/>
  <c r="D438" i="19"/>
  <c r="E438" i="19" s="1"/>
  <c r="D437" i="19"/>
  <c r="E437" i="19" s="1"/>
  <c r="D439" i="19"/>
  <c r="E439" i="19" s="1"/>
  <c r="D441" i="19"/>
  <c r="E441" i="19" s="1"/>
  <c r="D440" i="19"/>
  <c r="E440" i="19" s="1"/>
  <c r="D442" i="19"/>
  <c r="E442" i="19" s="1"/>
  <c r="D443" i="19"/>
  <c r="E443" i="19" s="1"/>
  <c r="D444" i="19"/>
  <c r="E444" i="19" s="1"/>
  <c r="D445" i="19"/>
  <c r="E445" i="19" s="1"/>
  <c r="D446" i="19"/>
  <c r="E446" i="19" s="1"/>
  <c r="D447" i="19"/>
  <c r="E447" i="19" s="1"/>
  <c r="D448" i="19"/>
  <c r="E448" i="19" s="1"/>
  <c r="D451" i="19"/>
  <c r="E451" i="19" s="1"/>
  <c r="D449" i="19"/>
  <c r="E449" i="19" s="1"/>
  <c r="D450" i="19"/>
  <c r="E450" i="19" s="1"/>
  <c r="D453" i="19"/>
  <c r="E453" i="19" s="1"/>
  <c r="D452" i="19"/>
  <c r="E452" i="19" s="1"/>
  <c r="D454" i="19"/>
  <c r="E454" i="19" s="1"/>
  <c r="D455" i="19"/>
  <c r="E455" i="19" s="1"/>
  <c r="D456" i="19"/>
  <c r="E456" i="19" s="1"/>
  <c r="D459" i="19"/>
  <c r="E459" i="19" s="1"/>
  <c r="D457" i="19"/>
  <c r="E457" i="19" s="1"/>
  <c r="D458" i="19"/>
  <c r="E458" i="19" s="1"/>
  <c r="D462" i="19"/>
  <c r="E462" i="19" s="1"/>
  <c r="D460" i="19"/>
  <c r="E460" i="19" s="1"/>
  <c r="D461" i="19"/>
  <c r="E461" i="19" s="1"/>
  <c r="D463" i="19"/>
  <c r="E463" i="19" s="1"/>
  <c r="D464" i="19"/>
  <c r="E464" i="19" s="1"/>
  <c r="D465" i="19"/>
  <c r="E465" i="19" s="1"/>
  <c r="D466" i="19"/>
  <c r="E466" i="19" s="1"/>
  <c r="D467" i="19"/>
  <c r="E467" i="19" s="1"/>
  <c r="D468" i="19"/>
  <c r="E468" i="19" s="1"/>
  <c r="D469" i="19"/>
  <c r="E469" i="19" s="1"/>
  <c r="D470" i="19"/>
  <c r="E470" i="19" s="1"/>
  <c r="D472" i="19"/>
  <c r="E472" i="19" s="1"/>
  <c r="D475" i="19"/>
  <c r="E475" i="19" s="1"/>
  <c r="D471" i="19"/>
  <c r="E471" i="19" s="1"/>
  <c r="D473" i="19"/>
  <c r="E473" i="19" s="1"/>
  <c r="D474" i="19"/>
  <c r="E474" i="19" s="1"/>
  <c r="D476" i="19"/>
  <c r="E476" i="19" s="1"/>
  <c r="D477" i="19"/>
  <c r="E477" i="19" s="1"/>
  <c r="D478" i="19"/>
  <c r="E478" i="19" s="1"/>
  <c r="D479" i="19"/>
  <c r="E479" i="19" s="1"/>
  <c r="D480" i="19"/>
  <c r="E480" i="19" s="1"/>
  <c r="D481" i="19"/>
  <c r="E481" i="19" s="1"/>
  <c r="D482" i="19"/>
  <c r="E482" i="19" s="1"/>
  <c r="D483" i="19"/>
  <c r="E483" i="19" s="1"/>
  <c r="D484" i="19"/>
  <c r="E484" i="19" s="1"/>
  <c r="D485" i="19"/>
  <c r="E485" i="19" s="1"/>
  <c r="D486" i="19"/>
  <c r="E486" i="19" s="1"/>
  <c r="D487" i="19"/>
  <c r="E487" i="19" s="1"/>
  <c r="D488" i="19"/>
  <c r="E488" i="19" s="1"/>
  <c r="D489" i="19"/>
  <c r="E489" i="19" s="1"/>
  <c r="D490" i="19"/>
  <c r="E490" i="19" s="1"/>
  <c r="D491" i="19"/>
  <c r="E491" i="19" s="1"/>
  <c r="D492" i="19"/>
  <c r="E492" i="19" s="1"/>
  <c r="D493" i="19"/>
  <c r="E493" i="19" s="1"/>
  <c r="D494" i="19"/>
  <c r="E494" i="19" s="1"/>
  <c r="D495" i="19"/>
  <c r="E495" i="19" s="1"/>
  <c r="D496" i="19"/>
  <c r="E496" i="19" s="1"/>
  <c r="D497" i="19"/>
  <c r="E497" i="19" s="1"/>
  <c r="D498" i="19"/>
  <c r="E498" i="19" s="1"/>
  <c r="D499" i="19"/>
  <c r="E499" i="19" s="1"/>
  <c r="D500" i="19"/>
  <c r="E500" i="19" s="1"/>
  <c r="D501" i="19"/>
  <c r="E501" i="19" s="1"/>
  <c r="D502" i="19"/>
  <c r="E502" i="19" s="1"/>
  <c r="D503" i="19"/>
  <c r="E503" i="19" s="1"/>
  <c r="D506" i="19"/>
  <c r="E506" i="19" s="1"/>
  <c r="D504" i="19"/>
  <c r="E504" i="19" s="1"/>
  <c r="D508" i="19"/>
  <c r="E508" i="19" s="1"/>
  <c r="D505" i="19"/>
  <c r="E505" i="19" s="1"/>
  <c r="D509" i="19"/>
  <c r="E509" i="19" s="1"/>
  <c r="D507" i="19"/>
  <c r="E507" i="19" s="1"/>
  <c r="D511" i="19"/>
  <c r="E511" i="19" s="1"/>
  <c r="D510" i="19"/>
  <c r="E510" i="19" s="1"/>
  <c r="D512" i="19"/>
  <c r="E512" i="19" s="1"/>
  <c r="D513" i="19"/>
  <c r="E513" i="19" s="1"/>
  <c r="D514" i="19"/>
  <c r="E514" i="19" s="1"/>
  <c r="D515" i="19"/>
  <c r="E515" i="19" s="1"/>
  <c r="D517" i="19"/>
  <c r="E517" i="19" s="1"/>
  <c r="D516" i="19"/>
  <c r="E516" i="19" s="1"/>
  <c r="D519" i="19"/>
  <c r="E519" i="19" s="1"/>
  <c r="D520" i="19"/>
  <c r="E520" i="19" s="1"/>
  <c r="D518" i="19"/>
  <c r="E518" i="19" s="1"/>
  <c r="D521" i="19"/>
  <c r="E521" i="19" s="1"/>
  <c r="D522" i="19"/>
  <c r="E522" i="19" s="1"/>
  <c r="D523" i="19"/>
  <c r="E523" i="19" s="1"/>
  <c r="D524" i="19"/>
  <c r="E524" i="19" s="1"/>
  <c r="D527" i="19"/>
  <c r="E527" i="19" s="1"/>
  <c r="D525" i="19"/>
  <c r="E525" i="19" s="1"/>
  <c r="D526" i="19"/>
  <c r="E526" i="19" s="1"/>
  <c r="D528" i="19"/>
  <c r="E528" i="19" s="1"/>
  <c r="D529" i="19"/>
  <c r="E529" i="19" s="1"/>
  <c r="D530" i="19"/>
  <c r="E530" i="19" s="1"/>
  <c r="D531" i="19"/>
  <c r="E531" i="19" s="1"/>
  <c r="D532" i="19"/>
  <c r="E532" i="19" s="1"/>
  <c r="D533" i="19"/>
  <c r="E533" i="19" s="1"/>
  <c r="D534" i="19"/>
  <c r="E534" i="19" s="1"/>
  <c r="D536" i="19"/>
  <c r="E536" i="19" s="1"/>
  <c r="D535" i="19"/>
  <c r="E535" i="19" s="1"/>
  <c r="D540" i="19"/>
  <c r="E540" i="19" s="1"/>
  <c r="D538" i="19"/>
  <c r="E538" i="19" s="1"/>
  <c r="D537" i="19"/>
  <c r="E537" i="19" s="1"/>
  <c r="D539" i="19"/>
  <c r="E539" i="19" s="1"/>
  <c r="D541" i="19"/>
  <c r="E541" i="19" s="1"/>
  <c r="D542" i="19"/>
  <c r="E542" i="19" s="1"/>
  <c r="D543" i="19"/>
  <c r="E543" i="19" s="1"/>
  <c r="D544" i="19"/>
  <c r="E544" i="19" s="1"/>
  <c r="D545" i="19"/>
  <c r="E545" i="19" s="1"/>
  <c r="D546" i="19"/>
  <c r="E546" i="19" s="1"/>
  <c r="D550" i="19"/>
  <c r="E550" i="19" s="1"/>
  <c r="D548" i="19"/>
  <c r="E548" i="19" s="1"/>
  <c r="D547" i="19"/>
  <c r="E547" i="19" s="1"/>
  <c r="D549" i="19"/>
  <c r="E549" i="19" s="1"/>
  <c r="D554" i="19"/>
  <c r="E554" i="19" s="1"/>
  <c r="D551" i="19"/>
  <c r="E551" i="19" s="1"/>
  <c r="D553" i="19"/>
  <c r="E553" i="19" s="1"/>
  <c r="D552" i="19"/>
  <c r="E552" i="19" s="1"/>
  <c r="D555" i="19"/>
  <c r="E555" i="19" s="1"/>
  <c r="D556" i="19"/>
  <c r="E556" i="19" s="1"/>
  <c r="D557" i="19"/>
  <c r="E557" i="19" s="1"/>
  <c r="D558" i="19"/>
  <c r="E558" i="19" s="1"/>
  <c r="D560" i="19"/>
  <c r="E560" i="19" s="1"/>
  <c r="D559" i="19"/>
  <c r="E559" i="19" s="1"/>
  <c r="D561" i="19"/>
  <c r="E561" i="19" s="1"/>
  <c r="D562" i="19"/>
  <c r="E562" i="19" s="1"/>
  <c r="D564" i="19"/>
  <c r="E564" i="19" s="1"/>
  <c r="D563" i="19"/>
  <c r="E563" i="19" s="1"/>
  <c r="D565" i="19"/>
  <c r="E565" i="19" s="1"/>
  <c r="D568" i="19"/>
  <c r="E568" i="19" s="1"/>
  <c r="D567" i="19"/>
  <c r="E567" i="19" s="1"/>
  <c r="D570" i="19"/>
  <c r="E570" i="19" s="1"/>
  <c r="D569" i="19"/>
  <c r="E569" i="19" s="1"/>
  <c r="D571" i="19"/>
  <c r="E571" i="19" s="1"/>
  <c r="D566" i="19"/>
  <c r="E566" i="19" s="1"/>
  <c r="D572" i="19"/>
  <c r="E572" i="19" s="1"/>
  <c r="D573" i="19"/>
  <c r="E573" i="19" s="1"/>
  <c r="D574" i="19"/>
  <c r="E574" i="19" s="1"/>
  <c r="D575" i="19"/>
  <c r="E575" i="19" s="1"/>
  <c r="D576" i="19"/>
  <c r="E576" i="19" s="1"/>
  <c r="D578" i="19"/>
  <c r="E578" i="19" s="1"/>
  <c r="D577" i="19"/>
  <c r="E577" i="19" s="1"/>
  <c r="D579" i="19"/>
  <c r="E579" i="19" s="1"/>
  <c r="D581" i="19"/>
  <c r="E581" i="19" s="1"/>
  <c r="D580" i="19"/>
  <c r="E580" i="19" s="1"/>
  <c r="D583" i="19"/>
  <c r="E583" i="19" s="1"/>
  <c r="D582" i="19"/>
  <c r="E582" i="19" s="1"/>
  <c r="D585" i="19"/>
  <c r="E585" i="19" s="1"/>
  <c r="D584" i="19"/>
  <c r="E584" i="19" s="1"/>
  <c r="D586" i="19"/>
  <c r="E586" i="19" s="1"/>
  <c r="D587" i="19"/>
  <c r="E587" i="19" s="1"/>
  <c r="D588" i="19"/>
  <c r="E588" i="19" s="1"/>
  <c r="D589" i="19"/>
  <c r="E589" i="19" s="1"/>
  <c r="D590" i="19"/>
  <c r="E590" i="19" s="1"/>
  <c r="D591" i="19"/>
  <c r="E591" i="19" s="1"/>
  <c r="D592" i="19"/>
  <c r="E592" i="19" s="1"/>
  <c r="D594" i="19"/>
  <c r="E594" i="19" s="1"/>
  <c r="D593" i="19"/>
  <c r="E593" i="19" s="1"/>
  <c r="D596" i="19"/>
  <c r="E596" i="19" s="1"/>
  <c r="D595" i="19"/>
  <c r="E595" i="19" s="1"/>
  <c r="D597" i="19"/>
  <c r="E597" i="19" s="1"/>
  <c r="D599" i="19"/>
  <c r="E599" i="19" s="1"/>
  <c r="D601" i="19"/>
  <c r="E601" i="19" s="1"/>
  <c r="D598" i="19"/>
  <c r="E598" i="19" s="1"/>
  <c r="D600" i="19"/>
  <c r="E600" i="19" s="1"/>
  <c r="D602" i="19"/>
  <c r="E602" i="19" s="1"/>
  <c r="D604" i="19"/>
  <c r="E604" i="19" s="1"/>
  <c r="D603" i="19"/>
  <c r="E603" i="19" s="1"/>
  <c r="D605" i="19"/>
  <c r="E605" i="19" s="1"/>
  <c r="D606" i="19"/>
  <c r="E606" i="19" s="1"/>
  <c r="D607" i="19"/>
  <c r="E607" i="19" s="1"/>
  <c r="D608" i="19"/>
  <c r="E608" i="19" s="1"/>
  <c r="D609" i="19"/>
  <c r="E609" i="19" s="1"/>
  <c r="D610" i="19"/>
  <c r="E610" i="19" s="1"/>
  <c r="D611" i="19"/>
  <c r="E611" i="19" s="1"/>
  <c r="D612" i="19"/>
  <c r="E612" i="19" s="1"/>
  <c r="D613" i="19"/>
  <c r="E613" i="19" s="1"/>
  <c r="D614" i="19"/>
  <c r="E614" i="19" s="1"/>
  <c r="D615" i="19"/>
  <c r="E615" i="19" s="1"/>
  <c r="D616" i="19"/>
  <c r="E616" i="19" s="1"/>
  <c r="D617" i="19"/>
  <c r="E617" i="19" s="1"/>
  <c r="D618" i="19"/>
  <c r="E618" i="19" s="1"/>
  <c r="D619" i="19"/>
  <c r="E619" i="19" s="1"/>
  <c r="D620" i="19"/>
  <c r="E620" i="19" s="1"/>
  <c r="D621" i="19"/>
  <c r="E621" i="19" s="1"/>
  <c r="D622" i="19"/>
  <c r="E622" i="19" s="1"/>
  <c r="D623" i="19"/>
  <c r="E623" i="19" s="1"/>
  <c r="D624" i="19"/>
  <c r="E624" i="19" s="1"/>
  <c r="D625" i="19"/>
  <c r="E625" i="19" s="1"/>
  <c r="D626" i="19"/>
  <c r="E626" i="19" s="1"/>
  <c r="D627" i="19"/>
  <c r="E627" i="19" s="1"/>
  <c r="D628" i="19"/>
  <c r="E628" i="19" s="1"/>
  <c r="D629" i="19"/>
  <c r="E629" i="19" s="1"/>
  <c r="D630" i="19"/>
  <c r="E630" i="19" s="1"/>
  <c r="D631" i="19"/>
  <c r="E631" i="19" s="1"/>
  <c r="D632" i="19"/>
  <c r="E632" i="19" s="1"/>
  <c r="D633" i="19"/>
  <c r="E633" i="19" s="1"/>
  <c r="D634" i="19"/>
  <c r="E634" i="19" s="1"/>
  <c r="D635" i="19"/>
  <c r="E635" i="19" s="1"/>
  <c r="D636" i="19"/>
  <c r="E636" i="19" s="1"/>
  <c r="D637" i="19"/>
  <c r="E637" i="19" s="1"/>
  <c r="D638" i="19"/>
  <c r="E638" i="19" s="1"/>
  <c r="D639" i="19"/>
  <c r="E639" i="19" s="1"/>
  <c r="D640" i="19"/>
  <c r="E640" i="19" s="1"/>
  <c r="D651" i="19"/>
  <c r="E651" i="19" s="1"/>
  <c r="D649" i="19"/>
  <c r="E649" i="19" s="1"/>
  <c r="D645" i="19"/>
  <c r="E645" i="19" s="1"/>
  <c r="D647" i="19"/>
  <c r="E647" i="19" s="1"/>
  <c r="D643" i="19"/>
  <c r="E643" i="19" s="1"/>
  <c r="D641" i="19"/>
  <c r="E641" i="19" s="1"/>
  <c r="J68" i="18"/>
  <c r="P66" i="5" s="1"/>
  <c r="J69" i="18"/>
  <c r="P67" i="5" s="1"/>
  <c r="J70" i="18"/>
  <c r="P68" i="5" s="1"/>
  <c r="J72" i="18"/>
  <c r="P70" i="5" s="1"/>
  <c r="J73" i="18"/>
  <c r="P71" i="5" s="1"/>
  <c r="J71" i="18"/>
  <c r="P69" i="5" s="1"/>
  <c r="J74" i="18"/>
  <c r="P72" i="5" s="1"/>
  <c r="J75" i="18"/>
  <c r="P73" i="5" s="1"/>
  <c r="J80" i="18"/>
  <c r="P78" i="5" s="1"/>
  <c r="J81" i="18"/>
  <c r="P79" i="5" s="1"/>
  <c r="J76" i="18"/>
  <c r="P74" i="5" s="1"/>
  <c r="J77" i="18"/>
  <c r="P75" i="5" s="1"/>
  <c r="J78" i="18"/>
  <c r="P76" i="5" s="1"/>
  <c r="J82" i="18"/>
  <c r="P80" i="5" s="1"/>
  <c r="J83" i="18"/>
  <c r="P81" i="5" s="1"/>
  <c r="J79" i="18"/>
  <c r="P77" i="5" s="1"/>
  <c r="J85" i="18"/>
  <c r="P83" i="5" s="1"/>
  <c r="J84" i="18"/>
  <c r="P82" i="5" s="1"/>
  <c r="J86" i="18"/>
  <c r="P84" i="5" s="1"/>
  <c r="J87" i="18"/>
  <c r="P85" i="5" s="1"/>
  <c r="J88" i="18"/>
  <c r="P86" i="5" s="1"/>
  <c r="J90" i="18"/>
  <c r="P88" i="5" s="1"/>
  <c r="J89" i="18"/>
  <c r="P87" i="5" s="1"/>
  <c r="J91" i="18"/>
  <c r="P89" i="5" s="1"/>
  <c r="J92" i="18"/>
  <c r="P90" i="5" s="1"/>
  <c r="J94" i="18"/>
  <c r="P92" i="5" s="1"/>
  <c r="G92" i="3" s="1"/>
  <c r="J93" i="18"/>
  <c r="P91" i="5" s="1"/>
  <c r="J95" i="18"/>
  <c r="P93" i="5" s="1"/>
  <c r="J96" i="18"/>
  <c r="P94" i="5" s="1"/>
  <c r="G94" i="3" s="1"/>
  <c r="J99" i="18"/>
  <c r="P97" i="5" s="1"/>
  <c r="J97" i="18"/>
  <c r="P95" i="5" s="1"/>
  <c r="G95" i="3" s="1"/>
  <c r="J98" i="18"/>
  <c r="P96" i="5" s="1"/>
  <c r="G96" i="3" s="1"/>
  <c r="J101" i="18"/>
  <c r="P99" i="5" s="1"/>
  <c r="G99" i="3" s="1"/>
  <c r="J100" i="18"/>
  <c r="P98" i="5" s="1"/>
  <c r="G98" i="3" s="1"/>
  <c r="J102" i="18"/>
  <c r="P100" i="5" s="1"/>
  <c r="G100" i="3" s="1"/>
  <c r="J103" i="18"/>
  <c r="P101" i="5" s="1"/>
  <c r="G101" i="3" s="1"/>
  <c r="J104" i="18"/>
  <c r="P102" i="5" s="1"/>
  <c r="G102" i="3" s="1"/>
  <c r="J105" i="18"/>
  <c r="P103" i="5" s="1"/>
  <c r="G103" i="3" s="1"/>
  <c r="J106" i="18"/>
  <c r="P104" i="5" s="1"/>
  <c r="G104" i="3" s="1"/>
  <c r="J107" i="18"/>
  <c r="P105" i="5" s="1"/>
  <c r="J109" i="18"/>
  <c r="P107" i="5" s="1"/>
  <c r="G107" i="3" s="1"/>
  <c r="J108" i="18"/>
  <c r="P106" i="5" s="1"/>
  <c r="G106" i="3" s="1"/>
  <c r="J111" i="18"/>
  <c r="P109" i="5" s="1"/>
  <c r="G109" i="3" s="1"/>
  <c r="J110" i="18"/>
  <c r="P108" i="5" s="1"/>
  <c r="J114" i="18"/>
  <c r="P112" i="5" s="1"/>
  <c r="G112" i="3" s="1"/>
  <c r="J112" i="18"/>
  <c r="P110" i="5" s="1"/>
  <c r="G110" i="3" s="1"/>
  <c r="J115" i="18"/>
  <c r="P113" i="5" s="1"/>
  <c r="G113" i="3" s="1"/>
  <c r="J113" i="18"/>
  <c r="P111" i="5" s="1"/>
  <c r="G111" i="3" s="1"/>
  <c r="J116" i="18"/>
  <c r="P114" i="5" s="1"/>
  <c r="G114" i="3" s="1"/>
  <c r="J117" i="18"/>
  <c r="P115" i="5" s="1"/>
  <c r="G115" i="3" s="1"/>
  <c r="J118" i="18"/>
  <c r="P116" i="5" s="1"/>
  <c r="G116" i="3" s="1"/>
  <c r="J119" i="18"/>
  <c r="P117" i="5" s="1"/>
  <c r="G117" i="3" s="1"/>
  <c r="J121" i="18"/>
  <c r="P119" i="5" s="1"/>
  <c r="G119" i="3" s="1"/>
  <c r="J120" i="18"/>
  <c r="P118" i="5" s="1"/>
  <c r="G118" i="3" s="1"/>
  <c r="J122" i="18"/>
  <c r="P120" i="5" s="1"/>
  <c r="J123" i="18"/>
  <c r="P121" i="5" s="1"/>
  <c r="G121" i="3" s="1"/>
  <c r="J124" i="18"/>
  <c r="P122" i="5" s="1"/>
  <c r="G122" i="3" s="1"/>
  <c r="J125" i="18"/>
  <c r="P123" i="5" s="1"/>
  <c r="G123" i="3" s="1"/>
  <c r="J127" i="18"/>
  <c r="P125" i="5" s="1"/>
  <c r="G125" i="3" s="1"/>
  <c r="J126" i="18"/>
  <c r="P124" i="5" s="1"/>
  <c r="J128" i="18"/>
  <c r="P126" i="5" s="1"/>
  <c r="J129" i="18"/>
  <c r="P127" i="5" s="1"/>
  <c r="J130" i="18"/>
  <c r="P128" i="5" s="1"/>
  <c r="J131" i="18"/>
  <c r="P129" i="5" s="1"/>
  <c r="J132" i="18"/>
  <c r="P130" i="5" s="1"/>
  <c r="J11" i="18"/>
  <c r="P9" i="5" s="1"/>
  <c r="G9" i="3" s="1"/>
  <c r="J10" i="18"/>
  <c r="P8" i="5" s="1"/>
  <c r="G8" i="3" s="1"/>
  <c r="J13" i="18"/>
  <c r="P11" i="5" s="1"/>
  <c r="G11" i="3" s="1"/>
  <c r="J9" i="18"/>
  <c r="P7" i="5" s="1"/>
  <c r="G7" i="3" s="1"/>
  <c r="J12" i="18"/>
  <c r="P10" i="5" s="1"/>
  <c r="G10" i="3" s="1"/>
  <c r="J7" i="18"/>
  <c r="P5" i="5" s="1"/>
  <c r="G5" i="3" s="1"/>
  <c r="J8" i="18"/>
  <c r="P6" i="5" s="1"/>
  <c r="G6" i="3" s="1"/>
  <c r="J14" i="18"/>
  <c r="P12" i="5" s="1"/>
  <c r="G12" i="3" s="1"/>
  <c r="J15" i="18"/>
  <c r="P13" i="5" s="1"/>
  <c r="G13" i="3" s="1"/>
  <c r="J17" i="18"/>
  <c r="P15" i="5" s="1"/>
  <c r="G15" i="3" s="1"/>
  <c r="J18" i="18"/>
  <c r="P16" i="5" s="1"/>
  <c r="G16" i="3" s="1"/>
  <c r="J16" i="18"/>
  <c r="P14" i="5" s="1"/>
  <c r="G14" i="3" s="1"/>
  <c r="J20" i="18"/>
  <c r="P18" i="5" s="1"/>
  <c r="G18" i="3" s="1"/>
  <c r="J19" i="18"/>
  <c r="P17" i="5" s="1"/>
  <c r="G17" i="3" s="1"/>
  <c r="J23" i="18"/>
  <c r="P21" i="5" s="1"/>
  <c r="G21" i="3" s="1"/>
  <c r="J22" i="18"/>
  <c r="P20" i="5" s="1"/>
  <c r="G20" i="3" s="1"/>
  <c r="J21" i="18"/>
  <c r="P19" i="5" s="1"/>
  <c r="G19" i="3" s="1"/>
  <c r="J24" i="18"/>
  <c r="P22" i="5" s="1"/>
  <c r="G22" i="3" s="1"/>
  <c r="J26" i="18"/>
  <c r="P24" i="5" s="1"/>
  <c r="G24" i="3" s="1"/>
  <c r="J25" i="18"/>
  <c r="P23" i="5" s="1"/>
  <c r="G23" i="3" s="1"/>
  <c r="J27" i="18"/>
  <c r="P25" i="5" s="1"/>
  <c r="G25" i="3" s="1"/>
  <c r="J28" i="18"/>
  <c r="P26" i="5" s="1"/>
  <c r="G26" i="3" s="1"/>
  <c r="J30" i="18"/>
  <c r="P28" i="5" s="1"/>
  <c r="G28" i="3" s="1"/>
  <c r="J29" i="18"/>
  <c r="P27" i="5" s="1"/>
  <c r="G27" i="3" s="1"/>
  <c r="J31" i="18"/>
  <c r="P29" i="5" s="1"/>
  <c r="G29" i="3" s="1"/>
  <c r="J32" i="18"/>
  <c r="P30" i="5" s="1"/>
  <c r="G30" i="3" s="1"/>
  <c r="J33" i="18"/>
  <c r="P31" i="5" s="1"/>
  <c r="G31" i="3" s="1"/>
  <c r="J37" i="18"/>
  <c r="P35" i="5" s="1"/>
  <c r="G35" i="3" s="1"/>
  <c r="J34" i="18"/>
  <c r="P32" i="5" s="1"/>
  <c r="G32" i="3" s="1"/>
  <c r="J35" i="18"/>
  <c r="P33" i="5" s="1"/>
  <c r="G33" i="3" s="1"/>
  <c r="J38" i="18"/>
  <c r="P36" i="5" s="1"/>
  <c r="G36" i="3" s="1"/>
  <c r="J39" i="18"/>
  <c r="P37" i="5" s="1"/>
  <c r="G37" i="3" s="1"/>
  <c r="J36" i="18"/>
  <c r="P34" i="5" s="1"/>
  <c r="G34" i="3" s="1"/>
  <c r="J41" i="18"/>
  <c r="P39" i="5" s="1"/>
  <c r="G39" i="3" s="1"/>
  <c r="J42" i="18"/>
  <c r="P40" i="5" s="1"/>
  <c r="J40" i="18"/>
  <c r="P38" i="5" s="1"/>
  <c r="G38" i="3" s="1"/>
  <c r="J44" i="18"/>
  <c r="P42" i="5" s="1"/>
  <c r="G42" i="3" s="1"/>
  <c r="J46" i="18"/>
  <c r="P44" i="5" s="1"/>
  <c r="G44" i="3" s="1"/>
  <c r="J45" i="18"/>
  <c r="P43" i="5" s="1"/>
  <c r="G43" i="3" s="1"/>
  <c r="J43" i="18"/>
  <c r="P41" i="5" s="1"/>
  <c r="G41" i="3" s="1"/>
  <c r="J48" i="18"/>
  <c r="P46" i="5" s="1"/>
  <c r="G46" i="3" s="1"/>
  <c r="J47" i="18"/>
  <c r="P45" i="5" s="1"/>
  <c r="G45" i="3" s="1"/>
  <c r="J49" i="18"/>
  <c r="P47" i="5" s="1"/>
  <c r="G47" i="3" s="1"/>
  <c r="J50" i="18"/>
  <c r="P48" i="5" s="1"/>
  <c r="G48" i="3" s="1"/>
  <c r="J52" i="18"/>
  <c r="P50" i="5" s="1"/>
  <c r="G50" i="3" s="1"/>
  <c r="J51" i="18"/>
  <c r="P49" i="5" s="1"/>
  <c r="J53" i="18"/>
  <c r="P51" i="5" s="1"/>
  <c r="G51" i="3" s="1"/>
  <c r="J54" i="18"/>
  <c r="P52" i="5" s="1"/>
  <c r="G52" i="3" s="1"/>
  <c r="J56" i="18"/>
  <c r="P54" i="5" s="1"/>
  <c r="G54" i="3" s="1"/>
  <c r="J55" i="18"/>
  <c r="P53" i="5" s="1"/>
  <c r="G53" i="3" s="1"/>
  <c r="J57" i="18"/>
  <c r="P55" i="5" s="1"/>
  <c r="G55" i="3" s="1"/>
  <c r="J58" i="18"/>
  <c r="P56" i="5" s="1"/>
  <c r="G56" i="3" s="1"/>
  <c r="J59" i="18"/>
  <c r="P57" i="5" s="1"/>
  <c r="J60" i="18"/>
  <c r="P58" i="5" s="1"/>
  <c r="G58" i="3" s="1"/>
  <c r="J61" i="18"/>
  <c r="P59" i="5" s="1"/>
  <c r="G59" i="3" s="1"/>
  <c r="J62" i="18"/>
  <c r="P60" i="5" s="1"/>
  <c r="J63" i="18"/>
  <c r="P61" i="5" s="1"/>
  <c r="J64" i="18"/>
  <c r="P62" i="5" s="1"/>
  <c r="G62" i="3" s="1"/>
  <c r="J65" i="18"/>
  <c r="P63" i="5" s="1"/>
  <c r="G63" i="3" s="1"/>
  <c r="J66" i="18"/>
  <c r="P64" i="5" s="1"/>
  <c r="G64" i="3" s="1"/>
  <c r="J67" i="18"/>
  <c r="P65" i="5" s="1"/>
  <c r="J654" i="18"/>
  <c r="P652" i="5" s="1"/>
  <c r="R107" i="4"/>
  <c r="K107" i="20" s="1"/>
  <c r="Q649" i="3"/>
  <c r="K107" i="4"/>
  <c r="M648" i="3"/>
  <c r="U647" i="3"/>
  <c r="F648" i="3"/>
  <c r="J647" i="3"/>
  <c r="I108" i="4"/>
  <c r="C112" i="3"/>
  <c r="D653" i="19"/>
  <c r="E653" i="19" s="1"/>
  <c r="P111" i="4"/>
  <c r="I111" i="20" s="1"/>
  <c r="C112" i="4"/>
  <c r="D112" i="4" s="1"/>
  <c r="G111" i="4"/>
  <c r="H109" i="4"/>
  <c r="E110" i="4"/>
  <c r="J110" i="4"/>
  <c r="O653" i="5"/>
  <c r="I655" i="18" s="1"/>
  <c r="C654" i="19"/>
  <c r="G654" i="19" l="1"/>
  <c r="F654" i="19"/>
  <c r="G105" i="3"/>
  <c r="G61" i="3"/>
  <c r="G49" i="3"/>
  <c r="G120" i="3"/>
  <c r="K120" i="3" s="1"/>
  <c r="G57" i="3"/>
  <c r="H57" i="3" s="1"/>
  <c r="G97" i="3"/>
  <c r="H97" i="3" s="1"/>
  <c r="G40" i="3"/>
  <c r="K40" i="3" s="1"/>
  <c r="G124" i="3"/>
  <c r="K124" i="3" s="1"/>
  <c r="G108" i="3"/>
  <c r="H108" i="3" s="1"/>
  <c r="G93" i="3"/>
  <c r="G89" i="3"/>
  <c r="G77" i="3"/>
  <c r="H77" i="3" s="1"/>
  <c r="G73" i="3"/>
  <c r="K73" i="3" s="1"/>
  <c r="G87" i="3"/>
  <c r="K87" i="3" s="1"/>
  <c r="G81" i="3"/>
  <c r="K81" i="3" s="1"/>
  <c r="G72" i="3"/>
  <c r="K72" i="3" s="1"/>
  <c r="G65" i="3"/>
  <c r="G88" i="3"/>
  <c r="H88" i="3" s="1"/>
  <c r="G80" i="3"/>
  <c r="G69" i="3"/>
  <c r="K69" i="3" s="1"/>
  <c r="G86" i="3"/>
  <c r="K86" i="3" s="1"/>
  <c r="G76" i="3"/>
  <c r="K76" i="3" s="1"/>
  <c r="G71" i="3"/>
  <c r="H71" i="3" s="1"/>
  <c r="G85" i="3"/>
  <c r="K85" i="3" s="1"/>
  <c r="G75" i="3"/>
  <c r="K75" i="3" s="1"/>
  <c r="G70" i="3"/>
  <c r="H70" i="3" s="1"/>
  <c r="G91" i="3"/>
  <c r="G84" i="3"/>
  <c r="K84" i="3" s="1"/>
  <c r="G74" i="3"/>
  <c r="H74" i="3" s="1"/>
  <c r="G68" i="3"/>
  <c r="K68" i="3" s="1"/>
  <c r="G82" i="3"/>
  <c r="K82" i="3" s="1"/>
  <c r="G79" i="3"/>
  <c r="K79" i="3" s="1"/>
  <c r="G67" i="3"/>
  <c r="H67" i="3" s="1"/>
  <c r="G60" i="3"/>
  <c r="K60" i="3" s="1"/>
  <c r="G90" i="3"/>
  <c r="K90" i="3" s="1"/>
  <c r="G83" i="3"/>
  <c r="K83" i="3" s="1"/>
  <c r="G78" i="3"/>
  <c r="K78" i="3" s="1"/>
  <c r="G66" i="3"/>
  <c r="K66" i="3" s="1"/>
  <c r="G126" i="3"/>
  <c r="K126" i="3" s="1"/>
  <c r="K125" i="3"/>
  <c r="H125" i="3"/>
  <c r="K118" i="3"/>
  <c r="H118" i="3"/>
  <c r="K119" i="3"/>
  <c r="H119" i="3"/>
  <c r="H112" i="3"/>
  <c r="K112" i="3"/>
  <c r="K102" i="3"/>
  <c r="H102" i="3"/>
  <c r="K94" i="3"/>
  <c r="H94" i="3"/>
  <c r="K117" i="3"/>
  <c r="H117" i="3"/>
  <c r="K108" i="3"/>
  <c r="K101" i="3"/>
  <c r="H101" i="3"/>
  <c r="K93" i="3"/>
  <c r="H93" i="3"/>
  <c r="R93" i="3" s="1"/>
  <c r="K116" i="3"/>
  <c r="H116" i="3"/>
  <c r="H109" i="3"/>
  <c r="K109" i="3"/>
  <c r="K100" i="3"/>
  <c r="H100" i="3"/>
  <c r="K91" i="3"/>
  <c r="H91" i="3"/>
  <c r="R91" i="3" s="1"/>
  <c r="K123" i="3"/>
  <c r="H123" i="3"/>
  <c r="H115" i="3"/>
  <c r="K115" i="3"/>
  <c r="K106" i="3"/>
  <c r="H106" i="3"/>
  <c r="K98" i="3"/>
  <c r="H98" i="3"/>
  <c r="R98" i="3" s="1"/>
  <c r="K92" i="3"/>
  <c r="H92" i="3"/>
  <c r="R92" i="3" s="1"/>
  <c r="K67" i="3"/>
  <c r="H103" i="3"/>
  <c r="K103" i="3"/>
  <c r="K122" i="3"/>
  <c r="H122" i="3"/>
  <c r="K114" i="3"/>
  <c r="H114" i="3"/>
  <c r="H107" i="3"/>
  <c r="K107" i="3"/>
  <c r="K99" i="3"/>
  <c r="H99" i="3"/>
  <c r="R99" i="3" s="1"/>
  <c r="K110" i="3"/>
  <c r="H110" i="3"/>
  <c r="H121" i="3"/>
  <c r="K121" i="3"/>
  <c r="K111" i="3"/>
  <c r="H111" i="3"/>
  <c r="K105" i="3"/>
  <c r="H105" i="3"/>
  <c r="K96" i="3"/>
  <c r="H96" i="3"/>
  <c r="R96" i="3" s="1"/>
  <c r="K89" i="3"/>
  <c r="H89" i="3"/>
  <c r="K80" i="3"/>
  <c r="H80" i="3"/>
  <c r="K113" i="3"/>
  <c r="H113" i="3"/>
  <c r="K104" i="3"/>
  <c r="H104" i="3"/>
  <c r="K95" i="3"/>
  <c r="H95" i="3"/>
  <c r="R95" i="3" s="1"/>
  <c r="H41" i="3"/>
  <c r="K41" i="3"/>
  <c r="K33" i="3"/>
  <c r="H33" i="3"/>
  <c r="K65" i="3"/>
  <c r="H65" i="3"/>
  <c r="H50" i="3"/>
  <c r="K50" i="3"/>
  <c r="H42" i="3"/>
  <c r="K42" i="3"/>
  <c r="H32" i="3"/>
  <c r="K32" i="3"/>
  <c r="H25" i="3"/>
  <c r="K25" i="3"/>
  <c r="K18" i="3"/>
  <c r="H18" i="3"/>
  <c r="H10" i="3"/>
  <c r="K10" i="3"/>
  <c r="H52" i="3"/>
  <c r="K52" i="3"/>
  <c r="H58" i="3"/>
  <c r="K58" i="3"/>
  <c r="K17" i="3"/>
  <c r="H17" i="3"/>
  <c r="H64" i="3"/>
  <c r="K64" i="3"/>
  <c r="K56" i="3"/>
  <c r="H56" i="3"/>
  <c r="K48" i="3"/>
  <c r="H48" i="3"/>
  <c r="K38" i="3"/>
  <c r="H38" i="3"/>
  <c r="H35" i="3"/>
  <c r="K35" i="3"/>
  <c r="H23" i="3"/>
  <c r="K23" i="3"/>
  <c r="K14" i="3"/>
  <c r="H14" i="3"/>
  <c r="H7" i="3"/>
  <c r="K7" i="3"/>
  <c r="K26" i="3"/>
  <c r="H26" i="3"/>
  <c r="K63" i="3"/>
  <c r="H63" i="3"/>
  <c r="H55" i="3"/>
  <c r="K55" i="3"/>
  <c r="K47" i="3"/>
  <c r="H47" i="3"/>
  <c r="H31" i="3"/>
  <c r="K31" i="3"/>
  <c r="H24" i="3"/>
  <c r="K24" i="3"/>
  <c r="H16" i="3"/>
  <c r="K16" i="3"/>
  <c r="K11" i="3"/>
  <c r="H11" i="3"/>
  <c r="K37" i="3"/>
  <c r="H37" i="3"/>
  <c r="K44" i="3"/>
  <c r="H44" i="3"/>
  <c r="H62" i="3"/>
  <c r="K62" i="3"/>
  <c r="K53" i="3"/>
  <c r="H53" i="3"/>
  <c r="H45" i="3"/>
  <c r="K45" i="3"/>
  <c r="H39" i="3"/>
  <c r="K39" i="3"/>
  <c r="K30" i="3"/>
  <c r="H30" i="3"/>
  <c r="H22" i="3"/>
  <c r="K22" i="3"/>
  <c r="K15" i="3"/>
  <c r="H15" i="3"/>
  <c r="K8" i="3"/>
  <c r="H8" i="3"/>
  <c r="H49" i="3"/>
  <c r="K49" i="3"/>
  <c r="H5" i="3"/>
  <c r="K5" i="3"/>
  <c r="H61" i="3"/>
  <c r="K61" i="3"/>
  <c r="K54" i="3"/>
  <c r="H54" i="3"/>
  <c r="K46" i="3"/>
  <c r="H46" i="3"/>
  <c r="K34" i="3"/>
  <c r="H34" i="3"/>
  <c r="K29" i="3"/>
  <c r="H29" i="3"/>
  <c r="K19" i="3"/>
  <c r="H19" i="3"/>
  <c r="H13" i="3"/>
  <c r="K13" i="3"/>
  <c r="H9" i="3"/>
  <c r="K9" i="3"/>
  <c r="K27" i="3"/>
  <c r="H27" i="3"/>
  <c r="H20" i="3"/>
  <c r="K20" i="3"/>
  <c r="K12" i="3"/>
  <c r="H12" i="3"/>
  <c r="H59" i="3"/>
  <c r="K59" i="3"/>
  <c r="K51" i="3"/>
  <c r="H51" i="3"/>
  <c r="K43" i="3"/>
  <c r="H43" i="3"/>
  <c r="H36" i="3"/>
  <c r="K36" i="3"/>
  <c r="H28" i="3"/>
  <c r="K28" i="3"/>
  <c r="K21" i="3"/>
  <c r="H21" i="3"/>
  <c r="H6" i="3"/>
  <c r="K6" i="3"/>
  <c r="J655" i="18"/>
  <c r="P653" i="5" s="1"/>
  <c r="R108" i="4"/>
  <c r="K108" i="20" s="1"/>
  <c r="K108" i="4"/>
  <c r="Q650" i="3"/>
  <c r="F649" i="3"/>
  <c r="J648" i="3"/>
  <c r="M649" i="3"/>
  <c r="U648" i="3"/>
  <c r="I109" i="4"/>
  <c r="C113" i="3"/>
  <c r="G127" i="3" s="1"/>
  <c r="D654" i="19"/>
  <c r="E654" i="19" s="1"/>
  <c r="J111" i="4"/>
  <c r="E111" i="4"/>
  <c r="P112" i="4"/>
  <c r="I112" i="20" s="1"/>
  <c r="C113" i="4"/>
  <c r="D113" i="4" s="1"/>
  <c r="G112" i="4"/>
  <c r="O654" i="5"/>
  <c r="H110" i="4"/>
  <c r="H90" i="3" l="1"/>
  <c r="H87" i="3"/>
  <c r="H66" i="3"/>
  <c r="N66" i="3" s="1"/>
  <c r="H60" i="3"/>
  <c r="R60" i="3" s="1"/>
  <c r="H75" i="3"/>
  <c r="N75" i="3" s="1"/>
  <c r="K97" i="3"/>
  <c r="H40" i="3"/>
  <c r="N40" i="3" s="1"/>
  <c r="H86" i="3"/>
  <c r="R86" i="3" s="1"/>
  <c r="K88" i="3"/>
  <c r="K70" i="3"/>
  <c r="H76" i="3"/>
  <c r="R76" i="3" s="1"/>
  <c r="K71" i="3"/>
  <c r="K77" i="3"/>
  <c r="H83" i="3"/>
  <c r="R83" i="3" s="1"/>
  <c r="H69" i="3"/>
  <c r="R69" i="3" s="1"/>
  <c r="K57" i="3"/>
  <c r="H120" i="3"/>
  <c r="H73" i="3"/>
  <c r="R73" i="3" s="1"/>
  <c r="K74" i="3"/>
  <c r="H78" i="3"/>
  <c r="R78" i="3" s="1"/>
  <c r="H84" i="3"/>
  <c r="R84" i="3" s="1"/>
  <c r="H68" i="3"/>
  <c r="R68" i="3" s="1"/>
  <c r="H81" i="3"/>
  <c r="R81" i="3" s="1"/>
  <c r="H82" i="3"/>
  <c r="R82" i="3" s="1"/>
  <c r="H85" i="3"/>
  <c r="R85" i="3" s="1"/>
  <c r="H72" i="3"/>
  <c r="N72" i="3" s="1"/>
  <c r="H124" i="3"/>
  <c r="H79" i="3"/>
  <c r="R79" i="3" s="1"/>
  <c r="R97" i="3"/>
  <c r="R94" i="3"/>
  <c r="H126" i="3"/>
  <c r="R100" i="3" s="1"/>
  <c r="N91" i="3"/>
  <c r="R77" i="3"/>
  <c r="N77" i="3"/>
  <c r="R67" i="3"/>
  <c r="N67" i="3"/>
  <c r="R89" i="3"/>
  <c r="N89" i="3"/>
  <c r="R70" i="3"/>
  <c r="N70" i="3"/>
  <c r="R88" i="3"/>
  <c r="N88" i="3"/>
  <c r="R66" i="3"/>
  <c r="R87" i="3"/>
  <c r="N87" i="3"/>
  <c r="R80" i="3"/>
  <c r="N80" i="3"/>
  <c r="R90" i="3"/>
  <c r="N90" i="3"/>
  <c r="R74" i="3"/>
  <c r="N74" i="3"/>
  <c r="R75" i="3"/>
  <c r="R71" i="3"/>
  <c r="N71" i="3"/>
  <c r="R61" i="3"/>
  <c r="N61" i="3"/>
  <c r="R48" i="3"/>
  <c r="N48" i="3"/>
  <c r="R34" i="3"/>
  <c r="N34" i="3"/>
  <c r="R53" i="3"/>
  <c r="N53" i="3"/>
  <c r="R11" i="3"/>
  <c r="N11" i="3"/>
  <c r="R58" i="3"/>
  <c r="N58" i="3"/>
  <c r="R25" i="3"/>
  <c r="N25" i="3"/>
  <c r="R57" i="3"/>
  <c r="N57" i="3"/>
  <c r="R45" i="3"/>
  <c r="N45" i="3"/>
  <c r="R59" i="3"/>
  <c r="N59" i="3"/>
  <c r="R9" i="3"/>
  <c r="N9" i="3"/>
  <c r="R5" i="3"/>
  <c r="N5" i="3"/>
  <c r="R22" i="3"/>
  <c r="N22" i="3"/>
  <c r="R26" i="3"/>
  <c r="N26" i="3"/>
  <c r="R56" i="3"/>
  <c r="N56" i="3"/>
  <c r="R65" i="3"/>
  <c r="N65" i="3"/>
  <c r="R31" i="3"/>
  <c r="N31" i="3"/>
  <c r="R28" i="3"/>
  <c r="N28" i="3"/>
  <c r="R12" i="3"/>
  <c r="N12" i="3"/>
  <c r="R46" i="3"/>
  <c r="N46" i="3"/>
  <c r="R30" i="3"/>
  <c r="N30" i="3"/>
  <c r="R47" i="3"/>
  <c r="N47" i="3"/>
  <c r="R23" i="3"/>
  <c r="N23" i="3"/>
  <c r="R52" i="3"/>
  <c r="N52" i="3"/>
  <c r="R32" i="3"/>
  <c r="N32" i="3"/>
  <c r="R14" i="3"/>
  <c r="N14" i="3"/>
  <c r="R36" i="3"/>
  <c r="N36" i="3"/>
  <c r="R13" i="3"/>
  <c r="N13" i="3"/>
  <c r="R49" i="3"/>
  <c r="N49" i="3"/>
  <c r="R62" i="3"/>
  <c r="N62" i="3"/>
  <c r="R16" i="3"/>
  <c r="N16" i="3"/>
  <c r="R33" i="3"/>
  <c r="N33" i="3"/>
  <c r="R43" i="3"/>
  <c r="N43" i="3"/>
  <c r="R19" i="3"/>
  <c r="N19" i="3"/>
  <c r="R54" i="3"/>
  <c r="N54" i="3"/>
  <c r="R8" i="3"/>
  <c r="N8" i="3"/>
  <c r="R44" i="3"/>
  <c r="N44" i="3"/>
  <c r="N60" i="3"/>
  <c r="R35" i="3"/>
  <c r="N35" i="3"/>
  <c r="R64" i="3"/>
  <c r="N64" i="3"/>
  <c r="R10" i="3"/>
  <c r="N10" i="3"/>
  <c r="R42" i="3"/>
  <c r="N42" i="3"/>
  <c r="R6" i="3"/>
  <c r="N6" i="3"/>
  <c r="R20" i="3"/>
  <c r="N20" i="3"/>
  <c r="R39" i="3"/>
  <c r="N39" i="3"/>
  <c r="R24" i="3"/>
  <c r="N24" i="3"/>
  <c r="R55" i="3"/>
  <c r="N55" i="3"/>
  <c r="R38" i="3"/>
  <c r="N38" i="3"/>
  <c r="R17" i="3"/>
  <c r="N17" i="3"/>
  <c r="R18" i="3"/>
  <c r="N18" i="3"/>
  <c r="R21" i="3"/>
  <c r="N21" i="3"/>
  <c r="R51" i="3"/>
  <c r="N51" i="3"/>
  <c r="R27" i="3"/>
  <c r="N27" i="3"/>
  <c r="R29" i="3"/>
  <c r="N29" i="3"/>
  <c r="R15" i="3"/>
  <c r="N15" i="3"/>
  <c r="R37" i="3"/>
  <c r="N37" i="3"/>
  <c r="R63" i="3"/>
  <c r="N63" i="3"/>
  <c r="R7" i="3"/>
  <c r="N7" i="3"/>
  <c r="R50" i="3"/>
  <c r="N50" i="3"/>
  <c r="R41" i="3"/>
  <c r="N41" i="3"/>
  <c r="K127" i="3"/>
  <c r="H127" i="3"/>
  <c r="R101" i="3" s="1"/>
  <c r="I656" i="18"/>
  <c r="R109" i="4"/>
  <c r="K109" i="20" s="1"/>
  <c r="N92" i="3"/>
  <c r="Q651" i="3"/>
  <c r="M650" i="3"/>
  <c r="U649" i="3"/>
  <c r="F650" i="3"/>
  <c r="J649" i="3"/>
  <c r="K109" i="4"/>
  <c r="I110" i="4"/>
  <c r="C114" i="3"/>
  <c r="G128" i="3" s="1"/>
  <c r="D5" i="19"/>
  <c r="E5" i="19" s="1"/>
  <c r="D218" i="19"/>
  <c r="E218" i="19" s="1"/>
  <c r="D222" i="19"/>
  <c r="E222" i="19" s="1"/>
  <c r="D217" i="19"/>
  <c r="E217" i="19" s="1"/>
  <c r="D216" i="19"/>
  <c r="E216" i="19" s="1"/>
  <c r="D220" i="19"/>
  <c r="E220" i="19" s="1"/>
  <c r="D219" i="19"/>
  <c r="E219" i="19" s="1"/>
  <c r="D221" i="19"/>
  <c r="E221" i="19" s="1"/>
  <c r="D180" i="19"/>
  <c r="E180" i="19" s="1"/>
  <c r="D178" i="19"/>
  <c r="E178" i="19" s="1"/>
  <c r="D177" i="19"/>
  <c r="E177" i="19" s="1"/>
  <c r="D182" i="19"/>
  <c r="E182" i="19" s="1"/>
  <c r="D179" i="19"/>
  <c r="E179" i="19" s="1"/>
  <c r="D181" i="19"/>
  <c r="E181" i="19" s="1"/>
  <c r="D183" i="19"/>
  <c r="E183" i="19" s="1"/>
  <c r="D185" i="19"/>
  <c r="E185" i="19" s="1"/>
  <c r="D184" i="19"/>
  <c r="E184" i="19" s="1"/>
  <c r="D186" i="19"/>
  <c r="E186" i="19" s="1"/>
  <c r="D187" i="19"/>
  <c r="E187" i="19" s="1"/>
  <c r="D188" i="19"/>
  <c r="E188" i="19" s="1"/>
  <c r="D190" i="19"/>
  <c r="E190" i="19" s="1"/>
  <c r="D189" i="19"/>
  <c r="E189" i="19" s="1"/>
  <c r="D191" i="19"/>
  <c r="E191" i="19" s="1"/>
  <c r="D192" i="19"/>
  <c r="E192" i="19" s="1"/>
  <c r="D195" i="19"/>
  <c r="E195" i="19" s="1"/>
  <c r="D193" i="19"/>
  <c r="E193" i="19" s="1"/>
  <c r="D194" i="19"/>
  <c r="E194" i="19" s="1"/>
  <c r="D197" i="19"/>
  <c r="E197" i="19" s="1"/>
  <c r="D196" i="19"/>
  <c r="E196" i="19" s="1"/>
  <c r="D198" i="19"/>
  <c r="E198" i="19" s="1"/>
  <c r="D199" i="19"/>
  <c r="E199" i="19" s="1"/>
  <c r="D202" i="19"/>
  <c r="E202" i="19" s="1"/>
  <c r="D200" i="19"/>
  <c r="E200" i="19" s="1"/>
  <c r="D201" i="19"/>
  <c r="E201" i="19" s="1"/>
  <c r="D203" i="19"/>
  <c r="E203" i="19" s="1"/>
  <c r="D206" i="19"/>
  <c r="E206" i="19" s="1"/>
  <c r="D204" i="19"/>
  <c r="E204" i="19" s="1"/>
  <c r="D205" i="19"/>
  <c r="E205" i="19" s="1"/>
  <c r="D209" i="19"/>
  <c r="E209" i="19" s="1"/>
  <c r="D207" i="19"/>
  <c r="E207" i="19" s="1"/>
  <c r="D208" i="19"/>
  <c r="E208" i="19" s="1"/>
  <c r="D212" i="19"/>
  <c r="E212" i="19" s="1"/>
  <c r="D210" i="19"/>
  <c r="E210" i="19" s="1"/>
  <c r="D211" i="19"/>
  <c r="E211" i="19" s="1"/>
  <c r="D214" i="19"/>
  <c r="E214" i="19" s="1"/>
  <c r="D213" i="19"/>
  <c r="E213" i="19" s="1"/>
  <c r="D215" i="19"/>
  <c r="E215" i="19" s="1"/>
  <c r="D6" i="19"/>
  <c r="E6" i="19" s="1"/>
  <c r="D7" i="19"/>
  <c r="E7" i="19" s="1"/>
  <c r="D8" i="19"/>
  <c r="E8" i="19" s="1"/>
  <c r="D9" i="19"/>
  <c r="E9" i="19" s="1"/>
  <c r="D10" i="19"/>
  <c r="E10" i="19" s="1"/>
  <c r="D11" i="19"/>
  <c r="E11" i="19" s="1"/>
  <c r="D13" i="19"/>
  <c r="E13" i="19" s="1"/>
  <c r="D12" i="19"/>
  <c r="E12" i="19" s="1"/>
  <c r="D14" i="19"/>
  <c r="E14" i="19" s="1"/>
  <c r="D15" i="19"/>
  <c r="E15" i="19" s="1"/>
  <c r="D16" i="19"/>
  <c r="E16" i="19" s="1"/>
  <c r="D17" i="19"/>
  <c r="E17" i="19" s="1"/>
  <c r="D18" i="19"/>
  <c r="E18" i="19" s="1"/>
  <c r="D19" i="19"/>
  <c r="E19" i="19" s="1"/>
  <c r="D20" i="19"/>
  <c r="E20" i="19" s="1"/>
  <c r="D21" i="19"/>
  <c r="E21" i="19" s="1"/>
  <c r="D23" i="19"/>
  <c r="E23" i="19" s="1"/>
  <c r="D22" i="19"/>
  <c r="E22" i="19" s="1"/>
  <c r="D24" i="19"/>
  <c r="E24" i="19" s="1"/>
  <c r="D26" i="19"/>
  <c r="E26" i="19" s="1"/>
  <c r="D25" i="19"/>
  <c r="E25" i="19" s="1"/>
  <c r="D27" i="19"/>
  <c r="E27" i="19" s="1"/>
  <c r="D29" i="19"/>
  <c r="E29" i="19" s="1"/>
  <c r="D28" i="19"/>
  <c r="E28" i="19" s="1"/>
  <c r="D30" i="19"/>
  <c r="E30" i="19" s="1"/>
  <c r="D31" i="19"/>
  <c r="E31" i="19" s="1"/>
  <c r="D32" i="19"/>
  <c r="E32" i="19" s="1"/>
  <c r="D33" i="19"/>
  <c r="E33" i="19" s="1"/>
  <c r="D34" i="19"/>
  <c r="E34" i="19" s="1"/>
  <c r="D36" i="19"/>
  <c r="E36" i="19" s="1"/>
  <c r="D35" i="19"/>
  <c r="E35" i="19" s="1"/>
  <c r="D38" i="19"/>
  <c r="E38" i="19" s="1"/>
  <c r="D37" i="19"/>
  <c r="E37" i="19" s="1"/>
  <c r="D39" i="19"/>
  <c r="E39" i="19" s="1"/>
  <c r="D40" i="19"/>
  <c r="E40" i="19" s="1"/>
  <c r="D41" i="19"/>
  <c r="E41" i="19" s="1"/>
  <c r="D42" i="19"/>
  <c r="E42" i="19" s="1"/>
  <c r="D43" i="19"/>
  <c r="E43" i="19" s="1"/>
  <c r="D45" i="19"/>
  <c r="E45" i="19" s="1"/>
  <c r="D44" i="19"/>
  <c r="E44" i="19" s="1"/>
  <c r="D46" i="19"/>
  <c r="E46" i="19" s="1"/>
  <c r="D47" i="19"/>
  <c r="E47" i="19" s="1"/>
  <c r="D49" i="19"/>
  <c r="E49" i="19" s="1"/>
  <c r="D48" i="19"/>
  <c r="E48" i="19" s="1"/>
  <c r="D50" i="19"/>
  <c r="E50" i="19" s="1"/>
  <c r="D51" i="19"/>
  <c r="E51" i="19" s="1"/>
  <c r="D52" i="19"/>
  <c r="E52" i="19" s="1"/>
  <c r="D54" i="19"/>
  <c r="E54" i="19" s="1"/>
  <c r="D53" i="19"/>
  <c r="E53" i="19" s="1"/>
  <c r="D55" i="19"/>
  <c r="E55" i="19" s="1"/>
  <c r="D56" i="19"/>
  <c r="E56" i="19" s="1"/>
  <c r="D58" i="19"/>
  <c r="E58" i="19" s="1"/>
  <c r="D57" i="19"/>
  <c r="E57" i="19" s="1"/>
  <c r="D60" i="19"/>
  <c r="E60" i="19" s="1"/>
  <c r="D59" i="19"/>
  <c r="E59" i="19" s="1"/>
  <c r="D61" i="19"/>
  <c r="E61" i="19" s="1"/>
  <c r="D62" i="19"/>
  <c r="E62" i="19" s="1"/>
  <c r="D64" i="19"/>
  <c r="E64" i="19" s="1"/>
  <c r="D63" i="19"/>
  <c r="E63" i="19" s="1"/>
  <c r="D65" i="19"/>
  <c r="E65" i="19" s="1"/>
  <c r="D68" i="19"/>
  <c r="E68" i="19" s="1"/>
  <c r="D66" i="19"/>
  <c r="E66" i="19" s="1"/>
  <c r="D69" i="19"/>
  <c r="E69" i="19" s="1"/>
  <c r="D67" i="19"/>
  <c r="E67" i="19" s="1"/>
  <c r="D70" i="19"/>
  <c r="E70" i="19" s="1"/>
  <c r="D71" i="19"/>
  <c r="E71" i="19" s="1"/>
  <c r="D72" i="19"/>
  <c r="E72" i="19" s="1"/>
  <c r="D73" i="19"/>
  <c r="E73" i="19" s="1"/>
  <c r="D74" i="19"/>
  <c r="E74" i="19" s="1"/>
  <c r="D75" i="19"/>
  <c r="E75" i="19" s="1"/>
  <c r="D76" i="19"/>
  <c r="E76" i="19" s="1"/>
  <c r="D78" i="19"/>
  <c r="E78" i="19" s="1"/>
  <c r="D77" i="19"/>
  <c r="E77" i="19" s="1"/>
  <c r="D79" i="19"/>
  <c r="E79" i="19" s="1"/>
  <c r="D81" i="19"/>
  <c r="E81" i="19" s="1"/>
  <c r="D80" i="19"/>
  <c r="E80" i="19" s="1"/>
  <c r="D82" i="19"/>
  <c r="E82" i="19" s="1"/>
  <c r="D84" i="19"/>
  <c r="E84" i="19" s="1"/>
  <c r="D83" i="19"/>
  <c r="E83" i="19" s="1"/>
  <c r="D85" i="19"/>
  <c r="E85" i="19" s="1"/>
  <c r="D87" i="19"/>
  <c r="E87" i="19" s="1"/>
  <c r="D86" i="19"/>
  <c r="E86" i="19" s="1"/>
  <c r="D88" i="19"/>
  <c r="E88" i="19" s="1"/>
  <c r="D89" i="19"/>
  <c r="E89" i="19" s="1"/>
  <c r="D90" i="19"/>
  <c r="E90" i="19" s="1"/>
  <c r="D91" i="19"/>
  <c r="E91" i="19" s="1"/>
  <c r="D92" i="19"/>
  <c r="E92" i="19" s="1"/>
  <c r="D94" i="19"/>
  <c r="E94" i="19" s="1"/>
  <c r="D93" i="19"/>
  <c r="E93" i="19" s="1"/>
  <c r="D95" i="19"/>
  <c r="E95" i="19" s="1"/>
  <c r="D96" i="19"/>
  <c r="E96" i="19" s="1"/>
  <c r="D97" i="19"/>
  <c r="E97" i="19" s="1"/>
  <c r="D98" i="19"/>
  <c r="E98" i="19" s="1"/>
  <c r="D99" i="19"/>
  <c r="E99" i="19" s="1"/>
  <c r="D100" i="19"/>
  <c r="E100" i="19" s="1"/>
  <c r="D101" i="19"/>
  <c r="E101" i="19" s="1"/>
  <c r="D102" i="19"/>
  <c r="E102" i="19" s="1"/>
  <c r="D104" i="19"/>
  <c r="E104" i="19" s="1"/>
  <c r="D103" i="19"/>
  <c r="E103" i="19" s="1"/>
  <c r="D105" i="19"/>
  <c r="E105" i="19" s="1"/>
  <c r="D106" i="19"/>
  <c r="E106" i="19" s="1"/>
  <c r="D107" i="19"/>
  <c r="E107" i="19" s="1"/>
  <c r="D108" i="19"/>
  <c r="E108" i="19" s="1"/>
  <c r="D109" i="19"/>
  <c r="E109" i="19" s="1"/>
  <c r="D111" i="19"/>
  <c r="E111" i="19" s="1"/>
  <c r="D110" i="19"/>
  <c r="E110" i="19" s="1"/>
  <c r="D113" i="19"/>
  <c r="E113" i="19" s="1"/>
  <c r="D112" i="19"/>
  <c r="E112" i="19" s="1"/>
  <c r="D114" i="19"/>
  <c r="E114" i="19" s="1"/>
  <c r="D116" i="19"/>
  <c r="E116" i="19" s="1"/>
  <c r="D115" i="19"/>
  <c r="E115" i="19" s="1"/>
  <c r="D117" i="19"/>
  <c r="E117" i="19" s="1"/>
  <c r="D118" i="19"/>
  <c r="E118" i="19" s="1"/>
  <c r="D119" i="19"/>
  <c r="E119" i="19" s="1"/>
  <c r="D120" i="19"/>
  <c r="E120" i="19" s="1"/>
  <c r="D121" i="19"/>
  <c r="E121" i="19" s="1"/>
  <c r="D123" i="19"/>
  <c r="E123" i="19" s="1"/>
  <c r="D122" i="19"/>
  <c r="E122" i="19" s="1"/>
  <c r="D124" i="19"/>
  <c r="E124" i="19" s="1"/>
  <c r="D126" i="19"/>
  <c r="E126" i="19" s="1"/>
  <c r="D125" i="19"/>
  <c r="E125" i="19" s="1"/>
  <c r="D127" i="19"/>
  <c r="E127" i="19" s="1"/>
  <c r="D128" i="19"/>
  <c r="E128" i="19" s="1"/>
  <c r="D129" i="19"/>
  <c r="E129" i="19" s="1"/>
  <c r="D130" i="19"/>
  <c r="E130" i="19" s="1"/>
  <c r="D131" i="19"/>
  <c r="E131" i="19" s="1"/>
  <c r="D132" i="19"/>
  <c r="E132" i="19" s="1"/>
  <c r="D134" i="19"/>
  <c r="E134" i="19" s="1"/>
  <c r="D133" i="19"/>
  <c r="E133" i="19" s="1"/>
  <c r="D136" i="19"/>
  <c r="E136" i="19" s="1"/>
  <c r="D135" i="19"/>
  <c r="E135" i="19" s="1"/>
  <c r="D137" i="19"/>
  <c r="E137" i="19" s="1"/>
  <c r="D139" i="19"/>
  <c r="E139" i="19" s="1"/>
  <c r="D138" i="19"/>
  <c r="E138" i="19" s="1"/>
  <c r="D140" i="19"/>
  <c r="E140" i="19" s="1"/>
  <c r="D141" i="19"/>
  <c r="E141" i="19" s="1"/>
  <c r="D142" i="19"/>
  <c r="E142" i="19" s="1"/>
  <c r="D144" i="19"/>
  <c r="E144" i="19" s="1"/>
  <c r="D143" i="19"/>
  <c r="E143" i="19" s="1"/>
  <c r="D145" i="19"/>
  <c r="E145" i="19" s="1"/>
  <c r="D147" i="19"/>
  <c r="E147" i="19" s="1"/>
  <c r="D146" i="19"/>
  <c r="E146" i="19" s="1"/>
  <c r="D148" i="19"/>
  <c r="E148" i="19" s="1"/>
  <c r="D149" i="19"/>
  <c r="E149" i="19" s="1"/>
  <c r="D150" i="19"/>
  <c r="E150" i="19" s="1"/>
  <c r="D151" i="19"/>
  <c r="E151" i="19" s="1"/>
  <c r="D152" i="19"/>
  <c r="E152" i="19" s="1"/>
  <c r="D153" i="19"/>
  <c r="E153" i="19" s="1"/>
  <c r="D154" i="19"/>
  <c r="E154" i="19" s="1"/>
  <c r="D155" i="19"/>
  <c r="E155" i="19" s="1"/>
  <c r="D156" i="19"/>
  <c r="E156" i="19" s="1"/>
  <c r="D158" i="19"/>
  <c r="E158" i="19" s="1"/>
  <c r="D157" i="19"/>
  <c r="E157" i="19" s="1"/>
  <c r="D159" i="19"/>
  <c r="E159" i="19" s="1"/>
  <c r="D160" i="19"/>
  <c r="E160" i="19" s="1"/>
  <c r="D161" i="19"/>
  <c r="E161" i="19" s="1"/>
  <c r="D162" i="19"/>
  <c r="E162" i="19" s="1"/>
  <c r="D163" i="19"/>
  <c r="E163" i="19" s="1"/>
  <c r="D164" i="19"/>
  <c r="E164" i="19" s="1"/>
  <c r="D165" i="19"/>
  <c r="E165" i="19" s="1"/>
  <c r="D166" i="19"/>
  <c r="E166" i="19" s="1"/>
  <c r="D167" i="19"/>
  <c r="E167" i="19" s="1"/>
  <c r="D168" i="19"/>
  <c r="E168" i="19" s="1"/>
  <c r="D170" i="19"/>
  <c r="E170" i="19" s="1"/>
  <c r="D169" i="19"/>
  <c r="E169" i="19" s="1"/>
  <c r="D172" i="19"/>
  <c r="E172" i="19" s="1"/>
  <c r="D171" i="19"/>
  <c r="E171" i="19" s="1"/>
  <c r="D174" i="19"/>
  <c r="E174" i="19" s="1"/>
  <c r="D173" i="19"/>
  <c r="E173" i="19" s="1"/>
  <c r="D175" i="19"/>
  <c r="E175" i="19" s="1"/>
  <c r="D176" i="19"/>
  <c r="E176" i="19" s="1"/>
  <c r="J112" i="4"/>
  <c r="E112" i="4"/>
  <c r="H111" i="4"/>
  <c r="P113" i="4"/>
  <c r="I113" i="20" s="1"/>
  <c r="C114" i="4"/>
  <c r="D114" i="4" s="1"/>
  <c r="G113" i="4"/>
  <c r="G150" i="19" l="1"/>
  <c r="F150" i="19"/>
  <c r="G151" i="19"/>
  <c r="F151" i="19"/>
  <c r="G152" i="19"/>
  <c r="F152" i="19"/>
  <c r="G153" i="19"/>
  <c r="F153" i="19"/>
  <c r="G154" i="19"/>
  <c r="F154" i="19"/>
  <c r="G155" i="19"/>
  <c r="F155" i="19"/>
  <c r="G156" i="19"/>
  <c r="F156" i="19"/>
  <c r="G157" i="19"/>
  <c r="F157" i="19"/>
  <c r="G158" i="19"/>
  <c r="F158" i="19"/>
  <c r="G159" i="19"/>
  <c r="F159" i="19"/>
  <c r="G160" i="19"/>
  <c r="F160" i="19"/>
  <c r="G161" i="19"/>
  <c r="F161" i="19"/>
  <c r="G162" i="19"/>
  <c r="F162" i="19"/>
  <c r="G163" i="19"/>
  <c r="F163" i="19"/>
  <c r="G164" i="19"/>
  <c r="F164" i="19"/>
  <c r="G165" i="19"/>
  <c r="F165" i="19"/>
  <c r="G166" i="19"/>
  <c r="F166" i="19"/>
  <c r="G167" i="19"/>
  <c r="F167" i="19"/>
  <c r="G168" i="19"/>
  <c r="F168" i="19"/>
  <c r="G169" i="19"/>
  <c r="F169" i="19"/>
  <c r="G170" i="19"/>
  <c r="F170" i="19"/>
  <c r="G171" i="19"/>
  <c r="F171" i="19"/>
  <c r="G172" i="19"/>
  <c r="F172" i="19"/>
  <c r="G173" i="19"/>
  <c r="F173" i="19"/>
  <c r="G174" i="19"/>
  <c r="F174" i="19"/>
  <c r="G175" i="19"/>
  <c r="F175" i="19"/>
  <c r="G176" i="19"/>
  <c r="F176" i="19"/>
  <c r="G177" i="19"/>
  <c r="F177" i="19"/>
  <c r="G178" i="19"/>
  <c r="F178" i="19"/>
  <c r="G179" i="19"/>
  <c r="F179" i="19"/>
  <c r="G180" i="19"/>
  <c r="F180" i="19"/>
  <c r="G181" i="19"/>
  <c r="F181" i="19"/>
  <c r="G182" i="19"/>
  <c r="F182" i="19"/>
  <c r="G183" i="19"/>
  <c r="F183" i="19"/>
  <c r="G184" i="19"/>
  <c r="F184" i="19"/>
  <c r="G185" i="19"/>
  <c r="F185" i="19"/>
  <c r="G186" i="19"/>
  <c r="F186" i="19"/>
  <c r="G187" i="19"/>
  <c r="F187" i="19"/>
  <c r="G188" i="19"/>
  <c r="F188" i="19"/>
  <c r="G189" i="19"/>
  <c r="F189" i="19"/>
  <c r="G190" i="19"/>
  <c r="F190" i="19"/>
  <c r="G191" i="19"/>
  <c r="F191" i="19"/>
  <c r="G192" i="19"/>
  <c r="F192" i="19"/>
  <c r="G193" i="19"/>
  <c r="F193" i="19"/>
  <c r="G194" i="19"/>
  <c r="F194" i="19"/>
  <c r="G195" i="19"/>
  <c r="F195" i="19"/>
  <c r="G196" i="19"/>
  <c r="F196" i="19"/>
  <c r="G197" i="19"/>
  <c r="F197" i="19"/>
  <c r="G198" i="19"/>
  <c r="F198" i="19"/>
  <c r="G199" i="19"/>
  <c r="F199" i="19"/>
  <c r="G200" i="19"/>
  <c r="F200" i="19"/>
  <c r="G201" i="19"/>
  <c r="F201" i="19"/>
  <c r="G202" i="19"/>
  <c r="F202" i="19"/>
  <c r="G203" i="19"/>
  <c r="F203" i="19"/>
  <c r="G204" i="19"/>
  <c r="F204" i="19"/>
  <c r="G205" i="19"/>
  <c r="F205" i="19"/>
  <c r="G206" i="19"/>
  <c r="F206" i="19"/>
  <c r="G207" i="19"/>
  <c r="F207" i="19"/>
  <c r="G208" i="19"/>
  <c r="F208" i="19"/>
  <c r="G209" i="19"/>
  <c r="F209" i="19"/>
  <c r="G210" i="19"/>
  <c r="F210" i="19"/>
  <c r="G211" i="19"/>
  <c r="F211" i="19"/>
  <c r="G212" i="19"/>
  <c r="F212" i="19"/>
  <c r="G213" i="19"/>
  <c r="F213" i="19"/>
  <c r="G214" i="19"/>
  <c r="F214" i="19"/>
  <c r="G215" i="19"/>
  <c r="F215" i="19"/>
  <c r="G216" i="19"/>
  <c r="F216" i="19"/>
  <c r="G217" i="19"/>
  <c r="F217" i="19"/>
  <c r="G218" i="19"/>
  <c r="F218" i="19"/>
  <c r="G219" i="19"/>
  <c r="F219" i="19"/>
  <c r="G220" i="19"/>
  <c r="F220" i="19"/>
  <c r="G221" i="19"/>
  <c r="F221" i="19"/>
  <c r="G222" i="19"/>
  <c r="F222" i="19"/>
  <c r="G223" i="19"/>
  <c r="F223" i="19"/>
  <c r="G224" i="19"/>
  <c r="F224" i="19"/>
  <c r="G225" i="19"/>
  <c r="F225" i="19"/>
  <c r="G226" i="19"/>
  <c r="F226" i="19"/>
  <c r="G227" i="19"/>
  <c r="F227" i="19"/>
  <c r="G228" i="19"/>
  <c r="F228" i="19"/>
  <c r="G229" i="19"/>
  <c r="F229" i="19"/>
  <c r="G230" i="19"/>
  <c r="F230" i="19"/>
  <c r="G231" i="19"/>
  <c r="F231" i="19"/>
  <c r="G232" i="19"/>
  <c r="F232" i="19"/>
  <c r="G233" i="19"/>
  <c r="F233" i="19"/>
  <c r="G234" i="19"/>
  <c r="F234" i="19"/>
  <c r="G235" i="19"/>
  <c r="F235" i="19"/>
  <c r="G236" i="19"/>
  <c r="F236" i="19"/>
  <c r="G237" i="19"/>
  <c r="F237" i="19"/>
  <c r="G238" i="19"/>
  <c r="F238" i="19"/>
  <c r="G239" i="19"/>
  <c r="F239" i="19"/>
  <c r="G240" i="19"/>
  <c r="F240" i="19"/>
  <c r="G241" i="19"/>
  <c r="F241" i="19"/>
  <c r="G242" i="19"/>
  <c r="F242" i="19"/>
  <c r="G243" i="19"/>
  <c r="F243" i="19"/>
  <c r="G244" i="19"/>
  <c r="F244" i="19"/>
  <c r="G245" i="19"/>
  <c r="F245" i="19"/>
  <c r="G246" i="19"/>
  <c r="F246" i="19"/>
  <c r="G247" i="19"/>
  <c r="F247" i="19"/>
  <c r="G248" i="19"/>
  <c r="F248" i="19"/>
  <c r="G249" i="19"/>
  <c r="F249" i="19"/>
  <c r="G250" i="19"/>
  <c r="F250" i="19"/>
  <c r="G251" i="19"/>
  <c r="F251" i="19"/>
  <c r="G252" i="19"/>
  <c r="F252" i="19"/>
  <c r="G253" i="19"/>
  <c r="F253" i="19"/>
  <c r="G254" i="19"/>
  <c r="F254" i="19"/>
  <c r="G255" i="19"/>
  <c r="F255" i="19"/>
  <c r="G256" i="19"/>
  <c r="F256" i="19"/>
  <c r="G257" i="19"/>
  <c r="F257" i="19"/>
  <c r="G258" i="19"/>
  <c r="F258" i="19"/>
  <c r="G259" i="19"/>
  <c r="F259" i="19"/>
  <c r="G260" i="19"/>
  <c r="F260" i="19"/>
  <c r="G261" i="19"/>
  <c r="F261" i="19"/>
  <c r="G262" i="19"/>
  <c r="F262" i="19"/>
  <c r="G149" i="19"/>
  <c r="F149" i="19"/>
  <c r="F148" i="19"/>
  <c r="G148"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F146" i="19"/>
  <c r="F147" i="19"/>
  <c r="N86" i="3"/>
  <c r="R40" i="3"/>
  <c r="S66" i="3" s="1"/>
  <c r="V66" i="3" s="1"/>
  <c r="N76" i="3"/>
  <c r="N84" i="3"/>
  <c r="N82" i="3"/>
  <c r="N69" i="3"/>
  <c r="N73" i="3"/>
  <c r="R72" i="3"/>
  <c r="N81" i="3"/>
  <c r="N68" i="3"/>
  <c r="O68" i="3" s="1"/>
  <c r="N83" i="3"/>
  <c r="N78" i="3"/>
  <c r="N85" i="3"/>
  <c r="N79" i="3"/>
  <c r="S35" i="3"/>
  <c r="V35" i="3" s="1"/>
  <c r="S36" i="3"/>
  <c r="V36" i="3" s="1"/>
  <c r="S23" i="3"/>
  <c r="V23" i="3" s="1"/>
  <c r="S5" i="3"/>
  <c r="V5" i="3" s="1"/>
  <c r="S15" i="3"/>
  <c r="V15" i="3" s="1"/>
  <c r="S10" i="3"/>
  <c r="V10" i="3" s="1"/>
  <c r="S12" i="3"/>
  <c r="V12" i="3" s="1"/>
  <c r="S11" i="3"/>
  <c r="V11" i="3" s="1"/>
  <c r="S9" i="3"/>
  <c r="V9" i="3" s="1"/>
  <c r="S17" i="3"/>
  <c r="V17" i="3" s="1"/>
  <c r="S7" i="3"/>
  <c r="V7" i="3" s="1"/>
  <c r="S6" i="3"/>
  <c r="V6" i="3" s="1"/>
  <c r="S18" i="3"/>
  <c r="V18" i="3" s="1"/>
  <c r="S14" i="3"/>
  <c r="V14" i="3" s="1"/>
  <c r="S8" i="3"/>
  <c r="V8" i="3" s="1"/>
  <c r="S13" i="3"/>
  <c r="V13" i="3" s="1"/>
  <c r="S16" i="3"/>
  <c r="V16" i="3" s="1"/>
  <c r="S19" i="3"/>
  <c r="V19" i="3" s="1"/>
  <c r="S22" i="3"/>
  <c r="V22" i="3" s="1"/>
  <c r="S21" i="3"/>
  <c r="V21" i="3" s="1"/>
  <c r="S24" i="3"/>
  <c r="V24" i="3" s="1"/>
  <c r="S25" i="3"/>
  <c r="V25" i="3" s="1"/>
  <c r="S26" i="3"/>
  <c r="V26" i="3" s="1"/>
  <c r="S29" i="3"/>
  <c r="V29" i="3" s="1"/>
  <c r="S28" i="3"/>
  <c r="V28" i="3" s="1"/>
  <c r="S34" i="3"/>
  <c r="V34" i="3" s="1"/>
  <c r="O10" i="3"/>
  <c r="O57" i="3"/>
  <c r="O25" i="3"/>
  <c r="O44" i="3"/>
  <c r="O67" i="3"/>
  <c r="O35" i="3"/>
  <c r="O66" i="3"/>
  <c r="O14" i="3"/>
  <c r="O34" i="3"/>
  <c r="O59" i="3"/>
  <c r="O58" i="3"/>
  <c r="O54" i="3"/>
  <c r="O6" i="3"/>
  <c r="O41" i="3"/>
  <c r="O28" i="3"/>
  <c r="O51" i="3"/>
  <c r="O53" i="3"/>
  <c r="O21" i="3"/>
  <c r="O40" i="3"/>
  <c r="O63" i="3"/>
  <c r="O31" i="3"/>
  <c r="O62" i="3"/>
  <c r="O9" i="3"/>
  <c r="O18" i="3"/>
  <c r="O23" i="3"/>
  <c r="O39" i="3"/>
  <c r="O49" i="3"/>
  <c r="O36" i="3"/>
  <c r="O27" i="3"/>
  <c r="O12" i="3"/>
  <c r="O38" i="3"/>
  <c r="O30" i="3"/>
  <c r="O26" i="3"/>
  <c r="O45" i="3"/>
  <c r="O64" i="3"/>
  <c r="O32" i="3"/>
  <c r="O55" i="3"/>
  <c r="O46" i="3"/>
  <c r="O60" i="3"/>
  <c r="O19" i="3"/>
  <c r="O22" i="3"/>
  <c r="O37" i="3"/>
  <c r="O56" i="3"/>
  <c r="O24" i="3"/>
  <c r="O47" i="3"/>
  <c r="O15" i="3"/>
  <c r="O17" i="3"/>
  <c r="O13" i="3"/>
  <c r="O16" i="3"/>
  <c r="O50" i="3"/>
  <c r="O65" i="3"/>
  <c r="O33" i="3"/>
  <c r="O52" i="3"/>
  <c r="O20" i="3"/>
  <c r="O43" i="3"/>
  <c r="O11" i="3"/>
  <c r="O42" i="3"/>
  <c r="O8" i="3"/>
  <c r="O5" i="3"/>
  <c r="O61" i="3"/>
  <c r="O29" i="3"/>
  <c r="O48" i="3"/>
  <c r="O7" i="3"/>
  <c r="S27" i="3"/>
  <c r="V27" i="3" s="1"/>
  <c r="S39" i="3"/>
  <c r="V39" i="3" s="1"/>
  <c r="S32" i="3"/>
  <c r="V32" i="3" s="1"/>
  <c r="S30" i="3"/>
  <c r="V30" i="3" s="1"/>
  <c r="S31" i="3"/>
  <c r="V31" i="3" s="1"/>
  <c r="S37" i="3"/>
  <c r="V37" i="3" s="1"/>
  <c r="S38" i="3"/>
  <c r="V38" i="3" s="1"/>
  <c r="S20" i="3"/>
  <c r="V20" i="3" s="1"/>
  <c r="S64" i="3"/>
  <c r="V64" i="3" s="1"/>
  <c r="S33" i="3"/>
  <c r="V33" i="3" s="1"/>
  <c r="H128" i="3"/>
  <c r="R102" i="3" s="1"/>
  <c r="K128" i="3"/>
  <c r="J656" i="18"/>
  <c r="P654" i="5" s="1"/>
  <c r="R110" i="4"/>
  <c r="K110" i="20" s="1"/>
  <c r="K110" i="4"/>
  <c r="N93" i="3"/>
  <c r="Q652" i="3"/>
  <c r="F651" i="3"/>
  <c r="J650" i="3"/>
  <c r="M651" i="3"/>
  <c r="U650" i="3"/>
  <c r="I111" i="4"/>
  <c r="C115" i="3"/>
  <c r="G129" i="3" s="1"/>
  <c r="K42" i="16"/>
  <c r="K44" i="16" s="1"/>
  <c r="J113" i="4"/>
  <c r="E113" i="4"/>
  <c r="P114" i="4"/>
  <c r="I114" i="20" s="1"/>
  <c r="C115" i="4"/>
  <c r="D115" i="4" s="1"/>
  <c r="G114" i="4"/>
  <c r="H112" i="4"/>
  <c r="S53" i="3" l="1"/>
  <c r="V53" i="3" s="1"/>
  <c r="S59" i="3"/>
  <c r="V59" i="3" s="1"/>
  <c r="J11" i="2"/>
  <c r="S54" i="3"/>
  <c r="V54" i="3" s="1"/>
  <c r="S40" i="3"/>
  <c r="V40" i="3" s="1"/>
  <c r="S57" i="3"/>
  <c r="V57" i="3" s="1"/>
  <c r="S71" i="3"/>
  <c r="V71" i="3" s="1"/>
  <c r="S55" i="3"/>
  <c r="V55" i="3" s="1"/>
  <c r="S73" i="3"/>
  <c r="V73" i="3" s="1"/>
  <c r="S61" i="3"/>
  <c r="V61" i="3" s="1"/>
  <c r="S45" i="3"/>
  <c r="V45" i="3" s="1"/>
  <c r="S51" i="3"/>
  <c r="V51" i="3" s="1"/>
  <c r="S70" i="3"/>
  <c r="V70" i="3" s="1"/>
  <c r="S50" i="3"/>
  <c r="V50" i="3" s="1"/>
  <c r="S65" i="3"/>
  <c r="V65" i="3" s="1"/>
  <c r="S47" i="3"/>
  <c r="V47" i="3" s="1"/>
  <c r="S69" i="3"/>
  <c r="V69" i="3" s="1"/>
  <c r="S46" i="3"/>
  <c r="V46" i="3" s="1"/>
  <c r="S41" i="3"/>
  <c r="V41" i="3" s="1"/>
  <c r="S49" i="3"/>
  <c r="V49" i="3" s="1"/>
  <c r="S62" i="3"/>
  <c r="V62" i="3" s="1"/>
  <c r="S68" i="3"/>
  <c r="V68" i="3" s="1"/>
  <c r="S56" i="3"/>
  <c r="V56" i="3" s="1"/>
  <c r="S63" i="3"/>
  <c r="V63" i="3" s="1"/>
  <c r="S48" i="3"/>
  <c r="V48" i="3" s="1"/>
  <c r="S43" i="3"/>
  <c r="V43" i="3" s="1"/>
  <c r="S60" i="3"/>
  <c r="V60" i="3" s="1"/>
  <c r="S67" i="3"/>
  <c r="V67" i="3" s="1"/>
  <c r="S52" i="3"/>
  <c r="V52" i="3" s="1"/>
  <c r="S58" i="3"/>
  <c r="V58" i="3" s="1"/>
  <c r="S44" i="3"/>
  <c r="V44" i="3" s="1"/>
  <c r="S42" i="3"/>
  <c r="V42" i="3" s="1"/>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104" i="19"/>
  <c r="G105" i="19"/>
  <c r="G106" i="19"/>
  <c r="G107" i="19"/>
  <c r="G108" i="19"/>
  <c r="G109" i="19"/>
  <c r="G110" i="19"/>
  <c r="G111" i="19"/>
  <c r="G112" i="19"/>
  <c r="G113" i="19"/>
  <c r="G114" i="19"/>
  <c r="G115" i="19"/>
  <c r="G116" i="19"/>
  <c r="G117" i="19"/>
  <c r="G118" i="19"/>
  <c r="G119" i="19"/>
  <c r="G120" i="19"/>
  <c r="G121" i="19"/>
  <c r="G122" i="19"/>
  <c r="G123" i="19"/>
  <c r="G124" i="19"/>
  <c r="G125" i="19"/>
  <c r="G126" i="19"/>
  <c r="G127" i="19"/>
  <c r="G128" i="19"/>
  <c r="G129" i="19"/>
  <c r="G130" i="19"/>
  <c r="G131" i="19"/>
  <c r="G132" i="19"/>
  <c r="G133" i="19"/>
  <c r="G134" i="19"/>
  <c r="G135" i="19"/>
  <c r="G136" i="19"/>
  <c r="G137" i="19"/>
  <c r="G138" i="19"/>
  <c r="G139" i="19"/>
  <c r="G140" i="19"/>
  <c r="G141" i="19"/>
  <c r="G142" i="19"/>
  <c r="G143" i="19"/>
  <c r="G144" i="19"/>
  <c r="G145" i="19"/>
  <c r="G146" i="19"/>
  <c r="G147" i="19"/>
  <c r="G5" i="19"/>
  <c r="S102" i="3"/>
  <c r="V102" i="3" s="1"/>
  <c r="S95" i="3"/>
  <c r="V95" i="3" s="1"/>
  <c r="S89" i="3"/>
  <c r="V89" i="3" s="1"/>
  <c r="S88" i="3"/>
  <c r="V88" i="3" s="1"/>
  <c r="S87" i="3"/>
  <c r="V87" i="3" s="1"/>
  <c r="S81" i="3"/>
  <c r="V81" i="3" s="1"/>
  <c r="S80" i="3"/>
  <c r="V80" i="3" s="1"/>
  <c r="S97" i="3"/>
  <c r="V97" i="3" s="1"/>
  <c r="S79" i="3"/>
  <c r="V79" i="3" s="1"/>
  <c r="S96" i="3"/>
  <c r="V96" i="3" s="1"/>
  <c r="S72" i="3"/>
  <c r="V72" i="3" s="1"/>
  <c r="S94" i="3"/>
  <c r="V94" i="3" s="1"/>
  <c r="S86" i="3"/>
  <c r="V86" i="3" s="1"/>
  <c r="S78" i="3"/>
  <c r="V78" i="3" s="1"/>
  <c r="S101" i="3"/>
  <c r="V101" i="3" s="1"/>
  <c r="S93" i="3"/>
  <c r="V93" i="3" s="1"/>
  <c r="S85" i="3"/>
  <c r="V85" i="3" s="1"/>
  <c r="S77" i="3"/>
  <c r="V77" i="3" s="1"/>
  <c r="S100" i="3"/>
  <c r="V100" i="3" s="1"/>
  <c r="S92" i="3"/>
  <c r="V92" i="3" s="1"/>
  <c r="S84" i="3"/>
  <c r="V84" i="3" s="1"/>
  <c r="S76" i="3"/>
  <c r="V76" i="3" s="1"/>
  <c r="S99" i="3"/>
  <c r="V99" i="3" s="1"/>
  <c r="S91" i="3"/>
  <c r="V91" i="3" s="1"/>
  <c r="S83" i="3"/>
  <c r="V83" i="3" s="1"/>
  <c r="S75" i="3"/>
  <c r="V75" i="3" s="1"/>
  <c r="S98" i="3"/>
  <c r="V98" i="3" s="1"/>
  <c r="S90" i="3"/>
  <c r="V90" i="3" s="1"/>
  <c r="S82" i="3"/>
  <c r="V82" i="3" s="1"/>
  <c r="S74" i="3"/>
  <c r="V74" i="3" s="1"/>
  <c r="O76" i="3"/>
  <c r="O70" i="3"/>
  <c r="O78" i="3"/>
  <c r="O84" i="3"/>
  <c r="O92" i="3"/>
  <c r="O86" i="3"/>
  <c r="O80" i="3"/>
  <c r="O88" i="3"/>
  <c r="O83" i="3"/>
  <c r="O91" i="3"/>
  <c r="O93" i="3"/>
  <c r="O89" i="3"/>
  <c r="O75" i="3"/>
  <c r="O90" i="3"/>
  <c r="O82" i="3"/>
  <c r="O74" i="3"/>
  <c r="O81" i="3"/>
  <c r="O73" i="3"/>
  <c r="O72" i="3"/>
  <c r="O87" i="3"/>
  <c r="O79" i="3"/>
  <c r="O71" i="3"/>
  <c r="O69" i="3"/>
  <c r="O85" i="3"/>
  <c r="O77" i="3"/>
  <c r="K129" i="3"/>
  <c r="H129" i="3"/>
  <c r="R103" i="3" s="1"/>
  <c r="R111" i="4"/>
  <c r="K111" i="20" s="1"/>
  <c r="K111" i="4"/>
  <c r="N94" i="3"/>
  <c r="O94" i="3" s="1"/>
  <c r="Q653" i="3"/>
  <c r="M652" i="3"/>
  <c r="U651" i="3"/>
  <c r="F652" i="3"/>
  <c r="J651" i="3"/>
  <c r="I112" i="4"/>
  <c r="C116" i="3"/>
  <c r="G130" i="3" s="1"/>
  <c r="K45" i="16"/>
  <c r="P115" i="4"/>
  <c r="I115" i="20" s="1"/>
  <c r="C116" i="4"/>
  <c r="D116" i="4" s="1"/>
  <c r="G115" i="4"/>
  <c r="E114" i="4"/>
  <c r="J114" i="4"/>
  <c r="H113" i="4"/>
  <c r="I32" i="5" l="1"/>
  <c r="S103" i="3"/>
  <c r="V103" i="3" s="1"/>
  <c r="R112" i="4"/>
  <c r="K112" i="20" s="1"/>
  <c r="K130" i="3"/>
  <c r="H130" i="3"/>
  <c r="R104" i="3" s="1"/>
  <c r="K47" i="16"/>
  <c r="K112" i="4"/>
  <c r="Q654" i="3"/>
  <c r="N95" i="3"/>
  <c r="O95" i="3" s="1"/>
  <c r="F653" i="3"/>
  <c r="J652" i="3"/>
  <c r="M653" i="3"/>
  <c r="U652" i="3"/>
  <c r="I113" i="4"/>
  <c r="C117" i="3"/>
  <c r="G131" i="3" s="1"/>
  <c r="H114" i="4"/>
  <c r="J115" i="4"/>
  <c r="E115" i="4"/>
  <c r="P116" i="4"/>
  <c r="I116" i="20" s="1"/>
  <c r="C117" i="4"/>
  <c r="D117" i="4" s="1"/>
  <c r="G116" i="4"/>
  <c r="S104" i="3" l="1"/>
  <c r="V104" i="3" s="1"/>
  <c r="H10" i="25"/>
  <c r="J10" i="25" s="1"/>
  <c r="H10" i="26"/>
  <c r="J10" i="26" s="1"/>
  <c r="H10" i="24"/>
  <c r="J10" i="24" s="1"/>
  <c r="L10" i="24" s="1"/>
  <c r="K87" i="1"/>
  <c r="M87" i="1" s="1"/>
  <c r="R113" i="4"/>
  <c r="K113" i="20" s="1"/>
  <c r="K131" i="3"/>
  <c r="H131" i="3"/>
  <c r="R105" i="3" s="1"/>
  <c r="S105" i="3" s="1"/>
  <c r="V105" i="3" s="1"/>
  <c r="N96" i="3"/>
  <c r="O96" i="3" s="1"/>
  <c r="Q655" i="3"/>
  <c r="K113" i="4"/>
  <c r="M654" i="3"/>
  <c r="U653" i="3"/>
  <c r="F654" i="3"/>
  <c r="J653" i="3"/>
  <c r="I114" i="4"/>
  <c r="C118" i="3"/>
  <c r="G132" i="3" s="1"/>
  <c r="H115" i="4"/>
  <c r="J116" i="4"/>
  <c r="E116" i="4"/>
  <c r="P117" i="4"/>
  <c r="I117" i="20" s="1"/>
  <c r="C118" i="4"/>
  <c r="D118" i="4" s="1"/>
  <c r="G117" i="4"/>
  <c r="K100" i="1" l="1"/>
  <c r="M100" i="1" s="1"/>
  <c r="R114" i="4"/>
  <c r="K114" i="20" s="1"/>
  <c r="H132" i="3"/>
  <c r="R106" i="3" s="1"/>
  <c r="S106" i="3" s="1"/>
  <c r="V106" i="3" s="1"/>
  <c r="K132" i="3"/>
  <c r="N97" i="3"/>
  <c r="O97" i="3" s="1"/>
  <c r="Q656" i="3"/>
  <c r="F655" i="3"/>
  <c r="J654" i="3"/>
  <c r="M655" i="3"/>
  <c r="U654" i="3"/>
  <c r="K114" i="4"/>
  <c r="I115" i="4"/>
  <c r="C119" i="3"/>
  <c r="G133" i="3" s="1"/>
  <c r="J117" i="4"/>
  <c r="E117" i="4"/>
  <c r="P118" i="4"/>
  <c r="I118" i="20" s="1"/>
  <c r="C119" i="4"/>
  <c r="D119" i="4" s="1"/>
  <c r="G118" i="4"/>
  <c r="H116" i="4"/>
  <c r="J11" i="26" l="1"/>
  <c r="J11" i="25"/>
  <c r="R115" i="4"/>
  <c r="K115" i="20" s="1"/>
  <c r="K133" i="3"/>
  <c r="H133" i="3"/>
  <c r="N98" i="3"/>
  <c r="O98" i="3" s="1"/>
  <c r="Q657" i="3"/>
  <c r="M656" i="3"/>
  <c r="U655" i="3"/>
  <c r="F656" i="3"/>
  <c r="J655" i="3"/>
  <c r="K115" i="4"/>
  <c r="I116" i="4"/>
  <c r="C120" i="3"/>
  <c r="G134" i="3" s="1"/>
  <c r="H117" i="4"/>
  <c r="E118" i="4"/>
  <c r="J118" i="4"/>
  <c r="P119" i="4"/>
  <c r="I119" i="20" s="1"/>
  <c r="C120" i="4"/>
  <c r="D120" i="4" s="1"/>
  <c r="G119" i="4"/>
  <c r="R116" i="4" l="1"/>
  <c r="K116" i="20" s="1"/>
  <c r="K134" i="3"/>
  <c r="H134" i="3"/>
  <c r="N99" i="3"/>
  <c r="O99" i="3" s="1"/>
  <c r="Q658" i="3"/>
  <c r="K116" i="4"/>
  <c r="F657" i="3"/>
  <c r="J656" i="3"/>
  <c r="M657" i="3"/>
  <c r="U656" i="3"/>
  <c r="I117" i="4"/>
  <c r="C121" i="3"/>
  <c r="G135" i="3" s="1"/>
  <c r="J119" i="4"/>
  <c r="E119" i="4"/>
  <c r="H118" i="4"/>
  <c r="P120" i="4"/>
  <c r="I120" i="20" s="1"/>
  <c r="C121" i="4"/>
  <c r="D121" i="4" s="1"/>
  <c r="G120" i="4"/>
  <c r="H135" i="3" l="1"/>
  <c r="R107" i="3" s="1"/>
  <c r="S107" i="3" s="1"/>
  <c r="V107" i="3" s="1"/>
  <c r="K135" i="3"/>
  <c r="N100" i="3"/>
  <c r="O100" i="3" s="1"/>
  <c r="Q659" i="3"/>
  <c r="M658" i="3"/>
  <c r="U657" i="3"/>
  <c r="F658" i="3"/>
  <c r="J657" i="3"/>
  <c r="R117" i="4"/>
  <c r="K117" i="20" s="1"/>
  <c r="K117" i="4"/>
  <c r="I118" i="4"/>
  <c r="C122" i="3"/>
  <c r="G136" i="3" s="1"/>
  <c r="H119" i="4"/>
  <c r="J120" i="4"/>
  <c r="E120" i="4"/>
  <c r="P121" i="4"/>
  <c r="I121" i="20" s="1"/>
  <c r="C122" i="4"/>
  <c r="D122" i="4" s="1"/>
  <c r="G121" i="4"/>
  <c r="H136" i="3" l="1"/>
  <c r="R108" i="3" s="1"/>
  <c r="S108" i="3" s="1"/>
  <c r="V108" i="3" s="1"/>
  <c r="K136" i="3"/>
  <c r="N101" i="3"/>
  <c r="O101" i="3" s="1"/>
  <c r="Q660" i="3"/>
  <c r="F659" i="3"/>
  <c r="J658" i="3"/>
  <c r="M659" i="3"/>
  <c r="U658" i="3"/>
  <c r="R118" i="4"/>
  <c r="K118" i="20" s="1"/>
  <c r="K118" i="4"/>
  <c r="I119" i="4"/>
  <c r="C123" i="3"/>
  <c r="G137" i="3" s="1"/>
  <c r="H120" i="4"/>
  <c r="J121" i="4"/>
  <c r="E121" i="4"/>
  <c r="P122" i="4"/>
  <c r="I122" i="20" s="1"/>
  <c r="C123" i="4"/>
  <c r="D123" i="4" s="1"/>
  <c r="G122" i="4"/>
  <c r="H137" i="3" l="1"/>
  <c r="R109" i="3" s="1"/>
  <c r="S109" i="3" s="1"/>
  <c r="V109" i="3" s="1"/>
  <c r="K137" i="3"/>
  <c r="N102" i="3"/>
  <c r="O102" i="3" s="1"/>
  <c r="Q661" i="3"/>
  <c r="M660" i="3"/>
  <c r="U659" i="3"/>
  <c r="F660" i="3"/>
  <c r="J659" i="3"/>
  <c r="R119" i="4"/>
  <c r="K119" i="20" s="1"/>
  <c r="K119" i="4"/>
  <c r="I120" i="4"/>
  <c r="C124" i="3"/>
  <c r="G138" i="3" s="1"/>
  <c r="E122" i="4"/>
  <c r="J122" i="4"/>
  <c r="P123" i="4"/>
  <c r="I123" i="20" s="1"/>
  <c r="C124" i="4"/>
  <c r="D124" i="4" s="1"/>
  <c r="G123" i="4"/>
  <c r="H121" i="4"/>
  <c r="H138" i="3" l="1"/>
  <c r="R110" i="3" s="1"/>
  <c r="S110" i="3" s="1"/>
  <c r="V110" i="3" s="1"/>
  <c r="K138" i="3"/>
  <c r="N103" i="3"/>
  <c r="O103" i="3" s="1"/>
  <c r="Q662" i="3"/>
  <c r="F661" i="3"/>
  <c r="J660" i="3"/>
  <c r="M661" i="3"/>
  <c r="U660" i="3"/>
  <c r="R120" i="4"/>
  <c r="K120" i="20" s="1"/>
  <c r="K120" i="4"/>
  <c r="I121" i="4"/>
  <c r="C125" i="3"/>
  <c r="G139" i="3" s="1"/>
  <c r="H122" i="4"/>
  <c r="J123" i="4"/>
  <c r="E123" i="4"/>
  <c r="P124" i="4"/>
  <c r="I124" i="20" s="1"/>
  <c r="C125" i="4"/>
  <c r="D125" i="4" s="1"/>
  <c r="G124" i="4"/>
  <c r="H139" i="3" l="1"/>
  <c r="R111" i="3" s="1"/>
  <c r="S111" i="3" s="1"/>
  <c r="V111" i="3" s="1"/>
  <c r="K139" i="3"/>
  <c r="N104" i="3"/>
  <c r="O104" i="3" s="1"/>
  <c r="Q663" i="3"/>
  <c r="M662" i="3"/>
  <c r="U661" i="3"/>
  <c r="F662" i="3"/>
  <c r="J661" i="3"/>
  <c r="K121" i="4"/>
  <c r="R121" i="4"/>
  <c r="K121" i="20" s="1"/>
  <c r="I122" i="4"/>
  <c r="C126" i="3"/>
  <c r="G140" i="3" s="1"/>
  <c r="P125" i="4"/>
  <c r="I125" i="20" s="1"/>
  <c r="C126" i="4"/>
  <c r="D126" i="4" s="1"/>
  <c r="G125" i="4"/>
  <c r="H123" i="4"/>
  <c r="J124" i="4"/>
  <c r="E124" i="4"/>
  <c r="H140" i="3" l="1"/>
  <c r="R112" i="3" s="1"/>
  <c r="S112" i="3" s="1"/>
  <c r="V112" i="3" s="1"/>
  <c r="K140" i="3"/>
  <c r="N105" i="3"/>
  <c r="O105" i="3" s="1"/>
  <c r="Q664" i="3"/>
  <c r="K122" i="4"/>
  <c r="F663" i="3"/>
  <c r="J662" i="3"/>
  <c r="M663" i="3"/>
  <c r="U662" i="3"/>
  <c r="R122" i="4"/>
  <c r="K122" i="20" s="1"/>
  <c r="I123" i="4"/>
  <c r="C127" i="3"/>
  <c r="G141" i="3" s="1"/>
  <c r="J125" i="4"/>
  <c r="E125" i="4"/>
  <c r="H124" i="4"/>
  <c r="P126" i="4"/>
  <c r="I126" i="20" s="1"/>
  <c r="C127" i="4"/>
  <c r="D127" i="4" s="1"/>
  <c r="G126" i="4"/>
  <c r="H141" i="3" l="1"/>
  <c r="R113" i="3" s="1"/>
  <c r="S113" i="3" s="1"/>
  <c r="V113" i="3" s="1"/>
  <c r="K141" i="3"/>
  <c r="K123" i="4"/>
  <c r="N106" i="3"/>
  <c r="O106" i="3" s="1"/>
  <c r="Q665" i="3"/>
  <c r="M664" i="3"/>
  <c r="U663" i="3"/>
  <c r="F664" i="3"/>
  <c r="J663" i="3"/>
  <c r="R123" i="4"/>
  <c r="K123" i="20" s="1"/>
  <c r="I124" i="4"/>
  <c r="C128" i="3"/>
  <c r="G142" i="3" s="1"/>
  <c r="H125" i="4"/>
  <c r="P127" i="4"/>
  <c r="I127" i="20" s="1"/>
  <c r="C128" i="4"/>
  <c r="D128" i="4" s="1"/>
  <c r="G127" i="4"/>
  <c r="E126" i="4"/>
  <c r="J126" i="4"/>
  <c r="H142" i="3" l="1"/>
  <c r="R114" i="3" s="1"/>
  <c r="S114" i="3" s="1"/>
  <c r="V114" i="3" s="1"/>
  <c r="K142" i="3"/>
  <c r="N107" i="3"/>
  <c r="O107" i="3" s="1"/>
  <c r="R124" i="4"/>
  <c r="K124" i="20" s="1"/>
  <c r="Q666" i="3"/>
  <c r="K124" i="4"/>
  <c r="F665" i="3"/>
  <c r="J664" i="3"/>
  <c r="M665" i="3"/>
  <c r="U664" i="3"/>
  <c r="I125" i="4"/>
  <c r="C129" i="3"/>
  <c r="G143" i="3" s="1"/>
  <c r="H126" i="4"/>
  <c r="J127" i="4"/>
  <c r="E127" i="4"/>
  <c r="P128" i="4"/>
  <c r="I128" i="20" s="1"/>
  <c r="C129" i="4"/>
  <c r="D129" i="4" s="1"/>
  <c r="G128" i="4"/>
  <c r="H143" i="3" l="1"/>
  <c r="R115" i="3" s="1"/>
  <c r="S115" i="3" s="1"/>
  <c r="V115" i="3" s="1"/>
  <c r="K143" i="3"/>
  <c r="N108" i="3"/>
  <c r="O108" i="3" s="1"/>
  <c r="Q667" i="3"/>
  <c r="M666" i="3"/>
  <c r="U665" i="3"/>
  <c r="F666" i="3"/>
  <c r="J665" i="3"/>
  <c r="R125" i="4"/>
  <c r="K125" i="20" s="1"/>
  <c r="K125" i="4"/>
  <c r="I126" i="4"/>
  <c r="C130" i="3"/>
  <c r="G144" i="3" s="1"/>
  <c r="J128" i="4"/>
  <c r="E128" i="4"/>
  <c r="P129" i="4"/>
  <c r="I129" i="20" s="1"/>
  <c r="C130" i="4"/>
  <c r="D130" i="4" s="1"/>
  <c r="G129" i="4"/>
  <c r="H127" i="4"/>
  <c r="H144" i="3" l="1"/>
  <c r="R116" i="3" s="1"/>
  <c r="S116" i="3" s="1"/>
  <c r="V116" i="3" s="1"/>
  <c r="K144" i="3"/>
  <c r="N109" i="3"/>
  <c r="O109" i="3" s="1"/>
  <c r="Q668" i="3"/>
  <c r="R126" i="4"/>
  <c r="K126" i="20" s="1"/>
  <c r="F667" i="3"/>
  <c r="J666" i="3"/>
  <c r="M667" i="3"/>
  <c r="U666" i="3"/>
  <c r="K126" i="4"/>
  <c r="I127" i="4"/>
  <c r="C131" i="3"/>
  <c r="G145" i="3" s="1"/>
  <c r="J129" i="4"/>
  <c r="E129" i="4"/>
  <c r="P130" i="4"/>
  <c r="I130" i="20" s="1"/>
  <c r="C131" i="4"/>
  <c r="D131" i="4" s="1"/>
  <c r="G130" i="4"/>
  <c r="H128" i="4"/>
  <c r="H145" i="3" l="1"/>
  <c r="R117" i="3" s="1"/>
  <c r="S117" i="3" s="1"/>
  <c r="V117" i="3" s="1"/>
  <c r="K145" i="3"/>
  <c r="R127" i="4"/>
  <c r="K127" i="20" s="1"/>
  <c r="N110" i="3"/>
  <c r="O110" i="3" s="1"/>
  <c r="Q669" i="3"/>
  <c r="M668" i="3"/>
  <c r="U667" i="3"/>
  <c r="F668" i="3"/>
  <c r="J667" i="3"/>
  <c r="K127" i="4"/>
  <c r="I128" i="4"/>
  <c r="C132" i="3"/>
  <c r="G146" i="3" s="1"/>
  <c r="E130" i="4"/>
  <c r="J130" i="4"/>
  <c r="H129" i="4"/>
  <c r="P131" i="4"/>
  <c r="I131" i="20" s="1"/>
  <c r="C132" i="4"/>
  <c r="D132" i="4" s="1"/>
  <c r="G131" i="4"/>
  <c r="H146" i="3" l="1"/>
  <c r="R118" i="3" s="1"/>
  <c r="S118" i="3" s="1"/>
  <c r="V118" i="3" s="1"/>
  <c r="K146" i="3"/>
  <c r="N111" i="3"/>
  <c r="O111" i="3" s="1"/>
  <c r="Q670" i="3"/>
  <c r="F669" i="3"/>
  <c r="J668" i="3"/>
  <c r="U668" i="3"/>
  <c r="M669" i="3"/>
  <c r="K128" i="4"/>
  <c r="R128" i="4"/>
  <c r="K128" i="20" s="1"/>
  <c r="I129" i="4"/>
  <c r="C133" i="3"/>
  <c r="J131" i="4"/>
  <c r="E131" i="4"/>
  <c r="P132" i="4"/>
  <c r="I132" i="20" s="1"/>
  <c r="C133" i="4"/>
  <c r="D133" i="4" s="1"/>
  <c r="G132" i="4"/>
  <c r="H130" i="4"/>
  <c r="C134" i="3" l="1"/>
  <c r="G147" i="3"/>
  <c r="N112" i="3"/>
  <c r="O112" i="3" s="1"/>
  <c r="K129" i="4"/>
  <c r="Q671" i="3"/>
  <c r="M670" i="3"/>
  <c r="U669" i="3"/>
  <c r="J669" i="3"/>
  <c r="F670" i="3"/>
  <c r="R129" i="4"/>
  <c r="K129" i="20" s="1"/>
  <c r="I130" i="4"/>
  <c r="H131" i="4"/>
  <c r="J132" i="4"/>
  <c r="E132" i="4"/>
  <c r="P133" i="4"/>
  <c r="I133" i="20" s="1"/>
  <c r="C134" i="4"/>
  <c r="D134" i="4" s="1"/>
  <c r="G133" i="4"/>
  <c r="H147" i="3" l="1"/>
  <c r="R119" i="3" s="1"/>
  <c r="S119" i="3" s="1"/>
  <c r="V119" i="3" s="1"/>
  <c r="K147" i="3"/>
  <c r="C135" i="3"/>
  <c r="G148" i="3"/>
  <c r="Q672" i="3"/>
  <c r="F671" i="3"/>
  <c r="J670" i="3"/>
  <c r="U670" i="3"/>
  <c r="M671" i="3"/>
  <c r="K130" i="4"/>
  <c r="R130" i="4"/>
  <c r="K130" i="20" s="1"/>
  <c r="I131" i="4"/>
  <c r="J133" i="4"/>
  <c r="E133" i="4"/>
  <c r="P134" i="4"/>
  <c r="I134" i="20" s="1"/>
  <c r="C135" i="4"/>
  <c r="D135" i="4" s="1"/>
  <c r="G134" i="4"/>
  <c r="H132" i="4"/>
  <c r="H148" i="3" l="1"/>
  <c r="R120" i="3" s="1"/>
  <c r="S120" i="3" s="1"/>
  <c r="V120" i="3" s="1"/>
  <c r="K148" i="3"/>
  <c r="C136" i="3"/>
  <c r="G149" i="3"/>
  <c r="K131" i="4"/>
  <c r="Q673" i="3"/>
  <c r="M672" i="3"/>
  <c r="U671" i="3"/>
  <c r="J671" i="3"/>
  <c r="F672" i="3"/>
  <c r="R131" i="4"/>
  <c r="K131" i="20" s="1"/>
  <c r="I132" i="4"/>
  <c r="P135" i="4"/>
  <c r="I135" i="20" s="1"/>
  <c r="C136" i="4"/>
  <c r="D136" i="4" s="1"/>
  <c r="G135" i="4"/>
  <c r="H133" i="4"/>
  <c r="E134" i="4"/>
  <c r="J134" i="4"/>
  <c r="H149" i="3" l="1"/>
  <c r="R121" i="3" s="1"/>
  <c r="S121" i="3" s="1"/>
  <c r="V121" i="3" s="1"/>
  <c r="K149" i="3"/>
  <c r="C137" i="3"/>
  <c r="G150" i="3"/>
  <c r="R132" i="4"/>
  <c r="K132" i="20" s="1"/>
  <c r="Q674" i="3"/>
  <c r="F673" i="3"/>
  <c r="J672" i="3"/>
  <c r="M673" i="3"/>
  <c r="U672" i="3"/>
  <c r="K132" i="4"/>
  <c r="I133" i="4"/>
  <c r="P136" i="4"/>
  <c r="I136" i="20" s="1"/>
  <c r="C137" i="4"/>
  <c r="D137" i="4" s="1"/>
  <c r="G136" i="4"/>
  <c r="H134" i="4"/>
  <c r="J135" i="4"/>
  <c r="E135" i="4"/>
  <c r="H150" i="3" l="1"/>
  <c r="R122" i="3" s="1"/>
  <c r="S122" i="3" s="1"/>
  <c r="V122" i="3" s="1"/>
  <c r="K150" i="3"/>
  <c r="C138" i="3"/>
  <c r="G151" i="3"/>
  <c r="K133" i="4"/>
  <c r="R133" i="4"/>
  <c r="K133" i="20" s="1"/>
  <c r="Q675" i="3"/>
  <c r="U673" i="3"/>
  <c r="M674" i="3"/>
  <c r="J673" i="3"/>
  <c r="F674" i="3"/>
  <c r="I134" i="4"/>
  <c r="H135" i="4"/>
  <c r="E136" i="4"/>
  <c r="J136" i="4"/>
  <c r="P137" i="4"/>
  <c r="I137" i="20" s="1"/>
  <c r="C138" i="4"/>
  <c r="D138" i="4" s="1"/>
  <c r="G137" i="4"/>
  <c r="H151" i="3" l="1"/>
  <c r="R123" i="3" s="1"/>
  <c r="S123" i="3" s="1"/>
  <c r="V123" i="3" s="1"/>
  <c r="K151" i="3"/>
  <c r="C139" i="3"/>
  <c r="G152" i="3"/>
  <c r="Q676" i="3"/>
  <c r="J674" i="3"/>
  <c r="F675" i="3"/>
  <c r="U674" i="3"/>
  <c r="M675" i="3"/>
  <c r="R134" i="4"/>
  <c r="K134" i="20" s="1"/>
  <c r="K134" i="4"/>
  <c r="I135" i="4"/>
  <c r="J137" i="4"/>
  <c r="E137" i="4"/>
  <c r="P138" i="4"/>
  <c r="I138" i="20" s="1"/>
  <c r="C139" i="4"/>
  <c r="D139" i="4" s="1"/>
  <c r="G138" i="4"/>
  <c r="H136" i="4"/>
  <c r="H152" i="3" l="1"/>
  <c r="R124" i="3" s="1"/>
  <c r="S124" i="3" s="1"/>
  <c r="V124" i="3" s="1"/>
  <c r="K152" i="3"/>
  <c r="C140" i="3"/>
  <c r="G153" i="3"/>
  <c r="Q677" i="3"/>
  <c r="M676" i="3"/>
  <c r="U675" i="3"/>
  <c r="F676" i="3"/>
  <c r="J675" i="3"/>
  <c r="K135" i="4"/>
  <c r="R135" i="4"/>
  <c r="K135" i="20" s="1"/>
  <c r="I136" i="4"/>
  <c r="J138" i="4"/>
  <c r="E138" i="4"/>
  <c r="P139" i="4"/>
  <c r="I139" i="20" s="1"/>
  <c r="C140" i="4"/>
  <c r="D140" i="4" s="1"/>
  <c r="G139" i="4"/>
  <c r="H137" i="4"/>
  <c r="H153" i="3" l="1"/>
  <c r="R125" i="3" s="1"/>
  <c r="S125" i="3" s="1"/>
  <c r="V125" i="3" s="1"/>
  <c r="K153" i="3"/>
  <c r="C141" i="3"/>
  <c r="G154" i="3"/>
  <c r="Q678" i="3"/>
  <c r="F677" i="3"/>
  <c r="J676" i="3"/>
  <c r="M677" i="3"/>
  <c r="U676" i="3"/>
  <c r="K136" i="4"/>
  <c r="R136" i="4"/>
  <c r="K136" i="20" s="1"/>
  <c r="I137" i="4"/>
  <c r="P140" i="4"/>
  <c r="I140" i="20" s="1"/>
  <c r="C141" i="4"/>
  <c r="D141" i="4" s="1"/>
  <c r="G140" i="4"/>
  <c r="J139" i="4"/>
  <c r="E139" i="4"/>
  <c r="H138" i="4"/>
  <c r="H154" i="3" l="1"/>
  <c r="R126" i="3" s="1"/>
  <c r="S126" i="3" s="1"/>
  <c r="V126" i="3" s="1"/>
  <c r="K154" i="3"/>
  <c r="C142" i="3"/>
  <c r="G155" i="3"/>
  <c r="K137" i="4"/>
  <c r="Q679" i="3"/>
  <c r="M678" i="3"/>
  <c r="U677" i="3"/>
  <c r="J677" i="3"/>
  <c r="F678" i="3"/>
  <c r="R137" i="4"/>
  <c r="K137" i="20" s="1"/>
  <c r="I138" i="4"/>
  <c r="H139" i="4"/>
  <c r="P141" i="4"/>
  <c r="I141" i="20" s="1"/>
  <c r="C142" i="4"/>
  <c r="D142" i="4" s="1"/>
  <c r="G141" i="4"/>
  <c r="E140" i="4"/>
  <c r="J140" i="4"/>
  <c r="H155" i="3" l="1"/>
  <c r="R127" i="3" s="1"/>
  <c r="S127" i="3" s="1"/>
  <c r="V127" i="3" s="1"/>
  <c r="K155" i="3"/>
  <c r="C143" i="3"/>
  <c r="G156" i="3"/>
  <c r="Q680" i="3"/>
  <c r="F679" i="3"/>
  <c r="J678" i="3"/>
  <c r="M679" i="3"/>
  <c r="U678" i="3"/>
  <c r="K138" i="4"/>
  <c r="R138" i="4"/>
  <c r="K138" i="20" s="1"/>
  <c r="I139" i="4"/>
  <c r="H140" i="4"/>
  <c r="J141" i="4"/>
  <c r="E141" i="4"/>
  <c r="P142" i="4"/>
  <c r="I142" i="20" s="1"/>
  <c r="C143" i="4"/>
  <c r="D143" i="4" s="1"/>
  <c r="G142" i="4"/>
  <c r="H156" i="3" l="1"/>
  <c r="R128" i="3" s="1"/>
  <c r="S128" i="3" s="1"/>
  <c r="V128" i="3" s="1"/>
  <c r="K156" i="3"/>
  <c r="C144" i="3"/>
  <c r="G157" i="3"/>
  <c r="Q681" i="3"/>
  <c r="M680" i="3"/>
  <c r="U679" i="3"/>
  <c r="J679" i="3"/>
  <c r="F680" i="3"/>
  <c r="R139" i="4"/>
  <c r="K139" i="20" s="1"/>
  <c r="K139" i="4"/>
  <c r="I140" i="4"/>
  <c r="J142" i="4"/>
  <c r="E142" i="4"/>
  <c r="H141" i="4"/>
  <c r="P143" i="4"/>
  <c r="I143" i="20" s="1"/>
  <c r="C144" i="4"/>
  <c r="D144" i="4" s="1"/>
  <c r="G143" i="4"/>
  <c r="H157" i="3" l="1"/>
  <c r="R129" i="3" s="1"/>
  <c r="S129" i="3" s="1"/>
  <c r="V129" i="3" s="1"/>
  <c r="K157" i="3"/>
  <c r="C145" i="3"/>
  <c r="G158" i="3"/>
  <c r="K140" i="4"/>
  <c r="Q682" i="3"/>
  <c r="R140" i="4"/>
  <c r="K140" i="20" s="1"/>
  <c r="F681" i="3"/>
  <c r="J680" i="3"/>
  <c r="M681" i="3"/>
  <c r="U680" i="3"/>
  <c r="I141" i="4"/>
  <c r="J143" i="4"/>
  <c r="E143" i="4"/>
  <c r="P144" i="4"/>
  <c r="I144" i="20" s="1"/>
  <c r="C145" i="4"/>
  <c r="D145" i="4" s="1"/>
  <c r="G144" i="4"/>
  <c r="H142" i="4"/>
  <c r="H158" i="3" l="1"/>
  <c r="R130" i="3" s="1"/>
  <c r="S130" i="3" s="1"/>
  <c r="V130" i="3" s="1"/>
  <c r="K158" i="3"/>
  <c r="C146" i="3"/>
  <c r="G159" i="3"/>
  <c r="K141" i="4"/>
  <c r="Q683" i="3"/>
  <c r="R141" i="4"/>
  <c r="K141" i="20" s="1"/>
  <c r="M682" i="3"/>
  <c r="U681" i="3"/>
  <c r="J681" i="3"/>
  <c r="F682" i="3"/>
  <c r="I142" i="4"/>
  <c r="P145" i="4"/>
  <c r="I145" i="20" s="1"/>
  <c r="C146" i="4"/>
  <c r="D146" i="4" s="1"/>
  <c r="G145" i="4"/>
  <c r="E144" i="4"/>
  <c r="J144" i="4"/>
  <c r="H143" i="4"/>
  <c r="H159" i="3" l="1"/>
  <c r="R131" i="3" s="1"/>
  <c r="S131" i="3" s="1"/>
  <c r="V131" i="3" s="1"/>
  <c r="K159" i="3"/>
  <c r="C147" i="3"/>
  <c r="G160" i="3"/>
  <c r="K142" i="4"/>
  <c r="R142" i="4"/>
  <c r="K142" i="20" s="1"/>
  <c r="Q684" i="3"/>
  <c r="F683" i="3"/>
  <c r="J682" i="3"/>
  <c r="M683" i="3"/>
  <c r="U682" i="3"/>
  <c r="I143" i="4"/>
  <c r="P146" i="4"/>
  <c r="I146" i="20" s="1"/>
  <c r="C147" i="4"/>
  <c r="D147" i="4" s="1"/>
  <c r="G146" i="4"/>
  <c r="H144" i="4"/>
  <c r="J145" i="4"/>
  <c r="E145" i="4"/>
  <c r="H160" i="3" l="1"/>
  <c r="R132" i="3" s="1"/>
  <c r="S132" i="3" s="1"/>
  <c r="V132" i="3" s="1"/>
  <c r="K160" i="3"/>
  <c r="C148" i="3"/>
  <c r="G161" i="3"/>
  <c r="K143" i="4"/>
  <c r="Q685" i="3"/>
  <c r="R143" i="4"/>
  <c r="K143" i="20" s="1"/>
  <c r="M684" i="3"/>
  <c r="U683" i="3"/>
  <c r="F684" i="3"/>
  <c r="J683" i="3"/>
  <c r="I144" i="4"/>
  <c r="J146" i="4"/>
  <c r="E146" i="4"/>
  <c r="P147" i="4"/>
  <c r="I147" i="20" s="1"/>
  <c r="C148" i="4"/>
  <c r="D148" i="4" s="1"/>
  <c r="G147" i="4"/>
  <c r="H145" i="4"/>
  <c r="H161" i="3" l="1"/>
  <c r="R133" i="3" s="1"/>
  <c r="S133" i="3" s="1"/>
  <c r="V133" i="3" s="1"/>
  <c r="K161" i="3"/>
  <c r="C149" i="3"/>
  <c r="G162" i="3"/>
  <c r="Q686" i="3"/>
  <c r="R144" i="4"/>
  <c r="K144" i="20" s="1"/>
  <c r="K144" i="4"/>
  <c r="F685" i="3"/>
  <c r="J684" i="3"/>
  <c r="M685" i="3"/>
  <c r="U684" i="3"/>
  <c r="I145" i="4"/>
  <c r="P148" i="4"/>
  <c r="I148" i="20" s="1"/>
  <c r="C149" i="4"/>
  <c r="D149" i="4" s="1"/>
  <c r="G148" i="4"/>
  <c r="J147" i="4"/>
  <c r="E147" i="4"/>
  <c r="H146" i="4"/>
  <c r="H162" i="3" l="1"/>
  <c r="R134" i="3" s="1"/>
  <c r="S134" i="3" s="1"/>
  <c r="V134" i="3" s="1"/>
  <c r="K162" i="3"/>
  <c r="C150" i="3"/>
  <c r="G163" i="3"/>
  <c r="K145" i="4"/>
  <c r="Q687" i="3"/>
  <c r="R145" i="4"/>
  <c r="K145" i="20" s="1"/>
  <c r="M686" i="3"/>
  <c r="U685" i="3"/>
  <c r="J685" i="3"/>
  <c r="F686" i="3"/>
  <c r="I146" i="4"/>
  <c r="H147" i="4"/>
  <c r="E148" i="4"/>
  <c r="J148" i="4"/>
  <c r="P149" i="4"/>
  <c r="I149" i="20" s="1"/>
  <c r="C150" i="4"/>
  <c r="D150" i="4" s="1"/>
  <c r="G149" i="4"/>
  <c r="H163" i="3" l="1"/>
  <c r="R135" i="3" s="1"/>
  <c r="S135" i="3" s="1"/>
  <c r="V135" i="3" s="1"/>
  <c r="K163" i="3"/>
  <c r="C151" i="3"/>
  <c r="G164" i="3"/>
  <c r="R146" i="4"/>
  <c r="K146" i="20" s="1"/>
  <c r="K146" i="4"/>
  <c r="Q688" i="3"/>
  <c r="F687" i="3"/>
  <c r="J686" i="3"/>
  <c r="U686" i="3"/>
  <c r="M687" i="3"/>
  <c r="I147" i="4"/>
  <c r="H148" i="4"/>
  <c r="P150" i="4"/>
  <c r="I150" i="20" s="1"/>
  <c r="C151" i="4"/>
  <c r="D151" i="4" s="1"/>
  <c r="G150" i="4"/>
  <c r="J149" i="4"/>
  <c r="E149" i="4"/>
  <c r="H164" i="3" l="1"/>
  <c r="R136" i="3" s="1"/>
  <c r="S136" i="3" s="1"/>
  <c r="V136" i="3" s="1"/>
  <c r="K164" i="3"/>
  <c r="C152" i="3"/>
  <c r="G165" i="3"/>
  <c r="K147" i="4"/>
  <c r="R147" i="4"/>
  <c r="K147" i="20" s="1"/>
  <c r="Q689" i="3"/>
  <c r="M688" i="3"/>
  <c r="U687" i="3"/>
  <c r="J687" i="3"/>
  <c r="F688" i="3"/>
  <c r="I148" i="4"/>
  <c r="P151" i="4"/>
  <c r="I151" i="20" s="1"/>
  <c r="C152" i="4"/>
  <c r="D152" i="4" s="1"/>
  <c r="G151" i="4"/>
  <c r="H149" i="4"/>
  <c r="J150" i="4"/>
  <c r="E150" i="4"/>
  <c r="H165" i="3" l="1"/>
  <c r="R137" i="3" s="1"/>
  <c r="S137" i="3" s="1"/>
  <c r="V137" i="3" s="1"/>
  <c r="K165" i="3"/>
  <c r="C153" i="3"/>
  <c r="G166" i="3"/>
  <c r="K148" i="4"/>
  <c r="R148" i="4"/>
  <c r="K148" i="20" s="1"/>
  <c r="Q690" i="3"/>
  <c r="F689" i="3"/>
  <c r="J688" i="3"/>
  <c r="U688" i="3"/>
  <c r="M689" i="3"/>
  <c r="I149" i="4"/>
  <c r="H150" i="4"/>
  <c r="J151" i="4"/>
  <c r="E151" i="4"/>
  <c r="P152" i="4"/>
  <c r="I152" i="20" s="1"/>
  <c r="C153" i="4"/>
  <c r="D153" i="4" s="1"/>
  <c r="G152" i="4"/>
  <c r="H166" i="3" l="1"/>
  <c r="R138" i="3" s="1"/>
  <c r="S138" i="3" s="1"/>
  <c r="V138" i="3" s="1"/>
  <c r="K166" i="3"/>
  <c r="C154" i="3"/>
  <c r="G167" i="3"/>
  <c r="K149" i="4"/>
  <c r="Q691" i="3"/>
  <c r="R149" i="4"/>
  <c r="K149" i="20" s="1"/>
  <c r="M690" i="3"/>
  <c r="U689" i="3"/>
  <c r="J689" i="3"/>
  <c r="F690" i="3"/>
  <c r="I150" i="4"/>
  <c r="H151" i="4"/>
  <c r="E152" i="4"/>
  <c r="J152" i="4"/>
  <c r="P153" i="4"/>
  <c r="I153" i="20" s="1"/>
  <c r="C154" i="4"/>
  <c r="D154" i="4" s="1"/>
  <c r="G153" i="4"/>
  <c r="K150" i="4" l="1"/>
  <c r="H167" i="3"/>
  <c r="R139" i="3" s="1"/>
  <c r="S139" i="3" s="1"/>
  <c r="V139" i="3" s="1"/>
  <c r="K167" i="3"/>
  <c r="C155" i="3"/>
  <c r="G168" i="3"/>
  <c r="R150" i="4"/>
  <c r="K150" i="20" s="1"/>
  <c r="Q692" i="3"/>
  <c r="F691" i="3"/>
  <c r="J690" i="3"/>
  <c r="U690" i="3"/>
  <c r="M691" i="3"/>
  <c r="I151" i="4"/>
  <c r="P154" i="4"/>
  <c r="I154" i="20" s="1"/>
  <c r="C155" i="4"/>
  <c r="D155" i="4" s="1"/>
  <c r="G154" i="4"/>
  <c r="J153" i="4"/>
  <c r="E153" i="4"/>
  <c r="H152" i="4"/>
  <c r="H168" i="3" l="1"/>
  <c r="R140" i="3" s="1"/>
  <c r="S140" i="3" s="1"/>
  <c r="V140" i="3" s="1"/>
  <c r="K168" i="3"/>
  <c r="C156" i="3"/>
  <c r="G169" i="3"/>
  <c r="R151" i="4"/>
  <c r="K151" i="20" s="1"/>
  <c r="K151" i="4"/>
  <c r="Q693" i="3"/>
  <c r="M692" i="3"/>
  <c r="U691" i="3"/>
  <c r="J691" i="3"/>
  <c r="F692" i="3"/>
  <c r="I152" i="4"/>
  <c r="H153" i="4"/>
  <c r="J154" i="4"/>
  <c r="E154" i="4"/>
  <c r="P155" i="4"/>
  <c r="I155" i="20" s="1"/>
  <c r="C156" i="4"/>
  <c r="D156" i="4" s="1"/>
  <c r="G155" i="4"/>
  <c r="H169" i="3" l="1"/>
  <c r="R141" i="3" s="1"/>
  <c r="S141" i="3" s="1"/>
  <c r="V141" i="3" s="1"/>
  <c r="K169" i="3"/>
  <c r="C157" i="3"/>
  <c r="G170" i="3"/>
  <c r="Q694" i="3"/>
  <c r="F693" i="3"/>
  <c r="J692" i="3"/>
  <c r="U692" i="3"/>
  <c r="M693" i="3"/>
  <c r="R152" i="4"/>
  <c r="K152" i="20" s="1"/>
  <c r="K152" i="4"/>
  <c r="I153" i="4"/>
  <c r="J155" i="4"/>
  <c r="E155" i="4"/>
  <c r="H154" i="4"/>
  <c r="P156" i="4"/>
  <c r="I156" i="20" s="1"/>
  <c r="C157" i="4"/>
  <c r="D157" i="4" s="1"/>
  <c r="G156" i="4"/>
  <c r="H170" i="3" l="1"/>
  <c r="R142" i="3" s="1"/>
  <c r="S142" i="3" s="1"/>
  <c r="V142" i="3" s="1"/>
  <c r="K170" i="3"/>
  <c r="C158" i="3"/>
  <c r="G171" i="3"/>
  <c r="R153" i="4"/>
  <c r="K153" i="20" s="1"/>
  <c r="N132" i="3"/>
  <c r="Q695" i="3"/>
  <c r="K153" i="4"/>
  <c r="M694" i="3"/>
  <c r="U693" i="3"/>
  <c r="J693" i="3"/>
  <c r="F694" i="3"/>
  <c r="I154" i="4"/>
  <c r="E156" i="4"/>
  <c r="J156" i="4"/>
  <c r="H155" i="4"/>
  <c r="P157" i="4"/>
  <c r="I157" i="20" s="1"/>
  <c r="C158" i="4"/>
  <c r="D158" i="4" s="1"/>
  <c r="G157" i="4"/>
  <c r="H171" i="3" l="1"/>
  <c r="K171" i="3"/>
  <c r="C159" i="3"/>
  <c r="G172" i="3"/>
  <c r="R154" i="4"/>
  <c r="K154" i="20" s="1"/>
  <c r="K154" i="4"/>
  <c r="Q696" i="3"/>
  <c r="N119" i="3"/>
  <c r="F695" i="3"/>
  <c r="J694" i="3"/>
  <c r="U694" i="3"/>
  <c r="M695" i="3"/>
  <c r="I155" i="4"/>
  <c r="J157" i="4"/>
  <c r="E157" i="4"/>
  <c r="P158" i="4"/>
  <c r="I158" i="20" s="1"/>
  <c r="C159" i="4"/>
  <c r="D159" i="4" s="1"/>
  <c r="G158" i="4"/>
  <c r="H156" i="4"/>
  <c r="R143" i="3" l="1"/>
  <c r="S143" i="3" s="1"/>
  <c r="V143" i="3" s="1"/>
  <c r="N145" i="3"/>
  <c r="H172" i="3"/>
  <c r="R144" i="3" s="1"/>
  <c r="K172" i="3"/>
  <c r="C160" i="3"/>
  <c r="G173" i="3"/>
  <c r="K155" i="4"/>
  <c r="Q697" i="3"/>
  <c r="R155" i="4"/>
  <c r="K155" i="20" s="1"/>
  <c r="U695" i="3"/>
  <c r="M696" i="3"/>
  <c r="F696" i="3"/>
  <c r="J695" i="3"/>
  <c r="I156" i="4"/>
  <c r="P159" i="4"/>
  <c r="I159" i="20" s="1"/>
  <c r="C160" i="4"/>
  <c r="D160" i="4" s="1"/>
  <c r="G159" i="4"/>
  <c r="H157" i="4"/>
  <c r="J158" i="4"/>
  <c r="E158" i="4"/>
  <c r="S144" i="3" l="1"/>
  <c r="V144" i="3" s="1"/>
  <c r="R156" i="4"/>
  <c r="K156" i="20" s="1"/>
  <c r="H173" i="3"/>
  <c r="R145" i="3" s="1"/>
  <c r="S145" i="3" s="1"/>
  <c r="V145" i="3" s="1"/>
  <c r="K173" i="3"/>
  <c r="C161" i="3"/>
  <c r="G174" i="3"/>
  <c r="Q698" i="3"/>
  <c r="K156" i="4"/>
  <c r="F697" i="3"/>
  <c r="J696" i="3"/>
  <c r="M697" i="3"/>
  <c r="U696" i="3"/>
  <c r="I157" i="4"/>
  <c r="H158" i="4"/>
  <c r="J159" i="4"/>
  <c r="E159" i="4"/>
  <c r="P160" i="4"/>
  <c r="C161" i="4"/>
  <c r="D161" i="4" s="1"/>
  <c r="G160" i="4"/>
  <c r="H174" i="3" l="1"/>
  <c r="R146" i="3" s="1"/>
  <c r="S146" i="3" s="1"/>
  <c r="V146" i="3" s="1"/>
  <c r="K174" i="3"/>
  <c r="C162" i="3"/>
  <c r="G175" i="3"/>
  <c r="K157" i="4"/>
  <c r="Q699" i="3"/>
  <c r="R157" i="4"/>
  <c r="K157" i="20" s="1"/>
  <c r="M698" i="3"/>
  <c r="U697" i="3"/>
  <c r="J697" i="3"/>
  <c r="F698" i="3"/>
  <c r="I158" i="4"/>
  <c r="I160" i="20"/>
  <c r="H159" i="4"/>
  <c r="E160" i="4"/>
  <c r="J160" i="4"/>
  <c r="P161" i="4"/>
  <c r="I161" i="20" s="1"/>
  <c r="C162" i="4"/>
  <c r="D162" i="4" s="1"/>
  <c r="G161" i="4"/>
  <c r="H175" i="3" l="1"/>
  <c r="R147" i="3" s="1"/>
  <c r="S147" i="3" s="1"/>
  <c r="V147" i="3" s="1"/>
  <c r="K175" i="3"/>
  <c r="C163" i="3"/>
  <c r="G176" i="3"/>
  <c r="R158" i="4"/>
  <c r="K158" i="20" s="1"/>
  <c r="K158" i="4"/>
  <c r="Q700" i="3"/>
  <c r="F699" i="3"/>
  <c r="J698" i="3"/>
  <c r="U698" i="3"/>
  <c r="M699" i="3"/>
  <c r="I159" i="4"/>
  <c r="H160" i="4"/>
  <c r="J161" i="4"/>
  <c r="E161" i="4"/>
  <c r="P162" i="4"/>
  <c r="C163" i="4"/>
  <c r="D163" i="4" s="1"/>
  <c r="G162" i="4"/>
  <c r="H176" i="3" l="1"/>
  <c r="R148" i="3" s="1"/>
  <c r="S148" i="3" s="1"/>
  <c r="V148" i="3" s="1"/>
  <c r="K176" i="3"/>
  <c r="C164" i="3"/>
  <c r="C165" i="3" s="1"/>
  <c r="C166" i="3" s="1"/>
  <c r="C167" i="3" s="1"/>
  <c r="C168" i="3" s="1"/>
  <c r="C169" i="3" s="1"/>
  <c r="C170" i="3" s="1"/>
  <c r="G177" i="3"/>
  <c r="Q701" i="3"/>
  <c r="M700" i="3"/>
  <c r="U699" i="3"/>
  <c r="J699" i="3"/>
  <c r="F700" i="3"/>
  <c r="R159" i="4"/>
  <c r="K159" i="20" s="1"/>
  <c r="K159" i="4"/>
  <c r="I160" i="4"/>
  <c r="J162" i="4"/>
  <c r="E162" i="4"/>
  <c r="H161" i="4"/>
  <c r="I162" i="20"/>
  <c r="P163" i="4"/>
  <c r="I163" i="20" s="1"/>
  <c r="C164" i="4"/>
  <c r="D164" i="4" s="1"/>
  <c r="G163" i="4"/>
  <c r="H177" i="3" l="1"/>
  <c r="R149" i="3" s="1"/>
  <c r="S149" i="3" s="1"/>
  <c r="V149" i="3" s="1"/>
  <c r="K177" i="3"/>
  <c r="C171" i="3"/>
  <c r="C172" i="3" s="1"/>
  <c r="C173" i="3" s="1"/>
  <c r="C174" i="3" s="1"/>
  <c r="C175" i="3" s="1"/>
  <c r="C176" i="3" s="1"/>
  <c r="C177" i="3" s="1"/>
  <c r="C178" i="3" s="1"/>
  <c r="C179" i="3" s="1"/>
  <c r="C180" i="3" s="1"/>
  <c r="C181" i="3" s="1"/>
  <c r="C182" i="3" s="1"/>
  <c r="C183" i="3" s="1"/>
  <c r="G184" i="3"/>
  <c r="R160" i="4"/>
  <c r="K160" i="20" s="1"/>
  <c r="Q702" i="3"/>
  <c r="F701" i="3"/>
  <c r="J700" i="3"/>
  <c r="U700" i="3"/>
  <c r="M701" i="3"/>
  <c r="K160" i="4"/>
  <c r="I161" i="4"/>
  <c r="P164" i="4"/>
  <c r="C165" i="4"/>
  <c r="D165" i="4" s="1"/>
  <c r="G164" i="4"/>
  <c r="G178" i="3"/>
  <c r="H178" i="3" s="1"/>
  <c r="R150" i="3" s="1"/>
  <c r="J163" i="4"/>
  <c r="E163" i="4"/>
  <c r="H162" i="4"/>
  <c r="H184" i="3" l="1"/>
  <c r="K184" i="3"/>
  <c r="C184" i="3"/>
  <c r="C185" i="3" s="1"/>
  <c r="C186" i="3" s="1"/>
  <c r="C187" i="3" s="1"/>
  <c r="C188" i="3" s="1"/>
  <c r="C189" i="3" s="1"/>
  <c r="C190" i="3" s="1"/>
  <c r="C191" i="3" s="1"/>
  <c r="C192" i="3" s="1"/>
  <c r="C193" i="3" s="1"/>
  <c r="C194" i="3" s="1"/>
  <c r="C195" i="3" s="1"/>
  <c r="C196" i="3" s="1"/>
  <c r="G197" i="3"/>
  <c r="S150" i="3"/>
  <c r="V150" i="3" s="1"/>
  <c r="K161" i="4"/>
  <c r="Q703" i="3"/>
  <c r="M702" i="3"/>
  <c r="U701" i="3"/>
  <c r="J701" i="3"/>
  <c r="F702" i="3"/>
  <c r="R161" i="4"/>
  <c r="K161" i="20" s="1"/>
  <c r="I162" i="4"/>
  <c r="K178" i="3"/>
  <c r="G179" i="3"/>
  <c r="H179" i="3" s="1"/>
  <c r="R151" i="3" s="1"/>
  <c r="S151" i="3" s="1"/>
  <c r="V151" i="3" s="1"/>
  <c r="P165" i="4"/>
  <c r="I165" i="20" s="1"/>
  <c r="C166" i="4"/>
  <c r="G165" i="4"/>
  <c r="I164" i="20"/>
  <c r="H163" i="4"/>
  <c r="E164" i="4"/>
  <c r="J164" i="4"/>
  <c r="H197" i="3" l="1"/>
  <c r="K197" i="3"/>
  <c r="C197" i="3"/>
  <c r="C198" i="3" s="1"/>
  <c r="C199" i="3" s="1"/>
  <c r="C200" i="3" s="1"/>
  <c r="C201" i="3" s="1"/>
  <c r="C202" i="3" s="1"/>
  <c r="C203" i="3" s="1"/>
  <c r="C204" i="3" s="1"/>
  <c r="C205" i="3" s="1"/>
  <c r="C206" i="3" s="1"/>
  <c r="G210" i="3"/>
  <c r="K162" i="4"/>
  <c r="N113" i="3"/>
  <c r="O113" i="3" s="1"/>
  <c r="Q704" i="3"/>
  <c r="R162" i="4"/>
  <c r="K162" i="20" s="1"/>
  <c r="J702" i="3"/>
  <c r="F703" i="3"/>
  <c r="M703" i="3"/>
  <c r="U702" i="3"/>
  <c r="D166" i="4"/>
  <c r="I163" i="4"/>
  <c r="K179" i="3"/>
  <c r="J165" i="4"/>
  <c r="E165" i="4"/>
  <c r="H164" i="4"/>
  <c r="P166" i="4"/>
  <c r="C167" i="4"/>
  <c r="D167" i="4" s="1"/>
  <c r="G180" i="3"/>
  <c r="H180" i="3" s="1"/>
  <c r="R152" i="3" s="1"/>
  <c r="S152" i="3" s="1"/>
  <c r="V152" i="3" s="1"/>
  <c r="H210" i="3" l="1"/>
  <c r="K210" i="3"/>
  <c r="C207" i="3"/>
  <c r="C208" i="3" s="1"/>
  <c r="C209" i="3" s="1"/>
  <c r="K163" i="4"/>
  <c r="G166" i="4"/>
  <c r="N114" i="3"/>
  <c r="O114" i="3" s="1"/>
  <c r="Q705" i="3"/>
  <c r="U703" i="3"/>
  <c r="M704" i="3"/>
  <c r="F704" i="3"/>
  <c r="J703" i="3"/>
  <c r="R163" i="4"/>
  <c r="K163" i="20" s="1"/>
  <c r="I164" i="4"/>
  <c r="K180" i="3"/>
  <c r="G181" i="3"/>
  <c r="H181" i="3" s="1"/>
  <c r="R153" i="3" s="1"/>
  <c r="S153" i="3" s="1"/>
  <c r="V153" i="3" s="1"/>
  <c r="J166" i="4"/>
  <c r="E166" i="4"/>
  <c r="P167" i="4"/>
  <c r="I167" i="20" s="1"/>
  <c r="C168" i="4"/>
  <c r="D168" i="4" s="1"/>
  <c r="G167" i="4"/>
  <c r="I166" i="20"/>
  <c r="H165" i="4"/>
  <c r="G223" i="3" l="1"/>
  <c r="C210" i="3"/>
  <c r="C211" i="3" s="1"/>
  <c r="C212" i="3" s="1"/>
  <c r="C213" i="3" s="1"/>
  <c r="C214" i="3" s="1"/>
  <c r="C215" i="3" s="1"/>
  <c r="R164" i="4"/>
  <c r="K164" i="20" s="1"/>
  <c r="N115" i="3"/>
  <c r="O115" i="3" s="1"/>
  <c r="Q706" i="3"/>
  <c r="F705" i="3"/>
  <c r="J704" i="3"/>
  <c r="K164" i="4"/>
  <c r="M705" i="3"/>
  <c r="U704" i="3"/>
  <c r="I165" i="4"/>
  <c r="K181" i="3"/>
  <c r="P168" i="4"/>
  <c r="I168" i="20" s="1"/>
  <c r="C169" i="4"/>
  <c r="D169" i="4" s="1"/>
  <c r="G168" i="4"/>
  <c r="G182" i="3"/>
  <c r="H182" i="3" s="1"/>
  <c r="H166" i="4"/>
  <c r="J167" i="4"/>
  <c r="E167" i="4"/>
  <c r="R154" i="3" l="1"/>
  <c r="S154" i="3" s="1"/>
  <c r="V154" i="3" s="1"/>
  <c r="R156" i="3"/>
  <c r="H223" i="3"/>
  <c r="K223" i="3"/>
  <c r="K165" i="4"/>
  <c r="R165" i="4"/>
  <c r="K165" i="20" s="1"/>
  <c r="N116" i="3"/>
  <c r="O116" i="3" s="1"/>
  <c r="Q707" i="3"/>
  <c r="M706" i="3"/>
  <c r="U705" i="3"/>
  <c r="F706" i="3"/>
  <c r="J705" i="3"/>
  <c r="I166" i="4"/>
  <c r="C216" i="3"/>
  <c r="K182" i="3"/>
  <c r="E168" i="4"/>
  <c r="J168" i="4"/>
  <c r="H167" i="4"/>
  <c r="G183" i="3"/>
  <c r="H183" i="3" s="1"/>
  <c r="R155" i="3" s="1"/>
  <c r="P169" i="4"/>
  <c r="I169" i="20" s="1"/>
  <c r="C170" i="4"/>
  <c r="D170" i="4" s="1"/>
  <c r="G169" i="4"/>
  <c r="S155" i="3" l="1"/>
  <c r="V155" i="3" s="1"/>
  <c r="S156" i="3"/>
  <c r="V156" i="3" s="1"/>
  <c r="Q708" i="3"/>
  <c r="N117" i="3"/>
  <c r="O117" i="3" s="1"/>
  <c r="F707" i="3"/>
  <c r="J706" i="3"/>
  <c r="M707" i="3"/>
  <c r="U706" i="3"/>
  <c r="R166" i="4"/>
  <c r="K166" i="20" s="1"/>
  <c r="I167" i="4"/>
  <c r="K166" i="4"/>
  <c r="C217" i="3"/>
  <c r="K183" i="3"/>
  <c r="P170" i="4"/>
  <c r="I170" i="20" s="1"/>
  <c r="C171" i="4"/>
  <c r="D171" i="4" s="1"/>
  <c r="G170" i="4"/>
  <c r="J169" i="4"/>
  <c r="E169" i="4"/>
  <c r="H168" i="4"/>
  <c r="G185" i="3"/>
  <c r="H185" i="3" s="1"/>
  <c r="R157" i="3" s="1"/>
  <c r="S157" i="3" s="1"/>
  <c r="V157" i="3" s="1"/>
  <c r="R167" i="4" l="1"/>
  <c r="K167" i="20" s="1"/>
  <c r="N118" i="3"/>
  <c r="O119" i="3" s="1"/>
  <c r="Q709" i="3"/>
  <c r="U707" i="3"/>
  <c r="M708" i="3"/>
  <c r="F708" i="3"/>
  <c r="J707" i="3"/>
  <c r="K167" i="4"/>
  <c r="I168" i="4"/>
  <c r="R168" i="4" s="1"/>
  <c r="C218" i="3"/>
  <c r="K185" i="3"/>
  <c r="H169" i="4"/>
  <c r="G186" i="3"/>
  <c r="H186" i="3" s="1"/>
  <c r="R158" i="3" s="1"/>
  <c r="S158" i="3" s="1"/>
  <c r="V158" i="3" s="1"/>
  <c r="J170" i="4"/>
  <c r="E170" i="4"/>
  <c r="P171" i="4"/>
  <c r="I171" i="20" s="1"/>
  <c r="C172" i="4"/>
  <c r="D172" i="4" s="1"/>
  <c r="G171" i="4"/>
  <c r="O118" i="3" l="1"/>
  <c r="Q710" i="3"/>
  <c r="N120" i="3"/>
  <c r="O120" i="3" s="1"/>
  <c r="F709" i="3"/>
  <c r="J708" i="3"/>
  <c r="M709" i="3"/>
  <c r="U708" i="3"/>
  <c r="K168" i="4"/>
  <c r="I169" i="4"/>
  <c r="R169" i="4" s="1"/>
  <c r="C219" i="3"/>
  <c r="N158" i="3"/>
  <c r="K186" i="3"/>
  <c r="H170" i="4"/>
  <c r="J171" i="4"/>
  <c r="E171" i="4"/>
  <c r="P172" i="4"/>
  <c r="I172" i="20" s="1"/>
  <c r="C173" i="4"/>
  <c r="D173" i="4" s="1"/>
  <c r="G172" i="4"/>
  <c r="K168" i="20"/>
  <c r="G187" i="3"/>
  <c r="H187" i="3" s="1"/>
  <c r="R159" i="3" s="1"/>
  <c r="S159" i="3" s="1"/>
  <c r="V159" i="3" s="1"/>
  <c r="N121" i="3" l="1"/>
  <c r="O121" i="3" s="1"/>
  <c r="Q711" i="3"/>
  <c r="U709" i="3"/>
  <c r="M710" i="3"/>
  <c r="F710" i="3"/>
  <c r="J709" i="3"/>
  <c r="K169" i="4"/>
  <c r="I170" i="4"/>
  <c r="R170" i="4" s="1"/>
  <c r="C220" i="3"/>
  <c r="K187" i="3"/>
  <c r="H171" i="4"/>
  <c r="E172" i="4"/>
  <c r="J172" i="4"/>
  <c r="G188" i="3"/>
  <c r="H188" i="3" s="1"/>
  <c r="R160" i="3" s="1"/>
  <c r="S160" i="3" s="1"/>
  <c r="V160" i="3" s="1"/>
  <c r="P173" i="4"/>
  <c r="I173" i="20" s="1"/>
  <c r="C174" i="4"/>
  <c r="D174" i="4" s="1"/>
  <c r="G173" i="4"/>
  <c r="K169" i="20"/>
  <c r="N122" i="3" l="1"/>
  <c r="O122" i="3" s="1"/>
  <c r="Q712" i="3"/>
  <c r="K170" i="4"/>
  <c r="F711" i="3"/>
  <c r="J710" i="3"/>
  <c r="M711" i="3"/>
  <c r="U710" i="3"/>
  <c r="I171" i="4"/>
  <c r="R171" i="4" s="1"/>
  <c r="C221" i="3"/>
  <c r="K188" i="3"/>
  <c r="J173" i="4"/>
  <c r="E173" i="4"/>
  <c r="G189" i="3"/>
  <c r="H189" i="3" s="1"/>
  <c r="R161" i="3" s="1"/>
  <c r="S161" i="3" s="1"/>
  <c r="V161" i="3" s="1"/>
  <c r="P174" i="4"/>
  <c r="I174" i="20" s="1"/>
  <c r="C175" i="4"/>
  <c r="D175" i="4" s="1"/>
  <c r="G174" i="4"/>
  <c r="H172" i="4"/>
  <c r="K170" i="20"/>
  <c r="K171" i="4" l="1"/>
  <c r="N123" i="3"/>
  <c r="O123" i="3" s="1"/>
  <c r="Q713" i="3"/>
  <c r="U711" i="3"/>
  <c r="M712" i="3"/>
  <c r="F712" i="3"/>
  <c r="J711" i="3"/>
  <c r="I172" i="4"/>
  <c r="R172" i="4" s="1"/>
  <c r="C222" i="3"/>
  <c r="G236" i="3" s="1"/>
  <c r="K189" i="3"/>
  <c r="P175" i="4"/>
  <c r="I175" i="20" s="1"/>
  <c r="C176" i="4"/>
  <c r="D176" i="4" s="1"/>
  <c r="G175" i="4"/>
  <c r="K171" i="20"/>
  <c r="J174" i="4"/>
  <c r="E174" i="4"/>
  <c r="G190" i="3"/>
  <c r="H190" i="3" s="1"/>
  <c r="R162" i="3" s="1"/>
  <c r="S162" i="3" s="1"/>
  <c r="V162" i="3" s="1"/>
  <c r="H173" i="4"/>
  <c r="H236" i="3" l="1"/>
  <c r="K236" i="3"/>
  <c r="N124" i="3"/>
  <c r="O124" i="3" s="1"/>
  <c r="Q714" i="3"/>
  <c r="K172" i="4"/>
  <c r="J712" i="3"/>
  <c r="F713" i="3"/>
  <c r="M713" i="3"/>
  <c r="U712" i="3"/>
  <c r="I173" i="4"/>
  <c r="C223" i="3"/>
  <c r="K190" i="3"/>
  <c r="G191" i="3"/>
  <c r="H191" i="3" s="1"/>
  <c r="R163" i="3" s="1"/>
  <c r="S163" i="3" s="1"/>
  <c r="V163" i="3" s="1"/>
  <c r="K172" i="20"/>
  <c r="J175" i="4"/>
  <c r="E175" i="4"/>
  <c r="P176" i="4"/>
  <c r="I176" i="20" s="1"/>
  <c r="C177" i="4"/>
  <c r="D177" i="4" s="1"/>
  <c r="G176" i="4"/>
  <c r="H174" i="4"/>
  <c r="K173" i="4" l="1"/>
  <c r="R173" i="4"/>
  <c r="K173" i="20" s="1"/>
  <c r="N125" i="3"/>
  <c r="O125" i="3" s="1"/>
  <c r="Q715" i="3"/>
  <c r="U713" i="3"/>
  <c r="M714" i="3"/>
  <c r="F714" i="3"/>
  <c r="J713" i="3"/>
  <c r="I174" i="4"/>
  <c r="C224" i="3"/>
  <c r="K191" i="3"/>
  <c r="P177" i="4"/>
  <c r="I177" i="20" s="1"/>
  <c r="C178" i="4"/>
  <c r="D178" i="4" s="1"/>
  <c r="G177" i="4"/>
  <c r="H175" i="4"/>
  <c r="G192" i="3"/>
  <c r="H192" i="3" s="1"/>
  <c r="R164" i="3" s="1"/>
  <c r="S164" i="3" s="1"/>
  <c r="V164" i="3" s="1"/>
  <c r="E176" i="4"/>
  <c r="J176" i="4"/>
  <c r="N126" i="3" l="1"/>
  <c r="O126" i="3" s="1"/>
  <c r="Q716" i="3"/>
  <c r="J714" i="3"/>
  <c r="F715" i="3"/>
  <c r="M715" i="3"/>
  <c r="U714" i="3"/>
  <c r="K174" i="4"/>
  <c r="R174" i="4"/>
  <c r="K174" i="20" s="1"/>
  <c r="I175" i="4"/>
  <c r="C225" i="3"/>
  <c r="K192" i="3"/>
  <c r="H176" i="4"/>
  <c r="J177" i="4"/>
  <c r="E177" i="4"/>
  <c r="P178" i="4"/>
  <c r="I178" i="20" s="1"/>
  <c r="C179" i="4"/>
  <c r="D179" i="4" s="1"/>
  <c r="G178" i="4"/>
  <c r="G193" i="3"/>
  <c r="H193" i="3" s="1"/>
  <c r="R165" i="3" s="1"/>
  <c r="S165" i="3" s="1"/>
  <c r="V165" i="3" s="1"/>
  <c r="R175" i="4" l="1"/>
  <c r="K175" i="20" s="1"/>
  <c r="Q717" i="3"/>
  <c r="N127" i="3"/>
  <c r="O127" i="3" s="1"/>
  <c r="U715" i="3"/>
  <c r="M716" i="3"/>
  <c r="F716" i="3"/>
  <c r="J715" i="3"/>
  <c r="K175" i="4"/>
  <c r="I176" i="4"/>
  <c r="C226" i="3"/>
  <c r="K193" i="3"/>
  <c r="J178" i="4"/>
  <c r="E178" i="4"/>
  <c r="H177" i="4"/>
  <c r="P179" i="4"/>
  <c r="I179" i="20" s="1"/>
  <c r="C180" i="4"/>
  <c r="D180" i="4" s="1"/>
  <c r="G179" i="4"/>
  <c r="G194" i="3"/>
  <c r="H194" i="3" s="1"/>
  <c r="R166" i="3" s="1"/>
  <c r="S166" i="3" s="1"/>
  <c r="V166" i="3" s="1"/>
  <c r="R176" i="4" l="1"/>
  <c r="K176" i="20" s="1"/>
  <c r="N128" i="3"/>
  <c r="O128" i="3" s="1"/>
  <c r="Q718" i="3"/>
  <c r="K176" i="4"/>
  <c r="J716" i="3"/>
  <c r="F717" i="3"/>
  <c r="M717" i="3"/>
  <c r="U716" i="3"/>
  <c r="I177" i="4"/>
  <c r="C227" i="3"/>
  <c r="K194" i="3"/>
  <c r="J179" i="4"/>
  <c r="E179" i="4"/>
  <c r="G195" i="3"/>
  <c r="H195" i="3" s="1"/>
  <c r="P180" i="4"/>
  <c r="I180" i="20" s="1"/>
  <c r="C181" i="4"/>
  <c r="D181" i="4" s="1"/>
  <c r="G180" i="4"/>
  <c r="H178" i="4"/>
  <c r="R167" i="3" l="1"/>
  <c r="S167" i="3" s="1"/>
  <c r="V167" i="3" s="1"/>
  <c r="R169" i="3"/>
  <c r="K177" i="4"/>
  <c r="R177" i="4"/>
  <c r="K177" i="20" s="1"/>
  <c r="N129" i="3"/>
  <c r="O129" i="3" s="1"/>
  <c r="Q719" i="3"/>
  <c r="M718" i="3"/>
  <c r="U717" i="3"/>
  <c r="F718" i="3"/>
  <c r="J717" i="3"/>
  <c r="I178" i="4"/>
  <c r="C228" i="3"/>
  <c r="K195" i="3"/>
  <c r="P181" i="4"/>
  <c r="I181" i="20" s="1"/>
  <c r="C182" i="4"/>
  <c r="D182" i="4" s="1"/>
  <c r="G181" i="4"/>
  <c r="G196" i="3"/>
  <c r="H196" i="3" s="1"/>
  <c r="R168" i="3" s="1"/>
  <c r="E180" i="4"/>
  <c r="J180" i="4"/>
  <c r="H179" i="4"/>
  <c r="K178" i="4" l="1"/>
  <c r="R178" i="4"/>
  <c r="K178" i="20" s="1"/>
  <c r="S168" i="3"/>
  <c r="V168" i="3" s="1"/>
  <c r="S169" i="3"/>
  <c r="V169" i="3" s="1"/>
  <c r="N130" i="3"/>
  <c r="O130" i="3" s="1"/>
  <c r="Q720" i="3"/>
  <c r="J718" i="3"/>
  <c r="F719" i="3"/>
  <c r="M719" i="3"/>
  <c r="U718" i="3"/>
  <c r="I179" i="4"/>
  <c r="C229" i="3"/>
  <c r="K196" i="3"/>
  <c r="J181" i="4"/>
  <c r="E181" i="4"/>
  <c r="G198" i="3"/>
  <c r="H198" i="3" s="1"/>
  <c r="R170" i="3" s="1"/>
  <c r="S170" i="3" s="1"/>
  <c r="V170" i="3" s="1"/>
  <c r="P182" i="4"/>
  <c r="I182" i="20" s="1"/>
  <c r="C183" i="4"/>
  <c r="D183" i="4" s="1"/>
  <c r="G182" i="4"/>
  <c r="H180" i="4"/>
  <c r="K179" i="4" l="1"/>
  <c r="R179" i="4"/>
  <c r="K179" i="20" s="1"/>
  <c r="N131" i="3"/>
  <c r="O131" i="3" s="1"/>
  <c r="Q721" i="3"/>
  <c r="M720" i="3"/>
  <c r="U719" i="3"/>
  <c r="F720" i="3"/>
  <c r="J719" i="3"/>
  <c r="I180" i="4"/>
  <c r="K180" i="4" s="1"/>
  <c r="C230" i="3"/>
  <c r="K198" i="3"/>
  <c r="J182" i="4"/>
  <c r="E182" i="4"/>
  <c r="P183" i="4"/>
  <c r="I183" i="20" s="1"/>
  <c r="C184" i="4"/>
  <c r="D184" i="4" s="1"/>
  <c r="G183" i="4"/>
  <c r="G199" i="3"/>
  <c r="H199" i="3" s="1"/>
  <c r="R171" i="3" s="1"/>
  <c r="S171" i="3" s="1"/>
  <c r="V171" i="3" s="1"/>
  <c r="H181" i="4"/>
  <c r="O132" i="3" l="1"/>
  <c r="R180" i="4"/>
  <c r="K180" i="20" s="1"/>
  <c r="Q722" i="3"/>
  <c r="Q723" i="3" s="1"/>
  <c r="N133" i="3"/>
  <c r="O133" i="3" s="1"/>
  <c r="F721" i="3"/>
  <c r="J720" i="3"/>
  <c r="M721" i="3"/>
  <c r="U720" i="3"/>
  <c r="I181" i="4"/>
  <c r="K181" i="4" s="1"/>
  <c r="C231" i="3"/>
  <c r="N171" i="3"/>
  <c r="K199" i="3"/>
  <c r="G200" i="3"/>
  <c r="H200" i="3" s="1"/>
  <c r="R172" i="3" s="1"/>
  <c r="S172" i="3" s="1"/>
  <c r="V172" i="3" s="1"/>
  <c r="J183" i="4"/>
  <c r="E183" i="4"/>
  <c r="P184" i="4"/>
  <c r="I184" i="20" s="1"/>
  <c r="C185" i="4"/>
  <c r="D185" i="4" s="1"/>
  <c r="G184" i="4"/>
  <c r="H182" i="4"/>
  <c r="Q724" i="3" l="1"/>
  <c r="R181" i="4"/>
  <c r="K181" i="20" s="1"/>
  <c r="N134" i="3"/>
  <c r="O134" i="3" s="1"/>
  <c r="M722" i="3"/>
  <c r="M723" i="3" s="1"/>
  <c r="U721" i="3"/>
  <c r="F722" i="3"/>
  <c r="F723" i="3" s="1"/>
  <c r="J721" i="3"/>
  <c r="I182" i="4"/>
  <c r="K182" i="4" s="1"/>
  <c r="C232" i="3"/>
  <c r="K200" i="3"/>
  <c r="G201" i="3"/>
  <c r="H201" i="3" s="1"/>
  <c r="R173" i="3" s="1"/>
  <c r="S173" i="3" s="1"/>
  <c r="V173" i="3" s="1"/>
  <c r="E184" i="4"/>
  <c r="J184" i="4"/>
  <c r="H183" i="4"/>
  <c r="P185" i="4"/>
  <c r="I185" i="20" s="1"/>
  <c r="C186" i="4"/>
  <c r="D186" i="4" s="1"/>
  <c r="G185" i="4"/>
  <c r="J723" i="3" l="1"/>
  <c r="F724" i="3"/>
  <c r="M724" i="3"/>
  <c r="U723" i="3"/>
  <c r="Q725" i="3"/>
  <c r="R182" i="4"/>
  <c r="K182" i="20" s="1"/>
  <c r="N135" i="3"/>
  <c r="O135" i="3" s="1"/>
  <c r="J722" i="3"/>
  <c r="U722" i="3"/>
  <c r="I183" i="4"/>
  <c r="K183" i="4" s="1"/>
  <c r="C233" i="3"/>
  <c r="K201" i="3"/>
  <c r="P186" i="4"/>
  <c r="I186" i="20" s="1"/>
  <c r="C187" i="4"/>
  <c r="D187" i="4" s="1"/>
  <c r="G186" i="4"/>
  <c r="J185" i="4"/>
  <c r="E185" i="4"/>
  <c r="H184" i="4"/>
  <c r="G202" i="3"/>
  <c r="H202" i="3" s="1"/>
  <c r="R174" i="3" s="1"/>
  <c r="S174" i="3" s="1"/>
  <c r="V174" i="3" s="1"/>
  <c r="M725" i="3" l="1"/>
  <c r="U724" i="3"/>
  <c r="Q726" i="3"/>
  <c r="F725" i="3"/>
  <c r="J724" i="3"/>
  <c r="R183" i="4"/>
  <c r="K183" i="20" s="1"/>
  <c r="N136" i="3"/>
  <c r="O136" i="3" s="1"/>
  <c r="I184" i="4"/>
  <c r="K184" i="4" s="1"/>
  <c r="C234" i="3"/>
  <c r="K202" i="3"/>
  <c r="G203" i="3"/>
  <c r="H203" i="3" s="1"/>
  <c r="R175" i="3" s="1"/>
  <c r="S175" i="3" s="1"/>
  <c r="V175" i="3" s="1"/>
  <c r="J186" i="4"/>
  <c r="E186" i="4"/>
  <c r="H185" i="4"/>
  <c r="P187" i="4"/>
  <c r="I187" i="20" s="1"/>
  <c r="C188" i="4"/>
  <c r="D188" i="4" s="1"/>
  <c r="G187" i="4"/>
  <c r="Q727" i="3" l="1"/>
  <c r="J725" i="3"/>
  <c r="F726" i="3"/>
  <c r="U725" i="3"/>
  <c r="M726" i="3"/>
  <c r="N137" i="3"/>
  <c r="O137" i="3" s="1"/>
  <c r="R184" i="4"/>
  <c r="K184" i="20" s="1"/>
  <c r="I185" i="4"/>
  <c r="K185" i="4" s="1"/>
  <c r="C235" i="3"/>
  <c r="G249" i="3" s="1"/>
  <c r="K203" i="3"/>
  <c r="P188" i="4"/>
  <c r="I188" i="20" s="1"/>
  <c r="C189" i="4"/>
  <c r="D189" i="4" s="1"/>
  <c r="G188" i="4"/>
  <c r="H186" i="4"/>
  <c r="J187" i="4"/>
  <c r="E187" i="4"/>
  <c r="G204" i="3"/>
  <c r="H204" i="3" s="1"/>
  <c r="R176" i="3" s="1"/>
  <c r="S176" i="3" s="1"/>
  <c r="V176" i="3" s="1"/>
  <c r="H249" i="3" l="1"/>
  <c r="K249" i="3"/>
  <c r="F727" i="3"/>
  <c r="J726" i="3"/>
  <c r="U726" i="3"/>
  <c r="M727" i="3"/>
  <c r="Q728" i="3"/>
  <c r="R185" i="4"/>
  <c r="K185" i="20" s="1"/>
  <c r="N138" i="3"/>
  <c r="I186" i="4"/>
  <c r="C236" i="3"/>
  <c r="K204" i="3"/>
  <c r="H187" i="4"/>
  <c r="E188" i="4"/>
  <c r="J188" i="4"/>
  <c r="G205" i="3"/>
  <c r="H205" i="3" s="1"/>
  <c r="R177" i="3" s="1"/>
  <c r="S177" i="3" s="1"/>
  <c r="V177" i="3" s="1"/>
  <c r="P189" i="4"/>
  <c r="I189" i="20" s="1"/>
  <c r="C190" i="4"/>
  <c r="D190" i="4" s="1"/>
  <c r="G189" i="4"/>
  <c r="O138" i="3" l="1"/>
  <c r="U727" i="3"/>
  <c r="M728" i="3"/>
  <c r="Q729" i="3"/>
  <c r="J727" i="3"/>
  <c r="F728" i="3"/>
  <c r="N139" i="3"/>
  <c r="R186" i="4"/>
  <c r="K186" i="20" s="1"/>
  <c r="K186" i="4"/>
  <c r="I187" i="4"/>
  <c r="C237" i="3"/>
  <c r="K205" i="3"/>
  <c r="J189" i="4"/>
  <c r="E189" i="4"/>
  <c r="G206" i="3"/>
  <c r="H206" i="3" s="1"/>
  <c r="R178" i="3" s="1"/>
  <c r="S178" i="3" s="1"/>
  <c r="V178" i="3" s="1"/>
  <c r="P190" i="4"/>
  <c r="I190" i="20" s="1"/>
  <c r="C191" i="4"/>
  <c r="D191" i="4" s="1"/>
  <c r="G190" i="4"/>
  <c r="H188" i="4"/>
  <c r="U728" i="3" l="1"/>
  <c r="M729" i="3"/>
  <c r="J728" i="3"/>
  <c r="F729" i="3"/>
  <c r="O139" i="3"/>
  <c r="Q730" i="3"/>
  <c r="R187" i="4"/>
  <c r="K187" i="20" s="1"/>
  <c r="N140" i="3"/>
  <c r="O140" i="3" s="1"/>
  <c r="K187" i="4"/>
  <c r="I188" i="4"/>
  <c r="C238" i="3"/>
  <c r="K206" i="3"/>
  <c r="P191" i="4"/>
  <c r="I191" i="20" s="1"/>
  <c r="C192" i="4"/>
  <c r="D192" i="4" s="1"/>
  <c r="G191" i="4"/>
  <c r="G207" i="3"/>
  <c r="H207" i="3" s="1"/>
  <c r="R179" i="3" s="1"/>
  <c r="S179" i="3" s="1"/>
  <c r="V179" i="3" s="1"/>
  <c r="J190" i="4"/>
  <c r="E190" i="4"/>
  <c r="H189" i="4"/>
  <c r="F730" i="3" l="1"/>
  <c r="J729" i="3"/>
  <c r="Q731" i="3"/>
  <c r="U729" i="3"/>
  <c r="M730" i="3"/>
  <c r="K188" i="4"/>
  <c r="R188" i="4"/>
  <c r="K188" i="20" s="1"/>
  <c r="N141" i="3"/>
  <c r="I189" i="4"/>
  <c r="C239" i="3"/>
  <c r="K207" i="3"/>
  <c r="P192" i="4"/>
  <c r="I192" i="20" s="1"/>
  <c r="C193" i="4"/>
  <c r="D193" i="4" s="1"/>
  <c r="G192" i="4"/>
  <c r="H190" i="4"/>
  <c r="G208" i="3"/>
  <c r="H208" i="3" s="1"/>
  <c r="J191" i="4"/>
  <c r="E191" i="4"/>
  <c r="R180" i="3" l="1"/>
  <c r="S180" i="3" s="1"/>
  <c r="V180" i="3" s="1"/>
  <c r="R182" i="3"/>
  <c r="Q732" i="3"/>
  <c r="U730" i="3"/>
  <c r="M731" i="3"/>
  <c r="J730" i="3"/>
  <c r="F731" i="3"/>
  <c r="O141" i="3"/>
  <c r="N142" i="3"/>
  <c r="R189" i="4"/>
  <c r="K189" i="20" s="1"/>
  <c r="K189" i="4"/>
  <c r="I190" i="4"/>
  <c r="C240" i="3"/>
  <c r="K208" i="3"/>
  <c r="H191" i="4"/>
  <c r="G209" i="3"/>
  <c r="H209" i="3" s="1"/>
  <c r="R181" i="3" s="1"/>
  <c r="E192" i="4"/>
  <c r="J192" i="4"/>
  <c r="P193" i="4"/>
  <c r="I193" i="20" s="1"/>
  <c r="C194" i="4"/>
  <c r="D194" i="4" s="1"/>
  <c r="G193" i="4"/>
  <c r="O142" i="3" l="1"/>
  <c r="M732" i="3"/>
  <c r="U731" i="3"/>
  <c r="J731" i="3"/>
  <c r="F732" i="3"/>
  <c r="Q733" i="3"/>
  <c r="S181" i="3"/>
  <c r="V181" i="3" s="1"/>
  <c r="S182" i="3"/>
  <c r="V182" i="3" s="1"/>
  <c r="R190" i="4"/>
  <c r="K190" i="20" s="1"/>
  <c r="N143" i="3"/>
  <c r="O143" i="3" s="1"/>
  <c r="K190" i="4"/>
  <c r="I191" i="4"/>
  <c r="C241" i="3"/>
  <c r="K209" i="3"/>
  <c r="J193" i="4"/>
  <c r="E193" i="4"/>
  <c r="P194" i="4"/>
  <c r="I194" i="20" s="1"/>
  <c r="C195" i="4"/>
  <c r="D195" i="4" s="1"/>
  <c r="G194" i="4"/>
  <c r="G211" i="3"/>
  <c r="H211" i="3" s="1"/>
  <c r="R183" i="3" s="1"/>
  <c r="S183" i="3" s="1"/>
  <c r="V183" i="3" s="1"/>
  <c r="H192" i="4"/>
  <c r="U732" i="3" l="1"/>
  <c r="M733" i="3"/>
  <c r="Q734" i="3"/>
  <c r="F733" i="3"/>
  <c r="J732" i="3"/>
  <c r="K191" i="4"/>
  <c r="N144" i="3"/>
  <c r="R191" i="4"/>
  <c r="K191" i="20" s="1"/>
  <c r="I192" i="4"/>
  <c r="C242" i="3"/>
  <c r="K211" i="3"/>
  <c r="G212" i="3"/>
  <c r="H212" i="3" s="1"/>
  <c r="R184" i="3" s="1"/>
  <c r="S184" i="3" s="1"/>
  <c r="V184" i="3" s="1"/>
  <c r="P195" i="4"/>
  <c r="I195" i="20" s="1"/>
  <c r="C196" i="4"/>
  <c r="D196" i="4" s="1"/>
  <c r="G195" i="4"/>
  <c r="J194" i="4"/>
  <c r="E194" i="4"/>
  <c r="H193" i="4"/>
  <c r="Q735" i="3" l="1"/>
  <c r="J733" i="3"/>
  <c r="F734" i="3"/>
  <c r="U733" i="3"/>
  <c r="M734" i="3"/>
  <c r="O145" i="3"/>
  <c r="K192" i="4"/>
  <c r="O144" i="3"/>
  <c r="N146" i="3"/>
  <c r="R192" i="4"/>
  <c r="K192" i="20" s="1"/>
  <c r="I193" i="4"/>
  <c r="C243" i="3"/>
  <c r="N184" i="3"/>
  <c r="K212" i="3"/>
  <c r="P196" i="4"/>
  <c r="I196" i="20" s="1"/>
  <c r="C197" i="4"/>
  <c r="D197" i="4" s="1"/>
  <c r="G196" i="4"/>
  <c r="H194" i="4"/>
  <c r="G213" i="3"/>
  <c r="H213" i="3" s="1"/>
  <c r="R185" i="3" s="1"/>
  <c r="S185" i="3" s="1"/>
  <c r="V185" i="3" s="1"/>
  <c r="J195" i="4"/>
  <c r="E195" i="4"/>
  <c r="U734" i="3" l="1"/>
  <c r="M735" i="3"/>
  <c r="O146" i="3"/>
  <c r="F735" i="3"/>
  <c r="J734" i="3"/>
  <c r="Q736" i="3"/>
  <c r="K193" i="4"/>
  <c r="R193" i="4"/>
  <c r="K193" i="20" s="1"/>
  <c r="N147" i="3"/>
  <c r="I194" i="4"/>
  <c r="C244" i="3"/>
  <c r="K213" i="3"/>
  <c r="H195" i="4"/>
  <c r="G214" i="3"/>
  <c r="H214" i="3" s="1"/>
  <c r="R186" i="3" s="1"/>
  <c r="S186" i="3" s="1"/>
  <c r="V186" i="3" s="1"/>
  <c r="E196" i="4"/>
  <c r="J196" i="4"/>
  <c r="P197" i="4"/>
  <c r="I197" i="20" s="1"/>
  <c r="C198" i="4"/>
  <c r="D198" i="4" s="1"/>
  <c r="G197" i="4"/>
  <c r="Q737" i="3" l="1"/>
  <c r="F736" i="3"/>
  <c r="J735" i="3"/>
  <c r="U735" i="3"/>
  <c r="M736" i="3"/>
  <c r="O147" i="3"/>
  <c r="K194" i="4"/>
  <c r="N148" i="3"/>
  <c r="R194" i="4"/>
  <c r="K194" i="20" s="1"/>
  <c r="I195" i="4"/>
  <c r="C245" i="3"/>
  <c r="K214" i="3"/>
  <c r="H196" i="4"/>
  <c r="G215" i="3"/>
  <c r="H215" i="3" s="1"/>
  <c r="R187" i="3" s="1"/>
  <c r="S187" i="3" s="1"/>
  <c r="V187" i="3" s="1"/>
  <c r="J197" i="4"/>
  <c r="E197" i="4"/>
  <c r="P198" i="4"/>
  <c r="I198" i="20" s="1"/>
  <c r="C199" i="4"/>
  <c r="D199" i="4" s="1"/>
  <c r="G198" i="4"/>
  <c r="J736" i="3" l="1"/>
  <c r="F737" i="3"/>
  <c r="Q738" i="3"/>
  <c r="U736" i="3"/>
  <c r="M737" i="3"/>
  <c r="O148" i="3"/>
  <c r="R195" i="4"/>
  <c r="K195" i="20" s="1"/>
  <c r="K195" i="4"/>
  <c r="N149" i="3"/>
  <c r="I196" i="4"/>
  <c r="C246" i="3"/>
  <c r="K215" i="3"/>
  <c r="J198" i="4"/>
  <c r="E198" i="4"/>
  <c r="P199" i="4"/>
  <c r="I199" i="20" s="1"/>
  <c r="C200" i="4"/>
  <c r="D200" i="4" s="1"/>
  <c r="G199" i="4"/>
  <c r="H197" i="4"/>
  <c r="G216" i="3"/>
  <c r="H216" i="3" s="1"/>
  <c r="R188" i="3" s="1"/>
  <c r="S188" i="3" s="1"/>
  <c r="V188" i="3" s="1"/>
  <c r="Q739" i="3" l="1"/>
  <c r="F738" i="3"/>
  <c r="J737" i="3"/>
  <c r="U737" i="3"/>
  <c r="M738" i="3"/>
  <c r="O149" i="3"/>
  <c r="N150" i="3"/>
  <c r="K196" i="4"/>
  <c r="R196" i="4"/>
  <c r="K196" i="20" s="1"/>
  <c r="I197" i="4"/>
  <c r="C247" i="3"/>
  <c r="K216" i="3"/>
  <c r="J199" i="4"/>
  <c r="E199" i="4"/>
  <c r="P200" i="4"/>
  <c r="I200" i="20" s="1"/>
  <c r="C201" i="4"/>
  <c r="D201" i="4" s="1"/>
  <c r="G200" i="4"/>
  <c r="G217" i="3"/>
  <c r="H217" i="3" s="1"/>
  <c r="R189" i="3" s="1"/>
  <c r="S189" i="3" s="1"/>
  <c r="V189" i="3" s="1"/>
  <c r="H198" i="4"/>
  <c r="J738" i="3" l="1"/>
  <c r="F739" i="3"/>
  <c r="U738" i="3"/>
  <c r="M739" i="3"/>
  <c r="Q740" i="3"/>
  <c r="O150" i="3"/>
  <c r="N151" i="3"/>
  <c r="R197" i="4"/>
  <c r="K197" i="20" s="1"/>
  <c r="K197" i="4"/>
  <c r="I198" i="4"/>
  <c r="C248" i="3"/>
  <c r="G262" i="3" s="1"/>
  <c r="K217" i="3"/>
  <c r="G218" i="3"/>
  <c r="H218" i="3" s="1"/>
  <c r="R190" i="3" s="1"/>
  <c r="S190" i="3" s="1"/>
  <c r="V190" i="3" s="1"/>
  <c r="P201" i="4"/>
  <c r="I201" i="20" s="1"/>
  <c r="C202" i="4"/>
  <c r="D202" i="4" s="1"/>
  <c r="G201" i="4"/>
  <c r="E200" i="4"/>
  <c r="J200" i="4"/>
  <c r="H199" i="4"/>
  <c r="K262" i="3" l="1"/>
  <c r="H262" i="3"/>
  <c r="Q741" i="3"/>
  <c r="M740" i="3"/>
  <c r="U739" i="3"/>
  <c r="J739" i="3"/>
  <c r="F740" i="3"/>
  <c r="O151" i="3"/>
  <c r="R198" i="4"/>
  <c r="K198" i="20" s="1"/>
  <c r="N152" i="3"/>
  <c r="O152" i="3" s="1"/>
  <c r="K198" i="4"/>
  <c r="I199" i="4"/>
  <c r="C249" i="3"/>
  <c r="K218" i="3"/>
  <c r="J201" i="4"/>
  <c r="E201" i="4"/>
  <c r="P202" i="4"/>
  <c r="I202" i="20" s="1"/>
  <c r="C203" i="4"/>
  <c r="D203" i="4" s="1"/>
  <c r="G202" i="4"/>
  <c r="H200" i="4"/>
  <c r="G219" i="3"/>
  <c r="H219" i="3" s="1"/>
  <c r="R191" i="3" s="1"/>
  <c r="S191" i="3" s="1"/>
  <c r="V191" i="3" s="1"/>
  <c r="R199" i="4" l="1"/>
  <c r="K199" i="20" s="1"/>
  <c r="U740" i="3"/>
  <c r="M741" i="3"/>
  <c r="F741" i="3"/>
  <c r="J740" i="3"/>
  <c r="Q742" i="3"/>
  <c r="N153" i="3"/>
  <c r="K199" i="4"/>
  <c r="I200" i="4"/>
  <c r="C250" i="3"/>
  <c r="K219" i="3"/>
  <c r="P203" i="4"/>
  <c r="I203" i="20" s="1"/>
  <c r="C204" i="4"/>
  <c r="D204" i="4" s="1"/>
  <c r="G203" i="4"/>
  <c r="G220" i="3"/>
  <c r="H220" i="3" s="1"/>
  <c r="R192" i="3" s="1"/>
  <c r="S192" i="3" s="1"/>
  <c r="V192" i="3" s="1"/>
  <c r="J202" i="4"/>
  <c r="E202" i="4"/>
  <c r="H201" i="4"/>
  <c r="Q743" i="3" l="1"/>
  <c r="J741" i="3"/>
  <c r="F742" i="3"/>
  <c r="U741" i="3"/>
  <c r="M742" i="3"/>
  <c r="O153" i="3"/>
  <c r="C251" i="3"/>
  <c r="K200" i="4"/>
  <c r="N154" i="3"/>
  <c r="O154" i="3" s="1"/>
  <c r="R200" i="4"/>
  <c r="K200" i="20" s="1"/>
  <c r="I201" i="4"/>
  <c r="K220" i="3"/>
  <c r="G221" i="3"/>
  <c r="H221" i="3" s="1"/>
  <c r="H202" i="4"/>
  <c r="J203" i="4"/>
  <c r="E203" i="4"/>
  <c r="P204" i="4"/>
  <c r="I204" i="20" s="1"/>
  <c r="C205" i="4"/>
  <c r="D205" i="4" s="1"/>
  <c r="G204" i="4"/>
  <c r="R193" i="3" l="1"/>
  <c r="S193" i="3" s="1"/>
  <c r="V193" i="3" s="1"/>
  <c r="R195" i="3"/>
  <c r="F743" i="3"/>
  <c r="J742" i="3"/>
  <c r="U742" i="3"/>
  <c r="M743" i="3"/>
  <c r="Q744" i="3"/>
  <c r="C252" i="3"/>
  <c r="N155" i="3"/>
  <c r="R201" i="4"/>
  <c r="K201" i="20" s="1"/>
  <c r="K201" i="4"/>
  <c r="I202" i="4"/>
  <c r="K221" i="3"/>
  <c r="G222" i="3"/>
  <c r="H222" i="3" s="1"/>
  <c r="R194" i="3" s="1"/>
  <c r="P205" i="4"/>
  <c r="I205" i="20" s="1"/>
  <c r="C206" i="4"/>
  <c r="D206" i="4" s="1"/>
  <c r="G205" i="4"/>
  <c r="H203" i="4"/>
  <c r="E204" i="4"/>
  <c r="J204" i="4"/>
  <c r="Q745" i="3" l="1"/>
  <c r="U743" i="3"/>
  <c r="M744" i="3"/>
  <c r="F744" i="3"/>
  <c r="J743" i="3"/>
  <c r="O155" i="3"/>
  <c r="R202" i="4"/>
  <c r="K202" i="20" s="1"/>
  <c r="C253" i="3"/>
  <c r="S194" i="3"/>
  <c r="V194" i="3" s="1"/>
  <c r="S195" i="3"/>
  <c r="V195" i="3" s="1"/>
  <c r="N156" i="3"/>
  <c r="K202" i="4"/>
  <c r="I203" i="4"/>
  <c r="K222" i="3"/>
  <c r="J205" i="4"/>
  <c r="E205" i="4"/>
  <c r="P206" i="4"/>
  <c r="I206" i="20" s="1"/>
  <c r="C207" i="4"/>
  <c r="D207" i="4" s="1"/>
  <c r="G206" i="4"/>
  <c r="H204" i="4"/>
  <c r="G224" i="3"/>
  <c r="H224" i="3" s="1"/>
  <c r="R196" i="3" s="1"/>
  <c r="S196" i="3" s="1"/>
  <c r="V196" i="3" s="1"/>
  <c r="Q746" i="3" l="1"/>
  <c r="J744" i="3"/>
  <c r="F745" i="3"/>
  <c r="O156" i="3"/>
  <c r="U744" i="3"/>
  <c r="M745" i="3"/>
  <c r="C254" i="3"/>
  <c r="N157" i="3"/>
  <c r="R203" i="4"/>
  <c r="K203" i="20" s="1"/>
  <c r="K203" i="4"/>
  <c r="I204" i="4"/>
  <c r="K224" i="3"/>
  <c r="G225" i="3"/>
  <c r="H225" i="3" s="1"/>
  <c r="R197" i="3" s="1"/>
  <c r="S197" i="3" s="1"/>
  <c r="V197" i="3" s="1"/>
  <c r="J206" i="4"/>
  <c r="E206" i="4"/>
  <c r="H205" i="4"/>
  <c r="P207" i="4"/>
  <c r="I207" i="20" s="1"/>
  <c r="C208" i="4"/>
  <c r="D208" i="4" s="1"/>
  <c r="G207" i="4"/>
  <c r="Q747" i="3" l="1"/>
  <c r="U745" i="3"/>
  <c r="M746" i="3"/>
  <c r="J745" i="3"/>
  <c r="F746" i="3"/>
  <c r="O157" i="3"/>
  <c r="C255" i="3"/>
  <c r="K204" i="4"/>
  <c r="O158" i="3"/>
  <c r="N159" i="3"/>
  <c r="O159" i="3" s="1"/>
  <c r="R204" i="4"/>
  <c r="K204" i="20" s="1"/>
  <c r="I205" i="4"/>
  <c r="N197" i="3"/>
  <c r="K225" i="3"/>
  <c r="P208" i="4"/>
  <c r="I208" i="20" s="1"/>
  <c r="C209" i="4"/>
  <c r="D209" i="4" s="1"/>
  <c r="G208" i="4"/>
  <c r="H206" i="4"/>
  <c r="G226" i="3"/>
  <c r="H226" i="3" s="1"/>
  <c r="R198" i="3" s="1"/>
  <c r="S198" i="3" s="1"/>
  <c r="V198" i="3" s="1"/>
  <c r="J207" i="4"/>
  <c r="E207" i="4"/>
  <c r="U746" i="3" l="1"/>
  <c r="M747" i="3"/>
  <c r="Q748" i="3"/>
  <c r="J746" i="3"/>
  <c r="F747" i="3"/>
  <c r="C256" i="3"/>
  <c r="N160" i="3"/>
  <c r="R205" i="4"/>
  <c r="K205" i="20" s="1"/>
  <c r="K205" i="4"/>
  <c r="I206" i="4"/>
  <c r="K226" i="3"/>
  <c r="E208" i="4"/>
  <c r="J208" i="4"/>
  <c r="G227" i="3"/>
  <c r="H227" i="3" s="1"/>
  <c r="R199" i="3" s="1"/>
  <c r="S199" i="3" s="1"/>
  <c r="V199" i="3" s="1"/>
  <c r="P209" i="4"/>
  <c r="I209" i="20" s="1"/>
  <c r="C210" i="4"/>
  <c r="D210" i="4" s="1"/>
  <c r="G209" i="4"/>
  <c r="H207" i="4"/>
  <c r="J747" i="3" l="1"/>
  <c r="F748" i="3"/>
  <c r="M748" i="3"/>
  <c r="U747" i="3"/>
  <c r="O160" i="3"/>
  <c r="Q749" i="3"/>
  <c r="C257" i="3"/>
  <c r="N161" i="3"/>
  <c r="K206" i="4"/>
  <c r="R206" i="4"/>
  <c r="K206" i="20" s="1"/>
  <c r="I207" i="4"/>
  <c r="K227" i="3"/>
  <c r="H208" i="4"/>
  <c r="G228" i="3"/>
  <c r="H228" i="3" s="1"/>
  <c r="R200" i="3" s="1"/>
  <c r="P210" i="4"/>
  <c r="I210" i="20" s="1"/>
  <c r="C211" i="4"/>
  <c r="D211" i="4" s="1"/>
  <c r="G210" i="4"/>
  <c r="J209" i="4"/>
  <c r="E209" i="4"/>
  <c r="U748" i="3" l="1"/>
  <c r="M749" i="3"/>
  <c r="Q750" i="3"/>
  <c r="J748" i="3"/>
  <c r="F749" i="3"/>
  <c r="O161" i="3"/>
  <c r="S200" i="3"/>
  <c r="V200" i="3" s="1"/>
  <c r="C258" i="3"/>
  <c r="N162" i="3"/>
  <c r="K207" i="4"/>
  <c r="R207" i="4"/>
  <c r="K207" i="20" s="1"/>
  <c r="I208" i="4"/>
  <c r="K228" i="3"/>
  <c r="H209" i="4"/>
  <c r="J210" i="4"/>
  <c r="E210" i="4"/>
  <c r="P211" i="4"/>
  <c r="I211" i="20" s="1"/>
  <c r="C212" i="4"/>
  <c r="D212" i="4" s="1"/>
  <c r="G211" i="4"/>
  <c r="G229" i="3"/>
  <c r="H229" i="3" s="1"/>
  <c r="R201" i="3" s="1"/>
  <c r="S201" i="3" s="1"/>
  <c r="V201" i="3" s="1"/>
  <c r="U749" i="3" l="1"/>
  <c r="M750" i="3"/>
  <c r="J749" i="3"/>
  <c r="F750" i="3"/>
  <c r="O162" i="3"/>
  <c r="Q751" i="3"/>
  <c r="C259" i="3"/>
  <c r="N163" i="3"/>
  <c r="K208" i="4"/>
  <c r="R208" i="4"/>
  <c r="K208" i="20" s="1"/>
  <c r="I209" i="4"/>
  <c r="K229" i="3"/>
  <c r="J211" i="4"/>
  <c r="E211" i="4"/>
  <c r="H210" i="4"/>
  <c r="G230" i="3"/>
  <c r="H230" i="3" s="1"/>
  <c r="R202" i="3" s="1"/>
  <c r="S202" i="3" s="1"/>
  <c r="V202" i="3" s="1"/>
  <c r="P212" i="4"/>
  <c r="I212" i="20" s="1"/>
  <c r="C213" i="4"/>
  <c r="D213" i="4" s="1"/>
  <c r="G212" i="4"/>
  <c r="F751" i="3" l="1"/>
  <c r="J750" i="3"/>
  <c r="Q752" i="3"/>
  <c r="U750" i="3"/>
  <c r="M751" i="3"/>
  <c r="O163" i="3"/>
  <c r="C260" i="3"/>
  <c r="N164" i="3"/>
  <c r="K209" i="4"/>
  <c r="R209" i="4"/>
  <c r="K209" i="20" s="1"/>
  <c r="I210" i="4"/>
  <c r="K230" i="3"/>
  <c r="P213" i="4"/>
  <c r="I213" i="20" s="1"/>
  <c r="C214" i="4"/>
  <c r="D214" i="4" s="1"/>
  <c r="G213" i="4"/>
  <c r="G231" i="3"/>
  <c r="H231" i="3" s="1"/>
  <c r="R203" i="3" s="1"/>
  <c r="S203" i="3" s="1"/>
  <c r="V203" i="3" s="1"/>
  <c r="E212" i="4"/>
  <c r="J212" i="4"/>
  <c r="H211" i="4"/>
  <c r="U751" i="3" l="1"/>
  <c r="M752" i="3"/>
  <c r="Q753" i="3"/>
  <c r="F752" i="3"/>
  <c r="J751" i="3"/>
  <c r="O164" i="3"/>
  <c r="C261" i="3"/>
  <c r="G275" i="3" s="1"/>
  <c r="N165" i="3"/>
  <c r="K210" i="4"/>
  <c r="R210" i="4"/>
  <c r="K210" i="20" s="1"/>
  <c r="I211" i="4"/>
  <c r="K231" i="3"/>
  <c r="G232" i="3"/>
  <c r="H232" i="3" s="1"/>
  <c r="R204" i="3" s="1"/>
  <c r="S204" i="3" s="1"/>
  <c r="V204" i="3" s="1"/>
  <c r="J213" i="4"/>
  <c r="E213" i="4"/>
  <c r="H212" i="4"/>
  <c r="P214" i="4"/>
  <c r="I214" i="20" s="1"/>
  <c r="C215" i="4"/>
  <c r="D215" i="4" s="1"/>
  <c r="G214" i="4"/>
  <c r="H275" i="3" l="1"/>
  <c r="K275" i="3"/>
  <c r="U752" i="3"/>
  <c r="M753" i="3"/>
  <c r="Q754" i="3"/>
  <c r="J752" i="3"/>
  <c r="F753" i="3"/>
  <c r="O165" i="3"/>
  <c r="C262" i="3"/>
  <c r="N166" i="3"/>
  <c r="K211" i="4"/>
  <c r="R211" i="4"/>
  <c r="K211" i="20" s="1"/>
  <c r="I212" i="4"/>
  <c r="K232" i="3"/>
  <c r="P215" i="4"/>
  <c r="I215" i="20" s="1"/>
  <c r="C216" i="4"/>
  <c r="D216" i="4" s="1"/>
  <c r="G215" i="4"/>
  <c r="J214" i="4"/>
  <c r="E214" i="4"/>
  <c r="G233" i="3"/>
  <c r="H233" i="3" s="1"/>
  <c r="R205" i="3" s="1"/>
  <c r="S205" i="3" s="1"/>
  <c r="V205" i="3" s="1"/>
  <c r="H213" i="4"/>
  <c r="J753" i="3" l="1"/>
  <c r="F754" i="3"/>
  <c r="Q755" i="3"/>
  <c r="U753" i="3"/>
  <c r="M754" i="3"/>
  <c r="O166" i="3"/>
  <c r="C263" i="3"/>
  <c r="N167" i="3"/>
  <c r="K212" i="4"/>
  <c r="R212" i="4"/>
  <c r="K212" i="20" s="1"/>
  <c r="I213" i="4"/>
  <c r="K233" i="3"/>
  <c r="G234" i="3"/>
  <c r="H234" i="3" s="1"/>
  <c r="H214" i="4"/>
  <c r="J215" i="4"/>
  <c r="E215" i="4"/>
  <c r="P216" i="4"/>
  <c r="I216" i="20" s="1"/>
  <c r="C217" i="4"/>
  <c r="D217" i="4" s="1"/>
  <c r="G216" i="4"/>
  <c r="R206" i="3" l="1"/>
  <c r="S206" i="3" s="1"/>
  <c r="V206" i="3" s="1"/>
  <c r="R208" i="3"/>
  <c r="Q756" i="3"/>
  <c r="J754" i="3"/>
  <c r="F755" i="3"/>
  <c r="U754" i="3"/>
  <c r="M755" i="3"/>
  <c r="O167" i="3"/>
  <c r="C264" i="3"/>
  <c r="N168" i="3"/>
  <c r="K213" i="4"/>
  <c r="R213" i="4"/>
  <c r="K213" i="20" s="1"/>
  <c r="I214" i="4"/>
  <c r="K234" i="3"/>
  <c r="H215" i="4"/>
  <c r="E216" i="4"/>
  <c r="J216" i="4"/>
  <c r="P217" i="4"/>
  <c r="I217" i="20" s="1"/>
  <c r="C218" i="4"/>
  <c r="D218" i="4" s="1"/>
  <c r="G217" i="4"/>
  <c r="G235" i="3"/>
  <c r="H235" i="3" s="1"/>
  <c r="R207" i="3" s="1"/>
  <c r="J755" i="3" l="1"/>
  <c r="F756" i="3"/>
  <c r="M756" i="3"/>
  <c r="U755" i="3"/>
  <c r="Q757" i="3"/>
  <c r="O168" i="3"/>
  <c r="C265" i="3"/>
  <c r="S207" i="3"/>
  <c r="V207" i="3" s="1"/>
  <c r="S208" i="3"/>
  <c r="V208" i="3" s="1"/>
  <c r="N169" i="3"/>
  <c r="K214" i="4"/>
  <c r="R214" i="4"/>
  <c r="K214" i="20" s="1"/>
  <c r="I215" i="4"/>
  <c r="K235" i="3"/>
  <c r="J217" i="4"/>
  <c r="E217" i="4"/>
  <c r="G237" i="3"/>
  <c r="H237" i="3" s="1"/>
  <c r="R209" i="3" s="1"/>
  <c r="S209" i="3" s="1"/>
  <c r="V209" i="3" s="1"/>
  <c r="P218" i="4"/>
  <c r="I218" i="20" s="1"/>
  <c r="C219" i="4"/>
  <c r="D219" i="4" s="1"/>
  <c r="G218" i="4"/>
  <c r="H216" i="4"/>
  <c r="U756" i="3" l="1"/>
  <c r="M757" i="3"/>
  <c r="J756" i="3"/>
  <c r="F757" i="3"/>
  <c r="Q758" i="3"/>
  <c r="O169" i="3"/>
  <c r="C266" i="3"/>
  <c r="N170" i="3"/>
  <c r="K215" i="4"/>
  <c r="R215" i="4"/>
  <c r="K215" i="20" s="1"/>
  <c r="I216" i="4"/>
  <c r="K237" i="3"/>
  <c r="J218" i="4"/>
  <c r="E218" i="4"/>
  <c r="P219" i="4"/>
  <c r="I219" i="20" s="1"/>
  <c r="C220" i="4"/>
  <c r="D220" i="4" s="1"/>
  <c r="G219" i="4"/>
  <c r="G238" i="3"/>
  <c r="H238" i="3" s="1"/>
  <c r="R210" i="3" s="1"/>
  <c r="S210" i="3" s="1"/>
  <c r="V210" i="3" s="1"/>
  <c r="H217" i="4"/>
  <c r="F758" i="3" l="1"/>
  <c r="J757" i="3"/>
  <c r="U757" i="3"/>
  <c r="M758" i="3"/>
  <c r="Q759" i="3"/>
  <c r="O170" i="3"/>
  <c r="C267" i="3"/>
  <c r="O171" i="3"/>
  <c r="N172" i="3"/>
  <c r="R216" i="4"/>
  <c r="K216" i="20" s="1"/>
  <c r="K216" i="4"/>
  <c r="I217" i="4"/>
  <c r="N210" i="3"/>
  <c r="K238" i="3"/>
  <c r="J219" i="4"/>
  <c r="E219" i="4"/>
  <c r="H218" i="4"/>
  <c r="P220" i="4"/>
  <c r="I220" i="20" s="1"/>
  <c r="C221" i="4"/>
  <c r="D221" i="4" s="1"/>
  <c r="G220" i="4"/>
  <c r="G239" i="3"/>
  <c r="H239" i="3" s="1"/>
  <c r="R211" i="3" s="1"/>
  <c r="S211" i="3" s="1"/>
  <c r="V211" i="3" s="1"/>
  <c r="U758" i="3" l="1"/>
  <c r="M759" i="3"/>
  <c r="F759" i="3"/>
  <c r="J758" i="3"/>
  <c r="Q760" i="3"/>
  <c r="O172" i="3"/>
  <c r="C268" i="3"/>
  <c r="R217" i="4"/>
  <c r="K217" i="20" s="1"/>
  <c r="K217" i="4"/>
  <c r="N173" i="3"/>
  <c r="I218" i="4"/>
  <c r="K239" i="3"/>
  <c r="H219" i="4"/>
  <c r="E220" i="4"/>
  <c r="J220" i="4"/>
  <c r="G240" i="3"/>
  <c r="H240" i="3" s="1"/>
  <c r="R212" i="3" s="1"/>
  <c r="S212" i="3" s="1"/>
  <c r="V212" i="3" s="1"/>
  <c r="P221" i="4"/>
  <c r="I221" i="20" s="1"/>
  <c r="C222" i="4"/>
  <c r="D222" i="4" s="1"/>
  <c r="G221" i="4"/>
  <c r="M760" i="3" l="1"/>
  <c r="U759" i="3"/>
  <c r="O173" i="3"/>
  <c r="Q761" i="3"/>
  <c r="J759" i="3"/>
  <c r="F760" i="3"/>
  <c r="C269" i="3"/>
  <c r="N174" i="3"/>
  <c r="R218" i="4"/>
  <c r="K218" i="20" s="1"/>
  <c r="K218" i="4"/>
  <c r="I219" i="4"/>
  <c r="K240" i="3"/>
  <c r="P222" i="4"/>
  <c r="I222" i="20" s="1"/>
  <c r="C223" i="4"/>
  <c r="D223" i="4" s="1"/>
  <c r="G222" i="4"/>
  <c r="G241" i="3"/>
  <c r="H241" i="3" s="1"/>
  <c r="R213" i="3" s="1"/>
  <c r="S213" i="3" s="1"/>
  <c r="V213" i="3" s="1"/>
  <c r="J221" i="4"/>
  <c r="E221" i="4"/>
  <c r="H220" i="4"/>
  <c r="U760" i="3" l="1"/>
  <c r="M761" i="3"/>
  <c r="Q762" i="3"/>
  <c r="F761" i="3"/>
  <c r="J760" i="3"/>
  <c r="O174" i="3"/>
  <c r="C270" i="3"/>
  <c r="N175" i="3"/>
  <c r="R219" i="4"/>
  <c r="K219" i="20" s="1"/>
  <c r="K219" i="4"/>
  <c r="I220" i="4"/>
  <c r="K241" i="3"/>
  <c r="H221" i="4"/>
  <c r="J222" i="4"/>
  <c r="E222" i="4"/>
  <c r="G242" i="3"/>
  <c r="H242" i="3" s="1"/>
  <c r="R214" i="3" s="1"/>
  <c r="S214" i="3" s="1"/>
  <c r="V214" i="3" s="1"/>
  <c r="P223" i="4"/>
  <c r="I223" i="20" s="1"/>
  <c r="C224" i="4"/>
  <c r="D224" i="4" s="1"/>
  <c r="G223" i="4"/>
  <c r="U761" i="3" l="1"/>
  <c r="M762" i="3"/>
  <c r="J761" i="3"/>
  <c r="F762" i="3"/>
  <c r="Q763" i="3"/>
  <c r="O175" i="3"/>
  <c r="C271" i="3"/>
  <c r="N176" i="3"/>
  <c r="K220" i="4"/>
  <c r="R220" i="4"/>
  <c r="K220" i="20" s="1"/>
  <c r="I221" i="4"/>
  <c r="K242" i="3"/>
  <c r="G243" i="3"/>
  <c r="H243" i="3" s="1"/>
  <c r="R215" i="3" s="1"/>
  <c r="S215" i="3" s="1"/>
  <c r="V215" i="3" s="1"/>
  <c r="J223" i="4"/>
  <c r="E223" i="4"/>
  <c r="P224" i="4"/>
  <c r="I224" i="20" s="1"/>
  <c r="C225" i="4"/>
  <c r="D225" i="4" s="1"/>
  <c r="G224" i="4"/>
  <c r="H222" i="4"/>
  <c r="Q764" i="3" l="1"/>
  <c r="U762" i="3"/>
  <c r="M763" i="3"/>
  <c r="J762" i="3"/>
  <c r="F763" i="3"/>
  <c r="O176" i="3"/>
  <c r="C272" i="3"/>
  <c r="N177" i="3"/>
  <c r="R221" i="4"/>
  <c r="K221" i="20" s="1"/>
  <c r="K221" i="4"/>
  <c r="I222" i="4"/>
  <c r="K243" i="3"/>
  <c r="E224" i="4"/>
  <c r="J224" i="4"/>
  <c r="P225" i="4"/>
  <c r="I225" i="20" s="1"/>
  <c r="C226" i="4"/>
  <c r="D226" i="4" s="1"/>
  <c r="G225" i="4"/>
  <c r="H223" i="4"/>
  <c r="G244" i="3"/>
  <c r="H244" i="3" s="1"/>
  <c r="R216" i="3" s="1"/>
  <c r="S216" i="3" s="1"/>
  <c r="V216" i="3" s="1"/>
  <c r="O177" i="3" l="1"/>
  <c r="J763" i="3"/>
  <c r="F764" i="3"/>
  <c r="Q765" i="3"/>
  <c r="M764" i="3"/>
  <c r="U763" i="3"/>
  <c r="C273" i="3"/>
  <c r="N178" i="3"/>
  <c r="R222" i="4"/>
  <c r="K222" i="20" s="1"/>
  <c r="K222" i="4"/>
  <c r="I223" i="4"/>
  <c r="K244" i="3"/>
  <c r="P226" i="4"/>
  <c r="I226" i="20" s="1"/>
  <c r="C227" i="4"/>
  <c r="D227" i="4" s="1"/>
  <c r="G226" i="4"/>
  <c r="H224" i="4"/>
  <c r="G245" i="3"/>
  <c r="H245" i="3" s="1"/>
  <c r="R217" i="3" s="1"/>
  <c r="S217" i="3" s="1"/>
  <c r="V217" i="3" s="1"/>
  <c r="J225" i="4"/>
  <c r="E225" i="4"/>
  <c r="U764" i="3" l="1"/>
  <c r="M765" i="3"/>
  <c r="Q766" i="3"/>
  <c r="F765" i="3"/>
  <c r="J764" i="3"/>
  <c r="O178" i="3"/>
  <c r="C274" i="3"/>
  <c r="G288" i="3" s="1"/>
  <c r="N179" i="3"/>
  <c r="R223" i="4"/>
  <c r="K223" i="20" s="1"/>
  <c r="K223" i="4"/>
  <c r="I224" i="4"/>
  <c r="K245" i="3"/>
  <c r="H225" i="4"/>
  <c r="G246" i="3"/>
  <c r="H246" i="3" s="1"/>
  <c r="R218" i="3" s="1"/>
  <c r="S218" i="3" s="1"/>
  <c r="V218" i="3" s="1"/>
  <c r="J226" i="4"/>
  <c r="E226" i="4"/>
  <c r="P227" i="4"/>
  <c r="I227" i="20" s="1"/>
  <c r="C228" i="4"/>
  <c r="D228" i="4" s="1"/>
  <c r="G227" i="4"/>
  <c r="K288" i="3" l="1"/>
  <c r="H288" i="3"/>
  <c r="Q767" i="3"/>
  <c r="J765" i="3"/>
  <c r="F766" i="3"/>
  <c r="U765" i="3"/>
  <c r="M766" i="3"/>
  <c r="O179" i="3"/>
  <c r="C275" i="3"/>
  <c r="N180" i="3"/>
  <c r="K224" i="4"/>
  <c r="I225" i="4"/>
  <c r="R224" i="4"/>
  <c r="K224" i="20" s="1"/>
  <c r="K246" i="3"/>
  <c r="H226" i="4"/>
  <c r="J227" i="4"/>
  <c r="E227" i="4"/>
  <c r="P228" i="4"/>
  <c r="I228" i="20" s="1"/>
  <c r="C229" i="4"/>
  <c r="D229" i="4" s="1"/>
  <c r="G228" i="4"/>
  <c r="G247" i="3"/>
  <c r="H247" i="3" s="1"/>
  <c r="R219" i="3" l="1"/>
  <c r="S219" i="3" s="1"/>
  <c r="V219" i="3" s="1"/>
  <c r="R221" i="3"/>
  <c r="F767" i="3"/>
  <c r="J766" i="3"/>
  <c r="U766" i="3"/>
  <c r="M767" i="3"/>
  <c r="Q768" i="3"/>
  <c r="O180" i="3"/>
  <c r="C276" i="3"/>
  <c r="N181" i="3"/>
  <c r="K225" i="4"/>
  <c r="R225" i="4"/>
  <c r="K225" i="20" s="1"/>
  <c r="I226" i="4"/>
  <c r="K247" i="3"/>
  <c r="E228" i="4"/>
  <c r="J228" i="4"/>
  <c r="H227" i="4"/>
  <c r="G248" i="3"/>
  <c r="H248" i="3" s="1"/>
  <c r="R220" i="3" s="1"/>
  <c r="P229" i="4"/>
  <c r="I229" i="20" s="1"/>
  <c r="C230" i="4"/>
  <c r="G229" i="4"/>
  <c r="O181" i="3" l="1"/>
  <c r="Q769" i="3"/>
  <c r="F768" i="3"/>
  <c r="J767" i="3"/>
  <c r="U767" i="3"/>
  <c r="M768" i="3"/>
  <c r="C277" i="3"/>
  <c r="S220" i="3"/>
  <c r="V220" i="3" s="1"/>
  <c r="S221" i="3"/>
  <c r="V221" i="3" s="1"/>
  <c r="D230" i="4"/>
  <c r="G230" i="4" s="1"/>
  <c r="N182" i="3"/>
  <c r="R226" i="4"/>
  <c r="K226" i="20" s="1"/>
  <c r="K226" i="4"/>
  <c r="I227" i="4"/>
  <c r="K248" i="3"/>
  <c r="P230" i="4"/>
  <c r="I230" i="20" s="1"/>
  <c r="C231" i="4"/>
  <c r="D231" i="4" s="1"/>
  <c r="J229" i="4"/>
  <c r="E229" i="4"/>
  <c r="H228" i="4"/>
  <c r="G250" i="3"/>
  <c r="H250" i="3" s="1"/>
  <c r="R222" i="3" s="1"/>
  <c r="S222" i="3" s="1"/>
  <c r="V222" i="3" s="1"/>
  <c r="Q770" i="3" l="1"/>
  <c r="U768" i="3"/>
  <c r="M769" i="3"/>
  <c r="J768" i="3"/>
  <c r="F769" i="3"/>
  <c r="O182" i="3"/>
  <c r="C278" i="3"/>
  <c r="N183" i="3"/>
  <c r="R227" i="4"/>
  <c r="K227" i="20" s="1"/>
  <c r="K227" i="4"/>
  <c r="I228" i="4"/>
  <c r="K250" i="3"/>
  <c r="H229" i="4"/>
  <c r="J230" i="4"/>
  <c r="E230" i="4"/>
  <c r="G251" i="3"/>
  <c r="H251" i="3" s="1"/>
  <c r="R223" i="3" s="1"/>
  <c r="S223" i="3" s="1"/>
  <c r="V223" i="3" s="1"/>
  <c r="P231" i="4"/>
  <c r="I231" i="20" s="1"/>
  <c r="C232" i="4"/>
  <c r="D232" i="4" s="1"/>
  <c r="G231" i="4"/>
  <c r="M770" i="3" l="1"/>
  <c r="U769" i="3"/>
  <c r="O184" i="3"/>
  <c r="Q771" i="3"/>
  <c r="F770" i="3"/>
  <c r="J769" i="3"/>
  <c r="O183" i="3"/>
  <c r="C279" i="3"/>
  <c r="N185" i="3"/>
  <c r="K228" i="4"/>
  <c r="I229" i="4"/>
  <c r="R228" i="4"/>
  <c r="K228" i="20" s="1"/>
  <c r="N223" i="3"/>
  <c r="K251" i="3"/>
  <c r="J231" i="4"/>
  <c r="E231" i="4"/>
  <c r="H230" i="4"/>
  <c r="P232" i="4"/>
  <c r="I232" i="20" s="1"/>
  <c r="C233" i="4"/>
  <c r="D233" i="4" s="1"/>
  <c r="G232" i="4"/>
  <c r="G252" i="3"/>
  <c r="H252" i="3" s="1"/>
  <c r="R224" i="3" s="1"/>
  <c r="S224" i="3" s="1"/>
  <c r="V224" i="3" s="1"/>
  <c r="M771" i="3" l="1"/>
  <c r="U770" i="3"/>
  <c r="F771" i="3"/>
  <c r="J770" i="3"/>
  <c r="Q772" i="3"/>
  <c r="O185" i="3"/>
  <c r="C280" i="3"/>
  <c r="N186" i="3"/>
  <c r="K229" i="4"/>
  <c r="R229" i="4"/>
  <c r="K229" i="20" s="1"/>
  <c r="I230" i="4"/>
  <c r="K252" i="3"/>
  <c r="P233" i="4"/>
  <c r="I233" i="20" s="1"/>
  <c r="C234" i="4"/>
  <c r="D234" i="4" s="1"/>
  <c r="G233" i="4"/>
  <c r="G253" i="3"/>
  <c r="H253" i="3" s="1"/>
  <c r="R225" i="3" s="1"/>
  <c r="S225" i="3" s="1"/>
  <c r="V225" i="3" s="1"/>
  <c r="H231" i="4"/>
  <c r="E232" i="4"/>
  <c r="J232" i="4"/>
  <c r="F772" i="3" l="1"/>
  <c r="J771" i="3"/>
  <c r="M772" i="3"/>
  <c r="U771" i="3"/>
  <c r="Q773" i="3"/>
  <c r="O186" i="3"/>
  <c r="C281" i="3"/>
  <c r="K230" i="4"/>
  <c r="N187" i="3"/>
  <c r="R230" i="4"/>
  <c r="K230" i="20" s="1"/>
  <c r="I231" i="4"/>
  <c r="K253" i="3"/>
  <c r="J233" i="4"/>
  <c r="E233" i="4"/>
  <c r="H232" i="4"/>
  <c r="G254" i="3"/>
  <c r="H254" i="3" s="1"/>
  <c r="R226" i="3" s="1"/>
  <c r="S226" i="3" s="1"/>
  <c r="V226" i="3" s="1"/>
  <c r="P234" i="4"/>
  <c r="I234" i="20" s="1"/>
  <c r="C235" i="4"/>
  <c r="D235" i="4" s="1"/>
  <c r="G234" i="4"/>
  <c r="Q774" i="3" l="1"/>
  <c r="U772" i="3"/>
  <c r="M773" i="3"/>
  <c r="F773" i="3"/>
  <c r="J772" i="3"/>
  <c r="O187" i="3"/>
  <c r="C282" i="3"/>
  <c r="K231" i="4"/>
  <c r="R231" i="4"/>
  <c r="K231" i="20" s="1"/>
  <c r="N188" i="3"/>
  <c r="I232" i="4"/>
  <c r="K254" i="3"/>
  <c r="H233" i="4"/>
  <c r="J234" i="4"/>
  <c r="E234" i="4"/>
  <c r="P235" i="4"/>
  <c r="I235" i="20" s="1"/>
  <c r="C236" i="4"/>
  <c r="D236" i="4" s="1"/>
  <c r="G235" i="4"/>
  <c r="G255" i="3"/>
  <c r="H255" i="3" s="1"/>
  <c r="R227" i="3" s="1"/>
  <c r="S227" i="3" s="1"/>
  <c r="V227" i="3" s="1"/>
  <c r="M774" i="3" l="1"/>
  <c r="U773" i="3"/>
  <c r="Q775" i="3"/>
  <c r="J773" i="3"/>
  <c r="F774" i="3"/>
  <c r="O188" i="3"/>
  <c r="K232" i="4"/>
  <c r="C283" i="3"/>
  <c r="R232" i="4"/>
  <c r="K232" i="20" s="1"/>
  <c r="N189" i="3"/>
  <c r="I233" i="4"/>
  <c r="K255" i="3"/>
  <c r="G256" i="3"/>
  <c r="H256" i="3" s="1"/>
  <c r="R228" i="3" s="1"/>
  <c r="S228" i="3" s="1"/>
  <c r="V228" i="3" s="1"/>
  <c r="P236" i="4"/>
  <c r="I236" i="20" s="1"/>
  <c r="C237" i="4"/>
  <c r="D237" i="4" s="1"/>
  <c r="G236" i="4"/>
  <c r="J235" i="4"/>
  <c r="E235" i="4"/>
  <c r="H234" i="4"/>
  <c r="Q776" i="3" l="1"/>
  <c r="J774" i="3"/>
  <c r="F775" i="3"/>
  <c r="U774" i="3"/>
  <c r="M775" i="3"/>
  <c r="O189" i="3"/>
  <c r="K233" i="4"/>
  <c r="C284" i="3"/>
  <c r="R233" i="4"/>
  <c r="K233" i="20" s="1"/>
  <c r="N190" i="3"/>
  <c r="I234" i="4"/>
  <c r="K256" i="3"/>
  <c r="G257" i="3"/>
  <c r="H257" i="3" s="1"/>
  <c r="R229" i="3" s="1"/>
  <c r="S229" i="3" s="1"/>
  <c r="V229" i="3" s="1"/>
  <c r="H235" i="4"/>
  <c r="E236" i="4"/>
  <c r="J236" i="4"/>
  <c r="P237" i="4"/>
  <c r="I237" i="20" s="1"/>
  <c r="C238" i="4"/>
  <c r="D238" i="4" s="1"/>
  <c r="G237" i="4"/>
  <c r="M776" i="3" l="1"/>
  <c r="U775" i="3"/>
  <c r="O190" i="3"/>
  <c r="F776" i="3"/>
  <c r="J775" i="3"/>
  <c r="Q777" i="3"/>
  <c r="K234" i="4"/>
  <c r="C285" i="3"/>
  <c r="R234" i="4"/>
  <c r="K234" i="20" s="1"/>
  <c r="N191" i="3"/>
  <c r="I235" i="4"/>
  <c r="K257" i="3"/>
  <c r="P238" i="4"/>
  <c r="I238" i="20" s="1"/>
  <c r="C239" i="4"/>
  <c r="D239" i="4" s="1"/>
  <c r="G238" i="4"/>
  <c r="J237" i="4"/>
  <c r="E237" i="4"/>
  <c r="G258" i="3"/>
  <c r="H258" i="3" s="1"/>
  <c r="R230" i="3" s="1"/>
  <c r="S230" i="3" s="1"/>
  <c r="V230" i="3" s="1"/>
  <c r="H236" i="4"/>
  <c r="K235" i="4" l="1"/>
  <c r="U776" i="3"/>
  <c r="M777" i="3"/>
  <c r="Q778" i="3"/>
  <c r="O191" i="3"/>
  <c r="J776" i="3"/>
  <c r="F777" i="3"/>
  <c r="C286" i="3"/>
  <c r="R235" i="4"/>
  <c r="K235" i="20" s="1"/>
  <c r="N192" i="3"/>
  <c r="O192" i="3" s="1"/>
  <c r="I236" i="4"/>
  <c r="K258" i="3"/>
  <c r="H237" i="4"/>
  <c r="J238" i="4"/>
  <c r="E238" i="4"/>
  <c r="P239" i="4"/>
  <c r="I239" i="20" s="1"/>
  <c r="C240" i="4"/>
  <c r="D240" i="4" s="1"/>
  <c r="G239" i="4"/>
  <c r="G259" i="3"/>
  <c r="H259" i="3" s="1"/>
  <c r="R231" i="3" s="1"/>
  <c r="S231" i="3" s="1"/>
  <c r="V231" i="3" s="1"/>
  <c r="K236" i="4" l="1"/>
  <c r="M778" i="3"/>
  <c r="U777" i="3"/>
  <c r="Q779" i="3"/>
  <c r="J777" i="3"/>
  <c r="F778" i="3"/>
  <c r="C287" i="3"/>
  <c r="G301" i="3" s="1"/>
  <c r="R236" i="4"/>
  <c r="K236" i="20" s="1"/>
  <c r="N193" i="3"/>
  <c r="O193" i="3" s="1"/>
  <c r="I237" i="4"/>
  <c r="K259" i="3"/>
  <c r="H238" i="4"/>
  <c r="G260" i="3"/>
  <c r="H260" i="3" s="1"/>
  <c r="J239" i="4"/>
  <c r="E239" i="4"/>
  <c r="P240" i="4"/>
  <c r="I240" i="20" s="1"/>
  <c r="C241" i="4"/>
  <c r="D241" i="4" s="1"/>
  <c r="G240" i="4"/>
  <c r="R232" i="3" l="1"/>
  <c r="S232" i="3" s="1"/>
  <c r="V232" i="3" s="1"/>
  <c r="R234" i="3"/>
  <c r="K237" i="4"/>
  <c r="K301" i="3"/>
  <c r="H301" i="3"/>
  <c r="F779" i="3"/>
  <c r="J778" i="3"/>
  <c r="Q780" i="3"/>
  <c r="M779" i="3"/>
  <c r="U778" i="3"/>
  <c r="C288" i="3"/>
  <c r="R237" i="4"/>
  <c r="K237" i="20" s="1"/>
  <c r="N194" i="3"/>
  <c r="I238" i="4"/>
  <c r="K260" i="3"/>
  <c r="H239" i="4"/>
  <c r="E240" i="4"/>
  <c r="J240" i="4"/>
  <c r="P241" i="4"/>
  <c r="I241" i="20" s="1"/>
  <c r="C242" i="4"/>
  <c r="D242" i="4" s="1"/>
  <c r="G241" i="4"/>
  <c r="G261" i="3"/>
  <c r="H261" i="3" s="1"/>
  <c r="R233" i="3" s="1"/>
  <c r="K238" i="4" l="1"/>
  <c r="Q781" i="3"/>
  <c r="O194" i="3"/>
  <c r="U779" i="3"/>
  <c r="M780" i="3"/>
  <c r="J779" i="3"/>
  <c r="F780" i="3"/>
  <c r="C289" i="3"/>
  <c r="S233" i="3"/>
  <c r="V233" i="3" s="1"/>
  <c r="S234" i="3"/>
  <c r="V234" i="3" s="1"/>
  <c r="R238" i="4"/>
  <c r="K238" i="20" s="1"/>
  <c r="N195" i="3"/>
  <c r="I239" i="4"/>
  <c r="K261" i="3"/>
  <c r="P242" i="4"/>
  <c r="I242" i="20" s="1"/>
  <c r="C243" i="4"/>
  <c r="D243" i="4" s="1"/>
  <c r="G242" i="4"/>
  <c r="J241" i="4"/>
  <c r="E241" i="4"/>
  <c r="G263" i="3"/>
  <c r="H263" i="3" s="1"/>
  <c r="R235" i="3" s="1"/>
  <c r="S235" i="3" s="1"/>
  <c r="V235" i="3" s="1"/>
  <c r="H240" i="4"/>
  <c r="K239" i="4" l="1"/>
  <c r="O195" i="3"/>
  <c r="M781" i="3"/>
  <c r="U780" i="3"/>
  <c r="Q782" i="3"/>
  <c r="F781" i="3"/>
  <c r="J780" i="3"/>
  <c r="C290" i="3"/>
  <c r="R239" i="4"/>
  <c r="K239" i="20" s="1"/>
  <c r="N196" i="3"/>
  <c r="O196" i="3" s="1"/>
  <c r="I240" i="4"/>
  <c r="K240" i="4" s="1"/>
  <c r="K263" i="3"/>
  <c r="J242" i="4"/>
  <c r="E242" i="4"/>
  <c r="P243" i="4"/>
  <c r="I243" i="20" s="1"/>
  <c r="C244" i="4"/>
  <c r="D244" i="4" s="1"/>
  <c r="G243" i="4"/>
  <c r="G264" i="3"/>
  <c r="H264" i="3" s="1"/>
  <c r="R236" i="3" s="1"/>
  <c r="S236" i="3" s="1"/>
  <c r="V236" i="3" s="1"/>
  <c r="H241" i="4"/>
  <c r="F782" i="3" l="1"/>
  <c r="J781" i="3"/>
  <c r="Q783" i="3"/>
  <c r="M782" i="3"/>
  <c r="U781" i="3"/>
  <c r="C291" i="3"/>
  <c r="O197" i="3"/>
  <c r="R240" i="4"/>
  <c r="K240" i="20" s="1"/>
  <c r="N198" i="3"/>
  <c r="I241" i="4"/>
  <c r="K241" i="4" s="1"/>
  <c r="N236" i="3"/>
  <c r="K264" i="3"/>
  <c r="J243" i="4"/>
  <c r="E243" i="4"/>
  <c r="P244" i="4"/>
  <c r="I244" i="20" s="1"/>
  <c r="C245" i="4"/>
  <c r="G244" i="4"/>
  <c r="G265" i="3"/>
  <c r="H265" i="3" s="1"/>
  <c r="R237" i="3" s="1"/>
  <c r="S237" i="3" s="1"/>
  <c r="V237" i="3" s="1"/>
  <c r="H242" i="4"/>
  <c r="U782" i="3" l="1"/>
  <c r="M783" i="3"/>
  <c r="O198" i="3"/>
  <c r="Q784" i="3"/>
  <c r="J782" i="3"/>
  <c r="F783" i="3"/>
  <c r="C292" i="3"/>
  <c r="R241" i="4"/>
  <c r="K241" i="20" s="1"/>
  <c r="D245" i="4"/>
  <c r="G245" i="4" s="1"/>
  <c r="N199" i="3"/>
  <c r="O199" i="3" s="1"/>
  <c r="I242" i="4"/>
  <c r="K242" i="4" s="1"/>
  <c r="K265" i="3"/>
  <c r="H243" i="4"/>
  <c r="P245" i="4"/>
  <c r="I245" i="20" s="1"/>
  <c r="C246" i="4"/>
  <c r="D246" i="4" s="1"/>
  <c r="G266" i="3"/>
  <c r="H266" i="3" s="1"/>
  <c r="R238" i="3" s="1"/>
  <c r="S238" i="3" s="1"/>
  <c r="V238" i="3" s="1"/>
  <c r="E244" i="4"/>
  <c r="J244" i="4"/>
  <c r="Q785" i="3" l="1"/>
  <c r="M784" i="3"/>
  <c r="U783" i="3"/>
  <c r="F784" i="3"/>
  <c r="J783" i="3"/>
  <c r="C293" i="3"/>
  <c r="R242" i="4"/>
  <c r="K242" i="20" s="1"/>
  <c r="N200" i="3"/>
  <c r="O200" i="3" s="1"/>
  <c r="I243" i="4"/>
  <c r="K243" i="4" s="1"/>
  <c r="K266" i="3"/>
  <c r="P246" i="4"/>
  <c r="I246" i="20" s="1"/>
  <c r="C247" i="4"/>
  <c r="D247" i="4" s="1"/>
  <c r="G246" i="4"/>
  <c r="H244" i="4"/>
  <c r="G267" i="3"/>
  <c r="H267" i="3" s="1"/>
  <c r="R239" i="3" s="1"/>
  <c r="S239" i="3" s="1"/>
  <c r="V239" i="3" s="1"/>
  <c r="J245" i="4"/>
  <c r="E245" i="4"/>
  <c r="U784" i="3" l="1"/>
  <c r="M785" i="3"/>
  <c r="Q786" i="3"/>
  <c r="J784" i="3"/>
  <c r="F785" i="3"/>
  <c r="C294" i="3"/>
  <c r="R243" i="4"/>
  <c r="K243" i="20" s="1"/>
  <c r="N201" i="3"/>
  <c r="I244" i="4"/>
  <c r="K244" i="4" s="1"/>
  <c r="K267" i="3"/>
  <c r="G268" i="3"/>
  <c r="H268" i="3" s="1"/>
  <c r="R240" i="3" s="1"/>
  <c r="S240" i="3" s="1"/>
  <c r="V240" i="3" s="1"/>
  <c r="P247" i="4"/>
  <c r="I247" i="20" s="1"/>
  <c r="C248" i="4"/>
  <c r="D248" i="4" s="1"/>
  <c r="G247" i="4"/>
  <c r="H245" i="4"/>
  <c r="J246" i="4"/>
  <c r="E246" i="4"/>
  <c r="J785" i="3" l="1"/>
  <c r="F786" i="3"/>
  <c r="Q787" i="3"/>
  <c r="M786" i="3"/>
  <c r="U785" i="3"/>
  <c r="O201" i="3"/>
  <c r="C295" i="3"/>
  <c r="R244" i="4"/>
  <c r="K244" i="20" s="1"/>
  <c r="N202" i="3"/>
  <c r="O202" i="3" s="1"/>
  <c r="I245" i="4"/>
  <c r="K245" i="4" s="1"/>
  <c r="K268" i="3"/>
  <c r="G269" i="3"/>
  <c r="H269" i="3" s="1"/>
  <c r="R241" i="3" s="1"/>
  <c r="S241" i="3" s="1"/>
  <c r="V241" i="3" s="1"/>
  <c r="P248" i="4"/>
  <c r="I248" i="20" s="1"/>
  <c r="C249" i="4"/>
  <c r="D249" i="4" s="1"/>
  <c r="G248" i="4"/>
  <c r="H246" i="4"/>
  <c r="J247" i="4"/>
  <c r="E247" i="4"/>
  <c r="F787" i="3" l="1"/>
  <c r="J786" i="3"/>
  <c r="M787" i="3"/>
  <c r="U786" i="3"/>
  <c r="Q788" i="3"/>
  <c r="C296" i="3"/>
  <c r="R245" i="4"/>
  <c r="K245" i="20" s="1"/>
  <c r="N203" i="3"/>
  <c r="I246" i="4"/>
  <c r="K246" i="4" s="1"/>
  <c r="K269" i="3"/>
  <c r="E248" i="4"/>
  <c r="J248" i="4"/>
  <c r="G270" i="3"/>
  <c r="H270" i="3" s="1"/>
  <c r="R242" i="3" s="1"/>
  <c r="S242" i="3" s="1"/>
  <c r="V242" i="3" s="1"/>
  <c r="H247" i="4"/>
  <c r="P249" i="4"/>
  <c r="I249" i="20" s="1"/>
  <c r="C250" i="4"/>
  <c r="D250" i="4" s="1"/>
  <c r="G249" i="4"/>
  <c r="Q789" i="3" l="1"/>
  <c r="M788" i="3"/>
  <c r="U787" i="3"/>
  <c r="F788" i="3"/>
  <c r="J787" i="3"/>
  <c r="O203" i="3"/>
  <c r="C297" i="3"/>
  <c r="R246" i="4"/>
  <c r="K246" i="20" s="1"/>
  <c r="N204" i="3"/>
  <c r="I247" i="4"/>
  <c r="K247" i="4" s="1"/>
  <c r="K270" i="3"/>
  <c r="J249" i="4"/>
  <c r="E249" i="4"/>
  <c r="H248" i="4"/>
  <c r="P250" i="4"/>
  <c r="I250" i="20" s="1"/>
  <c r="C251" i="4"/>
  <c r="D251" i="4" s="1"/>
  <c r="G250" i="4"/>
  <c r="G271" i="3"/>
  <c r="H271" i="3" s="1"/>
  <c r="R243" i="3" s="1"/>
  <c r="S243" i="3" s="1"/>
  <c r="V243" i="3" s="1"/>
  <c r="U788" i="3" l="1"/>
  <c r="M789" i="3"/>
  <c r="O204" i="3"/>
  <c r="F789" i="3"/>
  <c r="J788" i="3"/>
  <c r="Q790" i="3"/>
  <c r="C298" i="3"/>
  <c r="R247" i="4"/>
  <c r="K247" i="20" s="1"/>
  <c r="N205" i="3"/>
  <c r="I248" i="4"/>
  <c r="K248" i="4" s="1"/>
  <c r="K271" i="3"/>
  <c r="G272" i="3"/>
  <c r="H272" i="3" s="1"/>
  <c r="R244" i="3" s="1"/>
  <c r="S244" i="3" s="1"/>
  <c r="V244" i="3" s="1"/>
  <c r="J250" i="4"/>
  <c r="E250" i="4"/>
  <c r="P251" i="4"/>
  <c r="I251" i="20" s="1"/>
  <c r="C252" i="4"/>
  <c r="D252" i="4" s="1"/>
  <c r="G251" i="4"/>
  <c r="H249" i="4"/>
  <c r="O205" i="3" l="1"/>
  <c r="M790" i="3"/>
  <c r="U789" i="3"/>
  <c r="F790" i="3"/>
  <c r="J789" i="3"/>
  <c r="Q791" i="3"/>
  <c r="C299" i="3"/>
  <c r="R248" i="4"/>
  <c r="K248" i="20" s="1"/>
  <c r="N206" i="3"/>
  <c r="I249" i="4"/>
  <c r="K249" i="4" s="1"/>
  <c r="K272" i="3"/>
  <c r="J251" i="4"/>
  <c r="E251" i="4"/>
  <c r="H250" i="4"/>
  <c r="G273" i="3"/>
  <c r="H273" i="3" s="1"/>
  <c r="P252" i="4"/>
  <c r="I252" i="20" s="1"/>
  <c r="C253" i="4"/>
  <c r="D253" i="4" s="1"/>
  <c r="G252" i="4"/>
  <c r="R245" i="3" l="1"/>
  <c r="S245" i="3" s="1"/>
  <c r="V245" i="3" s="1"/>
  <c r="R247" i="3"/>
  <c r="J790" i="3"/>
  <c r="F791" i="3"/>
  <c r="O206" i="3"/>
  <c r="Q792" i="3"/>
  <c r="U790" i="3"/>
  <c r="M791" i="3"/>
  <c r="C300" i="3"/>
  <c r="G314" i="3" s="1"/>
  <c r="R249" i="4"/>
  <c r="K249" i="20" s="1"/>
  <c r="N207" i="3"/>
  <c r="O207" i="3" s="1"/>
  <c r="I250" i="4"/>
  <c r="K250" i="4" s="1"/>
  <c r="K273" i="3"/>
  <c r="G274" i="3"/>
  <c r="H274" i="3" s="1"/>
  <c r="R246" i="3" s="1"/>
  <c r="E252" i="4"/>
  <c r="J252" i="4"/>
  <c r="H251" i="4"/>
  <c r="P253" i="4"/>
  <c r="I253" i="20" s="1"/>
  <c r="C254" i="4"/>
  <c r="D254" i="4" s="1"/>
  <c r="G253" i="4"/>
  <c r="H314" i="3" l="1"/>
  <c r="K314" i="3"/>
  <c r="Q793" i="3"/>
  <c r="M792" i="3"/>
  <c r="U791" i="3"/>
  <c r="J791" i="3"/>
  <c r="F792" i="3"/>
  <c r="C301" i="3"/>
  <c r="S246" i="3"/>
  <c r="V246" i="3" s="1"/>
  <c r="S247" i="3"/>
  <c r="V247" i="3" s="1"/>
  <c r="R250" i="4"/>
  <c r="K250" i="20" s="1"/>
  <c r="N208" i="3"/>
  <c r="I251" i="4"/>
  <c r="K251" i="4" s="1"/>
  <c r="K274" i="3"/>
  <c r="J253" i="4"/>
  <c r="E253" i="4"/>
  <c r="H252" i="4"/>
  <c r="G276" i="3"/>
  <c r="H276" i="3" s="1"/>
  <c r="R248" i="3" s="1"/>
  <c r="S248" i="3" s="1"/>
  <c r="V248" i="3" s="1"/>
  <c r="P254" i="4"/>
  <c r="I254" i="20" s="1"/>
  <c r="C255" i="4"/>
  <c r="D255" i="4" s="1"/>
  <c r="G254" i="4"/>
  <c r="J792" i="3" l="1"/>
  <c r="F793" i="3"/>
  <c r="U792" i="3"/>
  <c r="M793" i="3"/>
  <c r="Q794" i="3"/>
  <c r="O208" i="3"/>
  <c r="C302" i="3"/>
  <c r="R251" i="4"/>
  <c r="K251" i="20" s="1"/>
  <c r="N209" i="3"/>
  <c r="O209" i="3" s="1"/>
  <c r="I252" i="4"/>
  <c r="K252" i="4" s="1"/>
  <c r="K276" i="3"/>
  <c r="J254" i="4"/>
  <c r="E254" i="4"/>
  <c r="H253" i="4"/>
  <c r="G277" i="3"/>
  <c r="H277" i="3" s="1"/>
  <c r="R249" i="3" s="1"/>
  <c r="S249" i="3" s="1"/>
  <c r="V249" i="3" s="1"/>
  <c r="P255" i="4"/>
  <c r="I255" i="20" s="1"/>
  <c r="C256" i="4"/>
  <c r="D256" i="4" s="1"/>
  <c r="G255" i="4"/>
  <c r="Q795" i="3" l="1"/>
  <c r="J793" i="3"/>
  <c r="F794" i="3"/>
  <c r="M794" i="3"/>
  <c r="U793" i="3"/>
  <c r="C303" i="3"/>
  <c r="R252" i="4"/>
  <c r="K252" i="20" s="1"/>
  <c r="O210" i="3"/>
  <c r="N211" i="3"/>
  <c r="O211" i="3" s="1"/>
  <c r="I253" i="4"/>
  <c r="K253" i="4" s="1"/>
  <c r="N249" i="3"/>
  <c r="K277" i="3"/>
  <c r="J255" i="4"/>
  <c r="E255" i="4"/>
  <c r="H254" i="4"/>
  <c r="P256" i="4"/>
  <c r="I256" i="20" s="1"/>
  <c r="C257" i="4"/>
  <c r="D257" i="4" s="1"/>
  <c r="G256" i="4"/>
  <c r="G278" i="3"/>
  <c r="H278" i="3" s="1"/>
  <c r="R250" i="3" s="1"/>
  <c r="S250" i="3" s="1"/>
  <c r="V250" i="3" s="1"/>
  <c r="Q796" i="3" l="1"/>
  <c r="M795" i="3"/>
  <c r="U794" i="3"/>
  <c r="J794" i="3"/>
  <c r="F795" i="3"/>
  <c r="C304" i="3"/>
  <c r="R253" i="4"/>
  <c r="K253" i="20" s="1"/>
  <c r="N212" i="3"/>
  <c r="I254" i="4"/>
  <c r="K254" i="4" s="1"/>
  <c r="K278" i="3"/>
  <c r="P257" i="4"/>
  <c r="I257" i="20" s="1"/>
  <c r="C258" i="4"/>
  <c r="D258" i="4" s="1"/>
  <c r="G257" i="4"/>
  <c r="E256" i="4"/>
  <c r="J256" i="4"/>
  <c r="H255" i="4"/>
  <c r="G279" i="3"/>
  <c r="H279" i="3" s="1"/>
  <c r="R251" i="3" s="1"/>
  <c r="S251" i="3" s="1"/>
  <c r="V251" i="3" s="1"/>
  <c r="M796" i="3" l="1"/>
  <c r="U795" i="3"/>
  <c r="J795" i="3"/>
  <c r="F796" i="3"/>
  <c r="Q797" i="3"/>
  <c r="Q798" i="3" s="1"/>
  <c r="O212" i="3"/>
  <c r="C305" i="3"/>
  <c r="R254" i="4"/>
  <c r="K254" i="20" s="1"/>
  <c r="N213" i="3"/>
  <c r="I255" i="4"/>
  <c r="K255" i="4" s="1"/>
  <c r="K279" i="3"/>
  <c r="G280" i="3"/>
  <c r="H280" i="3" s="1"/>
  <c r="R252" i="3" s="1"/>
  <c r="S252" i="3" s="1"/>
  <c r="V252" i="3" s="1"/>
  <c r="H256" i="4"/>
  <c r="J257" i="4"/>
  <c r="E257" i="4"/>
  <c r="P258" i="4"/>
  <c r="I258" i="20" s="1"/>
  <c r="C259" i="4"/>
  <c r="D259" i="4" s="1"/>
  <c r="G258" i="4"/>
  <c r="Q799" i="3" l="1"/>
  <c r="O213" i="3"/>
  <c r="U796" i="3"/>
  <c r="M797" i="3"/>
  <c r="M798" i="3" s="1"/>
  <c r="F797" i="3"/>
  <c r="F798" i="3" s="1"/>
  <c r="J796" i="3"/>
  <c r="C306" i="3"/>
  <c r="R255" i="4"/>
  <c r="K255" i="20" s="1"/>
  <c r="N214" i="3"/>
  <c r="I256" i="4"/>
  <c r="K256" i="4" s="1"/>
  <c r="K280" i="3"/>
  <c r="J258" i="4"/>
  <c r="E258" i="4"/>
  <c r="G281" i="3"/>
  <c r="H281" i="3" s="1"/>
  <c r="R253" i="3" s="1"/>
  <c r="S253" i="3" s="1"/>
  <c r="V253" i="3" s="1"/>
  <c r="P259" i="4"/>
  <c r="I259" i="20" s="1"/>
  <c r="C260" i="4"/>
  <c r="D260" i="4" s="1"/>
  <c r="G259" i="4"/>
  <c r="H257" i="4"/>
  <c r="M799" i="3" l="1"/>
  <c r="U798" i="3"/>
  <c r="J798" i="3"/>
  <c r="F799" i="3"/>
  <c r="Q800" i="3"/>
  <c r="J797" i="3"/>
  <c r="O214" i="3"/>
  <c r="U797" i="3"/>
  <c r="C307" i="3"/>
  <c r="R256" i="4"/>
  <c r="K256" i="20" s="1"/>
  <c r="N215" i="3"/>
  <c r="O215" i="3" s="1"/>
  <c r="I257" i="4"/>
  <c r="K257" i="4" s="1"/>
  <c r="K281" i="3"/>
  <c r="P260" i="4"/>
  <c r="I260" i="20" s="1"/>
  <c r="C261" i="4"/>
  <c r="D261" i="4" s="1"/>
  <c r="G260" i="4"/>
  <c r="G282" i="3"/>
  <c r="H282" i="3" s="1"/>
  <c r="R254" i="3" s="1"/>
  <c r="S254" i="3" s="1"/>
  <c r="V254" i="3" s="1"/>
  <c r="H258" i="4"/>
  <c r="J259" i="4"/>
  <c r="E259" i="4"/>
  <c r="J799" i="3" l="1"/>
  <c r="F800" i="3"/>
  <c r="Q801" i="3"/>
  <c r="U799" i="3"/>
  <c r="M800" i="3"/>
  <c r="C308" i="3"/>
  <c r="R257" i="4"/>
  <c r="K257" i="20" s="1"/>
  <c r="N216" i="3"/>
  <c r="O216" i="3" s="1"/>
  <c r="I258" i="4"/>
  <c r="K258" i="4" s="1"/>
  <c r="K282" i="3"/>
  <c r="E260" i="4"/>
  <c r="J260" i="4"/>
  <c r="G283" i="3"/>
  <c r="H283" i="3" s="1"/>
  <c r="R255" i="3" s="1"/>
  <c r="P261" i="4"/>
  <c r="I261" i="20" s="1"/>
  <c r="C262" i="4"/>
  <c r="D262" i="4" s="1"/>
  <c r="G261" i="4"/>
  <c r="H259" i="4"/>
  <c r="Q802" i="3" l="1"/>
  <c r="F801" i="3"/>
  <c r="J800" i="3"/>
  <c r="M801" i="3"/>
  <c r="U800" i="3"/>
  <c r="S255" i="3"/>
  <c r="V255" i="3" s="1"/>
  <c r="C309" i="3"/>
  <c r="R258" i="4"/>
  <c r="K258" i="20" s="1"/>
  <c r="N217" i="3"/>
  <c r="I259" i="4"/>
  <c r="K259" i="4" s="1"/>
  <c r="K283" i="3"/>
  <c r="H260" i="4"/>
  <c r="J261" i="4"/>
  <c r="E261" i="4"/>
  <c r="P262" i="4"/>
  <c r="I262" i="20" s="1"/>
  <c r="C263" i="4"/>
  <c r="D263" i="4" s="1"/>
  <c r="G262" i="4"/>
  <c r="G284" i="3"/>
  <c r="H284" i="3" s="1"/>
  <c r="R256" i="3" s="1"/>
  <c r="S256" i="3" s="1"/>
  <c r="V256" i="3" s="1"/>
  <c r="F802" i="3" l="1"/>
  <c r="J801" i="3"/>
  <c r="Q803" i="3"/>
  <c r="U801" i="3"/>
  <c r="M802" i="3"/>
  <c r="O217" i="3"/>
  <c r="C310" i="3"/>
  <c r="R259" i="4"/>
  <c r="K259" i="20" s="1"/>
  <c r="N218" i="3"/>
  <c r="I260" i="4"/>
  <c r="K260" i="4" s="1"/>
  <c r="K284" i="3"/>
  <c r="G285" i="3"/>
  <c r="H285" i="3" s="1"/>
  <c r="R257" i="3" s="1"/>
  <c r="S257" i="3" s="1"/>
  <c r="V257" i="3" s="1"/>
  <c r="J262" i="4"/>
  <c r="E262" i="4"/>
  <c r="H261" i="4"/>
  <c r="P263" i="4"/>
  <c r="I263" i="20" s="1"/>
  <c r="C264" i="4"/>
  <c r="D264" i="4" s="1"/>
  <c r="G263" i="4"/>
  <c r="M803" i="3" l="1"/>
  <c r="U802" i="3"/>
  <c r="Q804" i="3"/>
  <c r="J802" i="3"/>
  <c r="F803" i="3"/>
  <c r="O218" i="3"/>
  <c r="C311" i="3"/>
  <c r="R260" i="4"/>
  <c r="K260" i="20" s="1"/>
  <c r="N219" i="3"/>
  <c r="I261" i="4"/>
  <c r="K261" i="4" s="1"/>
  <c r="K285" i="3"/>
  <c r="P264" i="4"/>
  <c r="I264" i="20" s="1"/>
  <c r="C265" i="4"/>
  <c r="D265" i="4" s="1"/>
  <c r="G264" i="4"/>
  <c r="H262" i="4"/>
  <c r="J263" i="4"/>
  <c r="E263" i="4"/>
  <c r="G286" i="3"/>
  <c r="H286" i="3" s="1"/>
  <c r="R258" i="3" l="1"/>
  <c r="S258" i="3" s="1"/>
  <c r="V258" i="3" s="1"/>
  <c r="R260" i="3"/>
  <c r="F804" i="3"/>
  <c r="J803" i="3"/>
  <c r="M804" i="3"/>
  <c r="U803" i="3"/>
  <c r="Q805" i="3"/>
  <c r="O219" i="3"/>
  <c r="C312" i="3"/>
  <c r="R261" i="4"/>
  <c r="K261" i="20" s="1"/>
  <c r="N220" i="3"/>
  <c r="I262" i="4"/>
  <c r="K262" i="4" s="1"/>
  <c r="K286" i="3"/>
  <c r="E264" i="4"/>
  <c r="J264" i="4"/>
  <c r="P265" i="4"/>
  <c r="I265" i="20" s="1"/>
  <c r="C266" i="4"/>
  <c r="D266" i="4" s="1"/>
  <c r="G265" i="4"/>
  <c r="G287" i="3"/>
  <c r="H287" i="3" s="1"/>
  <c r="R259" i="3" s="1"/>
  <c r="H263" i="4"/>
  <c r="Q806" i="3" l="1"/>
  <c r="J804" i="3"/>
  <c r="F805" i="3"/>
  <c r="U804" i="3"/>
  <c r="M805" i="3"/>
  <c r="O220" i="3"/>
  <c r="C313" i="3"/>
  <c r="G327" i="3" s="1"/>
  <c r="S259" i="3"/>
  <c r="V259" i="3" s="1"/>
  <c r="S260" i="3"/>
  <c r="V260" i="3" s="1"/>
  <c r="R262" i="4"/>
  <c r="K262" i="20" s="1"/>
  <c r="N221" i="3"/>
  <c r="I263" i="4"/>
  <c r="K263" i="4" s="1"/>
  <c r="K287" i="3"/>
  <c r="H264" i="4"/>
  <c r="G289" i="3"/>
  <c r="H289" i="3" s="1"/>
  <c r="R261" i="3" s="1"/>
  <c r="S261" i="3" s="1"/>
  <c r="V261" i="3" s="1"/>
  <c r="P266" i="4"/>
  <c r="I266" i="20" s="1"/>
  <c r="C267" i="4"/>
  <c r="D267" i="4" s="1"/>
  <c r="G266" i="4"/>
  <c r="J265" i="4"/>
  <c r="E265" i="4"/>
  <c r="H327" i="3" l="1"/>
  <c r="K327" i="3"/>
  <c r="Q807" i="3"/>
  <c r="J805" i="3"/>
  <c r="F806" i="3"/>
  <c r="U805" i="3"/>
  <c r="M806" i="3"/>
  <c r="O221" i="3"/>
  <c r="C314" i="3"/>
  <c r="R263" i="4"/>
  <c r="K263" i="20" s="1"/>
  <c r="N222" i="3"/>
  <c r="O222" i="3" s="1"/>
  <c r="I264" i="4"/>
  <c r="K264" i="4" s="1"/>
  <c r="K289" i="3"/>
  <c r="J266" i="4"/>
  <c r="E266" i="4"/>
  <c r="P267" i="4"/>
  <c r="I267" i="20" s="1"/>
  <c r="C268" i="4"/>
  <c r="D268" i="4" s="1"/>
  <c r="G267" i="4"/>
  <c r="H265" i="4"/>
  <c r="G290" i="3"/>
  <c r="H290" i="3" s="1"/>
  <c r="R262" i="3" s="1"/>
  <c r="S262" i="3" s="1"/>
  <c r="V262" i="3" s="1"/>
  <c r="O223" i="3" l="1"/>
  <c r="M807" i="3"/>
  <c r="U806" i="3"/>
  <c r="J806" i="3"/>
  <c r="F807" i="3"/>
  <c r="Q808" i="3"/>
  <c r="C315" i="3"/>
  <c r="R264" i="4"/>
  <c r="K264" i="20" s="1"/>
  <c r="N224" i="3"/>
  <c r="I265" i="4"/>
  <c r="K265" i="4" s="1"/>
  <c r="N262" i="3"/>
  <c r="K290" i="3"/>
  <c r="P268" i="4"/>
  <c r="I268" i="20" s="1"/>
  <c r="C269" i="4"/>
  <c r="D269" i="4" s="1"/>
  <c r="G268" i="4"/>
  <c r="H266" i="4"/>
  <c r="G291" i="3"/>
  <c r="H291" i="3" s="1"/>
  <c r="R263" i="3" s="1"/>
  <c r="S263" i="3" s="1"/>
  <c r="V263" i="3" s="1"/>
  <c r="J267" i="4"/>
  <c r="E267" i="4"/>
  <c r="Q809" i="3" l="1"/>
  <c r="O224" i="3"/>
  <c r="J807" i="3"/>
  <c r="F808" i="3"/>
  <c r="M808" i="3"/>
  <c r="U807" i="3"/>
  <c r="C316" i="3"/>
  <c r="R265" i="4"/>
  <c r="K265" i="20" s="1"/>
  <c r="N225" i="3"/>
  <c r="I266" i="4"/>
  <c r="K266" i="4" s="1"/>
  <c r="K291" i="3"/>
  <c r="H267" i="4"/>
  <c r="G292" i="3"/>
  <c r="H292" i="3" s="1"/>
  <c r="R264" i="3" s="1"/>
  <c r="S264" i="3" s="1"/>
  <c r="V264" i="3" s="1"/>
  <c r="E268" i="4"/>
  <c r="J268" i="4"/>
  <c r="P269" i="4"/>
  <c r="I269" i="20" s="1"/>
  <c r="C270" i="4"/>
  <c r="D270" i="4" s="1"/>
  <c r="G269" i="4"/>
  <c r="M809" i="3" l="1"/>
  <c r="U808" i="3"/>
  <c r="O225" i="3"/>
  <c r="F809" i="3"/>
  <c r="J808" i="3"/>
  <c r="Q810" i="3"/>
  <c r="C317" i="3"/>
  <c r="R266" i="4"/>
  <c r="K266" i="20" s="1"/>
  <c r="N226" i="3"/>
  <c r="I267" i="4"/>
  <c r="K267" i="4" s="1"/>
  <c r="K292" i="3"/>
  <c r="H268" i="4"/>
  <c r="J269" i="4"/>
  <c r="E269" i="4"/>
  <c r="P270" i="4"/>
  <c r="I270" i="20" s="1"/>
  <c r="C271" i="4"/>
  <c r="D271" i="4" s="1"/>
  <c r="G270" i="4"/>
  <c r="G293" i="3"/>
  <c r="H293" i="3" s="1"/>
  <c r="R265" i="3" s="1"/>
  <c r="S265" i="3" s="1"/>
  <c r="V265" i="3" s="1"/>
  <c r="Q811" i="3" l="1"/>
  <c r="U809" i="3"/>
  <c r="M810" i="3"/>
  <c r="O226" i="3"/>
  <c r="F810" i="3"/>
  <c r="J809" i="3"/>
  <c r="C318" i="3"/>
  <c r="R267" i="4"/>
  <c r="K267" i="20" s="1"/>
  <c r="N227" i="3"/>
  <c r="I268" i="4"/>
  <c r="K268" i="4" s="1"/>
  <c r="K293" i="3"/>
  <c r="P271" i="4"/>
  <c r="I271" i="20" s="1"/>
  <c r="C272" i="4"/>
  <c r="D272" i="4" s="1"/>
  <c r="G271" i="4"/>
  <c r="G294" i="3"/>
  <c r="H294" i="3" s="1"/>
  <c r="R266" i="3" s="1"/>
  <c r="S266" i="3" s="1"/>
  <c r="V266" i="3" s="1"/>
  <c r="J270" i="4"/>
  <c r="E270" i="4"/>
  <c r="H269" i="4"/>
  <c r="M811" i="3" l="1"/>
  <c r="U810" i="3"/>
  <c r="O227" i="3"/>
  <c r="F811" i="3"/>
  <c r="J810" i="3"/>
  <c r="Q812" i="3"/>
  <c r="C319" i="3"/>
  <c r="R268" i="4"/>
  <c r="K268" i="20" s="1"/>
  <c r="N228" i="3"/>
  <c r="I269" i="4"/>
  <c r="K269" i="4" s="1"/>
  <c r="K294" i="3"/>
  <c r="J271" i="4"/>
  <c r="E271" i="4"/>
  <c r="G295" i="3"/>
  <c r="H295" i="3" s="1"/>
  <c r="R267" i="3" s="1"/>
  <c r="S267" i="3" s="1"/>
  <c r="V267" i="3" s="1"/>
  <c r="P272" i="4"/>
  <c r="I272" i="20" s="1"/>
  <c r="C273" i="4"/>
  <c r="D273" i="4" s="1"/>
  <c r="G272" i="4"/>
  <c r="H270" i="4"/>
  <c r="Q813" i="3" l="1"/>
  <c r="O228" i="3"/>
  <c r="J811" i="3"/>
  <c r="F812" i="3"/>
  <c r="U811" i="3"/>
  <c r="M812" i="3"/>
  <c r="C320" i="3"/>
  <c r="R269" i="4"/>
  <c r="K269" i="20" s="1"/>
  <c r="N229" i="3"/>
  <c r="I270" i="4"/>
  <c r="K270" i="4" s="1"/>
  <c r="K295" i="3"/>
  <c r="P273" i="4"/>
  <c r="I273" i="20" s="1"/>
  <c r="C274" i="4"/>
  <c r="D274" i="4" s="1"/>
  <c r="G273" i="4"/>
  <c r="G296" i="3"/>
  <c r="H296" i="3" s="1"/>
  <c r="R268" i="3" s="1"/>
  <c r="S268" i="3" s="1"/>
  <c r="V268" i="3" s="1"/>
  <c r="E272" i="4"/>
  <c r="J272" i="4"/>
  <c r="H271" i="4"/>
  <c r="U812" i="3" l="1"/>
  <c r="M813" i="3"/>
  <c r="J812" i="3"/>
  <c r="F813" i="3"/>
  <c r="O229" i="3"/>
  <c r="Q814" i="3"/>
  <c r="C321" i="3"/>
  <c r="R270" i="4"/>
  <c r="K270" i="20" s="1"/>
  <c r="N230" i="3"/>
  <c r="I271" i="4"/>
  <c r="K271" i="4" s="1"/>
  <c r="K296" i="3"/>
  <c r="H272" i="4"/>
  <c r="G297" i="3"/>
  <c r="H297" i="3" s="1"/>
  <c r="R269" i="3" s="1"/>
  <c r="S269" i="3" s="1"/>
  <c r="V269" i="3" s="1"/>
  <c r="J273" i="4"/>
  <c r="E273" i="4"/>
  <c r="P274" i="4"/>
  <c r="I274" i="20" s="1"/>
  <c r="C275" i="4"/>
  <c r="G274" i="4"/>
  <c r="O230" i="3" l="1"/>
  <c r="J813" i="3"/>
  <c r="F814" i="3"/>
  <c r="U813" i="3"/>
  <c r="M814" i="3"/>
  <c r="Q815" i="3"/>
  <c r="C322" i="3"/>
  <c r="D275" i="4"/>
  <c r="G275" i="4" s="1"/>
  <c r="R271" i="4"/>
  <c r="K271" i="20" s="1"/>
  <c r="N231" i="3"/>
  <c r="O231" i="3" s="1"/>
  <c r="I272" i="4"/>
  <c r="K272" i="4" s="1"/>
  <c r="K297" i="3"/>
  <c r="J274" i="4"/>
  <c r="E274" i="4"/>
  <c r="P275" i="4"/>
  <c r="I275" i="20" s="1"/>
  <c r="C276" i="4"/>
  <c r="D276" i="4" s="1"/>
  <c r="G298" i="3"/>
  <c r="H298" i="3" s="1"/>
  <c r="R270" i="3" s="1"/>
  <c r="S270" i="3" s="1"/>
  <c r="V270" i="3" s="1"/>
  <c r="H273" i="4"/>
  <c r="J814" i="3" l="1"/>
  <c r="F815" i="3"/>
  <c r="Q816" i="3"/>
  <c r="M815" i="3"/>
  <c r="U814" i="3"/>
  <c r="C323" i="3"/>
  <c r="R272" i="4"/>
  <c r="K272" i="20" s="1"/>
  <c r="N232" i="3"/>
  <c r="O232" i="3" s="1"/>
  <c r="I273" i="4"/>
  <c r="K273" i="4" s="1"/>
  <c r="K298" i="3"/>
  <c r="P276" i="4"/>
  <c r="I276" i="20" s="1"/>
  <c r="C277" i="4"/>
  <c r="D277" i="4" s="1"/>
  <c r="G276" i="4"/>
  <c r="G299" i="3"/>
  <c r="H299" i="3" s="1"/>
  <c r="J275" i="4"/>
  <c r="E275" i="4"/>
  <c r="H274" i="4"/>
  <c r="R271" i="3" l="1"/>
  <c r="S271" i="3" s="1"/>
  <c r="V271" i="3" s="1"/>
  <c r="R273" i="3"/>
  <c r="M816" i="3"/>
  <c r="U815" i="3"/>
  <c r="J815" i="3"/>
  <c r="F816" i="3"/>
  <c r="Q817" i="3"/>
  <c r="C324" i="3"/>
  <c r="R273" i="4"/>
  <c r="K273" i="20" s="1"/>
  <c r="N233" i="3"/>
  <c r="I274" i="4"/>
  <c r="K274" i="4" s="1"/>
  <c r="K299" i="3"/>
  <c r="H275" i="4"/>
  <c r="G300" i="3"/>
  <c r="H300" i="3" s="1"/>
  <c r="R272" i="3" s="1"/>
  <c r="E276" i="4"/>
  <c r="J276" i="4"/>
  <c r="P277" i="4"/>
  <c r="I277" i="20" s="1"/>
  <c r="C278" i="4"/>
  <c r="D278" i="4" s="1"/>
  <c r="G277" i="4"/>
  <c r="O233" i="3" l="1"/>
  <c r="Q818" i="3"/>
  <c r="U816" i="3"/>
  <c r="M817" i="3"/>
  <c r="F817" i="3"/>
  <c r="J816" i="3"/>
  <c r="C325" i="3"/>
  <c r="S272" i="3"/>
  <c r="V272" i="3" s="1"/>
  <c r="S273" i="3"/>
  <c r="V273" i="3" s="1"/>
  <c r="R274" i="4"/>
  <c r="K274" i="20" s="1"/>
  <c r="N234" i="3"/>
  <c r="I275" i="4"/>
  <c r="K275" i="4" s="1"/>
  <c r="K300" i="3"/>
  <c r="J277" i="4"/>
  <c r="E277" i="4"/>
  <c r="P278" i="4"/>
  <c r="I278" i="20" s="1"/>
  <c r="C279" i="4"/>
  <c r="D279" i="4" s="1"/>
  <c r="G278" i="4"/>
  <c r="H276" i="4"/>
  <c r="G302" i="3"/>
  <c r="H302" i="3" s="1"/>
  <c r="R274" i="3" s="1"/>
  <c r="S274" i="3" s="1"/>
  <c r="V274" i="3" s="1"/>
  <c r="O234" i="3" l="1"/>
  <c r="F818" i="3"/>
  <c r="J817" i="3"/>
  <c r="Q819" i="3"/>
  <c r="M818" i="3"/>
  <c r="U817" i="3"/>
  <c r="C326" i="3"/>
  <c r="G340" i="3" s="1"/>
  <c r="R275" i="4"/>
  <c r="K275" i="20" s="1"/>
  <c r="N235" i="3"/>
  <c r="I276" i="4"/>
  <c r="K276" i="4" s="1"/>
  <c r="K302" i="3"/>
  <c r="G303" i="3"/>
  <c r="H303" i="3" s="1"/>
  <c r="R275" i="3" s="1"/>
  <c r="S275" i="3" s="1"/>
  <c r="V275" i="3" s="1"/>
  <c r="J278" i="4"/>
  <c r="E278" i="4"/>
  <c r="P279" i="4"/>
  <c r="I279" i="20" s="1"/>
  <c r="C280" i="4"/>
  <c r="D280" i="4" s="1"/>
  <c r="G279" i="4"/>
  <c r="H277" i="4"/>
  <c r="K340" i="3" l="1"/>
  <c r="H340" i="3"/>
  <c r="Q820" i="3"/>
  <c r="O235" i="3"/>
  <c r="F819" i="3"/>
  <c r="J818" i="3"/>
  <c r="U818" i="3"/>
  <c r="M819" i="3"/>
  <c r="C327" i="3"/>
  <c r="R276" i="4"/>
  <c r="K276" i="20" s="1"/>
  <c r="O236" i="3"/>
  <c r="N237" i="3"/>
  <c r="I277" i="4"/>
  <c r="K277" i="4" s="1"/>
  <c r="N275" i="3"/>
  <c r="K303" i="3"/>
  <c r="G304" i="3"/>
  <c r="H304" i="3" s="1"/>
  <c r="R276" i="3" s="1"/>
  <c r="S276" i="3" s="1"/>
  <c r="V276" i="3" s="1"/>
  <c r="H278" i="4"/>
  <c r="J279" i="4"/>
  <c r="E279" i="4"/>
  <c r="P280" i="4"/>
  <c r="I280" i="20" s="1"/>
  <c r="C281" i="4"/>
  <c r="D281" i="4" s="1"/>
  <c r="G280" i="4"/>
  <c r="F820" i="3" l="1"/>
  <c r="J819" i="3"/>
  <c r="O237" i="3"/>
  <c r="U819" i="3"/>
  <c r="M820" i="3"/>
  <c r="Q821" i="3"/>
  <c r="Q822" i="3" s="1"/>
  <c r="C328" i="3"/>
  <c r="R277" i="4"/>
  <c r="K277" i="20" s="1"/>
  <c r="N238" i="3"/>
  <c r="I278" i="4"/>
  <c r="K278" i="4" s="1"/>
  <c r="K304" i="3"/>
  <c r="H279" i="4"/>
  <c r="P281" i="4"/>
  <c r="I281" i="20" s="1"/>
  <c r="C282" i="4"/>
  <c r="D282" i="4" s="1"/>
  <c r="G281" i="4"/>
  <c r="E280" i="4"/>
  <c r="J280" i="4"/>
  <c r="G305" i="3"/>
  <c r="H305" i="3" s="1"/>
  <c r="R277" i="3" s="1"/>
  <c r="S277" i="3" s="1"/>
  <c r="V277" i="3" s="1"/>
  <c r="Q823" i="3" l="1"/>
  <c r="O238" i="3"/>
  <c r="J820" i="3"/>
  <c r="F821" i="3"/>
  <c r="F822" i="3" s="1"/>
  <c r="U820" i="3"/>
  <c r="M821" i="3"/>
  <c r="M822" i="3" s="1"/>
  <c r="C329" i="3"/>
  <c r="R278" i="4"/>
  <c r="K278" i="20" s="1"/>
  <c r="N239" i="3"/>
  <c r="I279" i="4"/>
  <c r="K279" i="4" s="1"/>
  <c r="K305" i="3"/>
  <c r="G306" i="3"/>
  <c r="H306" i="3" s="1"/>
  <c r="R278" i="3" s="1"/>
  <c r="S278" i="3" s="1"/>
  <c r="V278" i="3" s="1"/>
  <c r="J281" i="4"/>
  <c r="E281" i="4"/>
  <c r="H280" i="4"/>
  <c r="P282" i="4"/>
  <c r="I282" i="20" s="1"/>
  <c r="C283" i="4"/>
  <c r="D283" i="4" s="1"/>
  <c r="G282" i="4"/>
  <c r="F823" i="3" l="1"/>
  <c r="J822" i="3"/>
  <c r="U822" i="3"/>
  <c r="M823" i="3"/>
  <c r="Q824" i="3"/>
  <c r="O239" i="3"/>
  <c r="U821" i="3"/>
  <c r="J821" i="3"/>
  <c r="C330" i="3"/>
  <c r="R279" i="4"/>
  <c r="K279" i="20" s="1"/>
  <c r="N240" i="3"/>
  <c r="I280" i="4"/>
  <c r="K280" i="4" s="1"/>
  <c r="K306" i="3"/>
  <c r="J282" i="4"/>
  <c r="E282" i="4"/>
  <c r="H281" i="4"/>
  <c r="P283" i="4"/>
  <c r="I283" i="20" s="1"/>
  <c r="C284" i="4"/>
  <c r="D284" i="4" s="1"/>
  <c r="G283" i="4"/>
  <c r="G307" i="3"/>
  <c r="H307" i="3" s="1"/>
  <c r="R279" i="3" s="1"/>
  <c r="S279" i="3" s="1"/>
  <c r="V279" i="3" s="1"/>
  <c r="U823" i="3" l="1"/>
  <c r="M824" i="3"/>
  <c r="Q825" i="3"/>
  <c r="F824" i="3"/>
  <c r="J823" i="3"/>
  <c r="O240" i="3"/>
  <c r="C331" i="3"/>
  <c r="R280" i="4"/>
  <c r="K280" i="20" s="1"/>
  <c r="N241" i="3"/>
  <c r="O241" i="3" s="1"/>
  <c r="I281" i="4"/>
  <c r="K281" i="4" s="1"/>
  <c r="K307" i="3"/>
  <c r="P284" i="4"/>
  <c r="I284" i="20" s="1"/>
  <c r="C285" i="4"/>
  <c r="D285" i="4" s="1"/>
  <c r="G284" i="4"/>
  <c r="H282" i="4"/>
  <c r="G308" i="3"/>
  <c r="H308" i="3" s="1"/>
  <c r="R280" i="3" s="1"/>
  <c r="S280" i="3" s="1"/>
  <c r="V280" i="3" s="1"/>
  <c r="J283" i="4"/>
  <c r="E283" i="4"/>
  <c r="Q826" i="3" l="1"/>
  <c r="U824" i="3"/>
  <c r="M825" i="3"/>
  <c r="J824" i="3"/>
  <c r="F825" i="3"/>
  <c r="C332" i="3"/>
  <c r="R281" i="4"/>
  <c r="K281" i="20" s="1"/>
  <c r="N242" i="3"/>
  <c r="I282" i="4"/>
  <c r="K282" i="4" s="1"/>
  <c r="K308" i="3"/>
  <c r="E284" i="4"/>
  <c r="J284" i="4"/>
  <c r="G309" i="3"/>
  <c r="H309" i="3" s="1"/>
  <c r="R281" i="3" s="1"/>
  <c r="S281" i="3" s="1"/>
  <c r="V281" i="3" s="1"/>
  <c r="H283" i="4"/>
  <c r="P285" i="4"/>
  <c r="I285" i="20" s="1"/>
  <c r="C286" i="4"/>
  <c r="D286" i="4" s="1"/>
  <c r="G285" i="4"/>
  <c r="U825" i="3" l="1"/>
  <c r="M826" i="3"/>
  <c r="J825" i="3"/>
  <c r="F826" i="3"/>
  <c r="Q827" i="3"/>
  <c r="O242" i="3"/>
  <c r="C333" i="3"/>
  <c r="R282" i="4"/>
  <c r="K282" i="20" s="1"/>
  <c r="N243" i="3"/>
  <c r="O243" i="3" s="1"/>
  <c r="I283" i="4"/>
  <c r="K283" i="4" s="1"/>
  <c r="K309" i="3"/>
  <c r="J285" i="4"/>
  <c r="E285" i="4"/>
  <c r="H284" i="4"/>
  <c r="P286" i="4"/>
  <c r="I286" i="20" s="1"/>
  <c r="C287" i="4"/>
  <c r="D287" i="4" s="1"/>
  <c r="G286" i="4"/>
  <c r="G310" i="3"/>
  <c r="H310" i="3" s="1"/>
  <c r="R282" i="3" s="1"/>
  <c r="S282" i="3" s="1"/>
  <c r="V282" i="3" s="1"/>
  <c r="Q828" i="3" l="1"/>
  <c r="U826" i="3"/>
  <c r="M827" i="3"/>
  <c r="J826" i="3"/>
  <c r="F827" i="3"/>
  <c r="C334" i="3"/>
  <c r="R283" i="4"/>
  <c r="K283" i="20" s="1"/>
  <c r="N244" i="3"/>
  <c r="I284" i="4"/>
  <c r="K284" i="4" s="1"/>
  <c r="K310" i="3"/>
  <c r="G311" i="3"/>
  <c r="H311" i="3" s="1"/>
  <c r="R283" i="3" s="1"/>
  <c r="S283" i="3" s="1"/>
  <c r="V283" i="3" s="1"/>
  <c r="H285" i="4"/>
  <c r="J286" i="4"/>
  <c r="E286" i="4"/>
  <c r="P287" i="4"/>
  <c r="I287" i="20" s="1"/>
  <c r="C288" i="4"/>
  <c r="D288" i="4" s="1"/>
  <c r="G287" i="4"/>
  <c r="U827" i="3" l="1"/>
  <c r="M828" i="3"/>
  <c r="J827" i="3"/>
  <c r="F828" i="3"/>
  <c r="Q829" i="3"/>
  <c r="O244" i="3"/>
  <c r="C335" i="3"/>
  <c r="R284" i="4"/>
  <c r="K284" i="20" s="1"/>
  <c r="N245" i="3"/>
  <c r="O245" i="3" s="1"/>
  <c r="I285" i="4"/>
  <c r="K285" i="4" s="1"/>
  <c r="K311" i="3"/>
  <c r="P288" i="4"/>
  <c r="I288" i="20" s="1"/>
  <c r="C289" i="4"/>
  <c r="D289" i="4" s="1"/>
  <c r="G288" i="4"/>
  <c r="J287" i="4"/>
  <c r="E287" i="4"/>
  <c r="H286" i="4"/>
  <c r="G312" i="3"/>
  <c r="H312" i="3" s="1"/>
  <c r="R284" i="3" l="1"/>
  <c r="S284" i="3" s="1"/>
  <c r="V284" i="3" s="1"/>
  <c r="R286" i="3"/>
  <c r="Q830" i="3"/>
  <c r="M829" i="3"/>
  <c r="U828" i="3"/>
  <c r="F829" i="3"/>
  <c r="J828" i="3"/>
  <c r="C336" i="3"/>
  <c r="R285" i="4"/>
  <c r="K285" i="20" s="1"/>
  <c r="N246" i="3"/>
  <c r="O246" i="3" s="1"/>
  <c r="I286" i="4"/>
  <c r="K286" i="4" s="1"/>
  <c r="K312" i="3"/>
  <c r="H287" i="4"/>
  <c r="P289" i="4"/>
  <c r="I289" i="20" s="1"/>
  <c r="C290" i="4"/>
  <c r="D290" i="4" s="1"/>
  <c r="G289" i="4"/>
  <c r="G313" i="3"/>
  <c r="H313" i="3" s="1"/>
  <c r="R285" i="3" s="1"/>
  <c r="E288" i="4"/>
  <c r="J288" i="4"/>
  <c r="Q831" i="3" l="1"/>
  <c r="M830" i="3"/>
  <c r="U829" i="3"/>
  <c r="F830" i="3"/>
  <c r="J829" i="3"/>
  <c r="C337" i="3"/>
  <c r="S285" i="3"/>
  <c r="V285" i="3" s="1"/>
  <c r="S286" i="3"/>
  <c r="V286" i="3" s="1"/>
  <c r="R286" i="4"/>
  <c r="K286" i="20" s="1"/>
  <c r="N247" i="3"/>
  <c r="O247" i="3" s="1"/>
  <c r="I287" i="4"/>
  <c r="K287" i="4" s="1"/>
  <c r="K313" i="3"/>
  <c r="H288" i="4"/>
  <c r="P290" i="4"/>
  <c r="I290" i="20" s="1"/>
  <c r="C291" i="4"/>
  <c r="D291" i="4" s="1"/>
  <c r="G290" i="4"/>
  <c r="G315" i="3"/>
  <c r="H315" i="3" s="1"/>
  <c r="R287" i="3" s="1"/>
  <c r="S287" i="3" s="1"/>
  <c r="V287" i="3" s="1"/>
  <c r="J289" i="4"/>
  <c r="E289" i="4"/>
  <c r="F831" i="3" l="1"/>
  <c r="J830" i="3"/>
  <c r="U830" i="3"/>
  <c r="M831" i="3"/>
  <c r="Q832" i="3"/>
  <c r="C338" i="3"/>
  <c r="R287" i="4"/>
  <c r="K287" i="20" s="1"/>
  <c r="N248" i="3"/>
  <c r="O248" i="3" s="1"/>
  <c r="I288" i="4"/>
  <c r="K288" i="4" s="1"/>
  <c r="K315" i="3"/>
  <c r="G316" i="3"/>
  <c r="H316" i="3" s="1"/>
  <c r="R288" i="3" s="1"/>
  <c r="S288" i="3" s="1"/>
  <c r="V288" i="3" s="1"/>
  <c r="P291" i="4"/>
  <c r="I291" i="20" s="1"/>
  <c r="C292" i="4"/>
  <c r="D292" i="4" s="1"/>
  <c r="G291" i="4"/>
  <c r="H289" i="4"/>
  <c r="J290" i="4"/>
  <c r="E290" i="4"/>
  <c r="Q833" i="3" l="1"/>
  <c r="U831" i="3"/>
  <c r="M832" i="3"/>
  <c r="F832" i="3"/>
  <c r="J831" i="3"/>
  <c r="C339" i="3"/>
  <c r="G353" i="3" s="1"/>
  <c r="O249" i="3"/>
  <c r="R288" i="4"/>
  <c r="K288" i="20" s="1"/>
  <c r="N250" i="3"/>
  <c r="I289" i="4"/>
  <c r="K289" i="4" s="1"/>
  <c r="N288" i="3"/>
  <c r="K316" i="3"/>
  <c r="H290" i="4"/>
  <c r="J291" i="4"/>
  <c r="E291" i="4"/>
  <c r="G317" i="3"/>
  <c r="H317" i="3" s="1"/>
  <c r="R289" i="3" s="1"/>
  <c r="S289" i="3" s="1"/>
  <c r="V289" i="3" s="1"/>
  <c r="P292" i="4"/>
  <c r="I292" i="20" s="1"/>
  <c r="C293" i="4"/>
  <c r="D293" i="4" s="1"/>
  <c r="G292" i="4"/>
  <c r="K353" i="3" l="1"/>
  <c r="H353" i="3"/>
  <c r="F833" i="3"/>
  <c r="J832" i="3"/>
  <c r="Q834" i="3"/>
  <c r="O250" i="3"/>
  <c r="U832" i="3"/>
  <c r="M833" i="3"/>
  <c r="C340" i="3"/>
  <c r="G405" i="3" s="1"/>
  <c r="R289" i="4"/>
  <c r="K289" i="20" s="1"/>
  <c r="N251" i="3"/>
  <c r="I290" i="4"/>
  <c r="K290" i="4" s="1"/>
  <c r="K317" i="3"/>
  <c r="E292" i="4"/>
  <c r="J292" i="4"/>
  <c r="G318" i="3"/>
  <c r="H318" i="3" s="1"/>
  <c r="R290" i="3" s="1"/>
  <c r="S290" i="3" s="1"/>
  <c r="V290" i="3" s="1"/>
  <c r="P293" i="4"/>
  <c r="I293" i="20" s="1"/>
  <c r="C294" i="4"/>
  <c r="D294" i="4" s="1"/>
  <c r="G293" i="4"/>
  <c r="H291" i="4"/>
  <c r="K405" i="3" l="1"/>
  <c r="H405" i="3"/>
  <c r="Q835" i="3"/>
  <c r="U833" i="3"/>
  <c r="M834" i="3"/>
  <c r="J833" i="3"/>
  <c r="F834" i="3"/>
  <c r="O251" i="3"/>
  <c r="C341" i="3"/>
  <c r="R290" i="4"/>
  <c r="K290" i="20" s="1"/>
  <c r="N252" i="3"/>
  <c r="I291" i="4"/>
  <c r="K291" i="4" s="1"/>
  <c r="K318" i="3"/>
  <c r="J293" i="4"/>
  <c r="E293" i="4"/>
  <c r="H292" i="4"/>
  <c r="P294" i="4"/>
  <c r="I294" i="20" s="1"/>
  <c r="C295" i="4"/>
  <c r="D295" i="4" s="1"/>
  <c r="G294" i="4"/>
  <c r="G319" i="3"/>
  <c r="H319" i="3" s="1"/>
  <c r="R291" i="3" s="1"/>
  <c r="S291" i="3" s="1"/>
  <c r="V291" i="3" s="1"/>
  <c r="U834" i="3" l="1"/>
  <c r="M835" i="3"/>
  <c r="O252" i="3"/>
  <c r="J834" i="3"/>
  <c r="F835" i="3"/>
  <c r="Q836" i="3"/>
  <c r="C342" i="3"/>
  <c r="R291" i="4"/>
  <c r="K291" i="20" s="1"/>
  <c r="N253" i="3"/>
  <c r="I292" i="4"/>
  <c r="K292" i="4" s="1"/>
  <c r="K319" i="3"/>
  <c r="J294" i="4"/>
  <c r="E294" i="4"/>
  <c r="G320" i="3"/>
  <c r="H320" i="3" s="1"/>
  <c r="R292" i="3" s="1"/>
  <c r="S292" i="3" s="1"/>
  <c r="V292" i="3" s="1"/>
  <c r="P295" i="4"/>
  <c r="I295" i="20" s="1"/>
  <c r="C296" i="4"/>
  <c r="D296" i="4" s="1"/>
  <c r="G295" i="4"/>
  <c r="H293" i="4"/>
  <c r="O253" i="3" l="1"/>
  <c r="Q837" i="3"/>
  <c r="U835" i="3"/>
  <c r="M836" i="3"/>
  <c r="J835" i="3"/>
  <c r="F836" i="3"/>
  <c r="C343" i="3"/>
  <c r="R292" i="4"/>
  <c r="K292" i="20" s="1"/>
  <c r="N254" i="3"/>
  <c r="O254" i="3" s="1"/>
  <c r="I293" i="4"/>
  <c r="K293" i="4" s="1"/>
  <c r="K320" i="3"/>
  <c r="P296" i="4"/>
  <c r="I296" i="20" s="1"/>
  <c r="C297" i="4"/>
  <c r="D297" i="4" s="1"/>
  <c r="G296" i="4"/>
  <c r="G321" i="3"/>
  <c r="H321" i="3" s="1"/>
  <c r="R293" i="3" s="1"/>
  <c r="S293" i="3" s="1"/>
  <c r="V293" i="3" s="1"/>
  <c r="J295" i="4"/>
  <c r="E295" i="4"/>
  <c r="H294" i="4"/>
  <c r="M837" i="3" l="1"/>
  <c r="U836" i="3"/>
  <c r="Q838" i="3"/>
  <c r="F837" i="3"/>
  <c r="J836" i="3"/>
  <c r="C344" i="3"/>
  <c r="R293" i="4"/>
  <c r="K293" i="20" s="1"/>
  <c r="N255" i="3"/>
  <c r="I294" i="4"/>
  <c r="K294" i="4" s="1"/>
  <c r="K321" i="3"/>
  <c r="H295" i="4"/>
  <c r="E296" i="4"/>
  <c r="J296" i="4"/>
  <c r="G322" i="3"/>
  <c r="H322" i="3" s="1"/>
  <c r="R294" i="3" s="1"/>
  <c r="S294" i="3" s="1"/>
  <c r="V294" i="3" s="1"/>
  <c r="P297" i="4"/>
  <c r="I297" i="20" s="1"/>
  <c r="C298" i="4"/>
  <c r="D298" i="4" s="1"/>
  <c r="G297" i="4"/>
  <c r="O255" i="3" l="1"/>
  <c r="F838" i="3"/>
  <c r="J837" i="3"/>
  <c r="Q839" i="3"/>
  <c r="U837" i="3"/>
  <c r="M838" i="3"/>
  <c r="C345" i="3"/>
  <c r="R294" i="4"/>
  <c r="K294" i="20" s="1"/>
  <c r="N256" i="3"/>
  <c r="O256" i="3" s="1"/>
  <c r="I295" i="4"/>
  <c r="K295" i="4" s="1"/>
  <c r="K322" i="3"/>
  <c r="H296" i="4"/>
  <c r="P298" i="4"/>
  <c r="I298" i="20" s="1"/>
  <c r="C299" i="4"/>
  <c r="D299" i="4" s="1"/>
  <c r="G298" i="4"/>
  <c r="J297" i="4"/>
  <c r="E297" i="4"/>
  <c r="G323" i="3"/>
  <c r="H323" i="3" s="1"/>
  <c r="R295" i="3" s="1"/>
  <c r="S295" i="3" s="1"/>
  <c r="V295" i="3" s="1"/>
  <c r="U838" i="3" l="1"/>
  <c r="M839" i="3"/>
  <c r="F839" i="3"/>
  <c r="G838" i="3"/>
  <c r="K838" i="3" s="1"/>
  <c r="J838" i="3"/>
  <c r="Q840" i="3"/>
  <c r="C346" i="3"/>
  <c r="R295" i="4"/>
  <c r="K295" i="20" s="1"/>
  <c r="N257" i="3"/>
  <c r="I296" i="4"/>
  <c r="K296" i="4" s="1"/>
  <c r="K323" i="3"/>
  <c r="H297" i="4"/>
  <c r="G324" i="3"/>
  <c r="H324" i="3" s="1"/>
  <c r="R296" i="3" s="1"/>
  <c r="S296" i="3" s="1"/>
  <c r="V296" i="3" s="1"/>
  <c r="J298" i="4"/>
  <c r="E298" i="4"/>
  <c r="P299" i="4"/>
  <c r="I299" i="20" s="1"/>
  <c r="C300" i="4"/>
  <c r="D300" i="4" s="1"/>
  <c r="G299" i="4"/>
  <c r="H838" i="3" l="1"/>
  <c r="F840" i="3"/>
  <c r="G839" i="3"/>
  <c r="K839" i="3" s="1"/>
  <c r="J839" i="3"/>
  <c r="Q841" i="3"/>
  <c r="U839" i="3"/>
  <c r="M840" i="3"/>
  <c r="O257" i="3"/>
  <c r="C347" i="3"/>
  <c r="R296" i="4"/>
  <c r="K296" i="20" s="1"/>
  <c r="N258" i="3"/>
  <c r="I297" i="4"/>
  <c r="K297" i="4" s="1"/>
  <c r="K324" i="3"/>
  <c r="J299" i="4"/>
  <c r="E299" i="4"/>
  <c r="P300" i="4"/>
  <c r="I300" i="20" s="1"/>
  <c r="C301" i="4"/>
  <c r="D301" i="4" s="1"/>
  <c r="G300" i="4"/>
  <c r="G325" i="3"/>
  <c r="H325" i="3" s="1"/>
  <c r="H298" i="4"/>
  <c r="R297" i="3" l="1"/>
  <c r="S297" i="3" s="1"/>
  <c r="V297" i="3" s="1"/>
  <c r="R299" i="3"/>
  <c r="H839" i="3"/>
  <c r="G840" i="3"/>
  <c r="K840" i="3" s="1"/>
  <c r="F841" i="3"/>
  <c r="J840" i="3"/>
  <c r="O258" i="3"/>
  <c r="U840" i="3"/>
  <c r="M841" i="3"/>
  <c r="Q842" i="3"/>
  <c r="C348" i="3"/>
  <c r="R297" i="4"/>
  <c r="K297" i="20" s="1"/>
  <c r="N259" i="3"/>
  <c r="I298" i="4"/>
  <c r="K298" i="4" s="1"/>
  <c r="K325" i="3"/>
  <c r="P301" i="4"/>
  <c r="I301" i="20" s="1"/>
  <c r="C302" i="4"/>
  <c r="G301" i="4"/>
  <c r="E300" i="4"/>
  <c r="J300" i="4"/>
  <c r="H299" i="4"/>
  <c r="H840" i="3" l="1"/>
  <c r="G841" i="3"/>
  <c r="K841" i="3" s="1"/>
  <c r="J841" i="3"/>
  <c r="F842" i="3"/>
  <c r="O259" i="3"/>
  <c r="U841" i="3"/>
  <c r="M842" i="3"/>
  <c r="C349" i="3"/>
  <c r="R298" i="4"/>
  <c r="K298" i="20" s="1"/>
  <c r="D302" i="4"/>
  <c r="N260" i="3"/>
  <c r="O260" i="3" s="1"/>
  <c r="I299" i="4"/>
  <c r="K299" i="4" s="1"/>
  <c r="G326" i="3"/>
  <c r="H326" i="3" s="1"/>
  <c r="R298" i="3" s="1"/>
  <c r="J301" i="4"/>
  <c r="E301" i="4"/>
  <c r="H300" i="4"/>
  <c r="P302" i="4"/>
  <c r="I302" i="20" s="1"/>
  <c r="C303" i="4"/>
  <c r="D303" i="4" s="1"/>
  <c r="H841" i="3" l="1"/>
  <c r="J842" i="3"/>
  <c r="G842" i="3"/>
  <c r="K842" i="3" s="1"/>
  <c r="U842" i="3"/>
  <c r="C350" i="3"/>
  <c r="S298" i="3"/>
  <c r="V298" i="3" s="1"/>
  <c r="S299" i="3"/>
  <c r="V299" i="3" s="1"/>
  <c r="G302" i="4"/>
  <c r="R299" i="4"/>
  <c r="K299" i="20" s="1"/>
  <c r="I300" i="4"/>
  <c r="K300" i="4" s="1"/>
  <c r="G328" i="3"/>
  <c r="H328" i="3" s="1"/>
  <c r="R300" i="3" s="1"/>
  <c r="S300" i="3" s="1"/>
  <c r="V300" i="3" s="1"/>
  <c r="K326" i="3"/>
  <c r="J302" i="4"/>
  <c r="E302" i="4"/>
  <c r="P303" i="4"/>
  <c r="I303" i="20" s="1"/>
  <c r="C304" i="4"/>
  <c r="D304" i="4" s="1"/>
  <c r="G303" i="4"/>
  <c r="H301" i="4"/>
  <c r="H842" i="3" l="1"/>
  <c r="C351" i="3"/>
  <c r="R300" i="4"/>
  <c r="K300" i="20" s="1"/>
  <c r="N261" i="3"/>
  <c r="O261" i="3" s="1"/>
  <c r="I301" i="4"/>
  <c r="K301" i="4" s="1"/>
  <c r="K328" i="3"/>
  <c r="G329" i="3"/>
  <c r="H329" i="3" s="1"/>
  <c r="R301" i="3" s="1"/>
  <c r="S301" i="3" s="1"/>
  <c r="V301" i="3" s="1"/>
  <c r="J303" i="4"/>
  <c r="E303" i="4"/>
  <c r="H302" i="4"/>
  <c r="P304" i="4"/>
  <c r="I304" i="20" s="1"/>
  <c r="C305" i="4"/>
  <c r="G304" i="4"/>
  <c r="O262" i="3" l="1"/>
  <c r="C352" i="3"/>
  <c r="G366" i="3" s="1"/>
  <c r="D305" i="4"/>
  <c r="G305" i="4" s="1"/>
  <c r="R301" i="4"/>
  <c r="K301" i="20" s="1"/>
  <c r="N263" i="3"/>
  <c r="O263" i="3" s="1"/>
  <c r="I302" i="4"/>
  <c r="K302" i="4" s="1"/>
  <c r="N301" i="3"/>
  <c r="K329" i="3"/>
  <c r="G330" i="3"/>
  <c r="H330" i="3" s="1"/>
  <c r="R302" i="3" s="1"/>
  <c r="S302" i="3" s="1"/>
  <c r="V302" i="3" s="1"/>
  <c r="E304" i="4"/>
  <c r="J304" i="4"/>
  <c r="P305" i="4"/>
  <c r="I305" i="20" s="1"/>
  <c r="C306" i="4"/>
  <c r="D306" i="4" s="1"/>
  <c r="H303" i="4"/>
  <c r="K366" i="3" l="1"/>
  <c r="H366" i="3"/>
  <c r="C353" i="3"/>
  <c r="G418" i="3" s="1"/>
  <c r="R302" i="4"/>
  <c r="K302" i="20" s="1"/>
  <c r="N264" i="3"/>
  <c r="O264" i="3" s="1"/>
  <c r="I303" i="4"/>
  <c r="K303" i="4" s="1"/>
  <c r="K330" i="3"/>
  <c r="G331" i="3"/>
  <c r="H331" i="3" s="1"/>
  <c r="R303" i="3" s="1"/>
  <c r="S303" i="3" s="1"/>
  <c r="V303" i="3" s="1"/>
  <c r="H304" i="4"/>
  <c r="J305" i="4"/>
  <c r="E305" i="4"/>
  <c r="P306" i="4"/>
  <c r="I306" i="20" s="1"/>
  <c r="C307" i="4"/>
  <c r="D307" i="4" s="1"/>
  <c r="G306" i="4"/>
  <c r="K418" i="3" l="1"/>
  <c r="H418" i="3"/>
  <c r="C354" i="3"/>
  <c r="R303" i="4"/>
  <c r="K303" i="20" s="1"/>
  <c r="N265" i="3"/>
  <c r="O265" i="3" s="1"/>
  <c r="I304" i="4"/>
  <c r="K304" i="4" s="1"/>
  <c r="K331" i="3"/>
  <c r="G332" i="3"/>
  <c r="H332" i="3" s="1"/>
  <c r="R304" i="3" s="1"/>
  <c r="S304" i="3" s="1"/>
  <c r="V304" i="3" s="1"/>
  <c r="J306" i="4"/>
  <c r="E306" i="4"/>
  <c r="P307" i="4"/>
  <c r="I307" i="20" s="1"/>
  <c r="C308" i="4"/>
  <c r="D308" i="4" s="1"/>
  <c r="G307" i="4"/>
  <c r="H305" i="4"/>
  <c r="C355" i="3" l="1"/>
  <c r="R304" i="4"/>
  <c r="K304" i="20" s="1"/>
  <c r="N266" i="3"/>
  <c r="O266" i="3" s="1"/>
  <c r="I305" i="4"/>
  <c r="K305" i="4" s="1"/>
  <c r="K332" i="3"/>
  <c r="G333" i="3"/>
  <c r="H333" i="3" s="1"/>
  <c r="R305" i="3" s="1"/>
  <c r="S305" i="3" s="1"/>
  <c r="V305" i="3" s="1"/>
  <c r="J307" i="4"/>
  <c r="E307" i="4"/>
  <c r="H306" i="4"/>
  <c r="P308" i="4"/>
  <c r="I308" i="20" s="1"/>
  <c r="C309" i="4"/>
  <c r="D309" i="4" s="1"/>
  <c r="G308" i="4"/>
  <c r="C356" i="3" l="1"/>
  <c r="R305" i="4"/>
  <c r="K305" i="20" s="1"/>
  <c r="N267" i="3"/>
  <c r="O267" i="3" s="1"/>
  <c r="I306" i="4"/>
  <c r="K306" i="4" s="1"/>
  <c r="K333" i="3"/>
  <c r="G334" i="3"/>
  <c r="H334" i="3" s="1"/>
  <c r="R306" i="3" s="1"/>
  <c r="S306" i="3" s="1"/>
  <c r="V306" i="3" s="1"/>
  <c r="P309" i="4"/>
  <c r="I309" i="20" s="1"/>
  <c r="C310" i="4"/>
  <c r="D310" i="4" s="1"/>
  <c r="G309" i="4"/>
  <c r="E308" i="4"/>
  <c r="J308" i="4"/>
  <c r="H307" i="4"/>
  <c r="R306" i="4" l="1"/>
  <c r="K306" i="20" s="1"/>
  <c r="C357" i="3"/>
  <c r="C358" i="3" s="1"/>
  <c r="C359" i="3" s="1"/>
  <c r="C360" i="3" s="1"/>
  <c r="C361" i="3" s="1"/>
  <c r="C362" i="3" s="1"/>
  <c r="C363" i="3" s="1"/>
  <c r="C364" i="3" s="1"/>
  <c r="C365" i="3" s="1"/>
  <c r="N268" i="3"/>
  <c r="O268" i="3" s="1"/>
  <c r="I307" i="4"/>
  <c r="K307" i="4" s="1"/>
  <c r="K334" i="3"/>
  <c r="G335" i="3"/>
  <c r="H335" i="3" s="1"/>
  <c r="R307" i="3" s="1"/>
  <c r="S307" i="3" s="1"/>
  <c r="V307" i="3" s="1"/>
  <c r="J309" i="4"/>
  <c r="E309" i="4"/>
  <c r="H308" i="4"/>
  <c r="P310" i="4"/>
  <c r="I310" i="20" s="1"/>
  <c r="C311" i="4"/>
  <c r="D311" i="4" s="1"/>
  <c r="G310" i="4"/>
  <c r="C366" i="3" l="1"/>
  <c r="G379" i="3"/>
  <c r="R307" i="4"/>
  <c r="K307" i="20" s="1"/>
  <c r="N269" i="3"/>
  <c r="O269" i="3" s="1"/>
  <c r="I308" i="4"/>
  <c r="K308" i="4" s="1"/>
  <c r="G336" i="3"/>
  <c r="H336" i="3" s="1"/>
  <c r="R308" i="3" s="1"/>
  <c r="S308" i="3" s="1"/>
  <c r="V308" i="3" s="1"/>
  <c r="K335" i="3"/>
  <c r="J310" i="4"/>
  <c r="E310" i="4"/>
  <c r="P311" i="4"/>
  <c r="I311" i="20" s="1"/>
  <c r="C312" i="4"/>
  <c r="D312" i="4" s="1"/>
  <c r="G311" i="4"/>
  <c r="H309" i="4"/>
  <c r="C367" i="3" l="1"/>
  <c r="C368" i="3" s="1"/>
  <c r="C369" i="3" s="1"/>
  <c r="C370" i="3" s="1"/>
  <c r="C371" i="3" s="1"/>
  <c r="C372" i="3" s="1"/>
  <c r="C373" i="3" s="1"/>
  <c r="C374" i="3" s="1"/>
  <c r="C375" i="3" s="1"/>
  <c r="C376" i="3" s="1"/>
  <c r="C377" i="3" s="1"/>
  <c r="C378" i="3" s="1"/>
  <c r="C379" i="3" s="1"/>
  <c r="G431" i="3"/>
  <c r="H379" i="3"/>
  <c r="K379" i="3"/>
  <c r="G392" i="3"/>
  <c r="R308" i="4"/>
  <c r="K308" i="20" s="1"/>
  <c r="N270" i="3"/>
  <c r="O270" i="3" s="1"/>
  <c r="I309" i="4"/>
  <c r="K309" i="4" s="1"/>
  <c r="K336" i="3"/>
  <c r="G337" i="3"/>
  <c r="H337" i="3" s="1"/>
  <c r="R309" i="3" s="1"/>
  <c r="S309" i="3" s="1"/>
  <c r="V309" i="3" s="1"/>
  <c r="J311" i="4"/>
  <c r="E311" i="4"/>
  <c r="P312" i="4"/>
  <c r="I312" i="20" s="1"/>
  <c r="C313" i="4"/>
  <c r="D313" i="4" s="1"/>
  <c r="G312" i="4"/>
  <c r="H310" i="4"/>
  <c r="C380" i="3" l="1"/>
  <c r="C381" i="3" s="1"/>
  <c r="C382" i="3" s="1"/>
  <c r="C383" i="3" s="1"/>
  <c r="C384" i="3" s="1"/>
  <c r="C385" i="3" s="1"/>
  <c r="C386" i="3" s="1"/>
  <c r="C387" i="3" s="1"/>
  <c r="C388" i="3" s="1"/>
  <c r="C389" i="3" s="1"/>
  <c r="C390" i="3" s="1"/>
  <c r="C391" i="3" s="1"/>
  <c r="C392" i="3" s="1"/>
  <c r="G444" i="3"/>
  <c r="K431" i="3"/>
  <c r="H431" i="3"/>
  <c r="H392" i="3"/>
  <c r="K392" i="3"/>
  <c r="R309" i="4"/>
  <c r="K309" i="20" s="1"/>
  <c r="N271" i="3"/>
  <c r="O271" i="3" s="1"/>
  <c r="I310" i="4"/>
  <c r="K310" i="4" s="1"/>
  <c r="G338" i="3"/>
  <c r="H338" i="3" s="1"/>
  <c r="K337" i="3"/>
  <c r="P313" i="4"/>
  <c r="I313" i="20" s="1"/>
  <c r="C314" i="4"/>
  <c r="D314" i="4" s="1"/>
  <c r="G313" i="4"/>
  <c r="E312" i="4"/>
  <c r="J312" i="4"/>
  <c r="H311" i="4"/>
  <c r="R310" i="3" l="1"/>
  <c r="S310" i="3" s="1"/>
  <c r="V310" i="3" s="1"/>
  <c r="R312" i="3"/>
  <c r="K444" i="3"/>
  <c r="H444" i="3"/>
  <c r="C393" i="3"/>
  <c r="C394" i="3" s="1"/>
  <c r="C395" i="3" s="1"/>
  <c r="C396" i="3" s="1"/>
  <c r="G457" i="3"/>
  <c r="R310" i="4"/>
  <c r="K310" i="20" s="1"/>
  <c r="N272" i="3"/>
  <c r="O272" i="3" s="1"/>
  <c r="I311" i="4"/>
  <c r="K311" i="4" s="1"/>
  <c r="G339" i="3"/>
  <c r="H339" i="3" s="1"/>
  <c r="R311" i="3" s="1"/>
  <c r="K338" i="3"/>
  <c r="J313" i="4"/>
  <c r="E313" i="4"/>
  <c r="H312" i="4"/>
  <c r="P314" i="4"/>
  <c r="I314" i="20" s="1"/>
  <c r="C315" i="4"/>
  <c r="D315" i="4" s="1"/>
  <c r="G314" i="4"/>
  <c r="C397" i="3" l="1"/>
  <c r="G538" i="3"/>
  <c r="H457" i="3"/>
  <c r="K457" i="3"/>
  <c r="G470" i="3"/>
  <c r="R311" i="4"/>
  <c r="K311" i="20" s="1"/>
  <c r="S311" i="3"/>
  <c r="V311" i="3" s="1"/>
  <c r="S312" i="3"/>
  <c r="V312" i="3" s="1"/>
  <c r="N273" i="3"/>
  <c r="O273" i="3" s="1"/>
  <c r="I312" i="4"/>
  <c r="K312" i="4" s="1"/>
  <c r="G341" i="3"/>
  <c r="H341" i="3" s="1"/>
  <c r="R313" i="3" s="1"/>
  <c r="S313" i="3" s="1"/>
  <c r="V313" i="3" s="1"/>
  <c r="K339" i="3"/>
  <c r="J314" i="4"/>
  <c r="E314" i="4"/>
  <c r="P315" i="4"/>
  <c r="I315" i="20" s="1"/>
  <c r="C316" i="4"/>
  <c r="D316" i="4" s="1"/>
  <c r="G315" i="4"/>
  <c r="H313" i="4"/>
  <c r="H538" i="3" l="1"/>
  <c r="K538" i="3"/>
  <c r="C398" i="3"/>
  <c r="G539" i="3"/>
  <c r="H470" i="3"/>
  <c r="K470" i="3"/>
  <c r="R312" i="4"/>
  <c r="K312" i="20" s="1"/>
  <c r="N274" i="3"/>
  <c r="O274" i="3" s="1"/>
  <c r="I313" i="4"/>
  <c r="G342" i="3"/>
  <c r="H342" i="3" s="1"/>
  <c r="R314" i="3" s="1"/>
  <c r="S314" i="3" s="1"/>
  <c r="V314" i="3" s="1"/>
  <c r="K341" i="3"/>
  <c r="J315" i="4"/>
  <c r="E315" i="4"/>
  <c r="P316" i="4"/>
  <c r="I316" i="20" s="1"/>
  <c r="C317" i="4"/>
  <c r="D317" i="4" s="1"/>
  <c r="G316" i="4"/>
  <c r="H314" i="4"/>
  <c r="R313" i="4" l="1"/>
  <c r="K539" i="3"/>
  <c r="H539" i="3"/>
  <c r="C399" i="3"/>
  <c r="G540" i="3"/>
  <c r="K313" i="4"/>
  <c r="O275" i="3"/>
  <c r="N276" i="3"/>
  <c r="O276" i="3" s="1"/>
  <c r="I314" i="4"/>
  <c r="N314" i="3"/>
  <c r="K342" i="3"/>
  <c r="G343" i="3"/>
  <c r="H343" i="3" s="1"/>
  <c r="R315" i="3" s="1"/>
  <c r="S315" i="3" s="1"/>
  <c r="V315" i="3" s="1"/>
  <c r="P317" i="4"/>
  <c r="I317" i="20" s="1"/>
  <c r="C318" i="4"/>
  <c r="D318" i="4" s="1"/>
  <c r="G317" i="4"/>
  <c r="K313" i="20"/>
  <c r="E316" i="4"/>
  <c r="J316" i="4"/>
  <c r="H315" i="4"/>
  <c r="H540" i="3" l="1"/>
  <c r="K540" i="3"/>
  <c r="C400" i="3"/>
  <c r="G541" i="3"/>
  <c r="K314" i="4"/>
  <c r="R314" i="4"/>
  <c r="K314" i="20" s="1"/>
  <c r="N277" i="3"/>
  <c r="O277" i="3" s="1"/>
  <c r="I315" i="4"/>
  <c r="G344" i="3"/>
  <c r="H344" i="3" s="1"/>
  <c r="R316" i="3" s="1"/>
  <c r="S316" i="3" s="1"/>
  <c r="V316" i="3" s="1"/>
  <c r="K343" i="3"/>
  <c r="J317" i="4"/>
  <c r="E317" i="4"/>
  <c r="H316" i="4"/>
  <c r="P318" i="4"/>
  <c r="I318" i="20" s="1"/>
  <c r="C319" i="4"/>
  <c r="D319" i="4" s="1"/>
  <c r="G318" i="4"/>
  <c r="K541" i="3" l="1"/>
  <c r="H541" i="3"/>
  <c r="C401" i="3"/>
  <c r="G542" i="3"/>
  <c r="K315" i="4"/>
  <c r="R315" i="4"/>
  <c r="K315" i="20" s="1"/>
  <c r="N278" i="3"/>
  <c r="O278" i="3" s="1"/>
  <c r="I316" i="4"/>
  <c r="K344" i="3"/>
  <c r="G345" i="3"/>
  <c r="H345" i="3" s="1"/>
  <c r="R317" i="3" s="1"/>
  <c r="S317" i="3" s="1"/>
  <c r="V317" i="3" s="1"/>
  <c r="H317" i="4"/>
  <c r="J318" i="4"/>
  <c r="E318" i="4"/>
  <c r="P319" i="4"/>
  <c r="I319" i="20" s="1"/>
  <c r="C320" i="4"/>
  <c r="D320" i="4" s="1"/>
  <c r="G319" i="4"/>
  <c r="K542" i="3" l="1"/>
  <c r="H542" i="3"/>
  <c r="C402" i="3"/>
  <c r="G543" i="3"/>
  <c r="K316" i="4"/>
  <c r="R316" i="4"/>
  <c r="K316" i="20" s="1"/>
  <c r="N279" i="3"/>
  <c r="O279" i="3" s="1"/>
  <c r="I317" i="4"/>
  <c r="K345" i="3"/>
  <c r="G346" i="3"/>
  <c r="H346" i="3" s="1"/>
  <c r="R318" i="3" s="1"/>
  <c r="S318" i="3" s="1"/>
  <c r="V318" i="3" s="1"/>
  <c r="J319" i="4"/>
  <c r="E319" i="4"/>
  <c r="P320" i="4"/>
  <c r="I320" i="20" s="1"/>
  <c r="C321" i="4"/>
  <c r="D321" i="4" s="1"/>
  <c r="G320" i="4"/>
  <c r="H318" i="4"/>
  <c r="H543" i="3" l="1"/>
  <c r="K543" i="3"/>
  <c r="C403" i="3"/>
  <c r="G544" i="3"/>
  <c r="K317" i="4"/>
  <c r="R317" i="4"/>
  <c r="K317" i="20" s="1"/>
  <c r="N280" i="3"/>
  <c r="O280" i="3" s="1"/>
  <c r="I318" i="4"/>
  <c r="K346" i="3"/>
  <c r="G347" i="3"/>
  <c r="H347" i="3" s="1"/>
  <c r="R319" i="3" s="1"/>
  <c r="S319" i="3" s="1"/>
  <c r="V319" i="3" s="1"/>
  <c r="P321" i="4"/>
  <c r="I321" i="20" s="1"/>
  <c r="C322" i="4"/>
  <c r="D322" i="4" s="1"/>
  <c r="G321" i="4"/>
  <c r="E320" i="4"/>
  <c r="J320" i="4"/>
  <c r="H319" i="4"/>
  <c r="K544" i="3" l="1"/>
  <c r="H544" i="3"/>
  <c r="C404" i="3"/>
  <c r="G545" i="3"/>
  <c r="K318" i="4"/>
  <c r="R318" i="4"/>
  <c r="K318" i="20" s="1"/>
  <c r="N281" i="3"/>
  <c r="O281" i="3" s="1"/>
  <c r="I319" i="4"/>
  <c r="K319" i="4" s="1"/>
  <c r="G348" i="3"/>
  <c r="H348" i="3" s="1"/>
  <c r="R320" i="3" s="1"/>
  <c r="S320" i="3" s="1"/>
  <c r="V320" i="3" s="1"/>
  <c r="K347" i="3"/>
  <c r="P322" i="4"/>
  <c r="I322" i="20" s="1"/>
  <c r="C323" i="4"/>
  <c r="D323" i="4" s="1"/>
  <c r="G322" i="4"/>
  <c r="J321" i="4"/>
  <c r="E321" i="4"/>
  <c r="H320" i="4"/>
  <c r="H545" i="3" l="1"/>
  <c r="K545" i="3"/>
  <c r="C405" i="3"/>
  <c r="G546" i="3"/>
  <c r="R319" i="4"/>
  <c r="K319" i="20" s="1"/>
  <c r="N282" i="3"/>
  <c r="O282" i="3" s="1"/>
  <c r="I320" i="4"/>
  <c r="K320" i="4" s="1"/>
  <c r="G349" i="3"/>
  <c r="H349" i="3" s="1"/>
  <c r="R321" i="3" s="1"/>
  <c r="S321" i="3" s="1"/>
  <c r="V321" i="3" s="1"/>
  <c r="K348" i="3"/>
  <c r="J322" i="4"/>
  <c r="E322" i="4"/>
  <c r="P323" i="4"/>
  <c r="I323" i="20" s="1"/>
  <c r="C324" i="4"/>
  <c r="D324" i="4" s="1"/>
  <c r="G323" i="4"/>
  <c r="H321" i="4"/>
  <c r="K546" i="3" l="1"/>
  <c r="H546" i="3"/>
  <c r="C406" i="3"/>
  <c r="G547" i="3"/>
  <c r="R320" i="4"/>
  <c r="K320" i="20" s="1"/>
  <c r="N283" i="3"/>
  <c r="O283" i="3" s="1"/>
  <c r="I321" i="4"/>
  <c r="K321" i="4" s="1"/>
  <c r="G350" i="3"/>
  <c r="H350" i="3" s="1"/>
  <c r="R322" i="3" s="1"/>
  <c r="S322" i="3" s="1"/>
  <c r="V322" i="3" s="1"/>
  <c r="K349" i="3"/>
  <c r="P324" i="4"/>
  <c r="I324" i="20" s="1"/>
  <c r="C325" i="4"/>
  <c r="D325" i="4" s="1"/>
  <c r="G324" i="4"/>
  <c r="G483" i="3"/>
  <c r="H483" i="3" s="1"/>
  <c r="J323" i="4"/>
  <c r="E323" i="4"/>
  <c r="H322" i="4"/>
  <c r="H547" i="3" l="1"/>
  <c r="K547" i="3"/>
  <c r="C407" i="3"/>
  <c r="G548" i="3"/>
  <c r="R321" i="4"/>
  <c r="K321" i="20" s="1"/>
  <c r="N284" i="3"/>
  <c r="O284" i="3" s="1"/>
  <c r="I322" i="4"/>
  <c r="K322" i="4" s="1"/>
  <c r="K350" i="3"/>
  <c r="G351" i="3"/>
  <c r="H351" i="3" s="1"/>
  <c r="H323" i="4"/>
  <c r="E324" i="4"/>
  <c r="J324" i="4"/>
  <c r="P325" i="4"/>
  <c r="I325" i="20" s="1"/>
  <c r="C326" i="4"/>
  <c r="D326" i="4" s="1"/>
  <c r="G325" i="4"/>
  <c r="K483" i="3"/>
  <c r="H548" i="3" l="1"/>
  <c r="K548" i="3"/>
  <c r="C408" i="3"/>
  <c r="G549" i="3"/>
  <c r="R323" i="3"/>
  <c r="S323" i="3" s="1"/>
  <c r="V323" i="3" s="1"/>
  <c r="R325" i="3"/>
  <c r="R322" i="4"/>
  <c r="K322" i="20" s="1"/>
  <c r="N285" i="3"/>
  <c r="O285" i="3" s="1"/>
  <c r="I323" i="4"/>
  <c r="K323" i="4" s="1"/>
  <c r="G352" i="3"/>
  <c r="H352" i="3" s="1"/>
  <c r="R324" i="3" s="1"/>
  <c r="K351" i="3"/>
  <c r="J325" i="4"/>
  <c r="E325" i="4"/>
  <c r="P326" i="4"/>
  <c r="I326" i="20" s="1"/>
  <c r="C327" i="4"/>
  <c r="D327" i="4" s="1"/>
  <c r="G326" i="4"/>
  <c r="H324" i="4"/>
  <c r="H549" i="3" l="1"/>
  <c r="K549" i="3"/>
  <c r="C409" i="3"/>
  <c r="G550" i="3"/>
  <c r="R323" i="4"/>
  <c r="K323" i="20" s="1"/>
  <c r="S324" i="3"/>
  <c r="V324" i="3" s="1"/>
  <c r="S325" i="3"/>
  <c r="V325" i="3" s="1"/>
  <c r="N286" i="3"/>
  <c r="O286" i="3" s="1"/>
  <c r="I324" i="4"/>
  <c r="K324" i="4" s="1"/>
  <c r="G354" i="3"/>
  <c r="H354" i="3" s="1"/>
  <c r="R326" i="3" s="1"/>
  <c r="S326" i="3" s="1"/>
  <c r="V326" i="3" s="1"/>
  <c r="K352" i="3"/>
  <c r="P327" i="4"/>
  <c r="I327" i="20" s="1"/>
  <c r="C328" i="4"/>
  <c r="D328" i="4" s="1"/>
  <c r="G327" i="4"/>
  <c r="J326" i="4"/>
  <c r="E326" i="4"/>
  <c r="H325" i="4"/>
  <c r="H550" i="3" l="1"/>
  <c r="K550" i="3"/>
  <c r="C410" i="3"/>
  <c r="G551" i="3"/>
  <c r="R324" i="4"/>
  <c r="K324" i="20" s="1"/>
  <c r="N287" i="3"/>
  <c r="O288" i="3" s="1"/>
  <c r="I325" i="4"/>
  <c r="K325" i="4" s="1"/>
  <c r="G355" i="3"/>
  <c r="H355" i="3" s="1"/>
  <c r="R327" i="3" s="1"/>
  <c r="S327" i="3" s="1"/>
  <c r="V327" i="3" s="1"/>
  <c r="K354" i="3"/>
  <c r="J327" i="4"/>
  <c r="E327" i="4"/>
  <c r="H326" i="4"/>
  <c r="P328" i="4"/>
  <c r="I328" i="20" s="1"/>
  <c r="C329" i="4"/>
  <c r="G328" i="4"/>
  <c r="H551" i="3" l="1"/>
  <c r="K551" i="3"/>
  <c r="C411" i="3"/>
  <c r="G552" i="3"/>
  <c r="O287" i="3"/>
  <c r="D329" i="4"/>
  <c r="R325" i="4"/>
  <c r="K325" i="20" s="1"/>
  <c r="N289" i="3"/>
  <c r="O289" i="3" s="1"/>
  <c r="I326" i="4"/>
  <c r="K326" i="4" s="1"/>
  <c r="N327" i="3"/>
  <c r="G356" i="3"/>
  <c r="H356" i="3" s="1"/>
  <c r="R328" i="3" s="1"/>
  <c r="S328" i="3" s="1"/>
  <c r="V328" i="3" s="1"/>
  <c r="K355" i="3"/>
  <c r="E328" i="4"/>
  <c r="J328" i="4"/>
  <c r="P329" i="4"/>
  <c r="I329" i="20" s="1"/>
  <c r="C330" i="4"/>
  <c r="D330" i="4" s="1"/>
  <c r="G329" i="4"/>
  <c r="H327" i="4"/>
  <c r="K552" i="3" l="1"/>
  <c r="H552" i="3"/>
  <c r="C412" i="3"/>
  <c r="G553" i="3"/>
  <c r="R326" i="4"/>
  <c r="K326" i="20" s="1"/>
  <c r="N290" i="3"/>
  <c r="O290" i="3" s="1"/>
  <c r="I327" i="4"/>
  <c r="K327" i="4" s="1"/>
  <c r="G357" i="3"/>
  <c r="H357" i="3" s="1"/>
  <c r="R329" i="3" s="1"/>
  <c r="S329" i="3" s="1"/>
  <c r="V329" i="3" s="1"/>
  <c r="K356" i="3"/>
  <c r="P330" i="4"/>
  <c r="I330" i="20" s="1"/>
  <c r="C331" i="4"/>
  <c r="D331" i="4" s="1"/>
  <c r="G330" i="4"/>
  <c r="H328" i="4"/>
  <c r="J329" i="4"/>
  <c r="E329" i="4"/>
  <c r="H553" i="3" l="1"/>
  <c r="K553" i="3"/>
  <c r="C413" i="3"/>
  <c r="G554" i="3"/>
  <c r="R327" i="4"/>
  <c r="K327" i="20" s="1"/>
  <c r="N292" i="3"/>
  <c r="N291" i="3"/>
  <c r="O291" i="3" s="1"/>
  <c r="I328" i="4"/>
  <c r="K328" i="4" s="1"/>
  <c r="G358" i="3"/>
  <c r="H358" i="3" s="1"/>
  <c r="R330" i="3" s="1"/>
  <c r="S330" i="3" s="1"/>
  <c r="V330" i="3" s="1"/>
  <c r="K357" i="3"/>
  <c r="J330" i="4"/>
  <c r="E330" i="4"/>
  <c r="H329" i="4"/>
  <c r="P331" i="4"/>
  <c r="I331" i="20" s="1"/>
  <c r="C332" i="4"/>
  <c r="D332" i="4" s="1"/>
  <c r="G331" i="4"/>
  <c r="H554" i="3" l="1"/>
  <c r="K554" i="3"/>
  <c r="C414" i="3"/>
  <c r="G555" i="3"/>
  <c r="R328" i="4"/>
  <c r="K328" i="20" s="1"/>
  <c r="O292" i="3"/>
  <c r="I329" i="4"/>
  <c r="K329" i="4" s="1"/>
  <c r="K358" i="3"/>
  <c r="G359" i="3"/>
  <c r="H359" i="3" s="1"/>
  <c r="R331" i="3" s="1"/>
  <c r="S331" i="3" s="1"/>
  <c r="V331" i="3" s="1"/>
  <c r="P332" i="4"/>
  <c r="I332" i="20" s="1"/>
  <c r="C333" i="4"/>
  <c r="D333" i="4" s="1"/>
  <c r="G332" i="4"/>
  <c r="H330" i="4"/>
  <c r="J331" i="4"/>
  <c r="E331" i="4"/>
  <c r="H555" i="3" l="1"/>
  <c r="K555" i="3"/>
  <c r="C415" i="3"/>
  <c r="G556" i="3"/>
  <c r="R329" i="4"/>
  <c r="K329" i="20" s="1"/>
  <c r="N293" i="3"/>
  <c r="O293" i="3" s="1"/>
  <c r="I330" i="4"/>
  <c r="K330" i="4" s="1"/>
  <c r="K359" i="3"/>
  <c r="G360" i="3"/>
  <c r="H360" i="3" s="1"/>
  <c r="R332" i="3" s="1"/>
  <c r="S332" i="3" s="1"/>
  <c r="V332" i="3" s="1"/>
  <c r="E332" i="4"/>
  <c r="J332" i="4"/>
  <c r="H331" i="4"/>
  <c r="P333" i="4"/>
  <c r="I333" i="20" s="1"/>
  <c r="C334" i="4"/>
  <c r="D334" i="4" s="1"/>
  <c r="G333" i="4"/>
  <c r="H556" i="3" l="1"/>
  <c r="K556" i="3"/>
  <c r="C416" i="3"/>
  <c r="G557" i="3"/>
  <c r="R330" i="4"/>
  <c r="K330" i="20" s="1"/>
  <c r="N294" i="3"/>
  <c r="O294" i="3" s="1"/>
  <c r="I331" i="4"/>
  <c r="K331" i="4" s="1"/>
  <c r="K360" i="3"/>
  <c r="G361" i="3"/>
  <c r="H361" i="3" s="1"/>
  <c r="R333" i="3" s="1"/>
  <c r="S333" i="3" s="1"/>
  <c r="V333" i="3" s="1"/>
  <c r="H332" i="4"/>
  <c r="J333" i="4"/>
  <c r="E333" i="4"/>
  <c r="P334" i="4"/>
  <c r="I334" i="20" s="1"/>
  <c r="C335" i="4"/>
  <c r="D335" i="4" s="1"/>
  <c r="G334" i="4"/>
  <c r="H557" i="3" l="1"/>
  <c r="K557" i="3"/>
  <c r="C417" i="3"/>
  <c r="G558" i="3"/>
  <c r="R331" i="4"/>
  <c r="K331" i="20" s="1"/>
  <c r="N295" i="3"/>
  <c r="O295" i="3" s="1"/>
  <c r="I332" i="4"/>
  <c r="K332" i="4" s="1"/>
  <c r="K361" i="3"/>
  <c r="G362" i="3"/>
  <c r="H362" i="3" s="1"/>
  <c r="R334" i="3" s="1"/>
  <c r="S334" i="3" s="1"/>
  <c r="V334" i="3" s="1"/>
  <c r="H333" i="4"/>
  <c r="J334" i="4"/>
  <c r="E334" i="4"/>
  <c r="P335" i="4"/>
  <c r="I335" i="20" s="1"/>
  <c r="C336" i="4"/>
  <c r="D336" i="4" s="1"/>
  <c r="G335" i="4"/>
  <c r="H558" i="3" l="1"/>
  <c r="K558" i="3"/>
  <c r="C418" i="3"/>
  <c r="G559" i="3"/>
  <c r="R332" i="4"/>
  <c r="K332" i="20" s="1"/>
  <c r="N296" i="3"/>
  <c r="O296" i="3" s="1"/>
  <c r="I333" i="4"/>
  <c r="K333" i="4" s="1"/>
  <c r="K362" i="3"/>
  <c r="G363" i="3"/>
  <c r="H363" i="3" s="1"/>
  <c r="R335" i="3" s="1"/>
  <c r="S335" i="3" s="1"/>
  <c r="V335" i="3" s="1"/>
  <c r="G509" i="3"/>
  <c r="H509" i="3" s="1"/>
  <c r="J335" i="4"/>
  <c r="E335" i="4"/>
  <c r="H334" i="4"/>
  <c r="P336" i="4"/>
  <c r="I336" i="20" s="1"/>
  <c r="C337" i="4"/>
  <c r="D337" i="4" s="1"/>
  <c r="G336" i="4"/>
  <c r="H559" i="3" l="1"/>
  <c r="K559" i="3"/>
  <c r="C419" i="3"/>
  <c r="G560" i="3"/>
  <c r="R333" i="4"/>
  <c r="K333" i="20" s="1"/>
  <c r="N297" i="3"/>
  <c r="O297" i="3" s="1"/>
  <c r="I334" i="4"/>
  <c r="K334" i="4" s="1"/>
  <c r="K509" i="3"/>
  <c r="K363" i="3"/>
  <c r="G364" i="3"/>
  <c r="H364" i="3" s="1"/>
  <c r="P337" i="4"/>
  <c r="I337" i="20" s="1"/>
  <c r="C338" i="4"/>
  <c r="G337" i="4"/>
  <c r="H335" i="4"/>
  <c r="E336" i="4"/>
  <c r="J336" i="4"/>
  <c r="G496" i="3"/>
  <c r="H496" i="3" s="1"/>
  <c r="H560" i="3" l="1"/>
  <c r="K560" i="3"/>
  <c r="C420" i="3"/>
  <c r="G561" i="3"/>
  <c r="R336" i="3"/>
  <c r="S336" i="3" s="1"/>
  <c r="V336" i="3" s="1"/>
  <c r="R338" i="3"/>
  <c r="R334" i="4"/>
  <c r="K334" i="20" s="1"/>
  <c r="N298" i="3"/>
  <c r="O298" i="3" s="1"/>
  <c r="I335" i="4"/>
  <c r="K335" i="4" s="1"/>
  <c r="C339" i="4"/>
  <c r="D339" i="4" s="1"/>
  <c r="D338" i="4"/>
  <c r="G338" i="4" s="1"/>
  <c r="G365" i="3"/>
  <c r="H365" i="3" s="1"/>
  <c r="R337" i="3" s="1"/>
  <c r="K364" i="3"/>
  <c r="K496" i="3"/>
  <c r="H336" i="4"/>
  <c r="J337" i="4"/>
  <c r="E337" i="4"/>
  <c r="P338" i="4"/>
  <c r="H561" i="3" l="1"/>
  <c r="K561" i="3"/>
  <c r="C421" i="3"/>
  <c r="G562" i="3"/>
  <c r="R335" i="4"/>
  <c r="K335" i="20" s="1"/>
  <c r="S337" i="3"/>
  <c r="V337" i="3" s="1"/>
  <c r="S338" i="3"/>
  <c r="V338" i="3" s="1"/>
  <c r="G339" i="4"/>
  <c r="N299" i="3"/>
  <c r="O299" i="3" s="1"/>
  <c r="I336" i="4"/>
  <c r="K336" i="4" s="1"/>
  <c r="P339" i="4"/>
  <c r="I339" i="20" s="1"/>
  <c r="C340" i="4"/>
  <c r="D340" i="4" s="1"/>
  <c r="J339" i="4"/>
  <c r="E339" i="4"/>
  <c r="K365" i="3"/>
  <c r="G367" i="3"/>
  <c r="H367" i="3" s="1"/>
  <c r="R339" i="3" s="1"/>
  <c r="S339" i="3" s="1"/>
  <c r="V339" i="3" s="1"/>
  <c r="J338" i="4"/>
  <c r="E338" i="4"/>
  <c r="I338" i="20"/>
  <c r="H337" i="4"/>
  <c r="H562" i="3" l="1"/>
  <c r="K562" i="3"/>
  <c r="C422" i="3"/>
  <c r="G563" i="3"/>
  <c r="R336" i="4"/>
  <c r="G340" i="4"/>
  <c r="N300" i="3"/>
  <c r="O300" i="3" s="1"/>
  <c r="N302" i="3"/>
  <c r="I337" i="4"/>
  <c r="K337" i="4" s="1"/>
  <c r="C341" i="4"/>
  <c r="D341" i="4" s="1"/>
  <c r="P340" i="4"/>
  <c r="I340" i="20" s="1"/>
  <c r="J340" i="4"/>
  <c r="E340" i="4"/>
  <c r="H339" i="4"/>
  <c r="I339" i="4" s="1"/>
  <c r="K367" i="3"/>
  <c r="G368" i="3"/>
  <c r="H368" i="3" s="1"/>
  <c r="R340" i="3" s="1"/>
  <c r="S340" i="3" s="1"/>
  <c r="V340" i="3" s="1"/>
  <c r="K336" i="20"/>
  <c r="H338" i="4"/>
  <c r="H563" i="3" l="1"/>
  <c r="K563" i="3"/>
  <c r="C423" i="3"/>
  <c r="G564" i="3"/>
  <c r="C342" i="4"/>
  <c r="D342" i="4" s="1"/>
  <c r="G342" i="4" s="1"/>
  <c r="R337" i="4"/>
  <c r="K337" i="20" s="1"/>
  <c r="O301" i="3"/>
  <c r="O302" i="3"/>
  <c r="G341" i="4"/>
  <c r="N303" i="3"/>
  <c r="O303" i="3" s="1"/>
  <c r="I338" i="4"/>
  <c r="K338" i="4" s="1"/>
  <c r="P341" i="4"/>
  <c r="I341" i="20" s="1"/>
  <c r="H340" i="4"/>
  <c r="I340" i="4" s="1"/>
  <c r="E341" i="4"/>
  <c r="J341" i="4"/>
  <c r="N340" i="3"/>
  <c r="K368" i="3"/>
  <c r="G369" i="3"/>
  <c r="H369" i="3" s="1"/>
  <c r="R341" i="3" s="1"/>
  <c r="S341" i="3" s="1"/>
  <c r="V341" i="3" s="1"/>
  <c r="K564" i="3" l="1"/>
  <c r="H564" i="3"/>
  <c r="C424" i="3"/>
  <c r="G565" i="3"/>
  <c r="P342" i="4"/>
  <c r="I342" i="20" s="1"/>
  <c r="C343" i="4"/>
  <c r="D343" i="4" s="1"/>
  <c r="G343" i="4" s="1"/>
  <c r="R338" i="4"/>
  <c r="R339" i="4" s="1"/>
  <c r="N304" i="3"/>
  <c r="O304" i="3" s="1"/>
  <c r="J342" i="4"/>
  <c r="E342" i="4"/>
  <c r="H341" i="4"/>
  <c r="I341" i="4" s="1"/>
  <c r="G370" i="3"/>
  <c r="H370" i="3" s="1"/>
  <c r="R342" i="3" s="1"/>
  <c r="S342" i="3" s="1"/>
  <c r="V342" i="3" s="1"/>
  <c r="K369" i="3"/>
  <c r="K339" i="4"/>
  <c r="K565" i="3" l="1"/>
  <c r="H565" i="3"/>
  <c r="C425" i="3"/>
  <c r="G566" i="3"/>
  <c r="C344" i="4"/>
  <c r="D344" i="4" s="1"/>
  <c r="G344" i="4" s="1"/>
  <c r="P343" i="4"/>
  <c r="I343" i="20" s="1"/>
  <c r="K338" i="20"/>
  <c r="N305" i="3"/>
  <c r="O305" i="3" s="1"/>
  <c r="K339" i="20"/>
  <c r="R340" i="4"/>
  <c r="H342" i="4"/>
  <c r="I342" i="4" s="1"/>
  <c r="E343" i="4"/>
  <c r="J343" i="4"/>
  <c r="K370" i="3"/>
  <c r="G371" i="3"/>
  <c r="H371" i="3" s="1"/>
  <c r="R343" i="3" s="1"/>
  <c r="S343" i="3" s="1"/>
  <c r="V343" i="3" s="1"/>
  <c r="K340" i="4"/>
  <c r="C345" i="4" l="1"/>
  <c r="D345" i="4" s="1"/>
  <c r="G345" i="4" s="1"/>
  <c r="H566" i="3"/>
  <c r="K566" i="3"/>
  <c r="C426" i="3"/>
  <c r="G567" i="3"/>
  <c r="P344" i="4"/>
  <c r="I344" i="20" s="1"/>
  <c r="N306" i="3"/>
  <c r="O306" i="3" s="1"/>
  <c r="K340" i="20"/>
  <c r="R341" i="4"/>
  <c r="E344" i="4"/>
  <c r="J344" i="4"/>
  <c r="H343" i="4"/>
  <c r="G372" i="3"/>
  <c r="H372" i="3" s="1"/>
  <c r="R344" i="3" s="1"/>
  <c r="S344" i="3" s="1"/>
  <c r="V344" i="3" s="1"/>
  <c r="K371" i="3"/>
  <c r="K341" i="4"/>
  <c r="C346" i="4" l="1"/>
  <c r="D346" i="4" s="1"/>
  <c r="P345" i="4"/>
  <c r="H567" i="3"/>
  <c r="K567" i="3"/>
  <c r="C427" i="3"/>
  <c r="G568" i="3"/>
  <c r="N307" i="3"/>
  <c r="O307" i="3" s="1"/>
  <c r="I343" i="4"/>
  <c r="P346" i="4"/>
  <c r="I346" i="20" s="1"/>
  <c r="C347" i="4"/>
  <c r="D347" i="4" s="1"/>
  <c r="G346" i="4"/>
  <c r="H344" i="4"/>
  <c r="J345" i="4"/>
  <c r="E345" i="4"/>
  <c r="I345" i="20"/>
  <c r="K341" i="20"/>
  <c r="R342" i="4"/>
  <c r="K372" i="3"/>
  <c r="G373" i="3"/>
  <c r="H373" i="3" s="1"/>
  <c r="R345" i="3" s="1"/>
  <c r="S345" i="3" s="1"/>
  <c r="V345" i="3" s="1"/>
  <c r="K342" i="4"/>
  <c r="K568" i="3" l="1"/>
  <c r="H568" i="3"/>
  <c r="C428" i="3"/>
  <c r="G569" i="3"/>
  <c r="N308" i="3"/>
  <c r="O308" i="3" s="1"/>
  <c r="I344" i="4"/>
  <c r="C348" i="4"/>
  <c r="D348" i="4" s="1"/>
  <c r="P347" i="4"/>
  <c r="G347" i="4"/>
  <c r="E346" i="4"/>
  <c r="J346" i="4"/>
  <c r="K342" i="20"/>
  <c r="R343" i="4"/>
  <c r="H345" i="4"/>
  <c r="K373" i="3"/>
  <c r="G374" i="3"/>
  <c r="H374" i="3" s="1"/>
  <c r="R346" i="3" s="1"/>
  <c r="S346" i="3" s="1"/>
  <c r="V346" i="3" s="1"/>
  <c r="K343" i="4"/>
  <c r="K569" i="3" l="1"/>
  <c r="H569" i="3"/>
  <c r="C429" i="3"/>
  <c r="G570" i="3"/>
  <c r="N309" i="3"/>
  <c r="O309" i="3" s="1"/>
  <c r="I345" i="4"/>
  <c r="J347" i="4"/>
  <c r="E347" i="4"/>
  <c r="C349" i="4"/>
  <c r="D349" i="4" s="1"/>
  <c r="P348" i="4"/>
  <c r="I348" i="20" s="1"/>
  <c r="G348" i="4"/>
  <c r="I347" i="20"/>
  <c r="K343" i="20"/>
  <c r="R344" i="4"/>
  <c r="H346" i="4"/>
  <c r="K374" i="3"/>
  <c r="G375" i="3"/>
  <c r="H375" i="3" s="1"/>
  <c r="R347" i="3" s="1"/>
  <c r="S347" i="3" s="1"/>
  <c r="V347" i="3" s="1"/>
  <c r="K344" i="4"/>
  <c r="H570" i="3" l="1"/>
  <c r="K570" i="3"/>
  <c r="C430" i="3"/>
  <c r="G571" i="3"/>
  <c r="N310" i="3"/>
  <c r="O310" i="3" s="1"/>
  <c r="I346" i="4"/>
  <c r="H347" i="4"/>
  <c r="K344" i="20"/>
  <c r="R345" i="4"/>
  <c r="J348" i="4"/>
  <c r="E348" i="4"/>
  <c r="P349" i="4"/>
  <c r="C350" i="4"/>
  <c r="D350" i="4" s="1"/>
  <c r="G349" i="4"/>
  <c r="K375" i="3"/>
  <c r="G376" i="3"/>
  <c r="H376" i="3" s="1"/>
  <c r="R348" i="3" s="1"/>
  <c r="S348" i="3" s="1"/>
  <c r="V348" i="3" s="1"/>
  <c r="K345" i="4"/>
  <c r="H571" i="3" l="1"/>
  <c r="K571" i="3"/>
  <c r="C431" i="3"/>
  <c r="G572" i="3"/>
  <c r="N311" i="3"/>
  <c r="O311" i="3" s="1"/>
  <c r="I347" i="4"/>
  <c r="P350" i="4"/>
  <c r="I350" i="20" s="1"/>
  <c r="C351" i="4"/>
  <c r="D351" i="4" s="1"/>
  <c r="G350" i="4"/>
  <c r="E349" i="4"/>
  <c r="J349" i="4"/>
  <c r="I349" i="20"/>
  <c r="H348" i="4"/>
  <c r="K345" i="20"/>
  <c r="R346" i="4"/>
  <c r="G522" i="3"/>
  <c r="H522" i="3" s="1"/>
  <c r="G377" i="3"/>
  <c r="H377" i="3" s="1"/>
  <c r="K376" i="3"/>
  <c r="K346" i="4"/>
  <c r="H572" i="3" l="1"/>
  <c r="K572" i="3"/>
  <c r="C432" i="3"/>
  <c r="G573" i="3"/>
  <c r="R349" i="3"/>
  <c r="S349" i="3" s="1"/>
  <c r="V349" i="3" s="1"/>
  <c r="R351" i="3"/>
  <c r="N312" i="3"/>
  <c r="O312" i="3" s="1"/>
  <c r="I348" i="4"/>
  <c r="H349" i="4"/>
  <c r="C352" i="4"/>
  <c r="D352" i="4" s="1"/>
  <c r="P351" i="4"/>
  <c r="I351" i="20" s="1"/>
  <c r="G351" i="4"/>
  <c r="J350" i="4"/>
  <c r="E350" i="4"/>
  <c r="K346" i="20"/>
  <c r="R347" i="4"/>
  <c r="K522" i="3"/>
  <c r="K377" i="3"/>
  <c r="G378" i="3"/>
  <c r="H378" i="3" s="1"/>
  <c r="R350" i="3" s="1"/>
  <c r="K347" i="4"/>
  <c r="H573" i="3" l="1"/>
  <c r="K573" i="3"/>
  <c r="C433" i="3"/>
  <c r="G574" i="3"/>
  <c r="S350" i="3"/>
  <c r="V350" i="3" s="1"/>
  <c r="S351" i="3"/>
  <c r="V351" i="3" s="1"/>
  <c r="N313" i="3"/>
  <c r="O313" i="3" s="1"/>
  <c r="I349" i="4"/>
  <c r="E351" i="4"/>
  <c r="J351" i="4"/>
  <c r="H350" i="4"/>
  <c r="K347" i="20"/>
  <c r="R348" i="4"/>
  <c r="P352" i="4"/>
  <c r="I352" i="20" s="1"/>
  <c r="C353" i="4"/>
  <c r="D353" i="4" s="1"/>
  <c r="G352" i="4"/>
  <c r="G380" i="3"/>
  <c r="H380" i="3" s="1"/>
  <c r="R352" i="3" s="1"/>
  <c r="S352" i="3" s="1"/>
  <c r="V352" i="3" s="1"/>
  <c r="K378" i="3"/>
  <c r="K348" i="4"/>
  <c r="H574" i="3" l="1"/>
  <c r="K574" i="3"/>
  <c r="C434" i="3"/>
  <c r="G575" i="3"/>
  <c r="O314" i="3"/>
  <c r="N315" i="3"/>
  <c r="O315" i="3" s="1"/>
  <c r="I350" i="4"/>
  <c r="E352" i="4"/>
  <c r="J352" i="4"/>
  <c r="P353" i="4"/>
  <c r="I353" i="20" s="1"/>
  <c r="C354" i="4"/>
  <c r="D354" i="4" s="1"/>
  <c r="G353" i="4"/>
  <c r="K348" i="20"/>
  <c r="R349" i="4"/>
  <c r="H351" i="4"/>
  <c r="K380" i="3"/>
  <c r="G381" i="3"/>
  <c r="H381" i="3" s="1"/>
  <c r="R353" i="3" s="1"/>
  <c r="S353" i="3" s="1"/>
  <c r="V353" i="3" s="1"/>
  <c r="K349" i="4"/>
  <c r="H575" i="3" l="1"/>
  <c r="K575" i="3"/>
  <c r="C435" i="3"/>
  <c r="G576" i="3"/>
  <c r="N316" i="3"/>
  <c r="O316" i="3" s="1"/>
  <c r="I351" i="4"/>
  <c r="P354" i="4"/>
  <c r="I354" i="20" s="1"/>
  <c r="C355" i="4"/>
  <c r="D355" i="4" s="1"/>
  <c r="G354" i="4"/>
  <c r="K349" i="20"/>
  <c r="R350" i="4"/>
  <c r="H352" i="4"/>
  <c r="J353" i="4"/>
  <c r="E353" i="4"/>
  <c r="K381" i="3"/>
  <c r="G382" i="3"/>
  <c r="H382" i="3" s="1"/>
  <c r="R354" i="3" s="1"/>
  <c r="S354" i="3" s="1"/>
  <c r="V354" i="3" s="1"/>
  <c r="K350" i="4"/>
  <c r="H576" i="3" l="1"/>
  <c r="K576" i="3"/>
  <c r="C436" i="3"/>
  <c r="G577" i="3"/>
  <c r="N317" i="3"/>
  <c r="O317" i="3" s="1"/>
  <c r="I352" i="4"/>
  <c r="K350" i="20"/>
  <c r="R351" i="4"/>
  <c r="C356" i="4"/>
  <c r="D356" i="4" s="1"/>
  <c r="P355" i="4"/>
  <c r="I355" i="20" s="1"/>
  <c r="G355" i="4"/>
  <c r="H353" i="4"/>
  <c r="E354" i="4"/>
  <c r="J354" i="4"/>
  <c r="K382" i="3"/>
  <c r="N353" i="3"/>
  <c r="G383" i="3"/>
  <c r="H383" i="3" s="1"/>
  <c r="R355" i="3" s="1"/>
  <c r="S355" i="3" s="1"/>
  <c r="V355" i="3" s="1"/>
  <c r="K351" i="4"/>
  <c r="H577" i="3" l="1"/>
  <c r="K577" i="3"/>
  <c r="C437" i="3"/>
  <c r="G578" i="3"/>
  <c r="N318" i="3"/>
  <c r="O318" i="3" s="1"/>
  <c r="I353" i="4"/>
  <c r="C357" i="4"/>
  <c r="D357" i="4" s="1"/>
  <c r="P356" i="4"/>
  <c r="I356" i="20" s="1"/>
  <c r="G356" i="4"/>
  <c r="J355" i="4"/>
  <c r="E355" i="4"/>
  <c r="H354" i="4"/>
  <c r="K351" i="20"/>
  <c r="R352" i="4"/>
  <c r="K383" i="3"/>
  <c r="G384" i="3"/>
  <c r="H384" i="3" s="1"/>
  <c r="R356" i="3" s="1"/>
  <c r="S356" i="3" s="1"/>
  <c r="V356" i="3" s="1"/>
  <c r="K352" i="4"/>
  <c r="K578" i="3" l="1"/>
  <c r="H578" i="3"/>
  <c r="C438" i="3"/>
  <c r="G579" i="3"/>
  <c r="N319" i="3"/>
  <c r="O319" i="3" s="1"/>
  <c r="I354" i="4"/>
  <c r="K352" i="20"/>
  <c r="R353" i="4"/>
  <c r="H355" i="4"/>
  <c r="J356" i="4"/>
  <c r="E356" i="4"/>
  <c r="P357" i="4"/>
  <c r="I357" i="20" s="1"/>
  <c r="C358" i="4"/>
  <c r="D358" i="4" s="1"/>
  <c r="G357" i="4"/>
  <c r="K384" i="3"/>
  <c r="G385" i="3"/>
  <c r="H385" i="3" s="1"/>
  <c r="R357" i="3" s="1"/>
  <c r="S357" i="3" s="1"/>
  <c r="V357" i="3" s="1"/>
  <c r="K353" i="4"/>
  <c r="H579" i="3" l="1"/>
  <c r="K579" i="3"/>
  <c r="C439" i="3"/>
  <c r="G580" i="3"/>
  <c r="N320" i="3"/>
  <c r="O320" i="3" s="1"/>
  <c r="I355" i="4"/>
  <c r="E357" i="4"/>
  <c r="J357" i="4"/>
  <c r="C359" i="4"/>
  <c r="D359" i="4" s="1"/>
  <c r="P358" i="4"/>
  <c r="I358" i="20" s="1"/>
  <c r="G358" i="4"/>
  <c r="H356" i="4"/>
  <c r="K353" i="20"/>
  <c r="R354" i="4"/>
  <c r="K385" i="3"/>
  <c r="G386" i="3"/>
  <c r="H386" i="3" s="1"/>
  <c r="K354" i="4"/>
  <c r="H580" i="3" l="1"/>
  <c r="K580" i="3"/>
  <c r="C440" i="3"/>
  <c r="G581" i="3"/>
  <c r="R358" i="3"/>
  <c r="S358" i="3" s="1"/>
  <c r="V358" i="3" s="1"/>
  <c r="N321" i="3"/>
  <c r="O321" i="3" s="1"/>
  <c r="I356" i="4"/>
  <c r="K354" i="20"/>
  <c r="R355" i="4"/>
  <c r="J358" i="4"/>
  <c r="E358" i="4"/>
  <c r="H357" i="4"/>
  <c r="C360" i="4"/>
  <c r="D360" i="4" s="1"/>
  <c r="P359" i="4"/>
  <c r="I359" i="20" s="1"/>
  <c r="G359" i="4"/>
  <c r="K386" i="3"/>
  <c r="G387" i="3"/>
  <c r="H387" i="3" s="1"/>
  <c r="R359" i="3" s="1"/>
  <c r="S359" i="3" s="1"/>
  <c r="V359" i="3" s="1"/>
  <c r="K355" i="4"/>
  <c r="H581" i="3" l="1"/>
  <c r="K581" i="3"/>
  <c r="C441" i="3"/>
  <c r="G582" i="3"/>
  <c r="N322" i="3"/>
  <c r="O322" i="3" s="1"/>
  <c r="I357" i="4"/>
  <c r="C361" i="4"/>
  <c r="D361" i="4" s="1"/>
  <c r="P360" i="4"/>
  <c r="I360" i="20" s="1"/>
  <c r="G360" i="4"/>
  <c r="E359" i="4"/>
  <c r="J359" i="4"/>
  <c r="K355" i="20"/>
  <c r="R356" i="4"/>
  <c r="H358" i="4"/>
  <c r="K387" i="3"/>
  <c r="G388" i="3"/>
  <c r="H388" i="3" s="1"/>
  <c r="R360" i="3" s="1"/>
  <c r="S360" i="3" s="1"/>
  <c r="V360" i="3" s="1"/>
  <c r="K356" i="4"/>
  <c r="H582" i="3" l="1"/>
  <c r="K582" i="3"/>
  <c r="C442" i="3"/>
  <c r="G583" i="3"/>
  <c r="N323" i="3"/>
  <c r="O323" i="3" s="1"/>
  <c r="I358" i="4"/>
  <c r="K356" i="20"/>
  <c r="R357" i="4"/>
  <c r="H359" i="4"/>
  <c r="E360" i="4"/>
  <c r="J360" i="4"/>
  <c r="P361" i="4"/>
  <c r="I361" i="20" s="1"/>
  <c r="C362" i="4"/>
  <c r="D362" i="4" s="1"/>
  <c r="G361" i="4"/>
  <c r="K388" i="3"/>
  <c r="G389" i="3"/>
  <c r="H389" i="3" s="1"/>
  <c r="R361" i="3" s="1"/>
  <c r="S361" i="3" s="1"/>
  <c r="V361" i="3" s="1"/>
  <c r="K357" i="4"/>
  <c r="H583" i="3" l="1"/>
  <c r="K583" i="3"/>
  <c r="C443" i="3"/>
  <c r="G584" i="3"/>
  <c r="N324" i="3"/>
  <c r="O324" i="3" s="1"/>
  <c r="I359" i="4"/>
  <c r="P362" i="4"/>
  <c r="I362" i="20" s="1"/>
  <c r="C363" i="4"/>
  <c r="D363" i="4" s="1"/>
  <c r="G362" i="4"/>
  <c r="H360" i="4"/>
  <c r="K357" i="20"/>
  <c r="R358" i="4"/>
  <c r="J361" i="4"/>
  <c r="E361" i="4"/>
  <c r="K389" i="3"/>
  <c r="G390" i="3"/>
  <c r="H390" i="3" s="1"/>
  <c r="K358" i="4"/>
  <c r="H584" i="3" l="1"/>
  <c r="K584" i="3"/>
  <c r="C444" i="3"/>
  <c r="G585" i="3"/>
  <c r="R362" i="3"/>
  <c r="S362" i="3" s="1"/>
  <c r="V362" i="3" s="1"/>
  <c r="R364" i="3"/>
  <c r="N325" i="3"/>
  <c r="O325" i="3" s="1"/>
  <c r="I360" i="4"/>
  <c r="K358" i="20"/>
  <c r="R359" i="4"/>
  <c r="E362" i="4"/>
  <c r="J362" i="4"/>
  <c r="H361" i="4"/>
  <c r="C364" i="4"/>
  <c r="D364" i="4" s="1"/>
  <c r="P363" i="4"/>
  <c r="I363" i="20" s="1"/>
  <c r="G363" i="4"/>
  <c r="K390" i="3"/>
  <c r="G535" i="3"/>
  <c r="H535" i="3" s="1"/>
  <c r="G391" i="3"/>
  <c r="H391" i="3" s="1"/>
  <c r="R363" i="3" s="1"/>
  <c r="K359" i="4"/>
  <c r="H585" i="3" l="1"/>
  <c r="K585" i="3"/>
  <c r="C445" i="3"/>
  <c r="G586" i="3"/>
  <c r="S363" i="3"/>
  <c r="V363" i="3" s="1"/>
  <c r="S364" i="3"/>
  <c r="V364" i="3" s="1"/>
  <c r="N326" i="3"/>
  <c r="O326" i="3" s="1"/>
  <c r="I361" i="4"/>
  <c r="H362" i="4"/>
  <c r="K359" i="20"/>
  <c r="R360" i="4"/>
  <c r="J363" i="4"/>
  <c r="E363" i="4"/>
  <c r="C365" i="4"/>
  <c r="D365" i="4" s="1"/>
  <c r="P364" i="4"/>
  <c r="I364" i="20" s="1"/>
  <c r="G364" i="4"/>
  <c r="K535" i="3"/>
  <c r="K391" i="3"/>
  <c r="G393" i="3"/>
  <c r="H393" i="3" s="1"/>
  <c r="R365" i="3" s="1"/>
  <c r="S365" i="3" s="1"/>
  <c r="V365" i="3" s="1"/>
  <c r="K360" i="4"/>
  <c r="H586" i="3" l="1"/>
  <c r="K586" i="3"/>
  <c r="C446" i="3"/>
  <c r="G587" i="3"/>
  <c r="O327" i="3"/>
  <c r="N328" i="3"/>
  <c r="O328" i="3" s="1"/>
  <c r="I362" i="4"/>
  <c r="J364" i="4"/>
  <c r="E364" i="4"/>
  <c r="K360" i="20"/>
  <c r="R361" i="4"/>
  <c r="H363" i="4"/>
  <c r="C366" i="4"/>
  <c r="D366" i="4" s="1"/>
  <c r="P365" i="4"/>
  <c r="I365" i="20" s="1"/>
  <c r="G365" i="4"/>
  <c r="K393" i="3"/>
  <c r="G394" i="3"/>
  <c r="H394" i="3" s="1"/>
  <c r="R366" i="3" s="1"/>
  <c r="S366" i="3" s="1"/>
  <c r="V366" i="3" s="1"/>
  <c r="K361" i="4"/>
  <c r="H587" i="3" l="1"/>
  <c r="K587" i="3"/>
  <c r="C447" i="3"/>
  <c r="G588" i="3"/>
  <c r="N329" i="3"/>
  <c r="O329" i="3" s="1"/>
  <c r="I363" i="4"/>
  <c r="H364" i="4"/>
  <c r="C367" i="4"/>
  <c r="D367" i="4" s="1"/>
  <c r="P366" i="4"/>
  <c r="I366" i="20" s="1"/>
  <c r="G366" i="4"/>
  <c r="K361" i="20"/>
  <c r="R362" i="4"/>
  <c r="E365" i="4"/>
  <c r="J365" i="4"/>
  <c r="K394" i="3"/>
  <c r="G395" i="3"/>
  <c r="H395" i="3" s="1"/>
  <c r="R367" i="3" s="1"/>
  <c r="S367" i="3" s="1"/>
  <c r="V367" i="3" s="1"/>
  <c r="K362" i="4"/>
  <c r="K588" i="3" l="1"/>
  <c r="H588" i="3"/>
  <c r="C448" i="3"/>
  <c r="G589" i="3"/>
  <c r="N330" i="3"/>
  <c r="O330" i="3" s="1"/>
  <c r="I364" i="4"/>
  <c r="K362" i="20"/>
  <c r="R363" i="4"/>
  <c r="J366" i="4"/>
  <c r="E366" i="4"/>
  <c r="P367" i="4"/>
  <c r="I367" i="20" s="1"/>
  <c r="C368" i="4"/>
  <c r="D368" i="4" s="1"/>
  <c r="G367" i="4"/>
  <c r="H365" i="4"/>
  <c r="K395" i="3"/>
  <c r="G396" i="3"/>
  <c r="H396" i="3" s="1"/>
  <c r="K363" i="4"/>
  <c r="H589" i="3" l="1"/>
  <c r="K589" i="3"/>
  <c r="C449" i="3"/>
  <c r="G590" i="3"/>
  <c r="R368" i="3"/>
  <c r="S368" i="3" s="1"/>
  <c r="V368" i="3" s="1"/>
  <c r="N331" i="3"/>
  <c r="O331" i="3" s="1"/>
  <c r="I365" i="4"/>
  <c r="H366" i="4"/>
  <c r="K363" i="20"/>
  <c r="R364" i="4"/>
  <c r="C369" i="4"/>
  <c r="D369" i="4" s="1"/>
  <c r="P368" i="4"/>
  <c r="I368" i="20" s="1"/>
  <c r="G368" i="4"/>
  <c r="E367" i="4"/>
  <c r="J367" i="4"/>
  <c r="K396" i="3"/>
  <c r="N366" i="3"/>
  <c r="G397" i="3"/>
  <c r="H397" i="3" s="1"/>
  <c r="R369" i="3" s="1"/>
  <c r="K364" i="4"/>
  <c r="H590" i="3" l="1"/>
  <c r="K590" i="3"/>
  <c r="C450" i="3"/>
  <c r="G591" i="3"/>
  <c r="S369" i="3"/>
  <c r="V369" i="3" s="1"/>
  <c r="N332" i="3"/>
  <c r="O332" i="3" s="1"/>
  <c r="I366" i="4"/>
  <c r="E368" i="4"/>
  <c r="J368" i="4"/>
  <c r="C370" i="4"/>
  <c r="D370" i="4" s="1"/>
  <c r="P369" i="4"/>
  <c r="I369" i="20" s="1"/>
  <c r="G369" i="4"/>
  <c r="H367" i="4"/>
  <c r="K364" i="20"/>
  <c r="R365" i="4"/>
  <c r="K397" i="3"/>
  <c r="G398" i="3"/>
  <c r="H398" i="3" s="1"/>
  <c r="R370" i="3" s="1"/>
  <c r="S370" i="3" s="1"/>
  <c r="V370" i="3" s="1"/>
  <c r="K365" i="4"/>
  <c r="H591" i="3" l="1"/>
  <c r="K591" i="3"/>
  <c r="C451" i="3"/>
  <c r="G592" i="3"/>
  <c r="N333" i="3"/>
  <c r="O333" i="3" s="1"/>
  <c r="I367" i="4"/>
  <c r="K365" i="20"/>
  <c r="R366" i="4"/>
  <c r="C371" i="4"/>
  <c r="D371" i="4" s="1"/>
  <c r="P370" i="4"/>
  <c r="I370" i="20" s="1"/>
  <c r="G370" i="4"/>
  <c r="H368" i="4"/>
  <c r="J369" i="4"/>
  <c r="E369" i="4"/>
  <c r="K398" i="3"/>
  <c r="G399" i="3"/>
  <c r="H399" i="3" s="1"/>
  <c r="R371" i="3" s="1"/>
  <c r="S371" i="3" s="1"/>
  <c r="V371" i="3" s="1"/>
  <c r="K366" i="4"/>
  <c r="H592" i="3" l="1"/>
  <c r="K592" i="3"/>
  <c r="C452" i="3"/>
  <c r="G593" i="3"/>
  <c r="N334" i="3"/>
  <c r="O334" i="3" s="1"/>
  <c r="I368" i="4"/>
  <c r="E370" i="4"/>
  <c r="J370" i="4"/>
  <c r="H369" i="4"/>
  <c r="C372" i="4"/>
  <c r="D372" i="4" s="1"/>
  <c r="P371" i="4"/>
  <c r="I371" i="20" s="1"/>
  <c r="G371" i="4"/>
  <c r="K366" i="20"/>
  <c r="R367" i="4"/>
  <c r="K399" i="3"/>
  <c r="G400" i="3"/>
  <c r="H400" i="3" s="1"/>
  <c r="R372" i="3" s="1"/>
  <c r="S372" i="3" s="1"/>
  <c r="V372" i="3" s="1"/>
  <c r="K367" i="4"/>
  <c r="H593" i="3" l="1"/>
  <c r="K593" i="3"/>
  <c r="C453" i="3"/>
  <c r="G594" i="3"/>
  <c r="N335" i="3"/>
  <c r="O335" i="3" s="1"/>
  <c r="I369" i="4"/>
  <c r="J371" i="4"/>
  <c r="E371" i="4"/>
  <c r="K367" i="20"/>
  <c r="R368" i="4"/>
  <c r="C373" i="4"/>
  <c r="D373" i="4" s="1"/>
  <c r="P372" i="4"/>
  <c r="I372" i="20" s="1"/>
  <c r="G372" i="4"/>
  <c r="H370" i="4"/>
  <c r="K400" i="3"/>
  <c r="G401" i="3"/>
  <c r="H401" i="3" s="1"/>
  <c r="R373" i="3" s="1"/>
  <c r="S373" i="3" s="1"/>
  <c r="V373" i="3" s="1"/>
  <c r="K368" i="4"/>
  <c r="H594" i="3" l="1"/>
  <c r="K594" i="3"/>
  <c r="C454" i="3"/>
  <c r="G595" i="3"/>
  <c r="N336" i="3"/>
  <c r="O336" i="3" s="1"/>
  <c r="I370" i="4"/>
  <c r="K368" i="20"/>
  <c r="R369" i="4"/>
  <c r="H371" i="4"/>
  <c r="E372" i="4"/>
  <c r="J372" i="4"/>
  <c r="C374" i="4"/>
  <c r="D374" i="4" s="1"/>
  <c r="P373" i="4"/>
  <c r="I373" i="20" s="1"/>
  <c r="G373" i="4"/>
  <c r="K401" i="3"/>
  <c r="G402" i="3"/>
  <c r="H402" i="3" s="1"/>
  <c r="R374" i="3" s="1"/>
  <c r="S374" i="3" s="1"/>
  <c r="V374" i="3" s="1"/>
  <c r="K369" i="4"/>
  <c r="H595" i="3" l="1"/>
  <c r="K595" i="3"/>
  <c r="C455" i="3"/>
  <c r="G596" i="3"/>
  <c r="N337" i="3"/>
  <c r="O337" i="3" s="1"/>
  <c r="I371" i="4"/>
  <c r="J373" i="4"/>
  <c r="E373" i="4"/>
  <c r="C375" i="4"/>
  <c r="D375" i="4" s="1"/>
  <c r="P374" i="4"/>
  <c r="I374" i="20" s="1"/>
  <c r="G374" i="4"/>
  <c r="K369" i="20"/>
  <c r="R370" i="4"/>
  <c r="H372" i="4"/>
  <c r="G403" i="3"/>
  <c r="H403" i="3" s="1"/>
  <c r="K402" i="3"/>
  <c r="K370" i="4"/>
  <c r="H596" i="3" l="1"/>
  <c r="K596" i="3"/>
  <c r="C456" i="3"/>
  <c r="G597" i="3"/>
  <c r="R375" i="3"/>
  <c r="S375" i="3" s="1"/>
  <c r="V375" i="3" s="1"/>
  <c r="R377" i="3"/>
  <c r="N338" i="3"/>
  <c r="O338" i="3" s="1"/>
  <c r="I372" i="4"/>
  <c r="C376" i="4"/>
  <c r="D376" i="4" s="1"/>
  <c r="P375" i="4"/>
  <c r="I375" i="20" s="1"/>
  <c r="G375" i="4"/>
  <c r="E374" i="4"/>
  <c r="J374" i="4"/>
  <c r="H373" i="4"/>
  <c r="K370" i="20"/>
  <c r="R371" i="4"/>
  <c r="K403" i="3"/>
  <c r="G404" i="3"/>
  <c r="H404" i="3" s="1"/>
  <c r="R376" i="3" s="1"/>
  <c r="K371" i="4"/>
  <c r="H597" i="3" l="1"/>
  <c r="K597" i="3"/>
  <c r="C457" i="3"/>
  <c r="G598" i="3"/>
  <c r="S376" i="3"/>
  <c r="V376" i="3" s="1"/>
  <c r="S377" i="3"/>
  <c r="V377" i="3" s="1"/>
  <c r="N339" i="3"/>
  <c r="O340" i="3" s="1"/>
  <c r="I373" i="4"/>
  <c r="K371" i="20"/>
  <c r="R372" i="4"/>
  <c r="H374" i="4"/>
  <c r="J375" i="4"/>
  <c r="E375" i="4"/>
  <c r="C377" i="4"/>
  <c r="D377" i="4" s="1"/>
  <c r="P376" i="4"/>
  <c r="I376" i="20" s="1"/>
  <c r="G376" i="4"/>
  <c r="K404" i="3"/>
  <c r="G406" i="3"/>
  <c r="H406" i="3" s="1"/>
  <c r="R378" i="3" s="1"/>
  <c r="S378" i="3" s="1"/>
  <c r="V378" i="3" s="1"/>
  <c r="K372" i="4"/>
  <c r="H598" i="3" l="1"/>
  <c r="K598" i="3"/>
  <c r="C458" i="3"/>
  <c r="G599" i="3"/>
  <c r="O339" i="3"/>
  <c r="N341" i="3"/>
  <c r="O341" i="3" s="1"/>
  <c r="I374" i="4"/>
  <c r="H375" i="4"/>
  <c r="C378" i="4"/>
  <c r="D378" i="4" s="1"/>
  <c r="P377" i="4"/>
  <c r="I377" i="20" s="1"/>
  <c r="G377" i="4"/>
  <c r="E376" i="4"/>
  <c r="J376" i="4"/>
  <c r="K372" i="20"/>
  <c r="R373" i="4"/>
  <c r="G407" i="3"/>
  <c r="H407" i="3" s="1"/>
  <c r="R379" i="3" s="1"/>
  <c r="S379" i="3" s="1"/>
  <c r="V379" i="3" s="1"/>
  <c r="K406" i="3"/>
  <c r="K373" i="4"/>
  <c r="H599" i="3" l="1"/>
  <c r="K599" i="3"/>
  <c r="C459" i="3"/>
  <c r="G600" i="3"/>
  <c r="N342" i="3"/>
  <c r="O342" i="3" s="1"/>
  <c r="I375" i="4"/>
  <c r="K373" i="20"/>
  <c r="R374" i="4"/>
  <c r="J377" i="4"/>
  <c r="E377" i="4"/>
  <c r="C379" i="4"/>
  <c r="D379" i="4" s="1"/>
  <c r="P378" i="4"/>
  <c r="I378" i="20" s="1"/>
  <c r="G378" i="4"/>
  <c r="H376" i="4"/>
  <c r="K407" i="3"/>
  <c r="G408" i="3"/>
  <c r="H408" i="3" s="1"/>
  <c r="R380" i="3" s="1"/>
  <c r="S380" i="3" s="1"/>
  <c r="V380" i="3" s="1"/>
  <c r="K374" i="4"/>
  <c r="H600" i="3" l="1"/>
  <c r="K600" i="3"/>
  <c r="C460" i="3"/>
  <c r="G601" i="3"/>
  <c r="N343" i="3"/>
  <c r="O343" i="3" s="1"/>
  <c r="I376" i="4"/>
  <c r="J378" i="4"/>
  <c r="E378" i="4"/>
  <c r="C380" i="4"/>
  <c r="D380" i="4" s="1"/>
  <c r="P379" i="4"/>
  <c r="I379" i="20" s="1"/>
  <c r="G379" i="4"/>
  <c r="K374" i="20"/>
  <c r="R375" i="4"/>
  <c r="H377" i="4"/>
  <c r="K408" i="3"/>
  <c r="G409" i="3"/>
  <c r="H409" i="3" s="1"/>
  <c r="R381" i="3" s="1"/>
  <c r="S381" i="3" s="1"/>
  <c r="V381" i="3" s="1"/>
  <c r="K375" i="4"/>
  <c r="H601" i="3" l="1"/>
  <c r="K601" i="3"/>
  <c r="C461" i="3"/>
  <c r="G602" i="3"/>
  <c r="N344" i="3"/>
  <c r="O344" i="3" s="1"/>
  <c r="I377" i="4"/>
  <c r="E379" i="4"/>
  <c r="J379" i="4"/>
  <c r="C381" i="4"/>
  <c r="D381" i="4" s="1"/>
  <c r="P380" i="4"/>
  <c r="I380" i="20" s="1"/>
  <c r="G380" i="4"/>
  <c r="K375" i="20"/>
  <c r="R376" i="4"/>
  <c r="H378" i="4"/>
  <c r="K409" i="3"/>
  <c r="G410" i="3"/>
  <c r="H410" i="3" s="1"/>
  <c r="R382" i="3" s="1"/>
  <c r="S382" i="3" s="1"/>
  <c r="V382" i="3" s="1"/>
  <c r="K376" i="4"/>
  <c r="H602" i="3" l="1"/>
  <c r="K602" i="3"/>
  <c r="C462" i="3"/>
  <c r="G603" i="3"/>
  <c r="N345" i="3"/>
  <c r="O345" i="3" s="1"/>
  <c r="I378" i="4"/>
  <c r="K376" i="20"/>
  <c r="R377" i="4"/>
  <c r="H379" i="4"/>
  <c r="C382" i="4"/>
  <c r="D382" i="4" s="1"/>
  <c r="P381" i="4"/>
  <c r="I381" i="20" s="1"/>
  <c r="G381" i="4"/>
  <c r="J380" i="4"/>
  <c r="E380" i="4"/>
  <c r="K410" i="3"/>
  <c r="N379" i="3"/>
  <c r="G411" i="3"/>
  <c r="H411" i="3" s="1"/>
  <c r="R383" i="3" s="1"/>
  <c r="S383" i="3" s="1"/>
  <c r="V383" i="3" s="1"/>
  <c r="K377" i="4"/>
  <c r="H603" i="3" l="1"/>
  <c r="K603" i="3"/>
  <c r="C463" i="3"/>
  <c r="G604" i="3"/>
  <c r="N346" i="3"/>
  <c r="O346" i="3" s="1"/>
  <c r="I379" i="4"/>
  <c r="C383" i="4"/>
  <c r="D383" i="4" s="1"/>
  <c r="P382" i="4"/>
  <c r="I382" i="20" s="1"/>
  <c r="G382" i="4"/>
  <c r="J381" i="4"/>
  <c r="E381" i="4"/>
  <c r="H380" i="4"/>
  <c r="K377" i="20"/>
  <c r="R378" i="4"/>
  <c r="K411" i="3"/>
  <c r="G412" i="3"/>
  <c r="H412" i="3" s="1"/>
  <c r="R384" i="3" s="1"/>
  <c r="S384" i="3" s="1"/>
  <c r="V384" i="3" s="1"/>
  <c r="K378" i="4"/>
  <c r="H604" i="3" l="1"/>
  <c r="K604" i="3"/>
  <c r="C464" i="3"/>
  <c r="G605" i="3"/>
  <c r="N347" i="3"/>
  <c r="O347" i="3" s="1"/>
  <c r="I380" i="4"/>
  <c r="P383" i="4"/>
  <c r="I383" i="20" s="1"/>
  <c r="C384" i="4"/>
  <c r="D384" i="4" s="1"/>
  <c r="G383" i="4"/>
  <c r="E382" i="4"/>
  <c r="J382" i="4"/>
  <c r="K378" i="20"/>
  <c r="R379" i="4"/>
  <c r="H381" i="4"/>
  <c r="K412" i="3"/>
  <c r="G413" i="3"/>
  <c r="H413" i="3" s="1"/>
  <c r="R385" i="3" s="1"/>
  <c r="S385" i="3" s="1"/>
  <c r="V385" i="3" s="1"/>
  <c r="K379" i="4"/>
  <c r="H605" i="3" l="1"/>
  <c r="K605" i="3"/>
  <c r="C465" i="3"/>
  <c r="G606" i="3"/>
  <c r="N348" i="3"/>
  <c r="O348" i="3" s="1"/>
  <c r="I381" i="4"/>
  <c r="J383" i="4"/>
  <c r="E383" i="4"/>
  <c r="K379" i="20"/>
  <c r="R380" i="4"/>
  <c r="C385" i="4"/>
  <c r="D385" i="4" s="1"/>
  <c r="P384" i="4"/>
  <c r="I384" i="20" s="1"/>
  <c r="G384" i="4"/>
  <c r="H382" i="4"/>
  <c r="K413" i="3"/>
  <c r="G414" i="3"/>
  <c r="H414" i="3" s="1"/>
  <c r="R386" i="3" s="1"/>
  <c r="S386" i="3" s="1"/>
  <c r="V386" i="3" s="1"/>
  <c r="K380" i="4"/>
  <c r="H606" i="3" l="1"/>
  <c r="K606" i="3"/>
  <c r="C466" i="3"/>
  <c r="G607" i="3"/>
  <c r="N349" i="3"/>
  <c r="O349" i="3" s="1"/>
  <c r="I382" i="4"/>
  <c r="C386" i="4"/>
  <c r="D386" i="4" s="1"/>
  <c r="P385" i="4"/>
  <c r="I385" i="20" s="1"/>
  <c r="G385" i="4"/>
  <c r="H383" i="4"/>
  <c r="E384" i="4"/>
  <c r="J384" i="4"/>
  <c r="K380" i="20"/>
  <c r="R381" i="4"/>
  <c r="K414" i="3"/>
  <c r="G415" i="3"/>
  <c r="H415" i="3" s="1"/>
  <c r="R387" i="3" s="1"/>
  <c r="S387" i="3" s="1"/>
  <c r="V387" i="3" s="1"/>
  <c r="K381" i="4"/>
  <c r="H607" i="3" l="1"/>
  <c r="K607" i="3"/>
  <c r="C467" i="3"/>
  <c r="G608" i="3"/>
  <c r="N350" i="3"/>
  <c r="O350" i="3" s="1"/>
  <c r="I383" i="4"/>
  <c r="P386" i="4"/>
  <c r="I386" i="20" s="1"/>
  <c r="C387" i="4"/>
  <c r="D387" i="4" s="1"/>
  <c r="G386" i="4"/>
  <c r="K381" i="20"/>
  <c r="R382" i="4"/>
  <c r="H384" i="4"/>
  <c r="J385" i="4"/>
  <c r="E385" i="4"/>
  <c r="K415" i="3"/>
  <c r="G416" i="3"/>
  <c r="H416" i="3" s="1"/>
  <c r="K382" i="4"/>
  <c r="H608" i="3" l="1"/>
  <c r="K608" i="3"/>
  <c r="C468" i="3"/>
  <c r="G609" i="3"/>
  <c r="R388" i="3"/>
  <c r="S388" i="3" s="1"/>
  <c r="V388" i="3" s="1"/>
  <c r="R390" i="3"/>
  <c r="N351" i="3"/>
  <c r="O351" i="3" s="1"/>
  <c r="I384" i="4"/>
  <c r="K382" i="20"/>
  <c r="R383" i="4"/>
  <c r="C388" i="4"/>
  <c r="D388" i="4" s="1"/>
  <c r="P387" i="4"/>
  <c r="I387" i="20" s="1"/>
  <c r="G387" i="4"/>
  <c r="H385" i="4"/>
  <c r="J386" i="4"/>
  <c r="E386" i="4"/>
  <c r="K416" i="3"/>
  <c r="G417" i="3"/>
  <c r="H417" i="3" s="1"/>
  <c r="R389" i="3" s="1"/>
  <c r="K383" i="4"/>
  <c r="K609" i="3" l="1"/>
  <c r="H609" i="3"/>
  <c r="C469" i="3"/>
  <c r="G610" i="3"/>
  <c r="C495" i="3"/>
  <c r="S389" i="3"/>
  <c r="V389" i="3" s="1"/>
  <c r="S390" i="3"/>
  <c r="V390" i="3" s="1"/>
  <c r="N352" i="3"/>
  <c r="O352" i="3" s="1"/>
  <c r="I385" i="4"/>
  <c r="H386" i="4"/>
  <c r="K383" i="20"/>
  <c r="R384" i="4"/>
  <c r="E387" i="4"/>
  <c r="J387" i="4"/>
  <c r="C389" i="4"/>
  <c r="D389" i="4" s="1"/>
  <c r="P388" i="4"/>
  <c r="I388" i="20" s="1"/>
  <c r="G388" i="4"/>
  <c r="K417" i="3"/>
  <c r="G419" i="3"/>
  <c r="H419" i="3" s="1"/>
  <c r="R391" i="3" s="1"/>
  <c r="S391" i="3" s="1"/>
  <c r="V391" i="3" s="1"/>
  <c r="K384" i="4"/>
  <c r="H610" i="3" l="1"/>
  <c r="K610" i="3"/>
  <c r="C470" i="3"/>
  <c r="G611" i="3"/>
  <c r="C496" i="3"/>
  <c r="O353" i="3"/>
  <c r="N354" i="3"/>
  <c r="O354" i="3" s="1"/>
  <c r="I386" i="4"/>
  <c r="H387" i="4"/>
  <c r="J388" i="4"/>
  <c r="E388" i="4"/>
  <c r="K384" i="20"/>
  <c r="R385" i="4"/>
  <c r="C390" i="4"/>
  <c r="D390" i="4" s="1"/>
  <c r="P389" i="4"/>
  <c r="I389" i="20" s="1"/>
  <c r="G389" i="4"/>
  <c r="K419" i="3"/>
  <c r="G420" i="3"/>
  <c r="H420" i="3" s="1"/>
  <c r="R392" i="3" s="1"/>
  <c r="S392" i="3" s="1"/>
  <c r="V392" i="3" s="1"/>
  <c r="K385" i="4"/>
  <c r="K611" i="3" l="1"/>
  <c r="H611" i="3"/>
  <c r="C471" i="3"/>
  <c r="G612" i="3"/>
  <c r="C497" i="3"/>
  <c r="N355" i="3"/>
  <c r="O355" i="3" s="1"/>
  <c r="I387" i="4"/>
  <c r="K385" i="20"/>
  <c r="R386" i="4"/>
  <c r="H388" i="4"/>
  <c r="J389" i="4"/>
  <c r="E389" i="4"/>
  <c r="P390" i="4"/>
  <c r="I390" i="20" s="1"/>
  <c r="C391" i="4"/>
  <c r="D391" i="4" s="1"/>
  <c r="G390" i="4"/>
  <c r="K420" i="3"/>
  <c r="G421" i="3"/>
  <c r="H421" i="3" s="1"/>
  <c r="R393" i="3" s="1"/>
  <c r="S393" i="3" s="1"/>
  <c r="V393" i="3" s="1"/>
  <c r="K386" i="4"/>
  <c r="H612" i="3" l="1"/>
  <c r="K612" i="3"/>
  <c r="C472" i="3"/>
  <c r="G613" i="3"/>
  <c r="C498" i="3"/>
  <c r="N356" i="3"/>
  <c r="O356" i="3" s="1"/>
  <c r="I388" i="4"/>
  <c r="K386" i="20"/>
  <c r="R387" i="4"/>
  <c r="E390" i="4"/>
  <c r="J390" i="4"/>
  <c r="C392" i="4"/>
  <c r="D392" i="4" s="1"/>
  <c r="P391" i="4"/>
  <c r="I391" i="20" s="1"/>
  <c r="G391" i="4"/>
  <c r="H389" i="4"/>
  <c r="K421" i="3"/>
  <c r="G422" i="3"/>
  <c r="H422" i="3" s="1"/>
  <c r="R394" i="3" s="1"/>
  <c r="S394" i="3" s="1"/>
  <c r="V394" i="3" s="1"/>
  <c r="K387" i="4"/>
  <c r="K613" i="3" l="1"/>
  <c r="H613" i="3"/>
  <c r="C473" i="3"/>
  <c r="G614" i="3"/>
  <c r="C499" i="3"/>
  <c r="N357" i="3"/>
  <c r="O357" i="3" s="1"/>
  <c r="I389" i="4"/>
  <c r="P392" i="4"/>
  <c r="I392" i="20" s="1"/>
  <c r="C393" i="4"/>
  <c r="D393" i="4" s="1"/>
  <c r="G392" i="4"/>
  <c r="H390" i="4"/>
  <c r="J391" i="4"/>
  <c r="E391" i="4"/>
  <c r="K387" i="20"/>
  <c r="R388" i="4"/>
  <c r="K422" i="3"/>
  <c r="G423" i="3"/>
  <c r="H423" i="3" s="1"/>
  <c r="R395" i="3" s="1"/>
  <c r="S395" i="3" s="1"/>
  <c r="V395" i="3" s="1"/>
  <c r="K388" i="4"/>
  <c r="H614" i="3" l="1"/>
  <c r="K614" i="3"/>
  <c r="C474" i="3"/>
  <c r="G615" i="3"/>
  <c r="C500" i="3"/>
  <c r="N358" i="3"/>
  <c r="O358" i="3" s="1"/>
  <c r="I390" i="4"/>
  <c r="H391" i="4"/>
  <c r="E392" i="4"/>
  <c r="J392" i="4"/>
  <c r="K388" i="20"/>
  <c r="R389" i="4"/>
  <c r="P393" i="4"/>
  <c r="I393" i="20" s="1"/>
  <c r="C394" i="4"/>
  <c r="D394" i="4" s="1"/>
  <c r="G393" i="4"/>
  <c r="K423" i="3"/>
  <c r="G424" i="3"/>
  <c r="H424" i="3" s="1"/>
  <c r="R396" i="3" s="1"/>
  <c r="S396" i="3" s="1"/>
  <c r="V396" i="3" s="1"/>
  <c r="K389" i="4"/>
  <c r="H615" i="3" l="1"/>
  <c r="K615" i="3"/>
  <c r="C475" i="3"/>
  <c r="G616" i="3"/>
  <c r="C501" i="3"/>
  <c r="N359" i="3"/>
  <c r="O359" i="3" s="1"/>
  <c r="I391" i="4"/>
  <c r="J393" i="4"/>
  <c r="E393" i="4"/>
  <c r="C395" i="4"/>
  <c r="D395" i="4" s="1"/>
  <c r="P394" i="4"/>
  <c r="I394" i="20" s="1"/>
  <c r="G394" i="4"/>
  <c r="K389" i="20"/>
  <c r="R390" i="4"/>
  <c r="H392" i="4"/>
  <c r="K424" i="3"/>
  <c r="N392" i="3"/>
  <c r="G425" i="3"/>
  <c r="H425" i="3" s="1"/>
  <c r="R397" i="3" s="1"/>
  <c r="S397" i="3" s="1"/>
  <c r="V397" i="3" s="1"/>
  <c r="K390" i="4"/>
  <c r="H616" i="3" l="1"/>
  <c r="K616" i="3"/>
  <c r="C476" i="3"/>
  <c r="G617" i="3"/>
  <c r="C502" i="3"/>
  <c r="N360" i="3"/>
  <c r="O360" i="3" s="1"/>
  <c r="I392" i="4"/>
  <c r="H393" i="4"/>
  <c r="K390" i="20"/>
  <c r="R391" i="4"/>
  <c r="J394" i="4"/>
  <c r="E394" i="4"/>
  <c r="C396" i="4"/>
  <c r="D396" i="4" s="1"/>
  <c r="P395" i="4"/>
  <c r="I395" i="20" s="1"/>
  <c r="G395" i="4"/>
  <c r="K425" i="3"/>
  <c r="G426" i="3"/>
  <c r="H426" i="3" s="1"/>
  <c r="R398" i="3" s="1"/>
  <c r="S398" i="3" s="1"/>
  <c r="V398" i="3" s="1"/>
  <c r="K391" i="4"/>
  <c r="H617" i="3" l="1"/>
  <c r="K617" i="3"/>
  <c r="C477" i="3"/>
  <c r="G618" i="3"/>
  <c r="C503" i="3"/>
  <c r="N361" i="3"/>
  <c r="O361" i="3" s="1"/>
  <c r="I393" i="4"/>
  <c r="C397" i="4"/>
  <c r="D397" i="4" s="1"/>
  <c r="P396" i="4"/>
  <c r="I396" i="20" s="1"/>
  <c r="G396" i="4"/>
  <c r="H394" i="4"/>
  <c r="E395" i="4"/>
  <c r="J395" i="4"/>
  <c r="K391" i="20"/>
  <c r="R392" i="4"/>
  <c r="K426" i="3"/>
  <c r="G427" i="3"/>
  <c r="H427" i="3" s="1"/>
  <c r="R399" i="3" s="1"/>
  <c r="S399" i="3" s="1"/>
  <c r="V399" i="3" s="1"/>
  <c r="K392" i="4"/>
  <c r="H618" i="3" l="1"/>
  <c r="K618" i="3"/>
  <c r="C478" i="3"/>
  <c r="G619" i="3"/>
  <c r="C504" i="3"/>
  <c r="N362" i="3"/>
  <c r="O362" i="3" s="1"/>
  <c r="I394" i="4"/>
  <c r="J396" i="4"/>
  <c r="E396" i="4"/>
  <c r="H395" i="4"/>
  <c r="K392" i="20"/>
  <c r="R393" i="4"/>
  <c r="P397" i="4"/>
  <c r="I397" i="20" s="1"/>
  <c r="C398" i="4"/>
  <c r="D398" i="4" s="1"/>
  <c r="G397" i="4"/>
  <c r="K427" i="3"/>
  <c r="G428" i="3"/>
  <c r="H428" i="3" s="1"/>
  <c r="R400" i="3" s="1"/>
  <c r="S400" i="3" s="1"/>
  <c r="V400" i="3" s="1"/>
  <c r="K393" i="4"/>
  <c r="H619" i="3" l="1"/>
  <c r="K619" i="3"/>
  <c r="C479" i="3"/>
  <c r="G620" i="3"/>
  <c r="C505" i="3"/>
  <c r="N363" i="3"/>
  <c r="O363" i="3" s="1"/>
  <c r="I395" i="4"/>
  <c r="P398" i="4"/>
  <c r="I398" i="20" s="1"/>
  <c r="C399" i="4"/>
  <c r="D399" i="4" s="1"/>
  <c r="G398" i="4"/>
  <c r="K393" i="20"/>
  <c r="R394" i="4"/>
  <c r="H396" i="4"/>
  <c r="J397" i="4"/>
  <c r="E397" i="4"/>
  <c r="K428" i="3"/>
  <c r="G429" i="3"/>
  <c r="H429" i="3" s="1"/>
  <c r="K394" i="4"/>
  <c r="H620" i="3" l="1"/>
  <c r="K620" i="3"/>
  <c r="C480" i="3"/>
  <c r="G621" i="3"/>
  <c r="R401" i="3"/>
  <c r="S401" i="3" s="1"/>
  <c r="V401" i="3" s="1"/>
  <c r="R403" i="3"/>
  <c r="C506" i="3"/>
  <c r="N364" i="3"/>
  <c r="O364" i="3" s="1"/>
  <c r="I396" i="4"/>
  <c r="K394" i="20"/>
  <c r="R395" i="4"/>
  <c r="H397" i="4"/>
  <c r="E398" i="4"/>
  <c r="J398" i="4"/>
  <c r="C400" i="4"/>
  <c r="D400" i="4" s="1"/>
  <c r="P399" i="4"/>
  <c r="I399" i="20" s="1"/>
  <c r="G399" i="4"/>
  <c r="K429" i="3"/>
  <c r="G430" i="3"/>
  <c r="H430" i="3" s="1"/>
  <c r="R402" i="3" s="1"/>
  <c r="K395" i="4"/>
  <c r="H621" i="3" l="1"/>
  <c r="K621" i="3"/>
  <c r="C481" i="3"/>
  <c r="G622" i="3"/>
  <c r="C507" i="3"/>
  <c r="S402" i="3"/>
  <c r="V402" i="3" s="1"/>
  <c r="S403" i="3"/>
  <c r="V403" i="3" s="1"/>
  <c r="N365" i="3"/>
  <c r="O365" i="3" s="1"/>
  <c r="I397" i="4"/>
  <c r="H398" i="4"/>
  <c r="J399" i="4"/>
  <c r="E399" i="4"/>
  <c r="P400" i="4"/>
  <c r="I400" i="20" s="1"/>
  <c r="C401" i="4"/>
  <c r="D401" i="4" s="1"/>
  <c r="G400" i="4"/>
  <c r="K395" i="20"/>
  <c r="R396" i="4"/>
  <c r="K430" i="3"/>
  <c r="G432" i="3"/>
  <c r="H432" i="3" s="1"/>
  <c r="R404" i="3" s="1"/>
  <c r="S404" i="3" s="1"/>
  <c r="V404" i="3" s="1"/>
  <c r="K396" i="4"/>
  <c r="K622" i="3" l="1"/>
  <c r="H622" i="3"/>
  <c r="C482" i="3"/>
  <c r="G623" i="3"/>
  <c r="C508" i="3"/>
  <c r="O366" i="3"/>
  <c r="N367" i="3"/>
  <c r="O367" i="3" s="1"/>
  <c r="I398" i="4"/>
  <c r="C402" i="4"/>
  <c r="D402" i="4" s="1"/>
  <c r="P401" i="4"/>
  <c r="I401" i="20" s="1"/>
  <c r="G401" i="4"/>
  <c r="H399" i="4"/>
  <c r="K396" i="20"/>
  <c r="R397" i="4"/>
  <c r="E400" i="4"/>
  <c r="J400" i="4"/>
  <c r="K432" i="3"/>
  <c r="G433" i="3"/>
  <c r="H433" i="3" s="1"/>
  <c r="R405" i="3" s="1"/>
  <c r="S405" i="3" s="1"/>
  <c r="V405" i="3" s="1"/>
  <c r="K397" i="4"/>
  <c r="H623" i="3" l="1"/>
  <c r="K623" i="3"/>
  <c r="C483" i="3"/>
  <c r="G624" i="3"/>
  <c r="C509" i="3"/>
  <c r="N368" i="3"/>
  <c r="O368" i="3" s="1"/>
  <c r="I399" i="4"/>
  <c r="K397" i="20"/>
  <c r="R398" i="4"/>
  <c r="C403" i="4"/>
  <c r="D403" i="4" s="1"/>
  <c r="P402" i="4"/>
  <c r="I402" i="20" s="1"/>
  <c r="G402" i="4"/>
  <c r="J401" i="4"/>
  <c r="E401" i="4"/>
  <c r="H400" i="4"/>
  <c r="K433" i="3"/>
  <c r="G434" i="3"/>
  <c r="H434" i="3" s="1"/>
  <c r="R406" i="3" s="1"/>
  <c r="S406" i="3" s="1"/>
  <c r="V406" i="3" s="1"/>
  <c r="K398" i="4"/>
  <c r="H624" i="3" l="1"/>
  <c r="K624" i="3"/>
  <c r="C484" i="3"/>
  <c r="G625" i="3"/>
  <c r="C510" i="3"/>
  <c r="N369" i="3"/>
  <c r="O369" i="3" s="1"/>
  <c r="I400" i="4"/>
  <c r="J402" i="4"/>
  <c r="E402" i="4"/>
  <c r="H401" i="4"/>
  <c r="K398" i="20"/>
  <c r="R399" i="4"/>
  <c r="C404" i="4"/>
  <c r="D404" i="4" s="1"/>
  <c r="P403" i="4"/>
  <c r="I403" i="20" s="1"/>
  <c r="G403" i="4"/>
  <c r="K434" i="3"/>
  <c r="G435" i="3"/>
  <c r="H435" i="3" s="1"/>
  <c r="R407" i="3" s="1"/>
  <c r="S407" i="3" s="1"/>
  <c r="V407" i="3" s="1"/>
  <c r="K399" i="4"/>
  <c r="H625" i="3" l="1"/>
  <c r="K625" i="3"/>
  <c r="C485" i="3"/>
  <c r="G626" i="3"/>
  <c r="C511" i="3"/>
  <c r="N370" i="3"/>
  <c r="O370" i="3" s="1"/>
  <c r="I401" i="4"/>
  <c r="K399" i="20"/>
  <c r="R400" i="4"/>
  <c r="H402" i="4"/>
  <c r="E403" i="4"/>
  <c r="J403" i="4"/>
  <c r="P404" i="4"/>
  <c r="I404" i="20" s="1"/>
  <c r="C405" i="4"/>
  <c r="D405" i="4" s="1"/>
  <c r="G404" i="4"/>
  <c r="K435" i="3"/>
  <c r="G436" i="3"/>
  <c r="H436" i="3" s="1"/>
  <c r="R408" i="3" s="1"/>
  <c r="S408" i="3" s="1"/>
  <c r="V408" i="3" s="1"/>
  <c r="K400" i="4"/>
  <c r="H626" i="3" l="1"/>
  <c r="K626" i="3"/>
  <c r="C486" i="3"/>
  <c r="G627" i="3"/>
  <c r="C512" i="3"/>
  <c r="N371" i="3"/>
  <c r="O371" i="3" s="1"/>
  <c r="I402" i="4"/>
  <c r="J404" i="4"/>
  <c r="E404" i="4"/>
  <c r="C406" i="4"/>
  <c r="D406" i="4" s="1"/>
  <c r="P405" i="4"/>
  <c r="I405" i="20" s="1"/>
  <c r="G405" i="4"/>
  <c r="H403" i="4"/>
  <c r="K400" i="20"/>
  <c r="R401" i="4"/>
  <c r="K436" i="3"/>
  <c r="G437" i="3"/>
  <c r="H437" i="3" s="1"/>
  <c r="R409" i="3" s="1"/>
  <c r="S409" i="3" s="1"/>
  <c r="V409" i="3" s="1"/>
  <c r="K401" i="4"/>
  <c r="H627" i="3" l="1"/>
  <c r="K627" i="3"/>
  <c r="C487" i="3"/>
  <c r="G628" i="3"/>
  <c r="C513" i="3"/>
  <c r="N372" i="3"/>
  <c r="O372" i="3" s="1"/>
  <c r="I403" i="4"/>
  <c r="P406" i="4"/>
  <c r="I406" i="20" s="1"/>
  <c r="C407" i="4"/>
  <c r="D407" i="4" s="1"/>
  <c r="G406" i="4"/>
  <c r="H404" i="4"/>
  <c r="J405" i="4"/>
  <c r="E405" i="4"/>
  <c r="K401" i="20"/>
  <c r="R402" i="4"/>
  <c r="K437" i="3"/>
  <c r="G438" i="3"/>
  <c r="H438" i="3" s="1"/>
  <c r="R410" i="3" s="1"/>
  <c r="S410" i="3" s="1"/>
  <c r="V410" i="3" s="1"/>
  <c r="K402" i="4"/>
  <c r="H628" i="3" l="1"/>
  <c r="K628" i="3"/>
  <c r="C488" i="3"/>
  <c r="G629" i="3"/>
  <c r="C514" i="3"/>
  <c r="N373" i="3"/>
  <c r="O373" i="3" s="1"/>
  <c r="I404" i="4"/>
  <c r="E406" i="4"/>
  <c r="J406" i="4"/>
  <c r="P407" i="4"/>
  <c r="I407" i="20" s="1"/>
  <c r="C408" i="4"/>
  <c r="D408" i="4" s="1"/>
  <c r="G407" i="4"/>
  <c r="H405" i="4"/>
  <c r="K402" i="20"/>
  <c r="R403" i="4"/>
  <c r="N405" i="3"/>
  <c r="K438" i="3"/>
  <c r="G439" i="3"/>
  <c r="H439" i="3" s="1"/>
  <c r="R411" i="3" s="1"/>
  <c r="S411" i="3" s="1"/>
  <c r="V411" i="3" s="1"/>
  <c r="K403" i="4"/>
  <c r="H629" i="3" l="1"/>
  <c r="K629" i="3"/>
  <c r="C489" i="3"/>
  <c r="G630" i="3"/>
  <c r="C515" i="3"/>
  <c r="N374" i="3"/>
  <c r="O374" i="3" s="1"/>
  <c r="I405" i="4"/>
  <c r="J407" i="4"/>
  <c r="E407" i="4"/>
  <c r="H406" i="4"/>
  <c r="P408" i="4"/>
  <c r="I408" i="20" s="1"/>
  <c r="C409" i="4"/>
  <c r="D409" i="4" s="1"/>
  <c r="G408" i="4"/>
  <c r="K403" i="20"/>
  <c r="R404" i="4"/>
  <c r="K439" i="3"/>
  <c r="G440" i="3"/>
  <c r="H440" i="3" s="1"/>
  <c r="R412" i="3" s="1"/>
  <c r="S412" i="3" s="1"/>
  <c r="V412" i="3" s="1"/>
  <c r="K404" i="4"/>
  <c r="H630" i="3" l="1"/>
  <c r="K630" i="3"/>
  <c r="C490" i="3"/>
  <c r="G631" i="3"/>
  <c r="C516" i="3"/>
  <c r="N375" i="3"/>
  <c r="O375" i="3" s="1"/>
  <c r="I406" i="4"/>
  <c r="H407" i="4"/>
  <c r="E408" i="4"/>
  <c r="J408" i="4"/>
  <c r="K404" i="20"/>
  <c r="R405" i="4"/>
  <c r="P409" i="4"/>
  <c r="I409" i="20" s="1"/>
  <c r="C410" i="4"/>
  <c r="D410" i="4" s="1"/>
  <c r="G409" i="4"/>
  <c r="K440" i="3"/>
  <c r="G441" i="3"/>
  <c r="H441" i="3" s="1"/>
  <c r="R413" i="3" s="1"/>
  <c r="S413" i="3" s="1"/>
  <c r="V413" i="3" s="1"/>
  <c r="K405" i="4"/>
  <c r="H631" i="3" l="1"/>
  <c r="K631" i="3"/>
  <c r="C491" i="3"/>
  <c r="G632" i="3"/>
  <c r="C517" i="3"/>
  <c r="N376" i="3"/>
  <c r="O376" i="3" s="1"/>
  <c r="I407" i="4"/>
  <c r="P410" i="4"/>
  <c r="I410" i="20" s="1"/>
  <c r="C411" i="4"/>
  <c r="D411" i="4" s="1"/>
  <c r="G410" i="4"/>
  <c r="K405" i="20"/>
  <c r="R406" i="4"/>
  <c r="H408" i="4"/>
  <c r="J409" i="4"/>
  <c r="E409" i="4"/>
  <c r="K441" i="3"/>
  <c r="G442" i="3"/>
  <c r="H442" i="3" s="1"/>
  <c r="K406" i="4"/>
  <c r="H632" i="3" l="1"/>
  <c r="K632" i="3"/>
  <c r="C492" i="3"/>
  <c r="G633" i="3"/>
  <c r="R414" i="3"/>
  <c r="S414" i="3" s="1"/>
  <c r="V414" i="3" s="1"/>
  <c r="R416" i="3"/>
  <c r="C518" i="3"/>
  <c r="G637" i="3"/>
  <c r="N377" i="3"/>
  <c r="O377" i="3" s="1"/>
  <c r="I408" i="4"/>
  <c r="K406" i="20"/>
  <c r="R407" i="4"/>
  <c r="C412" i="4"/>
  <c r="D412" i="4" s="1"/>
  <c r="P411" i="4"/>
  <c r="I411" i="20" s="1"/>
  <c r="G411" i="4"/>
  <c r="H409" i="4"/>
  <c r="J410" i="4"/>
  <c r="E410" i="4"/>
  <c r="K442" i="3"/>
  <c r="G443" i="3"/>
  <c r="H443" i="3" s="1"/>
  <c r="R415" i="3" s="1"/>
  <c r="K407" i="4"/>
  <c r="H633" i="3" l="1"/>
  <c r="K633" i="3"/>
  <c r="C493" i="3"/>
  <c r="G634" i="3"/>
  <c r="H637" i="3"/>
  <c r="K637" i="3"/>
  <c r="C519" i="3"/>
  <c r="G638" i="3"/>
  <c r="S415" i="3"/>
  <c r="V415" i="3" s="1"/>
  <c r="S416" i="3"/>
  <c r="V416" i="3" s="1"/>
  <c r="N378" i="3"/>
  <c r="O378" i="3" s="1"/>
  <c r="I409" i="4"/>
  <c r="H410" i="4"/>
  <c r="K407" i="20"/>
  <c r="R408" i="4"/>
  <c r="E411" i="4"/>
  <c r="J411" i="4"/>
  <c r="C413" i="4"/>
  <c r="D413" i="4" s="1"/>
  <c r="P412" i="4"/>
  <c r="I412" i="20" s="1"/>
  <c r="G412" i="4"/>
  <c r="K443" i="3"/>
  <c r="G445" i="3"/>
  <c r="H445" i="3" s="1"/>
  <c r="R417" i="3" s="1"/>
  <c r="S417" i="3" s="1"/>
  <c r="V417" i="3" s="1"/>
  <c r="K408" i="4"/>
  <c r="H634" i="3" l="1"/>
  <c r="K634" i="3"/>
  <c r="C494" i="3"/>
  <c r="G636" i="3" s="1"/>
  <c r="G635" i="3"/>
  <c r="O379" i="3"/>
  <c r="H638" i="3"/>
  <c r="K638" i="3"/>
  <c r="C520" i="3"/>
  <c r="G639" i="3"/>
  <c r="N380" i="3"/>
  <c r="O380" i="3" s="1"/>
  <c r="I410" i="4"/>
  <c r="H411" i="4"/>
  <c r="K408" i="20"/>
  <c r="R409" i="4"/>
  <c r="C414" i="4"/>
  <c r="D414" i="4" s="1"/>
  <c r="P413" i="4"/>
  <c r="I413" i="20" s="1"/>
  <c r="G413" i="4"/>
  <c r="J412" i="4"/>
  <c r="E412" i="4"/>
  <c r="K445" i="3"/>
  <c r="G446" i="3"/>
  <c r="H446" i="3" s="1"/>
  <c r="R418" i="3" s="1"/>
  <c r="S418" i="3" s="1"/>
  <c r="V418" i="3" s="1"/>
  <c r="K409" i="4"/>
  <c r="H635" i="3" l="1"/>
  <c r="K635" i="3"/>
  <c r="H636" i="3"/>
  <c r="K636" i="3"/>
  <c r="H639" i="3"/>
  <c r="K639" i="3"/>
  <c r="C521" i="3"/>
  <c r="G640" i="3"/>
  <c r="N381" i="3"/>
  <c r="O381" i="3" s="1"/>
  <c r="I411" i="4"/>
  <c r="J413" i="4"/>
  <c r="E413" i="4"/>
  <c r="C415" i="4"/>
  <c r="D415" i="4" s="1"/>
  <c r="P414" i="4"/>
  <c r="I414" i="20" s="1"/>
  <c r="G414" i="4"/>
  <c r="K409" i="20"/>
  <c r="R410" i="4"/>
  <c r="H412" i="4"/>
  <c r="K446" i="3"/>
  <c r="G447" i="3"/>
  <c r="H447" i="3" s="1"/>
  <c r="R419" i="3" s="1"/>
  <c r="S419" i="3" s="1"/>
  <c r="V419" i="3" s="1"/>
  <c r="K410" i="4"/>
  <c r="H640" i="3" l="1"/>
  <c r="K640" i="3"/>
  <c r="C522" i="3"/>
  <c r="G641" i="3"/>
  <c r="N382" i="3"/>
  <c r="O382" i="3" s="1"/>
  <c r="I412" i="4"/>
  <c r="H413" i="4"/>
  <c r="K410" i="20"/>
  <c r="R411" i="4"/>
  <c r="C416" i="4"/>
  <c r="D416" i="4" s="1"/>
  <c r="P415" i="4"/>
  <c r="I415" i="20" s="1"/>
  <c r="G415" i="4"/>
  <c r="E414" i="4"/>
  <c r="J414" i="4"/>
  <c r="K447" i="3"/>
  <c r="G448" i="3"/>
  <c r="H448" i="3" s="1"/>
  <c r="K411" i="4"/>
  <c r="H641" i="3" l="1"/>
  <c r="K641" i="3"/>
  <c r="C523" i="3"/>
  <c r="G642" i="3"/>
  <c r="R420" i="3"/>
  <c r="S420" i="3" s="1"/>
  <c r="V420" i="3" s="1"/>
  <c r="N383" i="3"/>
  <c r="O383" i="3" s="1"/>
  <c r="I413" i="4"/>
  <c r="H414" i="4"/>
  <c r="J415" i="4"/>
  <c r="E415" i="4"/>
  <c r="P416" i="4"/>
  <c r="I416" i="20" s="1"/>
  <c r="C417" i="4"/>
  <c r="D417" i="4" s="1"/>
  <c r="G416" i="4"/>
  <c r="K411" i="20"/>
  <c r="R412" i="4"/>
  <c r="K448" i="3"/>
  <c r="G449" i="3"/>
  <c r="H449" i="3" s="1"/>
  <c r="R421" i="3" s="1"/>
  <c r="S421" i="3" s="1"/>
  <c r="V421" i="3" s="1"/>
  <c r="K412" i="4"/>
  <c r="H642" i="3" l="1"/>
  <c r="K642" i="3"/>
  <c r="C524" i="3"/>
  <c r="G643" i="3"/>
  <c r="N384" i="3"/>
  <c r="O384" i="3" s="1"/>
  <c r="I414" i="4"/>
  <c r="K412" i="20"/>
  <c r="R413" i="4"/>
  <c r="E416" i="4"/>
  <c r="J416" i="4"/>
  <c r="C418" i="4"/>
  <c r="D418" i="4" s="1"/>
  <c r="P417" i="4"/>
  <c r="I417" i="20" s="1"/>
  <c r="G417" i="4"/>
  <c r="H415" i="4"/>
  <c r="K449" i="3"/>
  <c r="G450" i="3"/>
  <c r="H450" i="3" s="1"/>
  <c r="R422" i="3" s="1"/>
  <c r="S422" i="3" s="1"/>
  <c r="V422" i="3" s="1"/>
  <c r="K413" i="4"/>
  <c r="H643" i="3" l="1"/>
  <c r="K643" i="3"/>
  <c r="C525" i="3"/>
  <c r="G644" i="3"/>
  <c r="N385" i="3"/>
  <c r="O385" i="3" s="1"/>
  <c r="I415" i="4"/>
  <c r="J417" i="4"/>
  <c r="E417" i="4"/>
  <c r="P418" i="4"/>
  <c r="I418" i="20" s="1"/>
  <c r="C419" i="4"/>
  <c r="D419" i="4" s="1"/>
  <c r="G418" i="4"/>
  <c r="K413" i="20"/>
  <c r="R414" i="4"/>
  <c r="H416" i="4"/>
  <c r="K450" i="3"/>
  <c r="G451" i="3"/>
  <c r="H451" i="3" s="1"/>
  <c r="R423" i="3" s="1"/>
  <c r="S423" i="3" s="1"/>
  <c r="V423" i="3" s="1"/>
  <c r="K414" i="4"/>
  <c r="H644" i="3" l="1"/>
  <c r="K644" i="3"/>
  <c r="C526" i="3"/>
  <c r="G645" i="3"/>
  <c r="N386" i="3"/>
  <c r="O386" i="3" s="1"/>
  <c r="I416" i="4"/>
  <c r="H417" i="4"/>
  <c r="K414" i="20"/>
  <c r="R415" i="4"/>
  <c r="C420" i="4"/>
  <c r="D420" i="4" s="1"/>
  <c r="P419" i="4"/>
  <c r="I419" i="20" s="1"/>
  <c r="G419" i="4"/>
  <c r="J418" i="4"/>
  <c r="E418" i="4"/>
  <c r="K451" i="3"/>
  <c r="G452" i="3"/>
  <c r="H452" i="3" s="1"/>
  <c r="R424" i="3" s="1"/>
  <c r="S424" i="3" s="1"/>
  <c r="V424" i="3" s="1"/>
  <c r="K415" i="4"/>
  <c r="H645" i="3" l="1"/>
  <c r="K645" i="3"/>
  <c r="C527" i="3"/>
  <c r="G646" i="3"/>
  <c r="N387" i="3"/>
  <c r="O387" i="3" s="1"/>
  <c r="I417" i="4"/>
  <c r="H418" i="4"/>
  <c r="K415" i="20"/>
  <c r="R416" i="4"/>
  <c r="E419" i="4"/>
  <c r="J419" i="4"/>
  <c r="C421" i="4"/>
  <c r="D421" i="4" s="1"/>
  <c r="P420" i="4"/>
  <c r="I420" i="20" s="1"/>
  <c r="G420" i="4"/>
  <c r="K452" i="3"/>
  <c r="N418" i="3"/>
  <c r="G453" i="3"/>
  <c r="H453" i="3" s="1"/>
  <c r="R425" i="3" s="1"/>
  <c r="S425" i="3" s="1"/>
  <c r="V425" i="3" s="1"/>
  <c r="K416" i="4"/>
  <c r="H646" i="3" l="1"/>
  <c r="K646" i="3"/>
  <c r="C528" i="3"/>
  <c r="G647" i="3"/>
  <c r="N388" i="3"/>
  <c r="O388" i="3" s="1"/>
  <c r="I418" i="4"/>
  <c r="H419" i="4"/>
  <c r="J420" i="4"/>
  <c r="E420" i="4"/>
  <c r="K416" i="20"/>
  <c r="R417" i="4"/>
  <c r="C422" i="4"/>
  <c r="D422" i="4" s="1"/>
  <c r="P421" i="4"/>
  <c r="I421" i="20" s="1"/>
  <c r="G421" i="4"/>
  <c r="K453" i="3"/>
  <c r="G454" i="3"/>
  <c r="H454" i="3" s="1"/>
  <c r="R426" i="3" s="1"/>
  <c r="S426" i="3" s="1"/>
  <c r="V426" i="3" s="1"/>
  <c r="K417" i="4"/>
  <c r="H647" i="3" l="1"/>
  <c r="K647" i="3"/>
  <c r="C529" i="3"/>
  <c r="G648" i="3"/>
  <c r="N389" i="3"/>
  <c r="O389" i="3" s="1"/>
  <c r="I419" i="4"/>
  <c r="K417" i="20"/>
  <c r="R418" i="4"/>
  <c r="H420" i="4"/>
  <c r="J421" i="4"/>
  <c r="E421" i="4"/>
  <c r="C423" i="4"/>
  <c r="D423" i="4" s="1"/>
  <c r="P422" i="4"/>
  <c r="I422" i="20" s="1"/>
  <c r="G422" i="4"/>
  <c r="K454" i="3"/>
  <c r="G455" i="3"/>
  <c r="H455" i="3" s="1"/>
  <c r="K418" i="4"/>
  <c r="R427" i="3" l="1"/>
  <c r="S427" i="3" s="1"/>
  <c r="V427" i="3" s="1"/>
  <c r="R429" i="3"/>
  <c r="H648" i="3"/>
  <c r="K648" i="3"/>
  <c r="C530" i="3"/>
  <c r="G649" i="3"/>
  <c r="N390" i="3"/>
  <c r="O390" i="3" s="1"/>
  <c r="I420" i="4"/>
  <c r="K418" i="20"/>
  <c r="R419" i="4"/>
  <c r="E422" i="4"/>
  <c r="J422" i="4"/>
  <c r="C424" i="4"/>
  <c r="D424" i="4" s="1"/>
  <c r="P423" i="4"/>
  <c r="I423" i="20" s="1"/>
  <c r="G423" i="4"/>
  <c r="H421" i="4"/>
  <c r="K455" i="3"/>
  <c r="G456" i="3"/>
  <c r="H456" i="3" s="1"/>
  <c r="R428" i="3" s="1"/>
  <c r="K419" i="4"/>
  <c r="H649" i="3" l="1"/>
  <c r="K649" i="3"/>
  <c r="C531" i="3"/>
  <c r="G650" i="3"/>
  <c r="S428" i="3"/>
  <c r="V428" i="3" s="1"/>
  <c r="S429" i="3"/>
  <c r="V429" i="3" s="1"/>
  <c r="N391" i="3"/>
  <c r="O391" i="3" s="1"/>
  <c r="I421" i="4"/>
  <c r="H422" i="4"/>
  <c r="J423" i="4"/>
  <c r="E423" i="4"/>
  <c r="P424" i="4"/>
  <c r="I424" i="20" s="1"/>
  <c r="C425" i="4"/>
  <c r="D425" i="4" s="1"/>
  <c r="G424" i="4"/>
  <c r="K419" i="20"/>
  <c r="R420" i="4"/>
  <c r="K456" i="3"/>
  <c r="G458" i="3"/>
  <c r="H458" i="3" s="1"/>
  <c r="R430" i="3" s="1"/>
  <c r="S430" i="3" s="1"/>
  <c r="V430" i="3" s="1"/>
  <c r="K420" i="4"/>
  <c r="O392" i="3" l="1"/>
  <c r="H650" i="3"/>
  <c r="K650" i="3"/>
  <c r="C532" i="3"/>
  <c r="G651" i="3"/>
  <c r="N393" i="3"/>
  <c r="O393" i="3" s="1"/>
  <c r="I422" i="4"/>
  <c r="E424" i="4"/>
  <c r="J424" i="4"/>
  <c r="H423" i="4"/>
  <c r="K420" i="20"/>
  <c r="R421" i="4"/>
  <c r="P425" i="4"/>
  <c r="I425" i="20" s="1"/>
  <c r="C426" i="4"/>
  <c r="D426" i="4" s="1"/>
  <c r="G425" i="4"/>
  <c r="K458" i="3"/>
  <c r="G459" i="3"/>
  <c r="H459" i="3" s="1"/>
  <c r="R431" i="3" s="1"/>
  <c r="S431" i="3" s="1"/>
  <c r="V431" i="3" s="1"/>
  <c r="K421" i="4"/>
  <c r="H651" i="3" l="1"/>
  <c r="K651" i="3"/>
  <c r="C533" i="3"/>
  <c r="G652" i="3"/>
  <c r="N394" i="3"/>
  <c r="O394" i="3" s="1"/>
  <c r="I423" i="4"/>
  <c r="K421" i="20"/>
  <c r="R422" i="4"/>
  <c r="C427" i="4"/>
  <c r="D427" i="4" s="1"/>
  <c r="P426" i="4"/>
  <c r="I426" i="20" s="1"/>
  <c r="G426" i="4"/>
  <c r="J425" i="4"/>
  <c r="E425" i="4"/>
  <c r="H424" i="4"/>
  <c r="K459" i="3"/>
  <c r="G460" i="3"/>
  <c r="H460" i="3" s="1"/>
  <c r="R432" i="3" s="1"/>
  <c r="S432" i="3" s="1"/>
  <c r="V432" i="3" s="1"/>
  <c r="K422" i="4"/>
  <c r="H652" i="3" l="1"/>
  <c r="K652" i="3"/>
  <c r="C534" i="3"/>
  <c r="G653" i="3"/>
  <c r="N395" i="3"/>
  <c r="O395" i="3" s="1"/>
  <c r="I424" i="4"/>
  <c r="J426" i="4"/>
  <c r="E426" i="4"/>
  <c r="C428" i="4"/>
  <c r="D428" i="4" s="1"/>
  <c r="P427" i="4"/>
  <c r="I427" i="20" s="1"/>
  <c r="G427" i="4"/>
  <c r="H425" i="4"/>
  <c r="K422" i="20"/>
  <c r="R423" i="4"/>
  <c r="K460" i="3"/>
  <c r="G461" i="3"/>
  <c r="H461" i="3" s="1"/>
  <c r="R433" i="3" s="1"/>
  <c r="S433" i="3" s="1"/>
  <c r="V433" i="3" s="1"/>
  <c r="K423" i="4"/>
  <c r="H653" i="3" l="1"/>
  <c r="K653" i="3"/>
  <c r="C535" i="3"/>
  <c r="G654" i="3"/>
  <c r="N396" i="3"/>
  <c r="O396" i="3" s="1"/>
  <c r="I425" i="4"/>
  <c r="P428" i="4"/>
  <c r="I428" i="20" s="1"/>
  <c r="C429" i="4"/>
  <c r="D429" i="4" s="1"/>
  <c r="G428" i="4"/>
  <c r="H426" i="4"/>
  <c r="K423" i="20"/>
  <c r="R424" i="4"/>
  <c r="E427" i="4"/>
  <c r="J427" i="4"/>
  <c r="K461" i="3"/>
  <c r="G462" i="3"/>
  <c r="K424" i="4"/>
  <c r="C536" i="3" l="1"/>
  <c r="G655" i="3"/>
  <c r="H654" i="3"/>
  <c r="K654" i="3"/>
  <c r="H462" i="3"/>
  <c r="R434" i="3" s="1"/>
  <c r="N397" i="3"/>
  <c r="O397" i="3" s="1"/>
  <c r="I426" i="4"/>
  <c r="H427" i="4"/>
  <c r="C430" i="4"/>
  <c r="D430" i="4" s="1"/>
  <c r="P429" i="4"/>
  <c r="I429" i="20" s="1"/>
  <c r="G429" i="4"/>
  <c r="J428" i="4"/>
  <c r="E428" i="4"/>
  <c r="K424" i="20"/>
  <c r="R425" i="4"/>
  <c r="K462" i="3"/>
  <c r="G463" i="3"/>
  <c r="H463" i="3" s="1"/>
  <c r="R435" i="3" s="1"/>
  <c r="K425" i="4"/>
  <c r="S435" i="3" l="1"/>
  <c r="V435" i="3" s="1"/>
  <c r="H655" i="3"/>
  <c r="K655" i="3"/>
  <c r="C537" i="3"/>
  <c r="G656" i="3"/>
  <c r="S434" i="3"/>
  <c r="V434" i="3" s="1"/>
  <c r="N398" i="3"/>
  <c r="O398" i="3" s="1"/>
  <c r="I427" i="4"/>
  <c r="K425" i="20"/>
  <c r="R426" i="4"/>
  <c r="C431" i="4"/>
  <c r="D431" i="4" s="1"/>
  <c r="P430" i="4"/>
  <c r="I430" i="20" s="1"/>
  <c r="G430" i="4"/>
  <c r="J429" i="4"/>
  <c r="E429" i="4"/>
  <c r="H428" i="4"/>
  <c r="K463" i="3"/>
  <c r="G464" i="3"/>
  <c r="H464" i="3" s="1"/>
  <c r="R436" i="3" s="1"/>
  <c r="S436" i="3" s="1"/>
  <c r="V436" i="3" s="1"/>
  <c r="K426" i="4"/>
  <c r="H656" i="3" l="1"/>
  <c r="K656" i="3"/>
  <c r="C538" i="3"/>
  <c r="G657" i="3"/>
  <c r="N399" i="3"/>
  <c r="O399" i="3" s="1"/>
  <c r="I428" i="4"/>
  <c r="E430" i="4"/>
  <c r="J430" i="4"/>
  <c r="C432" i="4"/>
  <c r="D432" i="4" s="1"/>
  <c r="P431" i="4"/>
  <c r="I431" i="20" s="1"/>
  <c r="G431" i="4"/>
  <c r="H429" i="4"/>
  <c r="K426" i="20"/>
  <c r="R427" i="4"/>
  <c r="K464" i="3"/>
  <c r="G465" i="3"/>
  <c r="H465" i="3" s="1"/>
  <c r="R437" i="3" s="1"/>
  <c r="S437" i="3" s="1"/>
  <c r="V437" i="3" s="1"/>
  <c r="K427" i="4"/>
  <c r="H657" i="3" l="1"/>
  <c r="K657" i="3"/>
  <c r="C539" i="3"/>
  <c r="G658" i="3"/>
  <c r="N400" i="3"/>
  <c r="O400" i="3" s="1"/>
  <c r="I429" i="4"/>
  <c r="J431" i="4"/>
  <c r="E431" i="4"/>
  <c r="C433" i="4"/>
  <c r="D433" i="4" s="1"/>
  <c r="P432" i="4"/>
  <c r="I432" i="20" s="1"/>
  <c r="G432" i="4"/>
  <c r="H430" i="4"/>
  <c r="K427" i="20"/>
  <c r="R428" i="4"/>
  <c r="K465" i="3"/>
  <c r="G466" i="3"/>
  <c r="H466" i="3" s="1"/>
  <c r="R438" i="3" s="1"/>
  <c r="S438" i="3" s="1"/>
  <c r="V438" i="3" s="1"/>
  <c r="K428" i="4"/>
  <c r="H658" i="3" l="1"/>
  <c r="K658" i="3"/>
  <c r="C540" i="3"/>
  <c r="G659" i="3"/>
  <c r="N401" i="3"/>
  <c r="O401" i="3" s="1"/>
  <c r="I430" i="4"/>
  <c r="H431" i="4"/>
  <c r="C434" i="4"/>
  <c r="D434" i="4" s="1"/>
  <c r="P433" i="4"/>
  <c r="I433" i="20" s="1"/>
  <c r="G433" i="4"/>
  <c r="K428" i="20"/>
  <c r="R429" i="4"/>
  <c r="E432" i="4"/>
  <c r="J432" i="4"/>
  <c r="N431" i="3"/>
  <c r="K466" i="3"/>
  <c r="G467" i="3"/>
  <c r="H467" i="3" s="1"/>
  <c r="R439" i="3" s="1"/>
  <c r="S439" i="3" s="1"/>
  <c r="V439" i="3" s="1"/>
  <c r="K429" i="4"/>
  <c r="H659" i="3" l="1"/>
  <c r="K659" i="3"/>
  <c r="C541" i="3"/>
  <c r="G660" i="3"/>
  <c r="N402" i="3"/>
  <c r="O402" i="3" s="1"/>
  <c r="I431" i="4"/>
  <c r="J433" i="4"/>
  <c r="E433" i="4"/>
  <c r="P434" i="4"/>
  <c r="I434" i="20" s="1"/>
  <c r="C435" i="4"/>
  <c r="D435" i="4" s="1"/>
  <c r="G434" i="4"/>
  <c r="H432" i="4"/>
  <c r="K429" i="20"/>
  <c r="R430" i="4"/>
  <c r="K467" i="3"/>
  <c r="G468" i="3"/>
  <c r="H468" i="3" s="1"/>
  <c r="K430" i="4"/>
  <c r="R440" i="3" l="1"/>
  <c r="S440" i="3" s="1"/>
  <c r="V440" i="3" s="1"/>
  <c r="R442" i="3"/>
  <c r="H660" i="3"/>
  <c r="K660" i="3"/>
  <c r="C542" i="3"/>
  <c r="G661" i="3"/>
  <c r="N403" i="3"/>
  <c r="O403" i="3" s="1"/>
  <c r="I432" i="4"/>
  <c r="K430" i="20"/>
  <c r="R431" i="4"/>
  <c r="H433" i="4"/>
  <c r="C436" i="4"/>
  <c r="D436" i="4" s="1"/>
  <c r="P435" i="4"/>
  <c r="I435" i="20" s="1"/>
  <c r="G435" i="4"/>
  <c r="J434" i="4"/>
  <c r="E434" i="4"/>
  <c r="K468" i="3"/>
  <c r="G469" i="3"/>
  <c r="H469" i="3" s="1"/>
  <c r="R441" i="3" s="1"/>
  <c r="K431" i="4"/>
  <c r="H661" i="3" l="1"/>
  <c r="K661" i="3"/>
  <c r="C543" i="3"/>
  <c r="G662" i="3"/>
  <c r="S441" i="3"/>
  <c r="V441" i="3" s="1"/>
  <c r="S442" i="3"/>
  <c r="V442" i="3" s="1"/>
  <c r="N404" i="3"/>
  <c r="O404" i="3" s="1"/>
  <c r="I433" i="4"/>
  <c r="P436" i="4"/>
  <c r="I436" i="20" s="1"/>
  <c r="C437" i="4"/>
  <c r="D437" i="4" s="1"/>
  <c r="G436" i="4"/>
  <c r="K431" i="20"/>
  <c r="R432" i="4"/>
  <c r="E435" i="4"/>
  <c r="J435" i="4"/>
  <c r="H434" i="4"/>
  <c r="K469" i="3"/>
  <c r="G471" i="3"/>
  <c r="H471" i="3" s="1"/>
  <c r="R443" i="3" s="1"/>
  <c r="S443" i="3" s="1"/>
  <c r="V443" i="3" s="1"/>
  <c r="K432" i="4"/>
  <c r="H662" i="3" l="1"/>
  <c r="K662" i="3"/>
  <c r="C544" i="3"/>
  <c r="G663" i="3"/>
  <c r="O405" i="3"/>
  <c r="N406" i="3"/>
  <c r="O406" i="3" s="1"/>
  <c r="I434" i="4"/>
  <c r="J436" i="4"/>
  <c r="E436" i="4"/>
  <c r="K432" i="20"/>
  <c r="R433" i="4"/>
  <c r="C438" i="4"/>
  <c r="D438" i="4" s="1"/>
  <c r="P437" i="4"/>
  <c r="I437" i="20" s="1"/>
  <c r="G437" i="4"/>
  <c r="H435" i="4"/>
  <c r="K471" i="3"/>
  <c r="G472" i="3"/>
  <c r="H472" i="3" s="1"/>
  <c r="R444" i="3" s="1"/>
  <c r="S444" i="3" s="1"/>
  <c r="V444" i="3" s="1"/>
  <c r="K433" i="4"/>
  <c r="H663" i="3" l="1"/>
  <c r="K663" i="3"/>
  <c r="C545" i="3"/>
  <c r="G664" i="3"/>
  <c r="N407" i="3"/>
  <c r="O407" i="3" s="1"/>
  <c r="I435" i="4"/>
  <c r="P438" i="4"/>
  <c r="I438" i="20" s="1"/>
  <c r="C439" i="4"/>
  <c r="D439" i="4" s="1"/>
  <c r="G438" i="4"/>
  <c r="K433" i="20"/>
  <c r="R434" i="4"/>
  <c r="J437" i="4"/>
  <c r="E437" i="4"/>
  <c r="H436" i="4"/>
  <c r="G473" i="3"/>
  <c r="H473" i="3" s="1"/>
  <c r="R445" i="3" s="1"/>
  <c r="S445" i="3" s="1"/>
  <c r="V445" i="3" s="1"/>
  <c r="K472" i="3"/>
  <c r="K434" i="4"/>
  <c r="H664" i="3" l="1"/>
  <c r="K664" i="3"/>
  <c r="C546" i="3"/>
  <c r="G665" i="3"/>
  <c r="N408" i="3"/>
  <c r="O408" i="3" s="1"/>
  <c r="I436" i="4"/>
  <c r="K434" i="20"/>
  <c r="R435" i="4"/>
  <c r="H437" i="4"/>
  <c r="E438" i="4"/>
  <c r="J438" i="4"/>
  <c r="C440" i="4"/>
  <c r="D440" i="4" s="1"/>
  <c r="P439" i="4"/>
  <c r="I439" i="20" s="1"/>
  <c r="G439" i="4"/>
  <c r="K473" i="3"/>
  <c r="G474" i="3"/>
  <c r="H474" i="3" s="1"/>
  <c r="R446" i="3" s="1"/>
  <c r="S446" i="3" s="1"/>
  <c r="V446" i="3" s="1"/>
  <c r="K435" i="4"/>
  <c r="H665" i="3" l="1"/>
  <c r="K665" i="3"/>
  <c r="C547" i="3"/>
  <c r="G666" i="3"/>
  <c r="N409" i="3"/>
  <c r="O409" i="3" s="1"/>
  <c r="I437" i="4"/>
  <c r="H438" i="4"/>
  <c r="J439" i="4"/>
  <c r="E439" i="4"/>
  <c r="P440" i="4"/>
  <c r="I440" i="20" s="1"/>
  <c r="C441" i="4"/>
  <c r="D441" i="4" s="1"/>
  <c r="G440" i="4"/>
  <c r="K435" i="20"/>
  <c r="R436" i="4"/>
  <c r="K474" i="3"/>
  <c r="G475" i="3"/>
  <c r="H475" i="3" s="1"/>
  <c r="R447" i="3" s="1"/>
  <c r="S447" i="3" s="1"/>
  <c r="V447" i="3" s="1"/>
  <c r="K436" i="4"/>
  <c r="H666" i="3" l="1"/>
  <c r="K666" i="3"/>
  <c r="C548" i="3"/>
  <c r="G667" i="3"/>
  <c r="N410" i="3"/>
  <c r="O410" i="3" s="1"/>
  <c r="I438" i="4"/>
  <c r="E440" i="4"/>
  <c r="J440" i="4"/>
  <c r="C442" i="4"/>
  <c r="D442" i="4" s="1"/>
  <c r="P441" i="4"/>
  <c r="I441" i="20" s="1"/>
  <c r="G441" i="4"/>
  <c r="H439" i="4"/>
  <c r="K436" i="20"/>
  <c r="R437" i="4"/>
  <c r="G476" i="3"/>
  <c r="H476" i="3" s="1"/>
  <c r="R448" i="3" s="1"/>
  <c r="S448" i="3" s="1"/>
  <c r="V448" i="3" s="1"/>
  <c r="K475" i="3"/>
  <c r="K437" i="4"/>
  <c r="H667" i="3" l="1"/>
  <c r="K667" i="3"/>
  <c r="C549" i="3"/>
  <c r="G668" i="3"/>
  <c r="N411" i="3"/>
  <c r="O411" i="3" s="1"/>
  <c r="I439" i="4"/>
  <c r="J441" i="4"/>
  <c r="E441" i="4"/>
  <c r="H440" i="4"/>
  <c r="K437" i="20"/>
  <c r="R438" i="4"/>
  <c r="P442" i="4"/>
  <c r="I442" i="20" s="1"/>
  <c r="C443" i="4"/>
  <c r="D443" i="4" s="1"/>
  <c r="G442" i="4"/>
  <c r="K476" i="3"/>
  <c r="G477" i="3"/>
  <c r="H477" i="3" s="1"/>
  <c r="R449" i="3" s="1"/>
  <c r="S449" i="3" s="1"/>
  <c r="V449" i="3" s="1"/>
  <c r="K438" i="4"/>
  <c r="H668" i="3" l="1"/>
  <c r="K668" i="3"/>
  <c r="C550" i="3"/>
  <c r="G669" i="3"/>
  <c r="N412" i="3"/>
  <c r="O412" i="3" s="1"/>
  <c r="I440" i="4"/>
  <c r="K438" i="20"/>
  <c r="R439" i="4"/>
  <c r="H441" i="4"/>
  <c r="C444" i="4"/>
  <c r="D444" i="4" s="1"/>
  <c r="P443" i="4"/>
  <c r="I443" i="20" s="1"/>
  <c r="G443" i="4"/>
  <c r="J442" i="4"/>
  <c r="E442" i="4"/>
  <c r="K477" i="3"/>
  <c r="G478" i="3"/>
  <c r="H478" i="3" s="1"/>
  <c r="R450" i="3" s="1"/>
  <c r="S450" i="3" s="1"/>
  <c r="V450" i="3" s="1"/>
  <c r="K439" i="4"/>
  <c r="H669" i="3" l="1"/>
  <c r="K669" i="3"/>
  <c r="C551" i="3"/>
  <c r="G670" i="3"/>
  <c r="N413" i="3"/>
  <c r="O413" i="3" s="1"/>
  <c r="I441" i="4"/>
  <c r="K439" i="20"/>
  <c r="R440" i="4"/>
  <c r="H442" i="4"/>
  <c r="E443" i="4"/>
  <c r="J443" i="4"/>
  <c r="C445" i="4"/>
  <c r="D445" i="4" s="1"/>
  <c r="P444" i="4"/>
  <c r="I444" i="20" s="1"/>
  <c r="G444" i="4"/>
  <c r="G479" i="3"/>
  <c r="H479" i="3" s="1"/>
  <c r="R451" i="3" s="1"/>
  <c r="S451" i="3" s="1"/>
  <c r="V451" i="3" s="1"/>
  <c r="K478" i="3"/>
  <c r="K440" i="4"/>
  <c r="H670" i="3" l="1"/>
  <c r="K670" i="3"/>
  <c r="C552" i="3"/>
  <c r="G671" i="3"/>
  <c r="N414" i="3"/>
  <c r="O414" i="3" s="1"/>
  <c r="I442" i="4"/>
  <c r="H443" i="4"/>
  <c r="K440" i="20"/>
  <c r="R441" i="4"/>
  <c r="J444" i="4"/>
  <c r="E444" i="4"/>
  <c r="P445" i="4"/>
  <c r="I445" i="20" s="1"/>
  <c r="C446" i="4"/>
  <c r="D446" i="4" s="1"/>
  <c r="G445" i="4"/>
  <c r="K479" i="3"/>
  <c r="G480" i="3"/>
  <c r="H480" i="3" s="1"/>
  <c r="R452" i="3" s="1"/>
  <c r="S452" i="3" s="1"/>
  <c r="V452" i="3" s="1"/>
  <c r="K441" i="4"/>
  <c r="C553" i="3" l="1"/>
  <c r="G672" i="3"/>
  <c r="H671" i="3"/>
  <c r="K671" i="3"/>
  <c r="N415" i="3"/>
  <c r="O415" i="3" s="1"/>
  <c r="I443" i="4"/>
  <c r="J445" i="4"/>
  <c r="E445" i="4"/>
  <c r="H444" i="4"/>
  <c r="K441" i="20"/>
  <c r="R442" i="4"/>
  <c r="C447" i="4"/>
  <c r="D447" i="4" s="1"/>
  <c r="P446" i="4"/>
  <c r="I446" i="20" s="1"/>
  <c r="G446" i="4"/>
  <c r="K480" i="3"/>
  <c r="N444" i="3"/>
  <c r="G481" i="3"/>
  <c r="H481" i="3" s="1"/>
  <c r="K442" i="4"/>
  <c r="R453" i="3" l="1"/>
  <c r="S453" i="3" s="1"/>
  <c r="V453" i="3" s="1"/>
  <c r="R455" i="3"/>
  <c r="H672" i="3"/>
  <c r="K672" i="3"/>
  <c r="C554" i="3"/>
  <c r="G673" i="3"/>
  <c r="N416" i="3"/>
  <c r="O416" i="3" s="1"/>
  <c r="I444" i="4"/>
  <c r="K442" i="20"/>
  <c r="R443" i="4"/>
  <c r="H445" i="4"/>
  <c r="E446" i="4"/>
  <c r="J446" i="4"/>
  <c r="C448" i="4"/>
  <c r="D448" i="4" s="1"/>
  <c r="P447" i="4"/>
  <c r="I447" i="20" s="1"/>
  <c r="G447" i="4"/>
  <c r="K481" i="3"/>
  <c r="G482" i="3"/>
  <c r="H482" i="3" s="1"/>
  <c r="R454" i="3" s="1"/>
  <c r="K443" i="4"/>
  <c r="H673" i="3" l="1"/>
  <c r="K673" i="3"/>
  <c r="C555" i="3"/>
  <c r="G674" i="3"/>
  <c r="S454" i="3"/>
  <c r="V454" i="3" s="1"/>
  <c r="S455" i="3"/>
  <c r="V455" i="3" s="1"/>
  <c r="N417" i="3"/>
  <c r="O417" i="3" s="1"/>
  <c r="I445" i="4"/>
  <c r="H446" i="4"/>
  <c r="J447" i="4"/>
  <c r="E447" i="4"/>
  <c r="P448" i="4"/>
  <c r="I448" i="20" s="1"/>
  <c r="C449" i="4"/>
  <c r="D449" i="4" s="1"/>
  <c r="G448" i="4"/>
  <c r="K443" i="20"/>
  <c r="R444" i="4"/>
  <c r="K482" i="3"/>
  <c r="G484" i="3"/>
  <c r="H484" i="3" s="1"/>
  <c r="R456" i="3" s="1"/>
  <c r="S456" i="3" s="1"/>
  <c r="V456" i="3" s="1"/>
  <c r="K444" i="4"/>
  <c r="H674" i="3" l="1"/>
  <c r="K674" i="3"/>
  <c r="C556" i="3"/>
  <c r="G675" i="3"/>
  <c r="O418" i="3"/>
  <c r="N419" i="3"/>
  <c r="O419" i="3" s="1"/>
  <c r="I446" i="4"/>
  <c r="H447" i="4"/>
  <c r="P449" i="4"/>
  <c r="I449" i="20" s="1"/>
  <c r="C450" i="4"/>
  <c r="D450" i="4" s="1"/>
  <c r="G449" i="4"/>
  <c r="K444" i="20"/>
  <c r="R445" i="4"/>
  <c r="E448" i="4"/>
  <c r="J448" i="4"/>
  <c r="K484" i="3"/>
  <c r="G485" i="3"/>
  <c r="H485" i="3" s="1"/>
  <c r="R457" i="3" s="1"/>
  <c r="S457" i="3" s="1"/>
  <c r="V457" i="3" s="1"/>
  <c r="K445" i="4"/>
  <c r="H675" i="3" l="1"/>
  <c r="K675" i="3"/>
  <c r="C557" i="3"/>
  <c r="G676" i="3"/>
  <c r="N420" i="3"/>
  <c r="O420" i="3" s="1"/>
  <c r="I447" i="4"/>
  <c r="J449" i="4"/>
  <c r="E449" i="4"/>
  <c r="K445" i="20"/>
  <c r="R446" i="4"/>
  <c r="C451" i="4"/>
  <c r="D451" i="4" s="1"/>
  <c r="P450" i="4"/>
  <c r="I450" i="20" s="1"/>
  <c r="G450" i="4"/>
  <c r="H448" i="4"/>
  <c r="K485" i="3"/>
  <c r="G486" i="3"/>
  <c r="H486" i="3" s="1"/>
  <c r="R458" i="3" s="1"/>
  <c r="S458" i="3" s="1"/>
  <c r="V458" i="3" s="1"/>
  <c r="K446" i="4"/>
  <c r="H676" i="3" l="1"/>
  <c r="K676" i="3"/>
  <c r="C558" i="3"/>
  <c r="G677" i="3"/>
  <c r="N421" i="3"/>
  <c r="O421" i="3" s="1"/>
  <c r="I448" i="4"/>
  <c r="K446" i="20"/>
  <c r="R447" i="4"/>
  <c r="C452" i="4"/>
  <c r="D452" i="4" s="1"/>
  <c r="P451" i="4"/>
  <c r="I451" i="20" s="1"/>
  <c r="G451" i="4"/>
  <c r="H449" i="4"/>
  <c r="J450" i="4"/>
  <c r="E450" i="4"/>
  <c r="K486" i="3"/>
  <c r="G487" i="3"/>
  <c r="K447" i="4"/>
  <c r="H677" i="3" l="1"/>
  <c r="K677" i="3"/>
  <c r="C559" i="3"/>
  <c r="G678" i="3"/>
  <c r="H487" i="3"/>
  <c r="R459" i="3" s="1"/>
  <c r="N422" i="3"/>
  <c r="O422" i="3" s="1"/>
  <c r="I449" i="4"/>
  <c r="H450" i="4"/>
  <c r="E451" i="4"/>
  <c r="J451" i="4"/>
  <c r="C453" i="4"/>
  <c r="D453" i="4" s="1"/>
  <c r="P452" i="4"/>
  <c r="I452" i="20" s="1"/>
  <c r="G452" i="4"/>
  <c r="K447" i="20"/>
  <c r="R448" i="4"/>
  <c r="K487" i="3"/>
  <c r="G488" i="3"/>
  <c r="H488" i="3" s="1"/>
  <c r="R460" i="3" s="1"/>
  <c r="K448" i="4"/>
  <c r="S460" i="3" l="1"/>
  <c r="V460" i="3" s="1"/>
  <c r="H678" i="3"/>
  <c r="K678" i="3"/>
  <c r="C560" i="3"/>
  <c r="G679" i="3"/>
  <c r="S459" i="3"/>
  <c r="V459" i="3" s="1"/>
  <c r="N423" i="3"/>
  <c r="O423" i="3" s="1"/>
  <c r="I450" i="4"/>
  <c r="C454" i="4"/>
  <c r="D454" i="4" s="1"/>
  <c r="P453" i="4"/>
  <c r="I453" i="20" s="1"/>
  <c r="G453" i="4"/>
  <c r="J452" i="4"/>
  <c r="E452" i="4"/>
  <c r="K448" i="20"/>
  <c r="R449" i="4"/>
  <c r="H451" i="4"/>
  <c r="K488" i="3"/>
  <c r="G489" i="3"/>
  <c r="H489" i="3" s="1"/>
  <c r="R461" i="3" s="1"/>
  <c r="S461" i="3" s="1"/>
  <c r="V461" i="3" s="1"/>
  <c r="K449" i="4"/>
  <c r="H679" i="3" l="1"/>
  <c r="K679" i="3"/>
  <c r="C561" i="3"/>
  <c r="G680" i="3"/>
  <c r="N424" i="3"/>
  <c r="O424" i="3" s="1"/>
  <c r="I451" i="4"/>
  <c r="C455" i="4"/>
  <c r="D455" i="4" s="1"/>
  <c r="P454" i="4"/>
  <c r="I454" i="20" s="1"/>
  <c r="G454" i="4"/>
  <c r="J453" i="4"/>
  <c r="E453" i="4"/>
  <c r="K449" i="20"/>
  <c r="R450" i="4"/>
  <c r="H452" i="4"/>
  <c r="K489" i="3"/>
  <c r="G490" i="3"/>
  <c r="H490" i="3" s="1"/>
  <c r="R462" i="3" s="1"/>
  <c r="S462" i="3" s="1"/>
  <c r="V462" i="3" s="1"/>
  <c r="K450" i="4"/>
  <c r="H680" i="3" l="1"/>
  <c r="K680" i="3"/>
  <c r="C562" i="3"/>
  <c r="G681" i="3"/>
  <c r="N425" i="3"/>
  <c r="O425" i="3" s="1"/>
  <c r="I452" i="4"/>
  <c r="H453" i="4"/>
  <c r="K450" i="20"/>
  <c r="R451" i="4"/>
  <c r="E454" i="4"/>
  <c r="J454" i="4"/>
  <c r="C456" i="4"/>
  <c r="D456" i="4" s="1"/>
  <c r="P455" i="4"/>
  <c r="I455" i="20" s="1"/>
  <c r="G455" i="4"/>
  <c r="K490" i="3"/>
  <c r="G491" i="3"/>
  <c r="H491" i="3" s="1"/>
  <c r="R463" i="3" s="1"/>
  <c r="S463" i="3" s="1"/>
  <c r="V463" i="3" s="1"/>
  <c r="K451" i="4"/>
  <c r="C563" i="3" l="1"/>
  <c r="G682" i="3"/>
  <c r="H681" i="3"/>
  <c r="K681" i="3"/>
  <c r="N426" i="3"/>
  <c r="O426" i="3" s="1"/>
  <c r="I453" i="4"/>
  <c r="H454" i="4"/>
  <c r="C457" i="4"/>
  <c r="D457" i="4" s="1"/>
  <c r="P456" i="4"/>
  <c r="I456" i="20" s="1"/>
  <c r="G456" i="4"/>
  <c r="K451" i="20"/>
  <c r="R452" i="4"/>
  <c r="J455" i="4"/>
  <c r="E455" i="4"/>
  <c r="K491" i="3"/>
  <c r="G492" i="3"/>
  <c r="H492" i="3" s="1"/>
  <c r="R464" i="3" s="1"/>
  <c r="S464" i="3" s="1"/>
  <c r="V464" i="3" s="1"/>
  <c r="K452" i="4"/>
  <c r="H682" i="3" l="1"/>
  <c r="K682" i="3"/>
  <c r="C564" i="3"/>
  <c r="G683" i="3"/>
  <c r="N427" i="3"/>
  <c r="O427" i="3" s="1"/>
  <c r="I454" i="4"/>
  <c r="E456" i="4"/>
  <c r="J456" i="4"/>
  <c r="H455" i="4"/>
  <c r="C458" i="4"/>
  <c r="D458" i="4" s="1"/>
  <c r="P457" i="4"/>
  <c r="I457" i="20" s="1"/>
  <c r="G457" i="4"/>
  <c r="K452" i="20"/>
  <c r="R453" i="4"/>
  <c r="K492" i="3"/>
  <c r="G493" i="3"/>
  <c r="H493" i="3" s="1"/>
  <c r="K453" i="4"/>
  <c r="H683" i="3" l="1"/>
  <c r="K683" i="3"/>
  <c r="C565" i="3"/>
  <c r="G684" i="3"/>
  <c r="R465" i="3"/>
  <c r="S465" i="3" s="1"/>
  <c r="V465" i="3" s="1"/>
  <c r="N428" i="3"/>
  <c r="O428" i="3" s="1"/>
  <c r="I455" i="4"/>
  <c r="C459" i="4"/>
  <c r="D459" i="4" s="1"/>
  <c r="P458" i="4"/>
  <c r="I458" i="20" s="1"/>
  <c r="G458" i="4"/>
  <c r="J457" i="4"/>
  <c r="E457" i="4"/>
  <c r="H456" i="4"/>
  <c r="K453" i="20"/>
  <c r="R454" i="4"/>
  <c r="K493" i="3"/>
  <c r="G494" i="3"/>
  <c r="H494" i="3" s="1"/>
  <c r="K454" i="4"/>
  <c r="R466" i="3" l="1"/>
  <c r="S466" i="3" s="1"/>
  <c r="V466" i="3" s="1"/>
  <c r="R468" i="3"/>
  <c r="H684" i="3"/>
  <c r="K684" i="3"/>
  <c r="C566" i="3"/>
  <c r="G685" i="3"/>
  <c r="N429" i="3"/>
  <c r="O429" i="3" s="1"/>
  <c r="I456" i="4"/>
  <c r="K454" i="20"/>
  <c r="R455" i="4"/>
  <c r="H457" i="4"/>
  <c r="J458" i="4"/>
  <c r="E458" i="4"/>
  <c r="P459" i="4"/>
  <c r="I459" i="20" s="1"/>
  <c r="C460" i="4"/>
  <c r="D460" i="4" s="1"/>
  <c r="G459" i="4"/>
  <c r="N457" i="3"/>
  <c r="K494" i="3"/>
  <c r="G495" i="3"/>
  <c r="H495" i="3" s="1"/>
  <c r="R467" i="3" s="1"/>
  <c r="K455" i="4"/>
  <c r="H685" i="3" l="1"/>
  <c r="K685" i="3"/>
  <c r="C567" i="3"/>
  <c r="G686" i="3"/>
  <c r="S467" i="3"/>
  <c r="V467" i="3" s="1"/>
  <c r="S468" i="3"/>
  <c r="V468" i="3" s="1"/>
  <c r="N430" i="3"/>
  <c r="O431" i="3" s="1"/>
  <c r="I457" i="4"/>
  <c r="C461" i="4"/>
  <c r="D461" i="4" s="1"/>
  <c r="P460" i="4"/>
  <c r="I460" i="20" s="1"/>
  <c r="G460" i="4"/>
  <c r="H458" i="4"/>
  <c r="K455" i="20"/>
  <c r="R456" i="4"/>
  <c r="E459" i="4"/>
  <c r="J459" i="4"/>
  <c r="K495" i="3"/>
  <c r="G497" i="3"/>
  <c r="H497" i="3" s="1"/>
  <c r="R469" i="3" s="1"/>
  <c r="S469" i="3" s="1"/>
  <c r="V469" i="3" s="1"/>
  <c r="K456" i="4"/>
  <c r="H686" i="3" l="1"/>
  <c r="K686" i="3"/>
  <c r="C568" i="3"/>
  <c r="G687" i="3"/>
  <c r="O430" i="3"/>
  <c r="N432" i="3"/>
  <c r="O432" i="3" s="1"/>
  <c r="I458" i="4"/>
  <c r="P461" i="4"/>
  <c r="I461" i="20" s="1"/>
  <c r="C462" i="4"/>
  <c r="D462" i="4" s="1"/>
  <c r="G461" i="4"/>
  <c r="H459" i="4"/>
  <c r="J460" i="4"/>
  <c r="E460" i="4"/>
  <c r="K456" i="20"/>
  <c r="R457" i="4"/>
  <c r="K497" i="3"/>
  <c r="G498" i="3"/>
  <c r="H498" i="3" s="1"/>
  <c r="R470" i="3" s="1"/>
  <c r="S470" i="3" s="1"/>
  <c r="V470" i="3" s="1"/>
  <c r="K457" i="4"/>
  <c r="H687" i="3" l="1"/>
  <c r="K687" i="3"/>
  <c r="C569" i="3"/>
  <c r="G688" i="3"/>
  <c r="N433" i="3"/>
  <c r="O433" i="3" s="1"/>
  <c r="I459" i="4"/>
  <c r="J461" i="4"/>
  <c r="E461" i="4"/>
  <c r="K457" i="20"/>
  <c r="R458" i="4"/>
  <c r="P462" i="4"/>
  <c r="I462" i="20" s="1"/>
  <c r="C463" i="4"/>
  <c r="D463" i="4" s="1"/>
  <c r="G462" i="4"/>
  <c r="H460" i="4"/>
  <c r="K498" i="3"/>
  <c r="G499" i="3"/>
  <c r="H499" i="3" s="1"/>
  <c r="R471" i="3" s="1"/>
  <c r="S471" i="3" s="1"/>
  <c r="V471" i="3" s="1"/>
  <c r="K458" i="4"/>
  <c r="H688" i="3" l="1"/>
  <c r="K688" i="3"/>
  <c r="C570" i="3"/>
  <c r="G689" i="3"/>
  <c r="N434" i="3"/>
  <c r="O434" i="3" s="1"/>
  <c r="I460" i="4"/>
  <c r="H461" i="4"/>
  <c r="E462" i="4"/>
  <c r="J462" i="4"/>
  <c r="K458" i="20"/>
  <c r="R459" i="4"/>
  <c r="P463" i="4"/>
  <c r="I463" i="20" s="1"/>
  <c r="C464" i="4"/>
  <c r="D464" i="4" s="1"/>
  <c r="G463" i="4"/>
  <c r="K499" i="3"/>
  <c r="G500" i="3"/>
  <c r="H500" i="3" s="1"/>
  <c r="R472" i="3" s="1"/>
  <c r="S472" i="3" s="1"/>
  <c r="V472" i="3" s="1"/>
  <c r="K459" i="4"/>
  <c r="H689" i="3" l="1"/>
  <c r="K689" i="3"/>
  <c r="C571" i="3"/>
  <c r="G690" i="3"/>
  <c r="N435" i="3"/>
  <c r="O435" i="3" s="1"/>
  <c r="I461" i="4"/>
  <c r="C465" i="4"/>
  <c r="D465" i="4" s="1"/>
  <c r="P464" i="4"/>
  <c r="I464" i="20" s="1"/>
  <c r="G464" i="4"/>
  <c r="K459" i="20"/>
  <c r="R460" i="4"/>
  <c r="H462" i="4"/>
  <c r="J463" i="4"/>
  <c r="E463" i="4"/>
  <c r="K500" i="3"/>
  <c r="G501" i="3"/>
  <c r="H501" i="3" s="1"/>
  <c r="R473" i="3" s="1"/>
  <c r="S473" i="3" s="1"/>
  <c r="V473" i="3" s="1"/>
  <c r="K460" i="4"/>
  <c r="H690" i="3" l="1"/>
  <c r="K690" i="3"/>
  <c r="C572" i="3"/>
  <c r="G691" i="3"/>
  <c r="N436" i="3"/>
  <c r="O436" i="3" s="1"/>
  <c r="I462" i="4"/>
  <c r="K460" i="20"/>
  <c r="R461" i="4"/>
  <c r="E464" i="4"/>
  <c r="J464" i="4"/>
  <c r="P465" i="4"/>
  <c r="I465" i="20" s="1"/>
  <c r="C466" i="4"/>
  <c r="D466" i="4" s="1"/>
  <c r="G465" i="4"/>
  <c r="H463" i="4"/>
  <c r="K501" i="3"/>
  <c r="G502" i="3"/>
  <c r="H502" i="3" s="1"/>
  <c r="R474" i="3" s="1"/>
  <c r="S474" i="3" s="1"/>
  <c r="V474" i="3" s="1"/>
  <c r="K461" i="4"/>
  <c r="H691" i="3" l="1"/>
  <c r="K691" i="3"/>
  <c r="C573" i="3"/>
  <c r="G692" i="3"/>
  <c r="N437" i="3"/>
  <c r="O437" i="3" s="1"/>
  <c r="I463" i="4"/>
  <c r="C467" i="4"/>
  <c r="D467" i="4" s="1"/>
  <c r="P466" i="4"/>
  <c r="I466" i="20" s="1"/>
  <c r="G466" i="4"/>
  <c r="H464" i="4"/>
  <c r="J465" i="4"/>
  <c r="E465" i="4"/>
  <c r="K461" i="20"/>
  <c r="R462" i="4"/>
  <c r="K502" i="3"/>
  <c r="G503" i="3"/>
  <c r="H503" i="3" s="1"/>
  <c r="R475" i="3" s="1"/>
  <c r="S475" i="3" s="1"/>
  <c r="V475" i="3" s="1"/>
  <c r="K462" i="4"/>
  <c r="C574" i="3" l="1"/>
  <c r="G693" i="3"/>
  <c r="H692" i="3"/>
  <c r="K692" i="3"/>
  <c r="N438" i="3"/>
  <c r="O438" i="3" s="1"/>
  <c r="I464" i="4"/>
  <c r="H465" i="4"/>
  <c r="J466" i="4"/>
  <c r="E466" i="4"/>
  <c r="K462" i="20"/>
  <c r="R463" i="4"/>
  <c r="C468" i="4"/>
  <c r="D468" i="4" s="1"/>
  <c r="P467" i="4"/>
  <c r="I467" i="20" s="1"/>
  <c r="G467" i="4"/>
  <c r="K503" i="3"/>
  <c r="G504" i="3"/>
  <c r="H504" i="3" s="1"/>
  <c r="R476" i="3" s="1"/>
  <c r="S476" i="3" s="1"/>
  <c r="V476" i="3" s="1"/>
  <c r="K463" i="4"/>
  <c r="H693" i="3" l="1"/>
  <c r="K693" i="3"/>
  <c r="C575" i="3"/>
  <c r="G694" i="3"/>
  <c r="N439" i="3"/>
  <c r="O439" i="3" s="1"/>
  <c r="I465" i="4"/>
  <c r="K463" i="20"/>
  <c r="R464" i="4"/>
  <c r="H466" i="4"/>
  <c r="E467" i="4"/>
  <c r="J467" i="4"/>
  <c r="P468" i="4"/>
  <c r="I468" i="20" s="1"/>
  <c r="C469" i="4"/>
  <c r="D469" i="4" s="1"/>
  <c r="G468" i="4"/>
  <c r="K504" i="3"/>
  <c r="G505" i="3"/>
  <c r="H505" i="3" s="1"/>
  <c r="R477" i="3" s="1"/>
  <c r="S477" i="3" s="1"/>
  <c r="V477" i="3" s="1"/>
  <c r="K464" i="4"/>
  <c r="H694" i="3" l="1"/>
  <c r="K694" i="3"/>
  <c r="C576" i="3"/>
  <c r="G695" i="3"/>
  <c r="N440" i="3"/>
  <c r="O440" i="3" s="1"/>
  <c r="I466" i="4"/>
  <c r="J468" i="4"/>
  <c r="E468" i="4"/>
  <c r="K464" i="20"/>
  <c r="R465" i="4"/>
  <c r="C470" i="4"/>
  <c r="D470" i="4" s="1"/>
  <c r="P469" i="4"/>
  <c r="I469" i="20" s="1"/>
  <c r="G469" i="4"/>
  <c r="H467" i="4"/>
  <c r="K505" i="3"/>
  <c r="G506" i="3"/>
  <c r="H506" i="3" s="1"/>
  <c r="R478" i="3" s="1"/>
  <c r="S478" i="3" s="1"/>
  <c r="V478" i="3" s="1"/>
  <c r="K465" i="4"/>
  <c r="H695" i="3" l="1"/>
  <c r="K695" i="3"/>
  <c r="C577" i="3"/>
  <c r="G696" i="3"/>
  <c r="N441" i="3"/>
  <c r="O441" i="3" s="1"/>
  <c r="I467" i="4"/>
  <c r="K465" i="20"/>
  <c r="R466" i="4"/>
  <c r="P470" i="4"/>
  <c r="I470" i="20" s="1"/>
  <c r="C471" i="4"/>
  <c r="D471" i="4" s="1"/>
  <c r="G470" i="4"/>
  <c r="H468" i="4"/>
  <c r="J469" i="4"/>
  <c r="E469" i="4"/>
  <c r="K506" i="3"/>
  <c r="G507" i="3"/>
  <c r="H507" i="3" s="1"/>
  <c r="K466" i="4"/>
  <c r="R479" i="3" l="1"/>
  <c r="S479" i="3" s="1"/>
  <c r="V479" i="3" s="1"/>
  <c r="R481" i="3"/>
  <c r="H696" i="3"/>
  <c r="K696" i="3"/>
  <c r="C578" i="3"/>
  <c r="G697" i="3"/>
  <c r="I468" i="4"/>
  <c r="E470" i="4"/>
  <c r="J470" i="4"/>
  <c r="C472" i="4"/>
  <c r="D472" i="4" s="1"/>
  <c r="P471" i="4"/>
  <c r="I471" i="20" s="1"/>
  <c r="G471" i="4"/>
  <c r="K466" i="20"/>
  <c r="R467" i="4"/>
  <c r="H469" i="4"/>
  <c r="K507" i="3"/>
  <c r="G508" i="3"/>
  <c r="H508" i="3" s="1"/>
  <c r="R480" i="3" s="1"/>
  <c r="K467" i="4"/>
  <c r="H697" i="3" l="1"/>
  <c r="K697" i="3"/>
  <c r="C579" i="3"/>
  <c r="G698" i="3"/>
  <c r="S480" i="3"/>
  <c r="V480" i="3" s="1"/>
  <c r="S481" i="3"/>
  <c r="V481" i="3" s="1"/>
  <c r="N443" i="3"/>
  <c r="I469" i="4"/>
  <c r="N442" i="3"/>
  <c r="O442" i="3" s="1"/>
  <c r="K467" i="20"/>
  <c r="R468" i="4"/>
  <c r="H470" i="4"/>
  <c r="J471" i="4"/>
  <c r="E471" i="4"/>
  <c r="C473" i="4"/>
  <c r="D473" i="4" s="1"/>
  <c r="P472" i="4"/>
  <c r="I472" i="20" s="1"/>
  <c r="G472" i="4"/>
  <c r="N470" i="3"/>
  <c r="K508" i="3"/>
  <c r="G510" i="3"/>
  <c r="H510" i="3" s="1"/>
  <c r="R482" i="3" s="1"/>
  <c r="S482" i="3" s="1"/>
  <c r="V482" i="3" s="1"/>
  <c r="K468" i="4"/>
  <c r="H698" i="3" l="1"/>
  <c r="K698" i="3"/>
  <c r="C580" i="3"/>
  <c r="G699" i="3"/>
  <c r="I470" i="4"/>
  <c r="O444" i="3"/>
  <c r="O443" i="3"/>
  <c r="H471" i="4"/>
  <c r="K468" i="20"/>
  <c r="R469" i="4"/>
  <c r="C474" i="4"/>
  <c r="D474" i="4" s="1"/>
  <c r="P473" i="4"/>
  <c r="I473" i="20" s="1"/>
  <c r="G473" i="4"/>
  <c r="E472" i="4"/>
  <c r="J472" i="4"/>
  <c r="K510" i="3"/>
  <c r="G511" i="3"/>
  <c r="H511" i="3" s="1"/>
  <c r="R483" i="3" s="1"/>
  <c r="S483" i="3" s="1"/>
  <c r="V483" i="3" s="1"/>
  <c r="K469" i="4"/>
  <c r="H699" i="3" l="1"/>
  <c r="K699" i="3"/>
  <c r="C581" i="3"/>
  <c r="G700" i="3"/>
  <c r="I471" i="4"/>
  <c r="N445" i="3"/>
  <c r="H472" i="4"/>
  <c r="C475" i="4"/>
  <c r="D475" i="4" s="1"/>
  <c r="P474" i="4"/>
  <c r="I474" i="20" s="1"/>
  <c r="G474" i="4"/>
  <c r="J473" i="4"/>
  <c r="E473" i="4"/>
  <c r="K469" i="20"/>
  <c r="R470" i="4"/>
  <c r="K511" i="3"/>
  <c r="G512" i="3"/>
  <c r="H512" i="3" s="1"/>
  <c r="R484" i="3" s="1"/>
  <c r="S484" i="3" s="1"/>
  <c r="V484" i="3" s="1"/>
  <c r="K470" i="4"/>
  <c r="H700" i="3" l="1"/>
  <c r="K700" i="3"/>
  <c r="C582" i="3"/>
  <c r="G701" i="3"/>
  <c r="I472" i="4"/>
  <c r="N446" i="3"/>
  <c r="O446" i="3" s="1"/>
  <c r="O445" i="3"/>
  <c r="J474" i="4"/>
  <c r="E474" i="4"/>
  <c r="P475" i="4"/>
  <c r="I475" i="20" s="1"/>
  <c r="C476" i="4"/>
  <c r="D476" i="4" s="1"/>
  <c r="G475" i="4"/>
  <c r="K470" i="20"/>
  <c r="R471" i="4"/>
  <c r="H473" i="4"/>
  <c r="K512" i="3"/>
  <c r="N473" i="3"/>
  <c r="G513" i="3"/>
  <c r="H513" i="3" s="1"/>
  <c r="K471" i="4"/>
  <c r="H701" i="3" l="1"/>
  <c r="K701" i="3"/>
  <c r="C583" i="3"/>
  <c r="G702" i="3"/>
  <c r="R485" i="3"/>
  <c r="S485" i="3" s="1"/>
  <c r="V485" i="3" s="1"/>
  <c r="I473" i="4"/>
  <c r="N447" i="3"/>
  <c r="C477" i="4"/>
  <c r="P476" i="4"/>
  <c r="I476" i="20" s="1"/>
  <c r="G476" i="4"/>
  <c r="E475" i="4"/>
  <c r="J475" i="4"/>
  <c r="K471" i="20"/>
  <c r="R472" i="4"/>
  <c r="H474" i="4"/>
  <c r="K513" i="3"/>
  <c r="N474" i="3"/>
  <c r="G514" i="3"/>
  <c r="H514" i="3" s="1"/>
  <c r="R486" i="3" s="1"/>
  <c r="K472" i="4"/>
  <c r="S486" i="3" l="1"/>
  <c r="V486" i="3" s="1"/>
  <c r="H702" i="3"/>
  <c r="K702" i="3"/>
  <c r="C584" i="3"/>
  <c r="G703" i="3"/>
  <c r="D477" i="4"/>
  <c r="G477" i="4" s="1"/>
  <c r="I474" i="4"/>
  <c r="N448" i="3"/>
  <c r="O447" i="3"/>
  <c r="C478" i="4"/>
  <c r="D478" i="4" s="1"/>
  <c r="P477" i="4"/>
  <c r="I477" i="20" s="1"/>
  <c r="H475" i="4"/>
  <c r="J476" i="4"/>
  <c r="E476" i="4"/>
  <c r="K472" i="20"/>
  <c r="R473" i="4"/>
  <c r="K514" i="3"/>
  <c r="N475" i="3"/>
  <c r="G515" i="3"/>
  <c r="H515" i="3" s="1"/>
  <c r="R487" i="3" s="1"/>
  <c r="S487" i="3" s="1"/>
  <c r="V487" i="3" s="1"/>
  <c r="K473" i="4"/>
  <c r="H703" i="3" l="1"/>
  <c r="K703" i="3"/>
  <c r="C585" i="3"/>
  <c r="G704" i="3"/>
  <c r="I475" i="4"/>
  <c r="N449" i="3"/>
  <c r="O448" i="3"/>
  <c r="J477" i="4"/>
  <c r="E477" i="4"/>
  <c r="C479" i="4"/>
  <c r="D479" i="4" s="1"/>
  <c r="P478" i="4"/>
  <c r="I478" i="20" s="1"/>
  <c r="G478" i="4"/>
  <c r="K473" i="20"/>
  <c r="R474" i="4"/>
  <c r="H476" i="4"/>
  <c r="K515" i="3"/>
  <c r="N476" i="3"/>
  <c r="G516" i="3"/>
  <c r="H516" i="3" s="1"/>
  <c r="R488" i="3" s="1"/>
  <c r="S488" i="3" s="1"/>
  <c r="V488" i="3" s="1"/>
  <c r="K474" i="4"/>
  <c r="H704" i="3" l="1"/>
  <c r="K704" i="3"/>
  <c r="C586" i="3"/>
  <c r="G705" i="3"/>
  <c r="I476" i="4"/>
  <c r="N450" i="3"/>
  <c r="O449" i="3"/>
  <c r="K474" i="20"/>
  <c r="R475" i="4"/>
  <c r="E478" i="4"/>
  <c r="J478" i="4"/>
  <c r="C480" i="4"/>
  <c r="D480" i="4" s="1"/>
  <c r="P479" i="4"/>
  <c r="I479" i="20" s="1"/>
  <c r="G479" i="4"/>
  <c r="H477" i="4"/>
  <c r="K516" i="3"/>
  <c r="N477" i="3"/>
  <c r="G517" i="3"/>
  <c r="H517" i="3" s="1"/>
  <c r="R489" i="3" s="1"/>
  <c r="S489" i="3" s="1"/>
  <c r="V489" i="3" s="1"/>
  <c r="K475" i="4"/>
  <c r="H705" i="3" l="1"/>
  <c r="K705" i="3"/>
  <c r="C587" i="3"/>
  <c r="G706" i="3"/>
  <c r="I477" i="4"/>
  <c r="N451" i="3"/>
  <c r="O450" i="3"/>
  <c r="H478" i="4"/>
  <c r="J479" i="4"/>
  <c r="E479" i="4"/>
  <c r="K475" i="20"/>
  <c r="R476" i="4"/>
  <c r="C481" i="4"/>
  <c r="D481" i="4" s="1"/>
  <c r="P480" i="4"/>
  <c r="I480" i="20" s="1"/>
  <c r="G480" i="4"/>
  <c r="K517" i="3"/>
  <c r="N478" i="3"/>
  <c r="G518" i="3"/>
  <c r="H518" i="3" s="1"/>
  <c r="R490" i="3" s="1"/>
  <c r="S490" i="3" s="1"/>
  <c r="V490" i="3" s="1"/>
  <c r="K476" i="4"/>
  <c r="H706" i="3" l="1"/>
  <c r="K706" i="3"/>
  <c r="C588" i="3"/>
  <c r="G707" i="3"/>
  <c r="I478" i="4"/>
  <c r="N452" i="3"/>
  <c r="O451" i="3"/>
  <c r="K476" i="20"/>
  <c r="R477" i="4"/>
  <c r="H479" i="4"/>
  <c r="E480" i="4"/>
  <c r="J480" i="4"/>
  <c r="C482" i="4"/>
  <c r="D482" i="4" s="1"/>
  <c r="P481" i="4"/>
  <c r="I481" i="20" s="1"/>
  <c r="G481" i="4"/>
  <c r="K518" i="3"/>
  <c r="N479" i="3"/>
  <c r="G519" i="3"/>
  <c r="H519" i="3" s="1"/>
  <c r="R491" i="3" s="1"/>
  <c r="S491" i="3" s="1"/>
  <c r="V491" i="3" s="1"/>
  <c r="K477" i="4"/>
  <c r="H707" i="3" l="1"/>
  <c r="K707" i="3"/>
  <c r="C589" i="3"/>
  <c r="G708" i="3"/>
  <c r="N453" i="3"/>
  <c r="O453" i="3" s="1"/>
  <c r="I479" i="4"/>
  <c r="O452" i="3"/>
  <c r="J481" i="4"/>
  <c r="E481" i="4"/>
  <c r="P482" i="4"/>
  <c r="I482" i="20" s="1"/>
  <c r="C483" i="4"/>
  <c r="D483" i="4" s="1"/>
  <c r="G482" i="4"/>
  <c r="H480" i="4"/>
  <c r="K477" i="20"/>
  <c r="R478" i="4"/>
  <c r="N480" i="3"/>
  <c r="K519" i="3"/>
  <c r="G520" i="3"/>
  <c r="H520" i="3" s="1"/>
  <c r="K478" i="4"/>
  <c r="R492" i="3" l="1"/>
  <c r="S492" i="3" s="1"/>
  <c r="V492" i="3" s="1"/>
  <c r="R494" i="3"/>
  <c r="H708" i="3"/>
  <c r="K708" i="3"/>
  <c r="C590" i="3"/>
  <c r="G709" i="3"/>
  <c r="I480" i="4"/>
  <c r="N454" i="3"/>
  <c r="C484" i="4"/>
  <c r="D484" i="4" s="1"/>
  <c r="P483" i="4"/>
  <c r="I483" i="20" s="1"/>
  <c r="G483" i="4"/>
  <c r="K478" i="20"/>
  <c r="R479" i="4"/>
  <c r="J482" i="4"/>
  <c r="E482" i="4"/>
  <c r="H481" i="4"/>
  <c r="N481" i="3"/>
  <c r="K520" i="3"/>
  <c r="G521" i="3"/>
  <c r="H521" i="3" s="1"/>
  <c r="R493" i="3" s="1"/>
  <c r="K479" i="4"/>
  <c r="H709" i="3" l="1"/>
  <c r="K709" i="3"/>
  <c r="C591" i="3"/>
  <c r="G710" i="3"/>
  <c r="S493" i="3"/>
  <c r="V493" i="3" s="1"/>
  <c r="S494" i="3"/>
  <c r="V494" i="3" s="1"/>
  <c r="I481" i="4"/>
  <c r="N455" i="3"/>
  <c r="O454" i="3"/>
  <c r="C485" i="4"/>
  <c r="D485" i="4" s="1"/>
  <c r="P484" i="4"/>
  <c r="I484" i="20" s="1"/>
  <c r="G484" i="4"/>
  <c r="K479" i="20"/>
  <c r="R480" i="4"/>
  <c r="E483" i="4"/>
  <c r="J483" i="4"/>
  <c r="H482" i="4"/>
  <c r="N482" i="3"/>
  <c r="K521" i="3"/>
  <c r="G523" i="3"/>
  <c r="H523" i="3" s="1"/>
  <c r="R495" i="3" s="1"/>
  <c r="S495" i="3" s="1"/>
  <c r="V495" i="3" s="1"/>
  <c r="K480" i="4"/>
  <c r="H710" i="3" l="1"/>
  <c r="K710" i="3"/>
  <c r="C592" i="3"/>
  <c r="G711" i="3"/>
  <c r="I482" i="4"/>
  <c r="N456" i="3"/>
  <c r="O455" i="3"/>
  <c r="K480" i="20"/>
  <c r="R481" i="4"/>
  <c r="C486" i="4"/>
  <c r="D486" i="4" s="1"/>
  <c r="P485" i="4"/>
  <c r="I485" i="20" s="1"/>
  <c r="G485" i="4"/>
  <c r="H483" i="4"/>
  <c r="J484" i="4"/>
  <c r="E484" i="4"/>
  <c r="K523" i="3"/>
  <c r="N483" i="3"/>
  <c r="G524" i="3"/>
  <c r="H524" i="3" s="1"/>
  <c r="R496" i="3" s="1"/>
  <c r="S496" i="3" s="1"/>
  <c r="V496" i="3" s="1"/>
  <c r="K481" i="4"/>
  <c r="H711" i="3" l="1"/>
  <c r="K711" i="3"/>
  <c r="C593" i="3"/>
  <c r="G712" i="3"/>
  <c r="I483" i="4"/>
  <c r="N458" i="3"/>
  <c r="O456" i="3"/>
  <c r="O457" i="3"/>
  <c r="H484" i="4"/>
  <c r="K481" i="20"/>
  <c r="R482" i="4"/>
  <c r="J485" i="4"/>
  <c r="E485" i="4"/>
  <c r="C487" i="4"/>
  <c r="D487" i="4" s="1"/>
  <c r="P486" i="4"/>
  <c r="I486" i="20" s="1"/>
  <c r="G486" i="4"/>
  <c r="K524" i="3"/>
  <c r="N484" i="3"/>
  <c r="G525" i="3"/>
  <c r="H525" i="3" s="1"/>
  <c r="R497" i="3" s="1"/>
  <c r="S497" i="3" s="1"/>
  <c r="V497" i="3" s="1"/>
  <c r="K482" i="4"/>
  <c r="H712" i="3" l="1"/>
  <c r="K712" i="3"/>
  <c r="C594" i="3"/>
  <c r="G713" i="3"/>
  <c r="I484" i="4"/>
  <c r="N459" i="3"/>
  <c r="O458" i="3"/>
  <c r="J486" i="4"/>
  <c r="E486" i="4"/>
  <c r="P487" i="4"/>
  <c r="I487" i="20" s="1"/>
  <c r="C488" i="4"/>
  <c r="D488" i="4" s="1"/>
  <c r="G487" i="4"/>
  <c r="K482" i="20"/>
  <c r="R483" i="4"/>
  <c r="H485" i="4"/>
  <c r="K525" i="3"/>
  <c r="N485" i="3"/>
  <c r="G526" i="3"/>
  <c r="H526" i="3" s="1"/>
  <c r="K483" i="4"/>
  <c r="R525" i="3" l="1"/>
  <c r="H713" i="3"/>
  <c r="K713" i="3"/>
  <c r="C595" i="3"/>
  <c r="G714" i="3"/>
  <c r="R498" i="3"/>
  <c r="R499" i="3"/>
  <c r="R509" i="3"/>
  <c r="R522" i="3"/>
  <c r="R500" i="3"/>
  <c r="R501" i="3"/>
  <c r="R502" i="3"/>
  <c r="R503" i="3"/>
  <c r="R504" i="3"/>
  <c r="R505" i="3"/>
  <c r="R506" i="3"/>
  <c r="R507" i="3"/>
  <c r="N522" i="3"/>
  <c r="R508" i="3"/>
  <c r="N507" i="3"/>
  <c r="R510" i="3"/>
  <c r="N510" i="3"/>
  <c r="R511" i="3"/>
  <c r="N511" i="3"/>
  <c r="R512" i="3"/>
  <c r="N512" i="3"/>
  <c r="R513" i="3"/>
  <c r="N513" i="3"/>
  <c r="R514" i="3"/>
  <c r="N514" i="3"/>
  <c r="R515" i="3"/>
  <c r="N515" i="3"/>
  <c r="R516" i="3"/>
  <c r="N516" i="3"/>
  <c r="R517" i="3"/>
  <c r="N517" i="3"/>
  <c r="N518" i="3"/>
  <c r="R518" i="3"/>
  <c r="R519" i="3"/>
  <c r="N519" i="3"/>
  <c r="R520" i="3"/>
  <c r="N520" i="3"/>
  <c r="R521" i="3"/>
  <c r="N521" i="3"/>
  <c r="R523" i="3"/>
  <c r="R524" i="3"/>
  <c r="N523" i="3"/>
  <c r="N524" i="3"/>
  <c r="N461" i="3"/>
  <c r="R526" i="3"/>
  <c r="I485" i="4"/>
  <c r="N525" i="3"/>
  <c r="N460" i="3"/>
  <c r="O459" i="3"/>
  <c r="N526" i="3"/>
  <c r="N498" i="3"/>
  <c r="P488" i="4"/>
  <c r="I488" i="20" s="1"/>
  <c r="C489" i="4"/>
  <c r="D489" i="4" s="1"/>
  <c r="G488" i="4"/>
  <c r="K483" i="20"/>
  <c r="R484" i="4"/>
  <c r="H486" i="4"/>
  <c r="J487" i="4"/>
  <c r="E487" i="4"/>
  <c r="K526" i="3"/>
  <c r="N486" i="3"/>
  <c r="G527" i="3"/>
  <c r="H527" i="3" s="1"/>
  <c r="K484" i="4"/>
  <c r="H714" i="3" l="1"/>
  <c r="K714" i="3"/>
  <c r="C596" i="3"/>
  <c r="G715" i="3"/>
  <c r="O461" i="3"/>
  <c r="S499" i="3"/>
  <c r="V499" i="3" s="1"/>
  <c r="S515" i="3"/>
  <c r="V515" i="3" s="1"/>
  <c r="S511" i="3"/>
  <c r="V511" i="3" s="1"/>
  <c r="S505" i="3"/>
  <c r="V505" i="3" s="1"/>
  <c r="S503" i="3"/>
  <c r="V503" i="3" s="1"/>
  <c r="S502" i="3"/>
  <c r="V502" i="3" s="1"/>
  <c r="S517" i="3"/>
  <c r="V517" i="3" s="1"/>
  <c r="S513" i="3"/>
  <c r="V513" i="3" s="1"/>
  <c r="S508" i="3"/>
  <c r="V508" i="3" s="1"/>
  <c r="S501" i="3"/>
  <c r="V501" i="3" s="1"/>
  <c r="S500" i="3"/>
  <c r="V500" i="3" s="1"/>
  <c r="S506" i="3"/>
  <c r="V506" i="3" s="1"/>
  <c r="S504" i="3"/>
  <c r="V504" i="3" s="1"/>
  <c r="S523" i="3"/>
  <c r="V523" i="3" s="1"/>
  <c r="S514" i="3"/>
  <c r="V514" i="3" s="1"/>
  <c r="S510" i="3"/>
  <c r="V510" i="3" s="1"/>
  <c r="S520" i="3"/>
  <c r="V520" i="3" s="1"/>
  <c r="S526" i="3"/>
  <c r="V526" i="3" s="1"/>
  <c r="S516" i="3"/>
  <c r="V516" i="3" s="1"/>
  <c r="S512" i="3"/>
  <c r="V512" i="3" s="1"/>
  <c r="S507" i="3"/>
  <c r="V507" i="3" s="1"/>
  <c r="S509" i="3"/>
  <c r="V509" i="3" s="1"/>
  <c r="S524" i="3"/>
  <c r="V524" i="3" s="1"/>
  <c r="S518" i="3"/>
  <c r="V518" i="3" s="1"/>
  <c r="S498" i="3"/>
  <c r="V498" i="3" s="1"/>
  <c r="S519" i="3"/>
  <c r="V519" i="3" s="1"/>
  <c r="S521" i="3"/>
  <c r="V521" i="3" s="1"/>
  <c r="S522" i="3"/>
  <c r="V522" i="3" s="1"/>
  <c r="S525" i="3"/>
  <c r="V525" i="3" s="1"/>
  <c r="N462" i="3"/>
  <c r="O462" i="3" s="1"/>
  <c r="R527" i="3"/>
  <c r="S527" i="3" s="1"/>
  <c r="V527" i="3" s="1"/>
  <c r="I486" i="4"/>
  <c r="O460" i="3"/>
  <c r="N527" i="3"/>
  <c r="N499" i="3"/>
  <c r="K484" i="20"/>
  <c r="R485" i="4"/>
  <c r="C490" i="4"/>
  <c r="D490" i="4" s="1"/>
  <c r="P489" i="4"/>
  <c r="I489" i="20" s="1"/>
  <c r="G489" i="4"/>
  <c r="E488" i="4"/>
  <c r="J488" i="4"/>
  <c r="H487" i="4"/>
  <c r="K527" i="3"/>
  <c r="N487" i="3"/>
  <c r="G528" i="3"/>
  <c r="K485" i="4"/>
  <c r="H715" i="3" l="1"/>
  <c r="K715" i="3"/>
  <c r="C597" i="3"/>
  <c r="G716" i="3"/>
  <c r="H528" i="3"/>
  <c r="N528" i="3" s="1"/>
  <c r="N463" i="3"/>
  <c r="O463" i="3" s="1"/>
  <c r="I487" i="4"/>
  <c r="N500" i="3"/>
  <c r="J489" i="4"/>
  <c r="E489" i="4"/>
  <c r="K485" i="20"/>
  <c r="R486" i="4"/>
  <c r="H488" i="4"/>
  <c r="P490" i="4"/>
  <c r="I490" i="20" s="1"/>
  <c r="C491" i="4"/>
  <c r="D491" i="4" s="1"/>
  <c r="G490" i="4"/>
  <c r="G529" i="3"/>
  <c r="K528" i="3"/>
  <c r="N488" i="3"/>
  <c r="K486" i="4"/>
  <c r="R528" i="3" l="1"/>
  <c r="S528" i="3" s="1"/>
  <c r="V528" i="3" s="1"/>
  <c r="H716" i="3"/>
  <c r="K716" i="3"/>
  <c r="C598" i="3"/>
  <c r="G717" i="3"/>
  <c r="N464" i="3"/>
  <c r="O464" i="3" s="1"/>
  <c r="H529" i="3"/>
  <c r="N529" i="3" s="1"/>
  <c r="I488" i="4"/>
  <c r="N501" i="3"/>
  <c r="K486" i="20"/>
  <c r="R487" i="4"/>
  <c r="P491" i="4"/>
  <c r="I491" i="20" s="1"/>
  <c r="C492" i="4"/>
  <c r="D492" i="4" s="1"/>
  <c r="G491" i="4"/>
  <c r="H489" i="4"/>
  <c r="E490" i="4"/>
  <c r="J490" i="4"/>
  <c r="N489" i="3"/>
  <c r="K529" i="3"/>
  <c r="G530" i="3"/>
  <c r="H530" i="3" s="1"/>
  <c r="K487" i="4"/>
  <c r="N802" i="3" l="1"/>
  <c r="R839" i="3"/>
  <c r="R842" i="3"/>
  <c r="R742" i="3"/>
  <c r="R761" i="3"/>
  <c r="N780" i="3"/>
  <c r="N831" i="3"/>
  <c r="N819" i="3"/>
  <c r="R737" i="3"/>
  <c r="R739" i="3"/>
  <c r="N758" i="3"/>
  <c r="R778" i="3"/>
  <c r="R797" i="3"/>
  <c r="R730" i="3"/>
  <c r="N836" i="3"/>
  <c r="R754" i="3"/>
  <c r="R756" i="3"/>
  <c r="N775" i="3"/>
  <c r="N794" i="3"/>
  <c r="R815" i="3"/>
  <c r="N746" i="3"/>
  <c r="N733" i="3"/>
  <c r="N770" i="3"/>
  <c r="N772" i="3"/>
  <c r="N792" i="3"/>
  <c r="N811" i="3"/>
  <c r="R832" i="3"/>
  <c r="N743" i="3"/>
  <c r="N763" i="3"/>
  <c r="N814" i="3"/>
  <c r="R790" i="3"/>
  <c r="R810" i="3"/>
  <c r="N828" i="3"/>
  <c r="R729" i="3"/>
  <c r="N748" i="3"/>
  <c r="N799" i="3"/>
  <c r="R805" i="3"/>
  <c r="R807" i="3"/>
  <c r="R827" i="3"/>
  <c r="N726" i="3"/>
  <c r="N745" i="3"/>
  <c r="R766" i="3"/>
  <c r="N816" i="3"/>
  <c r="R821" i="3"/>
  <c r="R824" i="3"/>
  <c r="R724" i="3"/>
  <c r="R744" i="3"/>
  <c r="N762" i="3"/>
  <c r="N782" i="3"/>
  <c r="N833" i="3"/>
  <c r="N838" i="3"/>
  <c r="R841" i="3"/>
  <c r="R741" i="3"/>
  <c r="N760" i="3"/>
  <c r="N779" i="3"/>
  <c r="R800" i="3"/>
  <c r="N818" i="3"/>
  <c r="N731" i="3"/>
  <c r="R783" i="3"/>
  <c r="R788" i="3"/>
  <c r="N777" i="3"/>
  <c r="N796" i="3"/>
  <c r="R817" i="3"/>
  <c r="N835" i="3"/>
  <c r="N767" i="3"/>
  <c r="N755" i="3"/>
  <c r="N774" i="3"/>
  <c r="R795" i="3"/>
  <c r="N813" i="3"/>
  <c r="R834" i="3"/>
  <c r="R734" i="3"/>
  <c r="R785" i="3"/>
  <c r="R773" i="3"/>
  <c r="N791" i="3"/>
  <c r="R812" i="3"/>
  <c r="R831" i="3"/>
  <c r="N730" i="3"/>
  <c r="R751" i="3"/>
  <c r="N801" i="3"/>
  <c r="N789" i="3"/>
  <c r="R809" i="3"/>
  <c r="R829" i="3"/>
  <c r="N728" i="3"/>
  <c r="R748" i="3"/>
  <c r="R768" i="3"/>
  <c r="R787" i="3"/>
  <c r="N735" i="3"/>
  <c r="N750" i="3"/>
  <c r="N738" i="3"/>
  <c r="R758" i="3"/>
  <c r="R765" i="3"/>
  <c r="N784" i="3"/>
  <c r="R804" i="3"/>
  <c r="R753" i="3"/>
  <c r="N723" i="3"/>
  <c r="R743" i="3"/>
  <c r="R763" i="3"/>
  <c r="N781" i="3"/>
  <c r="R802" i="3"/>
  <c r="R822" i="3"/>
  <c r="R770" i="3"/>
  <c r="N740" i="3"/>
  <c r="R760" i="3"/>
  <c r="R780" i="3"/>
  <c r="R799" i="3"/>
  <c r="R819" i="3"/>
  <c r="N837" i="3"/>
  <c r="N754" i="3"/>
  <c r="N757" i="3"/>
  <c r="R777" i="3"/>
  <c r="R798" i="3"/>
  <c r="R816" i="3"/>
  <c r="R836" i="3"/>
  <c r="R736" i="3"/>
  <c r="R772" i="3"/>
  <c r="R775" i="3"/>
  <c r="N806" i="3"/>
  <c r="R826" i="3"/>
  <c r="N725" i="3"/>
  <c r="R746" i="3"/>
  <c r="N752" i="3"/>
  <c r="R789" i="3"/>
  <c r="N823" i="3"/>
  <c r="R811" i="3"/>
  <c r="N830" i="3"/>
  <c r="R731" i="3"/>
  <c r="R750" i="3"/>
  <c r="N769" i="3"/>
  <c r="N805" i="3"/>
  <c r="N840" i="3"/>
  <c r="R828" i="3"/>
  <c r="R728" i="3"/>
  <c r="N747" i="3"/>
  <c r="R767" i="3"/>
  <c r="N786" i="3"/>
  <c r="R823" i="3"/>
  <c r="N737" i="3"/>
  <c r="R726" i="3"/>
  <c r="N744" i="3"/>
  <c r="N764" i="3"/>
  <c r="N783" i="3"/>
  <c r="N803" i="3"/>
  <c r="N839" i="3"/>
  <c r="R723" i="3"/>
  <c r="N742" i="3"/>
  <c r="R762" i="3"/>
  <c r="N793" i="3"/>
  <c r="R814" i="3"/>
  <c r="N832" i="3"/>
  <c r="R733" i="3"/>
  <c r="N739" i="3"/>
  <c r="R792" i="3"/>
  <c r="N778" i="3"/>
  <c r="N797" i="3"/>
  <c r="N817" i="3"/>
  <c r="R838" i="3"/>
  <c r="R755" i="3"/>
  <c r="R757" i="3"/>
  <c r="N808" i="3"/>
  <c r="R796" i="3"/>
  <c r="N815" i="3"/>
  <c r="R835" i="3"/>
  <c r="R735" i="3"/>
  <c r="N771" i="3"/>
  <c r="R774" i="3"/>
  <c r="N825" i="3"/>
  <c r="R813" i="3"/>
  <c r="R833" i="3"/>
  <c r="N732" i="3"/>
  <c r="R752" i="3"/>
  <c r="N788" i="3"/>
  <c r="N790" i="3"/>
  <c r="N842" i="3"/>
  <c r="N829" i="3"/>
  <c r="N729" i="3"/>
  <c r="N749" i="3"/>
  <c r="R782" i="3"/>
  <c r="N800" i="3"/>
  <c r="N820" i="3"/>
  <c r="R738" i="3"/>
  <c r="N759" i="3"/>
  <c r="R747" i="3"/>
  <c r="N766" i="3"/>
  <c r="N785" i="3"/>
  <c r="N822" i="3"/>
  <c r="N824" i="3"/>
  <c r="R725" i="3"/>
  <c r="N776" i="3"/>
  <c r="R764" i="3"/>
  <c r="R784" i="3"/>
  <c r="R803" i="3"/>
  <c r="R840" i="3"/>
  <c r="N841" i="3"/>
  <c r="N741" i="3"/>
  <c r="R794" i="3"/>
  <c r="R781" i="3"/>
  <c r="R801" i="3"/>
  <c r="R820" i="3"/>
  <c r="N736" i="3"/>
  <c r="R740" i="3"/>
  <c r="R759" i="3"/>
  <c r="N810" i="3"/>
  <c r="N798" i="3"/>
  <c r="R818" i="3"/>
  <c r="R837" i="3"/>
  <c r="N753" i="3"/>
  <c r="N768" i="3"/>
  <c r="R806" i="3"/>
  <c r="N807" i="3"/>
  <c r="N827" i="3"/>
  <c r="N834" i="3"/>
  <c r="N734" i="3"/>
  <c r="R771" i="3"/>
  <c r="N773" i="3"/>
  <c r="R793" i="3"/>
  <c r="N812" i="3"/>
  <c r="R745" i="3"/>
  <c r="R732" i="3"/>
  <c r="N751" i="3"/>
  <c r="N787" i="3"/>
  <c r="R791" i="3"/>
  <c r="N809" i="3"/>
  <c r="R830" i="3"/>
  <c r="N761" i="3"/>
  <c r="R749" i="3"/>
  <c r="R769" i="3"/>
  <c r="N804" i="3"/>
  <c r="R808" i="3"/>
  <c r="N826" i="3"/>
  <c r="R727" i="3"/>
  <c r="R779" i="3"/>
  <c r="N765" i="3"/>
  <c r="R786" i="3"/>
  <c r="N821" i="3"/>
  <c r="R825" i="3"/>
  <c r="N724" i="3"/>
  <c r="N756" i="3"/>
  <c r="R776" i="3"/>
  <c r="N795" i="3"/>
  <c r="N727" i="3"/>
  <c r="R529" i="3"/>
  <c r="S529" i="3" s="1"/>
  <c r="V529" i="3" s="1"/>
  <c r="H717" i="3"/>
  <c r="K717" i="3"/>
  <c r="C599" i="3"/>
  <c r="G718" i="3"/>
  <c r="N465" i="3"/>
  <c r="O465" i="3" s="1"/>
  <c r="R530" i="3"/>
  <c r="I489" i="4"/>
  <c r="N530" i="3"/>
  <c r="N502" i="3"/>
  <c r="H490" i="4"/>
  <c r="E491" i="4"/>
  <c r="J491" i="4"/>
  <c r="K487" i="20"/>
  <c r="R488" i="4"/>
  <c r="C493" i="4"/>
  <c r="D493" i="4" s="1"/>
  <c r="P492" i="4"/>
  <c r="I492" i="20" s="1"/>
  <c r="G492" i="4"/>
  <c r="K530" i="3"/>
  <c r="N490" i="3"/>
  <c r="G531" i="3"/>
  <c r="H531" i="3" s="1"/>
  <c r="K488" i="4"/>
  <c r="H718" i="3" l="1"/>
  <c r="K718" i="3"/>
  <c r="C600" i="3"/>
  <c r="G719" i="3"/>
  <c r="I34" i="5"/>
  <c r="N466" i="3"/>
  <c r="O466" i="3" s="1"/>
  <c r="R531" i="3"/>
  <c r="S531" i="3" s="1"/>
  <c r="V531" i="3" s="1"/>
  <c r="S530" i="3"/>
  <c r="V530" i="3" s="1"/>
  <c r="I490" i="4"/>
  <c r="N531" i="3"/>
  <c r="N503" i="3"/>
  <c r="P493" i="4"/>
  <c r="I493" i="20" s="1"/>
  <c r="C494" i="4"/>
  <c r="D494" i="4" s="1"/>
  <c r="G493" i="4"/>
  <c r="E492" i="4"/>
  <c r="J492" i="4"/>
  <c r="K488" i="20"/>
  <c r="R489" i="4"/>
  <c r="H491" i="4"/>
  <c r="K531" i="3"/>
  <c r="N491" i="3"/>
  <c r="G532" i="3"/>
  <c r="H532" i="3" s="1"/>
  <c r="K489" i="4"/>
  <c r="M88" i="1" l="1"/>
  <c r="H719" i="3"/>
  <c r="K719" i="3"/>
  <c r="C601" i="3"/>
  <c r="G720" i="3"/>
  <c r="I35" i="5"/>
  <c r="N467" i="3"/>
  <c r="O467" i="3" s="1"/>
  <c r="R532" i="3"/>
  <c r="I491" i="4"/>
  <c r="N532" i="3"/>
  <c r="N504" i="3"/>
  <c r="E493" i="4"/>
  <c r="J493" i="4"/>
  <c r="P494" i="4"/>
  <c r="I494" i="20" s="1"/>
  <c r="C495" i="4"/>
  <c r="D495" i="4" s="1"/>
  <c r="G494" i="4"/>
  <c r="K489" i="20"/>
  <c r="R490" i="4"/>
  <c r="H492" i="4"/>
  <c r="K532" i="3"/>
  <c r="N492" i="3"/>
  <c r="G533" i="3"/>
  <c r="K490" i="4"/>
  <c r="H720" i="3" l="1"/>
  <c r="K720" i="3"/>
  <c r="C602" i="3"/>
  <c r="G721" i="3"/>
  <c r="H533" i="3"/>
  <c r="N533" i="3" s="1"/>
  <c r="S532" i="3"/>
  <c r="V532" i="3" s="1"/>
  <c r="I492" i="4"/>
  <c r="N535" i="3"/>
  <c r="N468" i="3"/>
  <c r="N505" i="3"/>
  <c r="C496" i="4"/>
  <c r="D496" i="4" s="1"/>
  <c r="P495" i="4"/>
  <c r="I495" i="20" s="1"/>
  <c r="G495" i="4"/>
  <c r="H493" i="4"/>
  <c r="K490" i="20"/>
  <c r="R491" i="4"/>
  <c r="J494" i="4"/>
  <c r="E494" i="4"/>
  <c r="K533" i="3"/>
  <c r="N493" i="3"/>
  <c r="G534" i="3"/>
  <c r="H534" i="3" s="1"/>
  <c r="K491" i="4"/>
  <c r="R533" i="3" l="1"/>
  <c r="S533" i="3" s="1"/>
  <c r="V533" i="3" s="1"/>
  <c r="R655" i="3"/>
  <c r="R719" i="3"/>
  <c r="R663" i="3"/>
  <c r="R671" i="3"/>
  <c r="R695" i="3"/>
  <c r="R679" i="3"/>
  <c r="R687" i="3"/>
  <c r="R639" i="3"/>
  <c r="R703" i="3"/>
  <c r="R647" i="3"/>
  <c r="R711" i="3"/>
  <c r="R716" i="3"/>
  <c r="R652" i="3"/>
  <c r="R588" i="3"/>
  <c r="R715" i="3"/>
  <c r="R651" i="3"/>
  <c r="R587" i="3"/>
  <c r="R714" i="3"/>
  <c r="R650" i="3"/>
  <c r="R586" i="3"/>
  <c r="R713" i="3"/>
  <c r="R649" i="3"/>
  <c r="R585" i="3"/>
  <c r="R712" i="3"/>
  <c r="R648" i="3"/>
  <c r="R584" i="3"/>
  <c r="R615" i="3"/>
  <c r="R551" i="3"/>
  <c r="R670" i="3"/>
  <c r="R606" i="3"/>
  <c r="R542" i="3"/>
  <c r="R661" i="3"/>
  <c r="R597" i="3"/>
  <c r="R708" i="3"/>
  <c r="R644" i="3"/>
  <c r="R580" i="3"/>
  <c r="R707" i="3"/>
  <c r="R643" i="3"/>
  <c r="R579" i="3"/>
  <c r="R706" i="3"/>
  <c r="R642" i="3"/>
  <c r="R578" i="3"/>
  <c r="R705" i="3"/>
  <c r="R641" i="3"/>
  <c r="R577" i="3"/>
  <c r="R704" i="3"/>
  <c r="R640" i="3"/>
  <c r="R576" i="3"/>
  <c r="R607" i="3"/>
  <c r="R543" i="3"/>
  <c r="R662" i="3"/>
  <c r="R598" i="3"/>
  <c r="R717" i="3"/>
  <c r="R653" i="3"/>
  <c r="R589" i="3"/>
  <c r="R575" i="3"/>
  <c r="R700" i="3"/>
  <c r="R636" i="3"/>
  <c r="R572" i="3"/>
  <c r="R699" i="3"/>
  <c r="R635" i="3"/>
  <c r="R571" i="3"/>
  <c r="R698" i="3"/>
  <c r="R634" i="3"/>
  <c r="R570" i="3"/>
  <c r="R697" i="3"/>
  <c r="R633" i="3"/>
  <c r="R569" i="3"/>
  <c r="R696" i="3"/>
  <c r="R632" i="3"/>
  <c r="R568" i="3"/>
  <c r="R599" i="3"/>
  <c r="R718" i="3"/>
  <c r="R654" i="3"/>
  <c r="R590" i="3"/>
  <c r="R709" i="3"/>
  <c r="R645" i="3"/>
  <c r="R581" i="3"/>
  <c r="R694" i="3"/>
  <c r="R692" i="3"/>
  <c r="R628" i="3"/>
  <c r="R564" i="3"/>
  <c r="R691" i="3"/>
  <c r="R627" i="3"/>
  <c r="R563" i="3"/>
  <c r="R690" i="3"/>
  <c r="R626" i="3"/>
  <c r="R562" i="3"/>
  <c r="R689" i="3"/>
  <c r="R625" i="3"/>
  <c r="R561" i="3"/>
  <c r="R688" i="3"/>
  <c r="R624" i="3"/>
  <c r="R560" i="3"/>
  <c r="R591" i="3"/>
  <c r="R710" i="3"/>
  <c r="R646" i="3"/>
  <c r="R582" i="3"/>
  <c r="R701" i="3"/>
  <c r="R637" i="3"/>
  <c r="R573" i="3"/>
  <c r="R566" i="3"/>
  <c r="R684" i="3"/>
  <c r="R620" i="3"/>
  <c r="R556" i="3"/>
  <c r="R683" i="3"/>
  <c r="R619" i="3"/>
  <c r="R555" i="3"/>
  <c r="R682" i="3"/>
  <c r="R618" i="3"/>
  <c r="R554" i="3"/>
  <c r="R681" i="3"/>
  <c r="R617" i="3"/>
  <c r="R553" i="3"/>
  <c r="R680" i="3"/>
  <c r="R616" i="3"/>
  <c r="R552" i="3"/>
  <c r="R583" i="3"/>
  <c r="R702" i="3"/>
  <c r="R638" i="3"/>
  <c r="R574" i="3"/>
  <c r="R693" i="3"/>
  <c r="R629" i="3"/>
  <c r="R565" i="3"/>
  <c r="R685" i="3"/>
  <c r="R676" i="3"/>
  <c r="R612" i="3"/>
  <c r="R548" i="3"/>
  <c r="R675" i="3"/>
  <c r="R611" i="3"/>
  <c r="R547" i="3"/>
  <c r="R674" i="3"/>
  <c r="R610" i="3"/>
  <c r="R546" i="3"/>
  <c r="R673" i="3"/>
  <c r="R609" i="3"/>
  <c r="R545" i="3"/>
  <c r="R672" i="3"/>
  <c r="R608" i="3"/>
  <c r="R544" i="3"/>
  <c r="R630" i="3"/>
  <c r="R557" i="3"/>
  <c r="R668" i="3"/>
  <c r="R604" i="3"/>
  <c r="R540" i="3"/>
  <c r="R667" i="3"/>
  <c r="R603" i="3"/>
  <c r="R539" i="3"/>
  <c r="R666" i="3"/>
  <c r="R602" i="3"/>
  <c r="R538" i="3"/>
  <c r="R665" i="3"/>
  <c r="R601" i="3"/>
  <c r="R535" i="3"/>
  <c r="R664" i="3"/>
  <c r="R600" i="3"/>
  <c r="R631" i="3"/>
  <c r="R567" i="3"/>
  <c r="R686" i="3"/>
  <c r="R622" i="3"/>
  <c r="R558" i="3"/>
  <c r="R677" i="3"/>
  <c r="R613" i="3"/>
  <c r="R549" i="3"/>
  <c r="R660" i="3"/>
  <c r="R596" i="3"/>
  <c r="R659" i="3"/>
  <c r="R595" i="3"/>
  <c r="R722" i="3"/>
  <c r="R658" i="3"/>
  <c r="R594" i="3"/>
  <c r="R721" i="3"/>
  <c r="R657" i="3"/>
  <c r="R593" i="3"/>
  <c r="R720" i="3"/>
  <c r="R656" i="3"/>
  <c r="R592" i="3"/>
  <c r="R623" i="3"/>
  <c r="R559" i="3"/>
  <c r="R678" i="3"/>
  <c r="R614" i="3"/>
  <c r="R550" i="3"/>
  <c r="R669" i="3"/>
  <c r="R605" i="3"/>
  <c r="R541" i="3"/>
  <c r="R621" i="3"/>
  <c r="H721" i="3"/>
  <c r="K721" i="3"/>
  <c r="C603" i="3"/>
  <c r="G723" i="3" s="1"/>
  <c r="G722" i="3"/>
  <c r="N469" i="3"/>
  <c r="O469" i="3" s="1"/>
  <c r="R534" i="3"/>
  <c r="I493" i="4"/>
  <c r="O468" i="3"/>
  <c r="N534" i="3"/>
  <c r="N506" i="3"/>
  <c r="K491" i="20"/>
  <c r="R492" i="4"/>
  <c r="C497" i="4"/>
  <c r="D497" i="4" s="1"/>
  <c r="P496" i="4"/>
  <c r="I496" i="20" s="1"/>
  <c r="G496" i="4"/>
  <c r="J495" i="4"/>
  <c r="E495" i="4"/>
  <c r="H494" i="4"/>
  <c r="K534" i="3"/>
  <c r="N494" i="3"/>
  <c r="G536" i="3"/>
  <c r="H536" i="3" s="1"/>
  <c r="K492" i="4"/>
  <c r="K723" i="3" l="1"/>
  <c r="H723" i="3"/>
  <c r="K722" i="3"/>
  <c r="H722" i="3"/>
  <c r="C604" i="3"/>
  <c r="G724" i="3" s="1"/>
  <c r="O470" i="3"/>
  <c r="N471" i="3"/>
  <c r="O471" i="3" s="1"/>
  <c r="R536" i="3"/>
  <c r="S536" i="3" s="1"/>
  <c r="V536" i="3" s="1"/>
  <c r="S534" i="3"/>
  <c r="V534" i="3" s="1"/>
  <c r="S535" i="3"/>
  <c r="V535" i="3" s="1"/>
  <c r="I494" i="4"/>
  <c r="N711" i="3"/>
  <c r="N632" i="3"/>
  <c r="N553" i="3"/>
  <c r="N695" i="3"/>
  <c r="N614" i="3"/>
  <c r="N675" i="3"/>
  <c r="N546" i="3"/>
  <c r="N660" i="3"/>
  <c r="N595" i="3"/>
  <c r="N657" i="3"/>
  <c r="N580" i="3"/>
  <c r="N647" i="3"/>
  <c r="N566" i="3"/>
  <c r="N680" i="3"/>
  <c r="N627" i="3"/>
  <c r="N550" i="3"/>
  <c r="N664" i="3"/>
  <c r="N551" i="3"/>
  <c r="N661" i="3"/>
  <c r="N584" i="3"/>
  <c r="N658" i="3"/>
  <c r="N581" i="3"/>
  <c r="N707" i="3"/>
  <c r="N575" i="3"/>
  <c r="N705" i="3"/>
  <c r="N625" i="3"/>
  <c r="N563" i="3"/>
  <c r="N689" i="3"/>
  <c r="N612" i="3"/>
  <c r="N547" i="3"/>
  <c r="N609" i="3"/>
  <c r="N719" i="3"/>
  <c r="N654" i="3"/>
  <c r="N720" i="3"/>
  <c r="N639" i="3"/>
  <c r="N574" i="3"/>
  <c r="N701" i="3"/>
  <c r="N576" i="3"/>
  <c r="N682" i="3"/>
  <c r="N621" i="3"/>
  <c r="N560" i="3"/>
  <c r="N666" i="3"/>
  <c r="N605" i="3"/>
  <c r="N667" i="3"/>
  <c r="N586" i="3"/>
  <c r="N716" i="3"/>
  <c r="N644" i="3"/>
  <c r="N579" i="3"/>
  <c r="N640" i="3"/>
  <c r="N559" i="3"/>
  <c r="N685" i="3"/>
  <c r="N623" i="3"/>
  <c r="N543" i="3"/>
  <c r="N669" i="3"/>
  <c r="N544" i="3"/>
  <c r="N589" i="3"/>
  <c r="N570" i="3"/>
  <c r="N700" i="3"/>
  <c r="N694" i="3"/>
  <c r="N556" i="3"/>
  <c r="N601" i="3"/>
  <c r="N598" i="3"/>
  <c r="N599" i="3"/>
  <c r="N633" i="3"/>
  <c r="N642" i="3"/>
  <c r="N565" i="3"/>
  <c r="N691" i="3"/>
  <c r="N630" i="3"/>
  <c r="N549" i="3"/>
  <c r="N606" i="3"/>
  <c r="N672" i="3"/>
  <c r="N591" i="3"/>
  <c r="N717" i="3"/>
  <c r="N592" i="3"/>
  <c r="N698" i="3"/>
  <c r="N578" i="3"/>
  <c r="N692" i="3"/>
  <c r="N631" i="3"/>
  <c r="N562" i="3"/>
  <c r="N676" i="3"/>
  <c r="N611" i="3"/>
  <c r="N673" i="3"/>
  <c r="N596" i="3"/>
  <c r="N718" i="3"/>
  <c r="N593" i="3"/>
  <c r="N703" i="3"/>
  <c r="N638" i="3"/>
  <c r="N577" i="3"/>
  <c r="N687" i="3"/>
  <c r="N622" i="3"/>
  <c r="N561" i="3"/>
  <c r="N671" i="3"/>
  <c r="N541" i="3"/>
  <c r="N603" i="3"/>
  <c r="N713" i="3"/>
  <c r="N652" i="3"/>
  <c r="N710" i="3"/>
  <c r="N628" i="3"/>
  <c r="N704" i="3"/>
  <c r="N629" i="3"/>
  <c r="N558" i="3"/>
  <c r="N688" i="3"/>
  <c r="N607" i="3"/>
  <c r="N542" i="3"/>
  <c r="N608" i="3"/>
  <c r="N714" i="3"/>
  <c r="N653" i="3"/>
  <c r="N715" i="3"/>
  <c r="N634" i="3"/>
  <c r="N573" i="3"/>
  <c r="N702" i="3"/>
  <c r="N571" i="3"/>
  <c r="N681" i="3"/>
  <c r="N620" i="3"/>
  <c r="N555" i="3"/>
  <c r="N665" i="3"/>
  <c r="N604" i="3"/>
  <c r="N662" i="3"/>
  <c r="N585" i="3"/>
  <c r="N663" i="3"/>
  <c r="N582" i="3"/>
  <c r="N696" i="3"/>
  <c r="N709" i="3"/>
  <c r="N706" i="3"/>
  <c r="N626" i="3"/>
  <c r="N552" i="3"/>
  <c r="N690" i="3"/>
  <c r="N613" i="3"/>
  <c r="N540" i="3"/>
  <c r="N610" i="3"/>
  <c r="N659" i="3"/>
  <c r="N539" i="3"/>
  <c r="N636" i="3"/>
  <c r="N650" i="3"/>
  <c r="N651" i="3"/>
  <c r="N572" i="3"/>
  <c r="N617" i="3"/>
  <c r="N678" i="3"/>
  <c r="N679" i="3"/>
  <c r="N712" i="3"/>
  <c r="N699" i="3"/>
  <c r="N618" i="3"/>
  <c r="N557" i="3"/>
  <c r="N683" i="3"/>
  <c r="N602" i="3"/>
  <c r="N615" i="3"/>
  <c r="N648" i="3"/>
  <c r="N721" i="3"/>
  <c r="N645" i="3"/>
  <c r="N568" i="3"/>
  <c r="N635" i="3"/>
  <c r="N554" i="3"/>
  <c r="N684" i="3"/>
  <c r="N619" i="3"/>
  <c r="N668" i="3"/>
  <c r="N538" i="3"/>
  <c r="N649" i="3"/>
  <c r="N588" i="3"/>
  <c r="N646" i="3"/>
  <c r="N569" i="3"/>
  <c r="N587" i="3"/>
  <c r="N583" i="3"/>
  <c r="N693" i="3"/>
  <c r="N616" i="3"/>
  <c r="N567" i="3"/>
  <c r="N677" i="3"/>
  <c r="N600" i="3"/>
  <c r="N674" i="3"/>
  <c r="N597" i="3"/>
  <c r="N722" i="3"/>
  <c r="N594" i="3"/>
  <c r="N708" i="3"/>
  <c r="N643" i="3"/>
  <c r="N697" i="3"/>
  <c r="N641" i="3"/>
  <c r="N564" i="3"/>
  <c r="N686" i="3"/>
  <c r="N624" i="3"/>
  <c r="N548" i="3"/>
  <c r="N670" i="3"/>
  <c r="N545" i="3"/>
  <c r="N655" i="3"/>
  <c r="N590" i="3"/>
  <c r="N656" i="3"/>
  <c r="N637" i="3"/>
  <c r="N536" i="3"/>
  <c r="N508" i="3"/>
  <c r="K492" i="20"/>
  <c r="R493" i="4"/>
  <c r="H495" i="4"/>
  <c r="J496" i="4"/>
  <c r="E496" i="4"/>
  <c r="C498" i="4"/>
  <c r="D498" i="4" s="1"/>
  <c r="P497" i="4"/>
  <c r="I497" i="20" s="1"/>
  <c r="G497" i="4"/>
  <c r="K536" i="3"/>
  <c r="N495" i="3"/>
  <c r="G537" i="3"/>
  <c r="H537" i="3" s="1"/>
  <c r="K493" i="4"/>
  <c r="K724" i="3" l="1"/>
  <c r="H724" i="3"/>
  <c r="C605" i="3"/>
  <c r="G725" i="3" s="1"/>
  <c r="I495" i="4"/>
  <c r="N509" i="3"/>
  <c r="H496" i="4"/>
  <c r="E497" i="4"/>
  <c r="J497" i="4"/>
  <c r="P498" i="4"/>
  <c r="I498" i="20" s="1"/>
  <c r="C499" i="4"/>
  <c r="D499" i="4" s="1"/>
  <c r="G498" i="4"/>
  <c r="K493" i="20"/>
  <c r="R494" i="4"/>
  <c r="N497" i="3"/>
  <c r="N537" i="3"/>
  <c r="K537" i="3"/>
  <c r="N496" i="3"/>
  <c r="K494" i="4"/>
  <c r="K725" i="3" l="1"/>
  <c r="H725" i="3"/>
  <c r="C606" i="3"/>
  <c r="G726" i="3" s="1"/>
  <c r="N472" i="3"/>
  <c r="O492" i="3" s="1"/>
  <c r="R537" i="3"/>
  <c r="I496" i="4"/>
  <c r="J498" i="4"/>
  <c r="E498" i="4"/>
  <c r="K494" i="20"/>
  <c r="R495" i="4"/>
  <c r="H497" i="4"/>
  <c r="P499" i="4"/>
  <c r="I499" i="20" s="1"/>
  <c r="C500" i="4"/>
  <c r="D500" i="4" s="1"/>
  <c r="G499" i="4"/>
  <c r="K495" i="4"/>
  <c r="O543" i="3" l="1"/>
  <c r="O525" i="3"/>
  <c r="O522" i="3"/>
  <c r="O648" i="3"/>
  <c r="O598" i="3"/>
  <c r="O613" i="3"/>
  <c r="O707" i="3"/>
  <c r="O507" i="3"/>
  <c r="O594" i="3"/>
  <c r="O628" i="3"/>
  <c r="O658" i="3"/>
  <c r="O514" i="3"/>
  <c r="O550" i="3"/>
  <c r="O710" i="3"/>
  <c r="O531" i="3"/>
  <c r="O706" i="3"/>
  <c r="O523" i="3"/>
  <c r="O585" i="3"/>
  <c r="O671" i="3"/>
  <c r="O509" i="3"/>
  <c r="O604" i="3"/>
  <c r="O571" i="3"/>
  <c r="O638" i="3"/>
  <c r="O565" i="3"/>
  <c r="O642" i="3"/>
  <c r="O685" i="3"/>
  <c r="O644" i="3"/>
  <c r="O513" i="3"/>
  <c r="O593" i="3"/>
  <c r="O676" i="3"/>
  <c r="O672" i="3"/>
  <c r="O720" i="3"/>
  <c r="O654" i="3"/>
  <c r="O661" i="3"/>
  <c r="O696" i="3"/>
  <c r="O517" i="3"/>
  <c r="O549" i="3"/>
  <c r="O579" i="3"/>
  <c r="O544" i="3"/>
  <c r="O632" i="3"/>
  <c r="O619" i="3"/>
  <c r="O552" i="3"/>
  <c r="O529" i="3"/>
  <c r="O697" i="3"/>
  <c r="O545" i="3"/>
  <c r="O569" i="3"/>
  <c r="O530" i="3"/>
  <c r="O689" i="3"/>
  <c r="O586" i="3"/>
  <c r="O548" i="3"/>
  <c r="O557" i="3"/>
  <c r="O645" i="3"/>
  <c r="O610" i="3"/>
  <c r="O646" i="3"/>
  <c r="O532" i="3"/>
  <c r="O542" i="3"/>
  <c r="O587" i="3"/>
  <c r="O643" i="3"/>
  <c r="O596" i="3"/>
  <c r="O538" i="3"/>
  <c r="O519" i="3"/>
  <c r="O634" i="3"/>
  <c r="O677" i="3"/>
  <c r="O621" i="3"/>
  <c r="O702" i="3"/>
  <c r="O656" i="3"/>
  <c r="O625" i="3"/>
  <c r="O558" i="3"/>
  <c r="O588" i="3"/>
  <c r="O719" i="3"/>
  <c r="O607" i="3"/>
  <c r="O564" i="3"/>
  <c r="O559" i="3"/>
  <c r="O526" i="3"/>
  <c r="O611" i="3"/>
  <c r="O679" i="3"/>
  <c r="O647" i="3"/>
  <c r="O691" i="3"/>
  <c r="O699" i="3"/>
  <c r="O521" i="3"/>
  <c r="O541" i="3"/>
  <c r="O568" i="3"/>
  <c r="O575" i="3"/>
  <c r="O713" i="3"/>
  <c r="O674" i="3"/>
  <c r="O603" i="3"/>
  <c r="O527" i="3"/>
  <c r="O692" i="3"/>
  <c r="O651" i="3"/>
  <c r="O660" i="3"/>
  <c r="O562" i="3"/>
  <c r="O554" i="3"/>
  <c r="O602" i="3"/>
  <c r="O551" i="3"/>
  <c r="O641" i="3"/>
  <c r="O640" i="3"/>
  <c r="O715" i="3"/>
  <c r="O686" i="3"/>
  <c r="O639" i="3"/>
  <c r="O573" i="3"/>
  <c r="O536" i="3"/>
  <c r="O601" i="3"/>
  <c r="O663" i="3"/>
  <c r="O655" i="3"/>
  <c r="O599" i="3"/>
  <c r="O617" i="3"/>
  <c r="O693" i="3"/>
  <c r="O701" i="3"/>
  <c r="O652" i="3"/>
  <c r="O567" i="3"/>
  <c r="O682" i="3"/>
  <c r="O620" i="3"/>
  <c r="O510" i="3"/>
  <c r="O683" i="3"/>
  <c r="O664" i="3"/>
  <c r="O578" i="3"/>
  <c r="O615" i="3"/>
  <c r="O553" i="3"/>
  <c r="O716" i="3"/>
  <c r="O668" i="3"/>
  <c r="O612" i="3"/>
  <c r="O577" i="3"/>
  <c r="O649" i="3"/>
  <c r="O609" i="3"/>
  <c r="O714" i="3"/>
  <c r="O540" i="3"/>
  <c r="O711" i="3"/>
  <c r="O556" i="3"/>
  <c r="O555" i="3"/>
  <c r="O508" i="3"/>
  <c r="O511" i="3"/>
  <c r="O712" i="3"/>
  <c r="O566" i="3"/>
  <c r="O591" i="3"/>
  <c r="O618" i="3"/>
  <c r="O627" i="3"/>
  <c r="O622" i="3"/>
  <c r="O539" i="3"/>
  <c r="O614" i="3"/>
  <c r="O633" i="3"/>
  <c r="O650" i="3"/>
  <c r="O546" i="3"/>
  <c r="O673" i="3"/>
  <c r="O518" i="3"/>
  <c r="O681" i="3"/>
  <c r="O722" i="3"/>
  <c r="O667" i="3"/>
  <c r="O704" i="3"/>
  <c r="O708" i="3"/>
  <c r="O515" i="3"/>
  <c r="O626" i="3"/>
  <c r="O504" i="3"/>
  <c r="O589" i="3"/>
  <c r="O690" i="3"/>
  <c r="O505" i="3"/>
  <c r="O592" i="3"/>
  <c r="O700" i="3"/>
  <c r="O666" i="3"/>
  <c r="O675" i="3"/>
  <c r="O657" i="3"/>
  <c r="O534" i="3"/>
  <c r="O500" i="3"/>
  <c r="O499" i="3"/>
  <c r="O497" i="3"/>
  <c r="O491" i="3"/>
  <c r="O498" i="3"/>
  <c r="O503" i="3"/>
  <c r="O680" i="3"/>
  <c r="O502" i="3"/>
  <c r="O512" i="3"/>
  <c r="O501" i="3"/>
  <c r="O516" i="3"/>
  <c r="O520" i="3"/>
  <c r="O524" i="3"/>
  <c r="O528" i="3"/>
  <c r="O590" i="3"/>
  <c r="O600" i="3"/>
  <c r="O635" i="3"/>
  <c r="O572" i="3"/>
  <c r="O582" i="3"/>
  <c r="O717" i="3"/>
  <c r="O595" i="3"/>
  <c r="O665" i="3"/>
  <c r="O623" i="3"/>
  <c r="O637" i="3"/>
  <c r="O709" i="3"/>
  <c r="O694" i="3"/>
  <c r="O535" i="3"/>
  <c r="O636" i="3"/>
  <c r="O606" i="3"/>
  <c r="O624" i="3"/>
  <c r="O574" i="3"/>
  <c r="O653" i="3"/>
  <c r="O670" i="3"/>
  <c r="O669" i="3"/>
  <c r="O485" i="3"/>
  <c r="O608" i="3"/>
  <c r="O583" i="3"/>
  <c r="O584" i="3"/>
  <c r="O561" i="3"/>
  <c r="O616" i="3"/>
  <c r="O576" i="3"/>
  <c r="O687" i="3"/>
  <c r="O659" i="3"/>
  <c r="O695" i="3"/>
  <c r="O698" i="3"/>
  <c r="O721" i="3"/>
  <c r="O581" i="3"/>
  <c r="O570" i="3"/>
  <c r="O629" i="3"/>
  <c r="O597" i="3"/>
  <c r="O605" i="3"/>
  <c r="O662" i="3"/>
  <c r="O506" i="3"/>
  <c r="O560" i="3"/>
  <c r="O718" i="3"/>
  <c r="O684" i="3"/>
  <c r="O563" i="3"/>
  <c r="O688" i="3"/>
  <c r="O537" i="3"/>
  <c r="O705" i="3"/>
  <c r="O630" i="3"/>
  <c r="O678" i="3"/>
  <c r="O580" i="3"/>
  <c r="O703" i="3"/>
  <c r="O631" i="3"/>
  <c r="O547" i="3"/>
  <c r="O533" i="3"/>
  <c r="O495" i="3"/>
  <c r="S837" i="3"/>
  <c r="V837" i="3" s="1"/>
  <c r="S826" i="3"/>
  <c r="V826" i="3" s="1"/>
  <c r="S830" i="3"/>
  <c r="V830" i="3" s="1"/>
  <c r="S829" i="3"/>
  <c r="V829" i="3" s="1"/>
  <c r="S840" i="3"/>
  <c r="V840" i="3" s="1"/>
  <c r="S822" i="3"/>
  <c r="V822" i="3" s="1"/>
  <c r="S836" i="3"/>
  <c r="V836" i="3" s="1"/>
  <c r="S833" i="3"/>
  <c r="V833" i="3" s="1"/>
  <c r="S838" i="3"/>
  <c r="V838" i="3" s="1"/>
  <c r="S828" i="3"/>
  <c r="V828" i="3" s="1"/>
  <c r="S825" i="3"/>
  <c r="V825" i="3" s="1"/>
  <c r="S835" i="3"/>
  <c r="V835" i="3" s="1"/>
  <c r="S842" i="3"/>
  <c r="S839" i="3"/>
  <c r="V839" i="3" s="1"/>
  <c r="S827" i="3"/>
  <c r="V827" i="3" s="1"/>
  <c r="S832" i="3"/>
  <c r="V832" i="3" s="1"/>
  <c r="S831" i="3"/>
  <c r="V831" i="3" s="1"/>
  <c r="S841" i="3"/>
  <c r="V841" i="3" s="1"/>
  <c r="S824" i="3"/>
  <c r="V824" i="3" s="1"/>
  <c r="S823" i="3"/>
  <c r="V823" i="3" s="1"/>
  <c r="S834" i="3"/>
  <c r="V834" i="3" s="1"/>
  <c r="O824" i="3"/>
  <c r="O830" i="3"/>
  <c r="O840" i="3"/>
  <c r="O822" i="3"/>
  <c r="O833" i="3"/>
  <c r="O838" i="3"/>
  <c r="O839" i="3"/>
  <c r="O825" i="3"/>
  <c r="O832" i="3"/>
  <c r="O841" i="3"/>
  <c r="O826" i="3"/>
  <c r="O834" i="3"/>
  <c r="O842" i="3"/>
  <c r="O831" i="3"/>
  <c r="O827" i="3"/>
  <c r="O837" i="3"/>
  <c r="O828" i="3"/>
  <c r="O835" i="3"/>
  <c r="O823" i="3"/>
  <c r="O829" i="3"/>
  <c r="O836" i="3"/>
  <c r="S811" i="3"/>
  <c r="V811" i="3" s="1"/>
  <c r="S816" i="3"/>
  <c r="V816" i="3" s="1"/>
  <c r="S806" i="3"/>
  <c r="V806" i="3" s="1"/>
  <c r="S814" i="3"/>
  <c r="V814" i="3" s="1"/>
  <c r="S803" i="3"/>
  <c r="V803" i="3" s="1"/>
  <c r="S808" i="3"/>
  <c r="V808" i="3" s="1"/>
  <c r="S798" i="3"/>
  <c r="V798" i="3" s="1"/>
  <c r="S805" i="3"/>
  <c r="V805" i="3" s="1"/>
  <c r="S818" i="3"/>
  <c r="V818" i="3" s="1"/>
  <c r="S800" i="3"/>
  <c r="V800" i="3" s="1"/>
  <c r="S820" i="3"/>
  <c r="V820" i="3" s="1"/>
  <c r="S810" i="3"/>
  <c r="V810" i="3" s="1"/>
  <c r="S815" i="3"/>
  <c r="V815" i="3" s="1"/>
  <c r="S812" i="3"/>
  <c r="V812" i="3" s="1"/>
  <c r="S802" i="3"/>
  <c r="V802" i="3" s="1"/>
  <c r="S807" i="3"/>
  <c r="V807" i="3" s="1"/>
  <c r="S804" i="3"/>
  <c r="V804" i="3" s="1"/>
  <c r="S817" i="3"/>
  <c r="V817" i="3" s="1"/>
  <c r="S799" i="3"/>
  <c r="V799" i="3" s="1"/>
  <c r="S809" i="3"/>
  <c r="V809" i="3" s="1"/>
  <c r="S821" i="3"/>
  <c r="V821" i="3" s="1"/>
  <c r="S819" i="3"/>
  <c r="V819" i="3" s="1"/>
  <c r="S801" i="3"/>
  <c r="V801" i="3" s="1"/>
  <c r="S813" i="3"/>
  <c r="V813" i="3" s="1"/>
  <c r="O799" i="3"/>
  <c r="O807" i="3"/>
  <c r="O818" i="3"/>
  <c r="O802" i="3"/>
  <c r="O809" i="3"/>
  <c r="O816" i="3"/>
  <c r="O801" i="3"/>
  <c r="O811" i="3"/>
  <c r="O817" i="3"/>
  <c r="O804" i="3"/>
  <c r="O810" i="3"/>
  <c r="O819" i="3"/>
  <c r="O803" i="3"/>
  <c r="O812" i="3"/>
  <c r="O821" i="3"/>
  <c r="O806" i="3"/>
  <c r="O813" i="3"/>
  <c r="O820" i="3"/>
  <c r="O798" i="3"/>
  <c r="O805" i="3"/>
  <c r="O814" i="3"/>
  <c r="O800" i="3"/>
  <c r="O808" i="3"/>
  <c r="O815" i="3"/>
  <c r="S792" i="3"/>
  <c r="V792" i="3" s="1"/>
  <c r="S728" i="3"/>
  <c r="V728" i="3" s="1"/>
  <c r="S735" i="3"/>
  <c r="V735" i="3" s="1"/>
  <c r="S750" i="3"/>
  <c r="V750" i="3" s="1"/>
  <c r="S764" i="3"/>
  <c r="V764" i="3" s="1"/>
  <c r="S780" i="3"/>
  <c r="V780" i="3" s="1"/>
  <c r="S797" i="3"/>
  <c r="V797" i="3" s="1"/>
  <c r="S731" i="3"/>
  <c r="V731" i="3" s="1"/>
  <c r="S745" i="3"/>
  <c r="V745" i="3" s="1"/>
  <c r="S737" i="3"/>
  <c r="V737" i="3" s="1"/>
  <c r="S784" i="3"/>
  <c r="V784" i="3" s="1"/>
  <c r="S791" i="3"/>
  <c r="V791" i="3" s="1"/>
  <c r="S727" i="3"/>
  <c r="V727" i="3" s="1"/>
  <c r="S742" i="3"/>
  <c r="V742" i="3" s="1"/>
  <c r="S757" i="3"/>
  <c r="V757" i="3" s="1"/>
  <c r="S772" i="3"/>
  <c r="V772" i="3" s="1"/>
  <c r="S787" i="3"/>
  <c r="V787" i="3" s="1"/>
  <c r="S723" i="3"/>
  <c r="V723" i="3" s="1"/>
  <c r="S738" i="3"/>
  <c r="V738" i="3" s="1"/>
  <c r="S793" i="3"/>
  <c r="V793" i="3" s="1"/>
  <c r="S729" i="3"/>
  <c r="V729" i="3" s="1"/>
  <c r="S777" i="3"/>
  <c r="V777" i="3" s="1"/>
  <c r="S783" i="3"/>
  <c r="V783" i="3" s="1"/>
  <c r="S734" i="3"/>
  <c r="V734" i="3" s="1"/>
  <c r="S749" i="3"/>
  <c r="V749" i="3" s="1"/>
  <c r="S765" i="3"/>
  <c r="V765" i="3" s="1"/>
  <c r="S779" i="3"/>
  <c r="V779" i="3" s="1"/>
  <c r="S794" i="3"/>
  <c r="V794" i="3" s="1"/>
  <c r="S730" i="3"/>
  <c r="V730" i="3" s="1"/>
  <c r="S785" i="3"/>
  <c r="V785" i="3" s="1"/>
  <c r="S768" i="3"/>
  <c r="V768" i="3" s="1"/>
  <c r="S775" i="3"/>
  <c r="V775" i="3" s="1"/>
  <c r="S790" i="3"/>
  <c r="V790" i="3" s="1"/>
  <c r="S726" i="3"/>
  <c r="V726" i="3" s="1"/>
  <c r="S740" i="3"/>
  <c r="V740" i="3" s="1"/>
  <c r="S756" i="3"/>
  <c r="V756" i="3" s="1"/>
  <c r="S771" i="3"/>
  <c r="V771" i="3" s="1"/>
  <c r="S786" i="3"/>
  <c r="V786" i="3" s="1"/>
  <c r="S776" i="3"/>
  <c r="V776" i="3" s="1"/>
  <c r="S760" i="3"/>
  <c r="V760" i="3" s="1"/>
  <c r="S767" i="3"/>
  <c r="V767" i="3" s="1"/>
  <c r="S782" i="3"/>
  <c r="V782" i="3" s="1"/>
  <c r="S796" i="3"/>
  <c r="V796" i="3" s="1"/>
  <c r="S733" i="3"/>
  <c r="V733" i="3" s="1"/>
  <c r="S748" i="3"/>
  <c r="V748" i="3" s="1"/>
  <c r="S763" i="3"/>
  <c r="V763" i="3" s="1"/>
  <c r="S778" i="3"/>
  <c r="V778" i="3" s="1"/>
  <c r="S769" i="3"/>
  <c r="V769" i="3" s="1"/>
  <c r="S752" i="3"/>
  <c r="V752" i="3" s="1"/>
  <c r="S759" i="3"/>
  <c r="V759" i="3" s="1"/>
  <c r="S774" i="3"/>
  <c r="V774" i="3" s="1"/>
  <c r="S789" i="3"/>
  <c r="V789" i="3" s="1"/>
  <c r="S725" i="3"/>
  <c r="V725" i="3" s="1"/>
  <c r="S741" i="3"/>
  <c r="V741" i="3" s="1"/>
  <c r="S755" i="3"/>
  <c r="V755" i="3" s="1"/>
  <c r="S770" i="3"/>
  <c r="V770" i="3" s="1"/>
  <c r="S761" i="3"/>
  <c r="V761" i="3" s="1"/>
  <c r="S744" i="3"/>
  <c r="V744" i="3" s="1"/>
  <c r="S751" i="3"/>
  <c r="V751" i="3" s="1"/>
  <c r="S766" i="3"/>
  <c r="V766" i="3" s="1"/>
  <c r="S781" i="3"/>
  <c r="V781" i="3" s="1"/>
  <c r="S795" i="3"/>
  <c r="V795" i="3" s="1"/>
  <c r="S732" i="3"/>
  <c r="V732" i="3" s="1"/>
  <c r="S747" i="3"/>
  <c r="V747" i="3" s="1"/>
  <c r="S762" i="3"/>
  <c r="V762" i="3" s="1"/>
  <c r="S753" i="3"/>
  <c r="V753" i="3" s="1"/>
  <c r="S736" i="3"/>
  <c r="V736" i="3" s="1"/>
  <c r="S743" i="3"/>
  <c r="V743" i="3" s="1"/>
  <c r="S758" i="3"/>
  <c r="V758" i="3" s="1"/>
  <c r="S773" i="3"/>
  <c r="V773" i="3" s="1"/>
  <c r="S788" i="3"/>
  <c r="V788" i="3" s="1"/>
  <c r="S724" i="3"/>
  <c r="V724" i="3" s="1"/>
  <c r="S739" i="3"/>
  <c r="V739" i="3" s="1"/>
  <c r="S754" i="3"/>
  <c r="V754" i="3" s="1"/>
  <c r="S746" i="3"/>
  <c r="V746" i="3" s="1"/>
  <c r="O727" i="3"/>
  <c r="O735" i="3"/>
  <c r="O743" i="3"/>
  <c r="O752" i="3"/>
  <c r="O761" i="3"/>
  <c r="O769" i="3"/>
  <c r="O776" i="3"/>
  <c r="O785" i="3"/>
  <c r="O794" i="3"/>
  <c r="O729" i="3"/>
  <c r="O737" i="3"/>
  <c r="O745" i="3"/>
  <c r="O755" i="3"/>
  <c r="O759" i="3"/>
  <c r="O768" i="3"/>
  <c r="O777" i="3"/>
  <c r="O786" i="3"/>
  <c r="O791" i="3"/>
  <c r="O730" i="3"/>
  <c r="O738" i="3"/>
  <c r="O746" i="3"/>
  <c r="O756" i="3"/>
  <c r="O762" i="3"/>
  <c r="O771" i="3"/>
  <c r="O778" i="3"/>
  <c r="O784" i="3"/>
  <c r="O793" i="3"/>
  <c r="O723" i="3"/>
  <c r="O732" i="3"/>
  <c r="O739" i="3"/>
  <c r="O748" i="3"/>
  <c r="O753" i="3"/>
  <c r="O765" i="3"/>
  <c r="O770" i="3"/>
  <c r="O780" i="3"/>
  <c r="O787" i="3"/>
  <c r="O795" i="3"/>
  <c r="O724" i="3"/>
  <c r="O731" i="3"/>
  <c r="O742" i="3"/>
  <c r="O747" i="3"/>
  <c r="O754" i="3"/>
  <c r="O763" i="3"/>
  <c r="O772" i="3"/>
  <c r="O782" i="3"/>
  <c r="O788" i="3"/>
  <c r="O796" i="3"/>
  <c r="O725" i="3"/>
  <c r="O736" i="3"/>
  <c r="O740" i="3"/>
  <c r="O749" i="3"/>
  <c r="O757" i="3"/>
  <c r="O764" i="3"/>
  <c r="O773" i="3"/>
  <c r="O781" i="3"/>
  <c r="O790" i="3"/>
  <c r="O797" i="3"/>
  <c r="O728" i="3"/>
  <c r="O734" i="3"/>
  <c r="O741" i="3"/>
  <c r="O751" i="3"/>
  <c r="O758" i="3"/>
  <c r="O766" i="3"/>
  <c r="O774" i="3"/>
  <c r="O779" i="3"/>
  <c r="O789" i="3"/>
  <c r="O726" i="3"/>
  <c r="O733" i="3"/>
  <c r="O744" i="3"/>
  <c r="O750" i="3"/>
  <c r="O760" i="3"/>
  <c r="O767" i="3"/>
  <c r="O775" i="3"/>
  <c r="O783" i="3"/>
  <c r="O792" i="3"/>
  <c r="K726" i="3"/>
  <c r="H726" i="3"/>
  <c r="O472" i="3"/>
  <c r="C607" i="3"/>
  <c r="G727" i="3" s="1"/>
  <c r="O490" i="3"/>
  <c r="O482" i="3"/>
  <c r="O489" i="3"/>
  <c r="O483" i="3"/>
  <c r="O494" i="3"/>
  <c r="O480" i="3"/>
  <c r="O488" i="3"/>
  <c r="O479" i="3"/>
  <c r="O487" i="3"/>
  <c r="O477" i="3"/>
  <c r="O493" i="3"/>
  <c r="O484" i="3"/>
  <c r="O486" i="3"/>
  <c r="O475" i="3"/>
  <c r="O478" i="3"/>
  <c r="O476" i="3"/>
  <c r="O496" i="3"/>
  <c r="O481" i="3"/>
  <c r="O473" i="3"/>
  <c r="O474" i="3"/>
  <c r="S719" i="3"/>
  <c r="V719" i="3" s="1"/>
  <c r="S698" i="3"/>
  <c r="V698" i="3" s="1"/>
  <c r="S583" i="3"/>
  <c r="V583" i="3" s="1"/>
  <c r="S657" i="3"/>
  <c r="V657" i="3" s="1"/>
  <c r="S553" i="3"/>
  <c r="V553" i="3" s="1"/>
  <c r="S613" i="3"/>
  <c r="V613" i="3" s="1"/>
  <c r="S696" i="3"/>
  <c r="V696" i="3" s="1"/>
  <c r="S622" i="3"/>
  <c r="V622" i="3" s="1"/>
  <c r="S674" i="3"/>
  <c r="V674" i="3" s="1"/>
  <c r="S574" i="3"/>
  <c r="V574" i="3" s="1"/>
  <c r="S675" i="3"/>
  <c r="V675" i="3" s="1"/>
  <c r="S671" i="3"/>
  <c r="V671" i="3" s="1"/>
  <c r="S627" i="3"/>
  <c r="V627" i="3" s="1"/>
  <c r="S714" i="3"/>
  <c r="V714" i="3" s="1"/>
  <c r="S718" i="3"/>
  <c r="V718" i="3" s="1"/>
  <c r="S559" i="3"/>
  <c r="V559" i="3" s="1"/>
  <c r="S584" i="3"/>
  <c r="V584" i="3" s="1"/>
  <c r="S580" i="3"/>
  <c r="V580" i="3" s="1"/>
  <c r="S612" i="3"/>
  <c r="V612" i="3" s="1"/>
  <c r="S581" i="3"/>
  <c r="V581" i="3" s="1"/>
  <c r="S641" i="3"/>
  <c r="V641" i="3" s="1"/>
  <c r="S673" i="3"/>
  <c r="V673" i="3" s="1"/>
  <c r="S642" i="3"/>
  <c r="V642" i="3" s="1"/>
  <c r="S710" i="3"/>
  <c r="V710" i="3" s="1"/>
  <c r="S683" i="3"/>
  <c r="V683" i="3" s="1"/>
  <c r="S552" i="3"/>
  <c r="V552" i="3" s="1"/>
  <c r="S635" i="3"/>
  <c r="V635" i="3" s="1"/>
  <c r="S595" i="3"/>
  <c r="V595" i="3" s="1"/>
  <c r="S599" i="3"/>
  <c r="V599" i="3" s="1"/>
  <c r="S567" i="3"/>
  <c r="V567" i="3" s="1"/>
  <c r="S656" i="3"/>
  <c r="V656" i="3" s="1"/>
  <c r="S652" i="3"/>
  <c r="V652" i="3" s="1"/>
  <c r="S620" i="3"/>
  <c r="V620" i="3" s="1"/>
  <c r="S653" i="3"/>
  <c r="V653" i="3" s="1"/>
  <c r="S713" i="3"/>
  <c r="V713" i="3" s="1"/>
  <c r="S681" i="3"/>
  <c r="V681" i="3" s="1"/>
  <c r="S565" i="3"/>
  <c r="V565" i="3" s="1"/>
  <c r="S625" i="3"/>
  <c r="V625" i="3" s="1"/>
  <c r="S593" i="3"/>
  <c r="V593" i="3" s="1"/>
  <c r="S626" i="3"/>
  <c r="V626" i="3" s="1"/>
  <c r="S557" i="3"/>
  <c r="V557" i="3" s="1"/>
  <c r="S598" i="3"/>
  <c r="V598" i="3" s="1"/>
  <c r="S544" i="3"/>
  <c r="V544" i="3" s="1"/>
  <c r="S618" i="3"/>
  <c r="V618" i="3" s="1"/>
  <c r="S651" i="3"/>
  <c r="V651" i="3" s="1"/>
  <c r="S589" i="3"/>
  <c r="V589" i="3" s="1"/>
  <c r="S679" i="3"/>
  <c r="V679" i="3" s="1"/>
  <c r="S542" i="3"/>
  <c r="V542" i="3" s="1"/>
  <c r="S594" i="3"/>
  <c r="V594" i="3" s="1"/>
  <c r="S540" i="3"/>
  <c r="V540" i="3" s="1"/>
  <c r="S573" i="3"/>
  <c r="V573" i="3" s="1"/>
  <c r="S633" i="3"/>
  <c r="V633" i="3" s="1"/>
  <c r="S601" i="3"/>
  <c r="V601" i="3" s="1"/>
  <c r="S634" i="3"/>
  <c r="V634" i="3" s="1"/>
  <c r="S702" i="3"/>
  <c r="V702" i="3" s="1"/>
  <c r="S670" i="3"/>
  <c r="V670" i="3" s="1"/>
  <c r="S703" i="3"/>
  <c r="V703" i="3" s="1"/>
  <c r="S564" i="3"/>
  <c r="V564" i="3" s="1"/>
  <c r="S558" i="3"/>
  <c r="V558" i="3" s="1"/>
  <c r="S538" i="3"/>
  <c r="V538" i="3" s="1"/>
  <c r="S571" i="3"/>
  <c r="V571" i="3" s="1"/>
  <c r="S611" i="3"/>
  <c r="V611" i="3" s="1"/>
  <c r="S607" i="3"/>
  <c r="V607" i="3" s="1"/>
  <c r="S632" i="3"/>
  <c r="V632" i="3" s="1"/>
  <c r="S672" i="3"/>
  <c r="V672" i="3" s="1"/>
  <c r="S660" i="3"/>
  <c r="V660" i="3" s="1"/>
  <c r="S693" i="3"/>
  <c r="V693" i="3" s="1"/>
  <c r="S669" i="3"/>
  <c r="V669" i="3" s="1"/>
  <c r="S721" i="3"/>
  <c r="V721" i="3" s="1"/>
  <c r="S711" i="3"/>
  <c r="V711" i="3" s="1"/>
  <c r="S572" i="3"/>
  <c r="V572" i="3" s="1"/>
  <c r="S709" i="3"/>
  <c r="V709" i="3" s="1"/>
  <c r="S566" i="3"/>
  <c r="V566" i="3" s="1"/>
  <c r="S610" i="3"/>
  <c r="V610" i="3" s="1"/>
  <c r="S579" i="3"/>
  <c r="V579" i="3" s="1"/>
  <c r="S619" i="3"/>
  <c r="V619" i="3" s="1"/>
  <c r="S615" i="3"/>
  <c r="V615" i="3" s="1"/>
  <c r="S640" i="3"/>
  <c r="V640" i="3" s="1"/>
  <c r="S680" i="3"/>
  <c r="V680" i="3" s="1"/>
  <c r="S668" i="3"/>
  <c r="V668" i="3" s="1"/>
  <c r="S701" i="3"/>
  <c r="V701" i="3" s="1"/>
  <c r="S592" i="3"/>
  <c r="V592" i="3" s="1"/>
  <c r="S707" i="3"/>
  <c r="V707" i="3" s="1"/>
  <c r="S694" i="3"/>
  <c r="V694" i="3" s="1"/>
  <c r="S708" i="3"/>
  <c r="V708" i="3" s="1"/>
  <c r="S577" i="3"/>
  <c r="V577" i="3" s="1"/>
  <c r="S556" i="3"/>
  <c r="V556" i="3" s="1"/>
  <c r="S692" i="3"/>
  <c r="V692" i="3" s="1"/>
  <c r="S646" i="3"/>
  <c r="V646" i="3" s="1"/>
  <c r="S617" i="3"/>
  <c r="V617" i="3" s="1"/>
  <c r="S685" i="3"/>
  <c r="V685" i="3" s="1"/>
  <c r="S699" i="3"/>
  <c r="V699" i="3" s="1"/>
  <c r="S639" i="3"/>
  <c r="V639" i="3" s="1"/>
  <c r="S549" i="3"/>
  <c r="V549" i="3" s="1"/>
  <c r="S624" i="3"/>
  <c r="V624" i="3" s="1"/>
  <c r="S600" i="3"/>
  <c r="V600" i="3" s="1"/>
  <c r="S588" i="3"/>
  <c r="V588" i="3" s="1"/>
  <c r="S650" i="3"/>
  <c r="V650" i="3" s="1"/>
  <c r="S661" i="3"/>
  <c r="V661" i="3" s="1"/>
  <c r="S649" i="3"/>
  <c r="V649" i="3" s="1"/>
  <c r="S700" i="3"/>
  <c r="V700" i="3" s="1"/>
  <c r="S722" i="3"/>
  <c r="V722" i="3" s="1"/>
  <c r="S654" i="3"/>
  <c r="V654" i="3" s="1"/>
  <c r="S667" i="3"/>
  <c r="V667" i="3" s="1"/>
  <c r="S608" i="3"/>
  <c r="V608" i="3" s="1"/>
  <c r="S578" i="3"/>
  <c r="V578" i="3" s="1"/>
  <c r="S537" i="3"/>
  <c r="V537" i="3" s="1"/>
  <c r="S605" i="3"/>
  <c r="V605" i="3" s="1"/>
  <c r="S562" i="3"/>
  <c r="V562" i="3" s="1"/>
  <c r="S606" i="3"/>
  <c r="V606" i="3" s="1"/>
  <c r="S666" i="3"/>
  <c r="V666" i="3" s="1"/>
  <c r="S684" i="3"/>
  <c r="V684" i="3" s="1"/>
  <c r="S659" i="3"/>
  <c r="V659" i="3" s="1"/>
  <c r="S554" i="3"/>
  <c r="V554" i="3" s="1"/>
  <c r="S539" i="3"/>
  <c r="V539" i="3" s="1"/>
  <c r="S548" i="3"/>
  <c r="V548" i="3" s="1"/>
  <c r="S616" i="3"/>
  <c r="V616" i="3" s="1"/>
  <c r="S638" i="3"/>
  <c r="V638" i="3" s="1"/>
  <c r="S609" i="3"/>
  <c r="V609" i="3" s="1"/>
  <c r="S677" i="3"/>
  <c r="V677" i="3" s="1"/>
  <c r="S691" i="3"/>
  <c r="V691" i="3" s="1"/>
  <c r="S614" i="3"/>
  <c r="V614" i="3" s="1"/>
  <c r="S547" i="3"/>
  <c r="V547" i="3" s="1"/>
  <c r="S561" i="3"/>
  <c r="V561" i="3" s="1"/>
  <c r="S645" i="3"/>
  <c r="V645" i="3" s="1"/>
  <c r="S586" i="3"/>
  <c r="V586" i="3" s="1"/>
  <c r="S604" i="3"/>
  <c r="V604" i="3" s="1"/>
  <c r="S706" i="3"/>
  <c r="V706" i="3" s="1"/>
  <c r="S591" i="3"/>
  <c r="V591" i="3" s="1"/>
  <c r="S665" i="3"/>
  <c r="V665" i="3" s="1"/>
  <c r="S576" i="3"/>
  <c r="V576" i="3" s="1"/>
  <c r="S644" i="3"/>
  <c r="V644" i="3" s="1"/>
  <c r="S543" i="3"/>
  <c r="V543" i="3" s="1"/>
  <c r="S637" i="3"/>
  <c r="V637" i="3" s="1"/>
  <c r="S705" i="3"/>
  <c r="V705" i="3" s="1"/>
  <c r="S596" i="3"/>
  <c r="V596" i="3" s="1"/>
  <c r="S686" i="3"/>
  <c r="V686" i="3" s="1"/>
  <c r="S555" i="3"/>
  <c r="V555" i="3" s="1"/>
  <c r="S569" i="3"/>
  <c r="V569" i="3" s="1"/>
  <c r="S717" i="3"/>
  <c r="V717" i="3" s="1"/>
  <c r="S658" i="3"/>
  <c r="V658" i="3" s="1"/>
  <c r="S676" i="3"/>
  <c r="V676" i="3" s="1"/>
  <c r="S587" i="3"/>
  <c r="V587" i="3" s="1"/>
  <c r="S655" i="3"/>
  <c r="V655" i="3" s="1"/>
  <c r="S546" i="3"/>
  <c r="V546" i="3" s="1"/>
  <c r="S648" i="3"/>
  <c r="V648" i="3" s="1"/>
  <c r="S716" i="3"/>
  <c r="V716" i="3" s="1"/>
  <c r="S551" i="3"/>
  <c r="V551" i="3" s="1"/>
  <c r="S560" i="3"/>
  <c r="V560" i="3" s="1"/>
  <c r="S628" i="3"/>
  <c r="V628" i="3" s="1"/>
  <c r="S590" i="3"/>
  <c r="V590" i="3" s="1"/>
  <c r="S647" i="3"/>
  <c r="V647" i="3" s="1"/>
  <c r="S689" i="3"/>
  <c r="V689" i="3" s="1"/>
  <c r="S643" i="3"/>
  <c r="V643" i="3" s="1"/>
  <c r="S570" i="3"/>
  <c r="V570" i="3" s="1"/>
  <c r="S621" i="3"/>
  <c r="V621" i="3" s="1"/>
  <c r="S704" i="3"/>
  <c r="V704" i="3" s="1"/>
  <c r="S630" i="3"/>
  <c r="V630" i="3" s="1"/>
  <c r="S682" i="3"/>
  <c r="V682" i="3" s="1"/>
  <c r="S582" i="3"/>
  <c r="V582" i="3" s="1"/>
  <c r="S597" i="3"/>
  <c r="V597" i="3" s="1"/>
  <c r="S623" i="3"/>
  <c r="V623" i="3" s="1"/>
  <c r="S568" i="3"/>
  <c r="V568" i="3" s="1"/>
  <c r="S636" i="3"/>
  <c r="V636" i="3" s="1"/>
  <c r="S662" i="3"/>
  <c r="V662" i="3" s="1"/>
  <c r="S629" i="3"/>
  <c r="V629" i="3" s="1"/>
  <c r="S697" i="3"/>
  <c r="V697" i="3" s="1"/>
  <c r="S715" i="3"/>
  <c r="V715" i="3" s="1"/>
  <c r="S690" i="3"/>
  <c r="V690" i="3" s="1"/>
  <c r="S575" i="3"/>
  <c r="V575" i="3" s="1"/>
  <c r="S585" i="3"/>
  <c r="V585" i="3" s="1"/>
  <c r="S545" i="3"/>
  <c r="V545" i="3" s="1"/>
  <c r="S541" i="3"/>
  <c r="V541" i="3" s="1"/>
  <c r="S688" i="3"/>
  <c r="V688" i="3" s="1"/>
  <c r="S550" i="3"/>
  <c r="V550" i="3" s="1"/>
  <c r="S602" i="3"/>
  <c r="V602" i="3" s="1"/>
  <c r="S687" i="3"/>
  <c r="V687" i="3" s="1"/>
  <c r="S603" i="3"/>
  <c r="V603" i="3" s="1"/>
  <c r="S663" i="3"/>
  <c r="V663" i="3" s="1"/>
  <c r="S695" i="3"/>
  <c r="V695" i="3" s="1"/>
  <c r="S664" i="3"/>
  <c r="V664" i="3" s="1"/>
  <c r="S631" i="3"/>
  <c r="V631" i="3" s="1"/>
  <c r="S678" i="3"/>
  <c r="V678" i="3" s="1"/>
  <c r="S720" i="3"/>
  <c r="V720" i="3" s="1"/>
  <c r="S563" i="3"/>
  <c r="V563" i="3" s="1"/>
  <c r="S712" i="3"/>
  <c r="V712" i="3" s="1"/>
  <c r="I497" i="4"/>
  <c r="P500" i="4"/>
  <c r="I500" i="20" s="1"/>
  <c r="C501" i="4"/>
  <c r="D501" i="4" s="1"/>
  <c r="G500" i="4"/>
  <c r="K495" i="20"/>
  <c r="R496" i="4"/>
  <c r="H498" i="4"/>
  <c r="E499" i="4"/>
  <c r="J499" i="4"/>
  <c r="K496" i="4"/>
  <c r="G87" i="1" l="1"/>
  <c r="F9" i="25" s="1"/>
  <c r="J87" i="1"/>
  <c r="J3" i="2"/>
  <c r="V842" i="3"/>
  <c r="J8" i="2" s="1"/>
  <c r="K727" i="3"/>
  <c r="H727" i="3"/>
  <c r="C608" i="3"/>
  <c r="G728" i="3" s="1"/>
  <c r="I498" i="4"/>
  <c r="K496" i="20"/>
  <c r="R497" i="4"/>
  <c r="H499" i="4"/>
  <c r="P501" i="4"/>
  <c r="I501" i="20" s="1"/>
  <c r="C502" i="4"/>
  <c r="D502" i="4" s="1"/>
  <c r="G501" i="4"/>
  <c r="E500" i="4"/>
  <c r="J500" i="4"/>
  <c r="K497" i="4"/>
  <c r="G100" i="1" l="1"/>
  <c r="G103" i="1" s="1"/>
  <c r="H9" i="25"/>
  <c r="J100" i="1"/>
  <c r="L87" i="1"/>
  <c r="F32" i="5"/>
  <c r="K728" i="3"/>
  <c r="H728" i="3"/>
  <c r="C609" i="3"/>
  <c r="G729" i="3" s="1"/>
  <c r="I499" i="4"/>
  <c r="J501" i="4"/>
  <c r="E501" i="4"/>
  <c r="K497" i="20"/>
  <c r="R498" i="4"/>
  <c r="P502" i="4"/>
  <c r="I502" i="20" s="1"/>
  <c r="C503" i="4"/>
  <c r="D503" i="4" s="1"/>
  <c r="G502" i="4"/>
  <c r="H500" i="4"/>
  <c r="K498" i="4"/>
  <c r="G106" i="1" l="1"/>
  <c r="H106" i="1" s="1"/>
  <c r="G105" i="1"/>
  <c r="H105" i="1" s="1"/>
  <c r="G107" i="1"/>
  <c r="H107" i="1" s="1"/>
  <c r="G102" i="1"/>
  <c r="G108" i="1"/>
  <c r="H108" i="1" s="1"/>
  <c r="G101" i="1"/>
  <c r="G104" i="1"/>
  <c r="F9" i="26"/>
  <c r="L88" i="1"/>
  <c r="H14" i="25" s="1"/>
  <c r="N87" i="1"/>
  <c r="H9" i="26"/>
  <c r="L100" i="1"/>
  <c r="J9" i="25"/>
  <c r="J13" i="25" s="1"/>
  <c r="H13" i="25"/>
  <c r="H9" i="24"/>
  <c r="H14" i="24" s="1"/>
  <c r="F34" i="5"/>
  <c r="F35" i="5" s="1"/>
  <c r="F37" i="5" s="1"/>
  <c r="K729" i="3"/>
  <c r="H729" i="3"/>
  <c r="C610" i="3"/>
  <c r="G730" i="3" s="1"/>
  <c r="I500" i="4"/>
  <c r="C504" i="4"/>
  <c r="D504" i="4" s="1"/>
  <c r="P503" i="4"/>
  <c r="I503" i="20" s="1"/>
  <c r="G503" i="4"/>
  <c r="K498" i="20"/>
  <c r="R499" i="4"/>
  <c r="H501" i="4"/>
  <c r="E502" i="4"/>
  <c r="J502" i="4"/>
  <c r="K499" i="4"/>
  <c r="H109" i="1" l="1"/>
  <c r="F12" i="26" s="1"/>
  <c r="F13" i="26" s="1"/>
  <c r="G109" i="1"/>
  <c r="L89" i="1"/>
  <c r="N100" i="1"/>
  <c r="L101" i="1"/>
  <c r="H14" i="26" s="1"/>
  <c r="J9" i="26"/>
  <c r="J13" i="26" s="1"/>
  <c r="H13" i="26"/>
  <c r="N88" i="1"/>
  <c r="J14" i="25" s="1"/>
  <c r="J15" i="25" s="1"/>
  <c r="H15" i="25"/>
  <c r="J9" i="24"/>
  <c r="L9" i="24" s="1"/>
  <c r="K730" i="3"/>
  <c r="H730" i="3"/>
  <c r="C611" i="3"/>
  <c r="G731" i="3" s="1"/>
  <c r="F38" i="5"/>
  <c r="K78" i="1"/>
  <c r="K81" i="1"/>
  <c r="K82" i="1"/>
  <c r="K79" i="1"/>
  <c r="K80" i="1"/>
  <c r="I501" i="4"/>
  <c r="J503" i="4"/>
  <c r="E503" i="4"/>
  <c r="H502" i="4"/>
  <c r="K499" i="20"/>
  <c r="R500" i="4"/>
  <c r="C505" i="4"/>
  <c r="D505" i="4" s="1"/>
  <c r="P504" i="4"/>
  <c r="I504" i="20" s="1"/>
  <c r="G504" i="4"/>
  <c r="K500" i="4"/>
  <c r="I109" i="1" l="1"/>
  <c r="J109" i="1" s="1"/>
  <c r="F14" i="26" s="1"/>
  <c r="F15" i="26" s="1"/>
  <c r="N89" i="1"/>
  <c r="L102" i="1"/>
  <c r="H15" i="26"/>
  <c r="N101" i="1"/>
  <c r="J14" i="26" s="1"/>
  <c r="J15" i="26" s="1"/>
  <c r="H15" i="24"/>
  <c r="L78" i="1"/>
  <c r="K731" i="3"/>
  <c r="H731" i="3"/>
  <c r="C612" i="3"/>
  <c r="G732" i="3" s="1"/>
  <c r="F39" i="5"/>
  <c r="J83" i="1"/>
  <c r="I502" i="4"/>
  <c r="H503" i="4"/>
  <c r="K500" i="20"/>
  <c r="R501" i="4"/>
  <c r="C506" i="4"/>
  <c r="D506" i="4" s="1"/>
  <c r="P505" i="4"/>
  <c r="I505" i="20" s="1"/>
  <c r="G505" i="4"/>
  <c r="J504" i="4"/>
  <c r="E504" i="4"/>
  <c r="K501" i="4"/>
  <c r="N102" i="1" l="1"/>
  <c r="H16" i="24"/>
  <c r="I41" i="5"/>
  <c r="C22" i="20" s="1"/>
  <c r="K732" i="3"/>
  <c r="H732" i="3"/>
  <c r="C613" i="3"/>
  <c r="G733" i="3" s="1"/>
  <c r="F41" i="5"/>
  <c r="I503" i="4"/>
  <c r="H504" i="4"/>
  <c r="E505" i="4"/>
  <c r="J505" i="4"/>
  <c r="P506" i="4"/>
  <c r="I506" i="20" s="1"/>
  <c r="C507" i="4"/>
  <c r="G506" i="4"/>
  <c r="K501" i="20"/>
  <c r="R502" i="4"/>
  <c r="K502" i="4"/>
  <c r="K733" i="3" l="1"/>
  <c r="H733" i="3"/>
  <c r="C614" i="3"/>
  <c r="G734" i="3" s="1"/>
  <c r="D507" i="4"/>
  <c r="G507" i="4" s="1"/>
  <c r="C508" i="4"/>
  <c r="C21" i="20"/>
  <c r="I504" i="4"/>
  <c r="J506" i="4"/>
  <c r="E506" i="4"/>
  <c r="H505" i="4"/>
  <c r="K502" i="20"/>
  <c r="R503" i="4"/>
  <c r="P507" i="4"/>
  <c r="K503" i="4"/>
  <c r="K734" i="3" l="1"/>
  <c r="H734" i="3"/>
  <c r="C615" i="3"/>
  <c r="G735" i="3" s="1"/>
  <c r="C509" i="4"/>
  <c r="P508" i="4"/>
  <c r="I508" i="20" s="1"/>
  <c r="D508" i="4"/>
  <c r="G508" i="4" s="1"/>
  <c r="I505" i="4"/>
  <c r="E507" i="4"/>
  <c r="J507" i="4"/>
  <c r="K503" i="20"/>
  <c r="R504" i="4"/>
  <c r="H506" i="4"/>
  <c r="I507" i="20"/>
  <c r="K504" i="4"/>
  <c r="K735" i="3" l="1"/>
  <c r="H735" i="3"/>
  <c r="C616" i="3"/>
  <c r="G736" i="3" s="1"/>
  <c r="J508" i="4"/>
  <c r="E508" i="4"/>
  <c r="H508" i="4" s="1"/>
  <c r="I508" i="4" s="1"/>
  <c r="C510" i="4"/>
  <c r="P509" i="4"/>
  <c r="D509" i="4"/>
  <c r="G509" i="4" s="1"/>
  <c r="I506" i="4"/>
  <c r="K504" i="20"/>
  <c r="R505" i="4"/>
  <c r="H507" i="4"/>
  <c r="K505" i="4"/>
  <c r="K736" i="3" l="1"/>
  <c r="H736" i="3"/>
  <c r="C617" i="3"/>
  <c r="G737" i="3" s="1"/>
  <c r="J509" i="4"/>
  <c r="E509" i="4"/>
  <c r="H509" i="4" s="1"/>
  <c r="I509" i="4" s="1"/>
  <c r="I509" i="20"/>
  <c r="P510" i="4"/>
  <c r="I510" i="20" s="1"/>
  <c r="C511" i="4"/>
  <c r="D510" i="4"/>
  <c r="G510" i="4" s="1"/>
  <c r="I507" i="4"/>
  <c r="K505" i="20"/>
  <c r="R506" i="4"/>
  <c r="K506" i="4"/>
  <c r="K737" i="3" l="1"/>
  <c r="H737" i="3"/>
  <c r="C618" i="3"/>
  <c r="G738" i="3" s="1"/>
  <c r="J510" i="4"/>
  <c r="E510" i="4"/>
  <c r="H510" i="4" s="1"/>
  <c r="I510" i="4" s="1"/>
  <c r="P511" i="4"/>
  <c r="C512" i="4"/>
  <c r="D511" i="4"/>
  <c r="G511" i="4" s="1"/>
  <c r="K506" i="20"/>
  <c r="R507" i="4"/>
  <c r="K507" i="4"/>
  <c r="K738" i="3" l="1"/>
  <c r="H738" i="3"/>
  <c r="C619" i="3"/>
  <c r="G739" i="3" s="1"/>
  <c r="J511" i="4"/>
  <c r="E511" i="4"/>
  <c r="H511" i="4" s="1"/>
  <c r="I511" i="4" s="1"/>
  <c r="P512" i="4"/>
  <c r="I512" i="20" s="1"/>
  <c r="C513" i="4"/>
  <c r="D512" i="4"/>
  <c r="G512" i="4" s="1"/>
  <c r="K507" i="20"/>
  <c r="R508" i="4"/>
  <c r="I511" i="20"/>
  <c r="K508" i="4"/>
  <c r="K739" i="3" l="1"/>
  <c r="H739" i="3"/>
  <c r="C620" i="3"/>
  <c r="G740" i="3" s="1"/>
  <c r="J512" i="4"/>
  <c r="E512" i="4"/>
  <c r="H512" i="4" s="1"/>
  <c r="I512" i="4" s="1"/>
  <c r="C514" i="4"/>
  <c r="P513" i="4"/>
  <c r="D513" i="4"/>
  <c r="G513" i="4" s="1"/>
  <c r="K508" i="20"/>
  <c r="R509" i="4"/>
  <c r="K509" i="4"/>
  <c r="K740" i="3" l="1"/>
  <c r="H740" i="3"/>
  <c r="C621" i="3"/>
  <c r="G741" i="3" s="1"/>
  <c r="E513" i="4"/>
  <c r="H513" i="4" s="1"/>
  <c r="I513" i="4" s="1"/>
  <c r="J513" i="4"/>
  <c r="I513" i="20"/>
  <c r="C515" i="4"/>
  <c r="P514" i="4"/>
  <c r="I514" i="20" s="1"/>
  <c r="D514" i="4"/>
  <c r="G514" i="4" s="1"/>
  <c r="K509" i="20"/>
  <c r="R510" i="4"/>
  <c r="K510" i="4"/>
  <c r="K741" i="3" l="1"/>
  <c r="H741" i="3"/>
  <c r="C622" i="3"/>
  <c r="G742" i="3" s="1"/>
  <c r="C516" i="4"/>
  <c r="P515" i="4"/>
  <c r="D515" i="4"/>
  <c r="G515" i="4" s="1"/>
  <c r="E514" i="4"/>
  <c r="J514" i="4"/>
  <c r="K510" i="20"/>
  <c r="R511" i="4"/>
  <c r="K511" i="4"/>
  <c r="K742" i="3" l="1"/>
  <c r="H742" i="3"/>
  <c r="C623" i="3"/>
  <c r="G743" i="3" s="1"/>
  <c r="H514" i="4"/>
  <c r="I514" i="4" s="1"/>
  <c r="J515" i="4"/>
  <c r="E515" i="4"/>
  <c r="H515" i="4" s="1"/>
  <c r="I515" i="4" s="1"/>
  <c r="I515" i="20"/>
  <c r="C517" i="4"/>
  <c r="P516" i="4"/>
  <c r="I516" i="20" s="1"/>
  <c r="D516" i="4"/>
  <c r="G516" i="4" s="1"/>
  <c r="K511" i="20"/>
  <c r="R512" i="4"/>
  <c r="K512" i="4"/>
  <c r="K743" i="3" l="1"/>
  <c r="H743" i="3"/>
  <c r="C624" i="3"/>
  <c r="G744" i="3" s="1"/>
  <c r="K512" i="20"/>
  <c r="R513" i="4"/>
  <c r="J516" i="4"/>
  <c r="E516" i="4"/>
  <c r="H516" i="4" s="1"/>
  <c r="I516" i="4" s="1"/>
  <c r="C518" i="4"/>
  <c r="P517" i="4"/>
  <c r="D517" i="4"/>
  <c r="G517" i="4" s="1"/>
  <c r="K513" i="4"/>
  <c r="K744" i="3" l="1"/>
  <c r="H744" i="3"/>
  <c r="C625" i="3"/>
  <c r="G745" i="3" s="1"/>
  <c r="K513" i="20"/>
  <c r="R514" i="4"/>
  <c r="P518" i="4"/>
  <c r="I518" i="20" s="1"/>
  <c r="C519" i="4"/>
  <c r="D518" i="4"/>
  <c r="G518" i="4" s="1"/>
  <c r="J517" i="4"/>
  <c r="E517" i="4"/>
  <c r="H517" i="4" s="1"/>
  <c r="I517" i="4" s="1"/>
  <c r="I517" i="20"/>
  <c r="K514" i="4"/>
  <c r="K745" i="3" l="1"/>
  <c r="H745" i="3"/>
  <c r="C626" i="3"/>
  <c r="G746" i="3" s="1"/>
  <c r="C520" i="4"/>
  <c r="P519" i="4"/>
  <c r="I519" i="20" s="1"/>
  <c r="D519" i="4"/>
  <c r="G519" i="4" s="1"/>
  <c r="J518" i="4"/>
  <c r="E518" i="4"/>
  <c r="H518" i="4" s="1"/>
  <c r="I518" i="4" s="1"/>
  <c r="K514" i="20"/>
  <c r="R515" i="4"/>
  <c r="K515" i="4"/>
  <c r="K746" i="3" l="1"/>
  <c r="H746" i="3"/>
  <c r="C627" i="3"/>
  <c r="G747" i="3" s="1"/>
  <c r="E519" i="4"/>
  <c r="H519" i="4" s="1"/>
  <c r="I519" i="4" s="1"/>
  <c r="J519" i="4"/>
  <c r="K515" i="20"/>
  <c r="R516" i="4"/>
  <c r="C521" i="4"/>
  <c r="P520" i="4"/>
  <c r="I520" i="20" s="1"/>
  <c r="D520" i="4"/>
  <c r="G520" i="4" s="1"/>
  <c r="K516" i="4"/>
  <c r="K747" i="3" l="1"/>
  <c r="H747" i="3"/>
  <c r="C628" i="3"/>
  <c r="G748" i="3" s="1"/>
  <c r="K516" i="20"/>
  <c r="R517" i="4"/>
  <c r="P521" i="4"/>
  <c r="I521" i="20" s="1"/>
  <c r="C522" i="4"/>
  <c r="D521" i="4"/>
  <c r="G521" i="4" s="1"/>
  <c r="J520" i="4"/>
  <c r="E520" i="4"/>
  <c r="K517" i="4"/>
  <c r="K748" i="3" l="1"/>
  <c r="H748" i="3"/>
  <c r="C629" i="3"/>
  <c r="G749" i="3" s="1"/>
  <c r="C523" i="4"/>
  <c r="P522" i="4"/>
  <c r="I522" i="20" s="1"/>
  <c r="D522" i="4"/>
  <c r="G522" i="4" s="1"/>
  <c r="E521" i="4"/>
  <c r="H521" i="4" s="1"/>
  <c r="I521" i="4" s="1"/>
  <c r="J521" i="4"/>
  <c r="K517" i="20"/>
  <c r="R518" i="4"/>
  <c r="H520" i="4"/>
  <c r="I520" i="4" s="1"/>
  <c r="K518" i="4"/>
  <c r="K749" i="3" l="1"/>
  <c r="H749" i="3"/>
  <c r="C630" i="3"/>
  <c r="G750" i="3" s="1"/>
  <c r="J522" i="4"/>
  <c r="E522" i="4"/>
  <c r="H522" i="4" s="1"/>
  <c r="I522" i="4" s="1"/>
  <c r="K518" i="20"/>
  <c r="R519" i="4"/>
  <c r="P523" i="4"/>
  <c r="I523" i="20" s="1"/>
  <c r="C524" i="4"/>
  <c r="D523" i="4"/>
  <c r="G523" i="4" s="1"/>
  <c r="K519" i="4"/>
  <c r="K750" i="3" l="1"/>
  <c r="H750" i="3"/>
  <c r="C631" i="3"/>
  <c r="G751" i="3" s="1"/>
  <c r="P524" i="4"/>
  <c r="I524" i="20" s="1"/>
  <c r="C525" i="4"/>
  <c r="D524" i="4"/>
  <c r="G524" i="4" s="1"/>
  <c r="K519" i="20"/>
  <c r="R520" i="4"/>
  <c r="J523" i="4"/>
  <c r="E523" i="4"/>
  <c r="H523" i="4" s="1"/>
  <c r="I523" i="4" s="1"/>
  <c r="K520" i="4"/>
  <c r="K751" i="3" l="1"/>
  <c r="H751" i="3"/>
  <c r="C632" i="3"/>
  <c r="G752" i="3" s="1"/>
  <c r="J524" i="4"/>
  <c r="E524" i="4"/>
  <c r="H524" i="4" s="1"/>
  <c r="I524" i="4" s="1"/>
  <c r="K520" i="20"/>
  <c r="R521" i="4"/>
  <c r="C526" i="4"/>
  <c r="P525" i="4"/>
  <c r="I525" i="20" s="1"/>
  <c r="D525" i="4"/>
  <c r="G525" i="4" s="1"/>
  <c r="K521" i="4"/>
  <c r="K752" i="3" l="1"/>
  <c r="H752" i="3"/>
  <c r="C633" i="3"/>
  <c r="G753" i="3" s="1"/>
  <c r="K521" i="20"/>
  <c r="R522" i="4"/>
  <c r="C527" i="4"/>
  <c r="P526" i="4"/>
  <c r="I526" i="20" s="1"/>
  <c r="D526" i="4"/>
  <c r="G526" i="4" s="1"/>
  <c r="J525" i="4"/>
  <c r="E525" i="4"/>
  <c r="H525" i="4" s="1"/>
  <c r="I525" i="4" s="1"/>
  <c r="K522" i="4"/>
  <c r="K753" i="3" l="1"/>
  <c r="H753" i="3"/>
  <c r="C634" i="3"/>
  <c r="G754" i="3" s="1"/>
  <c r="E526" i="4"/>
  <c r="H526" i="4" s="1"/>
  <c r="I526" i="4" s="1"/>
  <c r="J526" i="4"/>
  <c r="P527" i="4"/>
  <c r="I527" i="20" s="1"/>
  <c r="C528" i="4"/>
  <c r="D527" i="4"/>
  <c r="G527" i="4" s="1"/>
  <c r="K522" i="20"/>
  <c r="R523" i="4"/>
  <c r="K523" i="4"/>
  <c r="K754" i="3" l="1"/>
  <c r="H754" i="3"/>
  <c r="C635" i="3"/>
  <c r="G755" i="3" s="1"/>
  <c r="P528" i="4"/>
  <c r="I528" i="20" s="1"/>
  <c r="C529" i="4"/>
  <c r="D528" i="4"/>
  <c r="G528" i="4" s="1"/>
  <c r="E527" i="4"/>
  <c r="H527" i="4" s="1"/>
  <c r="I527" i="4" s="1"/>
  <c r="J527" i="4"/>
  <c r="K523" i="20"/>
  <c r="R524" i="4"/>
  <c r="K524" i="4"/>
  <c r="K755" i="3" l="1"/>
  <c r="H755" i="3"/>
  <c r="C636" i="3"/>
  <c r="G756" i="3" s="1"/>
  <c r="P529" i="4"/>
  <c r="I529" i="20" s="1"/>
  <c r="C530" i="4"/>
  <c r="D529" i="4"/>
  <c r="G529" i="4" s="1"/>
  <c r="J528" i="4"/>
  <c r="E528" i="4"/>
  <c r="H528" i="4" s="1"/>
  <c r="I528" i="4" s="1"/>
  <c r="K524" i="20"/>
  <c r="R525" i="4"/>
  <c r="K525" i="4"/>
  <c r="K756" i="3" l="1"/>
  <c r="H756" i="3"/>
  <c r="C637" i="3"/>
  <c r="G757" i="3" s="1"/>
  <c r="E529" i="4"/>
  <c r="J529" i="4"/>
  <c r="K525" i="20"/>
  <c r="R526" i="4"/>
  <c r="C531" i="4"/>
  <c r="P530" i="4"/>
  <c r="I530" i="20" s="1"/>
  <c r="D530" i="4"/>
  <c r="G530" i="4" s="1"/>
  <c r="K526" i="4"/>
  <c r="K757" i="3" l="1"/>
  <c r="H757" i="3"/>
  <c r="C638" i="3"/>
  <c r="G758" i="3" s="1"/>
  <c r="K526" i="20"/>
  <c r="R527" i="4"/>
  <c r="P531" i="4"/>
  <c r="I531" i="20" s="1"/>
  <c r="C532" i="4"/>
  <c r="D531" i="4"/>
  <c r="G531" i="4" s="1"/>
  <c r="J530" i="4"/>
  <c r="E530" i="4"/>
  <c r="H530" i="4" s="1"/>
  <c r="I530" i="4" s="1"/>
  <c r="H529" i="4"/>
  <c r="I529" i="4" s="1"/>
  <c r="K527" i="4"/>
  <c r="K758" i="3" l="1"/>
  <c r="H758" i="3"/>
  <c r="C639" i="3"/>
  <c r="G759" i="3" s="1"/>
  <c r="P532" i="4"/>
  <c r="I532" i="20" s="1"/>
  <c r="C533" i="4"/>
  <c r="D532" i="4"/>
  <c r="G532" i="4" s="1"/>
  <c r="J531" i="4"/>
  <c r="E531" i="4"/>
  <c r="H531" i="4" s="1"/>
  <c r="I531" i="4" s="1"/>
  <c r="K527" i="20"/>
  <c r="R528" i="4"/>
  <c r="K528" i="4"/>
  <c r="K759" i="3" l="1"/>
  <c r="H759" i="3"/>
  <c r="C640" i="3"/>
  <c r="G760" i="3" s="1"/>
  <c r="C534" i="4"/>
  <c r="P533" i="4"/>
  <c r="I533" i="20" s="1"/>
  <c r="D533" i="4"/>
  <c r="G533" i="4" s="1"/>
  <c r="K528" i="20"/>
  <c r="R529" i="4"/>
  <c r="E532" i="4"/>
  <c r="H532" i="4" s="1"/>
  <c r="I532" i="4" s="1"/>
  <c r="J532" i="4"/>
  <c r="K529" i="4"/>
  <c r="K760" i="3" l="1"/>
  <c r="H760" i="3"/>
  <c r="C641" i="3"/>
  <c r="G761" i="3" s="1"/>
  <c r="K529" i="20"/>
  <c r="R530" i="4"/>
  <c r="E533" i="4"/>
  <c r="H533" i="4" s="1"/>
  <c r="I533" i="4" s="1"/>
  <c r="J533" i="4"/>
  <c r="P534" i="4"/>
  <c r="I534" i="20" s="1"/>
  <c r="C535" i="4"/>
  <c r="D534" i="4"/>
  <c r="G534" i="4" s="1"/>
  <c r="K530" i="4"/>
  <c r="K761" i="3" l="1"/>
  <c r="H761" i="3"/>
  <c r="C642" i="3"/>
  <c r="G762" i="3" s="1"/>
  <c r="J534" i="4"/>
  <c r="E534" i="4"/>
  <c r="H534" i="4" s="1"/>
  <c r="I534" i="4" s="1"/>
  <c r="K530" i="20"/>
  <c r="R531" i="4"/>
  <c r="P535" i="4"/>
  <c r="I535" i="20" s="1"/>
  <c r="C536" i="4"/>
  <c r="D535" i="4"/>
  <c r="G535" i="4" s="1"/>
  <c r="K531" i="4"/>
  <c r="K762" i="3" l="1"/>
  <c r="H762" i="3"/>
  <c r="C643" i="3"/>
  <c r="G763" i="3" s="1"/>
  <c r="K531" i="20"/>
  <c r="R532" i="4"/>
  <c r="J535" i="4"/>
  <c r="E535" i="4"/>
  <c r="H535" i="4" s="1"/>
  <c r="I535" i="4" s="1"/>
  <c r="P536" i="4"/>
  <c r="I536" i="20" s="1"/>
  <c r="C537" i="4"/>
  <c r="D536" i="4"/>
  <c r="G536" i="4" s="1"/>
  <c r="K532" i="4"/>
  <c r="K763" i="3" l="1"/>
  <c r="H763" i="3"/>
  <c r="C644" i="3"/>
  <c r="G764" i="3" s="1"/>
  <c r="K532" i="20"/>
  <c r="R533" i="4"/>
  <c r="J536" i="4"/>
  <c r="E536" i="4"/>
  <c r="H536" i="4" s="1"/>
  <c r="I536" i="4" s="1"/>
  <c r="C538" i="4"/>
  <c r="P537" i="4"/>
  <c r="I537" i="20" s="1"/>
  <c r="D537" i="4"/>
  <c r="G537" i="4" s="1"/>
  <c r="K533" i="4"/>
  <c r="K764" i="3" l="1"/>
  <c r="H764" i="3"/>
  <c r="C645" i="3"/>
  <c r="G765" i="3" s="1"/>
  <c r="J537" i="4"/>
  <c r="E537" i="4"/>
  <c r="K533" i="20"/>
  <c r="R534" i="4"/>
  <c r="C539" i="4"/>
  <c r="P538" i="4"/>
  <c r="I538" i="20" s="1"/>
  <c r="D538" i="4"/>
  <c r="G538" i="4" s="1"/>
  <c r="K534" i="4"/>
  <c r="K765" i="3" l="1"/>
  <c r="H765" i="3"/>
  <c r="C646" i="3"/>
  <c r="G766" i="3" s="1"/>
  <c r="K534" i="20"/>
  <c r="R535" i="4"/>
  <c r="H537" i="4"/>
  <c r="I537" i="4" s="1"/>
  <c r="C540" i="4"/>
  <c r="P539" i="4"/>
  <c r="I539" i="20" s="1"/>
  <c r="D539" i="4"/>
  <c r="G539" i="4" s="1"/>
  <c r="E538" i="4"/>
  <c r="H538" i="4" s="1"/>
  <c r="I538" i="4" s="1"/>
  <c r="J538" i="4"/>
  <c r="K535" i="4"/>
  <c r="K766" i="3" l="1"/>
  <c r="H766" i="3"/>
  <c r="C647" i="3"/>
  <c r="G767" i="3" s="1"/>
  <c r="C541" i="4"/>
  <c r="P540" i="4"/>
  <c r="I540" i="20" s="1"/>
  <c r="D540" i="4"/>
  <c r="G540" i="4" s="1"/>
  <c r="K535" i="20"/>
  <c r="R536" i="4"/>
  <c r="E539" i="4"/>
  <c r="H539" i="4" s="1"/>
  <c r="I539" i="4" s="1"/>
  <c r="J539" i="4"/>
  <c r="K536" i="4"/>
  <c r="K767" i="3" l="1"/>
  <c r="H767" i="3"/>
  <c r="C648" i="3"/>
  <c r="G768" i="3" s="1"/>
  <c r="K536" i="20"/>
  <c r="R537" i="4"/>
  <c r="P541" i="4"/>
  <c r="I541" i="20" s="1"/>
  <c r="C542" i="4"/>
  <c r="D541" i="4"/>
  <c r="G541" i="4" s="1"/>
  <c r="J540" i="4"/>
  <c r="E540" i="4"/>
  <c r="H540" i="4" s="1"/>
  <c r="I540" i="4" s="1"/>
  <c r="K537" i="4"/>
  <c r="K768" i="3" l="1"/>
  <c r="H768" i="3"/>
  <c r="C649" i="3"/>
  <c r="G769" i="3" s="1"/>
  <c r="P542" i="4"/>
  <c r="I542" i="20" s="1"/>
  <c r="C543" i="4"/>
  <c r="D542" i="4"/>
  <c r="G542" i="4" s="1"/>
  <c r="J541" i="4"/>
  <c r="E541" i="4"/>
  <c r="H541" i="4" s="1"/>
  <c r="I541" i="4" s="1"/>
  <c r="K537" i="20"/>
  <c r="R538" i="4"/>
  <c r="K538" i="4"/>
  <c r="K769" i="3" l="1"/>
  <c r="H769" i="3"/>
  <c r="C650" i="3"/>
  <c r="G770" i="3" s="1"/>
  <c r="K538" i="20"/>
  <c r="R539" i="4"/>
  <c r="P543" i="4"/>
  <c r="I543" i="20" s="1"/>
  <c r="C544" i="4"/>
  <c r="D543" i="4"/>
  <c r="G543" i="4" s="1"/>
  <c r="E542" i="4"/>
  <c r="H542" i="4" s="1"/>
  <c r="I542" i="4" s="1"/>
  <c r="J542" i="4"/>
  <c r="K539" i="4"/>
  <c r="K770" i="3" l="1"/>
  <c r="H770" i="3"/>
  <c r="C651" i="3"/>
  <c r="G771" i="3" s="1"/>
  <c r="J543" i="4"/>
  <c r="E543" i="4"/>
  <c r="H543" i="4" s="1"/>
  <c r="I543" i="4" s="1"/>
  <c r="K539" i="20"/>
  <c r="R540" i="4"/>
  <c r="C545" i="4"/>
  <c r="P544" i="4"/>
  <c r="I544" i="20" s="1"/>
  <c r="D544" i="4"/>
  <c r="G544" i="4" s="1"/>
  <c r="K540" i="4"/>
  <c r="K771" i="3" l="1"/>
  <c r="H771" i="3"/>
  <c r="C652" i="3"/>
  <c r="G772" i="3" s="1"/>
  <c r="C546" i="4"/>
  <c r="P545" i="4"/>
  <c r="I545" i="20" s="1"/>
  <c r="D545" i="4"/>
  <c r="G545" i="4" s="1"/>
  <c r="E544" i="4"/>
  <c r="H544" i="4" s="1"/>
  <c r="I544" i="4" s="1"/>
  <c r="J544" i="4"/>
  <c r="K540" i="20"/>
  <c r="R541" i="4"/>
  <c r="K541" i="4"/>
  <c r="K772" i="3" l="1"/>
  <c r="H772" i="3"/>
  <c r="C653" i="3"/>
  <c r="J545" i="4"/>
  <c r="E545" i="4"/>
  <c r="C547" i="4"/>
  <c r="P546" i="4"/>
  <c r="I546" i="20" s="1"/>
  <c r="D546" i="4"/>
  <c r="G546" i="4" s="1"/>
  <c r="K541" i="20"/>
  <c r="R542" i="4"/>
  <c r="K542" i="4"/>
  <c r="C654" i="3" l="1"/>
  <c r="G773" i="3"/>
  <c r="C718" i="3"/>
  <c r="C719" i="3" s="1"/>
  <c r="C720" i="3" s="1"/>
  <c r="C721" i="3" s="1"/>
  <c r="C722" i="3" s="1"/>
  <c r="C548" i="4"/>
  <c r="P547" i="4"/>
  <c r="I547" i="20" s="1"/>
  <c r="D547" i="4"/>
  <c r="G547" i="4" s="1"/>
  <c r="K542" i="20"/>
  <c r="R543" i="4"/>
  <c r="H545" i="4"/>
  <c r="I545" i="4" s="1"/>
  <c r="J546" i="4"/>
  <c r="E546" i="4"/>
  <c r="H546" i="4" s="1"/>
  <c r="I546" i="4" s="1"/>
  <c r="K543" i="4"/>
  <c r="K773" i="3" l="1"/>
  <c r="H773" i="3"/>
  <c r="C655" i="3"/>
  <c r="G774" i="3"/>
  <c r="J547" i="4"/>
  <c r="E547" i="4"/>
  <c r="H547" i="4" s="1"/>
  <c r="I547" i="4" s="1"/>
  <c r="K543" i="20"/>
  <c r="R544" i="4"/>
  <c r="D548" i="4"/>
  <c r="G548" i="4" s="1"/>
  <c r="P548" i="4"/>
  <c r="I548" i="20" s="1"/>
  <c r="C549" i="4"/>
  <c r="K544" i="4"/>
  <c r="K774" i="3" l="1"/>
  <c r="H774" i="3"/>
  <c r="C656" i="3"/>
  <c r="G775" i="3"/>
  <c r="J548" i="4"/>
  <c r="E548" i="4"/>
  <c r="H548" i="4" s="1"/>
  <c r="I548" i="4" s="1"/>
  <c r="K544" i="20"/>
  <c r="R545" i="4"/>
  <c r="D549" i="4"/>
  <c r="G549" i="4" s="1"/>
  <c r="P549" i="4"/>
  <c r="I549" i="20" s="1"/>
  <c r="C550" i="4"/>
  <c r="K545" i="4"/>
  <c r="K775" i="3" l="1"/>
  <c r="H775" i="3"/>
  <c r="C657" i="3"/>
  <c r="G776" i="3"/>
  <c r="K545" i="20"/>
  <c r="R546" i="4"/>
  <c r="J549" i="4"/>
  <c r="E549" i="4"/>
  <c r="H549" i="4" s="1"/>
  <c r="I549" i="4" s="1"/>
  <c r="D550" i="4"/>
  <c r="G550" i="4" s="1"/>
  <c r="C551" i="4"/>
  <c r="P550" i="4"/>
  <c r="I550" i="20" s="1"/>
  <c r="K546" i="4"/>
  <c r="K776" i="3" l="1"/>
  <c r="H776" i="3"/>
  <c r="C658" i="3"/>
  <c r="G777" i="3"/>
  <c r="K546" i="20"/>
  <c r="R547" i="4"/>
  <c r="J550" i="4"/>
  <c r="E550" i="4"/>
  <c r="H550" i="4" s="1"/>
  <c r="I550" i="4" s="1"/>
  <c r="D551" i="4"/>
  <c r="G551" i="4" s="1"/>
  <c r="C552" i="4"/>
  <c r="P551" i="4"/>
  <c r="I551" i="20" s="1"/>
  <c r="K547" i="4"/>
  <c r="K777" i="3" l="1"/>
  <c r="H777" i="3"/>
  <c r="C659" i="3"/>
  <c r="G778" i="3"/>
  <c r="D552" i="4"/>
  <c r="G552" i="4" s="1"/>
  <c r="C553" i="4"/>
  <c r="P552" i="4"/>
  <c r="I552" i="20" s="1"/>
  <c r="E551" i="4"/>
  <c r="H551" i="4" s="1"/>
  <c r="I551" i="4" s="1"/>
  <c r="J551" i="4"/>
  <c r="K547" i="20"/>
  <c r="R548" i="4"/>
  <c r="K548" i="4"/>
  <c r="K778" i="3" l="1"/>
  <c r="H778" i="3"/>
  <c r="C660" i="3"/>
  <c r="G779" i="3"/>
  <c r="D553" i="4"/>
  <c r="G553" i="4" s="1"/>
  <c r="P553" i="4"/>
  <c r="I553" i="20" s="1"/>
  <c r="C554" i="4"/>
  <c r="K548" i="20"/>
  <c r="R549" i="4"/>
  <c r="E552" i="4"/>
  <c r="H552" i="4" s="1"/>
  <c r="I552" i="4" s="1"/>
  <c r="J552" i="4"/>
  <c r="K549" i="4"/>
  <c r="K779" i="3" l="1"/>
  <c r="H779" i="3"/>
  <c r="C661" i="3"/>
  <c r="G780" i="3"/>
  <c r="K549" i="20"/>
  <c r="R550" i="4"/>
  <c r="D554" i="4"/>
  <c r="G554" i="4" s="1"/>
  <c r="C555" i="4"/>
  <c r="P554" i="4"/>
  <c r="I554" i="20" s="1"/>
  <c r="E553" i="4"/>
  <c r="H553" i="4" s="1"/>
  <c r="I553" i="4" s="1"/>
  <c r="J553" i="4"/>
  <c r="K550" i="4"/>
  <c r="K780" i="3" l="1"/>
  <c r="H780" i="3"/>
  <c r="C662" i="3"/>
  <c r="G781" i="3"/>
  <c r="D555" i="4"/>
  <c r="G555" i="4" s="1"/>
  <c r="C556" i="4"/>
  <c r="P555" i="4"/>
  <c r="I555" i="20" s="1"/>
  <c r="J554" i="4"/>
  <c r="E554" i="4"/>
  <c r="H554" i="4" s="1"/>
  <c r="I554" i="4" s="1"/>
  <c r="K550" i="20"/>
  <c r="R551" i="4"/>
  <c r="K551" i="4"/>
  <c r="K781" i="3" l="1"/>
  <c r="H781" i="3"/>
  <c r="C663" i="3"/>
  <c r="G782" i="3"/>
  <c r="K551" i="20"/>
  <c r="R552" i="4"/>
  <c r="D556" i="4"/>
  <c r="G556" i="4" s="1"/>
  <c r="C557" i="4"/>
  <c r="P556" i="4"/>
  <c r="I556" i="20" s="1"/>
  <c r="J555" i="4"/>
  <c r="E555" i="4"/>
  <c r="H555" i="4" s="1"/>
  <c r="I555" i="4" s="1"/>
  <c r="K552" i="4"/>
  <c r="K782" i="3" l="1"/>
  <c r="H782" i="3"/>
  <c r="C664" i="3"/>
  <c r="G783" i="3"/>
  <c r="D557" i="4"/>
  <c r="G557" i="4" s="1"/>
  <c r="C558" i="4"/>
  <c r="P557" i="4"/>
  <c r="I557" i="20" s="1"/>
  <c r="J556" i="4"/>
  <c r="E556" i="4"/>
  <c r="H556" i="4" s="1"/>
  <c r="I556" i="4" s="1"/>
  <c r="K552" i="20"/>
  <c r="R553" i="4"/>
  <c r="K553" i="4"/>
  <c r="K783" i="3" l="1"/>
  <c r="H783" i="3"/>
  <c r="C665" i="3"/>
  <c r="G784" i="3"/>
  <c r="K553" i="20"/>
  <c r="R554" i="4"/>
  <c r="D558" i="4"/>
  <c r="G558" i="4" s="1"/>
  <c r="C559" i="4"/>
  <c r="P558" i="4"/>
  <c r="I558" i="20" s="1"/>
  <c r="E557" i="4"/>
  <c r="H557" i="4" s="1"/>
  <c r="I557" i="4" s="1"/>
  <c r="J557" i="4"/>
  <c r="K554" i="4"/>
  <c r="K784" i="3" l="1"/>
  <c r="H784" i="3"/>
  <c r="C666" i="3"/>
  <c r="G785" i="3"/>
  <c r="J558" i="4"/>
  <c r="E558" i="4"/>
  <c r="H558" i="4" s="1"/>
  <c r="I558" i="4" s="1"/>
  <c r="D559" i="4"/>
  <c r="G559" i="4" s="1"/>
  <c r="C560" i="4"/>
  <c r="P559" i="4"/>
  <c r="I559" i="20" s="1"/>
  <c r="K554" i="20"/>
  <c r="R555" i="4"/>
  <c r="K555" i="4"/>
  <c r="K785" i="3" l="1"/>
  <c r="H785" i="3"/>
  <c r="C667" i="3"/>
  <c r="G786" i="3"/>
  <c r="D560" i="4"/>
  <c r="G560" i="4" s="1"/>
  <c r="P560" i="4"/>
  <c r="I560" i="20" s="1"/>
  <c r="C561" i="4"/>
  <c r="J559" i="4"/>
  <c r="E559" i="4"/>
  <c r="H559" i="4" s="1"/>
  <c r="I559" i="4" s="1"/>
  <c r="K555" i="20"/>
  <c r="R556" i="4"/>
  <c r="K556" i="4"/>
  <c r="K786" i="3" l="1"/>
  <c r="H786" i="3"/>
  <c r="C668" i="3"/>
  <c r="G787" i="3"/>
  <c r="D561" i="4"/>
  <c r="G561" i="4" s="1"/>
  <c r="C562" i="4"/>
  <c r="P561" i="4"/>
  <c r="I561" i="20" s="1"/>
  <c r="K556" i="20"/>
  <c r="R557" i="4"/>
  <c r="E560" i="4"/>
  <c r="H560" i="4" s="1"/>
  <c r="I560" i="4" s="1"/>
  <c r="J560" i="4"/>
  <c r="K557" i="4"/>
  <c r="K787" i="3" l="1"/>
  <c r="H787" i="3"/>
  <c r="C669" i="3"/>
  <c r="G788" i="3"/>
  <c r="K557" i="20"/>
  <c r="R558" i="4"/>
  <c r="D562" i="4"/>
  <c r="G562" i="4" s="1"/>
  <c r="C563" i="4"/>
  <c r="P562" i="4"/>
  <c r="I562" i="20" s="1"/>
  <c r="J561" i="4"/>
  <c r="E561" i="4"/>
  <c r="H561" i="4" s="1"/>
  <c r="I561" i="4" s="1"/>
  <c r="K558" i="4"/>
  <c r="K788" i="3" l="1"/>
  <c r="H788" i="3"/>
  <c r="C670" i="3"/>
  <c r="G789" i="3"/>
  <c r="D563" i="4"/>
  <c r="G563" i="4" s="1"/>
  <c r="P563" i="4"/>
  <c r="I563" i="20" s="1"/>
  <c r="C564" i="4"/>
  <c r="J562" i="4"/>
  <c r="E562" i="4"/>
  <c r="H562" i="4" s="1"/>
  <c r="I562" i="4" s="1"/>
  <c r="K558" i="20"/>
  <c r="R559" i="4"/>
  <c r="K559" i="4"/>
  <c r="K789" i="3" l="1"/>
  <c r="H789" i="3"/>
  <c r="C671" i="3"/>
  <c r="G790" i="3"/>
  <c r="D564" i="4"/>
  <c r="G564" i="4" s="1"/>
  <c r="C565" i="4"/>
  <c r="P564" i="4"/>
  <c r="I564" i="20" s="1"/>
  <c r="K559" i="20"/>
  <c r="R560" i="4"/>
  <c r="J563" i="4"/>
  <c r="E563" i="4"/>
  <c r="H563" i="4" s="1"/>
  <c r="I563" i="4" s="1"/>
  <c r="K560" i="4"/>
  <c r="K790" i="3" l="1"/>
  <c r="H790" i="3"/>
  <c r="C672" i="3"/>
  <c r="G791" i="3"/>
  <c r="K560" i="20"/>
  <c r="R561" i="4"/>
  <c r="D565" i="4"/>
  <c r="G565" i="4" s="1"/>
  <c r="C566" i="4"/>
  <c r="P565" i="4"/>
  <c r="I565" i="20" s="1"/>
  <c r="J564" i="4"/>
  <c r="E564" i="4"/>
  <c r="H564" i="4" s="1"/>
  <c r="I564" i="4" s="1"/>
  <c r="K561" i="4"/>
  <c r="K791" i="3" l="1"/>
  <c r="H791" i="3"/>
  <c r="C673" i="3"/>
  <c r="G792" i="3"/>
  <c r="E565" i="4"/>
  <c r="H565" i="4" s="1"/>
  <c r="I565" i="4" s="1"/>
  <c r="J565" i="4"/>
  <c r="D566" i="4"/>
  <c r="G566" i="4" s="1"/>
  <c r="C567" i="4"/>
  <c r="P566" i="4"/>
  <c r="I566" i="20" s="1"/>
  <c r="K561" i="20"/>
  <c r="R562" i="4"/>
  <c r="K562" i="4"/>
  <c r="K792" i="3" l="1"/>
  <c r="H792" i="3"/>
  <c r="C674" i="3"/>
  <c r="G793" i="3"/>
  <c r="D567" i="4"/>
  <c r="G567" i="4" s="1"/>
  <c r="C568" i="4"/>
  <c r="P567" i="4"/>
  <c r="I567" i="20" s="1"/>
  <c r="J566" i="4"/>
  <c r="E566" i="4"/>
  <c r="H566" i="4" s="1"/>
  <c r="I566" i="4" s="1"/>
  <c r="K562" i="20"/>
  <c r="R563" i="4"/>
  <c r="K563" i="4"/>
  <c r="K793" i="3" l="1"/>
  <c r="H793" i="3"/>
  <c r="C675" i="3"/>
  <c r="G794" i="3"/>
  <c r="D568" i="4"/>
  <c r="G568" i="4" s="1"/>
  <c r="P568" i="4"/>
  <c r="I568" i="20" s="1"/>
  <c r="C569" i="4"/>
  <c r="K563" i="20"/>
  <c r="R564" i="4"/>
  <c r="J567" i="4"/>
  <c r="E567" i="4"/>
  <c r="H567" i="4" s="1"/>
  <c r="I567" i="4" s="1"/>
  <c r="K564" i="4"/>
  <c r="K794" i="3" l="1"/>
  <c r="H794" i="3"/>
  <c r="C676" i="3"/>
  <c r="G795" i="3"/>
  <c r="K564" i="20"/>
  <c r="R565" i="4"/>
  <c r="D569" i="4"/>
  <c r="G569" i="4" s="1"/>
  <c r="C570" i="4"/>
  <c r="P569" i="4"/>
  <c r="I569" i="20" s="1"/>
  <c r="E568" i="4"/>
  <c r="H568" i="4" s="1"/>
  <c r="I568" i="4" s="1"/>
  <c r="J568" i="4"/>
  <c r="K565" i="4"/>
  <c r="K795" i="3" l="1"/>
  <c r="H795" i="3"/>
  <c r="C677" i="3"/>
  <c r="G796" i="3"/>
  <c r="D570" i="4"/>
  <c r="G570" i="4" s="1"/>
  <c r="C571" i="4"/>
  <c r="P570" i="4"/>
  <c r="I570" i="20" s="1"/>
  <c r="E569" i="4"/>
  <c r="H569" i="4" s="1"/>
  <c r="I569" i="4" s="1"/>
  <c r="J569" i="4"/>
  <c r="K565" i="20"/>
  <c r="R566" i="4"/>
  <c r="K566" i="4"/>
  <c r="K796" i="3" l="1"/>
  <c r="H796" i="3"/>
  <c r="C678" i="3"/>
  <c r="G798" i="3" s="1"/>
  <c r="G797" i="3"/>
  <c r="K566" i="20"/>
  <c r="R567" i="4"/>
  <c r="D571" i="4"/>
  <c r="G571" i="4" s="1"/>
  <c r="P571" i="4"/>
  <c r="I571" i="20" s="1"/>
  <c r="C572" i="4"/>
  <c r="E570" i="4"/>
  <c r="H570" i="4" s="1"/>
  <c r="I570" i="4" s="1"/>
  <c r="J570" i="4"/>
  <c r="K567" i="4"/>
  <c r="K798" i="3" l="1"/>
  <c r="H798" i="3"/>
  <c r="K797" i="3"/>
  <c r="H797" i="3"/>
  <c r="C679" i="3"/>
  <c r="E571" i="4"/>
  <c r="H571" i="4" s="1"/>
  <c r="I571" i="4" s="1"/>
  <c r="J571" i="4"/>
  <c r="D572" i="4"/>
  <c r="G572" i="4" s="1"/>
  <c r="P572" i="4"/>
  <c r="I572" i="20" s="1"/>
  <c r="C573" i="4"/>
  <c r="K567" i="20"/>
  <c r="R568" i="4"/>
  <c r="K568" i="4"/>
  <c r="C680" i="3" l="1"/>
  <c r="G799" i="3"/>
  <c r="D573" i="4"/>
  <c r="G573" i="4" s="1"/>
  <c r="P573" i="4"/>
  <c r="I573" i="20" s="1"/>
  <c r="C574" i="4"/>
  <c r="E572" i="4"/>
  <c r="H572" i="4" s="1"/>
  <c r="I572" i="4" s="1"/>
  <c r="J572" i="4"/>
  <c r="K568" i="20"/>
  <c r="R569" i="4"/>
  <c r="K569" i="4"/>
  <c r="K799" i="3" l="1"/>
  <c r="H799" i="3"/>
  <c r="C681" i="3"/>
  <c r="G800" i="3"/>
  <c r="K569" i="20"/>
  <c r="R570" i="4"/>
  <c r="D574" i="4"/>
  <c r="G574" i="4" s="1"/>
  <c r="C575" i="4"/>
  <c r="P574" i="4"/>
  <c r="I574" i="20" s="1"/>
  <c r="J573" i="4"/>
  <c r="E573" i="4"/>
  <c r="H573" i="4" s="1"/>
  <c r="I573" i="4" s="1"/>
  <c r="K570" i="4"/>
  <c r="K800" i="3" l="1"/>
  <c r="H800" i="3"/>
  <c r="C682" i="3"/>
  <c r="G801" i="3"/>
  <c r="D575" i="4"/>
  <c r="G575" i="4" s="1"/>
  <c r="P575" i="4"/>
  <c r="I575" i="20" s="1"/>
  <c r="C576" i="4"/>
  <c r="E574" i="4"/>
  <c r="H574" i="4" s="1"/>
  <c r="I574" i="4" s="1"/>
  <c r="J574" i="4"/>
  <c r="K570" i="20"/>
  <c r="R571" i="4"/>
  <c r="K571" i="4"/>
  <c r="K801" i="3" l="1"/>
  <c r="H801" i="3"/>
  <c r="C683" i="3"/>
  <c r="G802" i="3"/>
  <c r="D576" i="4"/>
  <c r="G576" i="4" s="1"/>
  <c r="C577" i="4"/>
  <c r="P576" i="4"/>
  <c r="I576" i="20" s="1"/>
  <c r="K571" i="20"/>
  <c r="R572" i="4"/>
  <c r="J575" i="4"/>
  <c r="E575" i="4"/>
  <c r="H575" i="4" s="1"/>
  <c r="I575" i="4" s="1"/>
  <c r="K572" i="4"/>
  <c r="K802" i="3" l="1"/>
  <c r="H802" i="3"/>
  <c r="C684" i="3"/>
  <c r="G803" i="3"/>
  <c r="K572" i="20"/>
  <c r="R573" i="4"/>
  <c r="D577" i="4"/>
  <c r="G577" i="4" s="1"/>
  <c r="C578" i="4"/>
  <c r="P577" i="4"/>
  <c r="I577" i="20" s="1"/>
  <c r="J576" i="4"/>
  <c r="E576" i="4"/>
  <c r="H576" i="4" s="1"/>
  <c r="I576" i="4" s="1"/>
  <c r="K573" i="4"/>
  <c r="K803" i="3" l="1"/>
  <c r="H803" i="3"/>
  <c r="C685" i="3"/>
  <c r="G804" i="3"/>
  <c r="D578" i="4"/>
  <c r="G578" i="4" s="1"/>
  <c r="P578" i="4"/>
  <c r="I578" i="20" s="1"/>
  <c r="C579" i="4"/>
  <c r="E577" i="4"/>
  <c r="H577" i="4" s="1"/>
  <c r="I577" i="4" s="1"/>
  <c r="J577" i="4"/>
  <c r="K573" i="20"/>
  <c r="R574" i="4"/>
  <c r="K574" i="4"/>
  <c r="K804" i="3" l="1"/>
  <c r="H804" i="3"/>
  <c r="C686" i="3"/>
  <c r="G805" i="3"/>
  <c r="K574" i="20"/>
  <c r="R575" i="4"/>
  <c r="D579" i="4"/>
  <c r="G579" i="4" s="1"/>
  <c r="P579" i="4"/>
  <c r="I579" i="20" s="1"/>
  <c r="C580" i="4"/>
  <c r="J578" i="4"/>
  <c r="E578" i="4"/>
  <c r="H578" i="4" s="1"/>
  <c r="I578" i="4" s="1"/>
  <c r="K575" i="4"/>
  <c r="K805" i="3" l="1"/>
  <c r="H805" i="3"/>
  <c r="C687" i="3"/>
  <c r="G806" i="3"/>
  <c r="J579" i="4"/>
  <c r="E579" i="4"/>
  <c r="H579" i="4" s="1"/>
  <c r="I579" i="4" s="1"/>
  <c r="D580" i="4"/>
  <c r="G580" i="4" s="1"/>
  <c r="C581" i="4"/>
  <c r="P580" i="4"/>
  <c r="I580" i="20" s="1"/>
  <c r="K575" i="20"/>
  <c r="R576" i="4"/>
  <c r="K576" i="4"/>
  <c r="K806" i="3" l="1"/>
  <c r="H806" i="3"/>
  <c r="C688" i="3"/>
  <c r="G807" i="3"/>
  <c r="D581" i="4"/>
  <c r="G581" i="4" s="1"/>
  <c r="C582" i="4"/>
  <c r="P581" i="4"/>
  <c r="I581" i="20" s="1"/>
  <c r="J580" i="4"/>
  <c r="E580" i="4"/>
  <c r="H580" i="4" s="1"/>
  <c r="I580" i="4" s="1"/>
  <c r="K576" i="20"/>
  <c r="R577" i="4"/>
  <c r="K577" i="4"/>
  <c r="K807" i="3" l="1"/>
  <c r="H807" i="3"/>
  <c r="C689" i="3"/>
  <c r="G808" i="3"/>
  <c r="D582" i="4"/>
  <c r="G582" i="4" s="1"/>
  <c r="P582" i="4"/>
  <c r="I582" i="20" s="1"/>
  <c r="C583" i="4"/>
  <c r="K577" i="20"/>
  <c r="R578" i="4"/>
  <c r="J581" i="4"/>
  <c r="E581" i="4"/>
  <c r="H581" i="4" s="1"/>
  <c r="I581" i="4" s="1"/>
  <c r="K578" i="4"/>
  <c r="K808" i="3" l="1"/>
  <c r="H808" i="3"/>
  <c r="C690" i="3"/>
  <c r="G809" i="3"/>
  <c r="K578" i="20"/>
  <c r="R579" i="4"/>
  <c r="D583" i="4"/>
  <c r="G583" i="4" s="1"/>
  <c r="C584" i="4"/>
  <c r="P583" i="4"/>
  <c r="I583" i="20" s="1"/>
  <c r="J582" i="4"/>
  <c r="E582" i="4"/>
  <c r="H582" i="4" s="1"/>
  <c r="I582" i="4" s="1"/>
  <c r="K579" i="4"/>
  <c r="K809" i="3" l="1"/>
  <c r="H809" i="3"/>
  <c r="C691" i="3"/>
  <c r="G810" i="3"/>
  <c r="D584" i="4"/>
  <c r="G584" i="4" s="1"/>
  <c r="C585" i="4"/>
  <c r="P584" i="4"/>
  <c r="I584" i="20" s="1"/>
  <c r="E583" i="4"/>
  <c r="H583" i="4" s="1"/>
  <c r="I583" i="4" s="1"/>
  <c r="J583" i="4"/>
  <c r="K579" i="20"/>
  <c r="R580" i="4"/>
  <c r="K580" i="4"/>
  <c r="K810" i="3" l="1"/>
  <c r="H810" i="3"/>
  <c r="C692" i="3"/>
  <c r="G811" i="3"/>
  <c r="K580" i="20"/>
  <c r="R581" i="4"/>
  <c r="D585" i="4"/>
  <c r="G585" i="4" s="1"/>
  <c r="P585" i="4"/>
  <c r="I585" i="20" s="1"/>
  <c r="C586" i="4"/>
  <c r="J584" i="4"/>
  <c r="E584" i="4"/>
  <c r="H584" i="4" s="1"/>
  <c r="I584" i="4" s="1"/>
  <c r="K581" i="4"/>
  <c r="K811" i="3" l="1"/>
  <c r="H811" i="3"/>
  <c r="C693" i="3"/>
  <c r="G812" i="3"/>
  <c r="D586" i="4"/>
  <c r="G586" i="4" s="1"/>
  <c r="C587" i="4"/>
  <c r="P586" i="4"/>
  <c r="I586" i="20" s="1"/>
  <c r="E585" i="4"/>
  <c r="H585" i="4" s="1"/>
  <c r="I585" i="4" s="1"/>
  <c r="J585" i="4"/>
  <c r="K581" i="20"/>
  <c r="R582" i="4"/>
  <c r="K582" i="4"/>
  <c r="K812" i="3" l="1"/>
  <c r="H812" i="3"/>
  <c r="C694" i="3"/>
  <c r="G813" i="3"/>
  <c r="D587" i="4"/>
  <c r="G587" i="4" s="1"/>
  <c r="C588" i="4"/>
  <c r="P587" i="4"/>
  <c r="I587" i="20" s="1"/>
  <c r="K582" i="20"/>
  <c r="R583" i="4"/>
  <c r="J586" i="4"/>
  <c r="E586" i="4"/>
  <c r="H586" i="4" s="1"/>
  <c r="I586" i="4" s="1"/>
  <c r="K583" i="4"/>
  <c r="K813" i="3" l="1"/>
  <c r="H813" i="3"/>
  <c r="C695" i="3"/>
  <c r="G814" i="3"/>
  <c r="K583" i="20"/>
  <c r="R584" i="4"/>
  <c r="D588" i="4"/>
  <c r="G588" i="4" s="1"/>
  <c r="P588" i="4"/>
  <c r="I588" i="20" s="1"/>
  <c r="C589" i="4"/>
  <c r="E587" i="4"/>
  <c r="H587" i="4" s="1"/>
  <c r="I587" i="4" s="1"/>
  <c r="J587" i="4"/>
  <c r="K584" i="4"/>
  <c r="K814" i="3" l="1"/>
  <c r="H814" i="3"/>
  <c r="C696" i="3"/>
  <c r="G815" i="3"/>
  <c r="D589" i="4"/>
  <c r="G589" i="4" s="1"/>
  <c r="C590" i="4"/>
  <c r="P589" i="4"/>
  <c r="I589" i="20" s="1"/>
  <c r="J588" i="4"/>
  <c r="E588" i="4"/>
  <c r="H588" i="4" s="1"/>
  <c r="I588" i="4" s="1"/>
  <c r="K584" i="20"/>
  <c r="R585" i="4"/>
  <c r="K585" i="4"/>
  <c r="K815" i="3" l="1"/>
  <c r="H815" i="3"/>
  <c r="C697" i="3"/>
  <c r="G816" i="3"/>
  <c r="K585" i="20"/>
  <c r="R586" i="4"/>
  <c r="D590" i="4"/>
  <c r="G590" i="4" s="1"/>
  <c r="C591" i="4"/>
  <c r="P590" i="4"/>
  <c r="I590" i="20" s="1"/>
  <c r="E589" i="4"/>
  <c r="H589" i="4" s="1"/>
  <c r="I589" i="4" s="1"/>
  <c r="J589" i="4"/>
  <c r="K586" i="4"/>
  <c r="K816" i="3" l="1"/>
  <c r="H816" i="3"/>
  <c r="C698" i="3"/>
  <c r="G817" i="3"/>
  <c r="J590" i="4"/>
  <c r="E590" i="4"/>
  <c r="H590" i="4" s="1"/>
  <c r="I590" i="4" s="1"/>
  <c r="D591" i="4"/>
  <c r="G591" i="4" s="1"/>
  <c r="P591" i="4"/>
  <c r="I591" i="20" s="1"/>
  <c r="C592" i="4"/>
  <c r="K586" i="20"/>
  <c r="R587" i="4"/>
  <c r="K587" i="4"/>
  <c r="K817" i="3" l="1"/>
  <c r="H817" i="3"/>
  <c r="C699" i="3"/>
  <c r="G818" i="3"/>
  <c r="D592" i="4"/>
  <c r="G592" i="4" s="1"/>
  <c r="C593" i="4"/>
  <c r="P592" i="4"/>
  <c r="I592" i="20" s="1"/>
  <c r="E591" i="4"/>
  <c r="H591" i="4" s="1"/>
  <c r="I591" i="4" s="1"/>
  <c r="J591" i="4"/>
  <c r="K587" i="20"/>
  <c r="R588" i="4"/>
  <c r="K588" i="4"/>
  <c r="K818" i="3" l="1"/>
  <c r="H818" i="3"/>
  <c r="C700" i="3"/>
  <c r="G819" i="3"/>
  <c r="D593" i="4"/>
  <c r="G593" i="4" s="1"/>
  <c r="C594" i="4"/>
  <c r="P593" i="4"/>
  <c r="I593" i="20" s="1"/>
  <c r="K588" i="20"/>
  <c r="R589" i="4"/>
  <c r="J592" i="4"/>
  <c r="E592" i="4"/>
  <c r="H592" i="4" s="1"/>
  <c r="I592" i="4" s="1"/>
  <c r="K589" i="4"/>
  <c r="K819" i="3" l="1"/>
  <c r="H819" i="3"/>
  <c r="C701" i="3"/>
  <c r="G820" i="3"/>
  <c r="K589" i="20"/>
  <c r="R590" i="4"/>
  <c r="D594" i="4"/>
  <c r="G594" i="4" s="1"/>
  <c r="C595" i="4"/>
  <c r="P594" i="4"/>
  <c r="I594" i="20" s="1"/>
  <c r="E593" i="4"/>
  <c r="H593" i="4" s="1"/>
  <c r="I593" i="4" s="1"/>
  <c r="J593" i="4"/>
  <c r="K590" i="4"/>
  <c r="K820" i="3" l="1"/>
  <c r="H820" i="3"/>
  <c r="C702" i="3"/>
  <c r="G822" i="3" s="1"/>
  <c r="G821" i="3"/>
  <c r="D595" i="4"/>
  <c r="G595" i="4" s="1"/>
  <c r="P595" i="4"/>
  <c r="I595" i="20" s="1"/>
  <c r="C596" i="4"/>
  <c r="J594" i="4"/>
  <c r="E594" i="4"/>
  <c r="H594" i="4" s="1"/>
  <c r="I594" i="4" s="1"/>
  <c r="K590" i="20"/>
  <c r="R591" i="4"/>
  <c r="K591" i="4"/>
  <c r="K822" i="3" l="1"/>
  <c r="H822" i="3"/>
  <c r="K821" i="3"/>
  <c r="H821" i="3"/>
  <c r="C703" i="3"/>
  <c r="D596" i="4"/>
  <c r="G596" i="4" s="1"/>
  <c r="P596" i="4"/>
  <c r="I596" i="20" s="1"/>
  <c r="C597" i="4"/>
  <c r="C598" i="4" s="1"/>
  <c r="K591" i="20"/>
  <c r="R592" i="4"/>
  <c r="E595" i="4"/>
  <c r="H595" i="4" s="1"/>
  <c r="I595" i="4" s="1"/>
  <c r="J595" i="4"/>
  <c r="K592" i="4"/>
  <c r="C704" i="3" l="1"/>
  <c r="G823" i="3"/>
  <c r="D598" i="4"/>
  <c r="G598" i="4" s="1"/>
  <c r="P598" i="4"/>
  <c r="I598" i="20" s="1"/>
  <c r="C599" i="4"/>
  <c r="K592" i="20"/>
  <c r="R593" i="4"/>
  <c r="D597" i="4"/>
  <c r="G597" i="4" s="1"/>
  <c r="P597" i="4"/>
  <c r="E596" i="4"/>
  <c r="H596" i="4" s="1"/>
  <c r="I596" i="4" s="1"/>
  <c r="J596" i="4"/>
  <c r="K593" i="4"/>
  <c r="K823" i="3" l="1"/>
  <c r="H823" i="3"/>
  <c r="C705" i="3"/>
  <c r="G824" i="3"/>
  <c r="D599" i="4"/>
  <c r="G599" i="4" s="1"/>
  <c r="P599" i="4"/>
  <c r="I599" i="20" s="1"/>
  <c r="C600" i="4"/>
  <c r="J598" i="4"/>
  <c r="E598" i="4"/>
  <c r="H598" i="4" s="1"/>
  <c r="I598" i="4" s="1"/>
  <c r="E597" i="4"/>
  <c r="H597" i="4" s="1"/>
  <c r="I597" i="4" s="1"/>
  <c r="J597" i="4"/>
  <c r="I597" i="20"/>
  <c r="K593" i="20"/>
  <c r="R594" i="4"/>
  <c r="K594" i="4"/>
  <c r="K824" i="3" l="1"/>
  <c r="H824" i="3"/>
  <c r="C706" i="3"/>
  <c r="G825" i="3"/>
  <c r="D600" i="4"/>
  <c r="G600" i="4" s="1"/>
  <c r="C601" i="4"/>
  <c r="P600" i="4"/>
  <c r="J599" i="4"/>
  <c r="E599" i="4"/>
  <c r="H599" i="4" s="1"/>
  <c r="I599" i="4" s="1"/>
  <c r="K594" i="20"/>
  <c r="R595" i="4"/>
  <c r="K595" i="4"/>
  <c r="K825" i="3" l="1"/>
  <c r="H825" i="3"/>
  <c r="C707" i="3"/>
  <c r="G826" i="3"/>
  <c r="I600" i="20"/>
  <c r="D601" i="4"/>
  <c r="G601" i="4" s="1"/>
  <c r="P601" i="4"/>
  <c r="I601" i="20" s="1"/>
  <c r="C602" i="4"/>
  <c r="J600" i="4"/>
  <c r="E600" i="4"/>
  <c r="H600" i="4" s="1"/>
  <c r="I600" i="4" s="1"/>
  <c r="K595" i="20"/>
  <c r="R596" i="4"/>
  <c r="K596" i="4"/>
  <c r="K826" i="3" l="1"/>
  <c r="H826" i="3"/>
  <c r="C708" i="3"/>
  <c r="G827" i="3"/>
  <c r="D602" i="4"/>
  <c r="G602" i="4" s="1"/>
  <c r="C603" i="4"/>
  <c r="P602" i="4"/>
  <c r="E601" i="4"/>
  <c r="H601" i="4" s="1"/>
  <c r="I601" i="4" s="1"/>
  <c r="J601" i="4"/>
  <c r="K596" i="20"/>
  <c r="R597" i="4"/>
  <c r="K597" i="4"/>
  <c r="K827" i="3" l="1"/>
  <c r="H827" i="3"/>
  <c r="C709" i="3"/>
  <c r="G828" i="3"/>
  <c r="I602" i="20"/>
  <c r="D603" i="4"/>
  <c r="G603" i="4" s="1"/>
  <c r="P603" i="4"/>
  <c r="I603" i="20" s="1"/>
  <c r="C604" i="4"/>
  <c r="K597" i="20"/>
  <c r="R598" i="4"/>
  <c r="E602" i="4"/>
  <c r="H602" i="4" s="1"/>
  <c r="I602" i="4" s="1"/>
  <c r="J602" i="4"/>
  <c r="K598" i="4"/>
  <c r="K828" i="3" l="1"/>
  <c r="H828" i="3"/>
  <c r="C710" i="3"/>
  <c r="G829" i="3"/>
  <c r="D604" i="4"/>
  <c r="G604" i="4" s="1"/>
  <c r="C605" i="4"/>
  <c r="P604" i="4"/>
  <c r="K598" i="20"/>
  <c r="R599" i="4"/>
  <c r="J603" i="4"/>
  <c r="E603" i="4"/>
  <c r="H603" i="4" s="1"/>
  <c r="I603" i="4" s="1"/>
  <c r="K599" i="4"/>
  <c r="K829" i="3" l="1"/>
  <c r="H829" i="3"/>
  <c r="C711" i="3"/>
  <c r="G830" i="3"/>
  <c r="I604" i="20"/>
  <c r="K599" i="20"/>
  <c r="R600" i="4"/>
  <c r="D605" i="4"/>
  <c r="G605" i="4" s="1"/>
  <c r="P605" i="4"/>
  <c r="I605" i="20" s="1"/>
  <c r="C606" i="4"/>
  <c r="J604" i="4"/>
  <c r="E604" i="4"/>
  <c r="H604" i="4" s="1"/>
  <c r="I604" i="4" s="1"/>
  <c r="K600" i="4"/>
  <c r="K830" i="3" l="1"/>
  <c r="H830" i="3"/>
  <c r="C712" i="3"/>
  <c r="G831" i="3"/>
  <c r="J605" i="4"/>
  <c r="E605" i="4"/>
  <c r="H605" i="4" s="1"/>
  <c r="I605" i="4" s="1"/>
  <c r="K600" i="20"/>
  <c r="R601" i="4"/>
  <c r="D606" i="4"/>
  <c r="G606" i="4" s="1"/>
  <c r="C607" i="4"/>
  <c r="P606" i="4"/>
  <c r="K601" i="4"/>
  <c r="K831" i="3" l="1"/>
  <c r="H831" i="3"/>
  <c r="C713" i="3"/>
  <c r="G832" i="3"/>
  <c r="D607" i="4"/>
  <c r="G607" i="4" s="1"/>
  <c r="P607" i="4"/>
  <c r="I607" i="20" s="1"/>
  <c r="C608" i="4"/>
  <c r="K601" i="20"/>
  <c r="R602" i="4"/>
  <c r="E606" i="4"/>
  <c r="H606" i="4" s="1"/>
  <c r="I606" i="4" s="1"/>
  <c r="J606" i="4"/>
  <c r="I606" i="20"/>
  <c r="K602" i="4"/>
  <c r="K832" i="3" l="1"/>
  <c r="H832" i="3"/>
  <c r="C714" i="3"/>
  <c r="G833" i="3"/>
  <c r="D608" i="4"/>
  <c r="G608" i="4" s="1"/>
  <c r="C609" i="4"/>
  <c r="C610" i="4" s="1"/>
  <c r="P608" i="4"/>
  <c r="K602" i="20"/>
  <c r="R603" i="4"/>
  <c r="J607" i="4"/>
  <c r="E607" i="4"/>
  <c r="H607" i="4" s="1"/>
  <c r="I607" i="4" s="1"/>
  <c r="K603" i="4"/>
  <c r="K833" i="3" l="1"/>
  <c r="H833" i="3"/>
  <c r="C715" i="3"/>
  <c r="G834" i="3"/>
  <c r="D610" i="4"/>
  <c r="G610" i="4" s="1"/>
  <c r="C611" i="4"/>
  <c r="P610" i="4"/>
  <c r="I610" i="20" s="1"/>
  <c r="K603" i="20"/>
  <c r="R604" i="4"/>
  <c r="I608" i="20"/>
  <c r="D609" i="4"/>
  <c r="G609" i="4" s="1"/>
  <c r="P609" i="4"/>
  <c r="I609" i="20" s="1"/>
  <c r="E608" i="4"/>
  <c r="H608" i="4" s="1"/>
  <c r="I608" i="4" s="1"/>
  <c r="J608" i="4"/>
  <c r="K604" i="4"/>
  <c r="K834" i="3" l="1"/>
  <c r="H834" i="3"/>
  <c r="C716" i="3"/>
  <c r="G835" i="3"/>
  <c r="D611" i="4"/>
  <c r="G611" i="4" s="1"/>
  <c r="P611" i="4"/>
  <c r="C612" i="4"/>
  <c r="E610" i="4"/>
  <c r="H610" i="4" s="1"/>
  <c r="I610" i="4" s="1"/>
  <c r="J610" i="4"/>
  <c r="J609" i="4"/>
  <c r="E609" i="4"/>
  <c r="H609" i="4" s="1"/>
  <c r="I609" i="4" s="1"/>
  <c r="K604" i="20"/>
  <c r="R605" i="4"/>
  <c r="K605" i="4"/>
  <c r="K835" i="3" l="1"/>
  <c r="H835" i="3"/>
  <c r="C717" i="3"/>
  <c r="G836" i="3"/>
  <c r="D612" i="4"/>
  <c r="G612" i="4" s="1"/>
  <c r="P612" i="4"/>
  <c r="I612" i="20" s="1"/>
  <c r="C613" i="4"/>
  <c r="I611" i="20"/>
  <c r="E611" i="4"/>
  <c r="H611" i="4" s="1"/>
  <c r="I611" i="4" s="1"/>
  <c r="J611" i="4"/>
  <c r="K605" i="20"/>
  <c r="R606" i="4"/>
  <c r="K606" i="4"/>
  <c r="K836" i="3" l="1"/>
  <c r="H836" i="3"/>
  <c r="C27" i="5"/>
  <c r="G837" i="3"/>
  <c r="D613" i="4"/>
  <c r="G613" i="4" s="1"/>
  <c r="C614" i="4"/>
  <c r="P613" i="4"/>
  <c r="J612" i="4"/>
  <c r="E612" i="4"/>
  <c r="H612" i="4" s="1"/>
  <c r="I612" i="4" s="1"/>
  <c r="K606" i="20"/>
  <c r="R607" i="4"/>
  <c r="K607" i="4"/>
  <c r="K837" i="3" l="1"/>
  <c r="C32" i="5" s="1"/>
  <c r="H837" i="3"/>
  <c r="I613" i="20"/>
  <c r="D614" i="4"/>
  <c r="G614" i="4" s="1"/>
  <c r="P614" i="4"/>
  <c r="I614" i="20" s="1"/>
  <c r="C615" i="4"/>
  <c r="E613" i="4"/>
  <c r="H613" i="4" s="1"/>
  <c r="I613" i="4" s="1"/>
  <c r="J613" i="4"/>
  <c r="K607" i="20"/>
  <c r="R608" i="4"/>
  <c r="K608" i="4"/>
  <c r="F9" i="24" l="1"/>
  <c r="G74" i="1"/>
  <c r="D615" i="4"/>
  <c r="G615" i="4" s="1"/>
  <c r="P615" i="4"/>
  <c r="C616" i="4"/>
  <c r="J614" i="4"/>
  <c r="E614" i="4"/>
  <c r="H614" i="4" s="1"/>
  <c r="I614" i="4" s="1"/>
  <c r="K608" i="20"/>
  <c r="R609" i="4"/>
  <c r="K609" i="4"/>
  <c r="G80" i="1" l="1"/>
  <c r="H80" i="1" s="1"/>
  <c r="G82" i="1"/>
  <c r="H82" i="1" s="1"/>
  <c r="G77" i="1"/>
  <c r="G78" i="1"/>
  <c r="G79" i="1"/>
  <c r="H79" i="1" s="1"/>
  <c r="G81" i="1"/>
  <c r="H81" i="1" s="1"/>
  <c r="G75" i="1"/>
  <c r="G76" i="1"/>
  <c r="K76" i="1" s="1"/>
  <c r="D616" i="4"/>
  <c r="G616" i="4" s="1"/>
  <c r="C617" i="4"/>
  <c r="P616" i="4"/>
  <c r="I616" i="20" s="1"/>
  <c r="I615" i="20"/>
  <c r="K609" i="20"/>
  <c r="R610" i="4"/>
  <c r="J615" i="4"/>
  <c r="E615" i="4"/>
  <c r="H615" i="4" s="1"/>
  <c r="I615" i="4" s="1"/>
  <c r="K610" i="4"/>
  <c r="K77" i="1" l="1"/>
  <c r="K83" i="1" s="1"/>
  <c r="G83" i="1"/>
  <c r="L76" i="1"/>
  <c r="H83" i="1"/>
  <c r="C34" i="5" s="1"/>
  <c r="D617" i="4"/>
  <c r="G617" i="4" s="1"/>
  <c r="P617" i="4"/>
  <c r="C618" i="4"/>
  <c r="K610" i="20"/>
  <c r="R611" i="4"/>
  <c r="J616" i="4"/>
  <c r="E616" i="4"/>
  <c r="H616" i="4" s="1"/>
  <c r="I616" i="4" s="1"/>
  <c r="K611" i="4"/>
  <c r="F13" i="24" l="1"/>
  <c r="F14" i="24" s="1"/>
  <c r="F10" i="22"/>
  <c r="F13" i="22" s="1"/>
  <c r="F14" i="22" s="1"/>
  <c r="L77" i="1"/>
  <c r="L83" i="1" s="1"/>
  <c r="C33" i="5"/>
  <c r="C35" i="5"/>
  <c r="K611" i="20"/>
  <c r="R612" i="4"/>
  <c r="D618" i="4"/>
  <c r="G618" i="4" s="1"/>
  <c r="P618" i="4"/>
  <c r="I618" i="20" s="1"/>
  <c r="C619" i="4"/>
  <c r="I617" i="20"/>
  <c r="E617" i="4"/>
  <c r="H617" i="4" s="1"/>
  <c r="I617" i="4" s="1"/>
  <c r="J617" i="4"/>
  <c r="K612" i="4"/>
  <c r="H10" i="22" l="1"/>
  <c r="N83" i="1"/>
  <c r="C18" i="22" s="1"/>
  <c r="F15" i="22"/>
  <c r="C36" i="5"/>
  <c r="D619" i="4"/>
  <c r="G619" i="4" s="1"/>
  <c r="P619" i="4"/>
  <c r="C620" i="4"/>
  <c r="E618" i="4"/>
  <c r="H618" i="4" s="1"/>
  <c r="I618" i="4" s="1"/>
  <c r="J618" i="4"/>
  <c r="K612" i="20"/>
  <c r="R613" i="4"/>
  <c r="K613" i="4"/>
  <c r="J10" i="22" l="1"/>
  <c r="J13" i="22" s="1"/>
  <c r="J14" i="22" s="1"/>
  <c r="H13" i="22"/>
  <c r="H14" i="22" s="1"/>
  <c r="F339" i="4"/>
  <c r="N339" i="4" s="1"/>
  <c r="F588" i="4"/>
  <c r="N588" i="4" s="1"/>
  <c r="F580" i="4"/>
  <c r="N580" i="4" s="1"/>
  <c r="F554" i="4"/>
  <c r="N554" i="4" s="1"/>
  <c r="F548" i="4"/>
  <c r="N548" i="4" s="1"/>
  <c r="F562" i="4"/>
  <c r="N562" i="4" s="1"/>
  <c r="F612" i="4"/>
  <c r="N612" i="4" s="1"/>
  <c r="F522" i="4"/>
  <c r="N522" i="4" s="1"/>
  <c r="F586" i="4"/>
  <c r="N586" i="4" s="1"/>
  <c r="F594" i="4"/>
  <c r="N594" i="4" s="1"/>
  <c r="F514" i="4"/>
  <c r="N514" i="4" s="1"/>
  <c r="F508" i="4"/>
  <c r="N508" i="4" s="1"/>
  <c r="F230" i="4"/>
  <c r="N230" i="4" s="1"/>
  <c r="F609" i="4"/>
  <c r="N609" i="4" s="1"/>
  <c r="F578" i="4"/>
  <c r="N578" i="4" s="1"/>
  <c r="F540" i="4"/>
  <c r="N540" i="4" s="1"/>
  <c r="F107" i="4"/>
  <c r="N107" i="4" s="1"/>
  <c r="F546" i="4"/>
  <c r="N546" i="4" s="1"/>
  <c r="F604" i="4"/>
  <c r="N604" i="4" s="1"/>
  <c r="F572" i="4"/>
  <c r="N572" i="4" s="1"/>
  <c r="F538" i="4"/>
  <c r="N538" i="4" s="1"/>
  <c r="F457" i="4"/>
  <c r="N457" i="4" s="1"/>
  <c r="F602" i="4"/>
  <c r="N602" i="4" s="1"/>
  <c r="F570" i="4"/>
  <c r="N570" i="4" s="1"/>
  <c r="F532" i="4"/>
  <c r="N532" i="4" s="1"/>
  <c r="F393" i="4"/>
  <c r="N393" i="4" s="1"/>
  <c r="F596" i="4"/>
  <c r="N596" i="4" s="1"/>
  <c r="F564" i="4"/>
  <c r="N564" i="4" s="1"/>
  <c r="F530" i="4"/>
  <c r="N530" i="4" s="1"/>
  <c r="F255" i="4"/>
  <c r="N255" i="4" s="1"/>
  <c r="F220" i="4"/>
  <c r="N220" i="4" s="1"/>
  <c r="F400" i="4"/>
  <c r="N400" i="4" s="1"/>
  <c r="F506" i="4"/>
  <c r="N506" i="4" s="1"/>
  <c r="F336" i="4"/>
  <c r="N336" i="4" s="1"/>
  <c r="F442" i="4"/>
  <c r="N442" i="4" s="1"/>
  <c r="F272" i="4"/>
  <c r="N272" i="4" s="1"/>
  <c r="F556" i="4"/>
  <c r="N556" i="4" s="1"/>
  <c r="F524" i="4"/>
  <c r="N524" i="4" s="1"/>
  <c r="F378" i="4"/>
  <c r="N378" i="4" s="1"/>
  <c r="F241" i="4"/>
  <c r="N241" i="4" s="1"/>
  <c r="F329" i="4"/>
  <c r="N329" i="4" s="1"/>
  <c r="F327" i="4"/>
  <c r="N327" i="4" s="1"/>
  <c r="F485" i="4"/>
  <c r="N485" i="4" s="1"/>
  <c r="F242" i="4"/>
  <c r="N242" i="4" s="1"/>
  <c r="F502" i="4"/>
  <c r="N502" i="4" s="1"/>
  <c r="F464" i="4"/>
  <c r="N464" i="4" s="1"/>
  <c r="F438" i="4"/>
  <c r="N438" i="4" s="1"/>
  <c r="F374" i="4"/>
  <c r="N374" i="4" s="1"/>
  <c r="F121" i="4"/>
  <c r="N121" i="4" s="1"/>
  <c r="F501" i="4"/>
  <c r="N501" i="4" s="1"/>
  <c r="F314" i="4"/>
  <c r="N314" i="4" s="1"/>
  <c r="F226" i="4"/>
  <c r="N226" i="4" s="1"/>
  <c r="F455" i="4"/>
  <c r="N455" i="4" s="1"/>
  <c r="F365" i="4"/>
  <c r="N365" i="4" s="1"/>
  <c r="F235" i="4"/>
  <c r="N235" i="4" s="1"/>
  <c r="F162" i="4"/>
  <c r="N162" i="4" s="1"/>
  <c r="F391" i="4"/>
  <c r="N391" i="4" s="1"/>
  <c r="F222" i="4"/>
  <c r="N222" i="4" s="1"/>
  <c r="F610" i="4"/>
  <c r="N610" i="4" s="1"/>
  <c r="F593" i="4"/>
  <c r="N593" i="4" s="1"/>
  <c r="F585" i="4"/>
  <c r="N585" i="4" s="1"/>
  <c r="F577" i="4"/>
  <c r="N577" i="4" s="1"/>
  <c r="F569" i="4"/>
  <c r="N569" i="4" s="1"/>
  <c r="F561" i="4"/>
  <c r="N561" i="4" s="1"/>
  <c r="F553" i="4"/>
  <c r="N553" i="4" s="1"/>
  <c r="F545" i="4"/>
  <c r="N545" i="4" s="1"/>
  <c r="F537" i="4"/>
  <c r="N537" i="4" s="1"/>
  <c r="F529" i="4"/>
  <c r="N529" i="4" s="1"/>
  <c r="F521" i="4"/>
  <c r="N521" i="4" s="1"/>
  <c r="F513" i="4"/>
  <c r="N513" i="4" s="1"/>
  <c r="F199" i="4"/>
  <c r="N199" i="4" s="1"/>
  <c r="F212" i="4"/>
  <c r="N212" i="4" s="1"/>
  <c r="F498" i="4"/>
  <c r="N498" i="4" s="1"/>
  <c r="F434" i="4"/>
  <c r="N434" i="4" s="1"/>
  <c r="F370" i="4"/>
  <c r="N370" i="4" s="1"/>
  <c r="F306" i="4"/>
  <c r="N306" i="4" s="1"/>
  <c r="F227" i="4"/>
  <c r="N227" i="4" s="1"/>
  <c r="F43" i="4"/>
  <c r="N43" i="4" s="1"/>
  <c r="F449" i="4"/>
  <c r="N449" i="4" s="1"/>
  <c r="F385" i="4"/>
  <c r="N385" i="4" s="1"/>
  <c r="F321" i="4"/>
  <c r="N321" i="4" s="1"/>
  <c r="F215" i="4"/>
  <c r="N215" i="4" s="1"/>
  <c r="F234" i="4"/>
  <c r="N234" i="4" s="1"/>
  <c r="F98" i="4"/>
  <c r="N98" i="4" s="1"/>
  <c r="F456" i="4"/>
  <c r="N456" i="4" s="1"/>
  <c r="F392" i="4"/>
  <c r="N392" i="4" s="1"/>
  <c r="F328" i="4"/>
  <c r="N328" i="4" s="1"/>
  <c r="F239" i="4"/>
  <c r="N239" i="4" s="1"/>
  <c r="F233" i="4"/>
  <c r="N233" i="4" s="1"/>
  <c r="F25" i="4"/>
  <c r="N25" i="4" s="1"/>
  <c r="F447" i="4"/>
  <c r="N447" i="4" s="1"/>
  <c r="F383" i="4"/>
  <c r="N383" i="4" s="1"/>
  <c r="F319" i="4"/>
  <c r="N319" i="4" s="1"/>
  <c r="F267" i="4"/>
  <c r="N267" i="4" s="1"/>
  <c r="F494" i="4"/>
  <c r="N494" i="4" s="1"/>
  <c r="F430" i="4"/>
  <c r="N430" i="4" s="1"/>
  <c r="F366" i="4"/>
  <c r="N366" i="4" s="1"/>
  <c r="F461" i="4"/>
  <c r="N461" i="4" s="1"/>
  <c r="F357" i="4"/>
  <c r="N357" i="4" s="1"/>
  <c r="F468" i="4"/>
  <c r="N468" i="4" s="1"/>
  <c r="F34" i="4"/>
  <c r="N34" i="4" s="1"/>
  <c r="F448" i="4"/>
  <c r="N448" i="4" s="1"/>
  <c r="F384" i="4"/>
  <c r="N384" i="4" s="1"/>
  <c r="F320" i="4"/>
  <c r="N320" i="4" s="1"/>
  <c r="F191" i="4"/>
  <c r="N191" i="4" s="1"/>
  <c r="F225" i="4"/>
  <c r="N225" i="4" s="1"/>
  <c r="F503" i="4"/>
  <c r="N503" i="4" s="1"/>
  <c r="F439" i="4"/>
  <c r="N439" i="4" s="1"/>
  <c r="F375" i="4"/>
  <c r="N375" i="4" s="1"/>
  <c r="F311" i="4"/>
  <c r="N311" i="4" s="1"/>
  <c r="F264" i="4"/>
  <c r="N264" i="4" s="1"/>
  <c r="F486" i="4"/>
  <c r="N486" i="4" s="1"/>
  <c r="F422" i="4"/>
  <c r="N422" i="4" s="1"/>
  <c r="F358" i="4"/>
  <c r="N358" i="4" s="1"/>
  <c r="F429" i="4"/>
  <c r="N429" i="4" s="1"/>
  <c r="F342" i="4"/>
  <c r="N342" i="4" s="1"/>
  <c r="F460" i="4"/>
  <c r="N460" i="4" s="1"/>
  <c r="F601" i="4"/>
  <c r="N601" i="4" s="1"/>
  <c r="F616" i="4"/>
  <c r="N616" i="4" s="1"/>
  <c r="F600" i="4"/>
  <c r="N600" i="4" s="1"/>
  <c r="F584" i="4"/>
  <c r="N584" i="4" s="1"/>
  <c r="F568" i="4"/>
  <c r="N568" i="4" s="1"/>
  <c r="F552" i="4"/>
  <c r="N552" i="4" s="1"/>
  <c r="F536" i="4"/>
  <c r="N536" i="4" s="1"/>
  <c r="F512" i="4"/>
  <c r="N512" i="4" s="1"/>
  <c r="F493" i="4"/>
  <c r="N493" i="4" s="1"/>
  <c r="F490" i="4"/>
  <c r="N490" i="4" s="1"/>
  <c r="F362" i="4"/>
  <c r="N362" i="4" s="1"/>
  <c r="F219" i="4"/>
  <c r="N219" i="4" s="1"/>
  <c r="F441" i="4"/>
  <c r="N441" i="4" s="1"/>
  <c r="F377" i="4"/>
  <c r="N377" i="4" s="1"/>
  <c r="F47" i="4"/>
  <c r="N47" i="4" s="1"/>
  <c r="F618" i="4"/>
  <c r="N618" i="4" s="1"/>
  <c r="F615" i="4"/>
  <c r="N615" i="4" s="1"/>
  <c r="F607" i="4"/>
  <c r="N607" i="4" s="1"/>
  <c r="F599" i="4"/>
  <c r="N599" i="4" s="1"/>
  <c r="F591" i="4"/>
  <c r="N591" i="4" s="1"/>
  <c r="F583" i="4"/>
  <c r="N583" i="4" s="1"/>
  <c r="F575" i="4"/>
  <c r="N575" i="4" s="1"/>
  <c r="F567" i="4"/>
  <c r="N567" i="4" s="1"/>
  <c r="F559" i="4"/>
  <c r="N559" i="4" s="1"/>
  <c r="F551" i="4"/>
  <c r="N551" i="4" s="1"/>
  <c r="F543" i="4"/>
  <c r="N543" i="4" s="1"/>
  <c r="F535" i="4"/>
  <c r="N535" i="4" s="1"/>
  <c r="F527" i="4"/>
  <c r="N527" i="4" s="1"/>
  <c r="F519" i="4"/>
  <c r="N519" i="4" s="1"/>
  <c r="F511" i="4"/>
  <c r="N511" i="4" s="1"/>
  <c r="F260" i="4"/>
  <c r="N260" i="4" s="1"/>
  <c r="F196" i="4"/>
  <c r="N196" i="4" s="1"/>
  <c r="F482" i="4"/>
  <c r="N482" i="4" s="1"/>
  <c r="F418" i="4"/>
  <c r="N418" i="4" s="1"/>
  <c r="F354" i="4"/>
  <c r="N354" i="4" s="1"/>
  <c r="F290" i="4"/>
  <c r="N290" i="4" s="1"/>
  <c r="F211" i="4"/>
  <c r="N211" i="4" s="1"/>
  <c r="F497" i="4"/>
  <c r="N497" i="4" s="1"/>
  <c r="F433" i="4"/>
  <c r="N433" i="4" s="1"/>
  <c r="F369" i="4"/>
  <c r="N369" i="4" s="1"/>
  <c r="F305" i="4"/>
  <c r="N305" i="4" s="1"/>
  <c r="F477" i="4"/>
  <c r="N477" i="4" s="1"/>
  <c r="F218" i="4"/>
  <c r="N218" i="4" s="1"/>
  <c r="F504" i="4"/>
  <c r="N504" i="4" s="1"/>
  <c r="F440" i="4"/>
  <c r="N440" i="4" s="1"/>
  <c r="F376" i="4"/>
  <c r="N376" i="4" s="1"/>
  <c r="F312" i="4"/>
  <c r="N312" i="4" s="1"/>
  <c r="F469" i="4"/>
  <c r="N469" i="4" s="1"/>
  <c r="F217" i="4"/>
  <c r="N217" i="4" s="1"/>
  <c r="F495" i="4"/>
  <c r="N495" i="4" s="1"/>
  <c r="F431" i="4"/>
  <c r="N431" i="4" s="1"/>
  <c r="F367" i="4"/>
  <c r="N367" i="4" s="1"/>
  <c r="F302" i="4"/>
  <c r="N302" i="4" s="1"/>
  <c r="F248" i="4"/>
  <c r="N248" i="4" s="1"/>
  <c r="F478" i="4"/>
  <c r="N478" i="4" s="1"/>
  <c r="F414" i="4"/>
  <c r="N414" i="4" s="1"/>
  <c r="F350" i="4"/>
  <c r="N350" i="4" s="1"/>
  <c r="F421" i="4"/>
  <c r="N421" i="4" s="1"/>
  <c r="F333" i="4"/>
  <c r="N333" i="4" s="1"/>
  <c r="F452" i="4"/>
  <c r="N452" i="4" s="1"/>
  <c r="F608" i="4"/>
  <c r="N608" i="4" s="1"/>
  <c r="F592" i="4"/>
  <c r="N592" i="4" s="1"/>
  <c r="F576" i="4"/>
  <c r="N576" i="4" s="1"/>
  <c r="F560" i="4"/>
  <c r="N560" i="4" s="1"/>
  <c r="F544" i="4"/>
  <c r="N544" i="4" s="1"/>
  <c r="F528" i="4"/>
  <c r="N528" i="4" s="1"/>
  <c r="F520" i="4"/>
  <c r="N520" i="4" s="1"/>
  <c r="F204" i="4"/>
  <c r="N204" i="4" s="1"/>
  <c r="F426" i="4"/>
  <c r="N426" i="4" s="1"/>
  <c r="F298" i="4"/>
  <c r="N298" i="4" s="1"/>
  <c r="F505" i="4"/>
  <c r="N505" i="4" s="1"/>
  <c r="F313" i="4"/>
  <c r="N313" i="4" s="1"/>
  <c r="F614" i="4"/>
  <c r="N614" i="4" s="1"/>
  <c r="F606" i="4"/>
  <c r="N606" i="4" s="1"/>
  <c r="F597" i="4"/>
  <c r="N597" i="4" s="1"/>
  <c r="F590" i="4"/>
  <c r="N590" i="4" s="1"/>
  <c r="F582" i="4"/>
  <c r="N582" i="4" s="1"/>
  <c r="F574" i="4"/>
  <c r="N574" i="4" s="1"/>
  <c r="F566" i="4"/>
  <c r="N566" i="4" s="1"/>
  <c r="F558" i="4"/>
  <c r="N558" i="4" s="1"/>
  <c r="F550" i="4"/>
  <c r="N550" i="4" s="1"/>
  <c r="F542" i="4"/>
  <c r="N542" i="4" s="1"/>
  <c r="F534" i="4"/>
  <c r="N534" i="4" s="1"/>
  <c r="F526" i="4"/>
  <c r="N526" i="4" s="1"/>
  <c r="F518" i="4"/>
  <c r="N518" i="4" s="1"/>
  <c r="F510" i="4"/>
  <c r="N510" i="4" s="1"/>
  <c r="F252" i="4"/>
  <c r="N252" i="4" s="1"/>
  <c r="F188" i="4"/>
  <c r="N188" i="4" s="1"/>
  <c r="F474" i="4"/>
  <c r="N474" i="4" s="1"/>
  <c r="F410" i="4"/>
  <c r="N410" i="4" s="1"/>
  <c r="F346" i="4"/>
  <c r="N346" i="4" s="1"/>
  <c r="F282" i="4"/>
  <c r="N282" i="4" s="1"/>
  <c r="F203" i="4"/>
  <c r="N203" i="4" s="1"/>
  <c r="F489" i="4"/>
  <c r="N489" i="4" s="1"/>
  <c r="F425" i="4"/>
  <c r="N425" i="4" s="1"/>
  <c r="F361" i="4"/>
  <c r="N361" i="4" s="1"/>
  <c r="F297" i="4"/>
  <c r="N297" i="4" s="1"/>
  <c r="F259" i="4"/>
  <c r="N259" i="4" s="1"/>
  <c r="F210" i="4"/>
  <c r="N210" i="4" s="1"/>
  <c r="F496" i="4"/>
  <c r="N496" i="4" s="1"/>
  <c r="F432" i="4"/>
  <c r="N432" i="4" s="1"/>
  <c r="F368" i="4"/>
  <c r="N368" i="4" s="1"/>
  <c r="F304" i="4"/>
  <c r="N304" i="4" s="1"/>
  <c r="F251" i="4"/>
  <c r="N251" i="4" s="1"/>
  <c r="F209" i="4"/>
  <c r="N209" i="4" s="1"/>
  <c r="F487" i="4"/>
  <c r="N487" i="4" s="1"/>
  <c r="F423" i="4"/>
  <c r="N423" i="4" s="1"/>
  <c r="F359" i="4"/>
  <c r="N359" i="4" s="1"/>
  <c r="F295" i="4"/>
  <c r="N295" i="4" s="1"/>
  <c r="F216" i="4"/>
  <c r="N216" i="4" s="1"/>
  <c r="F470" i="4"/>
  <c r="N470" i="4" s="1"/>
  <c r="F406" i="4"/>
  <c r="N406" i="4" s="1"/>
  <c r="F326" i="4"/>
  <c r="N326" i="4" s="1"/>
  <c r="F413" i="4"/>
  <c r="N413" i="4" s="1"/>
  <c r="F317" i="4"/>
  <c r="N317" i="4" s="1"/>
  <c r="F396" i="4"/>
  <c r="N396" i="4" s="1"/>
  <c r="F613" i="4"/>
  <c r="N613" i="4" s="1"/>
  <c r="F605" i="4"/>
  <c r="N605" i="4" s="1"/>
  <c r="F598" i="4"/>
  <c r="N598" i="4" s="1"/>
  <c r="F589" i="4"/>
  <c r="N589" i="4" s="1"/>
  <c r="F581" i="4"/>
  <c r="N581" i="4" s="1"/>
  <c r="F573" i="4"/>
  <c r="N573" i="4" s="1"/>
  <c r="F565" i="4"/>
  <c r="N565" i="4" s="1"/>
  <c r="F557" i="4"/>
  <c r="N557" i="4" s="1"/>
  <c r="F549" i="4"/>
  <c r="N549" i="4" s="1"/>
  <c r="F541" i="4"/>
  <c r="N541" i="4" s="1"/>
  <c r="F533" i="4"/>
  <c r="N533" i="4" s="1"/>
  <c r="F525" i="4"/>
  <c r="N525" i="4" s="1"/>
  <c r="F517" i="4"/>
  <c r="N517" i="4" s="1"/>
  <c r="F509" i="4"/>
  <c r="N509" i="4" s="1"/>
  <c r="F244" i="4"/>
  <c r="N244" i="4" s="1"/>
  <c r="F180" i="4"/>
  <c r="N180" i="4" s="1"/>
  <c r="F466" i="4"/>
  <c r="N466" i="4" s="1"/>
  <c r="F402" i="4"/>
  <c r="N402" i="4" s="1"/>
  <c r="F338" i="4"/>
  <c r="N338" i="4" s="1"/>
  <c r="F274" i="4"/>
  <c r="N274" i="4" s="1"/>
  <c r="F195" i="4"/>
  <c r="N195" i="4" s="1"/>
  <c r="F481" i="4"/>
  <c r="N481" i="4" s="1"/>
  <c r="F417" i="4"/>
  <c r="N417" i="4" s="1"/>
  <c r="F353" i="4"/>
  <c r="N353" i="4" s="1"/>
  <c r="F289" i="4"/>
  <c r="N289" i="4" s="1"/>
  <c r="F266" i="4"/>
  <c r="N266" i="4" s="1"/>
  <c r="F202" i="4"/>
  <c r="N202" i="4" s="1"/>
  <c r="F488" i="4"/>
  <c r="N488" i="4" s="1"/>
  <c r="F424" i="4"/>
  <c r="N424" i="4" s="1"/>
  <c r="F360" i="4"/>
  <c r="N360" i="4" s="1"/>
  <c r="F296" i="4"/>
  <c r="N296" i="4" s="1"/>
  <c r="F265" i="4"/>
  <c r="N265" i="4" s="1"/>
  <c r="F201" i="4"/>
  <c r="N201" i="4" s="1"/>
  <c r="F479" i="4"/>
  <c r="N479" i="4" s="1"/>
  <c r="F415" i="4"/>
  <c r="N415" i="4" s="1"/>
  <c r="F351" i="4"/>
  <c r="N351" i="4" s="1"/>
  <c r="F287" i="4"/>
  <c r="N287" i="4" s="1"/>
  <c r="F208" i="4"/>
  <c r="N208" i="4" s="1"/>
  <c r="F462" i="4"/>
  <c r="N462" i="4" s="1"/>
  <c r="F398" i="4"/>
  <c r="N398" i="4" s="1"/>
  <c r="F318" i="4"/>
  <c r="N318" i="4" s="1"/>
  <c r="F405" i="4"/>
  <c r="N405" i="4" s="1"/>
  <c r="F293" i="4"/>
  <c r="N293" i="4" s="1"/>
  <c r="F388" i="4"/>
  <c r="N388" i="4" s="1"/>
  <c r="F458" i="4"/>
  <c r="N458" i="4" s="1"/>
  <c r="F187" i="4"/>
  <c r="N187" i="4" s="1"/>
  <c r="F345" i="4"/>
  <c r="N345" i="4" s="1"/>
  <c r="F480" i="4"/>
  <c r="N480" i="4" s="1"/>
  <c r="F193" i="4"/>
  <c r="N193" i="4" s="1"/>
  <c r="F279" i="4"/>
  <c r="N279" i="4" s="1"/>
  <c r="F310" i="4"/>
  <c r="N310" i="4" s="1"/>
  <c r="F397" i="4"/>
  <c r="N397" i="4" s="1"/>
  <c r="F380" i="4"/>
  <c r="N380" i="4" s="1"/>
  <c r="F516" i="4"/>
  <c r="N516" i="4" s="1"/>
  <c r="F236" i="4"/>
  <c r="N236" i="4" s="1"/>
  <c r="F116" i="4"/>
  <c r="N116" i="4" s="1"/>
  <c r="F394" i="4"/>
  <c r="N394" i="4" s="1"/>
  <c r="F330" i="4"/>
  <c r="N330" i="4" s="1"/>
  <c r="F263" i="4"/>
  <c r="N263" i="4" s="1"/>
  <c r="F473" i="4"/>
  <c r="N473" i="4" s="1"/>
  <c r="F409" i="4"/>
  <c r="N409" i="4" s="1"/>
  <c r="F281" i="4"/>
  <c r="N281" i="4" s="1"/>
  <c r="F258" i="4"/>
  <c r="N258" i="4" s="1"/>
  <c r="F194" i="4"/>
  <c r="N194" i="4" s="1"/>
  <c r="F416" i="4"/>
  <c r="N416" i="4" s="1"/>
  <c r="F352" i="4"/>
  <c r="N352" i="4" s="1"/>
  <c r="F288" i="4"/>
  <c r="N288" i="4" s="1"/>
  <c r="F257" i="4"/>
  <c r="N257" i="4" s="1"/>
  <c r="F471" i="4"/>
  <c r="N471" i="4" s="1"/>
  <c r="F407" i="4"/>
  <c r="N407" i="4" s="1"/>
  <c r="F343" i="4"/>
  <c r="N343" i="4" s="1"/>
  <c r="F200" i="4"/>
  <c r="N200" i="4" s="1"/>
  <c r="F454" i="4"/>
  <c r="N454" i="4" s="1"/>
  <c r="F390" i="4"/>
  <c r="N390" i="4" s="1"/>
  <c r="F453" i="4"/>
  <c r="N453" i="4" s="1"/>
  <c r="F611" i="4"/>
  <c r="N611" i="4" s="1"/>
  <c r="F603" i="4"/>
  <c r="N603" i="4" s="1"/>
  <c r="F595" i="4"/>
  <c r="N595" i="4" s="1"/>
  <c r="F587" i="4"/>
  <c r="N587" i="4" s="1"/>
  <c r="F579" i="4"/>
  <c r="N579" i="4" s="1"/>
  <c r="F571" i="4"/>
  <c r="N571" i="4" s="1"/>
  <c r="F563" i="4"/>
  <c r="N563" i="4" s="1"/>
  <c r="F555" i="4"/>
  <c r="N555" i="4" s="1"/>
  <c r="F547" i="4"/>
  <c r="N547" i="4" s="1"/>
  <c r="F539" i="4"/>
  <c r="N539" i="4" s="1"/>
  <c r="F531" i="4"/>
  <c r="N531" i="4" s="1"/>
  <c r="F523" i="4"/>
  <c r="N523" i="4" s="1"/>
  <c r="F515" i="4"/>
  <c r="N515" i="4" s="1"/>
  <c r="F507" i="4"/>
  <c r="N507" i="4" s="1"/>
  <c r="F228" i="4"/>
  <c r="N228" i="4" s="1"/>
  <c r="F52" i="4"/>
  <c r="N52" i="4" s="1"/>
  <c r="F450" i="4"/>
  <c r="N450" i="4" s="1"/>
  <c r="F386" i="4"/>
  <c r="N386" i="4" s="1"/>
  <c r="F322" i="4"/>
  <c r="N322" i="4" s="1"/>
  <c r="F243" i="4"/>
  <c r="N243" i="4" s="1"/>
  <c r="F171" i="4"/>
  <c r="N171" i="4" s="1"/>
  <c r="F465" i="4"/>
  <c r="N465" i="4" s="1"/>
  <c r="F401" i="4"/>
  <c r="N401" i="4" s="1"/>
  <c r="F337" i="4"/>
  <c r="N337" i="4" s="1"/>
  <c r="F273" i="4"/>
  <c r="N273" i="4" s="1"/>
  <c r="F250" i="4"/>
  <c r="N250" i="4" s="1"/>
  <c r="F186" i="4"/>
  <c r="N186" i="4" s="1"/>
  <c r="F472" i="4"/>
  <c r="N472" i="4" s="1"/>
  <c r="F408" i="4"/>
  <c r="N408" i="4" s="1"/>
  <c r="F344" i="4"/>
  <c r="N344" i="4" s="1"/>
  <c r="F280" i="4"/>
  <c r="N280" i="4" s="1"/>
  <c r="F249" i="4"/>
  <c r="N249" i="4" s="1"/>
  <c r="F185" i="4"/>
  <c r="N185" i="4" s="1"/>
  <c r="F463" i="4"/>
  <c r="N463" i="4" s="1"/>
  <c r="F399" i="4"/>
  <c r="N399" i="4" s="1"/>
  <c r="F335" i="4"/>
  <c r="N335" i="4" s="1"/>
  <c r="F271" i="4"/>
  <c r="N271" i="4" s="1"/>
  <c r="F24" i="4"/>
  <c r="N24" i="4" s="1"/>
  <c r="F446" i="4"/>
  <c r="N446" i="4" s="1"/>
  <c r="F382" i="4"/>
  <c r="N382" i="4" s="1"/>
  <c r="F270" i="4"/>
  <c r="N270" i="4" s="1"/>
  <c r="F389" i="4"/>
  <c r="N389" i="4" s="1"/>
  <c r="F231" i="4"/>
  <c r="N231" i="4" s="1"/>
  <c r="F444" i="4"/>
  <c r="N444" i="4" s="1"/>
  <c r="F372" i="4"/>
  <c r="N372" i="4" s="1"/>
  <c r="F325" i="4"/>
  <c r="N325" i="4" s="1"/>
  <c r="F214" i="4"/>
  <c r="N214" i="4" s="1"/>
  <c r="F436" i="4"/>
  <c r="N436" i="4" s="1"/>
  <c r="F356" i="4"/>
  <c r="N356" i="4" s="1"/>
  <c r="F500" i="4"/>
  <c r="N500" i="4" s="1"/>
  <c r="F428" i="4"/>
  <c r="N428" i="4" s="1"/>
  <c r="F308" i="4"/>
  <c r="N308" i="4" s="1"/>
  <c r="F341" i="4"/>
  <c r="N341" i="4" s="1"/>
  <c r="F445" i="4"/>
  <c r="N445" i="4" s="1"/>
  <c r="F381" i="4"/>
  <c r="N381" i="4" s="1"/>
  <c r="F309" i="4"/>
  <c r="N309" i="4" s="1"/>
  <c r="F492" i="4"/>
  <c r="N492" i="4" s="1"/>
  <c r="F420" i="4"/>
  <c r="N420" i="4" s="1"/>
  <c r="F284" i="4"/>
  <c r="N284" i="4" s="1"/>
  <c r="F334" i="4"/>
  <c r="N334" i="4" s="1"/>
  <c r="F437" i="4"/>
  <c r="N437" i="4" s="1"/>
  <c r="F373" i="4"/>
  <c r="N373" i="4" s="1"/>
  <c r="F301" i="4"/>
  <c r="N301" i="4" s="1"/>
  <c r="F484" i="4"/>
  <c r="N484" i="4" s="1"/>
  <c r="F404" i="4"/>
  <c r="N404" i="4" s="1"/>
  <c r="F443" i="4"/>
  <c r="N443" i="4" s="1"/>
  <c r="F15" i="24"/>
  <c r="F16" i="24" s="1"/>
  <c r="F348" i="4"/>
  <c r="N348" i="4" s="1"/>
  <c r="F349" i="4"/>
  <c r="N349" i="4" s="1"/>
  <c r="F285" i="4"/>
  <c r="N285" i="4" s="1"/>
  <c r="F476" i="4"/>
  <c r="N476" i="4" s="1"/>
  <c r="F412" i="4"/>
  <c r="N412" i="4" s="1"/>
  <c r="F340" i="4"/>
  <c r="N340" i="4" s="1"/>
  <c r="F363" i="4"/>
  <c r="N363" i="4" s="1"/>
  <c r="F355" i="4"/>
  <c r="N355" i="4" s="1"/>
  <c r="F332" i="4"/>
  <c r="N332" i="4" s="1"/>
  <c r="F315" i="4"/>
  <c r="N315" i="4" s="1"/>
  <c r="F316" i="4"/>
  <c r="N316" i="4" s="1"/>
  <c r="F307" i="4"/>
  <c r="N307" i="4" s="1"/>
  <c r="F364" i="4"/>
  <c r="N364" i="4" s="1"/>
  <c r="F275" i="4"/>
  <c r="N275" i="4" s="1"/>
  <c r="F268" i="4"/>
  <c r="N268" i="4" s="1"/>
  <c r="L10" i="22"/>
  <c r="F221" i="4"/>
  <c r="N221" i="4" s="1"/>
  <c r="F213" i="4"/>
  <c r="N213" i="4" s="1"/>
  <c r="F499" i="4"/>
  <c r="N499" i="4" s="1"/>
  <c r="F491" i="4"/>
  <c r="N491" i="4" s="1"/>
  <c r="F483" i="4"/>
  <c r="N483" i="4" s="1"/>
  <c r="F475" i="4"/>
  <c r="N475" i="4" s="1"/>
  <c r="F459" i="4"/>
  <c r="N459" i="4" s="1"/>
  <c r="F451" i="4"/>
  <c r="N451" i="4" s="1"/>
  <c r="F276" i="4"/>
  <c r="N276" i="4" s="1"/>
  <c r="F324" i="4"/>
  <c r="N324" i="4" s="1"/>
  <c r="F205" i="4"/>
  <c r="N205" i="4" s="1"/>
  <c r="F435" i="4"/>
  <c r="N435" i="4" s="1"/>
  <c r="F427" i="4"/>
  <c r="N427" i="4" s="1"/>
  <c r="F419" i="4"/>
  <c r="N419" i="4" s="1"/>
  <c r="F411" i="4"/>
  <c r="N411" i="4" s="1"/>
  <c r="F395" i="4"/>
  <c r="N395" i="4" s="1"/>
  <c r="F387" i="4"/>
  <c r="N387" i="4" s="1"/>
  <c r="F379" i="4"/>
  <c r="N379" i="4" s="1"/>
  <c r="F371" i="4"/>
  <c r="N371" i="4" s="1"/>
  <c r="F331" i="4"/>
  <c r="N331" i="4" s="1"/>
  <c r="F467" i="4"/>
  <c r="N467" i="4" s="1"/>
  <c r="F403" i="4"/>
  <c r="N403" i="4" s="1"/>
  <c r="F323" i="4"/>
  <c r="N323" i="4" s="1"/>
  <c r="F347" i="4"/>
  <c r="N347" i="4" s="1"/>
  <c r="F283" i="4"/>
  <c r="N283" i="4" s="1"/>
  <c r="F617" i="4"/>
  <c r="N617" i="4" s="1"/>
  <c r="F103" i="4"/>
  <c r="N103" i="4" s="1"/>
  <c r="F164" i="4"/>
  <c r="N164" i="4" s="1"/>
  <c r="F100" i="4"/>
  <c r="N100" i="4" s="1"/>
  <c r="F36" i="4"/>
  <c r="N36" i="4" s="1"/>
  <c r="F155" i="4"/>
  <c r="N155" i="4" s="1"/>
  <c r="F91" i="4"/>
  <c r="N91" i="4" s="1"/>
  <c r="F27" i="4"/>
  <c r="N27" i="4" s="1"/>
  <c r="F146" i="4"/>
  <c r="N146" i="4" s="1"/>
  <c r="F82" i="4"/>
  <c r="N82" i="4" s="1"/>
  <c r="F18" i="4"/>
  <c r="N18" i="4" s="1"/>
  <c r="F97" i="4"/>
  <c r="N97" i="4" s="1"/>
  <c r="F63" i="4"/>
  <c r="N63" i="4" s="1"/>
  <c r="F156" i="4"/>
  <c r="N156" i="4" s="1"/>
  <c r="F92" i="4"/>
  <c r="N92" i="4" s="1"/>
  <c r="F28" i="4"/>
  <c r="N28" i="4" s="1"/>
  <c r="F147" i="4"/>
  <c r="N147" i="4" s="1"/>
  <c r="F83" i="4"/>
  <c r="N83" i="4" s="1"/>
  <c r="F19" i="4"/>
  <c r="N19" i="4" s="1"/>
  <c r="F138" i="4"/>
  <c r="N138" i="4" s="1"/>
  <c r="F74" i="4"/>
  <c r="N74" i="4" s="1"/>
  <c r="F10" i="4"/>
  <c r="N10" i="4" s="1"/>
  <c r="F89" i="4"/>
  <c r="N89" i="4" s="1"/>
  <c r="F148" i="4"/>
  <c r="N148" i="4" s="1"/>
  <c r="F84" i="4"/>
  <c r="N84" i="4" s="1"/>
  <c r="F20" i="4"/>
  <c r="N20" i="4" s="1"/>
  <c r="F139" i="4"/>
  <c r="N139" i="4" s="1"/>
  <c r="F75" i="4"/>
  <c r="N75" i="4" s="1"/>
  <c r="F11" i="4"/>
  <c r="N11" i="4" s="1"/>
  <c r="F130" i="4"/>
  <c r="N130" i="4" s="1"/>
  <c r="F66" i="4"/>
  <c r="N66" i="4" s="1"/>
  <c r="F135" i="4"/>
  <c r="N135" i="4" s="1"/>
  <c r="F177" i="4"/>
  <c r="N177" i="4" s="1"/>
  <c r="F65" i="4"/>
  <c r="N65" i="4" s="1"/>
  <c r="F140" i="4"/>
  <c r="N140" i="4" s="1"/>
  <c r="F76" i="4"/>
  <c r="N76" i="4" s="1"/>
  <c r="F12" i="4"/>
  <c r="N12" i="4" s="1"/>
  <c r="F183" i="4"/>
  <c r="N183" i="4" s="1"/>
  <c r="F131" i="4"/>
  <c r="N131" i="4" s="1"/>
  <c r="F67" i="4"/>
  <c r="N67" i="4" s="1"/>
  <c r="F166" i="4"/>
  <c r="N166" i="4" s="1"/>
  <c r="F122" i="4"/>
  <c r="N122" i="4" s="1"/>
  <c r="F58" i="4"/>
  <c r="N58" i="4" s="1"/>
  <c r="F87" i="4"/>
  <c r="N87" i="4" s="1"/>
  <c r="F161" i="4"/>
  <c r="N161" i="4" s="1"/>
  <c r="F57" i="4"/>
  <c r="N57" i="4" s="1"/>
  <c r="F132" i="4"/>
  <c r="N132" i="4" s="1"/>
  <c r="F68" i="4"/>
  <c r="N68" i="4" s="1"/>
  <c r="F15" i="4"/>
  <c r="N15" i="4" s="1"/>
  <c r="F123" i="4"/>
  <c r="N123" i="4" s="1"/>
  <c r="F59" i="4"/>
  <c r="N59" i="4" s="1"/>
  <c r="F127" i="4"/>
  <c r="N127" i="4" s="1"/>
  <c r="F178" i="4"/>
  <c r="N178" i="4" s="1"/>
  <c r="F114" i="4"/>
  <c r="N114" i="4" s="1"/>
  <c r="F50" i="4"/>
  <c r="N50" i="4" s="1"/>
  <c r="F39" i="4"/>
  <c r="N39" i="4" s="1"/>
  <c r="F153" i="4"/>
  <c r="N153" i="4" s="1"/>
  <c r="F49" i="4"/>
  <c r="N49" i="4" s="1"/>
  <c r="F144" i="4"/>
  <c r="N144" i="4" s="1"/>
  <c r="F124" i="4"/>
  <c r="N124" i="4" s="1"/>
  <c r="F60" i="4"/>
  <c r="N60" i="4" s="1"/>
  <c r="F179" i="4"/>
  <c r="N179" i="4" s="1"/>
  <c r="F115" i="4"/>
  <c r="N115" i="4" s="1"/>
  <c r="F51" i="4"/>
  <c r="N51" i="4" s="1"/>
  <c r="F79" i="4"/>
  <c r="N79" i="4" s="1"/>
  <c r="F170" i="4"/>
  <c r="N170" i="4" s="1"/>
  <c r="F106" i="4"/>
  <c r="N106" i="4" s="1"/>
  <c r="F42" i="4"/>
  <c r="N42" i="4" s="1"/>
  <c r="F129" i="4"/>
  <c r="N129" i="4" s="1"/>
  <c r="F33" i="4"/>
  <c r="N33" i="4" s="1"/>
  <c r="F88" i="4"/>
  <c r="N88" i="4" s="1"/>
  <c r="F151" i="4"/>
  <c r="N151" i="4" s="1"/>
  <c r="F172" i="4"/>
  <c r="N172" i="4" s="1"/>
  <c r="F108" i="4"/>
  <c r="N108" i="4" s="1"/>
  <c r="F44" i="4"/>
  <c r="N44" i="4" s="1"/>
  <c r="F163" i="4"/>
  <c r="N163" i="4" s="1"/>
  <c r="F99" i="4"/>
  <c r="N99" i="4" s="1"/>
  <c r="F35" i="4"/>
  <c r="N35" i="4" s="1"/>
  <c r="F154" i="4"/>
  <c r="N154" i="4" s="1"/>
  <c r="F90" i="4"/>
  <c r="N90" i="4" s="1"/>
  <c r="F26" i="4"/>
  <c r="N26" i="4" s="1"/>
  <c r="F113" i="4"/>
  <c r="N113" i="4" s="1"/>
  <c r="F119" i="4"/>
  <c r="N119" i="4" s="1"/>
  <c r="F136" i="4"/>
  <c r="N136" i="4" s="1"/>
  <c r="F167" i="4"/>
  <c r="N167" i="4" s="1"/>
  <c r="F29" i="4"/>
  <c r="N29" i="4" s="1"/>
  <c r="F21" i="4"/>
  <c r="N21" i="4" s="1"/>
  <c r="F13" i="4"/>
  <c r="N13" i="4" s="1"/>
  <c r="F102" i="4"/>
  <c r="N102" i="4" s="1"/>
  <c r="F38" i="4"/>
  <c r="N38" i="4" s="1"/>
  <c r="F23" i="4"/>
  <c r="N23" i="4" s="1"/>
  <c r="F30" i="4"/>
  <c r="N30" i="4" s="1"/>
  <c r="F22" i="4"/>
  <c r="N22" i="4" s="1"/>
  <c r="F157" i="4"/>
  <c r="N157" i="4" s="1"/>
  <c r="F93" i="4"/>
  <c r="N93" i="4" s="1"/>
  <c r="F169" i="4"/>
  <c r="N169" i="4" s="1"/>
  <c r="F105" i="4"/>
  <c r="N105" i="4" s="1"/>
  <c r="F41" i="4"/>
  <c r="N41" i="4" s="1"/>
  <c r="F80" i="4"/>
  <c r="N80" i="4" s="1"/>
  <c r="F31" i="4"/>
  <c r="N31" i="4" s="1"/>
  <c r="F111" i="4"/>
  <c r="N111" i="4" s="1"/>
  <c r="F158" i="4"/>
  <c r="N158" i="4" s="1"/>
  <c r="F149" i="4"/>
  <c r="N149" i="4" s="1"/>
  <c r="F72" i="4"/>
  <c r="N72" i="4" s="1"/>
  <c r="F71" i="4"/>
  <c r="N71" i="4" s="1"/>
  <c r="F150" i="4"/>
  <c r="N150" i="4" s="1"/>
  <c r="F141" i="4"/>
  <c r="N141" i="4" s="1"/>
  <c r="F145" i="4"/>
  <c r="N145" i="4" s="1"/>
  <c r="F81" i="4"/>
  <c r="N81" i="4" s="1"/>
  <c r="F17" i="4"/>
  <c r="N17" i="4" s="1"/>
  <c r="F175" i="4"/>
  <c r="N175" i="4" s="1"/>
  <c r="F184" i="4"/>
  <c r="N184" i="4" s="1"/>
  <c r="F16" i="4"/>
  <c r="N16" i="4" s="1"/>
  <c r="F94" i="4"/>
  <c r="N94" i="4" s="1"/>
  <c r="F85" i="4"/>
  <c r="N85" i="4" s="1"/>
  <c r="F137" i="4"/>
  <c r="N137" i="4" s="1"/>
  <c r="F73" i="4"/>
  <c r="N73" i="4" s="1"/>
  <c r="F9" i="4"/>
  <c r="N9" i="4" s="1"/>
  <c r="F152" i="4"/>
  <c r="N152" i="4" s="1"/>
  <c r="F8" i="4"/>
  <c r="N8" i="4" s="1"/>
  <c r="F86" i="4"/>
  <c r="N86" i="4" s="1"/>
  <c r="F77" i="4"/>
  <c r="N77" i="4" s="1"/>
  <c r="J15" i="22"/>
  <c r="H15" i="22"/>
  <c r="F223" i="4"/>
  <c r="N223" i="4" s="1"/>
  <c r="F256" i="4"/>
  <c r="N256" i="4" s="1"/>
  <c r="F192" i="4"/>
  <c r="N192" i="4" s="1"/>
  <c r="F128" i="4"/>
  <c r="N128" i="4" s="1"/>
  <c r="F64" i="4"/>
  <c r="N64" i="4" s="1"/>
  <c r="F6" i="4"/>
  <c r="N6" i="4" s="1"/>
  <c r="F277" i="4"/>
  <c r="N277" i="4" s="1"/>
  <c r="F206" i="4"/>
  <c r="N206" i="4" s="1"/>
  <c r="F142" i="4"/>
  <c r="N142" i="4" s="1"/>
  <c r="F78" i="4"/>
  <c r="N78" i="4" s="1"/>
  <c r="F14" i="4"/>
  <c r="N14" i="4" s="1"/>
  <c r="F261" i="4"/>
  <c r="N261" i="4" s="1"/>
  <c r="F197" i="4"/>
  <c r="N197" i="4" s="1"/>
  <c r="F133" i="4"/>
  <c r="N133" i="4" s="1"/>
  <c r="F69" i="4"/>
  <c r="N69" i="4" s="1"/>
  <c r="F5" i="4"/>
  <c r="L12" i="22" s="1"/>
  <c r="F120" i="4"/>
  <c r="N120" i="4" s="1"/>
  <c r="F56" i="4"/>
  <c r="N56" i="4" s="1"/>
  <c r="F303" i="4"/>
  <c r="N303" i="4" s="1"/>
  <c r="F269" i="4"/>
  <c r="N269" i="4" s="1"/>
  <c r="F262" i="4"/>
  <c r="N262" i="4" s="1"/>
  <c r="F198" i="4"/>
  <c r="N198" i="4" s="1"/>
  <c r="F134" i="4"/>
  <c r="N134" i="4" s="1"/>
  <c r="F70" i="4"/>
  <c r="N70" i="4" s="1"/>
  <c r="F7" i="4"/>
  <c r="N7" i="4" s="1"/>
  <c r="F253" i="4"/>
  <c r="N253" i="4" s="1"/>
  <c r="F189" i="4"/>
  <c r="N189" i="4" s="1"/>
  <c r="F125" i="4"/>
  <c r="N125" i="4" s="1"/>
  <c r="F61" i="4"/>
  <c r="N61" i="4" s="1"/>
  <c r="F143" i="4"/>
  <c r="N143" i="4" s="1"/>
  <c r="F240" i="4"/>
  <c r="N240" i="4" s="1"/>
  <c r="F176" i="4"/>
  <c r="N176" i="4" s="1"/>
  <c r="F112" i="4"/>
  <c r="N112" i="4" s="1"/>
  <c r="F48" i="4"/>
  <c r="N48" i="4" s="1"/>
  <c r="F294" i="4"/>
  <c r="N294" i="4" s="1"/>
  <c r="F247" i="4"/>
  <c r="N247" i="4" s="1"/>
  <c r="F254" i="4"/>
  <c r="N254" i="4" s="1"/>
  <c r="F190" i="4"/>
  <c r="N190" i="4" s="1"/>
  <c r="F126" i="4"/>
  <c r="N126" i="4" s="1"/>
  <c r="F62" i="4"/>
  <c r="N62" i="4" s="1"/>
  <c r="F245" i="4"/>
  <c r="N245" i="4" s="1"/>
  <c r="F181" i="4"/>
  <c r="N181" i="4" s="1"/>
  <c r="F117" i="4"/>
  <c r="N117" i="4" s="1"/>
  <c r="F53" i="4"/>
  <c r="N53" i="4" s="1"/>
  <c r="F299" i="4"/>
  <c r="N299" i="4" s="1"/>
  <c r="F95" i="4"/>
  <c r="N95" i="4" s="1"/>
  <c r="F232" i="4"/>
  <c r="N232" i="4" s="1"/>
  <c r="F168" i="4"/>
  <c r="N168" i="4" s="1"/>
  <c r="F104" i="4"/>
  <c r="N104" i="4" s="1"/>
  <c r="F40" i="4"/>
  <c r="N40" i="4" s="1"/>
  <c r="F286" i="4"/>
  <c r="N286" i="4" s="1"/>
  <c r="F207" i="4"/>
  <c r="N207" i="4" s="1"/>
  <c r="F246" i="4"/>
  <c r="N246" i="4" s="1"/>
  <c r="F182" i="4"/>
  <c r="N182" i="4" s="1"/>
  <c r="F118" i="4"/>
  <c r="N118" i="4" s="1"/>
  <c r="F54" i="4"/>
  <c r="N54" i="4" s="1"/>
  <c r="F300" i="4"/>
  <c r="N300" i="4" s="1"/>
  <c r="F237" i="4"/>
  <c r="N237" i="4" s="1"/>
  <c r="F173" i="4"/>
  <c r="N173" i="4" s="1"/>
  <c r="F109" i="4"/>
  <c r="N109" i="4" s="1"/>
  <c r="F45" i="4"/>
  <c r="N45" i="4" s="1"/>
  <c r="F291" i="4"/>
  <c r="N291" i="4" s="1"/>
  <c r="F55" i="4"/>
  <c r="N55" i="4" s="1"/>
  <c r="F224" i="4"/>
  <c r="N224" i="4" s="1"/>
  <c r="F160" i="4"/>
  <c r="N160" i="4" s="1"/>
  <c r="F96" i="4"/>
  <c r="N96" i="4" s="1"/>
  <c r="F32" i="4"/>
  <c r="N32" i="4" s="1"/>
  <c r="F278" i="4"/>
  <c r="N278" i="4" s="1"/>
  <c r="F159" i="4"/>
  <c r="N159" i="4" s="1"/>
  <c r="F238" i="4"/>
  <c r="N238" i="4" s="1"/>
  <c r="F174" i="4"/>
  <c r="N174" i="4" s="1"/>
  <c r="F110" i="4"/>
  <c r="N110" i="4" s="1"/>
  <c r="F46" i="4"/>
  <c r="N46" i="4" s="1"/>
  <c r="F292" i="4"/>
  <c r="N292" i="4" s="1"/>
  <c r="F229" i="4"/>
  <c r="N229" i="4" s="1"/>
  <c r="F165" i="4"/>
  <c r="N165" i="4" s="1"/>
  <c r="F101" i="4"/>
  <c r="N101" i="4" s="1"/>
  <c r="F37" i="4"/>
  <c r="N37" i="4" s="1"/>
  <c r="F16" i="22"/>
  <c r="C37" i="5"/>
  <c r="D620" i="4"/>
  <c r="G620" i="4" s="1"/>
  <c r="P620" i="4"/>
  <c r="I620" i="20" s="1"/>
  <c r="C621" i="4"/>
  <c r="C622" i="4" s="1"/>
  <c r="K613" i="20"/>
  <c r="R614" i="4"/>
  <c r="I619" i="20"/>
  <c r="E619" i="4"/>
  <c r="H619" i="4" s="1"/>
  <c r="I619" i="4" s="1"/>
  <c r="J619" i="4"/>
  <c r="F619" i="4"/>
  <c r="K614" i="4"/>
  <c r="L13" i="22" l="1"/>
  <c r="L14" i="22" s="1"/>
  <c r="L5" i="4"/>
  <c r="L6" i="4" s="1"/>
  <c r="Q5" i="4"/>
  <c r="Q6" i="4" s="1"/>
  <c r="N5" i="4"/>
  <c r="H16" i="22"/>
  <c r="C6" i="20"/>
  <c r="C60" i="5"/>
  <c r="D622" i="4"/>
  <c r="G622" i="4" s="1"/>
  <c r="C623" i="4"/>
  <c r="P622" i="4"/>
  <c r="I622" i="20" s="1"/>
  <c r="N619" i="4"/>
  <c r="K614" i="20"/>
  <c r="R615" i="4"/>
  <c r="D621" i="4"/>
  <c r="G621" i="4" s="1"/>
  <c r="P621" i="4"/>
  <c r="J620" i="4"/>
  <c r="E620" i="4"/>
  <c r="H620" i="4" s="1"/>
  <c r="I620" i="4" s="1"/>
  <c r="F620" i="4"/>
  <c r="K615" i="4"/>
  <c r="L15" i="22" l="1"/>
  <c r="L16" i="22" s="1"/>
  <c r="J5" i="20"/>
  <c r="S5" i="4"/>
  <c r="L5" i="20" s="1"/>
  <c r="J16" i="22"/>
  <c r="J6" i="20"/>
  <c r="Q7" i="4"/>
  <c r="S6" i="4"/>
  <c r="L6" i="20" s="1"/>
  <c r="L7" i="4"/>
  <c r="D623" i="4"/>
  <c r="G623" i="4" s="1"/>
  <c r="C624" i="4"/>
  <c r="P623" i="4"/>
  <c r="I623" i="20" s="1"/>
  <c r="J622" i="4"/>
  <c r="E622" i="4"/>
  <c r="H622" i="4" s="1"/>
  <c r="I622" i="4" s="1"/>
  <c r="F622" i="4"/>
  <c r="N620" i="4"/>
  <c r="I621" i="20"/>
  <c r="J621" i="4"/>
  <c r="E621" i="4"/>
  <c r="H621" i="4" s="1"/>
  <c r="I621" i="4" s="1"/>
  <c r="F621" i="4"/>
  <c r="K615" i="20"/>
  <c r="R616" i="4"/>
  <c r="K616" i="4"/>
  <c r="L8" i="4" l="1"/>
  <c r="S7" i="4"/>
  <c r="L7" i="20" s="1"/>
  <c r="J7" i="20"/>
  <c r="Q8" i="4"/>
  <c r="N622" i="4"/>
  <c r="D624" i="4"/>
  <c r="G624" i="4" s="1"/>
  <c r="P624" i="4"/>
  <c r="C625" i="4"/>
  <c r="E623" i="4"/>
  <c r="H623" i="4" s="1"/>
  <c r="I623" i="4" s="1"/>
  <c r="J623" i="4"/>
  <c r="F623" i="4"/>
  <c r="N621" i="4"/>
  <c r="K616" i="20"/>
  <c r="R617" i="4"/>
  <c r="K617" i="4"/>
  <c r="Q9" i="4" l="1"/>
  <c r="J8" i="20"/>
  <c r="S8" i="4"/>
  <c r="L8" i="20" s="1"/>
  <c r="L9" i="4"/>
  <c r="D625" i="4"/>
  <c r="G625" i="4" s="1"/>
  <c r="P625" i="4"/>
  <c r="I625" i="20" s="1"/>
  <c r="C626" i="4"/>
  <c r="I624" i="20"/>
  <c r="J624" i="4"/>
  <c r="E624" i="4"/>
  <c r="H624" i="4" s="1"/>
  <c r="I624" i="4" s="1"/>
  <c r="F624" i="4"/>
  <c r="N623" i="4"/>
  <c r="K617" i="20"/>
  <c r="R618" i="4"/>
  <c r="K618" i="4"/>
  <c r="L10" i="4" l="1"/>
  <c r="S9" i="4"/>
  <c r="L9" i="20" s="1"/>
  <c r="J9" i="20"/>
  <c r="Q10" i="4"/>
  <c r="D626" i="4"/>
  <c r="G626" i="4" s="1"/>
  <c r="P626" i="4"/>
  <c r="C627" i="4"/>
  <c r="N624" i="4"/>
  <c r="J625" i="4"/>
  <c r="E625" i="4"/>
  <c r="H625" i="4" s="1"/>
  <c r="I625" i="4" s="1"/>
  <c r="F625" i="4"/>
  <c r="K618" i="20"/>
  <c r="R619" i="4"/>
  <c r="K619" i="4"/>
  <c r="J10" i="20" l="1"/>
  <c r="Q11" i="4"/>
  <c r="S10" i="4"/>
  <c r="L10" i="20" s="1"/>
  <c r="L11" i="4"/>
  <c r="D627" i="4"/>
  <c r="G627" i="4" s="1"/>
  <c r="C628" i="4"/>
  <c r="P627" i="4"/>
  <c r="I627" i="20" s="1"/>
  <c r="I626" i="20"/>
  <c r="N625" i="4"/>
  <c r="E626" i="4"/>
  <c r="H626" i="4" s="1"/>
  <c r="I626" i="4" s="1"/>
  <c r="J626" i="4"/>
  <c r="F626" i="4"/>
  <c r="K619" i="20"/>
  <c r="R620" i="4"/>
  <c r="K620" i="4"/>
  <c r="L12" i="4" l="1"/>
  <c r="S11" i="4"/>
  <c r="L11" i="20" s="1"/>
  <c r="Q12" i="4"/>
  <c r="J11" i="20"/>
  <c r="N626" i="4"/>
  <c r="D628" i="4"/>
  <c r="G628" i="4" s="1"/>
  <c r="P628" i="4"/>
  <c r="C629" i="4"/>
  <c r="E627" i="4"/>
  <c r="H627" i="4" s="1"/>
  <c r="I627" i="4" s="1"/>
  <c r="J627" i="4"/>
  <c r="F627" i="4"/>
  <c r="K620" i="20"/>
  <c r="R621" i="4"/>
  <c r="K621" i="4"/>
  <c r="N627" i="4" l="1"/>
  <c r="Q13" i="4"/>
  <c r="J12" i="20"/>
  <c r="L13" i="4"/>
  <c r="S12" i="4"/>
  <c r="L12" i="20" s="1"/>
  <c r="D629" i="4"/>
  <c r="G629" i="4" s="1"/>
  <c r="C630" i="4"/>
  <c r="P629" i="4"/>
  <c r="I629" i="20" s="1"/>
  <c r="K621" i="20"/>
  <c r="R622" i="4"/>
  <c r="I628" i="20"/>
  <c r="E628" i="4"/>
  <c r="H628" i="4" s="1"/>
  <c r="I628" i="4" s="1"/>
  <c r="J628" i="4"/>
  <c r="F628" i="4"/>
  <c r="K622" i="4"/>
  <c r="L14" i="4" l="1"/>
  <c r="S13" i="4"/>
  <c r="L13" i="20" s="1"/>
  <c r="Q14" i="4"/>
  <c r="J13" i="20"/>
  <c r="N628" i="4"/>
  <c r="K622" i="20"/>
  <c r="R623" i="4"/>
  <c r="D630" i="4"/>
  <c r="G630" i="4" s="1"/>
  <c r="C631" i="4"/>
  <c r="P630" i="4"/>
  <c r="J629" i="4"/>
  <c r="E629" i="4"/>
  <c r="H629" i="4" s="1"/>
  <c r="I629" i="4" s="1"/>
  <c r="F629" i="4"/>
  <c r="K623" i="4"/>
  <c r="Q15" i="4" l="1"/>
  <c r="J14" i="20"/>
  <c r="L15" i="4"/>
  <c r="S14" i="4"/>
  <c r="L14" i="20" s="1"/>
  <c r="N629" i="4"/>
  <c r="I630" i="20"/>
  <c r="D631" i="4"/>
  <c r="G631" i="4" s="1"/>
  <c r="P631" i="4"/>
  <c r="I631" i="20" s="1"/>
  <c r="C632" i="4"/>
  <c r="J630" i="4"/>
  <c r="E630" i="4"/>
  <c r="H630" i="4" s="1"/>
  <c r="I630" i="4" s="1"/>
  <c r="F630" i="4"/>
  <c r="K623" i="20"/>
  <c r="R624" i="4"/>
  <c r="K624" i="4"/>
  <c r="L16" i="4" l="1"/>
  <c r="S15" i="4"/>
  <c r="L15" i="20" s="1"/>
  <c r="Q16" i="4"/>
  <c r="J15" i="20"/>
  <c r="N630" i="4"/>
  <c r="D632" i="4"/>
  <c r="G632" i="4" s="1"/>
  <c r="P632" i="4"/>
  <c r="C633" i="4"/>
  <c r="K624" i="20"/>
  <c r="R625" i="4"/>
  <c r="J631" i="4"/>
  <c r="E631" i="4"/>
  <c r="H631" i="4" s="1"/>
  <c r="I631" i="4" s="1"/>
  <c r="F631" i="4"/>
  <c r="K625" i="4"/>
  <c r="J16" i="20" l="1"/>
  <c r="Q17" i="4"/>
  <c r="L17" i="4"/>
  <c r="S16" i="4"/>
  <c r="L16" i="20" s="1"/>
  <c r="N631" i="4"/>
  <c r="D633" i="4"/>
  <c r="G633" i="4" s="1"/>
  <c r="P633" i="4"/>
  <c r="I633" i="20" s="1"/>
  <c r="C634" i="4"/>
  <c r="K625" i="20"/>
  <c r="R626" i="4"/>
  <c r="I632" i="20"/>
  <c r="J632" i="4"/>
  <c r="E632" i="4"/>
  <c r="H632" i="4" s="1"/>
  <c r="I632" i="4" s="1"/>
  <c r="F632" i="4"/>
  <c r="K626" i="4"/>
  <c r="S17" i="4" l="1"/>
  <c r="L17" i="20" s="1"/>
  <c r="L18" i="4"/>
  <c r="Q18" i="4"/>
  <c r="J17" i="20"/>
  <c r="N632" i="4"/>
  <c r="K626" i="20"/>
  <c r="R627" i="4"/>
  <c r="D634" i="4"/>
  <c r="G634" i="4" s="1"/>
  <c r="C635" i="4"/>
  <c r="P634" i="4"/>
  <c r="I634" i="20" s="1"/>
  <c r="J633" i="4"/>
  <c r="E633" i="4"/>
  <c r="H633" i="4" s="1"/>
  <c r="I633" i="4" s="1"/>
  <c r="F633" i="4"/>
  <c r="K627" i="4"/>
  <c r="Q19" i="4" l="1"/>
  <c r="J18" i="20"/>
  <c r="L19" i="4"/>
  <c r="S18" i="4"/>
  <c r="L18" i="20" s="1"/>
  <c r="N633" i="4"/>
  <c r="D635" i="4"/>
  <c r="G635" i="4" s="1"/>
  <c r="C636" i="4"/>
  <c r="P635" i="4"/>
  <c r="I635" i="20" s="1"/>
  <c r="E634" i="4"/>
  <c r="H634" i="4" s="1"/>
  <c r="I634" i="4" s="1"/>
  <c r="J634" i="4"/>
  <c r="F634" i="4"/>
  <c r="K627" i="20"/>
  <c r="R628" i="4"/>
  <c r="K628" i="4"/>
  <c r="N634" i="4" l="1"/>
  <c r="L20" i="4"/>
  <c r="S19" i="4"/>
  <c r="L19" i="20" s="1"/>
  <c r="J19" i="20"/>
  <c r="Q20" i="4"/>
  <c r="K628" i="20"/>
  <c r="R629" i="4"/>
  <c r="D636" i="4"/>
  <c r="G636" i="4" s="1"/>
  <c r="P636" i="4"/>
  <c r="I636" i="20" s="1"/>
  <c r="C637" i="4"/>
  <c r="J635" i="4"/>
  <c r="E635" i="4"/>
  <c r="H635" i="4" s="1"/>
  <c r="I635" i="4" s="1"/>
  <c r="F635" i="4"/>
  <c r="K629" i="4"/>
  <c r="J20" i="20" l="1"/>
  <c r="Q21" i="4"/>
  <c r="L21" i="4"/>
  <c r="S20" i="4"/>
  <c r="L20" i="20" s="1"/>
  <c r="N635" i="4"/>
  <c r="D637" i="4"/>
  <c r="G637" i="4" s="1"/>
  <c r="C638" i="4"/>
  <c r="P637" i="4"/>
  <c r="I637" i="20" s="1"/>
  <c r="E636" i="4"/>
  <c r="H636" i="4" s="1"/>
  <c r="I636" i="4" s="1"/>
  <c r="J636" i="4"/>
  <c r="F636" i="4"/>
  <c r="K629" i="20"/>
  <c r="R630" i="4"/>
  <c r="K630" i="4"/>
  <c r="L22" i="4" l="1"/>
  <c r="S21" i="4"/>
  <c r="L21" i="20" s="1"/>
  <c r="J21" i="20"/>
  <c r="Q22" i="4"/>
  <c r="N636" i="4"/>
  <c r="K630" i="20"/>
  <c r="R631" i="4"/>
  <c r="D638" i="4"/>
  <c r="G638" i="4" s="1"/>
  <c r="C639" i="4"/>
  <c r="P638" i="4"/>
  <c r="I638" i="20" s="1"/>
  <c r="J637" i="4"/>
  <c r="E637" i="4"/>
  <c r="H637" i="4" s="1"/>
  <c r="I637" i="4" s="1"/>
  <c r="F637" i="4"/>
  <c r="K631" i="4"/>
  <c r="J22" i="20" l="1"/>
  <c r="Q23" i="4"/>
  <c r="L23" i="4"/>
  <c r="S22" i="4"/>
  <c r="L22" i="20" s="1"/>
  <c r="N637" i="4"/>
  <c r="D639" i="4"/>
  <c r="G639" i="4" s="1"/>
  <c r="P639" i="4"/>
  <c r="I639" i="20" s="1"/>
  <c r="C640" i="4"/>
  <c r="E638" i="4"/>
  <c r="H638" i="4" s="1"/>
  <c r="I638" i="4" s="1"/>
  <c r="J638" i="4"/>
  <c r="F638" i="4"/>
  <c r="K631" i="20"/>
  <c r="R632" i="4"/>
  <c r="K632" i="4"/>
  <c r="N638" i="4" l="1"/>
  <c r="L24" i="4"/>
  <c r="S23" i="4"/>
  <c r="L23" i="20" s="1"/>
  <c r="Q24" i="4"/>
  <c r="J23" i="20"/>
  <c r="D640" i="4"/>
  <c r="G640" i="4" s="1"/>
  <c r="P640" i="4"/>
  <c r="I640" i="20" s="1"/>
  <c r="C641" i="4"/>
  <c r="K632" i="20"/>
  <c r="R633" i="4"/>
  <c r="J639" i="4"/>
  <c r="E639" i="4"/>
  <c r="H639" i="4" s="1"/>
  <c r="I639" i="4" s="1"/>
  <c r="F639" i="4"/>
  <c r="K633" i="4"/>
  <c r="J24" i="20" l="1"/>
  <c r="Q25" i="4"/>
  <c r="L25" i="4"/>
  <c r="S24" i="4"/>
  <c r="L24" i="20" s="1"/>
  <c r="D641" i="4"/>
  <c r="G641" i="4" s="1"/>
  <c r="C642" i="4"/>
  <c r="P641" i="4"/>
  <c r="I641" i="20" s="1"/>
  <c r="K633" i="20"/>
  <c r="R634" i="4"/>
  <c r="N639" i="4"/>
  <c r="E640" i="4"/>
  <c r="H640" i="4" s="1"/>
  <c r="I640" i="4" s="1"/>
  <c r="J640" i="4"/>
  <c r="F640" i="4"/>
  <c r="K634" i="4"/>
  <c r="L26" i="4" l="1"/>
  <c r="S25" i="4"/>
  <c r="L25" i="20" s="1"/>
  <c r="J25" i="20"/>
  <c r="Q26" i="4"/>
  <c r="N640" i="4"/>
  <c r="K634" i="20"/>
  <c r="R635" i="4"/>
  <c r="D642" i="4"/>
  <c r="G642" i="4" s="1"/>
  <c r="C643" i="4"/>
  <c r="P642" i="4"/>
  <c r="I642" i="20" s="1"/>
  <c r="J641" i="4"/>
  <c r="E641" i="4"/>
  <c r="H641" i="4" s="1"/>
  <c r="I641" i="4" s="1"/>
  <c r="F641" i="4"/>
  <c r="K635" i="4"/>
  <c r="J26" i="20" l="1"/>
  <c r="Q27" i="4"/>
  <c r="L27" i="4"/>
  <c r="S26" i="4"/>
  <c r="L26" i="20" s="1"/>
  <c r="N641" i="4"/>
  <c r="E642" i="4"/>
  <c r="H642" i="4" s="1"/>
  <c r="I642" i="4" s="1"/>
  <c r="J642" i="4"/>
  <c r="F642" i="4"/>
  <c r="D643" i="4"/>
  <c r="G643" i="4" s="1"/>
  <c r="P643" i="4"/>
  <c r="I643" i="20" s="1"/>
  <c r="C644" i="4"/>
  <c r="K635" i="20"/>
  <c r="R636" i="4"/>
  <c r="K636" i="4"/>
  <c r="N642" i="4" l="1"/>
  <c r="S27" i="4"/>
  <c r="L27" i="20" s="1"/>
  <c r="L28" i="4"/>
  <c r="J27" i="20"/>
  <c r="Q28" i="4"/>
  <c r="D644" i="4"/>
  <c r="G644" i="4" s="1"/>
  <c r="P644" i="4"/>
  <c r="I644" i="20" s="1"/>
  <c r="C645" i="4"/>
  <c r="J643" i="4"/>
  <c r="E643" i="4"/>
  <c r="H643" i="4" s="1"/>
  <c r="I643" i="4" s="1"/>
  <c r="F643" i="4"/>
  <c r="K636" i="20"/>
  <c r="R637" i="4"/>
  <c r="K637" i="4"/>
  <c r="J28" i="20" l="1"/>
  <c r="Q29" i="4"/>
  <c r="L29" i="4"/>
  <c r="S28" i="4"/>
  <c r="L28" i="20" s="1"/>
  <c r="N643" i="4"/>
  <c r="D645" i="4"/>
  <c r="G645" i="4" s="1"/>
  <c r="P645" i="4"/>
  <c r="I645" i="20" s="1"/>
  <c r="C646" i="4"/>
  <c r="K637" i="20"/>
  <c r="R638" i="4"/>
  <c r="J644" i="4"/>
  <c r="E644" i="4"/>
  <c r="H644" i="4" s="1"/>
  <c r="I644" i="4" s="1"/>
  <c r="F644" i="4"/>
  <c r="K638" i="4"/>
  <c r="L30" i="4" l="1"/>
  <c r="L31" i="4" s="1"/>
  <c r="S29" i="4"/>
  <c r="L29" i="20" s="1"/>
  <c r="Q30" i="4"/>
  <c r="J29" i="20"/>
  <c r="N644" i="4"/>
  <c r="D646" i="4"/>
  <c r="G646" i="4" s="1"/>
  <c r="C647" i="4"/>
  <c r="P646" i="4"/>
  <c r="I646" i="20" s="1"/>
  <c r="K638" i="20"/>
  <c r="R639" i="4"/>
  <c r="J645" i="4"/>
  <c r="E645" i="4"/>
  <c r="H645" i="4" s="1"/>
  <c r="I645" i="4" s="1"/>
  <c r="F645" i="4"/>
  <c r="K639" i="4"/>
  <c r="S30" i="4" l="1"/>
  <c r="L30" i="20" s="1"/>
  <c r="J30" i="20"/>
  <c r="Q31" i="4"/>
  <c r="S31" i="4" s="1"/>
  <c r="L31" i="20" s="1"/>
  <c r="L32" i="4"/>
  <c r="L33" i="4" s="1"/>
  <c r="L34" i="4" s="1"/>
  <c r="L35" i="4" s="1"/>
  <c r="L36" i="4" s="1"/>
  <c r="N645" i="4"/>
  <c r="K639" i="20"/>
  <c r="R640" i="4"/>
  <c r="D647" i="4"/>
  <c r="G647" i="4" s="1"/>
  <c r="P647" i="4"/>
  <c r="I647" i="20" s="1"/>
  <c r="C648" i="4"/>
  <c r="J646" i="4"/>
  <c r="E646" i="4"/>
  <c r="H646" i="4" s="1"/>
  <c r="I646" i="4" s="1"/>
  <c r="F646" i="4"/>
  <c r="K640" i="4"/>
  <c r="L37" i="4" l="1"/>
  <c r="L38" i="4" s="1"/>
  <c r="Q32" i="4"/>
  <c r="J31" i="20"/>
  <c r="N646" i="4"/>
  <c r="D648" i="4"/>
  <c r="G648" i="4" s="1"/>
  <c r="P648" i="4"/>
  <c r="I648" i="20" s="1"/>
  <c r="C649" i="4"/>
  <c r="J647" i="4"/>
  <c r="E647" i="4"/>
  <c r="H647" i="4" s="1"/>
  <c r="I647" i="4" s="1"/>
  <c r="F647" i="4"/>
  <c r="K640" i="20"/>
  <c r="R641" i="4"/>
  <c r="K641" i="4"/>
  <c r="S32" i="4" l="1"/>
  <c r="L32" i="20" s="1"/>
  <c r="J32" i="20"/>
  <c r="Q33" i="4"/>
  <c r="L39" i="4"/>
  <c r="N647" i="4"/>
  <c r="K641" i="20"/>
  <c r="R642" i="4"/>
  <c r="D649" i="4"/>
  <c r="G649" i="4" s="1"/>
  <c r="P649" i="4"/>
  <c r="I649" i="20" s="1"/>
  <c r="C650" i="4"/>
  <c r="J648" i="4"/>
  <c r="E648" i="4"/>
  <c r="H648" i="4" s="1"/>
  <c r="I648" i="4" s="1"/>
  <c r="F648" i="4"/>
  <c r="K642" i="4"/>
  <c r="L40" i="4" l="1"/>
  <c r="S33" i="4"/>
  <c r="L33" i="20" s="1"/>
  <c r="Q34" i="4"/>
  <c r="J33" i="20"/>
  <c r="N648" i="4"/>
  <c r="D650" i="4"/>
  <c r="G650" i="4" s="1"/>
  <c r="C651" i="4"/>
  <c r="P650" i="4"/>
  <c r="I650" i="20" s="1"/>
  <c r="E649" i="4"/>
  <c r="H649" i="4" s="1"/>
  <c r="I649" i="4" s="1"/>
  <c r="J649" i="4"/>
  <c r="F649" i="4"/>
  <c r="K642" i="20"/>
  <c r="R643" i="4"/>
  <c r="K643" i="4"/>
  <c r="N649" i="4" l="1"/>
  <c r="S34" i="4"/>
  <c r="L34" i="20" s="1"/>
  <c r="J34" i="20"/>
  <c r="Q35" i="4"/>
  <c r="L41" i="4"/>
  <c r="D651" i="4"/>
  <c r="G651" i="4" s="1"/>
  <c r="P651" i="4"/>
  <c r="I651" i="20" s="1"/>
  <c r="C652" i="4"/>
  <c r="K643" i="20"/>
  <c r="R644" i="4"/>
  <c r="E650" i="4"/>
  <c r="H650" i="4" s="1"/>
  <c r="I650" i="4" s="1"/>
  <c r="J650" i="4"/>
  <c r="F650" i="4"/>
  <c r="K644" i="4"/>
  <c r="L42" i="4" l="1"/>
  <c r="S35" i="4"/>
  <c r="L35" i="20" s="1"/>
  <c r="Q36" i="4"/>
  <c r="J35" i="20"/>
  <c r="D652" i="4"/>
  <c r="G652" i="4" s="1"/>
  <c r="P652" i="4"/>
  <c r="I652" i="20" s="1"/>
  <c r="C653" i="4"/>
  <c r="K644" i="20"/>
  <c r="R645" i="4"/>
  <c r="N650" i="4"/>
  <c r="J651" i="4"/>
  <c r="E651" i="4"/>
  <c r="H651" i="4" s="1"/>
  <c r="I651" i="4" s="1"/>
  <c r="F651" i="4"/>
  <c r="K645" i="4"/>
  <c r="Q37" i="4" l="1"/>
  <c r="J36" i="20"/>
  <c r="S36" i="4"/>
  <c r="L36" i="20" s="1"/>
  <c r="L43" i="4"/>
  <c r="N651" i="4"/>
  <c r="D653" i="4"/>
  <c r="G653" i="4" s="1"/>
  <c r="P653" i="4"/>
  <c r="I653" i="20" s="1"/>
  <c r="C654" i="4"/>
  <c r="K645" i="20"/>
  <c r="R646" i="4"/>
  <c r="J652" i="4"/>
  <c r="E652" i="4"/>
  <c r="H652" i="4" s="1"/>
  <c r="I652" i="4" s="1"/>
  <c r="F652" i="4"/>
  <c r="K646" i="4"/>
  <c r="L44" i="4" l="1"/>
  <c r="S37" i="4"/>
  <c r="L37" i="20" s="1"/>
  <c r="J37" i="20"/>
  <c r="Q38" i="4"/>
  <c r="N652" i="4"/>
  <c r="D654" i="4"/>
  <c r="G654" i="4" s="1"/>
  <c r="P654" i="4"/>
  <c r="I654" i="20" s="1"/>
  <c r="C655" i="4"/>
  <c r="K646" i="20"/>
  <c r="R647" i="4"/>
  <c r="J653" i="4"/>
  <c r="E653" i="4"/>
  <c r="H653" i="4" s="1"/>
  <c r="I653" i="4" s="1"/>
  <c r="F653" i="4"/>
  <c r="K647" i="4"/>
  <c r="Q39" i="4" l="1"/>
  <c r="J38" i="20"/>
  <c r="S38" i="4"/>
  <c r="L38" i="20" s="1"/>
  <c r="L45" i="4"/>
  <c r="N653" i="4"/>
  <c r="K647" i="20"/>
  <c r="R648" i="4"/>
  <c r="D655" i="4"/>
  <c r="G655" i="4" s="1"/>
  <c r="C656" i="4"/>
  <c r="P655" i="4"/>
  <c r="I655" i="20" s="1"/>
  <c r="E654" i="4"/>
  <c r="H654" i="4" s="1"/>
  <c r="I654" i="4" s="1"/>
  <c r="J654" i="4"/>
  <c r="F654" i="4"/>
  <c r="K648" i="4"/>
  <c r="L46" i="4" l="1"/>
  <c r="J39" i="20"/>
  <c r="Q40" i="4"/>
  <c r="S39" i="4"/>
  <c r="L39" i="20" s="1"/>
  <c r="D656" i="4"/>
  <c r="G656" i="4" s="1"/>
  <c r="C657" i="4"/>
  <c r="P656" i="4"/>
  <c r="I656" i="20" s="1"/>
  <c r="E655" i="4"/>
  <c r="H655" i="4" s="1"/>
  <c r="I655" i="4" s="1"/>
  <c r="J655" i="4"/>
  <c r="F655" i="4"/>
  <c r="N654" i="4"/>
  <c r="K648" i="20"/>
  <c r="R649" i="4"/>
  <c r="K649" i="4"/>
  <c r="N655" i="4" l="1"/>
  <c r="Q41" i="4"/>
  <c r="J40" i="20"/>
  <c r="S40" i="4"/>
  <c r="L40" i="20" s="1"/>
  <c r="L47" i="4"/>
  <c r="D657" i="4"/>
  <c r="G657" i="4" s="1"/>
  <c r="C658" i="4"/>
  <c r="P657" i="4"/>
  <c r="I657" i="20" s="1"/>
  <c r="K649" i="20"/>
  <c r="R650" i="4"/>
  <c r="J656" i="4"/>
  <c r="E656" i="4"/>
  <c r="H656" i="4" s="1"/>
  <c r="I656" i="4" s="1"/>
  <c r="F656" i="4"/>
  <c r="K650" i="4"/>
  <c r="L48" i="4" l="1"/>
  <c r="Q42" i="4"/>
  <c r="J41" i="20"/>
  <c r="S41" i="4"/>
  <c r="L41" i="20" s="1"/>
  <c r="N656" i="4"/>
  <c r="K650" i="20"/>
  <c r="R651" i="4"/>
  <c r="D658" i="4"/>
  <c r="G658" i="4" s="1"/>
  <c r="C659" i="4"/>
  <c r="P658" i="4"/>
  <c r="I658" i="20" s="1"/>
  <c r="J657" i="4"/>
  <c r="E657" i="4"/>
  <c r="H657" i="4" s="1"/>
  <c r="I657" i="4" s="1"/>
  <c r="F657" i="4"/>
  <c r="K651" i="4"/>
  <c r="J42" i="20" l="1"/>
  <c r="Q43" i="4"/>
  <c r="S42" i="4"/>
  <c r="L42" i="20" s="1"/>
  <c r="L49" i="4"/>
  <c r="N657" i="4"/>
  <c r="D659" i="4"/>
  <c r="G659" i="4" s="1"/>
  <c r="P659" i="4"/>
  <c r="I659" i="20" s="1"/>
  <c r="C660" i="4"/>
  <c r="J658" i="4"/>
  <c r="E658" i="4"/>
  <c r="H658" i="4" s="1"/>
  <c r="I658" i="4" s="1"/>
  <c r="F658" i="4"/>
  <c r="K651" i="20"/>
  <c r="R652" i="4"/>
  <c r="K652" i="4"/>
  <c r="L50" i="4" l="1"/>
  <c r="Q44" i="4"/>
  <c r="J43" i="20"/>
  <c r="S43" i="4"/>
  <c r="L43" i="20" s="1"/>
  <c r="N658" i="4"/>
  <c r="D660" i="4"/>
  <c r="G660" i="4" s="1"/>
  <c r="P660" i="4"/>
  <c r="I660" i="20" s="1"/>
  <c r="C661" i="4"/>
  <c r="K652" i="20"/>
  <c r="R653" i="4"/>
  <c r="E659" i="4"/>
  <c r="H659" i="4" s="1"/>
  <c r="I659" i="4" s="1"/>
  <c r="J659" i="4"/>
  <c r="F659" i="4"/>
  <c r="K653" i="4"/>
  <c r="J44" i="20" l="1"/>
  <c r="Q45" i="4"/>
  <c r="S44" i="4"/>
  <c r="L44" i="20" s="1"/>
  <c r="L51" i="4"/>
  <c r="K653" i="20"/>
  <c r="R654" i="4"/>
  <c r="D661" i="4"/>
  <c r="G661" i="4" s="1"/>
  <c r="P661" i="4"/>
  <c r="I661" i="20" s="1"/>
  <c r="C662" i="4"/>
  <c r="L27" i="5" s="1"/>
  <c r="B5" i="20" s="1"/>
  <c r="N659" i="4"/>
  <c r="J660" i="4"/>
  <c r="E660" i="4"/>
  <c r="H660" i="4" s="1"/>
  <c r="I660" i="4" s="1"/>
  <c r="F660" i="4"/>
  <c r="K654" i="4"/>
  <c r="L52" i="4" l="1"/>
  <c r="J45" i="20"/>
  <c r="Q46" i="4"/>
  <c r="S45" i="4"/>
  <c r="L45" i="20" s="1"/>
  <c r="N660" i="4"/>
  <c r="D662" i="4"/>
  <c r="G662" i="4" s="1"/>
  <c r="C663" i="4"/>
  <c r="P662" i="4"/>
  <c r="I662" i="20" s="1"/>
  <c r="J661" i="4"/>
  <c r="E661" i="4"/>
  <c r="H661" i="4" s="1"/>
  <c r="I661" i="4" s="1"/>
  <c r="F661" i="4"/>
  <c r="K654" i="20"/>
  <c r="R655" i="4"/>
  <c r="K655" i="4"/>
  <c r="Q47" i="4" l="1"/>
  <c r="J46" i="20"/>
  <c r="S46" i="4"/>
  <c r="L46" i="20" s="1"/>
  <c r="L53" i="4"/>
  <c r="N661" i="4"/>
  <c r="D663" i="4"/>
  <c r="G663" i="4" s="1"/>
  <c r="C664" i="4"/>
  <c r="P663" i="4"/>
  <c r="I663" i="20" s="1"/>
  <c r="K655" i="20"/>
  <c r="R656" i="4"/>
  <c r="E662" i="4"/>
  <c r="H662" i="4" s="1"/>
  <c r="I662" i="4" s="1"/>
  <c r="J662" i="4"/>
  <c r="F662" i="4"/>
  <c r="K656" i="4"/>
  <c r="L54" i="4" l="1"/>
  <c r="J47" i="20"/>
  <c r="Q48" i="4"/>
  <c r="S47" i="4"/>
  <c r="L47" i="20" s="1"/>
  <c r="D664" i="4"/>
  <c r="G664" i="4" s="1"/>
  <c r="C665" i="4"/>
  <c r="P664" i="4"/>
  <c r="I664" i="20" s="1"/>
  <c r="K656" i="20"/>
  <c r="R657" i="4"/>
  <c r="N662" i="4"/>
  <c r="E663" i="4"/>
  <c r="H663" i="4" s="1"/>
  <c r="I663" i="4" s="1"/>
  <c r="J663" i="4"/>
  <c r="F663" i="4"/>
  <c r="K657" i="4"/>
  <c r="Q49" i="4" l="1"/>
  <c r="J48" i="20"/>
  <c r="S48" i="4"/>
  <c r="L48" i="20" s="1"/>
  <c r="L55" i="4"/>
  <c r="N663" i="4"/>
  <c r="K657" i="20"/>
  <c r="R658" i="4"/>
  <c r="D665" i="4"/>
  <c r="G665" i="4" s="1"/>
  <c r="P665" i="4"/>
  <c r="I665" i="20" s="1"/>
  <c r="C666" i="4"/>
  <c r="E664" i="4"/>
  <c r="H664" i="4" s="1"/>
  <c r="I664" i="4" s="1"/>
  <c r="J664" i="4"/>
  <c r="F664" i="4"/>
  <c r="K658" i="4"/>
  <c r="L56" i="4" l="1"/>
  <c r="Q50" i="4"/>
  <c r="J49" i="20"/>
  <c r="S49" i="4"/>
  <c r="L49" i="20" s="1"/>
  <c r="J665" i="4"/>
  <c r="E665" i="4"/>
  <c r="H665" i="4" s="1"/>
  <c r="I665" i="4" s="1"/>
  <c r="F665" i="4"/>
  <c r="D666" i="4"/>
  <c r="G666" i="4" s="1"/>
  <c r="P666" i="4"/>
  <c r="I666" i="20" s="1"/>
  <c r="C667" i="4"/>
  <c r="N664" i="4"/>
  <c r="K658" i="20"/>
  <c r="R659" i="4"/>
  <c r="K659" i="4"/>
  <c r="J50" i="20" l="1"/>
  <c r="Q51" i="4"/>
  <c r="S50" i="4"/>
  <c r="L50" i="20" s="1"/>
  <c r="L57" i="4"/>
  <c r="N665" i="4"/>
  <c r="D667" i="4"/>
  <c r="G667" i="4" s="1"/>
  <c r="P667" i="4"/>
  <c r="I667" i="20" s="1"/>
  <c r="C668" i="4"/>
  <c r="E666" i="4"/>
  <c r="H666" i="4" s="1"/>
  <c r="I666" i="4" s="1"/>
  <c r="J666" i="4"/>
  <c r="F666" i="4"/>
  <c r="K659" i="20"/>
  <c r="R660" i="4"/>
  <c r="K660" i="4"/>
  <c r="N666" i="4" l="1"/>
  <c r="L58" i="4"/>
  <c r="J51" i="20"/>
  <c r="Q52" i="4"/>
  <c r="S51" i="4"/>
  <c r="L51" i="20" s="1"/>
  <c r="D668" i="4"/>
  <c r="G668" i="4" s="1"/>
  <c r="C669" i="4"/>
  <c r="P668" i="4"/>
  <c r="I668" i="20" s="1"/>
  <c r="K660" i="20"/>
  <c r="R661" i="4"/>
  <c r="E667" i="4"/>
  <c r="H667" i="4" s="1"/>
  <c r="I667" i="4" s="1"/>
  <c r="J667" i="4"/>
  <c r="F667" i="4"/>
  <c r="K661" i="4"/>
  <c r="J52" i="20" l="1"/>
  <c r="Q53" i="4"/>
  <c r="S52" i="4"/>
  <c r="L52" i="20" s="1"/>
  <c r="L59" i="4"/>
  <c r="K661" i="20"/>
  <c r="R662" i="4"/>
  <c r="D669" i="4"/>
  <c r="G669" i="4" s="1"/>
  <c r="P669" i="4"/>
  <c r="I669" i="20" s="1"/>
  <c r="C670" i="4"/>
  <c r="N667" i="4"/>
  <c r="J668" i="4"/>
  <c r="E668" i="4"/>
  <c r="H668" i="4" s="1"/>
  <c r="I668" i="4" s="1"/>
  <c r="F668" i="4"/>
  <c r="K662" i="4"/>
  <c r="J14" i="2" s="1"/>
  <c r="J19" i="2" l="1"/>
  <c r="L32" i="5" s="1"/>
  <c r="L60" i="4"/>
  <c r="Q54" i="4"/>
  <c r="J53" i="20"/>
  <c r="S53" i="4"/>
  <c r="L53" i="20" s="1"/>
  <c r="N668" i="4"/>
  <c r="D670" i="4"/>
  <c r="G670" i="4" s="1"/>
  <c r="C671" i="4"/>
  <c r="P670" i="4"/>
  <c r="I670" i="20" s="1"/>
  <c r="J669" i="4"/>
  <c r="E669" i="4"/>
  <c r="H669" i="4" s="1"/>
  <c r="I669" i="4" s="1"/>
  <c r="F669" i="4"/>
  <c r="K662" i="20"/>
  <c r="R663" i="4"/>
  <c r="K663" i="4"/>
  <c r="M32" i="5" l="1"/>
  <c r="M33" i="5" s="1"/>
  <c r="M34" i="5" s="1"/>
  <c r="M41" i="5" s="1"/>
  <c r="M50" i="5" s="1"/>
  <c r="L33" i="5"/>
  <c r="L34" i="5" s="1"/>
  <c r="Z5" i="4"/>
  <c r="J54" i="20"/>
  <c r="Q55" i="4"/>
  <c r="S54" i="4"/>
  <c r="L54" i="20" s="1"/>
  <c r="L61" i="4"/>
  <c r="M42" i="5"/>
  <c r="N669" i="4"/>
  <c r="D671" i="4"/>
  <c r="G671" i="4" s="1"/>
  <c r="C672" i="4"/>
  <c r="P671" i="4"/>
  <c r="I671" i="20" s="1"/>
  <c r="K663" i="20"/>
  <c r="R664" i="4"/>
  <c r="J670" i="4"/>
  <c r="E670" i="4"/>
  <c r="H670" i="4" s="1"/>
  <c r="I670" i="4" s="1"/>
  <c r="F670" i="4"/>
  <c r="K664" i="4"/>
  <c r="M45" i="5" l="1"/>
  <c r="M46" i="5"/>
  <c r="M43" i="5"/>
  <c r="L62" i="4"/>
  <c r="J55" i="20"/>
  <c r="Q56" i="4"/>
  <c r="S55" i="4"/>
  <c r="L55" i="20" s="1"/>
  <c r="N670" i="4"/>
  <c r="K664" i="20"/>
  <c r="R665" i="4"/>
  <c r="D672" i="4"/>
  <c r="G672" i="4" s="1"/>
  <c r="C673" i="4"/>
  <c r="P672" i="4"/>
  <c r="I672" i="20" s="1"/>
  <c r="J671" i="4"/>
  <c r="E671" i="4"/>
  <c r="H671" i="4" s="1"/>
  <c r="I671" i="4" s="1"/>
  <c r="F671" i="4"/>
  <c r="K665" i="4"/>
  <c r="J56" i="20" l="1"/>
  <c r="Q57" i="4"/>
  <c r="S56" i="4"/>
  <c r="L56" i="20" s="1"/>
  <c r="L63" i="4"/>
  <c r="N671" i="4"/>
  <c r="D673" i="4"/>
  <c r="G673" i="4" s="1"/>
  <c r="P673" i="4"/>
  <c r="I673" i="20" s="1"/>
  <c r="C674" i="4"/>
  <c r="J672" i="4"/>
  <c r="E672" i="4"/>
  <c r="H672" i="4" s="1"/>
  <c r="I672" i="4" s="1"/>
  <c r="F672" i="4"/>
  <c r="K665" i="20"/>
  <c r="R666" i="4"/>
  <c r="K666" i="4"/>
  <c r="L64" i="4" l="1"/>
  <c r="J57" i="20"/>
  <c r="Q58" i="4"/>
  <c r="S57" i="4"/>
  <c r="L57" i="20" s="1"/>
  <c r="N672" i="4"/>
  <c r="D674" i="4"/>
  <c r="G674" i="4" s="1"/>
  <c r="C675" i="4"/>
  <c r="P674" i="4"/>
  <c r="I674" i="20" s="1"/>
  <c r="K666" i="20"/>
  <c r="R667" i="4"/>
  <c r="J673" i="4"/>
  <c r="E673" i="4"/>
  <c r="H673" i="4" s="1"/>
  <c r="I673" i="4" s="1"/>
  <c r="F673" i="4"/>
  <c r="K667" i="4"/>
  <c r="J58" i="20" l="1"/>
  <c r="Q59" i="4"/>
  <c r="S58" i="4"/>
  <c r="L58" i="20" s="1"/>
  <c r="L65" i="4"/>
  <c r="N673" i="4"/>
  <c r="K667" i="20"/>
  <c r="R668" i="4"/>
  <c r="D675" i="4"/>
  <c r="G675" i="4" s="1"/>
  <c r="C676" i="4"/>
  <c r="P675" i="4"/>
  <c r="I675" i="20" s="1"/>
  <c r="E674" i="4"/>
  <c r="H674" i="4" s="1"/>
  <c r="I674" i="4" s="1"/>
  <c r="J674" i="4"/>
  <c r="F674" i="4"/>
  <c r="K668" i="4"/>
  <c r="L66" i="4" l="1"/>
  <c r="Q60" i="4"/>
  <c r="J59" i="20"/>
  <c r="S59" i="4"/>
  <c r="L59" i="20" s="1"/>
  <c r="J675" i="4"/>
  <c r="E675" i="4"/>
  <c r="H675" i="4" s="1"/>
  <c r="I675" i="4" s="1"/>
  <c r="F675" i="4"/>
  <c r="D676" i="4"/>
  <c r="G676" i="4" s="1"/>
  <c r="C677" i="4"/>
  <c r="P676" i="4"/>
  <c r="I676" i="20" s="1"/>
  <c r="N674" i="4"/>
  <c r="K668" i="20"/>
  <c r="R669" i="4"/>
  <c r="K669" i="4"/>
  <c r="J60" i="20" l="1"/>
  <c r="Q61" i="4"/>
  <c r="S60" i="4"/>
  <c r="L60" i="20" s="1"/>
  <c r="L67" i="4"/>
  <c r="N675" i="4"/>
  <c r="D677" i="4"/>
  <c r="G677" i="4" s="1"/>
  <c r="P677" i="4"/>
  <c r="I677" i="20" s="1"/>
  <c r="C678" i="4"/>
  <c r="J676" i="4"/>
  <c r="E676" i="4"/>
  <c r="H676" i="4" s="1"/>
  <c r="I676" i="4" s="1"/>
  <c r="F676" i="4"/>
  <c r="K669" i="20"/>
  <c r="R670" i="4"/>
  <c r="K670" i="4"/>
  <c r="L68" i="4" l="1"/>
  <c r="J61" i="20"/>
  <c r="Q62" i="4"/>
  <c r="S61" i="4"/>
  <c r="L61" i="20" s="1"/>
  <c r="N676" i="4"/>
  <c r="D678" i="4"/>
  <c r="G678" i="4" s="1"/>
  <c r="P678" i="4"/>
  <c r="I678" i="20" s="1"/>
  <c r="C679" i="4"/>
  <c r="K670" i="20"/>
  <c r="R671" i="4"/>
  <c r="E677" i="4"/>
  <c r="H677" i="4" s="1"/>
  <c r="I677" i="4" s="1"/>
  <c r="J677" i="4"/>
  <c r="F677" i="4"/>
  <c r="K671" i="4"/>
  <c r="Q63" i="4" l="1"/>
  <c r="J62" i="20"/>
  <c r="S62" i="4"/>
  <c r="L62" i="20" s="1"/>
  <c r="L69" i="4"/>
  <c r="K671" i="20"/>
  <c r="R672" i="4"/>
  <c r="D679" i="4"/>
  <c r="G679" i="4" s="1"/>
  <c r="C680" i="4"/>
  <c r="P679" i="4"/>
  <c r="I679" i="20" s="1"/>
  <c r="N677" i="4"/>
  <c r="E678" i="4"/>
  <c r="H678" i="4" s="1"/>
  <c r="I678" i="4" s="1"/>
  <c r="J678" i="4"/>
  <c r="F678" i="4"/>
  <c r="K672" i="4"/>
  <c r="L70" i="4" l="1"/>
  <c r="J63" i="20"/>
  <c r="Q64" i="4"/>
  <c r="S63" i="4"/>
  <c r="L63" i="20" s="1"/>
  <c r="N678" i="4"/>
  <c r="D680" i="4"/>
  <c r="G680" i="4" s="1"/>
  <c r="C681" i="4"/>
  <c r="P680" i="4"/>
  <c r="I680" i="20" s="1"/>
  <c r="J679" i="4"/>
  <c r="E679" i="4"/>
  <c r="H679" i="4" s="1"/>
  <c r="I679" i="4" s="1"/>
  <c r="F679" i="4"/>
  <c r="K672" i="20"/>
  <c r="R673" i="4"/>
  <c r="K673" i="4"/>
  <c r="Q65" i="4" l="1"/>
  <c r="J64" i="20"/>
  <c r="S64" i="4"/>
  <c r="L64" i="20" s="1"/>
  <c r="L71" i="4"/>
  <c r="N679" i="4"/>
  <c r="K673" i="20"/>
  <c r="R674" i="4"/>
  <c r="D681" i="4"/>
  <c r="G681" i="4" s="1"/>
  <c r="C682" i="4"/>
  <c r="P681" i="4"/>
  <c r="I681" i="20" s="1"/>
  <c r="J680" i="4"/>
  <c r="E680" i="4"/>
  <c r="H680" i="4" s="1"/>
  <c r="I680" i="4" s="1"/>
  <c r="F680" i="4"/>
  <c r="K674" i="4"/>
  <c r="L72" i="4" l="1"/>
  <c r="J65" i="20"/>
  <c r="Q66" i="4"/>
  <c r="S65" i="4"/>
  <c r="L65" i="20" s="1"/>
  <c r="N680" i="4"/>
  <c r="D682" i="4"/>
  <c r="G682" i="4" s="1"/>
  <c r="C683" i="4"/>
  <c r="P682" i="4"/>
  <c r="I682" i="20" s="1"/>
  <c r="J681" i="4"/>
  <c r="E681" i="4"/>
  <c r="H681" i="4" s="1"/>
  <c r="I681" i="4" s="1"/>
  <c r="F681" i="4"/>
  <c r="K674" i="20"/>
  <c r="R675" i="4"/>
  <c r="K675" i="4"/>
  <c r="Q67" i="4" l="1"/>
  <c r="J66" i="20"/>
  <c r="S66" i="4"/>
  <c r="L66" i="20" s="1"/>
  <c r="L73" i="4"/>
  <c r="N681" i="4"/>
  <c r="K675" i="20"/>
  <c r="R676" i="4"/>
  <c r="D683" i="4"/>
  <c r="G683" i="4" s="1"/>
  <c r="C684" i="4"/>
  <c r="P683" i="4"/>
  <c r="I683" i="20" s="1"/>
  <c r="J682" i="4"/>
  <c r="E682" i="4"/>
  <c r="H682" i="4" s="1"/>
  <c r="I682" i="4" s="1"/>
  <c r="F682" i="4"/>
  <c r="K676" i="4"/>
  <c r="L74" i="4" l="1"/>
  <c r="Q68" i="4"/>
  <c r="J67" i="20"/>
  <c r="S67" i="4"/>
  <c r="L67" i="20" s="1"/>
  <c r="N682" i="4"/>
  <c r="D684" i="4"/>
  <c r="G684" i="4" s="1"/>
  <c r="C685" i="4"/>
  <c r="P684" i="4"/>
  <c r="I684" i="20" s="1"/>
  <c r="E683" i="4"/>
  <c r="H683" i="4" s="1"/>
  <c r="I683" i="4" s="1"/>
  <c r="J683" i="4"/>
  <c r="F683" i="4"/>
  <c r="K676" i="20"/>
  <c r="R677" i="4"/>
  <c r="K677" i="4"/>
  <c r="N683" i="4" l="1"/>
  <c r="Q69" i="4"/>
  <c r="J68" i="20"/>
  <c r="S68" i="4"/>
  <c r="L68" i="20" s="1"/>
  <c r="L75" i="4"/>
  <c r="D685" i="4"/>
  <c r="G685" i="4" s="1"/>
  <c r="C686" i="4"/>
  <c r="P685" i="4"/>
  <c r="I685" i="20" s="1"/>
  <c r="K677" i="20"/>
  <c r="R678" i="4"/>
  <c r="E684" i="4"/>
  <c r="H684" i="4" s="1"/>
  <c r="I684" i="4" s="1"/>
  <c r="J684" i="4"/>
  <c r="F684" i="4"/>
  <c r="K678" i="4"/>
  <c r="L76" i="4" l="1"/>
  <c r="Q70" i="4"/>
  <c r="J69" i="20"/>
  <c r="S69" i="4"/>
  <c r="L69" i="20" s="1"/>
  <c r="D686" i="4"/>
  <c r="G686" i="4" s="1"/>
  <c r="P686" i="4"/>
  <c r="I686" i="20" s="1"/>
  <c r="C687" i="4"/>
  <c r="K678" i="20"/>
  <c r="R679" i="4"/>
  <c r="N684" i="4"/>
  <c r="J685" i="4"/>
  <c r="E685" i="4"/>
  <c r="H685" i="4" s="1"/>
  <c r="I685" i="4" s="1"/>
  <c r="F685" i="4"/>
  <c r="K679" i="4"/>
  <c r="Q71" i="4" l="1"/>
  <c r="J70" i="20"/>
  <c r="S70" i="4"/>
  <c r="L70" i="20" s="1"/>
  <c r="L77" i="4"/>
  <c r="N685" i="4"/>
  <c r="D687" i="4"/>
  <c r="G687" i="4" s="1"/>
  <c r="P687" i="4"/>
  <c r="I687" i="20" s="1"/>
  <c r="C688" i="4"/>
  <c r="K679" i="20"/>
  <c r="R680" i="4"/>
  <c r="E686" i="4"/>
  <c r="H686" i="4" s="1"/>
  <c r="I686" i="4" s="1"/>
  <c r="J686" i="4"/>
  <c r="F686" i="4"/>
  <c r="K680" i="4"/>
  <c r="L78" i="4" l="1"/>
  <c r="J71" i="20"/>
  <c r="Q72" i="4"/>
  <c r="S71" i="4"/>
  <c r="L71" i="20" s="1"/>
  <c r="D688" i="4"/>
  <c r="G688" i="4" s="1"/>
  <c r="C689" i="4"/>
  <c r="P688" i="4"/>
  <c r="I688" i="20" s="1"/>
  <c r="K680" i="20"/>
  <c r="R681" i="4"/>
  <c r="N686" i="4"/>
  <c r="J687" i="4"/>
  <c r="E687" i="4"/>
  <c r="H687" i="4" s="1"/>
  <c r="I687" i="4" s="1"/>
  <c r="F687" i="4"/>
  <c r="K681" i="4"/>
  <c r="J72" i="20" l="1"/>
  <c r="Q73" i="4"/>
  <c r="S72" i="4"/>
  <c r="L72" i="20" s="1"/>
  <c r="L79" i="4"/>
  <c r="N687" i="4"/>
  <c r="K681" i="20"/>
  <c r="R682" i="4"/>
  <c r="D689" i="4"/>
  <c r="G689" i="4" s="1"/>
  <c r="C690" i="4"/>
  <c r="P689" i="4"/>
  <c r="I689" i="20" s="1"/>
  <c r="J688" i="4"/>
  <c r="E688" i="4"/>
  <c r="H688" i="4" s="1"/>
  <c r="I688" i="4" s="1"/>
  <c r="F688" i="4"/>
  <c r="K682" i="4"/>
  <c r="L80" i="4" l="1"/>
  <c r="J73" i="20"/>
  <c r="Q74" i="4"/>
  <c r="S73" i="4"/>
  <c r="L73" i="20" s="1"/>
  <c r="N688" i="4"/>
  <c r="D690" i="4"/>
  <c r="G690" i="4" s="1"/>
  <c r="P690" i="4"/>
  <c r="I690" i="20" s="1"/>
  <c r="C691" i="4"/>
  <c r="E689" i="4"/>
  <c r="H689" i="4" s="1"/>
  <c r="I689" i="4" s="1"/>
  <c r="J689" i="4"/>
  <c r="F689" i="4"/>
  <c r="K682" i="20"/>
  <c r="R683" i="4"/>
  <c r="K683" i="4"/>
  <c r="N689" i="4" l="1"/>
  <c r="J74" i="20"/>
  <c r="Q75" i="4"/>
  <c r="S74" i="4"/>
  <c r="L74" i="20" s="1"/>
  <c r="L81" i="4"/>
  <c r="D691" i="4"/>
  <c r="G691" i="4" s="1"/>
  <c r="C692" i="4"/>
  <c r="P691" i="4"/>
  <c r="I691" i="20" s="1"/>
  <c r="K683" i="20"/>
  <c r="R684" i="4"/>
  <c r="E690" i="4"/>
  <c r="H690" i="4" s="1"/>
  <c r="I690" i="4" s="1"/>
  <c r="J690" i="4"/>
  <c r="F690" i="4"/>
  <c r="K684" i="4"/>
  <c r="L82" i="4" l="1"/>
  <c r="Q76" i="4"/>
  <c r="J75" i="20"/>
  <c r="S75" i="4"/>
  <c r="L75" i="20" s="1"/>
  <c r="D692" i="4"/>
  <c r="G692" i="4" s="1"/>
  <c r="C693" i="4"/>
  <c r="P692" i="4"/>
  <c r="I692" i="20" s="1"/>
  <c r="N690" i="4"/>
  <c r="K684" i="20"/>
  <c r="R685" i="4"/>
  <c r="J691" i="4"/>
  <c r="E691" i="4"/>
  <c r="H691" i="4" s="1"/>
  <c r="I691" i="4" s="1"/>
  <c r="F691" i="4"/>
  <c r="K685" i="4"/>
  <c r="Q77" i="4" l="1"/>
  <c r="J76" i="20"/>
  <c r="S76" i="4"/>
  <c r="L76" i="20" s="1"/>
  <c r="L83" i="4"/>
  <c r="K685" i="20"/>
  <c r="R686" i="4"/>
  <c r="N691" i="4"/>
  <c r="D693" i="4"/>
  <c r="G693" i="4" s="1"/>
  <c r="C694" i="4"/>
  <c r="P693" i="4"/>
  <c r="I693" i="20" s="1"/>
  <c r="J692" i="4"/>
  <c r="E692" i="4"/>
  <c r="H692" i="4" s="1"/>
  <c r="I692" i="4" s="1"/>
  <c r="F692" i="4"/>
  <c r="K686" i="4"/>
  <c r="L84" i="4" l="1"/>
  <c r="Q78" i="4"/>
  <c r="J77" i="20"/>
  <c r="S77" i="4"/>
  <c r="L77" i="20" s="1"/>
  <c r="D694" i="4"/>
  <c r="G694" i="4" s="1"/>
  <c r="C695" i="4"/>
  <c r="P694" i="4"/>
  <c r="I694" i="20" s="1"/>
  <c r="J693" i="4"/>
  <c r="E693" i="4"/>
  <c r="H693" i="4" s="1"/>
  <c r="I693" i="4" s="1"/>
  <c r="F693" i="4"/>
  <c r="N692" i="4"/>
  <c r="K686" i="20"/>
  <c r="R687" i="4"/>
  <c r="K687" i="4"/>
  <c r="J78" i="20" l="1"/>
  <c r="Q79" i="4"/>
  <c r="S78" i="4"/>
  <c r="L78" i="20" s="1"/>
  <c r="L85" i="4"/>
  <c r="N693" i="4"/>
  <c r="K687" i="20"/>
  <c r="R688" i="4"/>
  <c r="D695" i="4"/>
  <c r="G695" i="4" s="1"/>
  <c r="C696" i="4"/>
  <c r="P695" i="4"/>
  <c r="I695" i="20" s="1"/>
  <c r="E694" i="4"/>
  <c r="H694" i="4" s="1"/>
  <c r="I694" i="4" s="1"/>
  <c r="J694" i="4"/>
  <c r="F694" i="4"/>
  <c r="K688" i="4"/>
  <c r="L86" i="4" l="1"/>
  <c r="J79" i="20"/>
  <c r="Q80" i="4"/>
  <c r="S79" i="4"/>
  <c r="L79" i="20" s="1"/>
  <c r="D696" i="4"/>
  <c r="G696" i="4" s="1"/>
  <c r="C697" i="4"/>
  <c r="P696" i="4"/>
  <c r="I696" i="20" s="1"/>
  <c r="J695" i="4"/>
  <c r="E695" i="4"/>
  <c r="H695" i="4" s="1"/>
  <c r="I695" i="4" s="1"/>
  <c r="F695" i="4"/>
  <c r="K688" i="20"/>
  <c r="R689" i="4"/>
  <c r="N694" i="4"/>
  <c r="K689" i="4"/>
  <c r="Q81" i="4" l="1"/>
  <c r="J80" i="20"/>
  <c r="S80" i="4"/>
  <c r="L80" i="20" s="1"/>
  <c r="L87" i="4"/>
  <c r="N695" i="4"/>
  <c r="K689" i="20"/>
  <c r="R690" i="4"/>
  <c r="D697" i="4"/>
  <c r="G697" i="4" s="1"/>
  <c r="P697" i="4"/>
  <c r="I697" i="20" s="1"/>
  <c r="C698" i="4"/>
  <c r="J696" i="4"/>
  <c r="E696" i="4"/>
  <c r="H696" i="4" s="1"/>
  <c r="I696" i="4" s="1"/>
  <c r="F696" i="4"/>
  <c r="K690" i="4"/>
  <c r="L88" i="4" l="1"/>
  <c r="J81" i="20"/>
  <c r="Q82" i="4"/>
  <c r="S81" i="4"/>
  <c r="L81" i="20" s="1"/>
  <c r="N696" i="4"/>
  <c r="D698" i="4"/>
  <c r="G698" i="4" s="1"/>
  <c r="P698" i="4"/>
  <c r="I698" i="20" s="1"/>
  <c r="C699" i="4"/>
  <c r="J697" i="4"/>
  <c r="E697" i="4"/>
  <c r="H697" i="4" s="1"/>
  <c r="I697" i="4" s="1"/>
  <c r="F697" i="4"/>
  <c r="K690" i="20"/>
  <c r="R691" i="4"/>
  <c r="K691" i="4"/>
  <c r="Q83" i="4" l="1"/>
  <c r="J82" i="20"/>
  <c r="S82" i="4"/>
  <c r="L82" i="20" s="1"/>
  <c r="L89" i="4"/>
  <c r="N697" i="4"/>
  <c r="D699" i="4"/>
  <c r="G699" i="4" s="1"/>
  <c r="C700" i="4"/>
  <c r="P699" i="4"/>
  <c r="I699" i="20" s="1"/>
  <c r="K691" i="20"/>
  <c r="R692" i="4"/>
  <c r="E698" i="4"/>
  <c r="H698" i="4" s="1"/>
  <c r="I698" i="4" s="1"/>
  <c r="J698" i="4"/>
  <c r="F698" i="4"/>
  <c r="K692" i="4"/>
  <c r="L90" i="4" l="1"/>
  <c r="J83" i="20"/>
  <c r="Q84" i="4"/>
  <c r="S83" i="4"/>
  <c r="L83" i="20" s="1"/>
  <c r="D700" i="4"/>
  <c r="G700" i="4" s="1"/>
  <c r="P700" i="4"/>
  <c r="K692" i="20"/>
  <c r="R693" i="4"/>
  <c r="N698" i="4"/>
  <c r="J699" i="4"/>
  <c r="E699" i="4"/>
  <c r="H699" i="4" s="1"/>
  <c r="I699" i="4" s="1"/>
  <c r="F699" i="4"/>
  <c r="K693" i="4"/>
  <c r="Q85" i="4" l="1"/>
  <c r="J84" i="20"/>
  <c r="S84" i="4"/>
  <c r="L84" i="20" s="1"/>
  <c r="L91" i="4"/>
  <c r="N699" i="4"/>
  <c r="K693" i="20"/>
  <c r="R694" i="4"/>
  <c r="I700" i="20"/>
  <c r="U5" i="4"/>
  <c r="K49" i="5"/>
  <c r="M51" i="5" s="1"/>
  <c r="J700" i="4"/>
  <c r="E700" i="4"/>
  <c r="H700" i="4" s="1"/>
  <c r="I700" i="4" s="1"/>
  <c r="F700" i="4"/>
  <c r="K694" i="4"/>
  <c r="M52" i="5" l="1"/>
  <c r="M55" i="5"/>
  <c r="M54" i="5"/>
  <c r="L92" i="4"/>
  <c r="Q86" i="4"/>
  <c r="J85" i="20"/>
  <c r="S85" i="4"/>
  <c r="L85" i="20" s="1"/>
  <c r="N5" i="20"/>
  <c r="N700" i="4"/>
  <c r="K694" i="20"/>
  <c r="R695" i="4"/>
  <c r="K695" i="4"/>
  <c r="Q87" i="4" l="1"/>
  <c r="J86" i="20"/>
  <c r="S86" i="4"/>
  <c r="L86" i="20" s="1"/>
  <c r="L93" i="4"/>
  <c r="K695" i="20"/>
  <c r="R696" i="4"/>
  <c r="K696" i="4"/>
  <c r="L94" i="4" l="1"/>
  <c r="J87" i="20"/>
  <c r="Q88" i="4"/>
  <c r="S87" i="4"/>
  <c r="L87" i="20" s="1"/>
  <c r="K696" i="20"/>
  <c r="R697" i="4"/>
  <c r="K697" i="4"/>
  <c r="Q89" i="4" l="1"/>
  <c r="J88" i="20"/>
  <c r="S88" i="4"/>
  <c r="L88" i="20" s="1"/>
  <c r="L95" i="4"/>
  <c r="K697" i="20"/>
  <c r="R698" i="4"/>
  <c r="K698" i="4"/>
  <c r="L96" i="4" l="1"/>
  <c r="Q90" i="4"/>
  <c r="J89" i="20"/>
  <c r="S89" i="4"/>
  <c r="L89" i="20" s="1"/>
  <c r="K698" i="20"/>
  <c r="R699" i="4"/>
  <c r="K699" i="4"/>
  <c r="Q91" i="4" l="1"/>
  <c r="J90" i="20"/>
  <c r="S90" i="4"/>
  <c r="L90" i="20" s="1"/>
  <c r="L97" i="4"/>
  <c r="K699" i="20"/>
  <c r="R700" i="4"/>
  <c r="K700" i="20" s="1"/>
  <c r="K700" i="4"/>
  <c r="W5" i="4" s="1"/>
  <c r="W6" i="4" s="1"/>
  <c r="Z6" i="4" s="1"/>
  <c r="W7" i="4" s="1"/>
  <c r="Z7" i="4" s="1"/>
  <c r="W8" i="4" s="1"/>
  <c r="Z8" i="4" s="1"/>
  <c r="W9" i="4" s="1"/>
  <c r="Z9" i="4" s="1"/>
  <c r="W10" i="4" s="1"/>
  <c r="Z10" i="4" s="1"/>
  <c r="W11" i="4" s="1"/>
  <c r="Z11" i="4" s="1"/>
  <c r="W12" i="4" s="1"/>
  <c r="Z12" i="4" s="1"/>
  <c r="W13" i="4" s="1"/>
  <c r="Z13" i="4" s="1"/>
  <c r="W14" i="4" s="1"/>
  <c r="Z14" i="4" s="1"/>
  <c r="W15" i="4" s="1"/>
  <c r="Z15" i="4" s="1"/>
  <c r="W16" i="4" s="1"/>
  <c r="Z16" i="4" s="1"/>
  <c r="W17" i="4" s="1"/>
  <c r="Z17" i="4" s="1"/>
  <c r="W18" i="4" s="1"/>
  <c r="Z18" i="4" s="1"/>
  <c r="W19" i="4" s="1"/>
  <c r="Z19" i="4" s="1"/>
  <c r="W20" i="4" s="1"/>
  <c r="Z20" i="4" s="1"/>
  <c r="W21" i="4" s="1"/>
  <c r="Z21" i="4" s="1"/>
  <c r="W22" i="4" s="1"/>
  <c r="Z22" i="4" s="1"/>
  <c r="W23" i="4" s="1"/>
  <c r="Z23" i="4" s="1"/>
  <c r="W24" i="4" s="1"/>
  <c r="Z24" i="4" s="1"/>
  <c r="W25" i="4" s="1"/>
  <c r="Z25" i="4" s="1"/>
  <c r="W26" i="4" s="1"/>
  <c r="Z26" i="4" s="1"/>
  <c r="W27" i="4" s="1"/>
  <c r="Z27" i="4" s="1"/>
  <c r="W28" i="4" s="1"/>
  <c r="Z28" i="4" s="1"/>
  <c r="W29" i="4" s="1"/>
  <c r="Z29" i="4" s="1"/>
  <c r="W30" i="4" s="1"/>
  <c r="Z30" i="4" s="1"/>
  <c r="W31" i="4" s="1"/>
  <c r="Z31" i="4" s="1"/>
  <c r="W32" i="4" s="1"/>
  <c r="Z32" i="4" s="1"/>
  <c r="W33" i="4" s="1"/>
  <c r="Z33" i="4" s="1"/>
  <c r="W34" i="4" s="1"/>
  <c r="Z34" i="4" s="1"/>
  <c r="W35" i="4" s="1"/>
  <c r="Z35" i="4" s="1"/>
  <c r="W36" i="4" s="1"/>
  <c r="Z36" i="4" s="1"/>
  <c r="W37" i="4" s="1"/>
  <c r="Z37" i="4" s="1"/>
  <c r="W38" i="4" s="1"/>
  <c r="Z38" i="4" s="1"/>
  <c r="W39" i="4" s="1"/>
  <c r="Z39" i="4" s="1"/>
  <c r="W40" i="4" s="1"/>
  <c r="Z40" i="4" s="1"/>
  <c r="W41" i="4" s="1"/>
  <c r="Z41" i="4" s="1"/>
  <c r="W42" i="4" s="1"/>
  <c r="Z42" i="4" s="1"/>
  <c r="W43" i="4" s="1"/>
  <c r="Z43" i="4" s="1"/>
  <c r="W44" i="4" s="1"/>
  <c r="Z44" i="4" s="1"/>
  <c r="W45" i="4" s="1"/>
  <c r="Z45" i="4" s="1"/>
  <c r="W46" i="4" s="1"/>
  <c r="Z46" i="4" s="1"/>
  <c r="W47" i="4" s="1"/>
  <c r="Z47" i="4" s="1"/>
  <c r="W48" i="4" s="1"/>
  <c r="Z48" i="4" s="1"/>
  <c r="W49" i="4" s="1"/>
  <c r="Z49" i="4" s="1"/>
  <c r="W50" i="4" s="1"/>
  <c r="Z50" i="4" s="1"/>
  <c r="W51" i="4" s="1"/>
  <c r="Z51" i="4" s="1"/>
  <c r="W52" i="4" s="1"/>
  <c r="Z52" i="4" s="1"/>
  <c r="W53" i="4" s="1"/>
  <c r="Z53" i="4" s="1"/>
  <c r="W54" i="4" s="1"/>
  <c r="Z54" i="4" s="1"/>
  <c r="W55" i="4" s="1"/>
  <c r="Z55" i="4" s="1"/>
  <c r="W56" i="4" s="1"/>
  <c r="Z56" i="4" s="1"/>
  <c r="W57" i="4" s="1"/>
  <c r="Z57" i="4" s="1"/>
  <c r="W58" i="4" s="1"/>
  <c r="Z58" i="4" s="1"/>
  <c r="W59" i="4" s="1"/>
  <c r="Z59" i="4" s="1"/>
  <c r="W60" i="4" s="1"/>
  <c r="Z60" i="4" s="1"/>
  <c r="W61" i="4" s="1"/>
  <c r="Z61" i="4" s="1"/>
  <c r="W62" i="4" s="1"/>
  <c r="Z62" i="4" s="1"/>
  <c r="W63" i="4" s="1"/>
  <c r="Z63" i="4" s="1"/>
  <c r="W64" i="4" s="1"/>
  <c r="Z64" i="4" s="1"/>
  <c r="W65" i="4" s="1"/>
  <c r="Z65" i="4" s="1"/>
  <c r="W66" i="4" s="1"/>
  <c r="Z66" i="4" s="1"/>
  <c r="W67" i="4" s="1"/>
  <c r="Z67" i="4" s="1"/>
  <c r="W68" i="4" s="1"/>
  <c r="Z68" i="4" s="1"/>
  <c r="W69" i="4" s="1"/>
  <c r="Z69" i="4" s="1"/>
  <c r="W70" i="4" s="1"/>
  <c r="Z70" i="4" s="1"/>
  <c r="W71" i="4" s="1"/>
  <c r="Z71" i="4" s="1"/>
  <c r="W72" i="4" s="1"/>
  <c r="Z72" i="4" s="1"/>
  <c r="W73" i="4" s="1"/>
  <c r="Z73" i="4" s="1"/>
  <c r="W74" i="4" s="1"/>
  <c r="Z74" i="4" s="1"/>
  <c r="W75" i="4" s="1"/>
  <c r="Z75" i="4" s="1"/>
  <c r="W76" i="4" s="1"/>
  <c r="Z76" i="4" s="1"/>
  <c r="W77" i="4" s="1"/>
  <c r="Z77" i="4" s="1"/>
  <c r="W78" i="4" s="1"/>
  <c r="Z78" i="4" s="1"/>
  <c r="W79" i="4" s="1"/>
  <c r="Z79" i="4" s="1"/>
  <c r="W80" i="4" s="1"/>
  <c r="Z80" i="4" s="1"/>
  <c r="W81" i="4" s="1"/>
  <c r="Z81" i="4" s="1"/>
  <c r="W82" i="4" s="1"/>
  <c r="Z82" i="4" s="1"/>
  <c r="W83" i="4" s="1"/>
  <c r="Z83" i="4" s="1"/>
  <c r="W84" i="4" s="1"/>
  <c r="Z84" i="4" s="1"/>
  <c r="W85" i="4" s="1"/>
  <c r="Z85" i="4" s="1"/>
  <c r="W86" i="4" s="1"/>
  <c r="Z86" i="4" s="1"/>
  <c r="W87" i="4" s="1"/>
  <c r="Z87" i="4" s="1"/>
  <c r="W88" i="4" s="1"/>
  <c r="Z88" i="4" s="1"/>
  <c r="W89" i="4" s="1"/>
  <c r="Z89" i="4" s="1"/>
  <c r="W90" i="4" s="1"/>
  <c r="Z90" i="4" s="1"/>
  <c r="W91" i="4" s="1"/>
  <c r="Z91" i="4" s="1"/>
  <c r="W92" i="4" s="1"/>
  <c r="Z92" i="4" s="1"/>
  <c r="W93" i="4" s="1"/>
  <c r="Z93" i="4" s="1"/>
  <c r="W94" i="4" s="1"/>
  <c r="Z94" i="4" s="1"/>
  <c r="W95" i="4" s="1"/>
  <c r="Z95" i="4" s="1"/>
  <c r="W96" i="4" s="1"/>
  <c r="Z96" i="4" s="1"/>
  <c r="W97" i="4" s="1"/>
  <c r="Z97" i="4" s="1"/>
  <c r="W98" i="4" s="1"/>
  <c r="Z98" i="4" s="1"/>
  <c r="W99" i="4" s="1"/>
  <c r="Z99" i="4" s="1"/>
  <c r="W100" i="4" s="1"/>
  <c r="Z100" i="4" s="1"/>
  <c r="W101" i="4" s="1"/>
  <c r="Z101" i="4" s="1"/>
  <c r="W102" i="4" s="1"/>
  <c r="Z102" i="4" s="1"/>
  <c r="W103" i="4" s="1"/>
  <c r="Z103" i="4" s="1"/>
  <c r="W104" i="4" s="1"/>
  <c r="Z104" i="4" s="1"/>
  <c r="W105" i="4" s="1"/>
  <c r="Z105" i="4" s="1"/>
  <c r="W106" i="4" s="1"/>
  <c r="Z106" i="4" s="1"/>
  <c r="W107" i="4" s="1"/>
  <c r="Z107" i="4" s="1"/>
  <c r="W108" i="4" s="1"/>
  <c r="Z108" i="4" s="1"/>
  <c r="W109" i="4" s="1"/>
  <c r="Z109" i="4" s="1"/>
  <c r="W110" i="4" s="1"/>
  <c r="Z110" i="4" s="1"/>
  <c r="W111" i="4" s="1"/>
  <c r="Z111" i="4" s="1"/>
  <c r="W112" i="4" s="1"/>
  <c r="Z112" i="4" s="1"/>
  <c r="W113" i="4" s="1"/>
  <c r="Z113" i="4" s="1"/>
  <c r="W114" i="4" s="1"/>
  <c r="Z114" i="4" s="1"/>
  <c r="W115" i="4" s="1"/>
  <c r="Z115" i="4" s="1"/>
  <c r="W116" i="4" s="1"/>
  <c r="Z116" i="4" s="1"/>
  <c r="W117" i="4" s="1"/>
  <c r="Z117" i="4" s="1"/>
  <c r="W118" i="4" s="1"/>
  <c r="Z118" i="4" s="1"/>
  <c r="W119" i="4" s="1"/>
  <c r="Z119" i="4" s="1"/>
  <c r="W120" i="4" s="1"/>
  <c r="Z120" i="4" s="1"/>
  <c r="W121" i="4" s="1"/>
  <c r="Z121" i="4" s="1"/>
  <c r="W122" i="4" s="1"/>
  <c r="Z122" i="4" s="1"/>
  <c r="W123" i="4" s="1"/>
  <c r="Z123" i="4" s="1"/>
  <c r="W124" i="4" s="1"/>
  <c r="Z124" i="4" s="1"/>
  <c r="W125" i="4" s="1"/>
  <c r="Z125" i="4" s="1"/>
  <c r="W126" i="4" s="1"/>
  <c r="Z126" i="4" s="1"/>
  <c r="W127" i="4" s="1"/>
  <c r="Z127" i="4" s="1"/>
  <c r="W128" i="4" s="1"/>
  <c r="Z128" i="4" s="1"/>
  <c r="W129" i="4" s="1"/>
  <c r="Z129" i="4" s="1"/>
  <c r="W130" i="4" s="1"/>
  <c r="Z130" i="4" s="1"/>
  <c r="W131" i="4" s="1"/>
  <c r="Z131" i="4" s="1"/>
  <c r="W132" i="4" s="1"/>
  <c r="Z132" i="4" s="1"/>
  <c r="W133" i="4" s="1"/>
  <c r="Z133" i="4" s="1"/>
  <c r="W134" i="4" s="1"/>
  <c r="Z134" i="4" s="1"/>
  <c r="W135" i="4" s="1"/>
  <c r="Z135" i="4" s="1"/>
  <c r="W136" i="4" s="1"/>
  <c r="Z136" i="4" s="1"/>
  <c r="W137" i="4" s="1"/>
  <c r="Z137" i="4" s="1"/>
  <c r="W138" i="4" s="1"/>
  <c r="Z138" i="4" s="1"/>
  <c r="W139" i="4" s="1"/>
  <c r="Z139" i="4" s="1"/>
  <c r="W140" i="4" s="1"/>
  <c r="Z140" i="4" s="1"/>
  <c r="W141" i="4" s="1"/>
  <c r="Z141" i="4" s="1"/>
  <c r="W142" i="4" s="1"/>
  <c r="Z142" i="4" s="1"/>
  <c r="W143" i="4" s="1"/>
  <c r="Z143" i="4" s="1"/>
  <c r="W144" i="4" s="1"/>
  <c r="Z144" i="4" s="1"/>
  <c r="W145" i="4" s="1"/>
  <c r="Z145" i="4" s="1"/>
  <c r="W146" i="4" s="1"/>
  <c r="Z146" i="4" s="1"/>
  <c r="W147" i="4" s="1"/>
  <c r="Z147" i="4" s="1"/>
  <c r="W148" i="4" s="1"/>
  <c r="Z148" i="4" s="1"/>
  <c r="W149" i="4" s="1"/>
  <c r="Z149" i="4" s="1"/>
  <c r="W150" i="4" s="1"/>
  <c r="Z150" i="4" s="1"/>
  <c r="W151" i="4" s="1"/>
  <c r="Z151" i="4" s="1"/>
  <c r="W152" i="4" s="1"/>
  <c r="Z152" i="4" s="1"/>
  <c r="W153" i="4" s="1"/>
  <c r="Z153" i="4" s="1"/>
  <c r="W154" i="4" s="1"/>
  <c r="Z154" i="4" s="1"/>
  <c r="W155" i="4" s="1"/>
  <c r="Z155" i="4" s="1"/>
  <c r="W156" i="4" s="1"/>
  <c r="Z156" i="4" s="1"/>
  <c r="W157" i="4" s="1"/>
  <c r="Z157" i="4" s="1"/>
  <c r="W158" i="4" s="1"/>
  <c r="Z158" i="4" s="1"/>
  <c r="W159" i="4" s="1"/>
  <c r="Z159" i="4" s="1"/>
  <c r="W160" i="4" s="1"/>
  <c r="Z160" i="4" s="1"/>
  <c r="W161" i="4" s="1"/>
  <c r="Z161" i="4" s="1"/>
  <c r="W162" i="4" s="1"/>
  <c r="Z162" i="4" s="1"/>
  <c r="W163" i="4" s="1"/>
  <c r="Z163" i="4" s="1"/>
  <c r="W164" i="4" s="1"/>
  <c r="Z164" i="4" s="1"/>
  <c r="W165" i="4" s="1"/>
  <c r="Z165" i="4" s="1"/>
  <c r="W166" i="4" s="1"/>
  <c r="Z166" i="4" s="1"/>
  <c r="W167" i="4" s="1"/>
  <c r="Z167" i="4" s="1"/>
  <c r="W168" i="4" s="1"/>
  <c r="Z168" i="4" s="1"/>
  <c r="W169" i="4" s="1"/>
  <c r="Z169" i="4" s="1"/>
  <c r="W170" i="4" s="1"/>
  <c r="Z170" i="4" s="1"/>
  <c r="W171" i="4" s="1"/>
  <c r="Z171" i="4" s="1"/>
  <c r="W172" i="4" s="1"/>
  <c r="Z172" i="4" s="1"/>
  <c r="W173" i="4" s="1"/>
  <c r="Z173" i="4" s="1"/>
  <c r="W174" i="4" s="1"/>
  <c r="Z174" i="4" s="1"/>
  <c r="W175" i="4" s="1"/>
  <c r="Z175" i="4" s="1"/>
  <c r="W176" i="4" s="1"/>
  <c r="Z176" i="4" s="1"/>
  <c r="W177" i="4" s="1"/>
  <c r="Z177" i="4" s="1"/>
  <c r="W178" i="4" s="1"/>
  <c r="Z178" i="4" s="1"/>
  <c r="W179" i="4" s="1"/>
  <c r="Z179" i="4" s="1"/>
  <c r="W180" i="4" s="1"/>
  <c r="Z180" i="4" s="1"/>
  <c r="W181" i="4" s="1"/>
  <c r="Z181" i="4" s="1"/>
  <c r="W182" i="4" s="1"/>
  <c r="Z182" i="4" s="1"/>
  <c r="W183" i="4" s="1"/>
  <c r="Z183" i="4" s="1"/>
  <c r="W184" i="4" s="1"/>
  <c r="Z184" i="4" s="1"/>
  <c r="W185" i="4" s="1"/>
  <c r="Z185" i="4" s="1"/>
  <c r="W186" i="4" s="1"/>
  <c r="Z186" i="4" s="1"/>
  <c r="W187" i="4" s="1"/>
  <c r="Z187" i="4" s="1"/>
  <c r="W188" i="4" s="1"/>
  <c r="Z188" i="4" s="1"/>
  <c r="W189" i="4" s="1"/>
  <c r="Z189" i="4" s="1"/>
  <c r="W190" i="4" s="1"/>
  <c r="Z190" i="4" s="1"/>
  <c r="W191" i="4" s="1"/>
  <c r="Z191" i="4" s="1"/>
  <c r="W192" i="4" s="1"/>
  <c r="Z192" i="4" s="1"/>
  <c r="W193" i="4" s="1"/>
  <c r="Z193" i="4" s="1"/>
  <c r="W194" i="4" s="1"/>
  <c r="Z194" i="4" s="1"/>
  <c r="W195" i="4" s="1"/>
  <c r="Z195" i="4" s="1"/>
  <c r="W196" i="4" s="1"/>
  <c r="Z196" i="4" s="1"/>
  <c r="W197" i="4" s="1"/>
  <c r="L98" i="4" l="1"/>
  <c r="J91" i="20"/>
  <c r="Q92" i="4"/>
  <c r="S91" i="4"/>
  <c r="L91" i="20" s="1"/>
  <c r="Z197" i="4"/>
  <c r="W198" i="4" s="1"/>
  <c r="Q93" i="4" l="1"/>
  <c r="J92" i="20"/>
  <c r="S92" i="4"/>
  <c r="L92" i="20" s="1"/>
  <c r="L99" i="4"/>
  <c r="Z198" i="4"/>
  <c r="W199" i="4" s="1"/>
  <c r="L100" i="4" l="1"/>
  <c r="J93" i="20"/>
  <c r="Q94" i="4"/>
  <c r="S93" i="4"/>
  <c r="L93" i="20" s="1"/>
  <c r="Z199" i="4"/>
  <c r="W200" i="4" s="1"/>
  <c r="Q95" i="4" l="1"/>
  <c r="J94" i="20"/>
  <c r="S94" i="4"/>
  <c r="L94" i="20" s="1"/>
  <c r="L101" i="4"/>
  <c r="Z200" i="4"/>
  <c r="W201" i="4" s="1"/>
  <c r="L102" i="4" l="1"/>
  <c r="Q96" i="4"/>
  <c r="J95" i="20"/>
  <c r="S95" i="4"/>
  <c r="L95" i="20" s="1"/>
  <c r="Z201" i="4"/>
  <c r="W202" i="4" s="1"/>
  <c r="J96" i="20" l="1"/>
  <c r="Q97" i="4"/>
  <c r="S96" i="4"/>
  <c r="L96" i="20" s="1"/>
  <c r="L103" i="4"/>
  <c r="Z202" i="4"/>
  <c r="W203" i="4" s="1"/>
  <c r="L104" i="4" l="1"/>
  <c r="Q98" i="4"/>
  <c r="J97" i="20"/>
  <c r="S97" i="4"/>
  <c r="L97" i="20" s="1"/>
  <c r="Z203" i="4"/>
  <c r="W204" i="4" s="1"/>
  <c r="Q99" i="4" l="1"/>
  <c r="J98" i="20"/>
  <c r="S98" i="4"/>
  <c r="L98" i="20" s="1"/>
  <c r="L105" i="4"/>
  <c r="Z204" i="4"/>
  <c r="W205" i="4" s="1"/>
  <c r="L106" i="4" l="1"/>
  <c r="J99" i="20"/>
  <c r="Q100" i="4"/>
  <c r="S99" i="4"/>
  <c r="L99" i="20" s="1"/>
  <c r="Z205" i="4"/>
  <c r="W206" i="4" s="1"/>
  <c r="Q101" i="4" l="1"/>
  <c r="J100" i="20"/>
  <c r="S100" i="4"/>
  <c r="L100" i="20" s="1"/>
  <c r="L107" i="4"/>
  <c r="Z206" i="4"/>
  <c r="W207" i="4" s="1"/>
  <c r="L108" i="4" l="1"/>
  <c r="J101" i="20"/>
  <c r="Q102" i="4"/>
  <c r="S101" i="4"/>
  <c r="L101" i="20" s="1"/>
  <c r="Z207" i="4"/>
  <c r="W208" i="4" s="1"/>
  <c r="J102" i="20" l="1"/>
  <c r="Q103" i="4"/>
  <c r="S102" i="4"/>
  <c r="L102" i="20" s="1"/>
  <c r="L109" i="4"/>
  <c r="Z208" i="4"/>
  <c r="W209" i="4" s="1"/>
  <c r="L110" i="4" l="1"/>
  <c r="J103" i="20"/>
  <c r="Q104" i="4"/>
  <c r="S103" i="4"/>
  <c r="L103" i="20" s="1"/>
  <c r="Z209" i="4"/>
  <c r="W210" i="4" s="1"/>
  <c r="J104" i="20" l="1"/>
  <c r="Q105" i="4"/>
  <c r="S104" i="4"/>
  <c r="L104" i="20" s="1"/>
  <c r="L111" i="4"/>
  <c r="Z210" i="4"/>
  <c r="W211" i="4" s="1"/>
  <c r="L112" i="4" l="1"/>
  <c r="Q106" i="4"/>
  <c r="J105" i="20"/>
  <c r="S105" i="4"/>
  <c r="L105" i="20" s="1"/>
  <c r="Z211" i="4"/>
  <c r="W212" i="4" s="1"/>
  <c r="Q107" i="4" l="1"/>
  <c r="J106" i="20"/>
  <c r="S106" i="4"/>
  <c r="L106" i="20" s="1"/>
  <c r="L113" i="4"/>
  <c r="Z212" i="4"/>
  <c r="W213" i="4" s="1"/>
  <c r="L114" i="4" l="1"/>
  <c r="Q108" i="4"/>
  <c r="J107" i="20"/>
  <c r="S107" i="4"/>
  <c r="L107" i="20" s="1"/>
  <c r="Z213" i="4"/>
  <c r="W214" i="4" s="1"/>
  <c r="Q109" i="4" l="1"/>
  <c r="J108" i="20"/>
  <c r="S108" i="4"/>
  <c r="L108" i="20" s="1"/>
  <c r="L115" i="4"/>
  <c r="Z214" i="4"/>
  <c r="W215" i="4" s="1"/>
  <c r="L116" i="4" l="1"/>
  <c r="J109" i="20"/>
  <c r="Q110" i="4"/>
  <c r="S109" i="4"/>
  <c r="L109" i="20" s="1"/>
  <c r="Z215" i="4"/>
  <c r="W216" i="4" s="1"/>
  <c r="J110" i="20" l="1"/>
  <c r="Q111" i="4"/>
  <c r="S110" i="4"/>
  <c r="L110" i="20" s="1"/>
  <c r="L117" i="4"/>
  <c r="Z216" i="4"/>
  <c r="W217" i="4" s="1"/>
  <c r="L118" i="4" l="1"/>
  <c r="Q112" i="4"/>
  <c r="J111" i="20"/>
  <c r="S111" i="4"/>
  <c r="L111" i="20" s="1"/>
  <c r="Z217" i="4"/>
  <c r="W218" i="4" s="1"/>
  <c r="J112" i="20" l="1"/>
  <c r="Q113" i="4"/>
  <c r="S112" i="4"/>
  <c r="L112" i="20" s="1"/>
  <c r="L119" i="4"/>
  <c r="Z218" i="4"/>
  <c r="W219" i="4" s="1"/>
  <c r="L120" i="4" l="1"/>
  <c r="Q114" i="4"/>
  <c r="J113" i="20"/>
  <c r="S113" i="4"/>
  <c r="L113" i="20" s="1"/>
  <c r="Z219" i="4"/>
  <c r="W220" i="4" s="1"/>
  <c r="Q115" i="4" l="1"/>
  <c r="J114" i="20"/>
  <c r="S114" i="4"/>
  <c r="L114" i="20" s="1"/>
  <c r="L121" i="4"/>
  <c r="Z220" i="4"/>
  <c r="W221" i="4" s="1"/>
  <c r="L122" i="4" l="1"/>
  <c r="J115" i="20"/>
  <c r="Q116" i="4"/>
  <c r="S115" i="4"/>
  <c r="L115" i="20" s="1"/>
  <c r="Z221" i="4"/>
  <c r="W222" i="4" s="1"/>
  <c r="J116" i="20" l="1"/>
  <c r="Q117" i="4"/>
  <c r="S116" i="4"/>
  <c r="L116" i="20" s="1"/>
  <c r="L123" i="4"/>
  <c r="Z222" i="4"/>
  <c r="W223" i="4" s="1"/>
  <c r="L124" i="4" l="1"/>
  <c r="J117" i="20"/>
  <c r="Q118" i="4"/>
  <c r="S117" i="4"/>
  <c r="L117" i="20" s="1"/>
  <c r="Z223" i="4"/>
  <c r="W224" i="4" s="1"/>
  <c r="J118" i="20" l="1"/>
  <c r="Q119" i="4"/>
  <c r="S118" i="4"/>
  <c r="L118" i="20" s="1"/>
  <c r="L125" i="4"/>
  <c r="Z224" i="4"/>
  <c r="W225" i="4" s="1"/>
  <c r="L126" i="4" l="1"/>
  <c r="Q120" i="4"/>
  <c r="J119" i="20"/>
  <c r="S119" i="4"/>
  <c r="L119" i="20" s="1"/>
  <c r="Z225" i="4"/>
  <c r="W226" i="4" s="1"/>
  <c r="Q121" i="4" l="1"/>
  <c r="J120" i="20"/>
  <c r="S120" i="4"/>
  <c r="L120" i="20" s="1"/>
  <c r="L127" i="4"/>
  <c r="Z226" i="4"/>
  <c r="W227" i="4" s="1"/>
  <c r="L128" i="4" l="1"/>
  <c r="J121" i="20"/>
  <c r="Q122" i="4"/>
  <c r="S121" i="4"/>
  <c r="L121" i="20" s="1"/>
  <c r="Z227" i="4"/>
  <c r="W228" i="4" s="1"/>
  <c r="J122" i="20" l="1"/>
  <c r="Q123" i="4"/>
  <c r="S122" i="4"/>
  <c r="L122" i="20" s="1"/>
  <c r="L129" i="4"/>
  <c r="Z228" i="4"/>
  <c r="W229" i="4" s="1"/>
  <c r="L130" i="4" l="1"/>
  <c r="Q124" i="4"/>
  <c r="J123" i="20"/>
  <c r="S123" i="4"/>
  <c r="L123" i="20" s="1"/>
  <c r="Z229" i="4"/>
  <c r="W230" i="4" s="1"/>
  <c r="Q125" i="4" l="1"/>
  <c r="J124" i="20"/>
  <c r="S124" i="4"/>
  <c r="L124" i="20" s="1"/>
  <c r="L131" i="4"/>
  <c r="Z230" i="4"/>
  <c r="W231" i="4" s="1"/>
  <c r="L132" i="4" l="1"/>
  <c r="J125" i="20"/>
  <c r="Q126" i="4"/>
  <c r="S125" i="4"/>
  <c r="L125" i="20" s="1"/>
  <c r="Z231" i="4"/>
  <c r="W232" i="4" s="1"/>
  <c r="Q127" i="4" l="1"/>
  <c r="J126" i="20"/>
  <c r="S126" i="4"/>
  <c r="L126" i="20" s="1"/>
  <c r="L133" i="4"/>
  <c r="Z232" i="4"/>
  <c r="W233" i="4" s="1"/>
  <c r="L134" i="4" l="1"/>
  <c r="Q128" i="4"/>
  <c r="J127" i="20"/>
  <c r="S127" i="4"/>
  <c r="L127" i="20" s="1"/>
  <c r="Z233" i="4"/>
  <c r="W234" i="4" s="1"/>
  <c r="J128" i="20" l="1"/>
  <c r="Q129" i="4"/>
  <c r="S128" i="4"/>
  <c r="L128" i="20" s="1"/>
  <c r="L135" i="4"/>
  <c r="Z234" i="4"/>
  <c r="W235" i="4" s="1"/>
  <c r="L136" i="4" l="1"/>
  <c r="J129" i="20"/>
  <c r="Q130" i="4"/>
  <c r="S129" i="4"/>
  <c r="L129" i="20" s="1"/>
  <c r="Z235" i="4"/>
  <c r="W236" i="4" s="1"/>
  <c r="J130" i="20" l="1"/>
  <c r="Q131" i="4"/>
  <c r="S130" i="4"/>
  <c r="L130" i="20" s="1"/>
  <c r="L137" i="4"/>
  <c r="Z236" i="4"/>
  <c r="W237" i="4" s="1"/>
  <c r="L138" i="4" l="1"/>
  <c r="J131" i="20"/>
  <c r="Q132" i="4"/>
  <c r="S131" i="4"/>
  <c r="L131" i="20" s="1"/>
  <c r="Z237" i="4"/>
  <c r="W238" i="4" s="1"/>
  <c r="Q133" i="4" l="1"/>
  <c r="J132" i="20"/>
  <c r="S132" i="4"/>
  <c r="L132" i="20" s="1"/>
  <c r="L139" i="4"/>
  <c r="Z238" i="4"/>
  <c r="W239" i="4" s="1"/>
  <c r="L140" i="4" l="1"/>
  <c r="Q134" i="4"/>
  <c r="J133" i="20"/>
  <c r="S133" i="4"/>
  <c r="L133" i="20" s="1"/>
  <c r="Z239" i="4"/>
  <c r="W240" i="4" s="1"/>
  <c r="Q135" i="4" l="1"/>
  <c r="J134" i="20"/>
  <c r="S134" i="4"/>
  <c r="L134" i="20" s="1"/>
  <c r="L141" i="4"/>
  <c r="Z240" i="4"/>
  <c r="W241" i="4" s="1"/>
  <c r="L142" i="4" l="1"/>
  <c r="J135" i="20"/>
  <c r="Q136" i="4"/>
  <c r="S135" i="4"/>
  <c r="L135" i="20" s="1"/>
  <c r="Z241" i="4"/>
  <c r="W242" i="4" s="1"/>
  <c r="J136" i="20" l="1"/>
  <c r="Q137" i="4"/>
  <c r="S136" i="4"/>
  <c r="L136" i="20" s="1"/>
  <c r="L143" i="4"/>
  <c r="Z242" i="4"/>
  <c r="W243" i="4" s="1"/>
  <c r="L144" i="4" l="1"/>
  <c r="J137" i="20"/>
  <c r="Q138" i="4"/>
  <c r="S137" i="4"/>
  <c r="L137" i="20" s="1"/>
  <c r="Z243" i="4"/>
  <c r="W244" i="4" s="1"/>
  <c r="J138" i="20" l="1"/>
  <c r="Q139" i="4"/>
  <c r="S138" i="4"/>
  <c r="L138" i="20" s="1"/>
  <c r="L145" i="4"/>
  <c r="Z244" i="4"/>
  <c r="W245" i="4" s="1"/>
  <c r="L146" i="4" l="1"/>
  <c r="Q140" i="4"/>
  <c r="J139" i="20"/>
  <c r="S139" i="4"/>
  <c r="L139" i="20" s="1"/>
  <c r="Z245" i="4"/>
  <c r="W246" i="4" s="1"/>
  <c r="Q141" i="4" l="1"/>
  <c r="J140" i="20"/>
  <c r="S140" i="4"/>
  <c r="L140" i="20" s="1"/>
  <c r="L147" i="4"/>
  <c r="Z246" i="4"/>
  <c r="W247" i="4" s="1"/>
  <c r="L148" i="4" l="1"/>
  <c r="J141" i="20"/>
  <c r="Q142" i="4"/>
  <c r="S141" i="4"/>
  <c r="L141" i="20" s="1"/>
  <c r="Z247" i="4"/>
  <c r="W248" i="4" s="1"/>
  <c r="J142" i="20" l="1"/>
  <c r="Q143" i="4"/>
  <c r="S142" i="4"/>
  <c r="L142" i="20" s="1"/>
  <c r="L149" i="4"/>
  <c r="Z248" i="4"/>
  <c r="W249" i="4" s="1"/>
  <c r="L150" i="4" l="1"/>
  <c r="J143" i="20"/>
  <c r="Q144" i="4"/>
  <c r="S143" i="4"/>
  <c r="L143" i="20" s="1"/>
  <c r="Z249" i="4"/>
  <c r="W250" i="4" s="1"/>
  <c r="J144" i="20" l="1"/>
  <c r="Q145" i="4"/>
  <c r="S144" i="4"/>
  <c r="L144" i="20" s="1"/>
  <c r="L151" i="4"/>
  <c r="Z250" i="4"/>
  <c r="W251" i="4" s="1"/>
  <c r="L152" i="4" l="1"/>
  <c r="J145" i="20"/>
  <c r="Q146" i="4"/>
  <c r="S145" i="4"/>
  <c r="L145" i="20" s="1"/>
  <c r="Z251" i="4"/>
  <c r="W252" i="4" s="1"/>
  <c r="Q147" i="4" l="1"/>
  <c r="J146" i="20"/>
  <c r="S146" i="4"/>
  <c r="L146" i="20" s="1"/>
  <c r="L153" i="4"/>
  <c r="Z252" i="4"/>
  <c r="W253" i="4" s="1"/>
  <c r="L154" i="4" l="1"/>
  <c r="J147" i="20"/>
  <c r="Q148" i="4"/>
  <c r="S147" i="4"/>
  <c r="L147" i="20" s="1"/>
  <c r="Z253" i="4"/>
  <c r="W254" i="4" s="1"/>
  <c r="Q149" i="4" l="1"/>
  <c r="J148" i="20"/>
  <c r="S148" i="4"/>
  <c r="L148" i="20" s="1"/>
  <c r="L155" i="4"/>
  <c r="Z254" i="4"/>
  <c r="W255" i="4" s="1"/>
  <c r="L156" i="4" l="1"/>
  <c r="Q150" i="4"/>
  <c r="J149" i="20"/>
  <c r="S149" i="4"/>
  <c r="L149" i="20" s="1"/>
  <c r="Z255" i="4"/>
  <c r="W256" i="4" s="1"/>
  <c r="J150" i="20" l="1"/>
  <c r="Q151" i="4"/>
  <c r="S150" i="4"/>
  <c r="L150" i="20" s="1"/>
  <c r="L157" i="4"/>
  <c r="Z256" i="4"/>
  <c r="W257" i="4" s="1"/>
  <c r="L158" i="4" l="1"/>
  <c r="Q152" i="4"/>
  <c r="J151" i="20"/>
  <c r="S151" i="4"/>
  <c r="L151" i="20" s="1"/>
  <c r="Z257" i="4"/>
  <c r="W258" i="4" s="1"/>
  <c r="J152" i="20" l="1"/>
  <c r="Q153" i="4"/>
  <c r="S152" i="4"/>
  <c r="L152" i="20" s="1"/>
  <c r="L159" i="4"/>
  <c r="Z258" i="4"/>
  <c r="W259" i="4" s="1"/>
  <c r="Q154" i="4" l="1"/>
  <c r="J153" i="20"/>
  <c r="S153" i="4"/>
  <c r="L153" i="20" s="1"/>
  <c r="L160" i="4"/>
  <c r="Z259" i="4"/>
  <c r="W260" i="4" s="1"/>
  <c r="L161" i="4" l="1"/>
  <c r="J154" i="20"/>
  <c r="Q155" i="4"/>
  <c r="S154" i="4"/>
  <c r="L154" i="20" s="1"/>
  <c r="Z260" i="4"/>
  <c r="W261" i="4" s="1"/>
  <c r="J155" i="20" l="1"/>
  <c r="Q156" i="4"/>
  <c r="S155" i="4"/>
  <c r="L155" i="20" s="1"/>
  <c r="L162" i="4"/>
  <c r="Z261" i="4"/>
  <c r="W262" i="4" s="1"/>
  <c r="L163" i="4" l="1"/>
  <c r="Q157" i="4"/>
  <c r="J156" i="20"/>
  <c r="S156" i="4"/>
  <c r="L156" i="20" s="1"/>
  <c r="Z262" i="4"/>
  <c r="W263" i="4" s="1"/>
  <c r="Q158" i="4" l="1"/>
  <c r="J157" i="20"/>
  <c r="S157" i="4"/>
  <c r="L157" i="20" s="1"/>
  <c r="L164" i="4"/>
  <c r="Z263" i="4"/>
  <c r="W264" i="4" s="1"/>
  <c r="L165" i="4" l="1"/>
  <c r="Q159" i="4"/>
  <c r="J158" i="20"/>
  <c r="S158" i="4"/>
  <c r="L158" i="20" s="1"/>
  <c r="Z264" i="4"/>
  <c r="W265" i="4" s="1"/>
  <c r="J159" i="20" l="1"/>
  <c r="Q160" i="4"/>
  <c r="S159" i="4"/>
  <c r="L159" i="20" s="1"/>
  <c r="L166" i="4"/>
  <c r="Z265" i="4"/>
  <c r="W266" i="4" s="1"/>
  <c r="L167" i="4" l="1"/>
  <c r="Q161" i="4"/>
  <c r="J160" i="20"/>
  <c r="S160" i="4"/>
  <c r="L160" i="20" s="1"/>
  <c r="Z266" i="4"/>
  <c r="W267" i="4" s="1"/>
  <c r="J161" i="20" l="1"/>
  <c r="Q162" i="4"/>
  <c r="S161" i="4"/>
  <c r="L161" i="20" s="1"/>
  <c r="L168" i="4"/>
  <c r="Z267" i="4"/>
  <c r="W268" i="4" s="1"/>
  <c r="Q163" i="4" l="1"/>
  <c r="J162" i="20"/>
  <c r="S162" i="4"/>
  <c r="L162" i="20" s="1"/>
  <c r="L169" i="4"/>
  <c r="Z268" i="4"/>
  <c r="W269" i="4" s="1"/>
  <c r="L170" i="4" l="1"/>
  <c r="Q164" i="4"/>
  <c r="J163" i="20"/>
  <c r="S163" i="4"/>
  <c r="L163" i="20" s="1"/>
  <c r="Z269" i="4"/>
  <c r="W270" i="4" s="1"/>
  <c r="Q165" i="4" l="1"/>
  <c r="J164" i="20"/>
  <c r="S164" i="4"/>
  <c r="L164" i="20" s="1"/>
  <c r="L171" i="4"/>
  <c r="Z270" i="4"/>
  <c r="W271" i="4" s="1"/>
  <c r="L172" i="4" l="1"/>
  <c r="Q166" i="4"/>
  <c r="J165" i="20"/>
  <c r="S165" i="4"/>
  <c r="L165" i="20" s="1"/>
  <c r="Z271" i="4"/>
  <c r="W272" i="4" s="1"/>
  <c r="Q167" i="4" l="1"/>
  <c r="J166" i="20"/>
  <c r="S166" i="4"/>
  <c r="L166" i="20" s="1"/>
  <c r="L173" i="4"/>
  <c r="Z272" i="4"/>
  <c r="W273" i="4" s="1"/>
  <c r="L174" i="4" l="1"/>
  <c r="J167" i="20"/>
  <c r="Q168" i="4"/>
  <c r="S167" i="4"/>
  <c r="L167" i="20" s="1"/>
  <c r="Z273" i="4"/>
  <c r="W274" i="4" s="1"/>
  <c r="Q169" i="4" l="1"/>
  <c r="J168" i="20"/>
  <c r="S168" i="4"/>
  <c r="L168" i="20" s="1"/>
  <c r="L175" i="4"/>
  <c r="Z274" i="4"/>
  <c r="W275" i="4" s="1"/>
  <c r="L176" i="4" l="1"/>
  <c r="Q170" i="4"/>
  <c r="J169" i="20"/>
  <c r="S169" i="4"/>
  <c r="L169" i="20" s="1"/>
  <c r="Z275" i="4"/>
  <c r="W276" i="4" s="1"/>
  <c r="J170" i="20" l="1"/>
  <c r="Q171" i="4"/>
  <c r="S170" i="4"/>
  <c r="L170" i="20" s="1"/>
  <c r="L177" i="4"/>
  <c r="Z276" i="4"/>
  <c r="W277" i="4" s="1"/>
  <c r="L178" i="4" l="1"/>
  <c r="Q172" i="4"/>
  <c r="J171" i="20"/>
  <c r="S171" i="4"/>
  <c r="L171" i="20" s="1"/>
  <c r="Z277" i="4"/>
  <c r="W278" i="4" s="1"/>
  <c r="J172" i="20" l="1"/>
  <c r="Q173" i="4"/>
  <c r="S172" i="4"/>
  <c r="L172" i="20" s="1"/>
  <c r="L179" i="4"/>
  <c r="Z278" i="4"/>
  <c r="W279" i="4" s="1"/>
  <c r="L180" i="4" l="1"/>
  <c r="Q174" i="4"/>
  <c r="J173" i="20"/>
  <c r="S173" i="4"/>
  <c r="L173" i="20" s="1"/>
  <c r="Z279" i="4"/>
  <c r="W280" i="4" s="1"/>
  <c r="Q175" i="4" l="1"/>
  <c r="J174" i="20"/>
  <c r="S174" i="4"/>
  <c r="L174" i="20" s="1"/>
  <c r="L181" i="4"/>
  <c r="Z280" i="4"/>
  <c r="W281" i="4" s="1"/>
  <c r="L182" i="4" l="1"/>
  <c r="J175" i="20"/>
  <c r="Q176" i="4"/>
  <c r="S175" i="4"/>
  <c r="L175" i="20" s="1"/>
  <c r="Z281" i="4"/>
  <c r="W282" i="4" s="1"/>
  <c r="Q177" i="4" l="1"/>
  <c r="J176" i="20"/>
  <c r="S176" i="4"/>
  <c r="L176" i="20" s="1"/>
  <c r="L183" i="4"/>
  <c r="Z282" i="4"/>
  <c r="W283" i="4" s="1"/>
  <c r="L184" i="4" l="1"/>
  <c r="Q178" i="4"/>
  <c r="J177" i="20"/>
  <c r="S177" i="4"/>
  <c r="L177" i="20" s="1"/>
  <c r="Z283" i="4"/>
  <c r="W284" i="4" s="1"/>
  <c r="Q179" i="4" l="1"/>
  <c r="J178" i="20"/>
  <c r="S178" i="4"/>
  <c r="L178" i="20" s="1"/>
  <c r="L185" i="4"/>
  <c r="Z284" i="4"/>
  <c r="W285" i="4" s="1"/>
  <c r="L186" i="4" l="1"/>
  <c r="J179" i="20"/>
  <c r="Q180" i="4"/>
  <c r="S179" i="4"/>
  <c r="L179" i="20" s="1"/>
  <c r="Z285" i="4"/>
  <c r="W286" i="4" s="1"/>
  <c r="Q181" i="4" l="1"/>
  <c r="J180" i="20"/>
  <c r="S180" i="4"/>
  <c r="L180" i="20" s="1"/>
  <c r="L187" i="4"/>
  <c r="Z286" i="4"/>
  <c r="W287" i="4" s="1"/>
  <c r="L188" i="4" l="1"/>
  <c r="Q182" i="4"/>
  <c r="J181" i="20"/>
  <c r="S181" i="4"/>
  <c r="L181" i="20" s="1"/>
  <c r="Z287" i="4"/>
  <c r="W288" i="4" s="1"/>
  <c r="J182" i="20" l="1"/>
  <c r="Q183" i="4"/>
  <c r="S182" i="4"/>
  <c r="L182" i="20" s="1"/>
  <c r="L189" i="4"/>
  <c r="Z288" i="4"/>
  <c r="W289" i="4" s="1"/>
  <c r="L190" i="4" l="1"/>
  <c r="Q184" i="4"/>
  <c r="J183" i="20"/>
  <c r="S183" i="4"/>
  <c r="L183" i="20" s="1"/>
  <c r="Z289" i="4"/>
  <c r="W290" i="4" s="1"/>
  <c r="Q185" i="4" l="1"/>
  <c r="J184" i="20"/>
  <c r="S184" i="4"/>
  <c r="L184" i="20" s="1"/>
  <c r="L191" i="4"/>
  <c r="Z290" i="4"/>
  <c r="W291" i="4" s="1"/>
  <c r="L192" i="4" l="1"/>
  <c r="Q186" i="4"/>
  <c r="J185" i="20"/>
  <c r="S185" i="4"/>
  <c r="L185" i="20" s="1"/>
  <c r="Z291" i="4"/>
  <c r="W292" i="4" s="1"/>
  <c r="Q187" i="4" l="1"/>
  <c r="J186" i="20"/>
  <c r="S186" i="4"/>
  <c r="L186" i="20" s="1"/>
  <c r="L193" i="4"/>
  <c r="Z292" i="4"/>
  <c r="W293" i="4" s="1"/>
  <c r="L194" i="4" l="1"/>
  <c r="Q188" i="4"/>
  <c r="J187" i="20"/>
  <c r="S187" i="4"/>
  <c r="L187" i="20" s="1"/>
  <c r="Z293" i="4"/>
  <c r="W294" i="4" s="1"/>
  <c r="Q189" i="4" l="1"/>
  <c r="J188" i="20"/>
  <c r="S188" i="4"/>
  <c r="L188" i="20" s="1"/>
  <c r="L195" i="4"/>
  <c r="Z294" i="4"/>
  <c r="W295" i="4" s="1"/>
  <c r="L196" i="4" l="1"/>
  <c r="J189" i="20"/>
  <c r="Q190" i="4"/>
  <c r="S189" i="4"/>
  <c r="L189" i="20" s="1"/>
  <c r="Z295" i="4"/>
  <c r="W296" i="4" s="1"/>
  <c r="J190" i="20" l="1"/>
  <c r="Q191" i="4"/>
  <c r="S190" i="4"/>
  <c r="L190" i="20" s="1"/>
  <c r="L197" i="4"/>
  <c r="Z296" i="4"/>
  <c r="W297" i="4" s="1"/>
  <c r="L198" i="4" l="1"/>
  <c r="Q192" i="4"/>
  <c r="J191" i="20"/>
  <c r="S191" i="4"/>
  <c r="L191" i="20" s="1"/>
  <c r="Z297" i="4"/>
  <c r="W298" i="4" s="1"/>
  <c r="J192" i="20" l="1"/>
  <c r="Q193" i="4"/>
  <c r="S192" i="4"/>
  <c r="L192" i="20" s="1"/>
  <c r="L199" i="4"/>
  <c r="Z298" i="4"/>
  <c r="W299" i="4" s="1"/>
  <c r="L200" i="4" l="1"/>
  <c r="J193" i="20"/>
  <c r="Q194" i="4"/>
  <c r="S193" i="4"/>
  <c r="L193" i="20" s="1"/>
  <c r="Z299" i="4"/>
  <c r="W300" i="4" s="1"/>
  <c r="Q195" i="4" l="1"/>
  <c r="J194" i="20"/>
  <c r="S194" i="4"/>
  <c r="L194" i="20" s="1"/>
  <c r="L201" i="4"/>
  <c r="Z300" i="4"/>
  <c r="W301" i="4" s="1"/>
  <c r="L202" i="4" l="1"/>
  <c r="Q196" i="4"/>
  <c r="J195" i="20"/>
  <c r="S195" i="4"/>
  <c r="L195" i="20" s="1"/>
  <c r="Z301" i="4"/>
  <c r="W302" i="4" s="1"/>
  <c r="Q197" i="4" l="1"/>
  <c r="J196" i="20"/>
  <c r="S196" i="4"/>
  <c r="L196" i="20" s="1"/>
  <c r="L203" i="4"/>
  <c r="Z302" i="4"/>
  <c r="W303" i="4" s="1"/>
  <c r="L204" i="4" l="1"/>
  <c r="J197" i="20"/>
  <c r="Q198" i="4"/>
  <c r="S197" i="4"/>
  <c r="L197" i="20" s="1"/>
  <c r="Z303" i="4"/>
  <c r="W304" i="4" s="1"/>
  <c r="J198" i="20" l="1"/>
  <c r="Q199" i="4"/>
  <c r="S198" i="4"/>
  <c r="L198" i="20" s="1"/>
  <c r="L205" i="4"/>
  <c r="Z304" i="4"/>
  <c r="W305" i="4" s="1"/>
  <c r="L206" i="4" l="1"/>
  <c r="Q200" i="4"/>
  <c r="J199" i="20"/>
  <c r="S199" i="4"/>
  <c r="L199" i="20" s="1"/>
  <c r="Z305" i="4"/>
  <c r="W306" i="4" s="1"/>
  <c r="Q201" i="4" l="1"/>
  <c r="J200" i="20"/>
  <c r="S200" i="4"/>
  <c r="L200" i="20" s="1"/>
  <c r="L207" i="4"/>
  <c r="Z306" i="4"/>
  <c r="W307" i="4" s="1"/>
  <c r="L208" i="4" l="1"/>
  <c r="J201" i="20"/>
  <c r="Q202" i="4"/>
  <c r="S201" i="4"/>
  <c r="L201" i="20" s="1"/>
  <c r="Z307" i="4"/>
  <c r="W308" i="4" s="1"/>
  <c r="J202" i="20" l="1"/>
  <c r="Q203" i="4"/>
  <c r="S202" i="4"/>
  <c r="L202" i="20" s="1"/>
  <c r="L209" i="4"/>
  <c r="Z308" i="4"/>
  <c r="W309" i="4" s="1"/>
  <c r="L210" i="4" l="1"/>
  <c r="J203" i="20"/>
  <c r="Q204" i="4"/>
  <c r="S203" i="4"/>
  <c r="L203" i="20" s="1"/>
  <c r="Z309" i="4"/>
  <c r="W310" i="4" s="1"/>
  <c r="J204" i="20" l="1"/>
  <c r="Q205" i="4"/>
  <c r="S204" i="4"/>
  <c r="L204" i="20" s="1"/>
  <c r="L211" i="4"/>
  <c r="Z310" i="4"/>
  <c r="W311" i="4" s="1"/>
  <c r="L212" i="4" l="1"/>
  <c r="J205" i="20"/>
  <c r="Q206" i="4"/>
  <c r="S205" i="4"/>
  <c r="L205" i="20" s="1"/>
  <c r="Z311" i="4"/>
  <c r="W312" i="4" s="1"/>
  <c r="Q207" i="4" l="1"/>
  <c r="J206" i="20"/>
  <c r="S206" i="4"/>
  <c r="L206" i="20" s="1"/>
  <c r="L213" i="4"/>
  <c r="Z312" i="4"/>
  <c r="W313" i="4" s="1"/>
  <c r="L214" i="4" l="1"/>
  <c r="Q208" i="4"/>
  <c r="J207" i="20"/>
  <c r="S207" i="4"/>
  <c r="L207" i="20" s="1"/>
  <c r="Z313" i="4"/>
  <c r="W314" i="4" s="1"/>
  <c r="Q209" i="4" l="1"/>
  <c r="J208" i="20"/>
  <c r="S208" i="4"/>
  <c r="L208" i="20" s="1"/>
  <c r="L215" i="4"/>
  <c r="Z314" i="4"/>
  <c r="W315" i="4" s="1"/>
  <c r="L216" i="4" l="1"/>
  <c r="J209" i="20"/>
  <c r="Q210" i="4"/>
  <c r="S209" i="4"/>
  <c r="L209" i="20" s="1"/>
  <c r="Z315" i="4"/>
  <c r="W316" i="4" s="1"/>
  <c r="Q211" i="4" l="1"/>
  <c r="J210" i="20"/>
  <c r="S210" i="4"/>
  <c r="L210" i="20" s="1"/>
  <c r="L217" i="4"/>
  <c r="Z316" i="4"/>
  <c r="W317" i="4" s="1"/>
  <c r="L218" i="4" l="1"/>
  <c r="Q212" i="4"/>
  <c r="J211" i="20"/>
  <c r="S211" i="4"/>
  <c r="L211" i="20" s="1"/>
  <c r="Z317" i="4"/>
  <c r="W318" i="4" s="1"/>
  <c r="J212" i="20" l="1"/>
  <c r="Q213" i="4"/>
  <c r="S212" i="4"/>
  <c r="L212" i="20" s="1"/>
  <c r="L219" i="4"/>
  <c r="Z318" i="4"/>
  <c r="W319" i="4" s="1"/>
  <c r="L220" i="4" l="1"/>
  <c r="J213" i="20"/>
  <c r="Q214" i="4"/>
  <c r="S213" i="4"/>
  <c r="L213" i="20" s="1"/>
  <c r="Z319" i="4"/>
  <c r="W320" i="4" s="1"/>
  <c r="Q215" i="4" l="1"/>
  <c r="J214" i="20"/>
  <c r="S214" i="4"/>
  <c r="L214" i="20" s="1"/>
  <c r="L221" i="4"/>
  <c r="Z320" i="4"/>
  <c r="W321" i="4" s="1"/>
  <c r="L222" i="4" l="1"/>
  <c r="Q216" i="4"/>
  <c r="J215" i="20"/>
  <c r="S215" i="4"/>
  <c r="L215" i="20" s="1"/>
  <c r="Z321" i="4"/>
  <c r="W322" i="4" s="1"/>
  <c r="J216" i="20" l="1"/>
  <c r="Q217" i="4"/>
  <c r="S216" i="4"/>
  <c r="L216" i="20" s="1"/>
  <c r="L223" i="4"/>
  <c r="Z322" i="4"/>
  <c r="W323" i="4" s="1"/>
  <c r="L224" i="4" l="1"/>
  <c r="Q218" i="4"/>
  <c r="J217" i="20"/>
  <c r="S217" i="4"/>
  <c r="L217" i="20" s="1"/>
  <c r="Z323" i="4"/>
  <c r="W324" i="4" s="1"/>
  <c r="J218" i="20" l="1"/>
  <c r="Q219" i="4"/>
  <c r="S218" i="4"/>
  <c r="L218" i="20" s="1"/>
  <c r="L225" i="4"/>
  <c r="Z324" i="4"/>
  <c r="W325" i="4" s="1"/>
  <c r="L226" i="4" l="1"/>
  <c r="J219" i="20"/>
  <c r="Q220" i="4"/>
  <c r="S219" i="4"/>
  <c r="L219" i="20" s="1"/>
  <c r="Z325" i="4"/>
  <c r="W326" i="4" s="1"/>
  <c r="Q221" i="4" l="1"/>
  <c r="J220" i="20"/>
  <c r="S220" i="4"/>
  <c r="L220" i="20" s="1"/>
  <c r="L227" i="4"/>
  <c r="Z326" i="4"/>
  <c r="W327" i="4" s="1"/>
  <c r="L228" i="4" l="1"/>
  <c r="J221" i="20"/>
  <c r="Q222" i="4"/>
  <c r="S221" i="4"/>
  <c r="L221" i="20" s="1"/>
  <c r="Z327" i="4"/>
  <c r="W328" i="4" s="1"/>
  <c r="J222" i="20" l="1"/>
  <c r="Q223" i="4"/>
  <c r="S222" i="4"/>
  <c r="L222" i="20" s="1"/>
  <c r="L229" i="4"/>
  <c r="Z328" i="4"/>
  <c r="W329" i="4" s="1"/>
  <c r="L230" i="4" l="1"/>
  <c r="Q224" i="4"/>
  <c r="J223" i="20"/>
  <c r="S223" i="4"/>
  <c r="L223" i="20" s="1"/>
  <c r="Z329" i="4"/>
  <c r="W330" i="4" s="1"/>
  <c r="J224" i="20" l="1"/>
  <c r="Q225" i="4"/>
  <c r="S224" i="4"/>
  <c r="L224" i="20" s="1"/>
  <c r="L231" i="4"/>
  <c r="Z330" i="4"/>
  <c r="W331" i="4" s="1"/>
  <c r="L232" i="4" l="1"/>
  <c r="J225" i="20"/>
  <c r="Q226" i="4"/>
  <c r="S225" i="4"/>
  <c r="L225" i="20" s="1"/>
  <c r="Z331" i="4"/>
  <c r="W332" i="4" s="1"/>
  <c r="J226" i="20" l="1"/>
  <c r="Q227" i="4"/>
  <c r="S226" i="4"/>
  <c r="L226" i="20" s="1"/>
  <c r="L233" i="4"/>
  <c r="Z332" i="4"/>
  <c r="W333" i="4" s="1"/>
  <c r="J227" i="20" l="1"/>
  <c r="Q228" i="4"/>
  <c r="S227" i="4"/>
  <c r="L227" i="20" s="1"/>
  <c r="L234" i="4"/>
  <c r="Z333" i="4"/>
  <c r="W334" i="4" s="1"/>
  <c r="L235" i="4" l="1"/>
  <c r="J228" i="20"/>
  <c r="Q229" i="4"/>
  <c r="S228" i="4"/>
  <c r="L228" i="20" s="1"/>
  <c r="Z334" i="4"/>
  <c r="W335" i="4" s="1"/>
  <c r="J229" i="20" l="1"/>
  <c r="Q230" i="4"/>
  <c r="S229" i="4"/>
  <c r="L229" i="20" s="1"/>
  <c r="L236" i="4"/>
  <c r="Z335" i="4"/>
  <c r="W336" i="4" s="1"/>
  <c r="L237" i="4" l="1"/>
  <c r="J230" i="20"/>
  <c r="Q231" i="4"/>
  <c r="S230" i="4"/>
  <c r="L230" i="20" s="1"/>
  <c r="Z336" i="4"/>
  <c r="W337" i="4" s="1"/>
  <c r="J231" i="20" l="1"/>
  <c r="Q232" i="4"/>
  <c r="S231" i="4"/>
  <c r="L231" i="20" s="1"/>
  <c r="L238" i="4"/>
  <c r="Z337" i="4"/>
  <c r="W338" i="4" s="1"/>
  <c r="L239" i="4" l="1"/>
  <c r="Q233" i="4"/>
  <c r="J232" i="20"/>
  <c r="S232" i="4"/>
  <c r="L232" i="20" s="1"/>
  <c r="Z338" i="4"/>
  <c r="W339" i="4" s="1"/>
  <c r="Q234" i="4" l="1"/>
  <c r="J233" i="20"/>
  <c r="S233" i="4"/>
  <c r="L233" i="20" s="1"/>
  <c r="L240" i="4"/>
  <c r="Z339" i="4"/>
  <c r="W340" i="4" s="1"/>
  <c r="L241" i="4" l="1"/>
  <c r="Q235" i="4"/>
  <c r="J234" i="20"/>
  <c r="S234" i="4"/>
  <c r="L234" i="20" s="1"/>
  <c r="Z340" i="4"/>
  <c r="W341" i="4" s="1"/>
  <c r="J235" i="20" l="1"/>
  <c r="Q236" i="4"/>
  <c r="S235" i="4"/>
  <c r="L235" i="20" s="1"/>
  <c r="L242" i="4"/>
  <c r="Z341" i="4"/>
  <c r="W342" i="4" s="1"/>
  <c r="J236" i="20" l="1"/>
  <c r="Q237" i="4"/>
  <c r="S236" i="4"/>
  <c r="L236" i="20" s="1"/>
  <c r="L243" i="4"/>
  <c r="Z342" i="4"/>
  <c r="W343" i="4" s="1"/>
  <c r="L244" i="4" l="1"/>
  <c r="Q238" i="4"/>
  <c r="J237" i="20"/>
  <c r="S237" i="4"/>
  <c r="L237" i="20" s="1"/>
  <c r="Z343" i="4"/>
  <c r="W344" i="4" s="1"/>
  <c r="J238" i="20" l="1"/>
  <c r="Q239" i="4"/>
  <c r="S238" i="4"/>
  <c r="L238" i="20" s="1"/>
  <c r="L245" i="4"/>
  <c r="Z344" i="4"/>
  <c r="W345" i="4" s="1"/>
  <c r="L246" i="4" l="1"/>
  <c r="J239" i="20"/>
  <c r="Q240" i="4"/>
  <c r="S239" i="4"/>
  <c r="L239" i="20" s="1"/>
  <c r="Z345" i="4"/>
  <c r="W346" i="4" s="1"/>
  <c r="Q241" i="4" l="1"/>
  <c r="J240" i="20"/>
  <c r="S240" i="4"/>
  <c r="L240" i="20" s="1"/>
  <c r="L247" i="4"/>
  <c r="Z346" i="4"/>
  <c r="W347" i="4" s="1"/>
  <c r="L248" i="4" l="1"/>
  <c r="J241" i="20"/>
  <c r="Q242" i="4"/>
  <c r="S241" i="4"/>
  <c r="L241" i="20" s="1"/>
  <c r="Z347" i="4"/>
  <c r="W348" i="4" s="1"/>
  <c r="Q243" i="4" l="1"/>
  <c r="J242" i="20"/>
  <c r="S242" i="4"/>
  <c r="L242" i="20" s="1"/>
  <c r="L249" i="4"/>
  <c r="Z348" i="4"/>
  <c r="W349" i="4" s="1"/>
  <c r="L250" i="4" l="1"/>
  <c r="Q244" i="4"/>
  <c r="J243" i="20"/>
  <c r="S243" i="4"/>
  <c r="L243" i="20" s="1"/>
  <c r="Z349" i="4"/>
  <c r="W350" i="4" s="1"/>
  <c r="J244" i="20" l="1"/>
  <c r="Q245" i="4"/>
  <c r="S244" i="4"/>
  <c r="L244" i="20" s="1"/>
  <c r="L251" i="4"/>
  <c r="Z350" i="4"/>
  <c r="W351" i="4" s="1"/>
  <c r="L252" i="4" l="1"/>
  <c r="Q246" i="4"/>
  <c r="J245" i="20"/>
  <c r="S245" i="4"/>
  <c r="L245" i="20" s="1"/>
  <c r="Z351" i="4"/>
  <c r="W352" i="4" s="1"/>
  <c r="Q247" i="4" l="1"/>
  <c r="J246" i="20"/>
  <c r="S246" i="4"/>
  <c r="L246" i="20" s="1"/>
  <c r="L253" i="4"/>
  <c r="Z352" i="4"/>
  <c r="W353" i="4" s="1"/>
  <c r="L254" i="4" l="1"/>
  <c r="J247" i="20"/>
  <c r="Q248" i="4"/>
  <c r="S247" i="4"/>
  <c r="L247" i="20" s="1"/>
  <c r="Z353" i="4"/>
  <c r="W354" i="4" s="1"/>
  <c r="Q249" i="4" l="1"/>
  <c r="J248" i="20"/>
  <c r="S248" i="4"/>
  <c r="L248" i="20" s="1"/>
  <c r="L255" i="4"/>
  <c r="Z354" i="4"/>
  <c r="W355" i="4" s="1"/>
  <c r="L256" i="4" l="1"/>
  <c r="Q250" i="4"/>
  <c r="J249" i="20"/>
  <c r="S249" i="4"/>
  <c r="L249" i="20" s="1"/>
  <c r="Z355" i="4"/>
  <c r="W356" i="4" s="1"/>
  <c r="Q251" i="4" l="1"/>
  <c r="J250" i="20"/>
  <c r="S250" i="4"/>
  <c r="L250" i="20" s="1"/>
  <c r="L257" i="4"/>
  <c r="Z356" i="4"/>
  <c r="W357" i="4" s="1"/>
  <c r="L258" i="4" l="1"/>
  <c r="J251" i="20"/>
  <c r="Q252" i="4"/>
  <c r="S251" i="4"/>
  <c r="L251" i="20" s="1"/>
  <c r="Z357" i="4"/>
  <c r="W358" i="4" s="1"/>
  <c r="Q253" i="4" l="1"/>
  <c r="J252" i="20"/>
  <c r="S252" i="4"/>
  <c r="L252" i="20" s="1"/>
  <c r="L259" i="4"/>
  <c r="Z358" i="4"/>
  <c r="W359" i="4" s="1"/>
  <c r="L260" i="4" l="1"/>
  <c r="Q254" i="4"/>
  <c r="J253" i="20"/>
  <c r="S253" i="4"/>
  <c r="L253" i="20" s="1"/>
  <c r="Z359" i="4"/>
  <c r="W360" i="4" s="1"/>
  <c r="Q255" i="4" l="1"/>
  <c r="J254" i="20"/>
  <c r="S254" i="4"/>
  <c r="L254" i="20" s="1"/>
  <c r="L261" i="4"/>
  <c r="Z360" i="4"/>
  <c r="W361" i="4" s="1"/>
  <c r="L262" i="4" l="1"/>
  <c r="J255" i="20"/>
  <c r="Q256" i="4"/>
  <c r="S255" i="4"/>
  <c r="L255" i="20" s="1"/>
  <c r="Z361" i="4"/>
  <c r="W362" i="4" s="1"/>
  <c r="J256" i="20" l="1"/>
  <c r="Q257" i="4"/>
  <c r="S256" i="4"/>
  <c r="L256" i="20" s="1"/>
  <c r="L263" i="4"/>
  <c r="Z362" i="4"/>
  <c r="W363" i="4" s="1"/>
  <c r="L264" i="4" l="1"/>
  <c r="J257" i="20"/>
  <c r="Q258" i="4"/>
  <c r="S257" i="4"/>
  <c r="L257" i="20" s="1"/>
  <c r="Z363" i="4"/>
  <c r="W364" i="4" s="1"/>
  <c r="J258" i="20" l="1"/>
  <c r="Q259" i="4"/>
  <c r="S258" i="4"/>
  <c r="L258" i="20" s="1"/>
  <c r="L265" i="4"/>
  <c r="Z364" i="4"/>
  <c r="W365" i="4" s="1"/>
  <c r="L266" i="4" l="1"/>
  <c r="J259" i="20"/>
  <c r="Q260" i="4"/>
  <c r="S259" i="4"/>
  <c r="L259" i="20" s="1"/>
  <c r="Z365" i="4"/>
  <c r="W366" i="4" s="1"/>
  <c r="Q261" i="4" l="1"/>
  <c r="J260" i="20"/>
  <c r="S260" i="4"/>
  <c r="L260" i="20" s="1"/>
  <c r="L267" i="4"/>
  <c r="Z366" i="4"/>
  <c r="W367" i="4" s="1"/>
  <c r="L268" i="4" l="1"/>
  <c r="J261" i="20"/>
  <c r="Q262" i="4"/>
  <c r="S261" i="4"/>
  <c r="L261" i="20" s="1"/>
  <c r="Z367" i="4"/>
  <c r="W368" i="4" s="1"/>
  <c r="Q263" i="4" l="1"/>
  <c r="J262" i="20"/>
  <c r="S262" i="4"/>
  <c r="L262" i="20" s="1"/>
  <c r="L269" i="4"/>
  <c r="Z368" i="4"/>
  <c r="W369" i="4" s="1"/>
  <c r="L270" i="4" l="1"/>
  <c r="J263" i="20"/>
  <c r="Q264" i="4"/>
  <c r="S263" i="4"/>
  <c r="L263" i="20" s="1"/>
  <c r="Z369" i="4"/>
  <c r="W370" i="4" s="1"/>
  <c r="J264" i="20" l="1"/>
  <c r="Q265" i="4"/>
  <c r="S264" i="4"/>
  <c r="L264" i="20" s="1"/>
  <c r="L271" i="4"/>
  <c r="Z370" i="4"/>
  <c r="W371" i="4" s="1"/>
  <c r="J265" i="20" l="1"/>
  <c r="Q266" i="4"/>
  <c r="S265" i="4"/>
  <c r="L265" i="20" s="1"/>
  <c r="L272" i="4"/>
  <c r="Z371" i="4"/>
  <c r="W372" i="4" s="1"/>
  <c r="L273" i="4" l="1"/>
  <c r="J266" i="20"/>
  <c r="Q267" i="4"/>
  <c r="S266" i="4"/>
  <c r="L266" i="20" s="1"/>
  <c r="Z372" i="4"/>
  <c r="W373" i="4" s="1"/>
  <c r="Q268" i="4" l="1"/>
  <c r="J267" i="20"/>
  <c r="S267" i="4"/>
  <c r="L267" i="20" s="1"/>
  <c r="L274" i="4"/>
  <c r="Z373" i="4"/>
  <c r="W374" i="4" s="1"/>
  <c r="L275" i="4" l="1"/>
  <c r="Q269" i="4"/>
  <c r="J268" i="20"/>
  <c r="S268" i="4"/>
  <c r="L268" i="20" s="1"/>
  <c r="Z374" i="4"/>
  <c r="W375" i="4" s="1"/>
  <c r="J269" i="20" l="1"/>
  <c r="Q270" i="4"/>
  <c r="S269" i="4"/>
  <c r="L269" i="20" s="1"/>
  <c r="L276" i="4"/>
  <c r="Z375" i="4"/>
  <c r="W376" i="4" s="1"/>
  <c r="Q271" i="4" l="1"/>
  <c r="J270" i="20"/>
  <c r="S270" i="4"/>
  <c r="L270" i="20" s="1"/>
  <c r="L277" i="4"/>
  <c r="Z376" i="4"/>
  <c r="W377" i="4" s="1"/>
  <c r="L278" i="4" l="1"/>
  <c r="J271" i="20"/>
  <c r="Q272" i="4"/>
  <c r="S271" i="4"/>
  <c r="L271" i="20" s="1"/>
  <c r="Z377" i="4"/>
  <c r="W378" i="4" s="1"/>
  <c r="Q273" i="4" l="1"/>
  <c r="J272" i="20"/>
  <c r="S272" i="4"/>
  <c r="L272" i="20" s="1"/>
  <c r="L279" i="4"/>
  <c r="Z378" i="4"/>
  <c r="W379" i="4" s="1"/>
  <c r="L280" i="4" l="1"/>
  <c r="Q274" i="4"/>
  <c r="J273" i="20"/>
  <c r="S273" i="4"/>
  <c r="L273" i="20" s="1"/>
  <c r="Z379" i="4"/>
  <c r="W380" i="4" s="1"/>
  <c r="J274" i="20" l="1"/>
  <c r="Q275" i="4"/>
  <c r="S274" i="4"/>
  <c r="L274" i="20" s="1"/>
  <c r="L281" i="4"/>
  <c r="Z380" i="4"/>
  <c r="W381" i="4" s="1"/>
  <c r="L282" i="4" l="1"/>
  <c r="Q276" i="4"/>
  <c r="J275" i="20"/>
  <c r="S275" i="4"/>
  <c r="L275" i="20" s="1"/>
  <c r="Z381" i="4"/>
  <c r="W382" i="4" s="1"/>
  <c r="Q277" i="4" l="1"/>
  <c r="J276" i="20"/>
  <c r="S276" i="4"/>
  <c r="L276" i="20" s="1"/>
  <c r="L283" i="4"/>
  <c r="Z382" i="4"/>
  <c r="W383" i="4" s="1"/>
  <c r="L284" i="4" l="1"/>
  <c r="Q278" i="4"/>
  <c r="J277" i="20"/>
  <c r="S277" i="4"/>
  <c r="L277" i="20" s="1"/>
  <c r="Z383" i="4"/>
  <c r="W384" i="4" s="1"/>
  <c r="Q279" i="4" l="1"/>
  <c r="J278" i="20"/>
  <c r="S278" i="4"/>
  <c r="L278" i="20" s="1"/>
  <c r="L285" i="4"/>
  <c r="Z384" i="4"/>
  <c r="W385" i="4" s="1"/>
  <c r="L286" i="4" l="1"/>
  <c r="Q280" i="4"/>
  <c r="J279" i="20"/>
  <c r="S279" i="4"/>
  <c r="L279" i="20" s="1"/>
  <c r="Z385" i="4"/>
  <c r="W386" i="4" s="1"/>
  <c r="J280" i="20" l="1"/>
  <c r="Q281" i="4"/>
  <c r="S280" i="4"/>
  <c r="L280" i="20" s="1"/>
  <c r="L287" i="4"/>
  <c r="Z386" i="4"/>
  <c r="W387" i="4" s="1"/>
  <c r="L288" i="4" l="1"/>
  <c r="J281" i="20"/>
  <c r="Q282" i="4"/>
  <c r="S281" i="4"/>
  <c r="L281" i="20" s="1"/>
  <c r="Z387" i="4"/>
  <c r="W388" i="4" s="1"/>
  <c r="J282" i="20" l="1"/>
  <c r="Q283" i="4"/>
  <c r="S282" i="4"/>
  <c r="L282" i="20" s="1"/>
  <c r="L289" i="4"/>
  <c r="Z388" i="4"/>
  <c r="W389" i="4" s="1"/>
  <c r="L290" i="4" l="1"/>
  <c r="Q284" i="4"/>
  <c r="J283" i="20"/>
  <c r="S283" i="4"/>
  <c r="L283" i="20" s="1"/>
  <c r="Z389" i="4"/>
  <c r="W390" i="4" s="1"/>
  <c r="J284" i="20" l="1"/>
  <c r="Q285" i="4"/>
  <c r="S284" i="4"/>
  <c r="L284" i="20" s="1"/>
  <c r="L291" i="4"/>
  <c r="Z390" i="4"/>
  <c r="W391" i="4" s="1"/>
  <c r="L292" i="4" l="1"/>
  <c r="Q286" i="4"/>
  <c r="J285" i="20"/>
  <c r="S285" i="4"/>
  <c r="L285" i="20" s="1"/>
  <c r="Z391" i="4"/>
  <c r="W392" i="4" s="1"/>
  <c r="J286" i="20" l="1"/>
  <c r="Q287" i="4"/>
  <c r="S286" i="4"/>
  <c r="L286" i="20" s="1"/>
  <c r="L293" i="4"/>
  <c r="Z392" i="4"/>
  <c r="W393" i="4" s="1"/>
  <c r="L294" i="4" l="1"/>
  <c r="J287" i="20"/>
  <c r="Q288" i="4"/>
  <c r="S287" i="4"/>
  <c r="L287" i="20" s="1"/>
  <c r="Z393" i="4"/>
  <c r="W394" i="4" s="1"/>
  <c r="Q289" i="4" l="1"/>
  <c r="J288" i="20"/>
  <c r="S288" i="4"/>
  <c r="L288" i="20" s="1"/>
  <c r="L295" i="4"/>
  <c r="Z394" i="4"/>
  <c r="W395" i="4" s="1"/>
  <c r="L296" i="4" l="1"/>
  <c r="Q290" i="4"/>
  <c r="J289" i="20"/>
  <c r="S289" i="4"/>
  <c r="L289" i="20" s="1"/>
  <c r="Z395" i="4"/>
  <c r="W396" i="4" s="1"/>
  <c r="J290" i="20" l="1"/>
  <c r="Q291" i="4"/>
  <c r="S290" i="4"/>
  <c r="L290" i="20" s="1"/>
  <c r="L297" i="4"/>
  <c r="Z396" i="4"/>
  <c r="W397" i="4" s="1"/>
  <c r="L298" i="4" l="1"/>
  <c r="Q292" i="4"/>
  <c r="J291" i="20"/>
  <c r="S291" i="4"/>
  <c r="L291" i="20" s="1"/>
  <c r="Z397" i="4"/>
  <c r="W398" i="4" s="1"/>
  <c r="Q293" i="4" l="1"/>
  <c r="J292" i="20"/>
  <c r="S292" i="4"/>
  <c r="L292" i="20" s="1"/>
  <c r="L299" i="4"/>
  <c r="Z398" i="4"/>
  <c r="W399" i="4" s="1"/>
  <c r="L300" i="4" l="1"/>
  <c r="J293" i="20"/>
  <c r="Q294" i="4"/>
  <c r="S293" i="4"/>
  <c r="L293" i="20" s="1"/>
  <c r="Z399" i="4"/>
  <c r="W400" i="4" s="1"/>
  <c r="Q295" i="4" l="1"/>
  <c r="J294" i="20"/>
  <c r="S294" i="4"/>
  <c r="L294" i="20" s="1"/>
  <c r="L301" i="4"/>
  <c r="Z400" i="4"/>
  <c r="W401" i="4" s="1"/>
  <c r="L302" i="4" l="1"/>
  <c r="J295" i="20"/>
  <c r="Q296" i="4"/>
  <c r="S295" i="4"/>
  <c r="L295" i="20" s="1"/>
  <c r="Z401" i="4"/>
  <c r="W402" i="4" s="1"/>
  <c r="Q297" i="4" l="1"/>
  <c r="J296" i="20"/>
  <c r="S296" i="4"/>
  <c r="L296" i="20" s="1"/>
  <c r="L303" i="4"/>
  <c r="Z402" i="4"/>
  <c r="W403" i="4" s="1"/>
  <c r="L304" i="4" l="1"/>
  <c r="J297" i="20"/>
  <c r="Q298" i="4"/>
  <c r="S297" i="4"/>
  <c r="L297" i="20" s="1"/>
  <c r="Z403" i="4"/>
  <c r="W404" i="4" s="1"/>
  <c r="Q299" i="4" l="1"/>
  <c r="J298" i="20"/>
  <c r="S298" i="4"/>
  <c r="L298" i="20" s="1"/>
  <c r="L305" i="4"/>
  <c r="Z404" i="4"/>
  <c r="W405" i="4" s="1"/>
  <c r="L306" i="4" l="1"/>
  <c r="J299" i="20"/>
  <c r="Q300" i="4"/>
  <c r="S299" i="4"/>
  <c r="L299" i="20" s="1"/>
  <c r="Z405" i="4"/>
  <c r="W406" i="4" s="1"/>
  <c r="Q301" i="4" l="1"/>
  <c r="J300" i="20"/>
  <c r="S300" i="4"/>
  <c r="L300" i="20" s="1"/>
  <c r="L307" i="4"/>
  <c r="Z406" i="4"/>
  <c r="W407" i="4" s="1"/>
  <c r="L308" i="4" l="1"/>
  <c r="J301" i="20"/>
  <c r="Q302" i="4"/>
  <c r="S301" i="4"/>
  <c r="L301" i="20" s="1"/>
  <c r="Z407" i="4"/>
  <c r="W408" i="4" s="1"/>
  <c r="Q303" i="4" l="1"/>
  <c r="J302" i="20"/>
  <c r="S302" i="4"/>
  <c r="L302" i="20" s="1"/>
  <c r="L309" i="4"/>
  <c r="Z408" i="4"/>
  <c r="W409" i="4" s="1"/>
  <c r="L310" i="4" l="1"/>
  <c r="Q304" i="4"/>
  <c r="J303" i="20"/>
  <c r="S303" i="4"/>
  <c r="L303" i="20" s="1"/>
  <c r="Z409" i="4"/>
  <c r="W410" i="4" s="1"/>
  <c r="J304" i="20" l="1"/>
  <c r="Q305" i="4"/>
  <c r="S304" i="4"/>
  <c r="L304" i="20" s="1"/>
  <c r="L311" i="4"/>
  <c r="Z410" i="4"/>
  <c r="W411" i="4" s="1"/>
  <c r="Q306" i="4" l="1"/>
  <c r="J305" i="20"/>
  <c r="S305" i="4"/>
  <c r="L305" i="20" s="1"/>
  <c r="L312" i="4"/>
  <c r="Z411" i="4"/>
  <c r="W412" i="4" s="1"/>
  <c r="L313" i="4" l="1"/>
  <c r="Q307" i="4"/>
  <c r="J306" i="20"/>
  <c r="S306" i="4"/>
  <c r="L306" i="20" s="1"/>
  <c r="Z412" i="4"/>
  <c r="W413" i="4" s="1"/>
  <c r="J307" i="20" l="1"/>
  <c r="Q308" i="4"/>
  <c r="S307" i="4"/>
  <c r="L307" i="20" s="1"/>
  <c r="L314" i="4"/>
  <c r="Z413" i="4"/>
  <c r="W414" i="4" s="1"/>
  <c r="L315" i="4" l="1"/>
  <c r="J308" i="20"/>
  <c r="Q309" i="4"/>
  <c r="S308" i="4"/>
  <c r="L308" i="20" s="1"/>
  <c r="Z414" i="4"/>
  <c r="W415" i="4" s="1"/>
  <c r="J309" i="20" l="1"/>
  <c r="Q310" i="4"/>
  <c r="S309" i="4"/>
  <c r="L309" i="20" s="1"/>
  <c r="L316" i="4"/>
  <c r="Z415" i="4"/>
  <c r="W416" i="4" s="1"/>
  <c r="L317" i="4" l="1"/>
  <c r="J310" i="20"/>
  <c r="Q311" i="4"/>
  <c r="S310" i="4"/>
  <c r="L310" i="20" s="1"/>
  <c r="Z416" i="4"/>
  <c r="W417" i="4" s="1"/>
  <c r="Q312" i="4" l="1"/>
  <c r="J311" i="20"/>
  <c r="S311" i="4"/>
  <c r="L311" i="20" s="1"/>
  <c r="L318" i="4"/>
  <c r="Z417" i="4"/>
  <c r="W418" i="4" s="1"/>
  <c r="L319" i="4" l="1"/>
  <c r="Q313" i="4"/>
  <c r="J312" i="20"/>
  <c r="S312" i="4"/>
  <c r="L312" i="20" s="1"/>
  <c r="Z418" i="4"/>
  <c r="W419" i="4" s="1"/>
  <c r="Q314" i="4" l="1"/>
  <c r="J313" i="20"/>
  <c r="S313" i="4"/>
  <c r="L313" i="20" s="1"/>
  <c r="L320" i="4"/>
  <c r="Z419" i="4"/>
  <c r="W420" i="4" s="1"/>
  <c r="L321" i="4" l="1"/>
  <c r="Q315" i="4"/>
  <c r="J314" i="20"/>
  <c r="S314" i="4"/>
  <c r="L314" i="20" s="1"/>
  <c r="Z420" i="4"/>
  <c r="W421" i="4" s="1"/>
  <c r="J315" i="20" l="1"/>
  <c r="Q316" i="4"/>
  <c r="S315" i="4"/>
  <c r="L315" i="20" s="1"/>
  <c r="L322" i="4"/>
  <c r="Z421" i="4"/>
  <c r="W422" i="4" s="1"/>
  <c r="L323" i="4" l="1"/>
  <c r="J316" i="20"/>
  <c r="Q317" i="4"/>
  <c r="S316" i="4"/>
  <c r="L316" i="20" s="1"/>
  <c r="Z422" i="4"/>
  <c r="W423" i="4" s="1"/>
  <c r="J317" i="20" l="1"/>
  <c r="Q318" i="4"/>
  <c r="S317" i="4"/>
  <c r="L317" i="20" s="1"/>
  <c r="L324" i="4"/>
  <c r="Z423" i="4"/>
  <c r="W424" i="4" s="1"/>
  <c r="J318" i="20" l="1"/>
  <c r="Q319" i="4"/>
  <c r="S318" i="4"/>
  <c r="L318" i="20" s="1"/>
  <c r="L325" i="4"/>
  <c r="Z424" i="4"/>
  <c r="W425" i="4" s="1"/>
  <c r="L326" i="4" l="1"/>
  <c r="Q320" i="4"/>
  <c r="J319" i="20"/>
  <c r="S319" i="4"/>
  <c r="L319" i="20" s="1"/>
  <c r="Z425" i="4"/>
  <c r="W426" i="4" s="1"/>
  <c r="Q321" i="4" l="1"/>
  <c r="J320" i="20"/>
  <c r="S320" i="4"/>
  <c r="L320" i="20" s="1"/>
  <c r="L327" i="4"/>
  <c r="Z426" i="4"/>
  <c r="W427" i="4" s="1"/>
  <c r="L328" i="4" l="1"/>
  <c r="Q322" i="4"/>
  <c r="J321" i="20"/>
  <c r="S321" i="4"/>
  <c r="L321" i="20" s="1"/>
  <c r="Z427" i="4"/>
  <c r="W428" i="4" s="1"/>
  <c r="J322" i="20" l="1"/>
  <c r="Q323" i="4"/>
  <c r="S322" i="4"/>
  <c r="L322" i="20" s="1"/>
  <c r="L329" i="4"/>
  <c r="Z428" i="4"/>
  <c r="W429" i="4" s="1"/>
  <c r="L330" i="4" l="1"/>
  <c r="J323" i="20"/>
  <c r="Q324" i="4"/>
  <c r="S323" i="4"/>
  <c r="L323" i="20" s="1"/>
  <c r="Z429" i="4"/>
  <c r="W430" i="4" s="1"/>
  <c r="Q325" i="4" l="1"/>
  <c r="J324" i="20"/>
  <c r="S324" i="4"/>
  <c r="L324" i="20" s="1"/>
  <c r="L331" i="4"/>
  <c r="Z430" i="4"/>
  <c r="W431" i="4" s="1"/>
  <c r="L332" i="4" l="1"/>
  <c r="J325" i="20"/>
  <c r="Q326" i="4"/>
  <c r="S325" i="4"/>
  <c r="L325" i="20" s="1"/>
  <c r="Z431" i="4"/>
  <c r="W432" i="4" s="1"/>
  <c r="J326" i="20" l="1"/>
  <c r="Q327" i="4"/>
  <c r="S326" i="4"/>
  <c r="L326" i="20" s="1"/>
  <c r="L333" i="4"/>
  <c r="Z432" i="4"/>
  <c r="W433" i="4" s="1"/>
  <c r="L334" i="4" l="1"/>
  <c r="J327" i="20"/>
  <c r="Q328" i="4"/>
  <c r="S327" i="4"/>
  <c r="L327" i="20" s="1"/>
  <c r="Z433" i="4"/>
  <c r="W434" i="4" s="1"/>
  <c r="Q329" i="4" l="1"/>
  <c r="J328" i="20"/>
  <c r="S328" i="4"/>
  <c r="L328" i="20" s="1"/>
  <c r="L335" i="4"/>
  <c r="Z434" i="4"/>
  <c r="W435" i="4" s="1"/>
  <c r="L336" i="4" l="1"/>
  <c r="Q330" i="4"/>
  <c r="J329" i="20"/>
  <c r="S329" i="4"/>
  <c r="L329" i="20" s="1"/>
  <c r="Z435" i="4"/>
  <c r="W436" i="4" s="1"/>
  <c r="Q331" i="4" l="1"/>
  <c r="J330" i="20"/>
  <c r="S330" i="4"/>
  <c r="L330" i="20" s="1"/>
  <c r="L337" i="4"/>
  <c r="Z436" i="4"/>
  <c r="W437" i="4" s="1"/>
  <c r="L338" i="4" l="1"/>
  <c r="J331" i="20"/>
  <c r="Q332" i="4"/>
  <c r="S331" i="4"/>
  <c r="L331" i="20" s="1"/>
  <c r="Z437" i="4"/>
  <c r="W438" i="4" s="1"/>
  <c r="Q333" i="4" l="1"/>
  <c r="J332" i="20"/>
  <c r="S332" i="4"/>
  <c r="L332" i="20" s="1"/>
  <c r="L339" i="4"/>
  <c r="Z438" i="4"/>
  <c r="W439" i="4" s="1"/>
  <c r="L340" i="4" l="1"/>
  <c r="J333" i="20"/>
  <c r="Q334" i="4"/>
  <c r="S333" i="4"/>
  <c r="L333" i="20" s="1"/>
  <c r="Z439" i="4"/>
  <c r="W440" i="4" s="1"/>
  <c r="Q335" i="4" l="1"/>
  <c r="J334" i="20"/>
  <c r="S334" i="4"/>
  <c r="L334" i="20" s="1"/>
  <c r="L341" i="4"/>
  <c r="Z440" i="4"/>
  <c r="W441" i="4" s="1"/>
  <c r="L342" i="4" l="1"/>
  <c r="J335" i="20"/>
  <c r="Q336" i="4"/>
  <c r="S335" i="4"/>
  <c r="L335" i="20" s="1"/>
  <c r="Z441" i="4"/>
  <c r="W442" i="4" s="1"/>
  <c r="J336" i="20" l="1"/>
  <c r="Q337" i="4"/>
  <c r="S336" i="4"/>
  <c r="L336" i="20" s="1"/>
  <c r="L343" i="4"/>
  <c r="Z442" i="4"/>
  <c r="W443" i="4" s="1"/>
  <c r="L344" i="4" l="1"/>
  <c r="J337" i="20"/>
  <c r="Q338" i="4"/>
  <c r="S337" i="4"/>
  <c r="L337" i="20" s="1"/>
  <c r="Z443" i="4"/>
  <c r="W444" i="4" s="1"/>
  <c r="Q339" i="4" l="1"/>
  <c r="J338" i="20"/>
  <c r="S338" i="4"/>
  <c r="L338" i="20" s="1"/>
  <c r="L345" i="4"/>
  <c r="Z444" i="4"/>
  <c r="W445" i="4" s="1"/>
  <c r="L346" i="4" l="1"/>
  <c r="J339" i="20"/>
  <c r="Q340" i="4"/>
  <c r="S339" i="4"/>
  <c r="L339" i="20" s="1"/>
  <c r="Z445" i="4"/>
  <c r="W446" i="4" s="1"/>
  <c r="Q341" i="4" l="1"/>
  <c r="J340" i="20"/>
  <c r="S340" i="4"/>
  <c r="L340" i="20" s="1"/>
  <c r="L347" i="4"/>
  <c r="Z446" i="4"/>
  <c r="W447" i="4" s="1"/>
  <c r="L348" i="4" l="1"/>
  <c r="J341" i="20"/>
  <c r="Q342" i="4"/>
  <c r="S341" i="4"/>
  <c r="L341" i="20" s="1"/>
  <c r="Z447" i="4"/>
  <c r="W448" i="4" s="1"/>
  <c r="J342" i="20" l="1"/>
  <c r="Q343" i="4"/>
  <c r="S342" i="4"/>
  <c r="L342" i="20" s="1"/>
  <c r="L349" i="4"/>
  <c r="Z448" i="4"/>
  <c r="W449" i="4" s="1"/>
  <c r="L350" i="4" l="1"/>
  <c r="J343" i="20"/>
  <c r="Q344" i="4"/>
  <c r="S343" i="4"/>
  <c r="L343" i="20" s="1"/>
  <c r="Z449" i="4"/>
  <c r="W450" i="4" s="1"/>
  <c r="J344" i="20" l="1"/>
  <c r="Q345" i="4"/>
  <c r="S344" i="4"/>
  <c r="L344" i="20" s="1"/>
  <c r="L351" i="4"/>
  <c r="Z450" i="4"/>
  <c r="W451" i="4" s="1"/>
  <c r="L352" i="4" l="1"/>
  <c r="J345" i="20"/>
  <c r="Q346" i="4"/>
  <c r="S345" i="4"/>
  <c r="L345" i="20" s="1"/>
  <c r="Z451" i="4"/>
  <c r="W452" i="4" s="1"/>
  <c r="Q347" i="4" l="1"/>
  <c r="J346" i="20"/>
  <c r="S346" i="4"/>
  <c r="L346" i="20" s="1"/>
  <c r="L353" i="4"/>
  <c r="Z452" i="4"/>
  <c r="W453" i="4" s="1"/>
  <c r="L354" i="4" l="1"/>
  <c r="Q348" i="4"/>
  <c r="J347" i="20"/>
  <c r="S347" i="4"/>
  <c r="L347" i="20" s="1"/>
  <c r="Z453" i="4"/>
  <c r="W454" i="4" s="1"/>
  <c r="J348" i="20" l="1"/>
  <c r="Q349" i="4"/>
  <c r="S348" i="4"/>
  <c r="L348" i="20" s="1"/>
  <c r="L355" i="4"/>
  <c r="Z454" i="4"/>
  <c r="W455" i="4" s="1"/>
  <c r="L356" i="4" l="1"/>
  <c r="J349" i="20"/>
  <c r="Q350" i="4"/>
  <c r="S349" i="4"/>
  <c r="L349" i="20" s="1"/>
  <c r="Z455" i="4"/>
  <c r="W456" i="4" s="1"/>
  <c r="J350" i="20" l="1"/>
  <c r="Q351" i="4"/>
  <c r="S350" i="4"/>
  <c r="L350" i="20" s="1"/>
  <c r="L357" i="4"/>
  <c r="Z456" i="4"/>
  <c r="W457" i="4" s="1"/>
  <c r="L358" i="4" l="1"/>
  <c r="Q352" i="4"/>
  <c r="J351" i="20"/>
  <c r="S351" i="4"/>
  <c r="L351" i="20" s="1"/>
  <c r="Z457" i="4"/>
  <c r="W458" i="4" s="1"/>
  <c r="Q353" i="4" l="1"/>
  <c r="J352" i="20"/>
  <c r="S352" i="4"/>
  <c r="L352" i="20" s="1"/>
  <c r="L359" i="4"/>
  <c r="Z458" i="4"/>
  <c r="W459" i="4" s="1"/>
  <c r="L360" i="4" l="1"/>
  <c r="J353" i="20"/>
  <c r="Q354" i="4"/>
  <c r="S353" i="4"/>
  <c r="L353" i="20" s="1"/>
  <c r="Z459" i="4"/>
  <c r="W460" i="4" s="1"/>
  <c r="Q355" i="4" l="1"/>
  <c r="J354" i="20"/>
  <c r="S354" i="4"/>
  <c r="L354" i="20" s="1"/>
  <c r="L361" i="4"/>
  <c r="Z460" i="4"/>
  <c r="W461" i="4" s="1"/>
  <c r="L362" i="4" l="1"/>
  <c r="J355" i="20"/>
  <c r="Q356" i="4"/>
  <c r="S355" i="4"/>
  <c r="L355" i="20" s="1"/>
  <c r="Z461" i="4"/>
  <c r="W462" i="4" s="1"/>
  <c r="J356" i="20" l="1"/>
  <c r="Q357" i="4"/>
  <c r="S356" i="4"/>
  <c r="L356" i="20" s="1"/>
  <c r="L363" i="4"/>
  <c r="Z462" i="4"/>
  <c r="W463" i="4" s="1"/>
  <c r="L364" i="4" l="1"/>
  <c r="Q358" i="4"/>
  <c r="J357" i="20"/>
  <c r="S357" i="4"/>
  <c r="L357" i="20" s="1"/>
  <c r="Z463" i="4"/>
  <c r="W464" i="4" s="1"/>
  <c r="Q359" i="4" l="1"/>
  <c r="J358" i="20"/>
  <c r="S358" i="4"/>
  <c r="L358" i="20" s="1"/>
  <c r="L365" i="4"/>
  <c r="Z464" i="4"/>
  <c r="W465" i="4" s="1"/>
  <c r="L366" i="4" l="1"/>
  <c r="J359" i="20"/>
  <c r="Q360" i="4"/>
  <c r="S359" i="4"/>
  <c r="L359" i="20" s="1"/>
  <c r="Z465" i="4"/>
  <c r="W466" i="4" s="1"/>
  <c r="Q361" i="4" l="1"/>
  <c r="J360" i="20"/>
  <c r="S360" i="4"/>
  <c r="L360" i="20" s="1"/>
  <c r="L367" i="4"/>
  <c r="Z466" i="4"/>
  <c r="W467" i="4" s="1"/>
  <c r="L368" i="4" l="1"/>
  <c r="J361" i="20"/>
  <c r="Q362" i="4"/>
  <c r="S361" i="4"/>
  <c r="L361" i="20" s="1"/>
  <c r="Z467" i="4"/>
  <c r="W468" i="4" s="1"/>
  <c r="Q363" i="4" l="1"/>
  <c r="J362" i="20"/>
  <c r="S362" i="4"/>
  <c r="L362" i="20" s="1"/>
  <c r="L369" i="4"/>
  <c r="Z468" i="4"/>
  <c r="W469" i="4" s="1"/>
  <c r="L370" i="4" l="1"/>
  <c r="Q364" i="4"/>
  <c r="J363" i="20"/>
  <c r="S363" i="4"/>
  <c r="L363" i="20" s="1"/>
  <c r="Z469" i="4"/>
  <c r="W470" i="4" s="1"/>
  <c r="J364" i="20" l="1"/>
  <c r="Q365" i="4"/>
  <c r="S364" i="4"/>
  <c r="L364" i="20" s="1"/>
  <c r="L371" i="4"/>
  <c r="Z470" i="4"/>
  <c r="W471" i="4" s="1"/>
  <c r="J365" i="20" l="1"/>
  <c r="Q366" i="4"/>
  <c r="S365" i="4"/>
  <c r="L365" i="20" s="1"/>
  <c r="L372" i="4"/>
  <c r="Z471" i="4"/>
  <c r="W472" i="4" s="1"/>
  <c r="L373" i="4" l="1"/>
  <c r="J366" i="20"/>
  <c r="Q367" i="4"/>
  <c r="S366" i="4"/>
  <c r="L366" i="20" s="1"/>
  <c r="Z472" i="4"/>
  <c r="W473" i="4" s="1"/>
  <c r="J367" i="20" l="1"/>
  <c r="Q368" i="4"/>
  <c r="S367" i="4"/>
  <c r="L367" i="20" s="1"/>
  <c r="L374" i="4"/>
  <c r="Z473" i="4"/>
  <c r="W474" i="4" s="1"/>
  <c r="L375" i="4" l="1"/>
  <c r="Q369" i="4"/>
  <c r="J368" i="20"/>
  <c r="S368" i="4"/>
  <c r="L368" i="20" s="1"/>
  <c r="Z474" i="4"/>
  <c r="W475" i="4" s="1"/>
  <c r="Q370" i="4" l="1"/>
  <c r="J369" i="20"/>
  <c r="S369" i="4"/>
  <c r="L369" i="20" s="1"/>
  <c r="L376" i="4"/>
  <c r="Z475" i="4"/>
  <c r="W476" i="4" s="1"/>
  <c r="L377" i="4" l="1"/>
  <c r="Q371" i="4"/>
  <c r="J370" i="20"/>
  <c r="S370" i="4"/>
  <c r="L370" i="20" s="1"/>
  <c r="Z476" i="4"/>
  <c r="W477" i="4" s="1"/>
  <c r="J371" i="20" l="1"/>
  <c r="Q372" i="4"/>
  <c r="S371" i="4"/>
  <c r="L371" i="20" s="1"/>
  <c r="L378" i="4"/>
  <c r="Z477" i="4"/>
  <c r="W478" i="4" s="1"/>
  <c r="L379" i="4" l="1"/>
  <c r="J372" i="20"/>
  <c r="Q373" i="4"/>
  <c r="S372" i="4"/>
  <c r="L372" i="20" s="1"/>
  <c r="Z478" i="4"/>
  <c r="W479" i="4" s="1"/>
  <c r="J373" i="20" l="1"/>
  <c r="Q374" i="4"/>
  <c r="S373" i="4"/>
  <c r="L373" i="20" s="1"/>
  <c r="L380" i="4"/>
  <c r="Z479" i="4"/>
  <c r="W480" i="4" s="1"/>
  <c r="L381" i="4" l="1"/>
  <c r="J374" i="20"/>
  <c r="Q375" i="4"/>
  <c r="S374" i="4"/>
  <c r="L374" i="20" s="1"/>
  <c r="Z480" i="4"/>
  <c r="W481" i="4" s="1"/>
  <c r="J375" i="20" l="1"/>
  <c r="Q376" i="4"/>
  <c r="S375" i="4"/>
  <c r="L375" i="20" s="1"/>
  <c r="L382" i="4"/>
  <c r="Z481" i="4"/>
  <c r="W482" i="4" s="1"/>
  <c r="L383" i="4" l="1"/>
  <c r="J376" i="20"/>
  <c r="Q377" i="4"/>
  <c r="S376" i="4"/>
  <c r="L376" i="20" s="1"/>
  <c r="Z482" i="4"/>
  <c r="W483" i="4" s="1"/>
  <c r="Q378" i="4" l="1"/>
  <c r="J377" i="20"/>
  <c r="S377" i="4"/>
  <c r="L377" i="20" s="1"/>
  <c r="L384" i="4"/>
  <c r="Z483" i="4"/>
  <c r="W484" i="4" s="1"/>
  <c r="L385" i="4" l="1"/>
  <c r="Q379" i="4"/>
  <c r="J378" i="20"/>
  <c r="S378" i="4"/>
  <c r="L378" i="20" s="1"/>
  <c r="Z484" i="4"/>
  <c r="W485" i="4" s="1"/>
  <c r="J379" i="20" l="1"/>
  <c r="Q380" i="4"/>
  <c r="S379" i="4"/>
  <c r="L379" i="20" s="1"/>
  <c r="L386" i="4"/>
  <c r="Z485" i="4"/>
  <c r="W486" i="4" s="1"/>
  <c r="L387" i="4" l="1"/>
  <c r="J380" i="20"/>
  <c r="Q381" i="4"/>
  <c r="S380" i="4"/>
  <c r="L380" i="20" s="1"/>
  <c r="Z486" i="4"/>
  <c r="W487" i="4" s="1"/>
  <c r="J381" i="20" l="1"/>
  <c r="Q382" i="4"/>
  <c r="S381" i="4"/>
  <c r="L381" i="20" s="1"/>
  <c r="L388" i="4"/>
  <c r="Z487" i="4"/>
  <c r="W488" i="4" s="1"/>
  <c r="L389" i="4" l="1"/>
  <c r="Q383" i="4"/>
  <c r="J382" i="20"/>
  <c r="S382" i="4"/>
  <c r="L382" i="20" s="1"/>
  <c r="Z488" i="4"/>
  <c r="W489" i="4" s="1"/>
  <c r="J383" i="20" l="1"/>
  <c r="Q384" i="4"/>
  <c r="S383" i="4"/>
  <c r="L383" i="20" s="1"/>
  <c r="L390" i="4"/>
  <c r="Z489" i="4"/>
  <c r="W490" i="4" s="1"/>
  <c r="L391" i="4" l="1"/>
  <c r="J384" i="20"/>
  <c r="Q385" i="4"/>
  <c r="S384" i="4"/>
  <c r="L384" i="20" s="1"/>
  <c r="Z490" i="4"/>
  <c r="W491" i="4" s="1"/>
  <c r="J385" i="20" l="1"/>
  <c r="Q386" i="4"/>
  <c r="S385" i="4"/>
  <c r="L385" i="20" s="1"/>
  <c r="L392" i="4"/>
  <c r="Z491" i="4"/>
  <c r="W492" i="4" s="1"/>
  <c r="L393" i="4" l="1"/>
  <c r="Q387" i="4"/>
  <c r="J386" i="20"/>
  <c r="S386" i="4"/>
  <c r="L386" i="20" s="1"/>
  <c r="Z492" i="4"/>
  <c r="W493" i="4" s="1"/>
  <c r="Q388" i="4" l="1"/>
  <c r="J387" i="20"/>
  <c r="S387" i="4"/>
  <c r="L387" i="20" s="1"/>
  <c r="L394" i="4"/>
  <c r="Z493" i="4"/>
  <c r="W494" i="4" s="1"/>
  <c r="L395" i="4" l="1"/>
  <c r="Q389" i="4"/>
  <c r="J388" i="20"/>
  <c r="S388" i="4"/>
  <c r="L388" i="20" s="1"/>
  <c r="Z494" i="4"/>
  <c r="W495" i="4" s="1"/>
  <c r="Q390" i="4" l="1"/>
  <c r="J389" i="20"/>
  <c r="S389" i="4"/>
  <c r="L389" i="20" s="1"/>
  <c r="L396" i="4"/>
  <c r="Z495" i="4"/>
  <c r="W496" i="4" s="1"/>
  <c r="L397" i="4" l="1"/>
  <c r="J390" i="20"/>
  <c r="Q391" i="4"/>
  <c r="S390" i="4"/>
  <c r="L390" i="20" s="1"/>
  <c r="Z496" i="4"/>
  <c r="W497" i="4" s="1"/>
  <c r="Q392" i="4" l="1"/>
  <c r="J391" i="20"/>
  <c r="S391" i="4"/>
  <c r="L391" i="20" s="1"/>
  <c r="L398" i="4"/>
  <c r="Z497" i="4"/>
  <c r="W498" i="4" s="1"/>
  <c r="L399" i="4" l="1"/>
  <c r="J392" i="20"/>
  <c r="Q393" i="4"/>
  <c r="S392" i="4"/>
  <c r="L392" i="20" s="1"/>
  <c r="Z498" i="4"/>
  <c r="W499" i="4" s="1"/>
  <c r="Q394" i="4" l="1"/>
  <c r="J393" i="20"/>
  <c r="S393" i="4"/>
  <c r="L393" i="20" s="1"/>
  <c r="L400" i="4"/>
  <c r="Z499" i="4"/>
  <c r="W500" i="4" s="1"/>
  <c r="L401" i="4" l="1"/>
  <c r="Q395" i="4"/>
  <c r="J394" i="20"/>
  <c r="S394" i="4"/>
  <c r="L394" i="20" s="1"/>
  <c r="Z500" i="4"/>
  <c r="W501" i="4" s="1"/>
  <c r="Q396" i="4" l="1"/>
  <c r="J395" i="20"/>
  <c r="S395" i="4"/>
  <c r="L395" i="20" s="1"/>
  <c r="L402" i="4"/>
  <c r="Z501" i="4"/>
  <c r="W502" i="4" s="1"/>
  <c r="L403" i="4" l="1"/>
  <c r="Q397" i="4"/>
  <c r="J396" i="20"/>
  <c r="S396" i="4"/>
  <c r="L396" i="20" s="1"/>
  <c r="Z502" i="4"/>
  <c r="W503" i="4" s="1"/>
  <c r="Q398" i="4" l="1"/>
  <c r="J397" i="20"/>
  <c r="S397" i="4"/>
  <c r="L397" i="20" s="1"/>
  <c r="L404" i="4"/>
  <c r="Z503" i="4"/>
  <c r="W504" i="4" s="1"/>
  <c r="L405" i="4" l="1"/>
  <c r="Q399" i="4"/>
  <c r="J398" i="20"/>
  <c r="S398" i="4"/>
  <c r="L398" i="20" s="1"/>
  <c r="Z504" i="4"/>
  <c r="W505" i="4" s="1"/>
  <c r="J399" i="20" l="1"/>
  <c r="Q400" i="4"/>
  <c r="S399" i="4"/>
  <c r="L399" i="20" s="1"/>
  <c r="L406" i="4"/>
  <c r="Z505" i="4"/>
  <c r="W506" i="4" s="1"/>
  <c r="L407" i="4" l="1"/>
  <c r="J400" i="20"/>
  <c r="Q401" i="4"/>
  <c r="S400" i="4"/>
  <c r="L400" i="20" s="1"/>
  <c r="Z506" i="4"/>
  <c r="W507" i="4" s="1"/>
  <c r="Q402" i="4" l="1"/>
  <c r="J401" i="20"/>
  <c r="S401" i="4"/>
  <c r="L401" i="20" s="1"/>
  <c r="L408" i="4"/>
  <c r="Z507" i="4"/>
  <c r="W508" i="4" s="1"/>
  <c r="L409" i="4" l="1"/>
  <c r="J402" i="20"/>
  <c r="Q403" i="4"/>
  <c r="S402" i="4"/>
  <c r="L402" i="20" s="1"/>
  <c r="Z508" i="4"/>
  <c r="W509" i="4" s="1"/>
  <c r="Q404" i="4" l="1"/>
  <c r="J403" i="20"/>
  <c r="S403" i="4"/>
  <c r="L403" i="20" s="1"/>
  <c r="L410" i="4"/>
  <c r="Z509" i="4"/>
  <c r="W510" i="4" s="1"/>
  <c r="L411" i="4" l="1"/>
  <c r="J404" i="20"/>
  <c r="Q405" i="4"/>
  <c r="S404" i="4"/>
  <c r="L404" i="20" s="1"/>
  <c r="Z510" i="4"/>
  <c r="W511" i="4" s="1"/>
  <c r="J405" i="20" l="1"/>
  <c r="Q406" i="4"/>
  <c r="S405" i="4"/>
  <c r="L405" i="20" s="1"/>
  <c r="L412" i="4"/>
  <c r="Z511" i="4"/>
  <c r="W512" i="4" s="1"/>
  <c r="J406" i="20" l="1"/>
  <c r="Q407" i="4"/>
  <c r="S406" i="4"/>
  <c r="L406" i="20" s="1"/>
  <c r="L413" i="4"/>
  <c r="Z512" i="4"/>
  <c r="W513" i="4" s="1"/>
  <c r="L414" i="4" l="1"/>
  <c r="Q408" i="4"/>
  <c r="J407" i="20"/>
  <c r="S407" i="4"/>
  <c r="L407" i="20" s="1"/>
  <c r="Z513" i="4"/>
  <c r="W514" i="4" s="1"/>
  <c r="J408" i="20" l="1"/>
  <c r="Q409" i="4"/>
  <c r="S408" i="4"/>
  <c r="L408" i="20" s="1"/>
  <c r="L415" i="4"/>
  <c r="Z514" i="4"/>
  <c r="W515" i="4" s="1"/>
  <c r="L416" i="4" l="1"/>
  <c r="J409" i="20"/>
  <c r="Q410" i="4"/>
  <c r="S409" i="4"/>
  <c r="L409" i="20" s="1"/>
  <c r="Z515" i="4"/>
  <c r="W516" i="4" s="1"/>
  <c r="Q411" i="4" l="1"/>
  <c r="J410" i="20"/>
  <c r="S410" i="4"/>
  <c r="L410" i="20" s="1"/>
  <c r="L417" i="4"/>
  <c r="Z516" i="4"/>
  <c r="W517" i="4" s="1"/>
  <c r="L418" i="4" l="1"/>
  <c r="J411" i="20"/>
  <c r="Q412" i="4"/>
  <c r="S411" i="4"/>
  <c r="L411" i="20" s="1"/>
  <c r="Z517" i="4"/>
  <c r="W518" i="4" s="1"/>
  <c r="J412" i="20" l="1"/>
  <c r="Q413" i="4"/>
  <c r="S412" i="4"/>
  <c r="L412" i="20" s="1"/>
  <c r="L419" i="4"/>
  <c r="Z518" i="4"/>
  <c r="W519" i="4" s="1"/>
  <c r="L420" i="4" l="1"/>
  <c r="Q414" i="4"/>
  <c r="J413" i="20"/>
  <c r="S413" i="4"/>
  <c r="L413" i="20" s="1"/>
  <c r="Z519" i="4"/>
  <c r="W520" i="4" s="1"/>
  <c r="J414" i="20" l="1"/>
  <c r="Q415" i="4"/>
  <c r="S414" i="4"/>
  <c r="L414" i="20" s="1"/>
  <c r="L421" i="4"/>
  <c r="Z520" i="4"/>
  <c r="W521" i="4" s="1"/>
  <c r="J415" i="20" l="1"/>
  <c r="Q416" i="4"/>
  <c r="S415" i="4"/>
  <c r="L415" i="20" s="1"/>
  <c r="L422" i="4"/>
  <c r="Z521" i="4"/>
  <c r="W522" i="4" s="1"/>
  <c r="L423" i="4" l="1"/>
  <c r="J416" i="20"/>
  <c r="Q417" i="4"/>
  <c r="S416" i="4"/>
  <c r="L416" i="20" s="1"/>
  <c r="Z522" i="4"/>
  <c r="W523" i="4" s="1"/>
  <c r="Q418" i="4" l="1"/>
  <c r="J417" i="20"/>
  <c r="S417" i="4"/>
  <c r="L417" i="20" s="1"/>
  <c r="L424" i="4"/>
  <c r="Z523" i="4"/>
  <c r="W524" i="4" s="1"/>
  <c r="L425" i="4" l="1"/>
  <c r="Q419" i="4"/>
  <c r="J418" i="20"/>
  <c r="S418" i="4"/>
  <c r="L418" i="20" s="1"/>
  <c r="Z524" i="4"/>
  <c r="W525" i="4" s="1"/>
  <c r="Q420" i="4" l="1"/>
  <c r="J419" i="20"/>
  <c r="S419" i="4"/>
  <c r="L419" i="20" s="1"/>
  <c r="L426" i="4"/>
  <c r="Z525" i="4"/>
  <c r="W526" i="4" s="1"/>
  <c r="L427" i="4" l="1"/>
  <c r="Q421" i="4"/>
  <c r="J420" i="20"/>
  <c r="S420" i="4"/>
  <c r="L420" i="20" s="1"/>
  <c r="Z526" i="4"/>
  <c r="W527" i="4" s="1"/>
  <c r="Q422" i="4" l="1"/>
  <c r="J421" i="20"/>
  <c r="S421" i="4"/>
  <c r="L421" i="20" s="1"/>
  <c r="L428" i="4"/>
  <c r="Z527" i="4"/>
  <c r="W528" i="4" s="1"/>
  <c r="L429" i="4" l="1"/>
  <c r="Q423" i="4"/>
  <c r="J422" i="20"/>
  <c r="S422" i="4"/>
  <c r="L422" i="20" s="1"/>
  <c r="Z528" i="4"/>
  <c r="W529" i="4" s="1"/>
  <c r="Q424" i="4" l="1"/>
  <c r="J423" i="20"/>
  <c r="S423" i="4"/>
  <c r="L423" i="20" s="1"/>
  <c r="L430" i="4"/>
  <c r="Z529" i="4"/>
  <c r="W530" i="4" s="1"/>
  <c r="L431" i="4" l="1"/>
  <c r="Q425" i="4"/>
  <c r="J424" i="20"/>
  <c r="S424" i="4"/>
  <c r="L424" i="20" s="1"/>
  <c r="Z530" i="4"/>
  <c r="W531" i="4" s="1"/>
  <c r="J425" i="20" l="1"/>
  <c r="Q426" i="4"/>
  <c r="S425" i="4"/>
  <c r="L425" i="20" s="1"/>
  <c r="L432" i="4"/>
  <c r="Z531" i="4"/>
  <c r="W532" i="4" s="1"/>
  <c r="L433" i="4" l="1"/>
  <c r="J426" i="20"/>
  <c r="Q427" i="4"/>
  <c r="S426" i="4"/>
  <c r="L426" i="20" s="1"/>
  <c r="Z532" i="4"/>
  <c r="W533" i="4" s="1"/>
  <c r="Q428" i="4" l="1"/>
  <c r="J427" i="20"/>
  <c r="S427" i="4"/>
  <c r="L427" i="20" s="1"/>
  <c r="L434" i="4"/>
  <c r="Z533" i="4"/>
  <c r="W534" i="4" s="1"/>
  <c r="L435" i="4" l="1"/>
  <c r="Q429" i="4"/>
  <c r="J428" i="20"/>
  <c r="S428" i="4"/>
  <c r="L428" i="20" s="1"/>
  <c r="Z534" i="4"/>
  <c r="W535" i="4" s="1"/>
  <c r="Q430" i="4" l="1"/>
  <c r="J429" i="20"/>
  <c r="S429" i="4"/>
  <c r="L429" i="20" s="1"/>
  <c r="L436" i="4"/>
  <c r="Z535" i="4"/>
  <c r="W536" i="4" s="1"/>
  <c r="L437" i="4" l="1"/>
  <c r="J430" i="20"/>
  <c r="Q431" i="4"/>
  <c r="S430" i="4"/>
  <c r="L430" i="20" s="1"/>
  <c r="Z536" i="4"/>
  <c r="W537" i="4" s="1"/>
  <c r="Q432" i="4" l="1"/>
  <c r="J431" i="20"/>
  <c r="S431" i="4"/>
  <c r="L431" i="20" s="1"/>
  <c r="L438" i="4"/>
  <c r="Z537" i="4"/>
  <c r="W538" i="4" s="1"/>
  <c r="L439" i="4" l="1"/>
  <c r="J432" i="20"/>
  <c r="Q433" i="4"/>
  <c r="S432" i="4"/>
  <c r="L432" i="20" s="1"/>
  <c r="Z538" i="4"/>
  <c r="W539" i="4" s="1"/>
  <c r="Q434" i="4" l="1"/>
  <c r="J433" i="20"/>
  <c r="S433" i="4"/>
  <c r="L433" i="20" s="1"/>
  <c r="L440" i="4"/>
  <c r="Z539" i="4"/>
  <c r="W540" i="4" s="1"/>
  <c r="L441" i="4" l="1"/>
  <c r="J434" i="20"/>
  <c r="Q435" i="4"/>
  <c r="S434" i="4"/>
  <c r="L434" i="20" s="1"/>
  <c r="Z540" i="4"/>
  <c r="W541" i="4" s="1"/>
  <c r="J435" i="20" l="1"/>
  <c r="Q436" i="4"/>
  <c r="S435" i="4"/>
  <c r="L435" i="20" s="1"/>
  <c r="L442" i="4"/>
  <c r="Z541" i="4"/>
  <c r="W542" i="4" s="1"/>
  <c r="L443" i="4" l="1"/>
  <c r="J436" i="20"/>
  <c r="Q437" i="4"/>
  <c r="S436" i="4"/>
  <c r="L436" i="20" s="1"/>
  <c r="Z542" i="4"/>
  <c r="W543" i="4" s="1"/>
  <c r="J437" i="20" l="1"/>
  <c r="Q438" i="4"/>
  <c r="S437" i="4"/>
  <c r="L437" i="20" s="1"/>
  <c r="L444" i="4"/>
  <c r="Z543" i="4"/>
  <c r="W544" i="4" s="1"/>
  <c r="L445" i="4" l="1"/>
  <c r="J438" i="20"/>
  <c r="Q439" i="4"/>
  <c r="S438" i="4"/>
  <c r="L438" i="20" s="1"/>
  <c r="Z544" i="4"/>
  <c r="W545" i="4" s="1"/>
  <c r="J439" i="20" l="1"/>
  <c r="Q440" i="4"/>
  <c r="S439" i="4"/>
  <c r="L439" i="20" s="1"/>
  <c r="L446" i="4"/>
  <c r="Z545" i="4"/>
  <c r="W546" i="4" s="1"/>
  <c r="L447" i="4" l="1"/>
  <c r="J440" i="20"/>
  <c r="Q441" i="4"/>
  <c r="S440" i="4"/>
  <c r="L440" i="20" s="1"/>
  <c r="Z546" i="4"/>
  <c r="W547" i="4" s="1"/>
  <c r="Q442" i="4" l="1"/>
  <c r="J441" i="20"/>
  <c r="S441" i="4"/>
  <c r="L441" i="20" s="1"/>
  <c r="L448" i="4"/>
  <c r="Z547" i="4"/>
  <c r="W548" i="4" s="1"/>
  <c r="L449" i="4" l="1"/>
  <c r="J442" i="20"/>
  <c r="Q443" i="4"/>
  <c r="S442" i="4"/>
  <c r="L442" i="20" s="1"/>
  <c r="Z548" i="4"/>
  <c r="W549" i="4" s="1"/>
  <c r="Q444" i="4" l="1"/>
  <c r="J443" i="20"/>
  <c r="S443" i="4"/>
  <c r="L443" i="20" s="1"/>
  <c r="L450" i="4"/>
  <c r="Z549" i="4"/>
  <c r="W550" i="4" s="1"/>
  <c r="L451" i="4" l="1"/>
  <c r="J444" i="20"/>
  <c r="Q445" i="4"/>
  <c r="S444" i="4"/>
  <c r="L444" i="20" s="1"/>
  <c r="Z550" i="4"/>
  <c r="W551" i="4" s="1"/>
  <c r="J445" i="20" l="1"/>
  <c r="Q446" i="4"/>
  <c r="S445" i="4"/>
  <c r="L445" i="20" s="1"/>
  <c r="L452" i="4"/>
  <c r="Z551" i="4"/>
  <c r="W552" i="4" s="1"/>
  <c r="L453" i="4" l="1"/>
  <c r="J446" i="20"/>
  <c r="Q447" i="4"/>
  <c r="S446" i="4"/>
  <c r="L446" i="20" s="1"/>
  <c r="Z552" i="4"/>
  <c r="W553" i="4" s="1"/>
  <c r="Q448" i="4" l="1"/>
  <c r="J447" i="20"/>
  <c r="S447" i="4"/>
  <c r="L447" i="20" s="1"/>
  <c r="L454" i="4"/>
  <c r="Z553" i="4"/>
  <c r="W554" i="4" s="1"/>
  <c r="L455" i="4" l="1"/>
  <c r="Q449" i="4"/>
  <c r="J448" i="20"/>
  <c r="S448" i="4"/>
  <c r="L448" i="20" s="1"/>
  <c r="Z554" i="4"/>
  <c r="W555" i="4" s="1"/>
  <c r="J449" i="20" l="1"/>
  <c r="Q450" i="4"/>
  <c r="S449" i="4"/>
  <c r="L449" i="20" s="1"/>
  <c r="L456" i="4"/>
  <c r="Z555" i="4"/>
  <c r="W556" i="4" s="1"/>
  <c r="L457" i="4" l="1"/>
  <c r="J450" i="20"/>
  <c r="Q451" i="4"/>
  <c r="S450" i="4"/>
  <c r="L450" i="20" s="1"/>
  <c r="Z556" i="4"/>
  <c r="W557" i="4" s="1"/>
  <c r="Q452" i="4" l="1"/>
  <c r="J451" i="20"/>
  <c r="S451" i="4"/>
  <c r="L451" i="20" s="1"/>
  <c r="L458" i="4"/>
  <c r="Z557" i="4"/>
  <c r="W558" i="4" s="1"/>
  <c r="L459" i="4" l="1"/>
  <c r="J452" i="20"/>
  <c r="Q453" i="4"/>
  <c r="S452" i="4"/>
  <c r="L452" i="20" s="1"/>
  <c r="Z558" i="4"/>
  <c r="W559" i="4" s="1"/>
  <c r="Q454" i="4" l="1"/>
  <c r="J453" i="20"/>
  <c r="S453" i="4"/>
  <c r="L453" i="20" s="1"/>
  <c r="L460" i="4"/>
  <c r="Z559" i="4"/>
  <c r="W560" i="4" s="1"/>
  <c r="L461" i="4" l="1"/>
  <c r="Q455" i="4"/>
  <c r="J454" i="20"/>
  <c r="S454" i="4"/>
  <c r="L454" i="20" s="1"/>
  <c r="Z560" i="4"/>
  <c r="W561" i="4" s="1"/>
  <c r="Q456" i="4" l="1"/>
  <c r="J455" i="20"/>
  <c r="S455" i="4"/>
  <c r="L455" i="20" s="1"/>
  <c r="L462" i="4"/>
  <c r="Z561" i="4"/>
  <c r="W562" i="4" s="1"/>
  <c r="L463" i="4" l="1"/>
  <c r="J456" i="20"/>
  <c r="Q457" i="4"/>
  <c r="S456" i="4"/>
  <c r="L456" i="20" s="1"/>
  <c r="Z562" i="4"/>
  <c r="W563" i="4" s="1"/>
  <c r="J457" i="20" l="1"/>
  <c r="Q458" i="4"/>
  <c r="S457" i="4"/>
  <c r="L457" i="20" s="1"/>
  <c r="L464" i="4"/>
  <c r="Z563" i="4"/>
  <c r="W564" i="4" s="1"/>
  <c r="L465" i="4" l="1"/>
  <c r="J458" i="20"/>
  <c r="Q459" i="4"/>
  <c r="S458" i="4"/>
  <c r="L458" i="20" s="1"/>
  <c r="Z564" i="4"/>
  <c r="W565" i="4" s="1"/>
  <c r="J459" i="20" l="1"/>
  <c r="Q460" i="4"/>
  <c r="S459" i="4"/>
  <c r="L459" i="20" s="1"/>
  <c r="L466" i="4"/>
  <c r="Z565" i="4"/>
  <c r="W566" i="4" s="1"/>
  <c r="L467" i="4" l="1"/>
  <c r="J460" i="20"/>
  <c r="Q461" i="4"/>
  <c r="S460" i="4"/>
  <c r="L460" i="20" s="1"/>
  <c r="Z566" i="4"/>
  <c r="W567" i="4" s="1"/>
  <c r="J461" i="20" l="1"/>
  <c r="Q462" i="4"/>
  <c r="S461" i="4"/>
  <c r="L461" i="20" s="1"/>
  <c r="L468" i="4"/>
  <c r="Z567" i="4"/>
  <c r="W568" i="4" s="1"/>
  <c r="L469" i="4" l="1"/>
  <c r="J462" i="20"/>
  <c r="Q463" i="4"/>
  <c r="S462" i="4"/>
  <c r="L462" i="20" s="1"/>
  <c r="Z568" i="4"/>
  <c r="W569" i="4" s="1"/>
  <c r="Q464" i="4" l="1"/>
  <c r="J463" i="20"/>
  <c r="S463" i="4"/>
  <c r="L463" i="20" s="1"/>
  <c r="L470" i="4"/>
  <c r="Z569" i="4"/>
  <c r="W570" i="4" s="1"/>
  <c r="L471" i="4" l="1"/>
  <c r="J464" i="20"/>
  <c r="Q465" i="4"/>
  <c r="S464" i="4"/>
  <c r="L464" i="20" s="1"/>
  <c r="Z570" i="4"/>
  <c r="W571" i="4" s="1"/>
  <c r="J465" i="20" l="1"/>
  <c r="Q466" i="4"/>
  <c r="S465" i="4"/>
  <c r="L465" i="20" s="1"/>
  <c r="L472" i="4"/>
  <c r="Z571" i="4"/>
  <c r="W572" i="4" s="1"/>
  <c r="L473" i="4" l="1"/>
  <c r="J466" i="20"/>
  <c r="Q467" i="4"/>
  <c r="S466" i="4"/>
  <c r="L466" i="20" s="1"/>
  <c r="Z572" i="4"/>
  <c r="W573" i="4" s="1"/>
  <c r="J467" i="20" l="1"/>
  <c r="Q468" i="4"/>
  <c r="S467" i="4"/>
  <c r="L467" i="20" s="1"/>
  <c r="L474" i="4"/>
  <c r="Z573" i="4"/>
  <c r="W574" i="4" s="1"/>
  <c r="J468" i="20" l="1"/>
  <c r="Q469" i="4"/>
  <c r="S468" i="4"/>
  <c r="L468" i="20" s="1"/>
  <c r="L475" i="4"/>
  <c r="Z574" i="4"/>
  <c r="W575" i="4" s="1"/>
  <c r="L476" i="4" l="1"/>
  <c r="Q470" i="4"/>
  <c r="J469" i="20"/>
  <c r="S469" i="4"/>
  <c r="L469" i="20" s="1"/>
  <c r="Z575" i="4"/>
  <c r="W576" i="4" s="1"/>
  <c r="J470" i="20" l="1"/>
  <c r="Q471" i="4"/>
  <c r="S470" i="4"/>
  <c r="L470" i="20" s="1"/>
  <c r="L477" i="4"/>
  <c r="Z576" i="4"/>
  <c r="W577" i="4" s="1"/>
  <c r="L478" i="4" l="1"/>
  <c r="J471" i="20"/>
  <c r="Q472" i="4"/>
  <c r="S471" i="4"/>
  <c r="L471" i="20" s="1"/>
  <c r="Z577" i="4"/>
  <c r="W578" i="4" s="1"/>
  <c r="Q473" i="4" l="1"/>
  <c r="J472" i="20"/>
  <c r="S472" i="4"/>
  <c r="L472" i="20" s="1"/>
  <c r="L479" i="4"/>
  <c r="Z578" i="4"/>
  <c r="W579" i="4" s="1"/>
  <c r="L480" i="4" l="1"/>
  <c r="J473" i="20"/>
  <c r="Q474" i="4"/>
  <c r="S473" i="4"/>
  <c r="L473" i="20" s="1"/>
  <c r="Z579" i="4"/>
  <c r="W580" i="4" s="1"/>
  <c r="J474" i="20" l="1"/>
  <c r="Q475" i="4"/>
  <c r="S474" i="4"/>
  <c r="L474" i="20" s="1"/>
  <c r="L481" i="4"/>
  <c r="Z580" i="4"/>
  <c r="W581" i="4" s="1"/>
  <c r="J475" i="20" l="1"/>
  <c r="Q476" i="4"/>
  <c r="S475" i="4"/>
  <c r="L475" i="20" s="1"/>
  <c r="L482" i="4"/>
  <c r="Z581" i="4"/>
  <c r="W582" i="4" s="1"/>
  <c r="L483" i="4" l="1"/>
  <c r="Q477" i="4"/>
  <c r="J476" i="20"/>
  <c r="S476" i="4"/>
  <c r="L476" i="20" s="1"/>
  <c r="Z582" i="4"/>
  <c r="W583" i="4" s="1"/>
  <c r="Q478" i="4" l="1"/>
  <c r="J477" i="20"/>
  <c r="S477" i="4"/>
  <c r="L477" i="20" s="1"/>
  <c r="L484" i="4"/>
  <c r="Z583" i="4"/>
  <c r="W584" i="4" s="1"/>
  <c r="L485" i="4" l="1"/>
  <c r="Q479" i="4"/>
  <c r="J478" i="20"/>
  <c r="S478" i="4"/>
  <c r="L478" i="20" s="1"/>
  <c r="Z584" i="4"/>
  <c r="W585" i="4" s="1"/>
  <c r="Q480" i="4" l="1"/>
  <c r="J479" i="20"/>
  <c r="S479" i="4"/>
  <c r="L479" i="20" s="1"/>
  <c r="L486" i="4"/>
  <c r="Z585" i="4"/>
  <c r="W586" i="4" s="1"/>
  <c r="L487" i="4" l="1"/>
  <c r="Q481" i="4"/>
  <c r="J480" i="20"/>
  <c r="S480" i="4"/>
  <c r="L480" i="20" s="1"/>
  <c r="Z586" i="4"/>
  <c r="W587" i="4" s="1"/>
  <c r="J481" i="20" l="1"/>
  <c r="Q482" i="4"/>
  <c r="S481" i="4"/>
  <c r="L481" i="20" s="1"/>
  <c r="L488" i="4"/>
  <c r="Z587" i="4"/>
  <c r="W588" i="4" s="1"/>
  <c r="L489" i="4" l="1"/>
  <c r="J482" i="20"/>
  <c r="Q483" i="4"/>
  <c r="S482" i="4"/>
  <c r="L482" i="20" s="1"/>
  <c r="Z588" i="4"/>
  <c r="W589" i="4" s="1"/>
  <c r="Q484" i="4" l="1"/>
  <c r="J483" i="20"/>
  <c r="S483" i="4"/>
  <c r="L483" i="20" s="1"/>
  <c r="L490" i="4"/>
  <c r="Z589" i="4"/>
  <c r="W590" i="4" s="1"/>
  <c r="L491" i="4" l="1"/>
  <c r="Q485" i="4"/>
  <c r="J484" i="20"/>
  <c r="S484" i="4"/>
  <c r="L484" i="20" s="1"/>
  <c r="Z590" i="4"/>
  <c r="W591" i="4" s="1"/>
  <c r="J485" i="20" l="1"/>
  <c r="Q486" i="4"/>
  <c r="S485" i="4"/>
  <c r="L485" i="20" s="1"/>
  <c r="L492" i="4"/>
  <c r="Z591" i="4"/>
  <c r="W592" i="4" s="1"/>
  <c r="L493" i="4" l="1"/>
  <c r="Q487" i="4"/>
  <c r="J486" i="20"/>
  <c r="S486" i="4"/>
  <c r="L486" i="20" s="1"/>
  <c r="Z592" i="4"/>
  <c r="W593" i="4" s="1"/>
  <c r="J487" i="20" l="1"/>
  <c r="Q488" i="4"/>
  <c r="S487" i="4"/>
  <c r="L487" i="20" s="1"/>
  <c r="L494" i="4"/>
  <c r="Z593" i="4"/>
  <c r="W594" i="4" s="1"/>
  <c r="L495" i="4" l="1"/>
  <c r="Q489" i="4"/>
  <c r="J488" i="20"/>
  <c r="S488" i="4"/>
  <c r="L488" i="20" s="1"/>
  <c r="Z594" i="4"/>
  <c r="W595" i="4" s="1"/>
  <c r="J489" i="20" l="1"/>
  <c r="Q490" i="4"/>
  <c r="S489" i="4"/>
  <c r="L489" i="20" s="1"/>
  <c r="L496" i="4"/>
  <c r="Z595" i="4"/>
  <c r="W596" i="4" s="1"/>
  <c r="L497" i="4" l="1"/>
  <c r="Q491" i="4"/>
  <c r="J490" i="20"/>
  <c r="S490" i="4"/>
  <c r="L490" i="20" s="1"/>
  <c r="Z596" i="4"/>
  <c r="W597" i="4" s="1"/>
  <c r="Q492" i="4" l="1"/>
  <c r="J491" i="20"/>
  <c r="S491" i="4"/>
  <c r="L491" i="20" s="1"/>
  <c r="L498" i="4"/>
  <c r="Z597" i="4"/>
  <c r="W598" i="4" s="1"/>
  <c r="L499" i="4" l="1"/>
  <c r="J492" i="20"/>
  <c r="Q493" i="4"/>
  <c r="S492" i="4"/>
  <c r="L492" i="20" s="1"/>
  <c r="Z598" i="4"/>
  <c r="W599" i="4" s="1"/>
  <c r="Q494" i="4" l="1"/>
  <c r="J493" i="20"/>
  <c r="S493" i="4"/>
  <c r="L493" i="20" s="1"/>
  <c r="L500" i="4"/>
  <c r="Z599" i="4"/>
  <c r="W600" i="4" s="1"/>
  <c r="L501" i="4" l="1"/>
  <c r="J494" i="20"/>
  <c r="Q495" i="4"/>
  <c r="S494" i="4"/>
  <c r="L494" i="20" s="1"/>
  <c r="Z600" i="4"/>
  <c r="W601" i="4" s="1"/>
  <c r="Q496" i="4" l="1"/>
  <c r="J495" i="20"/>
  <c r="S495" i="4"/>
  <c r="L495" i="20" s="1"/>
  <c r="L502" i="4"/>
  <c r="Z601" i="4"/>
  <c r="W602" i="4" s="1"/>
  <c r="L503" i="4" l="1"/>
  <c r="J496" i="20"/>
  <c r="Q497" i="4"/>
  <c r="S496" i="4"/>
  <c r="L496" i="20" s="1"/>
  <c r="Z602" i="4"/>
  <c r="W603" i="4" s="1"/>
  <c r="J497" i="20" l="1"/>
  <c r="Q498" i="4"/>
  <c r="S497" i="4"/>
  <c r="L497" i="20" s="1"/>
  <c r="L504" i="4"/>
  <c r="Z603" i="4"/>
  <c r="W604" i="4" s="1"/>
  <c r="L505" i="4" l="1"/>
  <c r="Q499" i="4"/>
  <c r="J498" i="20"/>
  <c r="S498" i="4"/>
  <c r="L498" i="20" s="1"/>
  <c r="Z604" i="4"/>
  <c r="W605" i="4" s="1"/>
  <c r="J499" i="20" l="1"/>
  <c r="Q500" i="4"/>
  <c r="S499" i="4"/>
  <c r="L499" i="20" s="1"/>
  <c r="L506" i="4"/>
  <c r="Z605" i="4"/>
  <c r="W606" i="4" s="1"/>
  <c r="J500" i="20" l="1"/>
  <c r="Q501" i="4"/>
  <c r="S500" i="4"/>
  <c r="L500" i="20" s="1"/>
  <c r="L507" i="4"/>
  <c r="Z606" i="4"/>
  <c r="W607" i="4" s="1"/>
  <c r="L508" i="4" l="1"/>
  <c r="Q502" i="4"/>
  <c r="J501" i="20"/>
  <c r="S501" i="4"/>
  <c r="L501" i="20" s="1"/>
  <c r="Z607" i="4"/>
  <c r="W608" i="4" s="1"/>
  <c r="Q503" i="4" l="1"/>
  <c r="J502" i="20"/>
  <c r="S502" i="4"/>
  <c r="L502" i="20" s="1"/>
  <c r="L509" i="4"/>
  <c r="Z608" i="4"/>
  <c r="W609" i="4" s="1"/>
  <c r="L510" i="4" l="1"/>
  <c r="J503" i="20"/>
  <c r="Q504" i="4"/>
  <c r="S503" i="4"/>
  <c r="L503" i="20" s="1"/>
  <c r="Z609" i="4"/>
  <c r="W610" i="4" s="1"/>
  <c r="J504" i="20" l="1"/>
  <c r="Q505" i="4"/>
  <c r="S504" i="4"/>
  <c r="L504" i="20" s="1"/>
  <c r="L511" i="4"/>
  <c r="Z610" i="4"/>
  <c r="W611" i="4" s="1"/>
  <c r="L512" i="4" l="1"/>
  <c r="J505" i="20"/>
  <c r="Q506" i="4"/>
  <c r="S505" i="4"/>
  <c r="L505" i="20" s="1"/>
  <c r="Z611" i="4"/>
  <c r="W612" i="4" s="1"/>
  <c r="J506" i="20" l="1"/>
  <c r="Q507" i="4"/>
  <c r="S506" i="4"/>
  <c r="L506" i="20" s="1"/>
  <c r="L513" i="4"/>
  <c r="Z612" i="4"/>
  <c r="W613" i="4" s="1"/>
  <c r="L514" i="4" l="1"/>
  <c r="J507" i="20"/>
  <c r="Q508" i="4"/>
  <c r="S507" i="4"/>
  <c r="L507" i="20" s="1"/>
  <c r="Z613" i="4"/>
  <c r="W614" i="4" s="1"/>
  <c r="Q509" i="4" l="1"/>
  <c r="J508" i="20"/>
  <c r="S508" i="4"/>
  <c r="L508" i="20" s="1"/>
  <c r="L515" i="4"/>
  <c r="Z614" i="4"/>
  <c r="W615" i="4" s="1"/>
  <c r="L516" i="4" l="1"/>
  <c r="Q510" i="4"/>
  <c r="J509" i="20"/>
  <c r="S509" i="4"/>
  <c r="L509" i="20" s="1"/>
  <c r="Z615" i="4"/>
  <c r="W616" i="4" s="1"/>
  <c r="Q511" i="4" l="1"/>
  <c r="J510" i="20"/>
  <c r="S510" i="4"/>
  <c r="L510" i="20" s="1"/>
  <c r="L517" i="4"/>
  <c r="Z616" i="4"/>
  <c r="W617" i="4" s="1"/>
  <c r="L518" i="4" l="1"/>
  <c r="J511" i="20"/>
  <c r="Q512" i="4"/>
  <c r="S511" i="4"/>
  <c r="L511" i="20" s="1"/>
  <c r="Z617" i="4"/>
  <c r="W618" i="4" s="1"/>
  <c r="J512" i="20" l="1"/>
  <c r="Q513" i="4"/>
  <c r="S512" i="4"/>
  <c r="L512" i="20" s="1"/>
  <c r="L519" i="4"/>
  <c r="Z618" i="4"/>
  <c r="W619" i="4" s="1"/>
  <c r="L520" i="4" l="1"/>
  <c r="J513" i="20"/>
  <c r="Q514" i="4"/>
  <c r="S513" i="4"/>
  <c r="L513" i="20" s="1"/>
  <c r="Z619" i="4"/>
  <c r="W620" i="4" s="1"/>
  <c r="Q515" i="4" l="1"/>
  <c r="J514" i="20"/>
  <c r="S514" i="4"/>
  <c r="L514" i="20" s="1"/>
  <c r="L521" i="4"/>
  <c r="Z620" i="4"/>
  <c r="W621" i="4" s="1"/>
  <c r="L522" i="4" l="1"/>
  <c r="J515" i="20"/>
  <c r="Q516" i="4"/>
  <c r="S515" i="4"/>
  <c r="L515" i="20" s="1"/>
  <c r="Z621" i="4"/>
  <c r="W622" i="4" s="1"/>
  <c r="Q517" i="4" l="1"/>
  <c r="J516" i="20"/>
  <c r="S516" i="4"/>
  <c r="L516" i="20" s="1"/>
  <c r="L523" i="4"/>
  <c r="Z622" i="4"/>
  <c r="W623" i="4" s="1"/>
  <c r="L524" i="4" l="1"/>
  <c r="Q518" i="4"/>
  <c r="J517" i="20"/>
  <c r="S517" i="4"/>
  <c r="L517" i="20" s="1"/>
  <c r="Z623" i="4"/>
  <c r="W624" i="4" s="1"/>
  <c r="J518" i="20" l="1"/>
  <c r="Q519" i="4"/>
  <c r="S518" i="4"/>
  <c r="L518" i="20" s="1"/>
  <c r="L525" i="4"/>
  <c r="Z624" i="4"/>
  <c r="W625" i="4" s="1"/>
  <c r="L526" i="4" l="1"/>
  <c r="Q520" i="4"/>
  <c r="J519" i="20"/>
  <c r="S519" i="4"/>
  <c r="L519" i="20" s="1"/>
  <c r="Z625" i="4"/>
  <c r="W626" i="4" s="1"/>
  <c r="J520" i="20" l="1"/>
  <c r="Q521" i="4"/>
  <c r="S520" i="4"/>
  <c r="L520" i="20" s="1"/>
  <c r="L527" i="4"/>
  <c r="Z626" i="4"/>
  <c r="W627" i="4" s="1"/>
  <c r="L528" i="4" l="1"/>
  <c r="J521" i="20"/>
  <c r="Q522" i="4"/>
  <c r="S521" i="4"/>
  <c r="L521" i="20" s="1"/>
  <c r="Z627" i="4"/>
  <c r="W628" i="4" s="1"/>
  <c r="J522" i="20" l="1"/>
  <c r="Q523" i="4"/>
  <c r="S522" i="4"/>
  <c r="L522" i="20" s="1"/>
  <c r="L529" i="4"/>
  <c r="Z628" i="4"/>
  <c r="W629" i="4" s="1"/>
  <c r="L530" i="4" l="1"/>
  <c r="Q524" i="4"/>
  <c r="J523" i="20"/>
  <c r="S523" i="4"/>
  <c r="L523" i="20" s="1"/>
  <c r="Z629" i="4"/>
  <c r="W630" i="4" s="1"/>
  <c r="J524" i="20" l="1"/>
  <c r="Q525" i="4"/>
  <c r="S524" i="4"/>
  <c r="L524" i="20" s="1"/>
  <c r="L531" i="4"/>
  <c r="Z630" i="4"/>
  <c r="W631" i="4" s="1"/>
  <c r="L532" i="4" l="1"/>
  <c r="J525" i="20"/>
  <c r="Q526" i="4"/>
  <c r="S525" i="4"/>
  <c r="L525" i="20" s="1"/>
  <c r="Z631" i="4"/>
  <c r="W632" i="4" s="1"/>
  <c r="J526" i="20" l="1"/>
  <c r="Q527" i="4"/>
  <c r="S526" i="4"/>
  <c r="L526" i="20" s="1"/>
  <c r="L533" i="4"/>
  <c r="Z632" i="4"/>
  <c r="W633" i="4" s="1"/>
  <c r="L534" i="4" l="1"/>
  <c r="Q528" i="4"/>
  <c r="J527" i="20"/>
  <c r="S527" i="4"/>
  <c r="L527" i="20" s="1"/>
  <c r="Z633" i="4"/>
  <c r="W634" i="4" s="1"/>
  <c r="J528" i="20" l="1"/>
  <c r="Q529" i="4"/>
  <c r="S528" i="4"/>
  <c r="L528" i="20" s="1"/>
  <c r="L535" i="4"/>
  <c r="Z634" i="4"/>
  <c r="W635" i="4" s="1"/>
  <c r="L536" i="4" l="1"/>
  <c r="Q530" i="4"/>
  <c r="J529" i="20"/>
  <c r="S529" i="4"/>
  <c r="L529" i="20" s="1"/>
  <c r="Z635" i="4"/>
  <c r="W636" i="4" s="1"/>
  <c r="Q531" i="4" l="1"/>
  <c r="J530" i="20"/>
  <c r="S530" i="4"/>
  <c r="L530" i="20" s="1"/>
  <c r="L537" i="4"/>
  <c r="Z636" i="4"/>
  <c r="W637" i="4" s="1"/>
  <c r="L538" i="4" l="1"/>
  <c r="J531" i="20"/>
  <c r="Q532" i="4"/>
  <c r="S531" i="4"/>
  <c r="L531" i="20" s="1"/>
  <c r="Z637" i="4"/>
  <c r="W638" i="4" s="1"/>
  <c r="Q533" i="4" l="1"/>
  <c r="J532" i="20"/>
  <c r="S532" i="4"/>
  <c r="L532" i="20" s="1"/>
  <c r="L539" i="4"/>
  <c r="Z638" i="4"/>
  <c r="W639" i="4" s="1"/>
  <c r="L540" i="4" l="1"/>
  <c r="Q534" i="4"/>
  <c r="J533" i="20"/>
  <c r="S533" i="4"/>
  <c r="L533" i="20" s="1"/>
  <c r="Z639" i="4"/>
  <c r="W640" i="4" s="1"/>
  <c r="Q535" i="4" l="1"/>
  <c r="J534" i="20"/>
  <c r="S534" i="4"/>
  <c r="L534" i="20" s="1"/>
  <c r="L541" i="4"/>
  <c r="Z640" i="4"/>
  <c r="W641" i="4" s="1"/>
  <c r="L542" i="4" l="1"/>
  <c r="Q536" i="4"/>
  <c r="J535" i="20"/>
  <c r="S535" i="4"/>
  <c r="L535" i="20" s="1"/>
  <c r="Z641" i="4"/>
  <c r="W642" i="4" s="1"/>
  <c r="J536" i="20" l="1"/>
  <c r="Q537" i="4"/>
  <c r="S536" i="4"/>
  <c r="L536" i="20" s="1"/>
  <c r="L543" i="4"/>
  <c r="Z642" i="4"/>
  <c r="W643" i="4" s="1"/>
  <c r="L544" i="4" l="1"/>
  <c r="J537" i="20"/>
  <c r="Q538" i="4"/>
  <c r="S537" i="4"/>
  <c r="L537" i="20" s="1"/>
  <c r="Z643" i="4"/>
  <c r="W644" i="4" s="1"/>
  <c r="J538" i="20" l="1"/>
  <c r="Q539" i="4"/>
  <c r="S538" i="4"/>
  <c r="L538" i="20" s="1"/>
  <c r="L545" i="4"/>
  <c r="Z644" i="4"/>
  <c r="W645" i="4" s="1"/>
  <c r="L546" i="4" l="1"/>
  <c r="Q540" i="4"/>
  <c r="J539" i="20"/>
  <c r="S539" i="4"/>
  <c r="L539" i="20" s="1"/>
  <c r="Z645" i="4"/>
  <c r="W646" i="4" s="1"/>
  <c r="Q541" i="4" l="1"/>
  <c r="J540" i="20"/>
  <c r="S540" i="4"/>
  <c r="L540" i="20" s="1"/>
  <c r="L547" i="4"/>
  <c r="Z646" i="4"/>
  <c r="W647" i="4" s="1"/>
  <c r="L548" i="4" l="1"/>
  <c r="J541" i="20"/>
  <c r="Q542" i="4"/>
  <c r="S541" i="4"/>
  <c r="L541" i="20" s="1"/>
  <c r="Z647" i="4"/>
  <c r="W648" i="4" s="1"/>
  <c r="J542" i="20" l="1"/>
  <c r="Q543" i="4"/>
  <c r="S542" i="4"/>
  <c r="L542" i="20" s="1"/>
  <c r="L549" i="4"/>
  <c r="Z648" i="4"/>
  <c r="W649" i="4" s="1"/>
  <c r="L550" i="4" l="1"/>
  <c r="J543" i="20"/>
  <c r="Q544" i="4"/>
  <c r="S543" i="4"/>
  <c r="L543" i="20" s="1"/>
  <c r="Z649" i="4"/>
  <c r="W650" i="4" s="1"/>
  <c r="J544" i="20" l="1"/>
  <c r="Q545" i="4"/>
  <c r="S544" i="4"/>
  <c r="L544" i="20" s="1"/>
  <c r="L551" i="4"/>
  <c r="Q663" i="4"/>
  <c r="Z650" i="4"/>
  <c r="W651" i="4" s="1"/>
  <c r="L552" i="4" l="1"/>
  <c r="Q546" i="4"/>
  <c r="J545" i="20"/>
  <c r="S545" i="4"/>
  <c r="L545" i="20" s="1"/>
  <c r="J663" i="20"/>
  <c r="Q664" i="4"/>
  <c r="Z651" i="4"/>
  <c r="W652" i="4" s="1"/>
  <c r="Q547" i="4" l="1"/>
  <c r="J546" i="20"/>
  <c r="S546" i="4"/>
  <c r="L546" i="20" s="1"/>
  <c r="L553" i="4"/>
  <c r="J664" i="20"/>
  <c r="Q665" i="4"/>
  <c r="Z652" i="4"/>
  <c r="W653" i="4" s="1"/>
  <c r="L554" i="4" l="1"/>
  <c r="J547" i="20"/>
  <c r="Q548" i="4"/>
  <c r="S547" i="4"/>
  <c r="L547" i="20" s="1"/>
  <c r="J665" i="20"/>
  <c r="Q666" i="4"/>
  <c r="Z653" i="4"/>
  <c r="W654" i="4" s="1"/>
  <c r="J548" i="20" l="1"/>
  <c r="Q549" i="4"/>
  <c r="S548" i="4"/>
  <c r="L548" i="20" s="1"/>
  <c r="L555" i="4"/>
  <c r="J666" i="20"/>
  <c r="Q667" i="4"/>
  <c r="Z654" i="4"/>
  <c r="W655" i="4" s="1"/>
  <c r="L556" i="4" l="1"/>
  <c r="J549" i="20"/>
  <c r="Q550" i="4"/>
  <c r="S549" i="4"/>
  <c r="L549" i="20" s="1"/>
  <c r="J667" i="20"/>
  <c r="Q668" i="4"/>
  <c r="Z655" i="4"/>
  <c r="W656" i="4" s="1"/>
  <c r="Q551" i="4" l="1"/>
  <c r="J550" i="20"/>
  <c r="S550" i="4"/>
  <c r="L550" i="20" s="1"/>
  <c r="L557" i="4"/>
  <c r="J668" i="20"/>
  <c r="Q669" i="4"/>
  <c r="Z656" i="4"/>
  <c r="W657" i="4" s="1"/>
  <c r="L558" i="4" l="1"/>
  <c r="J551" i="20"/>
  <c r="Q552" i="4"/>
  <c r="S551" i="4"/>
  <c r="L551" i="20" s="1"/>
  <c r="J669" i="20"/>
  <c r="Q670" i="4"/>
  <c r="Z657" i="4"/>
  <c r="W658" i="4" s="1"/>
  <c r="J552" i="20" l="1"/>
  <c r="Q553" i="4"/>
  <c r="S552" i="4"/>
  <c r="L552" i="20" s="1"/>
  <c r="L559" i="4"/>
  <c r="J670" i="20"/>
  <c r="Q671" i="4"/>
  <c r="Z658" i="4"/>
  <c r="W659" i="4" s="1"/>
  <c r="L560" i="4" l="1"/>
  <c r="J553" i="20"/>
  <c r="Q554" i="4"/>
  <c r="S553" i="4"/>
  <c r="L553" i="20" s="1"/>
  <c r="J671" i="20"/>
  <c r="Q672" i="4"/>
  <c r="Z659" i="4"/>
  <c r="W660" i="4" s="1"/>
  <c r="J554" i="20" l="1"/>
  <c r="Q555" i="4"/>
  <c r="S554" i="4"/>
  <c r="L554" i="20" s="1"/>
  <c r="L561" i="4"/>
  <c r="J672" i="20"/>
  <c r="Q673" i="4"/>
  <c r="Z660" i="4"/>
  <c r="W661" i="4" s="1"/>
  <c r="L562" i="4" l="1"/>
  <c r="Q556" i="4"/>
  <c r="J555" i="20"/>
  <c r="S555" i="4"/>
  <c r="L555" i="20" s="1"/>
  <c r="J673" i="20"/>
  <c r="Q674" i="4"/>
  <c r="Z661" i="4"/>
  <c r="W662" i="4" s="1"/>
  <c r="Q557" i="4" l="1"/>
  <c r="J556" i="20"/>
  <c r="S556" i="4"/>
  <c r="L556" i="20" s="1"/>
  <c r="L563" i="4"/>
  <c r="J674" i="20"/>
  <c r="Q675" i="4"/>
  <c r="Z662" i="4"/>
  <c r="W663" i="4" s="1"/>
  <c r="L564" i="4" l="1"/>
  <c r="J557" i="20"/>
  <c r="Q558" i="4"/>
  <c r="S557" i="4"/>
  <c r="L557" i="20" s="1"/>
  <c r="J675" i="20"/>
  <c r="Q676" i="4"/>
  <c r="Z663" i="4"/>
  <c r="W664" i="4" s="1"/>
  <c r="Q559" i="4" l="1"/>
  <c r="J558" i="20"/>
  <c r="S558" i="4"/>
  <c r="L558" i="20" s="1"/>
  <c r="L565" i="4"/>
  <c r="J676" i="20"/>
  <c r="Q677" i="4"/>
  <c r="Z664" i="4"/>
  <c r="W665" i="4" s="1"/>
  <c r="L566" i="4" l="1"/>
  <c r="J559" i="20"/>
  <c r="Q560" i="4"/>
  <c r="S559" i="4"/>
  <c r="L559" i="20" s="1"/>
  <c r="J677" i="20"/>
  <c r="Q678" i="4"/>
  <c r="Z665" i="4"/>
  <c r="W666" i="4" s="1"/>
  <c r="Q561" i="4" l="1"/>
  <c r="J560" i="20"/>
  <c r="S560" i="4"/>
  <c r="L560" i="20" s="1"/>
  <c r="L567" i="4"/>
  <c r="J678" i="20"/>
  <c r="Q679" i="4"/>
  <c r="Z666" i="4"/>
  <c r="W667" i="4" s="1"/>
  <c r="L568" i="4" l="1"/>
  <c r="J561" i="20"/>
  <c r="Q562" i="4"/>
  <c r="S561" i="4"/>
  <c r="L561" i="20" s="1"/>
  <c r="J679" i="20"/>
  <c r="Q680" i="4"/>
  <c r="Z667" i="4"/>
  <c r="W668" i="4" s="1"/>
  <c r="J562" i="20" l="1"/>
  <c r="Q563" i="4"/>
  <c r="S562" i="4"/>
  <c r="L562" i="20" s="1"/>
  <c r="L569" i="4"/>
  <c r="J680" i="20"/>
  <c r="Q681" i="4"/>
  <c r="Z668" i="4"/>
  <c r="W669" i="4" s="1"/>
  <c r="L570" i="4" l="1"/>
  <c r="J563" i="20"/>
  <c r="Q564" i="4"/>
  <c r="S563" i="4"/>
  <c r="L563" i="20" s="1"/>
  <c r="J681" i="20"/>
  <c r="Q682" i="4"/>
  <c r="Z669" i="4"/>
  <c r="W670" i="4" s="1"/>
  <c r="J564" i="20" l="1"/>
  <c r="Q565" i="4"/>
  <c r="S564" i="4"/>
  <c r="L564" i="20" s="1"/>
  <c r="L571" i="4"/>
  <c r="J682" i="20"/>
  <c r="Q683" i="4"/>
  <c r="Z670" i="4"/>
  <c r="W671" i="4" s="1"/>
  <c r="L572" i="4" l="1"/>
  <c r="J565" i="20"/>
  <c r="Q566" i="4"/>
  <c r="S565" i="4"/>
  <c r="L565" i="20" s="1"/>
  <c r="J683" i="20"/>
  <c r="Q684" i="4"/>
  <c r="Z671" i="4"/>
  <c r="W672" i="4" s="1"/>
  <c r="Q567" i="4" l="1"/>
  <c r="J566" i="20"/>
  <c r="S566" i="4"/>
  <c r="L566" i="20" s="1"/>
  <c r="L573" i="4"/>
  <c r="J684" i="20"/>
  <c r="Q685" i="4"/>
  <c r="Z672" i="4"/>
  <c r="W673" i="4" s="1"/>
  <c r="L574" i="4" l="1"/>
  <c r="J567" i="20"/>
  <c r="Q568" i="4"/>
  <c r="S567" i="4"/>
  <c r="L567" i="20" s="1"/>
  <c r="J685" i="20"/>
  <c r="Q686" i="4"/>
  <c r="Z673" i="4"/>
  <c r="W674" i="4" s="1"/>
  <c r="J568" i="20" l="1"/>
  <c r="Q569" i="4"/>
  <c r="S568" i="4"/>
  <c r="L568" i="20" s="1"/>
  <c r="L575" i="4"/>
  <c r="J686" i="20"/>
  <c r="Q687" i="4"/>
  <c r="Z674" i="4"/>
  <c r="W675" i="4" s="1"/>
  <c r="L576" i="4" l="1"/>
  <c r="J569" i="20"/>
  <c r="Q570" i="4"/>
  <c r="S569" i="4"/>
  <c r="L569" i="20" s="1"/>
  <c r="J687" i="20"/>
  <c r="Q688" i="4"/>
  <c r="Z675" i="4"/>
  <c r="W676" i="4" s="1"/>
  <c r="Q571" i="4" l="1"/>
  <c r="J570" i="20"/>
  <c r="S570" i="4"/>
  <c r="L570" i="20" s="1"/>
  <c r="L577" i="4"/>
  <c r="J688" i="20"/>
  <c r="Q689" i="4"/>
  <c r="Z676" i="4"/>
  <c r="W677" i="4" s="1"/>
  <c r="L578" i="4" l="1"/>
  <c r="J571" i="20"/>
  <c r="Q572" i="4"/>
  <c r="S571" i="4"/>
  <c r="L571" i="20" s="1"/>
  <c r="J689" i="20"/>
  <c r="Q690" i="4"/>
  <c r="Z677" i="4"/>
  <c r="W678" i="4" s="1"/>
  <c r="Z678" i="4" s="1"/>
  <c r="W679" i="4" s="1"/>
  <c r="Z679" i="4" s="1"/>
  <c r="W680" i="4" s="1"/>
  <c r="Z680" i="4" s="1"/>
  <c r="W681" i="4" s="1"/>
  <c r="Z681" i="4" s="1"/>
  <c r="W682" i="4" s="1"/>
  <c r="Z682" i="4" s="1"/>
  <c r="W683" i="4" s="1"/>
  <c r="Z683" i="4" s="1"/>
  <c r="W684" i="4" s="1"/>
  <c r="Z684" i="4" s="1"/>
  <c r="W685" i="4" s="1"/>
  <c r="Z685" i="4" s="1"/>
  <c r="W686" i="4" s="1"/>
  <c r="Z686" i="4" s="1"/>
  <c r="W687" i="4" s="1"/>
  <c r="Z687" i="4" s="1"/>
  <c r="W688" i="4" s="1"/>
  <c r="Z688" i="4" s="1"/>
  <c r="W689" i="4" s="1"/>
  <c r="Z689" i="4" s="1"/>
  <c r="W690" i="4" s="1"/>
  <c r="Z690" i="4" s="1"/>
  <c r="W691" i="4" s="1"/>
  <c r="Z691" i="4" s="1"/>
  <c r="W692" i="4" s="1"/>
  <c r="Z692" i="4" s="1"/>
  <c r="W693" i="4" s="1"/>
  <c r="Z693" i="4" s="1"/>
  <c r="W694" i="4" s="1"/>
  <c r="Z694" i="4" s="1"/>
  <c r="W695" i="4" s="1"/>
  <c r="Z695" i="4" s="1"/>
  <c r="W696" i="4" s="1"/>
  <c r="Z696" i="4" s="1"/>
  <c r="W697" i="4" s="1"/>
  <c r="Z697" i="4" s="1"/>
  <c r="W698" i="4" s="1"/>
  <c r="Z698" i="4" s="1"/>
  <c r="W699" i="4" s="1"/>
  <c r="Z699" i="4" s="1"/>
  <c r="W700" i="4" s="1"/>
  <c r="Z700" i="4" s="1"/>
  <c r="J572" i="20" l="1"/>
  <c r="Q573" i="4"/>
  <c r="S572" i="4"/>
  <c r="L572" i="20" s="1"/>
  <c r="L579" i="4"/>
  <c r="J690" i="20"/>
  <c r="Q691" i="4"/>
  <c r="L580" i="4" l="1"/>
  <c r="J573" i="20"/>
  <c r="Q574" i="4"/>
  <c r="S573" i="4"/>
  <c r="L573" i="20" s="1"/>
  <c r="J691" i="20"/>
  <c r="Q692" i="4"/>
  <c r="J574" i="20" l="1"/>
  <c r="Q575" i="4"/>
  <c r="S574" i="4"/>
  <c r="L574" i="20" s="1"/>
  <c r="L581" i="4"/>
  <c r="J692" i="20"/>
  <c r="Q693" i="4"/>
  <c r="L582" i="4" l="1"/>
  <c r="Q576" i="4"/>
  <c r="J575" i="20"/>
  <c r="S575" i="4"/>
  <c r="L575" i="20" s="1"/>
  <c r="J693" i="20"/>
  <c r="Q694" i="4"/>
  <c r="J576" i="20" l="1"/>
  <c r="Q577" i="4"/>
  <c r="S576" i="4"/>
  <c r="L576" i="20" s="1"/>
  <c r="L583" i="4"/>
  <c r="J694" i="20"/>
  <c r="Q695" i="4"/>
  <c r="L584" i="4" l="1"/>
  <c r="J577" i="20"/>
  <c r="Q578" i="4"/>
  <c r="S577" i="4"/>
  <c r="L577" i="20" s="1"/>
  <c r="J695" i="20"/>
  <c r="Q696" i="4"/>
  <c r="J578" i="20" l="1"/>
  <c r="Q579" i="4"/>
  <c r="S578" i="4"/>
  <c r="L578" i="20" s="1"/>
  <c r="L585" i="4"/>
  <c r="J696" i="20"/>
  <c r="Q697" i="4"/>
  <c r="L586" i="4" l="1"/>
  <c r="Q580" i="4"/>
  <c r="J579" i="20"/>
  <c r="S579" i="4"/>
  <c r="L579" i="20" s="1"/>
  <c r="J697" i="20"/>
  <c r="Q698" i="4"/>
  <c r="J580" i="20" l="1"/>
  <c r="Q581" i="4"/>
  <c r="S580" i="4"/>
  <c r="L580" i="20" s="1"/>
  <c r="L587" i="4"/>
  <c r="J698" i="20"/>
  <c r="Q699" i="4"/>
  <c r="L588" i="4" l="1"/>
  <c r="Q582" i="4"/>
  <c r="J581" i="20"/>
  <c r="S581" i="4"/>
  <c r="L581" i="20" s="1"/>
  <c r="J699" i="20"/>
  <c r="Q700" i="4"/>
  <c r="Q583" i="4" l="1"/>
  <c r="J582" i="20"/>
  <c r="S582" i="4"/>
  <c r="L582" i="20" s="1"/>
  <c r="L589" i="4"/>
  <c r="J700" i="20"/>
  <c r="L590" i="4" l="1"/>
  <c r="J583" i="20"/>
  <c r="Q584" i="4"/>
  <c r="S583" i="4"/>
  <c r="L583" i="20" s="1"/>
  <c r="Q585" i="4" l="1"/>
  <c r="J584" i="20"/>
  <c r="S584" i="4"/>
  <c r="L584" i="20" s="1"/>
  <c r="L591" i="4"/>
  <c r="L592" i="4" l="1"/>
  <c r="J585" i="20"/>
  <c r="Q586" i="4"/>
  <c r="S585" i="4"/>
  <c r="L585" i="20" s="1"/>
  <c r="J586" i="20" l="1"/>
  <c r="Q587" i="4"/>
  <c r="S586" i="4"/>
  <c r="L586" i="20" s="1"/>
  <c r="L593" i="4"/>
  <c r="L594" i="4" l="1"/>
  <c r="J587" i="20"/>
  <c r="Q588" i="4"/>
  <c r="S587" i="4"/>
  <c r="L587" i="20" s="1"/>
  <c r="Q589" i="4" l="1"/>
  <c r="J588" i="20"/>
  <c r="S588" i="4"/>
  <c r="L588" i="20" s="1"/>
  <c r="L595" i="4"/>
  <c r="L596" i="4" l="1"/>
  <c r="J589" i="20"/>
  <c r="Q590" i="4"/>
  <c r="S589" i="4"/>
  <c r="L589" i="20" s="1"/>
  <c r="Q591" i="4" l="1"/>
  <c r="J590" i="20"/>
  <c r="S590" i="4"/>
  <c r="L590" i="20" s="1"/>
  <c r="L597" i="4"/>
  <c r="L598" i="4" l="1"/>
  <c r="Q592" i="4"/>
  <c r="J591" i="20"/>
  <c r="S591" i="4"/>
  <c r="L591" i="20" s="1"/>
  <c r="J592" i="20" l="1"/>
  <c r="Q593" i="4"/>
  <c r="S592" i="4"/>
  <c r="L592" i="20" s="1"/>
  <c r="L599" i="4"/>
  <c r="L600" i="4" l="1"/>
  <c r="J593" i="20"/>
  <c r="Q594" i="4"/>
  <c r="S593" i="4"/>
  <c r="L593" i="20" s="1"/>
  <c r="Q595" i="4" l="1"/>
  <c r="J594" i="20"/>
  <c r="S594" i="4"/>
  <c r="L594" i="20" s="1"/>
  <c r="L601" i="4"/>
  <c r="L602" i="4" l="1"/>
  <c r="Q596" i="4"/>
  <c r="J595" i="20"/>
  <c r="S595" i="4"/>
  <c r="L595" i="20" s="1"/>
  <c r="Q597" i="4" l="1"/>
  <c r="J596" i="20"/>
  <c r="S596" i="4"/>
  <c r="L596" i="20" s="1"/>
  <c r="L603" i="4"/>
  <c r="L604" i="4" l="1"/>
  <c r="Q598" i="4"/>
  <c r="J597" i="20"/>
  <c r="S597" i="4"/>
  <c r="L597" i="20" s="1"/>
  <c r="Q599" i="4" l="1"/>
  <c r="J598" i="20"/>
  <c r="S598" i="4"/>
  <c r="L598" i="20" s="1"/>
  <c r="L605" i="4"/>
  <c r="L606" i="4" l="1"/>
  <c r="J599" i="20"/>
  <c r="Q600" i="4"/>
  <c r="S599" i="4"/>
  <c r="L599" i="20" s="1"/>
  <c r="Q601" i="4" l="1"/>
  <c r="J600" i="20"/>
  <c r="S600" i="4"/>
  <c r="L600" i="20" s="1"/>
  <c r="L607" i="4"/>
  <c r="L608" i="4" l="1"/>
  <c r="Q602" i="4"/>
  <c r="J601" i="20"/>
  <c r="S601" i="4"/>
  <c r="L601" i="20" s="1"/>
  <c r="Q603" i="4" l="1"/>
  <c r="J602" i="20"/>
  <c r="S602" i="4"/>
  <c r="L602" i="20" s="1"/>
  <c r="L609" i="4"/>
  <c r="L610" i="4" l="1"/>
  <c r="Q604" i="4"/>
  <c r="J603" i="20"/>
  <c r="S603" i="4"/>
  <c r="L603" i="20" s="1"/>
  <c r="J604" i="20" l="1"/>
  <c r="Q605" i="4"/>
  <c r="S604" i="4"/>
  <c r="L604" i="20" s="1"/>
  <c r="L611" i="4"/>
  <c r="L612" i="4" l="1"/>
  <c r="J605" i="20"/>
  <c r="Q606" i="4"/>
  <c r="S605" i="4"/>
  <c r="L605" i="20" s="1"/>
  <c r="J606" i="20" l="1"/>
  <c r="Q607" i="4"/>
  <c r="S606" i="4"/>
  <c r="L606" i="20" s="1"/>
  <c r="L613" i="4"/>
  <c r="L614" i="4" l="1"/>
  <c r="J607" i="20"/>
  <c r="Q608" i="4"/>
  <c r="S607" i="4"/>
  <c r="L607" i="20" s="1"/>
  <c r="Q609" i="4" l="1"/>
  <c r="J608" i="20"/>
  <c r="S608" i="4"/>
  <c r="L608" i="20" s="1"/>
  <c r="L615" i="4"/>
  <c r="L616" i="4" l="1"/>
  <c r="Q610" i="4"/>
  <c r="J609" i="20"/>
  <c r="S609" i="4"/>
  <c r="L609" i="20" s="1"/>
  <c r="Q611" i="4" l="1"/>
  <c r="J610" i="20"/>
  <c r="S610" i="4"/>
  <c r="L610" i="20" s="1"/>
  <c r="L617" i="4"/>
  <c r="L618" i="4" l="1"/>
  <c r="J611" i="20"/>
  <c r="Q612" i="4"/>
  <c r="S611" i="4"/>
  <c r="L611" i="20" s="1"/>
  <c r="Q613" i="4" l="1"/>
  <c r="J612" i="20"/>
  <c r="S612" i="4"/>
  <c r="L612" i="20" s="1"/>
  <c r="L619" i="4"/>
  <c r="L620" i="4" l="1"/>
  <c r="J613" i="20"/>
  <c r="Q614" i="4"/>
  <c r="S613" i="4"/>
  <c r="L613" i="20" s="1"/>
  <c r="Q615" i="4" l="1"/>
  <c r="J614" i="20"/>
  <c r="S614" i="4"/>
  <c r="L614" i="20" s="1"/>
  <c r="L621" i="4"/>
  <c r="L622" i="4" l="1"/>
  <c r="Q616" i="4"/>
  <c r="J615" i="20"/>
  <c r="S615" i="4"/>
  <c r="L615" i="20" s="1"/>
  <c r="Q617" i="4" l="1"/>
  <c r="J616" i="20"/>
  <c r="S616" i="4"/>
  <c r="L616" i="20" s="1"/>
  <c r="L623" i="4"/>
  <c r="L624" i="4" l="1"/>
  <c r="Q618" i="4"/>
  <c r="J617" i="20"/>
  <c r="S617" i="4"/>
  <c r="L617" i="20" s="1"/>
  <c r="J618" i="20" l="1"/>
  <c r="Q619" i="4"/>
  <c r="S618" i="4"/>
  <c r="L618" i="20" s="1"/>
  <c r="L625" i="4"/>
  <c r="J619" i="20" l="1"/>
  <c r="Q620" i="4"/>
  <c r="S619" i="4"/>
  <c r="L619" i="20" s="1"/>
  <c r="L626" i="4"/>
  <c r="L627" i="4" l="1"/>
  <c r="J620" i="20"/>
  <c r="Q621" i="4"/>
  <c r="S620" i="4"/>
  <c r="L620" i="20" s="1"/>
  <c r="Q622" i="4" l="1"/>
  <c r="J621" i="20"/>
  <c r="S621" i="4"/>
  <c r="L621" i="20" s="1"/>
  <c r="L628" i="4"/>
  <c r="L629" i="4" l="1"/>
  <c r="Q623" i="4"/>
  <c r="J622" i="20"/>
  <c r="S622" i="4"/>
  <c r="L622" i="20" s="1"/>
  <c r="J623" i="20" l="1"/>
  <c r="Q624" i="4"/>
  <c r="S623" i="4"/>
  <c r="L623" i="20" s="1"/>
  <c r="L630" i="4"/>
  <c r="L631" i="4" l="1"/>
  <c r="Q625" i="4"/>
  <c r="J624" i="20"/>
  <c r="S624" i="4"/>
  <c r="L624" i="20" s="1"/>
  <c r="J625" i="20" l="1"/>
  <c r="Q626" i="4"/>
  <c r="S625" i="4"/>
  <c r="L625" i="20" s="1"/>
  <c r="L632" i="4"/>
  <c r="L633" i="4" l="1"/>
  <c r="J626" i="20"/>
  <c r="Q627" i="4"/>
  <c r="S626" i="4"/>
  <c r="L626" i="20" s="1"/>
  <c r="Q628" i="4" l="1"/>
  <c r="J627" i="20"/>
  <c r="S627" i="4"/>
  <c r="L627" i="20" s="1"/>
  <c r="L634" i="4"/>
  <c r="L635" i="4" l="1"/>
  <c r="Q629" i="4"/>
  <c r="J628" i="20"/>
  <c r="S628" i="4"/>
  <c r="L628" i="20" s="1"/>
  <c r="J629" i="20" l="1"/>
  <c r="Q630" i="4"/>
  <c r="S629" i="4"/>
  <c r="L629" i="20" s="1"/>
  <c r="L636" i="4"/>
  <c r="Q631" i="4" l="1"/>
  <c r="J630" i="20"/>
  <c r="S630" i="4"/>
  <c r="L630" i="20" s="1"/>
  <c r="L637" i="4"/>
  <c r="L638" i="4" l="1"/>
  <c r="J631" i="20"/>
  <c r="Q632" i="4"/>
  <c r="S631" i="4"/>
  <c r="L631" i="20" s="1"/>
  <c r="J632" i="20" l="1"/>
  <c r="Q633" i="4"/>
  <c r="S632" i="4"/>
  <c r="L632" i="20" s="1"/>
  <c r="L639" i="4"/>
  <c r="L640" i="4" l="1"/>
  <c r="J633" i="20"/>
  <c r="Q634" i="4"/>
  <c r="S633" i="4"/>
  <c r="L633" i="20" s="1"/>
  <c r="J634" i="20" l="1"/>
  <c r="Q635" i="4"/>
  <c r="S634" i="4"/>
  <c r="L634" i="20" s="1"/>
  <c r="L641" i="4"/>
  <c r="J635" i="20" l="1"/>
  <c r="Q636" i="4"/>
  <c r="S635" i="4"/>
  <c r="L635" i="20" s="1"/>
  <c r="L642" i="4"/>
  <c r="L643" i="4" l="1"/>
  <c r="J636" i="20"/>
  <c r="Q637" i="4"/>
  <c r="S636" i="4"/>
  <c r="L636" i="20" s="1"/>
  <c r="Q638" i="4" l="1"/>
  <c r="J637" i="20"/>
  <c r="S637" i="4"/>
  <c r="L637" i="20" s="1"/>
  <c r="L644" i="4"/>
  <c r="L645" i="4" l="1"/>
  <c r="J638" i="20"/>
  <c r="Q639" i="4"/>
  <c r="S638" i="4"/>
  <c r="L638" i="20" s="1"/>
  <c r="Q640" i="4" l="1"/>
  <c r="J639" i="20"/>
  <c r="S639" i="4"/>
  <c r="L639" i="20" s="1"/>
  <c r="L646" i="4"/>
  <c r="L647" i="4" l="1"/>
  <c r="J640" i="20"/>
  <c r="Q641" i="4"/>
  <c r="S640" i="4"/>
  <c r="L640" i="20" s="1"/>
  <c r="J641" i="20" l="1"/>
  <c r="Q642" i="4"/>
  <c r="S641" i="4"/>
  <c r="L641" i="20" s="1"/>
  <c r="L648" i="4"/>
  <c r="J642" i="20" l="1"/>
  <c r="Q643" i="4"/>
  <c r="S642" i="4"/>
  <c r="L642" i="20" s="1"/>
  <c r="L649" i="4"/>
  <c r="L650" i="4" l="1"/>
  <c r="J643" i="20"/>
  <c r="Q644" i="4"/>
  <c r="S643" i="4"/>
  <c r="L643" i="20" s="1"/>
  <c r="Q645" i="4" l="1"/>
  <c r="J644" i="20"/>
  <c r="S644" i="4"/>
  <c r="L644" i="20" s="1"/>
  <c r="L651" i="4"/>
  <c r="L652" i="4" l="1"/>
  <c r="Q646" i="4"/>
  <c r="J645" i="20"/>
  <c r="S645" i="4"/>
  <c r="L645" i="20" s="1"/>
  <c r="Q647" i="4" l="1"/>
  <c r="J646" i="20"/>
  <c r="S646" i="4"/>
  <c r="L646" i="20" s="1"/>
  <c r="L653" i="4"/>
  <c r="L654" i="4" l="1"/>
  <c r="Q648" i="4"/>
  <c r="J647" i="20"/>
  <c r="S647" i="4"/>
  <c r="L647" i="20" s="1"/>
  <c r="Q649" i="4" l="1"/>
  <c r="J648" i="20"/>
  <c r="S648" i="4"/>
  <c r="L648" i="20" s="1"/>
  <c r="L655" i="4"/>
  <c r="L656" i="4" l="1"/>
  <c r="J649" i="20"/>
  <c r="Q650" i="4"/>
  <c r="S649" i="4"/>
  <c r="L649" i="20" s="1"/>
  <c r="J650" i="20" l="1"/>
  <c r="Q651" i="4"/>
  <c r="S650" i="4"/>
  <c r="L650" i="20" s="1"/>
  <c r="L657" i="4"/>
  <c r="J651" i="20" l="1"/>
  <c r="Q652" i="4"/>
  <c r="S651" i="4"/>
  <c r="L651" i="20" s="1"/>
  <c r="L658" i="4"/>
  <c r="J652" i="20" l="1"/>
  <c r="Q653" i="4"/>
  <c r="S652" i="4"/>
  <c r="L652" i="20" s="1"/>
  <c r="L659" i="4"/>
  <c r="L660" i="4" l="1"/>
  <c r="Q654" i="4"/>
  <c r="J653" i="20"/>
  <c r="S653" i="4"/>
  <c r="L653" i="20" s="1"/>
  <c r="J654" i="20" l="1"/>
  <c r="Q655" i="4"/>
  <c r="S654" i="4"/>
  <c r="L654" i="20" s="1"/>
  <c r="L661" i="4"/>
  <c r="Q656" i="4" l="1"/>
  <c r="J655" i="20"/>
  <c r="S655" i="4"/>
  <c r="L655" i="20" s="1"/>
  <c r="L662" i="4"/>
  <c r="J15" i="2" l="1"/>
  <c r="L663" i="4"/>
  <c r="X5" i="4"/>
  <c r="Q657" i="4"/>
  <c r="J656" i="20"/>
  <c r="S656" i="4"/>
  <c r="L656" i="20" s="1"/>
  <c r="J18" i="2" l="1"/>
  <c r="Y5" i="4"/>
  <c r="J657" i="20"/>
  <c r="Q658" i="4"/>
  <c r="S657" i="4"/>
  <c r="L657" i="20" s="1"/>
  <c r="L664" i="4"/>
  <c r="S663" i="4"/>
  <c r="L663" i="20" s="1"/>
  <c r="J20" i="2" l="1"/>
  <c r="L35" i="5" s="1"/>
  <c r="J11" i="24" s="1"/>
  <c r="L11" i="24" s="1"/>
  <c r="J658" i="20"/>
  <c r="Q659" i="4"/>
  <c r="S658" i="4"/>
  <c r="L658" i="20" s="1"/>
  <c r="L665" i="4"/>
  <c r="S664" i="4"/>
  <c r="L664" i="20" s="1"/>
  <c r="O5" i="20"/>
  <c r="J14" i="24" l="1"/>
  <c r="L36" i="5"/>
  <c r="L37" i="5" s="1"/>
  <c r="L41" i="5" s="1"/>
  <c r="AA5" i="4"/>
  <c r="L12" i="24"/>
  <c r="L14" i="24" s="1"/>
  <c r="J659" i="20"/>
  <c r="Q660" i="4"/>
  <c r="S659" i="4"/>
  <c r="L659" i="20" s="1"/>
  <c r="L666" i="4"/>
  <c r="S665" i="4"/>
  <c r="L665" i="20" s="1"/>
  <c r="L50" i="5" l="1"/>
  <c r="L51" i="5" s="1"/>
  <c r="L54" i="5" s="1"/>
  <c r="L42" i="5"/>
  <c r="L43" i="5" s="1"/>
  <c r="F60" i="5" s="1"/>
  <c r="V5" i="4"/>
  <c r="X6" i="4"/>
  <c r="L667" i="4"/>
  <c r="S666" i="4"/>
  <c r="L666" i="20" s="1"/>
  <c r="J660" i="20"/>
  <c r="Q661" i="4"/>
  <c r="S660" i="4"/>
  <c r="L660" i="20" s="1"/>
  <c r="L46" i="5" l="1"/>
  <c r="L52" i="5"/>
  <c r="F62" i="5" s="1"/>
  <c r="L45" i="5"/>
  <c r="L55" i="5"/>
  <c r="L59" i="5" s="1"/>
  <c r="C24" i="20" s="1"/>
  <c r="Y6" i="4"/>
  <c r="AA6" i="4"/>
  <c r="L58" i="5"/>
  <c r="C23" i="20" s="1"/>
  <c r="J15" i="24"/>
  <c r="J16" i="24" s="1"/>
  <c r="L668" i="4"/>
  <c r="S667" i="4"/>
  <c r="L667" i="20" s="1"/>
  <c r="J661" i="20"/>
  <c r="Q662" i="4"/>
  <c r="S661" i="4"/>
  <c r="L661" i="20" s="1"/>
  <c r="X7" i="4" l="1"/>
  <c r="O6" i="20"/>
  <c r="U6" i="4"/>
  <c r="N6" i="20" s="1"/>
  <c r="L15" i="24"/>
  <c r="J662" i="20"/>
  <c r="S662" i="4"/>
  <c r="L662" i="20" s="1"/>
  <c r="L669" i="4"/>
  <c r="S668" i="4"/>
  <c r="L668" i="20" s="1"/>
  <c r="V6" i="4" l="1"/>
  <c r="AA7" i="4"/>
  <c r="Y7" i="4"/>
  <c r="L16" i="24"/>
  <c r="A24" i="20"/>
  <c r="A21" i="20"/>
  <c r="A22" i="20"/>
  <c r="A23" i="20"/>
  <c r="L670" i="4"/>
  <c r="S669" i="4"/>
  <c r="L669" i="20" s="1"/>
  <c r="O7" i="20" l="1"/>
  <c r="U7" i="4"/>
  <c r="V7" i="4" s="1"/>
  <c r="X8" i="4"/>
  <c r="G7" i="20"/>
  <c r="F7" i="20"/>
  <c r="G4" i="20"/>
  <c r="F4" i="20"/>
  <c r="D7" i="20"/>
  <c r="E4" i="20"/>
  <c r="D4" i="20"/>
  <c r="E7" i="20"/>
  <c r="L671" i="4"/>
  <c r="S670" i="4"/>
  <c r="L670" i="20" s="1"/>
  <c r="Y8" i="4" l="1"/>
  <c r="O8" i="20" s="1"/>
  <c r="AA8" i="4"/>
  <c r="X9" i="4" s="1"/>
  <c r="N7" i="20"/>
  <c r="L672" i="4"/>
  <c r="S671" i="4"/>
  <c r="L671" i="20" s="1"/>
  <c r="U8" i="4" l="1"/>
  <c r="N8" i="20" s="1"/>
  <c r="AA9" i="4"/>
  <c r="X10" i="4" s="1"/>
  <c r="Y9" i="4"/>
  <c r="L673" i="4"/>
  <c r="S672" i="4"/>
  <c r="L672" i="20" s="1"/>
  <c r="V8" i="4" l="1"/>
  <c r="Y10" i="4"/>
  <c r="AA10" i="4"/>
  <c r="X11" i="4" s="1"/>
  <c r="U9" i="4"/>
  <c r="N9" i="20" s="1"/>
  <c r="O9" i="20"/>
  <c r="L674" i="4"/>
  <c r="S673" i="4"/>
  <c r="L673" i="20" s="1"/>
  <c r="V9" i="4" l="1"/>
  <c r="Y11" i="4"/>
  <c r="AA11" i="4"/>
  <c r="O10" i="20"/>
  <c r="U10" i="4"/>
  <c r="N10" i="20" s="1"/>
  <c r="L675" i="4"/>
  <c r="S674" i="4"/>
  <c r="L674" i="20" s="1"/>
  <c r="X12" i="4" l="1"/>
  <c r="V10" i="4"/>
  <c r="U11" i="4"/>
  <c r="N11" i="20" s="1"/>
  <c r="O11" i="20"/>
  <c r="L676" i="4"/>
  <c r="S675" i="4"/>
  <c r="L675" i="20" s="1"/>
  <c r="V11" i="4" l="1"/>
  <c r="Y12" i="4"/>
  <c r="AA12" i="4"/>
  <c r="L677" i="4"/>
  <c r="S676" i="4"/>
  <c r="L676" i="20" s="1"/>
  <c r="X13" i="4" l="1"/>
  <c r="O12" i="20"/>
  <c r="U12" i="4"/>
  <c r="N12" i="20" s="1"/>
  <c r="L678" i="4"/>
  <c r="S677" i="4"/>
  <c r="L677" i="20" s="1"/>
  <c r="V12" i="4" l="1"/>
  <c r="Y13" i="4"/>
  <c r="AA13" i="4"/>
  <c r="X14" i="4" s="1"/>
  <c r="L679" i="4"/>
  <c r="S678" i="4"/>
  <c r="L678" i="20" s="1"/>
  <c r="O13" i="20" l="1"/>
  <c r="U13" i="4"/>
  <c r="N13" i="20" s="1"/>
  <c r="Y14" i="4"/>
  <c r="AA14" i="4"/>
  <c r="X15" i="4" s="1"/>
  <c r="L680" i="4"/>
  <c r="S679" i="4"/>
  <c r="L679" i="20" s="1"/>
  <c r="Y15" i="4" l="1"/>
  <c r="AA15" i="4"/>
  <c r="O14" i="20"/>
  <c r="U14" i="4"/>
  <c r="N14" i="20" s="1"/>
  <c r="V13" i="4"/>
  <c r="L681" i="4"/>
  <c r="S680" i="4"/>
  <c r="L680" i="20" s="1"/>
  <c r="U15" i="4" l="1"/>
  <c r="N15" i="20" s="1"/>
  <c r="O15" i="20"/>
  <c r="V14" i="4"/>
  <c r="X16" i="4"/>
  <c r="L682" i="4"/>
  <c r="S681" i="4"/>
  <c r="L681" i="20" s="1"/>
  <c r="V15" i="4" l="1"/>
  <c r="AA16" i="4"/>
  <c r="X17" i="4" s="1"/>
  <c r="Y16" i="4"/>
  <c r="L683" i="4"/>
  <c r="S682" i="4"/>
  <c r="L682" i="20" s="1"/>
  <c r="AA17" i="4" l="1"/>
  <c r="X18" i="4" s="1"/>
  <c r="Y17" i="4"/>
  <c r="O17" i="20" s="1"/>
  <c r="O16" i="20"/>
  <c r="U16" i="4"/>
  <c r="U17" i="4" s="1"/>
  <c r="N17" i="20" s="1"/>
  <c r="L684" i="4"/>
  <c r="S683" i="4"/>
  <c r="L683" i="20" s="1"/>
  <c r="N16" i="20" l="1"/>
  <c r="V16" i="4"/>
  <c r="AA18" i="4"/>
  <c r="X19" i="4" s="1"/>
  <c r="Y18" i="4"/>
  <c r="V17" i="4"/>
  <c r="L685" i="4"/>
  <c r="S684" i="4"/>
  <c r="L684" i="20" s="1"/>
  <c r="U18" i="4" l="1"/>
  <c r="O18" i="20"/>
  <c r="L686" i="4"/>
  <c r="S685" i="4"/>
  <c r="L685" i="20" s="1"/>
  <c r="Y19" i="4"/>
  <c r="AA19" i="4"/>
  <c r="N18" i="20" l="1"/>
  <c r="V18" i="4"/>
  <c r="X20" i="4"/>
  <c r="AA20" i="4" s="1"/>
  <c r="O19" i="20"/>
  <c r="U19" i="4"/>
  <c r="N19" i="20" s="1"/>
  <c r="L687" i="4"/>
  <c r="S686" i="4"/>
  <c r="L686" i="20" s="1"/>
  <c r="Y20" i="4" l="1"/>
  <c r="O20" i="20" s="1"/>
  <c r="X21" i="4"/>
  <c r="Y21" i="4" s="1"/>
  <c r="V19" i="4"/>
  <c r="L688" i="4"/>
  <c r="S687" i="4"/>
  <c r="L687" i="20" s="1"/>
  <c r="U20" i="4" l="1"/>
  <c r="N20" i="20" s="1"/>
  <c r="AA21" i="4"/>
  <c r="X22" i="4" s="1"/>
  <c r="AA22" i="4" s="1"/>
  <c r="O21" i="20"/>
  <c r="L689" i="4"/>
  <c r="S688" i="4"/>
  <c r="L688" i="20" s="1"/>
  <c r="V20" i="4" l="1"/>
  <c r="U21" i="4"/>
  <c r="N21" i="20" s="1"/>
  <c r="Y22" i="4"/>
  <c r="O22" i="20" s="1"/>
  <c r="X23" i="4"/>
  <c r="AA23" i="4" s="1"/>
  <c r="L690" i="4"/>
  <c r="S689" i="4"/>
  <c r="L689" i="20" s="1"/>
  <c r="Y23" i="4" l="1"/>
  <c r="O23" i="20" s="1"/>
  <c r="V21" i="4"/>
  <c r="U22" i="4"/>
  <c r="N22" i="20" s="1"/>
  <c r="X24" i="4"/>
  <c r="L691" i="4"/>
  <c r="S690" i="4"/>
  <c r="L690" i="20" s="1"/>
  <c r="U23" i="4" l="1"/>
  <c r="N23" i="20" s="1"/>
  <c r="V22" i="4"/>
  <c r="L692" i="4"/>
  <c r="S691" i="4"/>
  <c r="L691" i="20" s="1"/>
  <c r="Y24" i="4"/>
  <c r="AA24" i="4"/>
  <c r="V23" i="4" l="1"/>
  <c r="X25" i="4"/>
  <c r="O24" i="20"/>
  <c r="U24" i="4"/>
  <c r="N24" i="20" s="1"/>
  <c r="L693" i="4"/>
  <c r="S692" i="4"/>
  <c r="L692" i="20" s="1"/>
  <c r="V24" i="4" l="1"/>
  <c r="L694" i="4"/>
  <c r="S693" i="4"/>
  <c r="L693" i="20" s="1"/>
  <c r="Y25" i="4"/>
  <c r="AA25" i="4"/>
  <c r="X26" i="4" l="1"/>
  <c r="Y26" i="4" s="1"/>
  <c r="O25" i="20"/>
  <c r="U25" i="4"/>
  <c r="N25" i="20" s="1"/>
  <c r="L695" i="4"/>
  <c r="S694" i="4"/>
  <c r="L694" i="20" s="1"/>
  <c r="V25" i="4" l="1"/>
  <c r="O26" i="20"/>
  <c r="U26" i="4"/>
  <c r="N26" i="20" s="1"/>
  <c r="L696" i="4"/>
  <c r="S695" i="4"/>
  <c r="L695" i="20" s="1"/>
  <c r="AA26" i="4"/>
  <c r="X27" i="4" s="1"/>
  <c r="V26" i="4" l="1"/>
  <c r="Y27" i="4"/>
  <c r="AA27" i="4"/>
  <c r="L697" i="4"/>
  <c r="S696" i="4"/>
  <c r="L696" i="20" s="1"/>
  <c r="X28" i="4" l="1"/>
  <c r="Y28" i="4" s="1"/>
  <c r="L698" i="4"/>
  <c r="S697" i="4"/>
  <c r="L697" i="20" s="1"/>
  <c r="O27" i="20"/>
  <c r="U27" i="4"/>
  <c r="N27" i="20" s="1"/>
  <c r="V27" i="4" l="1"/>
  <c r="U28" i="4"/>
  <c r="N28" i="20" s="1"/>
  <c r="O28" i="20"/>
  <c r="L699" i="4"/>
  <c r="S698" i="4"/>
  <c r="L698" i="20" s="1"/>
  <c r="AA28" i="4"/>
  <c r="V28" i="4" l="1"/>
  <c r="X29" i="4"/>
  <c r="L700" i="4"/>
  <c r="S700" i="4" s="1"/>
  <c r="L700" i="20" s="1"/>
  <c r="S699" i="4"/>
  <c r="L699" i="20" s="1"/>
  <c r="Y29" i="4" l="1"/>
  <c r="AA29" i="4"/>
  <c r="X30" i="4" l="1"/>
  <c r="O29" i="20"/>
  <c r="U29" i="4"/>
  <c r="N29" i="20" s="1"/>
  <c r="V29" i="4" l="1"/>
  <c r="Y30" i="4"/>
  <c r="AA30" i="4"/>
  <c r="X31" i="4" l="1"/>
  <c r="O30" i="20"/>
  <c r="U30" i="4"/>
  <c r="N30" i="20" s="1"/>
  <c r="V30" i="4" l="1"/>
  <c r="Y31" i="4"/>
  <c r="AA31" i="4"/>
  <c r="X32" i="4" l="1"/>
  <c r="Y32" i="4" s="1"/>
  <c r="U31" i="4"/>
  <c r="N31" i="20" s="1"/>
  <c r="O31" i="20"/>
  <c r="AA32" i="4" l="1"/>
  <c r="X33" i="4" s="1"/>
  <c r="V31" i="4"/>
  <c r="U32" i="4"/>
  <c r="N32" i="20" s="1"/>
  <c r="O32" i="20"/>
  <c r="V32" i="4" l="1"/>
  <c r="Y33" i="4"/>
  <c r="AA33" i="4"/>
  <c r="X34" i="4" l="1"/>
  <c r="Y34" i="4" s="1"/>
  <c r="O33" i="20"/>
  <c r="U33" i="4"/>
  <c r="N33" i="20" s="1"/>
  <c r="AA34" i="4" l="1"/>
  <c r="V33" i="4"/>
  <c r="O34" i="20"/>
  <c r="U34" i="4"/>
  <c r="N34" i="20" s="1"/>
  <c r="V34" i="4" l="1"/>
  <c r="X35" i="4"/>
  <c r="AA35" i="4" l="1"/>
  <c r="X36" i="4" s="1"/>
  <c r="Y36" i="4" s="1"/>
  <c r="Y35" i="4"/>
  <c r="AA36" i="4" l="1"/>
  <c r="O35" i="20"/>
  <c r="U35" i="4"/>
  <c r="N35" i="20" s="1"/>
  <c r="O36" i="20"/>
  <c r="U36" i="4" l="1"/>
  <c r="N36" i="20" s="1"/>
  <c r="V35" i="4"/>
  <c r="X37" i="4"/>
  <c r="V36" i="4" l="1"/>
  <c r="Y37" i="4"/>
  <c r="AA37" i="4"/>
  <c r="X38" i="4" s="1"/>
  <c r="Y38" i="4" l="1"/>
  <c r="AA38" i="4"/>
  <c r="X39" i="4" s="1"/>
  <c r="O37" i="20"/>
  <c r="U37" i="4"/>
  <c r="N37" i="20" s="1"/>
  <c r="AA39" i="4" l="1"/>
  <c r="X40" i="4" s="1"/>
  <c r="Y40" i="4" s="1"/>
  <c r="Y39" i="4"/>
  <c r="O39" i="20" s="1"/>
  <c r="V37" i="4"/>
  <c r="U38" i="4"/>
  <c r="N38" i="20" s="1"/>
  <c r="O38" i="20"/>
  <c r="AA40" i="4" l="1"/>
  <c r="X41" i="4" s="1"/>
  <c r="AA41" i="4" s="1"/>
  <c r="X42" i="4" s="1"/>
  <c r="Y42" i="4" s="1"/>
  <c r="V38" i="4"/>
  <c r="U39" i="4"/>
  <c r="U40" i="4" s="1"/>
  <c r="O40" i="20"/>
  <c r="Y41" i="4" l="1"/>
  <c r="U41" i="4" s="1"/>
  <c r="N41" i="20" s="1"/>
  <c r="N40" i="20"/>
  <c r="V40" i="4"/>
  <c r="N39" i="20"/>
  <c r="V39" i="4"/>
  <c r="O42" i="20"/>
  <c r="AA42" i="4"/>
  <c r="O41" i="20" l="1"/>
  <c r="V41" i="4"/>
  <c r="U42" i="4"/>
  <c r="N42" i="20" s="1"/>
  <c r="X43" i="4"/>
  <c r="V42" i="4" l="1"/>
  <c r="Y43" i="4"/>
  <c r="AA43" i="4"/>
  <c r="X44" i="4" l="1"/>
  <c r="O43" i="20"/>
  <c r="U43" i="4"/>
  <c r="N43" i="20" s="1"/>
  <c r="V43" i="4" l="1"/>
  <c r="Y44" i="4"/>
  <c r="AA44" i="4"/>
  <c r="X45" i="4" l="1"/>
  <c r="O44" i="20"/>
  <c r="U44" i="4"/>
  <c r="N44" i="20" s="1"/>
  <c r="V44" i="4" l="1"/>
  <c r="Y45" i="4"/>
  <c r="AA45" i="4"/>
  <c r="X46" i="4" l="1"/>
  <c r="Y46" i="4" s="1"/>
  <c r="O45" i="20"/>
  <c r="U45" i="4"/>
  <c r="N45" i="20" s="1"/>
  <c r="V45" i="4" l="1"/>
  <c r="O46" i="20"/>
  <c r="U46" i="4"/>
  <c r="N46" i="20" s="1"/>
  <c r="AA46" i="4"/>
  <c r="X47" i="4" s="1"/>
  <c r="Y47" i="4" s="1"/>
  <c r="V46" i="4" l="1"/>
  <c r="O47" i="20"/>
  <c r="U47" i="4"/>
  <c r="N47" i="20" s="1"/>
  <c r="AA47" i="4"/>
  <c r="X48" i="4" s="1"/>
  <c r="V47" i="4" l="1"/>
  <c r="Y48" i="4"/>
  <c r="AA48" i="4"/>
  <c r="X49" i="4" s="1"/>
  <c r="Y49" i="4" l="1"/>
  <c r="AA49" i="4"/>
  <c r="O48" i="20"/>
  <c r="U48" i="4"/>
  <c r="N48" i="20" s="1"/>
  <c r="V48" i="4" l="1"/>
  <c r="X50" i="4"/>
  <c r="Y50" i="4" s="1"/>
  <c r="O49" i="20"/>
  <c r="U49" i="4"/>
  <c r="N49" i="20" s="1"/>
  <c r="O50" i="20" l="1"/>
  <c r="U50" i="4"/>
  <c r="N50" i="20" s="1"/>
  <c r="V49" i="4"/>
  <c r="AA50" i="4"/>
  <c r="V50" i="4" l="1"/>
  <c r="X51" i="4"/>
  <c r="Y51" i="4" s="1"/>
  <c r="O51" i="20" l="1"/>
  <c r="U51" i="4"/>
  <c r="N51" i="20" s="1"/>
  <c r="AA51" i="4"/>
  <c r="V51" i="4" l="1"/>
  <c r="X52" i="4"/>
  <c r="AA52" i="4" l="1"/>
  <c r="X53" i="4" s="1"/>
  <c r="Y52" i="4"/>
  <c r="O52" i="20" l="1"/>
  <c r="U52" i="4"/>
  <c r="Y53" i="4"/>
  <c r="AA53" i="4"/>
  <c r="N52" i="20" l="1"/>
  <c r="V52" i="4"/>
  <c r="X54" i="4"/>
  <c r="U53" i="4"/>
  <c r="N53" i="20" s="1"/>
  <c r="O53" i="20"/>
  <c r="V53" i="4" l="1"/>
  <c r="AA54" i="4"/>
  <c r="X55" i="4" s="1"/>
  <c r="AA55" i="4" s="1"/>
  <c r="Y54" i="4"/>
  <c r="Y55" i="4" l="1"/>
  <c r="O55" i="20" s="1"/>
  <c r="O54" i="20"/>
  <c r="U54" i="4"/>
  <c r="X56" i="4"/>
  <c r="U55" i="4" l="1"/>
  <c r="N55" i="20" s="1"/>
  <c r="N54" i="20"/>
  <c r="V54" i="4"/>
  <c r="Y56" i="4"/>
  <c r="AA56" i="4"/>
  <c r="V55" i="4" l="1"/>
  <c r="X57" i="4"/>
  <c r="Y57" i="4" s="1"/>
  <c r="O56" i="20"/>
  <c r="U56" i="4"/>
  <c r="N56" i="20" s="1"/>
  <c r="AA57" i="4" l="1"/>
  <c r="X58" i="4" s="1"/>
  <c r="Y58" i="4" s="1"/>
  <c r="V56" i="4"/>
  <c r="O57" i="20"/>
  <c r="U57" i="4"/>
  <c r="N57" i="20" s="1"/>
  <c r="V57" i="4" l="1"/>
  <c r="U58" i="4"/>
  <c r="N58" i="20" s="1"/>
  <c r="O58" i="20"/>
  <c r="AA58" i="4"/>
  <c r="V58" i="4" l="1"/>
  <c r="X59" i="4"/>
  <c r="Y59" i="4" l="1"/>
  <c r="AA59" i="4"/>
  <c r="X60" i="4" l="1"/>
  <c r="O59" i="20"/>
  <c r="U59" i="4"/>
  <c r="N59" i="20" s="1"/>
  <c r="V59" i="4" l="1"/>
  <c r="Y60" i="4"/>
  <c r="AA60" i="4"/>
  <c r="X61" i="4" l="1"/>
  <c r="O60" i="20"/>
  <c r="U60" i="4"/>
  <c r="N60" i="20" s="1"/>
  <c r="V60" i="4" l="1"/>
  <c r="Y61" i="4"/>
  <c r="AA61" i="4"/>
  <c r="X62" i="4" l="1"/>
  <c r="AA62" i="4" s="1"/>
  <c r="O61" i="20"/>
  <c r="U61" i="4"/>
  <c r="N61" i="20" s="1"/>
  <c r="Y62" i="4" l="1"/>
  <c r="U62" i="4" s="1"/>
  <c r="N62" i="20" s="1"/>
  <c r="V61" i="4"/>
  <c r="X63" i="4"/>
  <c r="Y63" i="4" s="1"/>
  <c r="O62" i="20" l="1"/>
  <c r="V62" i="4"/>
  <c r="AA63" i="4"/>
  <c r="U63" i="4"/>
  <c r="N63" i="20" s="1"/>
  <c r="O63" i="20"/>
  <c r="V63" i="4" l="1"/>
  <c r="X64" i="4"/>
  <c r="Y64" i="4" s="1"/>
  <c r="U64" i="4" s="1"/>
  <c r="N64" i="20" s="1"/>
  <c r="O64" i="20" l="1"/>
  <c r="AA64" i="4"/>
  <c r="V64" i="4" s="1"/>
  <c r="X65" i="4" l="1"/>
  <c r="Y65" i="4" s="1"/>
  <c r="AA65" i="4" l="1"/>
  <c r="X66" i="4" s="1"/>
  <c r="Y66" i="4" s="1"/>
  <c r="U65" i="4"/>
  <c r="N65" i="20" s="1"/>
  <c r="O65" i="20"/>
  <c r="U66" i="4" l="1"/>
  <c r="N66" i="20" s="1"/>
  <c r="O66" i="20"/>
  <c r="V65" i="4"/>
  <c r="AA66" i="4"/>
  <c r="V66" i="4" l="1"/>
  <c r="X67" i="4"/>
  <c r="Y67" i="4" s="1"/>
  <c r="AA67" i="4" l="1"/>
  <c r="U67" i="4"/>
  <c r="N67" i="20" s="1"/>
  <c r="O67" i="20"/>
  <c r="V67" i="4" l="1"/>
  <c r="X68" i="4"/>
  <c r="Y68" i="4" l="1"/>
  <c r="AA68" i="4"/>
  <c r="X69" i="4" l="1"/>
  <c r="U68" i="4"/>
  <c r="N68" i="20" s="1"/>
  <c r="O68" i="20"/>
  <c r="Y69" i="4" l="1"/>
  <c r="AA69" i="4"/>
  <c r="V68" i="4"/>
  <c r="X70" i="4" l="1"/>
  <c r="U69" i="4"/>
  <c r="N69" i="20" s="1"/>
  <c r="O69" i="20"/>
  <c r="Y70" i="4" l="1"/>
  <c r="AA70" i="4"/>
  <c r="X71" i="4" s="1"/>
  <c r="V69" i="4"/>
  <c r="Y71" i="4" l="1"/>
  <c r="AA71" i="4"/>
  <c r="O70" i="20"/>
  <c r="U70" i="4"/>
  <c r="N70" i="20" s="1"/>
  <c r="V70" i="4" l="1"/>
  <c r="X72" i="4"/>
  <c r="U71" i="4"/>
  <c r="N71" i="20" s="1"/>
  <c r="O71" i="20"/>
  <c r="Y72" i="4" l="1"/>
  <c r="AA72" i="4"/>
  <c r="X73" i="4" s="1"/>
  <c r="V71" i="4"/>
  <c r="Y73" i="4" l="1"/>
  <c r="AA73" i="4"/>
  <c r="X74" i="4" s="1"/>
  <c r="O72" i="20"/>
  <c r="U72" i="4"/>
  <c r="N72" i="20" s="1"/>
  <c r="Y74" i="4" l="1"/>
  <c r="AA74" i="4"/>
  <c r="X75" i="4" s="1"/>
  <c r="V72" i="4"/>
  <c r="U73" i="4"/>
  <c r="N73" i="20" s="1"/>
  <c r="O73" i="20"/>
  <c r="Y75" i="4" l="1"/>
  <c r="AA75" i="4"/>
  <c r="X76" i="4" s="1"/>
  <c r="V73" i="4"/>
  <c r="O74" i="20"/>
  <c r="U74" i="4"/>
  <c r="N74" i="20" s="1"/>
  <c r="V74" i="4" l="1"/>
  <c r="Y76" i="4"/>
  <c r="AA76" i="4"/>
  <c r="X77" i="4" s="1"/>
  <c r="O75" i="20"/>
  <c r="U75" i="4"/>
  <c r="N75" i="20" s="1"/>
  <c r="O76" i="20" l="1"/>
  <c r="U76" i="4"/>
  <c r="N76" i="20" s="1"/>
  <c r="Y77" i="4"/>
  <c r="AA77" i="4"/>
  <c r="X78" i="4" s="1"/>
  <c r="V75" i="4"/>
  <c r="V76" i="4" l="1"/>
  <c r="O77" i="20"/>
  <c r="U77" i="4"/>
  <c r="N77" i="20" s="1"/>
  <c r="Y78" i="4"/>
  <c r="AA78" i="4"/>
  <c r="X79" i="4" l="1"/>
  <c r="U78" i="4"/>
  <c r="N78" i="20" s="1"/>
  <c r="O78" i="20"/>
  <c r="V77" i="4"/>
  <c r="Y79" i="4" l="1"/>
  <c r="AA79" i="4"/>
  <c r="X80" i="4" s="1"/>
  <c r="V78" i="4"/>
  <c r="Y80" i="4" l="1"/>
  <c r="AA80" i="4"/>
  <c r="X81" i="4" s="1"/>
  <c r="U79" i="4"/>
  <c r="N79" i="20" s="1"/>
  <c r="O79" i="20"/>
  <c r="Y81" i="4" l="1"/>
  <c r="AA81" i="4"/>
  <c r="V79" i="4"/>
  <c r="U80" i="4"/>
  <c r="N80" i="20" s="1"/>
  <c r="O80" i="20"/>
  <c r="V80" i="4" l="1"/>
  <c r="X82" i="4"/>
  <c r="O81" i="20"/>
  <c r="U81" i="4"/>
  <c r="N81" i="20" s="1"/>
  <c r="Y82" i="4" l="1"/>
  <c r="AA82" i="4"/>
  <c r="X83" i="4" s="1"/>
  <c r="V81" i="4"/>
  <c r="Y83" i="4" l="1"/>
  <c r="AA83" i="4"/>
  <c r="X84" i="4" s="1"/>
  <c r="U82" i="4"/>
  <c r="N82" i="20" s="1"/>
  <c r="O82" i="20"/>
  <c r="V82" i="4" l="1"/>
  <c r="Y84" i="4"/>
  <c r="AA84" i="4"/>
  <c r="X85" i="4" s="1"/>
  <c r="O83" i="20"/>
  <c r="U83" i="4"/>
  <c r="N83" i="20" s="1"/>
  <c r="Y85" i="4" l="1"/>
  <c r="AA85" i="4"/>
  <c r="X86" i="4" s="1"/>
  <c r="V83" i="4"/>
  <c r="U84" i="4"/>
  <c r="N84" i="20" s="1"/>
  <c r="O84" i="20"/>
  <c r="Y86" i="4" l="1"/>
  <c r="AA86" i="4"/>
  <c r="X87" i="4" s="1"/>
  <c r="V84" i="4"/>
  <c r="O85" i="20"/>
  <c r="U85" i="4"/>
  <c r="N85" i="20" s="1"/>
  <c r="V85" i="4" l="1"/>
  <c r="Y87" i="4"/>
  <c r="AA87" i="4"/>
  <c r="X88" i="4" s="1"/>
  <c r="U86" i="4"/>
  <c r="N86" i="20" s="1"/>
  <c r="O86" i="20"/>
  <c r="O87" i="20" l="1"/>
  <c r="U87" i="4"/>
  <c r="N87" i="20" s="1"/>
  <c r="Y88" i="4"/>
  <c r="AA88" i="4"/>
  <c r="X89" i="4" s="1"/>
  <c r="V86" i="4"/>
  <c r="V87" i="4" l="1"/>
  <c r="Y89" i="4"/>
  <c r="AA89" i="4"/>
  <c r="U88" i="4"/>
  <c r="N88" i="20" s="1"/>
  <c r="O88" i="20"/>
  <c r="V88" i="4" l="1"/>
  <c r="X90" i="4"/>
  <c r="U89" i="4"/>
  <c r="N89" i="20" s="1"/>
  <c r="O89" i="20"/>
  <c r="V89" i="4" l="1"/>
  <c r="Y90" i="4"/>
  <c r="AA90" i="4"/>
  <c r="X91" i="4" s="1"/>
  <c r="Y91" i="4" l="1"/>
  <c r="AA91" i="4"/>
  <c r="X92" i="4" s="1"/>
  <c r="U90" i="4"/>
  <c r="N90" i="20" s="1"/>
  <c r="O90" i="20"/>
  <c r="AA92" i="4" l="1"/>
  <c r="X93" i="4" s="1"/>
  <c r="Y92" i="4"/>
  <c r="V90" i="4"/>
  <c r="U91" i="4"/>
  <c r="N91" i="20" s="1"/>
  <c r="O91" i="20"/>
  <c r="O92" i="20" l="1"/>
  <c r="U92" i="4"/>
  <c r="N92" i="20" s="1"/>
  <c r="V91" i="4"/>
  <c r="AA93" i="4"/>
  <c r="X94" i="4" s="1"/>
  <c r="Y93" i="4"/>
  <c r="V92" i="4" l="1"/>
  <c r="O93" i="20"/>
  <c r="U93" i="4"/>
  <c r="N93" i="20" s="1"/>
  <c r="AA94" i="4"/>
  <c r="X95" i="4" s="1"/>
  <c r="Y94" i="4"/>
  <c r="AA95" i="4" l="1"/>
  <c r="X96" i="4" s="1"/>
  <c r="Y95" i="4"/>
  <c r="U94" i="4"/>
  <c r="N94" i="20" s="1"/>
  <c r="O94" i="20"/>
  <c r="V93" i="4"/>
  <c r="U95" i="4" l="1"/>
  <c r="N95" i="20" s="1"/>
  <c r="O95" i="20"/>
  <c r="AA96" i="4"/>
  <c r="X97" i="4" s="1"/>
  <c r="Y96" i="4"/>
  <c r="V94" i="4"/>
  <c r="V95" i="4" l="1"/>
  <c r="AA97" i="4"/>
  <c r="X98" i="4" s="1"/>
  <c r="Y97" i="4"/>
  <c r="U96" i="4"/>
  <c r="N96" i="20" s="1"/>
  <c r="O96" i="20"/>
  <c r="O97" i="20" l="1"/>
  <c r="U97" i="4"/>
  <c r="N97" i="20" s="1"/>
  <c r="AA98" i="4"/>
  <c r="X99" i="4" s="1"/>
  <c r="Y98" i="4"/>
  <c r="V96" i="4"/>
  <c r="Y99" i="4" l="1"/>
  <c r="AA99" i="4"/>
  <c r="X100" i="4" s="1"/>
  <c r="V97" i="4"/>
  <c r="O98" i="20"/>
  <c r="U98" i="4"/>
  <c r="N98" i="20" s="1"/>
  <c r="Y100" i="4" l="1"/>
  <c r="AA100" i="4"/>
  <c r="X101" i="4" s="1"/>
  <c r="U99" i="4"/>
  <c r="N99" i="20" s="1"/>
  <c r="O99" i="20"/>
  <c r="V98" i="4"/>
  <c r="Y101" i="4" l="1"/>
  <c r="AA101" i="4"/>
  <c r="V99" i="4"/>
  <c r="U100" i="4"/>
  <c r="N100" i="20" s="1"/>
  <c r="O100" i="20"/>
  <c r="X102" i="4" l="1"/>
  <c r="V100" i="4"/>
  <c r="O101" i="20"/>
  <c r="U101" i="4"/>
  <c r="N101" i="20" s="1"/>
  <c r="Y102" i="4" l="1"/>
  <c r="AA102" i="4"/>
  <c r="V101" i="4"/>
  <c r="X103" i="4" l="1"/>
  <c r="U102" i="4"/>
  <c r="N102" i="20" s="1"/>
  <c r="O102" i="20"/>
  <c r="Y103" i="4" l="1"/>
  <c r="AA103" i="4"/>
  <c r="V102" i="4"/>
  <c r="X104" i="4" l="1"/>
  <c r="U103" i="4"/>
  <c r="N103" i="20" s="1"/>
  <c r="O103" i="20"/>
  <c r="Y104" i="4" l="1"/>
  <c r="AA104" i="4"/>
  <c r="V103" i="4"/>
  <c r="X105" i="4" l="1"/>
  <c r="U104" i="4"/>
  <c r="N104" i="20" s="1"/>
  <c r="O104" i="20"/>
  <c r="Y105" i="4" l="1"/>
  <c r="AA105" i="4"/>
  <c r="X106" i="4" s="1"/>
  <c r="V104" i="4"/>
  <c r="Y106" i="4" l="1"/>
  <c r="AA106" i="4"/>
  <c r="X107" i="4" s="1"/>
  <c r="O105" i="20"/>
  <c r="U105" i="4"/>
  <c r="N105" i="20" s="1"/>
  <c r="Y107" i="4" l="1"/>
  <c r="AA107" i="4"/>
  <c r="X108" i="4" s="1"/>
  <c r="V105" i="4"/>
  <c r="O106" i="20"/>
  <c r="U106" i="4"/>
  <c r="N106" i="20" s="1"/>
  <c r="Y108" i="4" l="1"/>
  <c r="AA108" i="4"/>
  <c r="X109" i="4" s="1"/>
  <c r="V106" i="4"/>
  <c r="O107" i="20"/>
  <c r="U107" i="4"/>
  <c r="N107" i="20" s="1"/>
  <c r="V107" i="4" l="1"/>
  <c r="Y109" i="4"/>
  <c r="AA109" i="4"/>
  <c r="X110" i="4" s="1"/>
  <c r="O108" i="20"/>
  <c r="U108" i="4"/>
  <c r="N108" i="20" s="1"/>
  <c r="Y110" i="4" l="1"/>
  <c r="AA110" i="4"/>
  <c r="X111" i="4" s="1"/>
  <c r="U109" i="4"/>
  <c r="N109" i="20" s="1"/>
  <c r="O109" i="20"/>
  <c r="V108" i="4"/>
  <c r="V109" i="4" l="1"/>
  <c r="Y111" i="4"/>
  <c r="AA111" i="4"/>
  <c r="X112" i="4" s="1"/>
  <c r="O110" i="20"/>
  <c r="U110" i="4"/>
  <c r="N110" i="20" s="1"/>
  <c r="AA112" i="4" l="1"/>
  <c r="X113" i="4" s="1"/>
  <c r="Y112" i="4"/>
  <c r="U111" i="4"/>
  <c r="N111" i="20" s="1"/>
  <c r="O111" i="20"/>
  <c r="V110" i="4"/>
  <c r="V111" i="4" l="1"/>
  <c r="O112" i="20"/>
  <c r="U112" i="4"/>
  <c r="N112" i="20" s="1"/>
  <c r="Y113" i="4"/>
  <c r="AA113" i="4"/>
  <c r="X114" i="4" s="1"/>
  <c r="V112" i="4" l="1"/>
  <c r="AA114" i="4"/>
  <c r="X115" i="4" s="1"/>
  <c r="Y114" i="4"/>
  <c r="U113" i="4"/>
  <c r="N113" i="20" s="1"/>
  <c r="O113" i="20"/>
  <c r="Y115" i="4" l="1"/>
  <c r="AA115" i="4"/>
  <c r="X116" i="4" s="1"/>
  <c r="V113" i="4"/>
  <c r="U114" i="4"/>
  <c r="N114" i="20" s="1"/>
  <c r="O114" i="20"/>
  <c r="AA116" i="4" l="1"/>
  <c r="X117" i="4" s="1"/>
  <c r="Y116" i="4"/>
  <c r="V114" i="4"/>
  <c r="O115" i="20"/>
  <c r="U115" i="4"/>
  <c r="N115" i="20" s="1"/>
  <c r="V115" i="4" l="1"/>
  <c r="U116" i="4"/>
  <c r="N116" i="20" s="1"/>
  <c r="O116" i="20"/>
  <c r="AA117" i="4"/>
  <c r="X118" i="4" s="1"/>
  <c r="Y117" i="4"/>
  <c r="V116" i="4" l="1"/>
  <c r="Y118" i="4"/>
  <c r="AA118" i="4"/>
  <c r="O117" i="20"/>
  <c r="U117" i="4"/>
  <c r="N117" i="20" s="1"/>
  <c r="V117" i="4" l="1"/>
  <c r="X119" i="4"/>
  <c r="U118" i="4"/>
  <c r="N118" i="20" s="1"/>
  <c r="O118" i="20"/>
  <c r="V118" i="4" l="1"/>
  <c r="AA119" i="4"/>
  <c r="X120" i="4" s="1"/>
  <c r="Y119" i="4"/>
  <c r="Y120" i="4" l="1"/>
  <c r="AA120" i="4"/>
  <c r="U119" i="4"/>
  <c r="N119" i="20" s="1"/>
  <c r="O119" i="20"/>
  <c r="X121" i="4" l="1"/>
  <c r="U120" i="4"/>
  <c r="N120" i="20" s="1"/>
  <c r="O120" i="20"/>
  <c r="V119" i="4"/>
  <c r="AA121" i="4" l="1"/>
  <c r="X122" i="4" s="1"/>
  <c r="Y121" i="4"/>
  <c r="V120" i="4"/>
  <c r="U121" i="4" l="1"/>
  <c r="N121" i="20" s="1"/>
  <c r="O121" i="20"/>
  <c r="Y122" i="4"/>
  <c r="AA122" i="4"/>
  <c r="X123" i="4" s="1"/>
  <c r="V121" i="4" l="1"/>
  <c r="O122" i="20"/>
  <c r="U122" i="4"/>
  <c r="N122" i="20" s="1"/>
  <c r="Y123" i="4"/>
  <c r="AA123" i="4"/>
  <c r="U123" i="4" l="1"/>
  <c r="N123" i="20" s="1"/>
  <c r="O123" i="20"/>
  <c r="V122" i="4"/>
  <c r="X124" i="4"/>
  <c r="V123" i="4" l="1"/>
  <c r="Y124" i="4"/>
  <c r="AA124" i="4"/>
  <c r="X125" i="4" s="1"/>
  <c r="Y125" i="4" l="1"/>
  <c r="AA125" i="4"/>
  <c r="X126" i="4" s="1"/>
  <c r="O124" i="20"/>
  <c r="U124" i="4"/>
  <c r="N124" i="20" s="1"/>
  <c r="AA126" i="4" l="1"/>
  <c r="X127" i="4" s="1"/>
  <c r="Y126" i="4"/>
  <c r="V124" i="4"/>
  <c r="U125" i="4"/>
  <c r="N125" i="20" s="1"/>
  <c r="O125" i="20"/>
  <c r="AA127" i="4" l="1"/>
  <c r="X128" i="4" s="1"/>
  <c r="Y127" i="4"/>
  <c r="V125" i="4"/>
  <c r="O126" i="20"/>
  <c r="U126" i="4"/>
  <c r="N126" i="20" s="1"/>
  <c r="V126" i="4" l="1"/>
  <c r="Y128" i="4"/>
  <c r="AA128" i="4"/>
  <c r="X129" i="4" s="1"/>
  <c r="O127" i="20"/>
  <c r="U127" i="4"/>
  <c r="N127" i="20" s="1"/>
  <c r="Y129" i="4" l="1"/>
  <c r="AA129" i="4"/>
  <c r="X130" i="4" s="1"/>
  <c r="O128" i="20"/>
  <c r="U128" i="4"/>
  <c r="N128" i="20" s="1"/>
  <c r="V127" i="4"/>
  <c r="V128" i="4" l="1"/>
  <c r="AA130" i="4"/>
  <c r="X131" i="4" s="1"/>
  <c r="Y130" i="4"/>
  <c r="O129" i="20"/>
  <c r="U129" i="4"/>
  <c r="N129" i="20" s="1"/>
  <c r="Y131" i="4" l="1"/>
  <c r="AA131" i="4"/>
  <c r="X132" i="4" s="1"/>
  <c r="U130" i="4"/>
  <c r="N130" i="20" s="1"/>
  <c r="O130" i="20"/>
  <c r="V129" i="4"/>
  <c r="Y132" i="4" l="1"/>
  <c r="AA132" i="4"/>
  <c r="X133" i="4" s="1"/>
  <c r="U131" i="4"/>
  <c r="N131" i="20" s="1"/>
  <c r="O131" i="20"/>
  <c r="V130" i="4"/>
  <c r="Y133" i="4" l="1"/>
  <c r="AA133" i="4"/>
  <c r="X134" i="4" s="1"/>
  <c r="V131" i="4"/>
  <c r="U132" i="4"/>
  <c r="N132" i="20" s="1"/>
  <c r="O132" i="20"/>
  <c r="Y134" i="4" l="1"/>
  <c r="AA134" i="4"/>
  <c r="X135" i="4" s="1"/>
  <c r="V132" i="4"/>
  <c r="U133" i="4"/>
  <c r="N133" i="20" s="1"/>
  <c r="O133" i="20"/>
  <c r="Y135" i="4" l="1"/>
  <c r="AA135" i="4"/>
  <c r="X136" i="4" s="1"/>
  <c r="V133" i="4"/>
  <c r="U134" i="4"/>
  <c r="N134" i="20" s="1"/>
  <c r="O134" i="20"/>
  <c r="AA136" i="4" l="1"/>
  <c r="X137" i="4" s="1"/>
  <c r="Y136" i="4"/>
  <c r="V134" i="4"/>
  <c r="U135" i="4"/>
  <c r="N135" i="20" s="1"/>
  <c r="O135" i="20"/>
  <c r="V135" i="4" l="1"/>
  <c r="AA137" i="4"/>
  <c r="X138" i="4" s="1"/>
  <c r="Y137" i="4"/>
  <c r="U136" i="4"/>
  <c r="N136" i="20" s="1"/>
  <c r="O136" i="20"/>
  <c r="Y138" i="4" l="1"/>
  <c r="AA138" i="4"/>
  <c r="X139" i="4" s="1"/>
  <c r="V136" i="4"/>
  <c r="U137" i="4"/>
  <c r="N137" i="20" s="1"/>
  <c r="O137" i="20"/>
  <c r="AA139" i="4" l="1"/>
  <c r="X140" i="4" s="1"/>
  <c r="Y139" i="4"/>
  <c r="V137" i="4"/>
  <c r="U138" i="4"/>
  <c r="N138" i="20" s="1"/>
  <c r="O138" i="20"/>
  <c r="O139" i="20" l="1"/>
  <c r="U139" i="4"/>
  <c r="N139" i="20" s="1"/>
  <c r="V138" i="4"/>
  <c r="Y140" i="4"/>
  <c r="AA140" i="4"/>
  <c r="V139" i="4" l="1"/>
  <c r="X141" i="4"/>
  <c r="O140" i="20"/>
  <c r="U140" i="4"/>
  <c r="N140" i="20" s="1"/>
  <c r="Y141" i="4" l="1"/>
  <c r="AA141" i="4"/>
  <c r="V140" i="4"/>
  <c r="X142" i="4" l="1"/>
  <c r="O141" i="20"/>
  <c r="U141" i="4"/>
  <c r="N141" i="20" s="1"/>
  <c r="Y142" i="4" l="1"/>
  <c r="AA142" i="4"/>
  <c r="V141" i="4"/>
  <c r="X143" i="4" l="1"/>
  <c r="O142" i="20"/>
  <c r="U142" i="4"/>
  <c r="N142" i="20" s="1"/>
  <c r="AA143" i="4" l="1"/>
  <c r="X144" i="4" s="1"/>
  <c r="Y143" i="4"/>
  <c r="V142" i="4"/>
  <c r="O143" i="20" l="1"/>
  <c r="U143" i="4"/>
  <c r="N143" i="20" s="1"/>
  <c r="Y144" i="4"/>
  <c r="AA144" i="4"/>
  <c r="X145" i="4" s="1"/>
  <c r="V143" i="4" l="1"/>
  <c r="Y145" i="4"/>
  <c r="AA145" i="4"/>
  <c r="O144" i="20"/>
  <c r="U144" i="4"/>
  <c r="N144" i="20" s="1"/>
  <c r="X146" i="4" l="1"/>
  <c r="V144" i="4"/>
  <c r="U145" i="4"/>
  <c r="N145" i="20" s="1"/>
  <c r="O145" i="20"/>
  <c r="Y146" i="4" l="1"/>
  <c r="AA146" i="4"/>
  <c r="X147" i="4" s="1"/>
  <c r="V145" i="4"/>
  <c r="Y147" i="4" l="1"/>
  <c r="AA147" i="4"/>
  <c r="O146" i="20"/>
  <c r="U146" i="4"/>
  <c r="N146" i="20" s="1"/>
  <c r="X148" i="4" l="1"/>
  <c r="V146" i="4"/>
  <c r="U147" i="4"/>
  <c r="N147" i="20" s="1"/>
  <c r="O147" i="20"/>
  <c r="AA148" i="4" l="1"/>
  <c r="X149" i="4" s="1"/>
  <c r="Y148" i="4"/>
  <c r="V147" i="4"/>
  <c r="O148" i="20" l="1"/>
  <c r="U148" i="4"/>
  <c r="N148" i="20" s="1"/>
  <c r="AA149" i="4"/>
  <c r="X150" i="4" s="1"/>
  <c r="Y149" i="4"/>
  <c r="V148" i="4" l="1"/>
  <c r="Y150" i="4"/>
  <c r="AA150" i="4"/>
  <c r="U149" i="4"/>
  <c r="N149" i="20" s="1"/>
  <c r="O149" i="20"/>
  <c r="V149" i="4" l="1"/>
  <c r="X151" i="4"/>
  <c r="O150" i="20"/>
  <c r="U150" i="4"/>
  <c r="N150" i="20" s="1"/>
  <c r="Y151" i="4" l="1"/>
  <c r="AA151" i="4"/>
  <c r="X152" i="4" s="1"/>
  <c r="V150" i="4"/>
  <c r="Y152" i="4" l="1"/>
  <c r="AA152" i="4"/>
  <c r="X153" i="4" s="1"/>
  <c r="O151" i="20"/>
  <c r="U151" i="4"/>
  <c r="N151" i="20" s="1"/>
  <c r="AA153" i="4" l="1"/>
  <c r="X154" i="4" s="1"/>
  <c r="Y153" i="4"/>
  <c r="V151" i="4"/>
  <c r="U152" i="4"/>
  <c r="N152" i="20" s="1"/>
  <c r="O152" i="20"/>
  <c r="V152" i="4" l="1"/>
  <c r="O153" i="20"/>
  <c r="U153" i="4"/>
  <c r="N153" i="20" s="1"/>
  <c r="AA154" i="4"/>
  <c r="X155" i="4" s="1"/>
  <c r="Y154" i="4"/>
  <c r="V153" i="4" l="1"/>
  <c r="O154" i="20"/>
  <c r="U154" i="4"/>
  <c r="N154" i="20" s="1"/>
  <c r="Y155" i="4"/>
  <c r="AA155" i="4"/>
  <c r="X156" i="4" s="1"/>
  <c r="V154" i="4" l="1"/>
  <c r="Y156" i="4"/>
  <c r="AA156" i="4"/>
  <c r="X157" i="4" s="1"/>
  <c r="U155" i="4"/>
  <c r="N155" i="20" s="1"/>
  <c r="O155" i="20"/>
  <c r="V155" i="4" l="1"/>
  <c r="AA157" i="4"/>
  <c r="X158" i="4" s="1"/>
  <c r="Y157" i="4"/>
  <c r="O156" i="20"/>
  <c r="U156" i="4"/>
  <c r="N156" i="20" s="1"/>
  <c r="U157" i="4" l="1"/>
  <c r="N157" i="20" s="1"/>
  <c r="O157" i="20"/>
  <c r="V156" i="4"/>
  <c r="AA158" i="4"/>
  <c r="X159" i="4" s="1"/>
  <c r="Y158" i="4"/>
  <c r="Y159" i="4" l="1"/>
  <c r="AA159" i="4"/>
  <c r="X160" i="4" s="1"/>
  <c r="U158" i="4"/>
  <c r="N158" i="20" s="1"/>
  <c r="O158" i="20"/>
  <c r="V157" i="4"/>
  <c r="Y160" i="4" l="1"/>
  <c r="AA160" i="4"/>
  <c r="X161" i="4" s="1"/>
  <c r="V158" i="4"/>
  <c r="U159" i="4"/>
  <c r="N159" i="20" s="1"/>
  <c r="O159" i="20"/>
  <c r="AA161" i="4" l="1"/>
  <c r="X162" i="4" s="1"/>
  <c r="Y161" i="4"/>
  <c r="V159" i="4"/>
  <c r="O160" i="20"/>
  <c r="U160" i="4"/>
  <c r="N160" i="20" s="1"/>
  <c r="V160" i="4" l="1"/>
  <c r="Y162" i="4"/>
  <c r="AA162" i="4"/>
  <c r="X163" i="4" s="1"/>
  <c r="U161" i="4"/>
  <c r="N161" i="20" s="1"/>
  <c r="O161" i="20"/>
  <c r="V161" i="4" l="1"/>
  <c r="U162" i="4"/>
  <c r="N162" i="20" s="1"/>
  <c r="O162" i="20"/>
  <c r="AA163" i="4"/>
  <c r="X164" i="4" s="1"/>
  <c r="Y163" i="4"/>
  <c r="Y164" i="4" l="1"/>
  <c r="AA164" i="4"/>
  <c r="U163" i="4"/>
  <c r="N163" i="20" s="1"/>
  <c r="O163" i="20"/>
  <c r="V162" i="4"/>
  <c r="V163" i="4" l="1"/>
  <c r="X165" i="4"/>
  <c r="U164" i="4"/>
  <c r="N164" i="20" s="1"/>
  <c r="O164" i="20"/>
  <c r="AA165" i="4" l="1"/>
  <c r="X166" i="4" s="1"/>
  <c r="Y165" i="4"/>
  <c r="V164" i="4"/>
  <c r="U165" i="4" l="1"/>
  <c r="N165" i="20" s="1"/>
  <c r="O165" i="20"/>
  <c r="Y166" i="4"/>
  <c r="AA166" i="4"/>
  <c r="X167" i="4" s="1"/>
  <c r="V165" i="4" l="1"/>
  <c r="AA167" i="4"/>
  <c r="X168" i="4" s="1"/>
  <c r="Y167" i="4"/>
  <c r="U166" i="4"/>
  <c r="N166" i="20" s="1"/>
  <c r="O166" i="20"/>
  <c r="V166" i="4" l="1"/>
  <c r="Y168" i="4"/>
  <c r="AA168" i="4"/>
  <c r="X169" i="4" s="1"/>
  <c r="O167" i="20"/>
  <c r="U167" i="4"/>
  <c r="N167" i="20" s="1"/>
  <c r="Y169" i="4" l="1"/>
  <c r="AA169" i="4"/>
  <c r="X170" i="4" s="1"/>
  <c r="V167" i="4"/>
  <c r="U168" i="4"/>
  <c r="N168" i="20" s="1"/>
  <c r="O168" i="20"/>
  <c r="Y170" i="4" l="1"/>
  <c r="AA170" i="4"/>
  <c r="V168" i="4"/>
  <c r="U169" i="4"/>
  <c r="N169" i="20" s="1"/>
  <c r="O169" i="20"/>
  <c r="V169" i="4" l="1"/>
  <c r="X171" i="4"/>
  <c r="O170" i="20"/>
  <c r="U170" i="4"/>
  <c r="N170" i="20" s="1"/>
  <c r="Y171" i="4" l="1"/>
  <c r="AA171" i="4"/>
  <c r="X172" i="4" s="1"/>
  <c r="V170" i="4"/>
  <c r="AA172" i="4" l="1"/>
  <c r="X173" i="4" s="1"/>
  <c r="Y172" i="4"/>
  <c r="U171" i="4"/>
  <c r="N171" i="20" s="1"/>
  <c r="O171" i="20"/>
  <c r="Y173" i="4" l="1"/>
  <c r="AA173" i="4"/>
  <c r="O172" i="20"/>
  <c r="U172" i="4"/>
  <c r="N172" i="20" s="1"/>
  <c r="V171" i="4"/>
  <c r="X174" i="4" l="1"/>
  <c r="V172" i="4"/>
  <c r="U173" i="4"/>
  <c r="N173" i="20" s="1"/>
  <c r="O173" i="20"/>
  <c r="AA174" i="4" l="1"/>
  <c r="X175" i="4" s="1"/>
  <c r="Y174" i="4"/>
  <c r="V173" i="4"/>
  <c r="Y175" i="4" l="1"/>
  <c r="AA175" i="4"/>
  <c r="X176" i="4" s="1"/>
  <c r="U174" i="4"/>
  <c r="N174" i="20" s="1"/>
  <c r="O174" i="20"/>
  <c r="AA176" i="4" l="1"/>
  <c r="X177" i="4" s="1"/>
  <c r="Y176" i="4"/>
  <c r="V174" i="4"/>
  <c r="U175" i="4"/>
  <c r="N175" i="20" s="1"/>
  <c r="O175" i="20"/>
  <c r="V175" i="4" l="1"/>
  <c r="U176" i="4"/>
  <c r="N176" i="20" s="1"/>
  <c r="O176" i="20"/>
  <c r="Y177" i="4"/>
  <c r="AA177" i="4"/>
  <c r="V176" i="4" l="1"/>
  <c r="U177" i="4"/>
  <c r="N177" i="20" s="1"/>
  <c r="O177" i="20"/>
  <c r="X178" i="4"/>
  <c r="V177" i="4" l="1"/>
  <c r="Y178" i="4"/>
  <c r="AA178" i="4"/>
  <c r="X179" i="4" l="1"/>
  <c r="O178" i="20"/>
  <c r="U178" i="4"/>
  <c r="N178" i="20" s="1"/>
  <c r="Y179" i="4" l="1"/>
  <c r="AA179" i="4"/>
  <c r="X180" i="4" s="1"/>
  <c r="V178" i="4"/>
  <c r="AA180" i="4" l="1"/>
  <c r="X181" i="4" s="1"/>
  <c r="Y180" i="4"/>
  <c r="O179" i="20"/>
  <c r="U179" i="4"/>
  <c r="N179" i="20" s="1"/>
  <c r="V179" i="4" l="1"/>
  <c r="O180" i="20"/>
  <c r="U180" i="4"/>
  <c r="N180" i="20" s="1"/>
  <c r="AA181" i="4"/>
  <c r="X182" i="4" s="1"/>
  <c r="Y181" i="4"/>
  <c r="V180" i="4" l="1"/>
  <c r="O181" i="20"/>
  <c r="U181" i="4"/>
  <c r="N181" i="20" s="1"/>
  <c r="Y182" i="4"/>
  <c r="AA182" i="4"/>
  <c r="X183" i="4" s="1"/>
  <c r="V181" i="4" l="1"/>
  <c r="Y183" i="4"/>
  <c r="AA183" i="4"/>
  <c r="X184" i="4" s="1"/>
  <c r="U182" i="4"/>
  <c r="N182" i="20" s="1"/>
  <c r="O182" i="20"/>
  <c r="Y184" i="4" l="1"/>
  <c r="AA184" i="4"/>
  <c r="V182" i="4"/>
  <c r="U183" i="4"/>
  <c r="N183" i="20" s="1"/>
  <c r="O183" i="20"/>
  <c r="X185" i="4" l="1"/>
  <c r="V183" i="4"/>
  <c r="O184" i="20"/>
  <c r="U184" i="4"/>
  <c r="N184" i="20" s="1"/>
  <c r="Y185" i="4" l="1"/>
  <c r="AA185" i="4"/>
  <c r="V184" i="4"/>
  <c r="X186" i="4" l="1"/>
  <c r="O185" i="20"/>
  <c r="U185" i="4"/>
  <c r="N185" i="20" s="1"/>
  <c r="AA186" i="4" l="1"/>
  <c r="X187" i="4" s="1"/>
  <c r="Y186" i="4"/>
  <c r="V185" i="4"/>
  <c r="Y187" i="4" l="1"/>
  <c r="AA187" i="4"/>
  <c r="U186" i="4"/>
  <c r="N186" i="20" s="1"/>
  <c r="O186" i="20"/>
  <c r="V186" i="4" l="1"/>
  <c r="X188" i="4"/>
  <c r="O187" i="20"/>
  <c r="U187" i="4"/>
  <c r="N187" i="20" s="1"/>
  <c r="AA188" i="4" l="1"/>
  <c r="X189" i="4" s="1"/>
  <c r="Y188" i="4"/>
  <c r="V187" i="4"/>
  <c r="O188" i="20" l="1"/>
  <c r="U188" i="4"/>
  <c r="N188" i="20" s="1"/>
  <c r="AA189" i="4"/>
  <c r="Y189" i="4"/>
  <c r="V188" i="4" l="1"/>
  <c r="X190" i="4"/>
  <c r="U189" i="4"/>
  <c r="N189" i="20" s="1"/>
  <c r="O189" i="20"/>
  <c r="Y190" i="4" l="1"/>
  <c r="AA190" i="4"/>
  <c r="X191" i="4" s="1"/>
  <c r="V189" i="4"/>
  <c r="Y191" i="4" l="1"/>
  <c r="AA191" i="4"/>
  <c r="O190" i="20"/>
  <c r="U190" i="4"/>
  <c r="N190" i="20" s="1"/>
  <c r="V190" i="4" l="1"/>
  <c r="X192" i="4"/>
  <c r="O191" i="20"/>
  <c r="U191" i="4"/>
  <c r="N191" i="20" s="1"/>
  <c r="Y192" i="4" l="1"/>
  <c r="AA192" i="4"/>
  <c r="V191" i="4"/>
  <c r="X193" i="4" l="1"/>
  <c r="O192" i="20"/>
  <c r="U192" i="4"/>
  <c r="N192" i="20" s="1"/>
  <c r="AA193" i="4" l="1"/>
  <c r="X194" i="4" s="1"/>
  <c r="Y193" i="4"/>
  <c r="V192" i="4"/>
  <c r="U193" i="4" l="1"/>
  <c r="N193" i="20" s="1"/>
  <c r="O193" i="20"/>
  <c r="Y194" i="4"/>
  <c r="AA194" i="4"/>
  <c r="X195" i="4" s="1"/>
  <c r="V193" i="4" l="1"/>
  <c r="U194" i="4"/>
  <c r="N194" i="20" s="1"/>
  <c r="O194" i="20"/>
  <c r="Y195" i="4"/>
  <c r="AA195" i="4"/>
  <c r="X196" i="4" l="1"/>
  <c r="O195" i="20"/>
  <c r="U195" i="4"/>
  <c r="N195" i="20" s="1"/>
  <c r="V194" i="4"/>
  <c r="Y196" i="4" l="1"/>
  <c r="AA196" i="4"/>
  <c r="V195" i="4"/>
  <c r="X197" i="4" l="1"/>
  <c r="U196" i="4"/>
  <c r="N196" i="20" s="1"/>
  <c r="O196" i="20"/>
  <c r="Y197" i="4" l="1"/>
  <c r="AA197" i="4"/>
  <c r="X198" i="4" s="1"/>
  <c r="V196" i="4"/>
  <c r="Y198" i="4" l="1"/>
  <c r="AA198" i="4"/>
  <c r="X199" i="4" s="1"/>
  <c r="O197" i="20"/>
  <c r="U197" i="4"/>
  <c r="N197" i="20" s="1"/>
  <c r="Y199" i="4" l="1"/>
  <c r="AA199" i="4"/>
  <c r="X200" i="4" s="1"/>
  <c r="V197" i="4"/>
  <c r="U198" i="4"/>
  <c r="N198" i="20" s="1"/>
  <c r="O198" i="20"/>
  <c r="V198" i="4" l="1"/>
  <c r="Y200" i="4"/>
  <c r="AA200" i="4"/>
  <c r="X201" i="4" s="1"/>
  <c r="U199" i="4"/>
  <c r="N199" i="20" s="1"/>
  <c r="O199" i="20"/>
  <c r="Y201" i="4" l="1"/>
  <c r="AA201" i="4"/>
  <c r="U200" i="4"/>
  <c r="N200" i="20" s="1"/>
  <c r="O200" i="20"/>
  <c r="V199" i="4"/>
  <c r="V200" i="4" l="1"/>
  <c r="X202" i="4"/>
  <c r="U201" i="4"/>
  <c r="N201" i="20" s="1"/>
  <c r="O201" i="20"/>
  <c r="Y202" i="4" l="1"/>
  <c r="AA202" i="4"/>
  <c r="X203" i="4" s="1"/>
  <c r="V201" i="4"/>
  <c r="Y203" i="4" l="1"/>
  <c r="AA203" i="4"/>
  <c r="O202" i="20"/>
  <c r="U202" i="4"/>
  <c r="N202" i="20" s="1"/>
  <c r="V202" i="4" l="1"/>
  <c r="X204" i="4"/>
  <c r="O203" i="20"/>
  <c r="U203" i="4"/>
  <c r="N203" i="20" s="1"/>
  <c r="Y204" i="4" l="1"/>
  <c r="AA204" i="4"/>
  <c r="V203" i="4"/>
  <c r="X205" i="4" l="1"/>
  <c r="O204" i="20"/>
  <c r="U204" i="4"/>
  <c r="N204" i="20" s="1"/>
  <c r="AA205" i="4" l="1"/>
  <c r="X206" i="4" s="1"/>
  <c r="Y205" i="4"/>
  <c r="V204" i="4"/>
  <c r="O205" i="20" l="1"/>
  <c r="U205" i="4"/>
  <c r="N205" i="20" s="1"/>
  <c r="Y206" i="4"/>
  <c r="AA206" i="4"/>
  <c r="V205" i="4" l="1"/>
  <c r="X207" i="4"/>
  <c r="U206" i="4"/>
  <c r="N206" i="20" s="1"/>
  <c r="O206" i="20"/>
  <c r="Y207" i="4" l="1"/>
  <c r="AA207" i="4"/>
  <c r="X208" i="4" s="1"/>
  <c r="V206" i="4"/>
  <c r="Y208" i="4" l="1"/>
  <c r="AA208" i="4"/>
  <c r="X209" i="4" s="1"/>
  <c r="O207" i="20"/>
  <c r="U207" i="4"/>
  <c r="N207" i="20" s="1"/>
  <c r="V207" i="4" l="1"/>
  <c r="Y209" i="4"/>
  <c r="AA209" i="4"/>
  <c r="O208" i="20"/>
  <c r="U208" i="4"/>
  <c r="N208" i="20" s="1"/>
  <c r="V208" i="4" l="1"/>
  <c r="O209" i="20"/>
  <c r="U209" i="4"/>
  <c r="N209" i="20" s="1"/>
  <c r="X210" i="4"/>
  <c r="AA210" i="4" l="1"/>
  <c r="X211" i="4" s="1"/>
  <c r="Y210" i="4"/>
  <c r="V209" i="4"/>
  <c r="U210" i="4" l="1"/>
  <c r="N210" i="20" s="1"/>
  <c r="O210" i="20"/>
  <c r="Y211" i="4"/>
  <c r="AA211" i="4"/>
  <c r="X212" i="4" s="1"/>
  <c r="V210" i="4" l="1"/>
  <c r="Y212" i="4"/>
  <c r="AA212" i="4"/>
  <c r="X213" i="4" s="1"/>
  <c r="U211" i="4"/>
  <c r="N211" i="20" s="1"/>
  <c r="O211" i="20"/>
  <c r="V211" i="4" l="1"/>
  <c r="Y213" i="4"/>
  <c r="AA213" i="4"/>
  <c r="U212" i="4"/>
  <c r="N212" i="20" s="1"/>
  <c r="O212" i="20"/>
  <c r="U213" i="4" l="1"/>
  <c r="N213" i="20" s="1"/>
  <c r="O213" i="20"/>
  <c r="X214" i="4"/>
  <c r="V212" i="4"/>
  <c r="AA214" i="4" l="1"/>
  <c r="X215" i="4" s="1"/>
  <c r="Y214" i="4"/>
  <c r="V213" i="4"/>
  <c r="U214" i="4" l="1"/>
  <c r="N214" i="20" s="1"/>
  <c r="O214" i="20"/>
  <c r="Y215" i="4"/>
  <c r="AA215" i="4"/>
  <c r="V214" i="4" l="1"/>
  <c r="O215" i="20"/>
  <c r="U215" i="4"/>
  <c r="N215" i="20" s="1"/>
  <c r="X216" i="4"/>
  <c r="Y216" i="4" l="1"/>
  <c r="AA216" i="4"/>
  <c r="V215" i="4"/>
  <c r="X217" i="4" l="1"/>
  <c r="U216" i="4"/>
  <c r="N216" i="20" s="1"/>
  <c r="O216" i="20"/>
  <c r="Y217" i="4" l="1"/>
  <c r="AA217" i="4"/>
  <c r="X218" i="4" s="1"/>
  <c r="V216" i="4"/>
  <c r="AA218" i="4" l="1"/>
  <c r="X219" i="4" s="1"/>
  <c r="Y218" i="4"/>
  <c r="U217" i="4"/>
  <c r="N217" i="20" s="1"/>
  <c r="O217" i="20"/>
  <c r="V217" i="4" l="1"/>
  <c r="O218" i="20"/>
  <c r="U218" i="4"/>
  <c r="N218" i="20" s="1"/>
  <c r="Y219" i="4"/>
  <c r="AA219" i="4"/>
  <c r="V218" i="4" l="1"/>
  <c r="X220" i="4"/>
  <c r="O219" i="20"/>
  <c r="U219" i="4"/>
  <c r="N219" i="20" s="1"/>
  <c r="Y220" i="4" l="1"/>
  <c r="AA220" i="4"/>
  <c r="X221" i="4" s="1"/>
  <c r="V219" i="4"/>
  <c r="Y221" i="4" l="1"/>
  <c r="AA221" i="4"/>
  <c r="X222" i="4" s="1"/>
  <c r="U220" i="4"/>
  <c r="N220" i="20" s="1"/>
  <c r="O220" i="20"/>
  <c r="AA222" i="4" l="1"/>
  <c r="X223" i="4" s="1"/>
  <c r="Y222" i="4"/>
  <c r="V220" i="4"/>
  <c r="O221" i="20"/>
  <c r="U221" i="4"/>
  <c r="N221" i="20" s="1"/>
  <c r="U222" i="4" l="1"/>
  <c r="N222" i="20" s="1"/>
  <c r="O222" i="20"/>
  <c r="V221" i="4"/>
  <c r="AA223" i="4"/>
  <c r="X224" i="4" s="1"/>
  <c r="Y223" i="4"/>
  <c r="V222" i="4" l="1"/>
  <c r="U223" i="4"/>
  <c r="N223" i="20" s="1"/>
  <c r="O223" i="20"/>
  <c r="AA224" i="4"/>
  <c r="X225" i="4" s="1"/>
  <c r="Y224" i="4"/>
  <c r="V223" i="4" l="1"/>
  <c r="AA225" i="4"/>
  <c r="X226" i="4" s="1"/>
  <c r="Y225" i="4"/>
  <c r="O224" i="20"/>
  <c r="U224" i="4"/>
  <c r="N224" i="20" s="1"/>
  <c r="Y226" i="4" l="1"/>
  <c r="AA226" i="4"/>
  <c r="X227" i="4" s="1"/>
  <c r="O225" i="20"/>
  <c r="U225" i="4"/>
  <c r="N225" i="20" s="1"/>
  <c r="V224" i="4"/>
  <c r="Y227" i="4" l="1"/>
  <c r="AA227" i="4"/>
  <c r="X228" i="4" s="1"/>
  <c r="U226" i="4"/>
  <c r="N226" i="20" s="1"/>
  <c r="O226" i="20"/>
  <c r="V225" i="4"/>
  <c r="V226" i="4" l="1"/>
  <c r="Y228" i="4"/>
  <c r="AA228" i="4"/>
  <c r="O227" i="20"/>
  <c r="U227" i="4"/>
  <c r="N227" i="20" s="1"/>
  <c r="U228" i="4" l="1"/>
  <c r="N228" i="20" s="1"/>
  <c r="O228" i="20"/>
  <c r="X229" i="4"/>
  <c r="V227" i="4"/>
  <c r="Y229" i="4" l="1"/>
  <c r="AA229" i="4"/>
  <c r="X230" i="4" s="1"/>
  <c r="V228" i="4"/>
  <c r="AA230" i="4" l="1"/>
  <c r="X231" i="4" s="1"/>
  <c r="Y230" i="4"/>
  <c r="U229" i="4"/>
  <c r="N229" i="20" s="1"/>
  <c r="O229" i="20"/>
  <c r="O230" i="20" l="1"/>
  <c r="U230" i="4"/>
  <c r="N230" i="20" s="1"/>
  <c r="Y231" i="4"/>
  <c r="AA231" i="4"/>
  <c r="X232" i="4" s="1"/>
  <c r="V229" i="4"/>
  <c r="V230" i="4" l="1"/>
  <c r="O231" i="20"/>
  <c r="U231" i="4"/>
  <c r="N231" i="20" s="1"/>
  <c r="AA232" i="4"/>
  <c r="X233" i="4" s="1"/>
  <c r="Y232" i="4"/>
  <c r="Y233" i="4" l="1"/>
  <c r="AA233" i="4"/>
  <c r="X234" i="4" s="1"/>
  <c r="U232" i="4"/>
  <c r="N232" i="20" s="1"/>
  <c r="O232" i="20"/>
  <c r="V231" i="4"/>
  <c r="V232" i="4" l="1"/>
  <c r="AA234" i="4"/>
  <c r="X235" i="4" s="1"/>
  <c r="Y234" i="4"/>
  <c r="U233" i="4"/>
  <c r="N233" i="20" s="1"/>
  <c r="O233" i="20"/>
  <c r="AA235" i="4" l="1"/>
  <c r="X236" i="4" s="1"/>
  <c r="Y235" i="4"/>
  <c r="V233" i="4"/>
  <c r="U234" i="4"/>
  <c r="N234" i="20" s="1"/>
  <c r="O234" i="20"/>
  <c r="V234" i="4" l="1"/>
  <c r="U235" i="4"/>
  <c r="N235" i="20" s="1"/>
  <c r="O235" i="20"/>
  <c r="Y236" i="4"/>
  <c r="AA236" i="4"/>
  <c r="V235" i="4" l="1"/>
  <c r="U236" i="4"/>
  <c r="N236" i="20" s="1"/>
  <c r="O236" i="20"/>
  <c r="X237" i="4"/>
  <c r="V236" i="4" l="1"/>
  <c r="Y237" i="4"/>
  <c r="AA237" i="4"/>
  <c r="X238" i="4" s="1"/>
  <c r="Y238" i="4" l="1"/>
  <c r="AA238" i="4"/>
  <c r="X239" i="4" s="1"/>
  <c r="U237" i="4"/>
  <c r="N237" i="20" s="1"/>
  <c r="O237" i="20"/>
  <c r="Y239" i="4" l="1"/>
  <c r="AA239" i="4"/>
  <c r="V237" i="4"/>
  <c r="U238" i="4"/>
  <c r="N238" i="20" s="1"/>
  <c r="O238" i="20"/>
  <c r="V238" i="4" l="1"/>
  <c r="X240" i="4"/>
  <c r="O239" i="20"/>
  <c r="U239" i="4"/>
  <c r="N239" i="20" s="1"/>
  <c r="V239" i="4" l="1"/>
  <c r="Y240" i="4"/>
  <c r="AA240" i="4"/>
  <c r="X241" i="4" s="1"/>
  <c r="AA241" i="4" l="1"/>
  <c r="X242" i="4" s="1"/>
  <c r="Y241" i="4"/>
  <c r="O240" i="20"/>
  <c r="U240" i="4"/>
  <c r="N240" i="20" s="1"/>
  <c r="V240" i="4" l="1"/>
  <c r="O241" i="20"/>
  <c r="U241" i="4"/>
  <c r="N241" i="20" s="1"/>
  <c r="Y242" i="4"/>
  <c r="AA242" i="4"/>
  <c r="V241" i="4" l="1"/>
  <c r="X243" i="4"/>
  <c r="O242" i="20"/>
  <c r="U242" i="4"/>
  <c r="N242" i="20" s="1"/>
  <c r="AA243" i="4" l="1"/>
  <c r="X244" i="4" s="1"/>
  <c r="Y243" i="4"/>
  <c r="V242" i="4"/>
  <c r="O243" i="20" l="1"/>
  <c r="U243" i="4"/>
  <c r="N243" i="20" s="1"/>
  <c r="AA244" i="4"/>
  <c r="X245" i="4" s="1"/>
  <c r="Y244" i="4"/>
  <c r="V243" i="4" l="1"/>
  <c r="O244" i="20"/>
  <c r="U244" i="4"/>
  <c r="N244" i="20" s="1"/>
  <c r="AA245" i="4"/>
  <c r="X246" i="4" s="1"/>
  <c r="Y245" i="4"/>
  <c r="O245" i="20" l="1"/>
  <c r="U245" i="4"/>
  <c r="N245" i="20" s="1"/>
  <c r="Y246" i="4"/>
  <c r="AA246" i="4"/>
  <c r="X247" i="4" s="1"/>
  <c r="V244" i="4"/>
  <c r="V245" i="4" l="1"/>
  <c r="AA247" i="4"/>
  <c r="X248" i="4" s="1"/>
  <c r="Y247" i="4"/>
  <c r="O246" i="20"/>
  <c r="U246" i="4"/>
  <c r="N246" i="20" s="1"/>
  <c r="U247" i="4" l="1"/>
  <c r="N247" i="20" s="1"/>
  <c r="O247" i="20"/>
  <c r="AA248" i="4"/>
  <c r="X249" i="4" s="1"/>
  <c r="Y248" i="4"/>
  <c r="V246" i="4"/>
  <c r="V247" i="4" l="1"/>
  <c r="U248" i="4"/>
  <c r="N248" i="20" s="1"/>
  <c r="O248" i="20"/>
  <c r="Y249" i="4"/>
  <c r="AA249" i="4"/>
  <c r="X250" i="4" l="1"/>
  <c r="U249" i="4"/>
  <c r="N249" i="20" s="1"/>
  <c r="O249" i="20"/>
  <c r="V248" i="4"/>
  <c r="Y250" i="4" l="1"/>
  <c r="AA250" i="4"/>
  <c r="V249" i="4"/>
  <c r="X251" i="4" l="1"/>
  <c r="O250" i="20"/>
  <c r="U250" i="4"/>
  <c r="N250" i="20" s="1"/>
  <c r="Y251" i="4" l="1"/>
  <c r="AA251" i="4"/>
  <c r="V250" i="4"/>
  <c r="X252" i="4" l="1"/>
  <c r="O251" i="20"/>
  <c r="U251" i="4"/>
  <c r="N251" i="20" s="1"/>
  <c r="Y252" i="4" l="1"/>
  <c r="AA252" i="4"/>
  <c r="X253" i="4" s="1"/>
  <c r="V251" i="4"/>
  <c r="Y253" i="4" l="1"/>
  <c r="AA253" i="4"/>
  <c r="U252" i="4"/>
  <c r="N252" i="20" s="1"/>
  <c r="O252" i="20"/>
  <c r="V252" i="4" l="1"/>
  <c r="X254" i="4"/>
  <c r="U253" i="4"/>
  <c r="N253" i="20" s="1"/>
  <c r="O253" i="20"/>
  <c r="AA254" i="4" l="1"/>
  <c r="X255" i="4" s="1"/>
  <c r="Y254" i="4"/>
  <c r="V253" i="4"/>
  <c r="U254" i="4" l="1"/>
  <c r="N254" i="20" s="1"/>
  <c r="O254" i="20"/>
  <c r="AA255" i="4"/>
  <c r="X256" i="4" s="1"/>
  <c r="Y255" i="4"/>
  <c r="V254" i="4" l="1"/>
  <c r="U255" i="4"/>
  <c r="N255" i="20" s="1"/>
  <c r="O255" i="20"/>
  <c r="Y256" i="4"/>
  <c r="AA256" i="4"/>
  <c r="V255" i="4" l="1"/>
  <c r="U256" i="4"/>
  <c r="N256" i="20" s="1"/>
  <c r="O256" i="20"/>
  <c r="X257" i="4"/>
  <c r="V256" i="4" l="1"/>
  <c r="Y257" i="4"/>
  <c r="AA257" i="4"/>
  <c r="X258" i="4" s="1"/>
  <c r="Y258" i="4" l="1"/>
  <c r="AA258" i="4"/>
  <c r="X259" i="4" s="1"/>
  <c r="U257" i="4"/>
  <c r="N257" i="20" s="1"/>
  <c r="O257" i="20"/>
  <c r="Y259" i="4" l="1"/>
  <c r="AA259" i="4"/>
  <c r="X260" i="4" s="1"/>
  <c r="U258" i="4"/>
  <c r="N258" i="20" s="1"/>
  <c r="O258" i="20"/>
  <c r="V257" i="4"/>
  <c r="V258" i="4" l="1"/>
  <c r="Y260" i="4"/>
  <c r="AA260" i="4"/>
  <c r="X261" i="4" s="1"/>
  <c r="U259" i="4"/>
  <c r="N259" i="20" s="1"/>
  <c r="O259" i="20"/>
  <c r="AA261" i="4" l="1"/>
  <c r="X262" i="4" s="1"/>
  <c r="Y261" i="4"/>
  <c r="V259" i="4"/>
  <c r="U260" i="4"/>
  <c r="N260" i="20" s="1"/>
  <c r="O260" i="20"/>
  <c r="V260" i="4" l="1"/>
  <c r="Y262" i="4"/>
  <c r="AA262" i="4"/>
  <c r="O261" i="20"/>
  <c r="U261" i="4"/>
  <c r="N261" i="20" s="1"/>
  <c r="X263" i="4" l="1"/>
  <c r="O262" i="20"/>
  <c r="U262" i="4"/>
  <c r="N262" i="20" s="1"/>
  <c r="V261" i="4"/>
  <c r="AA263" i="4" l="1"/>
  <c r="X264" i="4" s="1"/>
  <c r="Y263" i="4"/>
  <c r="V262" i="4"/>
  <c r="U263" i="4" l="1"/>
  <c r="N263" i="20" s="1"/>
  <c r="O263" i="20"/>
  <c r="Y264" i="4"/>
  <c r="AA264" i="4"/>
  <c r="V263" i="4" l="1"/>
  <c r="U264" i="4"/>
  <c r="N264" i="20" s="1"/>
  <c r="O264" i="20"/>
  <c r="X265" i="4"/>
  <c r="V264" i="4" l="1"/>
  <c r="Y265" i="4"/>
  <c r="AA265" i="4"/>
  <c r="X266" i="4" l="1"/>
  <c r="U265" i="4"/>
  <c r="N265" i="20" s="1"/>
  <c r="O265" i="20"/>
  <c r="Y266" i="4" l="1"/>
  <c r="AA266" i="4"/>
  <c r="X267" i="4" s="1"/>
  <c r="V265" i="4"/>
  <c r="AA267" i="4" l="1"/>
  <c r="X268" i="4" s="1"/>
  <c r="Y267" i="4"/>
  <c r="O266" i="20"/>
  <c r="U266" i="4"/>
  <c r="N266" i="20" s="1"/>
  <c r="V266" i="4" l="1"/>
  <c r="U267" i="4"/>
  <c r="N267" i="20" s="1"/>
  <c r="O267" i="20"/>
  <c r="Y268" i="4"/>
  <c r="AA268" i="4"/>
  <c r="X269" i="4" s="1"/>
  <c r="V267" i="4" l="1"/>
  <c r="AA269" i="4"/>
  <c r="X270" i="4" s="1"/>
  <c r="Y269" i="4"/>
  <c r="O268" i="20"/>
  <c r="U268" i="4"/>
  <c r="N268" i="20" s="1"/>
  <c r="V268" i="4" l="1"/>
  <c r="Y270" i="4"/>
  <c r="AA270" i="4"/>
  <c r="X271" i="4" s="1"/>
  <c r="U269" i="4"/>
  <c r="N269" i="20" s="1"/>
  <c r="O269" i="20"/>
  <c r="V269" i="4" l="1"/>
  <c r="AA271" i="4"/>
  <c r="X272" i="4" s="1"/>
  <c r="Y271" i="4"/>
  <c r="U270" i="4"/>
  <c r="N270" i="20" s="1"/>
  <c r="O270" i="20"/>
  <c r="V270" i="4" l="1"/>
  <c r="AA272" i="4"/>
  <c r="X273" i="4" s="1"/>
  <c r="Y272" i="4"/>
  <c r="O271" i="20"/>
  <c r="U271" i="4"/>
  <c r="N271" i="20" s="1"/>
  <c r="V271" i="4" l="1"/>
  <c r="AA273" i="4"/>
  <c r="X274" i="4" s="1"/>
  <c r="Y273" i="4"/>
  <c r="U272" i="4"/>
  <c r="N272" i="20" s="1"/>
  <c r="O272" i="20"/>
  <c r="V272" i="4" l="1"/>
  <c r="U273" i="4"/>
  <c r="N273" i="20" s="1"/>
  <c r="O273" i="20"/>
  <c r="Y274" i="4"/>
  <c r="AA274" i="4"/>
  <c r="X275" i="4" s="1"/>
  <c r="V273" i="4" l="1"/>
  <c r="Y275" i="4"/>
  <c r="AA275" i="4"/>
  <c r="O274" i="20"/>
  <c r="U274" i="4"/>
  <c r="N274" i="20" s="1"/>
  <c r="V274" i="4" l="1"/>
  <c r="X276" i="4"/>
  <c r="U275" i="4"/>
  <c r="N275" i="20" s="1"/>
  <c r="O275" i="20"/>
  <c r="Y276" i="4" l="1"/>
  <c r="AA276" i="4"/>
  <c r="V275" i="4"/>
  <c r="X277" i="4" l="1"/>
  <c r="U276" i="4"/>
  <c r="N276" i="20" s="1"/>
  <c r="O276" i="20"/>
  <c r="Y277" i="4" l="1"/>
  <c r="AA277" i="4"/>
  <c r="V276" i="4"/>
  <c r="X278" i="4" l="1"/>
  <c r="O277" i="20"/>
  <c r="U277" i="4"/>
  <c r="N277" i="20" s="1"/>
  <c r="Y278" i="4" l="1"/>
  <c r="AA278" i="4"/>
  <c r="X279" i="4" s="1"/>
  <c r="V277" i="4"/>
  <c r="Y279" i="4" l="1"/>
  <c r="AA279" i="4"/>
  <c r="X280" i="4" s="1"/>
  <c r="O278" i="20"/>
  <c r="U278" i="4"/>
  <c r="N278" i="20" s="1"/>
  <c r="AA280" i="4" l="1"/>
  <c r="X281" i="4" s="1"/>
  <c r="Y280" i="4"/>
  <c r="V278" i="4"/>
  <c r="U279" i="4"/>
  <c r="N279" i="20" s="1"/>
  <c r="O279" i="20"/>
  <c r="V279" i="4" l="1"/>
  <c r="Y281" i="4"/>
  <c r="AA281" i="4"/>
  <c r="X282" i="4" s="1"/>
  <c r="O280" i="20"/>
  <c r="U280" i="4"/>
  <c r="N280" i="20" s="1"/>
  <c r="Y282" i="4" l="1"/>
  <c r="AA282" i="4"/>
  <c r="X283" i="4" s="1"/>
  <c r="V280" i="4"/>
  <c r="U281" i="4"/>
  <c r="N281" i="20" s="1"/>
  <c r="O281" i="20"/>
  <c r="V281" i="4" l="1"/>
  <c r="Y283" i="4"/>
  <c r="AA283" i="4"/>
  <c r="X284" i="4" s="1"/>
  <c r="O282" i="20"/>
  <c r="U282" i="4"/>
  <c r="N282" i="20" s="1"/>
  <c r="Y284" i="4" l="1"/>
  <c r="AA284" i="4"/>
  <c r="X285" i="4" s="1"/>
  <c r="U283" i="4"/>
  <c r="N283" i="20" s="1"/>
  <c r="O283" i="20"/>
  <c r="V282" i="4"/>
  <c r="U284" i="4" l="1"/>
  <c r="N284" i="20" s="1"/>
  <c r="O284" i="20"/>
  <c r="Y285" i="4"/>
  <c r="AA285" i="4"/>
  <c r="X286" i="4" s="1"/>
  <c r="V283" i="4"/>
  <c r="Y286" i="4" l="1"/>
  <c r="AA286" i="4"/>
  <c r="X287" i="4" s="1"/>
  <c r="U285" i="4"/>
  <c r="N285" i="20" s="1"/>
  <c r="O285" i="20"/>
  <c r="V284" i="4"/>
  <c r="V285" i="4" l="1"/>
  <c r="Y287" i="4"/>
  <c r="AA287" i="4"/>
  <c r="X288" i="4" s="1"/>
  <c r="U286" i="4"/>
  <c r="N286" i="20" s="1"/>
  <c r="O286" i="20"/>
  <c r="Y288" i="4" l="1"/>
  <c r="AA288" i="4"/>
  <c r="O287" i="20"/>
  <c r="U287" i="4"/>
  <c r="N287" i="20" s="1"/>
  <c r="V286" i="4"/>
  <c r="V287" i="4" l="1"/>
  <c r="X289" i="4"/>
  <c r="O288" i="20"/>
  <c r="U288" i="4"/>
  <c r="N288" i="20" s="1"/>
  <c r="Y289" i="4" l="1"/>
  <c r="AA289" i="4"/>
  <c r="X290" i="4" s="1"/>
  <c r="V288" i="4"/>
  <c r="Y290" i="4" l="1"/>
  <c r="AA290" i="4"/>
  <c r="X291" i="4" s="1"/>
  <c r="U289" i="4"/>
  <c r="N289" i="20" s="1"/>
  <c r="O289" i="20"/>
  <c r="AA291" i="4" l="1"/>
  <c r="X292" i="4" s="1"/>
  <c r="Y291" i="4"/>
  <c r="V289" i="4"/>
  <c r="U290" i="4"/>
  <c r="N290" i="20" s="1"/>
  <c r="O290" i="20"/>
  <c r="V290" i="4" l="1"/>
  <c r="U291" i="4"/>
  <c r="N291" i="20" s="1"/>
  <c r="O291" i="20"/>
  <c r="Y292" i="4"/>
  <c r="AA292" i="4"/>
  <c r="V291" i="4" l="1"/>
  <c r="U292" i="4"/>
  <c r="N292" i="20" s="1"/>
  <c r="O292" i="20"/>
  <c r="X293" i="4"/>
  <c r="V292" i="4" l="1"/>
  <c r="Y293" i="4"/>
  <c r="AA293" i="4"/>
  <c r="X294" i="4" s="1"/>
  <c r="AA294" i="4" l="1"/>
  <c r="X295" i="4" s="1"/>
  <c r="Y294" i="4"/>
  <c r="U293" i="4"/>
  <c r="N293" i="20" s="1"/>
  <c r="O293" i="20"/>
  <c r="V293" i="4" l="1"/>
  <c r="Y295" i="4"/>
  <c r="AA295" i="4"/>
  <c r="U294" i="4"/>
  <c r="N294" i="20" s="1"/>
  <c r="O294" i="20"/>
  <c r="V294" i="4" l="1"/>
  <c r="U295" i="4"/>
  <c r="N295" i="20" s="1"/>
  <c r="O295" i="20"/>
  <c r="X296" i="4"/>
  <c r="AA296" i="4" l="1"/>
  <c r="X297" i="4" s="1"/>
  <c r="Y296" i="4"/>
  <c r="V295" i="4"/>
  <c r="O296" i="20" l="1"/>
  <c r="U296" i="4"/>
  <c r="N296" i="20" s="1"/>
  <c r="AA297" i="4"/>
  <c r="Y297" i="4"/>
  <c r="V296" i="4" l="1"/>
  <c r="X298" i="4"/>
  <c r="O297" i="20"/>
  <c r="U297" i="4"/>
  <c r="N297" i="20" s="1"/>
  <c r="AA298" i="4" l="1"/>
  <c r="X299" i="4" s="1"/>
  <c r="Y298" i="4"/>
  <c r="V297" i="4"/>
  <c r="Y299" i="4" l="1"/>
  <c r="AA299" i="4"/>
  <c r="X300" i="4" s="1"/>
  <c r="O298" i="20"/>
  <c r="U298" i="4"/>
  <c r="N298" i="20" s="1"/>
  <c r="V298" i="4" l="1"/>
  <c r="AA300" i="4"/>
  <c r="X301" i="4" s="1"/>
  <c r="Y300" i="4"/>
  <c r="O299" i="20"/>
  <c r="U299" i="4"/>
  <c r="N299" i="20" s="1"/>
  <c r="O300" i="20" l="1"/>
  <c r="U300" i="4"/>
  <c r="N300" i="20" s="1"/>
  <c r="V299" i="4"/>
  <c r="Y301" i="4"/>
  <c r="AA301" i="4"/>
  <c r="X302" i="4" s="1"/>
  <c r="V300" i="4" l="1"/>
  <c r="O301" i="20"/>
  <c r="U301" i="4"/>
  <c r="N301" i="20" s="1"/>
  <c r="Y302" i="4"/>
  <c r="AA302" i="4"/>
  <c r="V301" i="4" l="1"/>
  <c r="O302" i="20"/>
  <c r="U302" i="4"/>
  <c r="N302" i="20" s="1"/>
  <c r="X303" i="4"/>
  <c r="Y303" i="4" l="1"/>
  <c r="AA303" i="4"/>
  <c r="X304" i="4" s="1"/>
  <c r="V302" i="4"/>
  <c r="Y304" i="4" l="1"/>
  <c r="AA304" i="4"/>
  <c r="X305" i="4" s="1"/>
  <c r="U303" i="4"/>
  <c r="N303" i="20" s="1"/>
  <c r="O303" i="20"/>
  <c r="AA305" i="4" l="1"/>
  <c r="X306" i="4" s="1"/>
  <c r="Y305" i="4"/>
  <c r="V303" i="4"/>
  <c r="O304" i="20"/>
  <c r="U304" i="4"/>
  <c r="N304" i="20" s="1"/>
  <c r="V304" i="4" l="1"/>
  <c r="Y306" i="4"/>
  <c r="AA306" i="4"/>
  <c r="U305" i="4"/>
  <c r="N305" i="20" s="1"/>
  <c r="O305" i="20"/>
  <c r="V305" i="4" l="1"/>
  <c r="X307" i="4"/>
  <c r="O306" i="20"/>
  <c r="U306" i="4"/>
  <c r="N306" i="20" s="1"/>
  <c r="Y307" i="4" l="1"/>
  <c r="AA307" i="4"/>
  <c r="X308" i="4" s="1"/>
  <c r="V306" i="4"/>
  <c r="AA308" i="4" l="1"/>
  <c r="X309" i="4" s="1"/>
  <c r="Y308" i="4"/>
  <c r="O307" i="20"/>
  <c r="U307" i="4"/>
  <c r="N307" i="20" s="1"/>
  <c r="Y309" i="4" l="1"/>
  <c r="AA309" i="4"/>
  <c r="X310" i="4" s="1"/>
  <c r="O308" i="20"/>
  <c r="U308" i="4"/>
  <c r="N308" i="20" s="1"/>
  <c r="V307" i="4"/>
  <c r="V308" i="4" l="1"/>
  <c r="AA310" i="4"/>
  <c r="X311" i="4" s="1"/>
  <c r="Y310" i="4"/>
  <c r="U309" i="4"/>
  <c r="N309" i="20" s="1"/>
  <c r="O309" i="20"/>
  <c r="U310" i="4" l="1"/>
  <c r="N310" i="20" s="1"/>
  <c r="O310" i="20"/>
  <c r="Y311" i="4"/>
  <c r="AA311" i="4"/>
  <c r="X312" i="4" s="1"/>
  <c r="V309" i="4"/>
  <c r="V310" i="4" l="1"/>
  <c r="AA312" i="4"/>
  <c r="X313" i="4" s="1"/>
  <c r="Y312" i="4"/>
  <c r="O311" i="20"/>
  <c r="U311" i="4"/>
  <c r="N311" i="20" s="1"/>
  <c r="Y313" i="4" l="1"/>
  <c r="AA313" i="4"/>
  <c r="X314" i="4" s="1"/>
  <c r="U312" i="4"/>
  <c r="N312" i="20" s="1"/>
  <c r="O312" i="20"/>
  <c r="V311" i="4"/>
  <c r="V312" i="4" l="1"/>
  <c r="Y314" i="4"/>
  <c r="AA314" i="4"/>
  <c r="U313" i="4"/>
  <c r="N313" i="20" s="1"/>
  <c r="O313" i="20"/>
  <c r="X315" i="4" l="1"/>
  <c r="V313" i="4"/>
  <c r="U314" i="4"/>
  <c r="N314" i="20" s="1"/>
  <c r="O314" i="20"/>
  <c r="AA315" i="4" l="1"/>
  <c r="X316" i="4" s="1"/>
  <c r="Y315" i="4"/>
  <c r="V314" i="4"/>
  <c r="O315" i="20" l="1"/>
  <c r="U315" i="4"/>
  <c r="N315" i="20" s="1"/>
  <c r="Y316" i="4"/>
  <c r="AA316" i="4"/>
  <c r="V315" i="4" l="1"/>
  <c r="X317" i="4"/>
  <c r="O316" i="20"/>
  <c r="U316" i="4"/>
  <c r="N316" i="20" s="1"/>
  <c r="AA317" i="4" l="1"/>
  <c r="X318" i="4" s="1"/>
  <c r="Y317" i="4"/>
  <c r="V316" i="4"/>
  <c r="O317" i="20" l="1"/>
  <c r="U317" i="4"/>
  <c r="N317" i="20" s="1"/>
  <c r="AA318" i="4"/>
  <c r="X319" i="4" s="1"/>
  <c r="Y318" i="4"/>
  <c r="V317" i="4" l="1"/>
  <c r="AA319" i="4"/>
  <c r="X320" i="4" s="1"/>
  <c r="Y319" i="4"/>
  <c r="U318" i="4"/>
  <c r="N318" i="20" s="1"/>
  <c r="O318" i="20"/>
  <c r="V318" i="4" l="1"/>
  <c r="Y320" i="4"/>
  <c r="AA320" i="4"/>
  <c r="X321" i="4" s="1"/>
  <c r="U319" i="4"/>
  <c r="N319" i="20" s="1"/>
  <c r="O319" i="20"/>
  <c r="V319" i="4" l="1"/>
  <c r="Y321" i="4"/>
  <c r="AA321" i="4"/>
  <c r="O320" i="20"/>
  <c r="U320" i="4"/>
  <c r="N320" i="20" s="1"/>
  <c r="U321" i="4" l="1"/>
  <c r="N321" i="20" s="1"/>
  <c r="O321" i="20"/>
  <c r="X322" i="4"/>
  <c r="V320" i="4"/>
  <c r="AA322" i="4" l="1"/>
  <c r="X323" i="4" s="1"/>
  <c r="Y322" i="4"/>
  <c r="V321" i="4"/>
  <c r="O322" i="20" l="1"/>
  <c r="U322" i="4"/>
  <c r="N322" i="20" s="1"/>
  <c r="Y323" i="4"/>
  <c r="AA323" i="4"/>
  <c r="X324" i="4" s="1"/>
  <c r="V322" i="4" l="1"/>
  <c r="AA324" i="4"/>
  <c r="X325" i="4" s="1"/>
  <c r="Y324" i="4"/>
  <c r="O323" i="20"/>
  <c r="U323" i="4"/>
  <c r="N323" i="20" s="1"/>
  <c r="AA325" i="4" l="1"/>
  <c r="X326" i="4" s="1"/>
  <c r="Y325" i="4"/>
  <c r="O324" i="20"/>
  <c r="U324" i="4"/>
  <c r="N324" i="20" s="1"/>
  <c r="V323" i="4"/>
  <c r="V324" i="4" l="1"/>
  <c r="U325" i="4"/>
  <c r="N325" i="20" s="1"/>
  <c r="O325" i="20"/>
  <c r="AA326" i="4"/>
  <c r="X327" i="4" s="1"/>
  <c r="Y326" i="4"/>
  <c r="V325" i="4" l="1"/>
  <c r="AA327" i="4"/>
  <c r="X328" i="4" s="1"/>
  <c r="Y327" i="4"/>
  <c r="O326" i="20"/>
  <c r="U326" i="4"/>
  <c r="N326" i="20" s="1"/>
  <c r="AA328" i="4" l="1"/>
  <c r="Y328" i="4"/>
  <c r="O327" i="20"/>
  <c r="U327" i="4"/>
  <c r="N327" i="20" s="1"/>
  <c r="V326" i="4"/>
  <c r="X329" i="4" l="1"/>
  <c r="O328" i="20"/>
  <c r="U328" i="4"/>
  <c r="N328" i="20" s="1"/>
  <c r="V327" i="4"/>
  <c r="V328" i="4" l="1"/>
  <c r="AA329" i="4"/>
  <c r="X330" i="4" s="1"/>
  <c r="Y329" i="4"/>
  <c r="Y330" i="4" l="1"/>
  <c r="AA330" i="4"/>
  <c r="X331" i="4" s="1"/>
  <c r="U329" i="4"/>
  <c r="N329" i="20" s="1"/>
  <c r="O329" i="20"/>
  <c r="AA331" i="4" l="1"/>
  <c r="X332" i="4" s="1"/>
  <c r="Y331" i="4"/>
  <c r="U330" i="4"/>
  <c r="N330" i="20" s="1"/>
  <c r="O330" i="20"/>
  <c r="V329" i="4"/>
  <c r="V330" i="4" l="1"/>
  <c r="Y332" i="4"/>
  <c r="AA332" i="4"/>
  <c r="O331" i="20"/>
  <c r="U331" i="4"/>
  <c r="N331" i="20" s="1"/>
  <c r="V331" i="4" l="1"/>
  <c r="X333" i="4"/>
  <c r="O332" i="20"/>
  <c r="U332" i="4"/>
  <c r="N332" i="20" s="1"/>
  <c r="Y333" i="4" l="1"/>
  <c r="AA333" i="4"/>
  <c r="V332" i="4"/>
  <c r="X334" i="4" l="1"/>
  <c r="U333" i="4"/>
  <c r="N333" i="20" s="1"/>
  <c r="O333" i="20"/>
  <c r="Y334" i="4" l="1"/>
  <c r="AA334" i="4"/>
  <c r="V333" i="4"/>
  <c r="X335" i="4" l="1"/>
  <c r="U334" i="4"/>
  <c r="N334" i="20" s="1"/>
  <c r="O334" i="20"/>
  <c r="AA335" i="4" l="1"/>
  <c r="X336" i="4" s="1"/>
  <c r="Y335" i="4"/>
  <c r="V334" i="4"/>
  <c r="Y336" i="4" l="1"/>
  <c r="AA336" i="4"/>
  <c r="X337" i="4" s="1"/>
  <c r="O335" i="20"/>
  <c r="U335" i="4"/>
  <c r="N335" i="20" s="1"/>
  <c r="Y337" i="4" l="1"/>
  <c r="AA337" i="4"/>
  <c r="X338" i="4" s="1"/>
  <c r="V335" i="4"/>
  <c r="U336" i="4"/>
  <c r="N336" i="20" s="1"/>
  <c r="O336" i="20"/>
  <c r="V336" i="4" l="1"/>
  <c r="Y338" i="4"/>
  <c r="AA338" i="4"/>
  <c r="X339" i="4" s="1"/>
  <c r="O337" i="20"/>
  <c r="U337" i="4"/>
  <c r="N337" i="20" s="1"/>
  <c r="Y339" i="4" l="1"/>
  <c r="AA339" i="4"/>
  <c r="X340" i="4" s="1"/>
  <c r="O338" i="20"/>
  <c r="U338" i="4"/>
  <c r="N338" i="20" s="1"/>
  <c r="V337" i="4"/>
  <c r="V338" i="4" l="1"/>
  <c r="Y340" i="4"/>
  <c r="AA340" i="4"/>
  <c r="X341" i="4" s="1"/>
  <c r="O339" i="20"/>
  <c r="U339" i="4"/>
  <c r="N339" i="20" s="1"/>
  <c r="Y341" i="4" l="1"/>
  <c r="AA341" i="4"/>
  <c r="X342" i="4" s="1"/>
  <c r="V339" i="4"/>
  <c r="O340" i="20"/>
  <c r="U340" i="4"/>
  <c r="N340" i="20" s="1"/>
  <c r="Y342" i="4" l="1"/>
  <c r="AA342" i="4"/>
  <c r="X343" i="4" s="1"/>
  <c r="V340" i="4"/>
  <c r="O341" i="20"/>
  <c r="U341" i="4"/>
  <c r="N341" i="20" s="1"/>
  <c r="Y343" i="4" l="1"/>
  <c r="AA343" i="4"/>
  <c r="X344" i="4" s="1"/>
  <c r="V341" i="4"/>
  <c r="U342" i="4"/>
  <c r="N342" i="20" s="1"/>
  <c r="O342" i="20"/>
  <c r="Y344" i="4" l="1"/>
  <c r="AA344" i="4"/>
  <c r="V342" i="4"/>
  <c r="O343" i="20"/>
  <c r="U343" i="4"/>
  <c r="N343" i="20" s="1"/>
  <c r="V343" i="4" l="1"/>
  <c r="X345" i="4"/>
  <c r="U344" i="4"/>
  <c r="N344" i="20" s="1"/>
  <c r="O344" i="20"/>
  <c r="AA345" i="4" l="1"/>
  <c r="X346" i="4" s="1"/>
  <c r="Y345" i="4"/>
  <c r="V344" i="4"/>
  <c r="O345" i="20" l="1"/>
  <c r="U345" i="4"/>
  <c r="N345" i="20" s="1"/>
  <c r="AA346" i="4"/>
  <c r="X347" i="4" s="1"/>
  <c r="Y346" i="4"/>
  <c r="V345" i="4" l="1"/>
  <c r="U346" i="4"/>
  <c r="N346" i="20" s="1"/>
  <c r="O346" i="20"/>
  <c r="Y347" i="4"/>
  <c r="AA347" i="4"/>
  <c r="O347" i="20" l="1"/>
  <c r="U347" i="4"/>
  <c r="N347" i="20" s="1"/>
  <c r="X348" i="4"/>
  <c r="V346" i="4"/>
  <c r="Y348" i="4" l="1"/>
  <c r="AA348" i="4"/>
  <c r="V347" i="4"/>
  <c r="X349" i="4" l="1"/>
  <c r="O348" i="20"/>
  <c r="U348" i="4"/>
  <c r="N348" i="20" s="1"/>
  <c r="Y349" i="4" l="1"/>
  <c r="AA349" i="4"/>
  <c r="X350" i="4" s="1"/>
  <c r="V348" i="4"/>
  <c r="Y350" i="4" l="1"/>
  <c r="AA350" i="4"/>
  <c r="U349" i="4"/>
  <c r="N349" i="20" s="1"/>
  <c r="O349" i="20"/>
  <c r="X351" i="4" l="1"/>
  <c r="V349" i="4"/>
  <c r="O350" i="20"/>
  <c r="U350" i="4"/>
  <c r="N350" i="20" s="1"/>
  <c r="AA351" i="4" l="1"/>
  <c r="X352" i="4" s="1"/>
  <c r="Y351" i="4"/>
  <c r="V350" i="4"/>
  <c r="U351" i="4" l="1"/>
  <c r="N351" i="20" s="1"/>
  <c r="O351" i="20"/>
  <c r="AA352" i="4"/>
  <c r="X353" i="4" s="1"/>
  <c r="Y352" i="4"/>
  <c r="V351" i="4" l="1"/>
  <c r="AA353" i="4"/>
  <c r="X354" i="4" s="1"/>
  <c r="Y353" i="4"/>
  <c r="O352" i="20"/>
  <c r="U352" i="4"/>
  <c r="N352" i="20" s="1"/>
  <c r="U353" i="4" l="1"/>
  <c r="N353" i="20" s="1"/>
  <c r="O353" i="20"/>
  <c r="Y354" i="4"/>
  <c r="AA354" i="4"/>
  <c r="X355" i="4" s="1"/>
  <c r="V352" i="4"/>
  <c r="V353" i="4" l="1"/>
  <c r="Y355" i="4"/>
  <c r="AA355" i="4"/>
  <c r="X356" i="4" s="1"/>
  <c r="O354" i="20"/>
  <c r="U354" i="4"/>
  <c r="N354" i="20" s="1"/>
  <c r="V354" i="4" l="1"/>
  <c r="AA356" i="4"/>
  <c r="X357" i="4" s="1"/>
  <c r="Y356" i="4"/>
  <c r="O355" i="20"/>
  <c r="U355" i="4"/>
  <c r="N355" i="20" s="1"/>
  <c r="V355" i="4" l="1"/>
  <c r="U356" i="4"/>
  <c r="N356" i="20" s="1"/>
  <c r="O356" i="20"/>
  <c r="AA357" i="4"/>
  <c r="X358" i="4" s="1"/>
  <c r="Y357" i="4"/>
  <c r="V356" i="4" l="1"/>
  <c r="AA358" i="4"/>
  <c r="X359" i="4" s="1"/>
  <c r="Y358" i="4"/>
  <c r="O357" i="20"/>
  <c r="U357" i="4"/>
  <c r="N357" i="20" s="1"/>
  <c r="Y359" i="4" l="1"/>
  <c r="AA359" i="4"/>
  <c r="X360" i="4" s="1"/>
  <c r="U358" i="4"/>
  <c r="N358" i="20" s="1"/>
  <c r="O358" i="20"/>
  <c r="V357" i="4"/>
  <c r="U359" i="4" l="1"/>
  <c r="N359" i="20" s="1"/>
  <c r="O359" i="20"/>
  <c r="AA360" i="4"/>
  <c r="X361" i="4" s="1"/>
  <c r="Y360" i="4"/>
  <c r="V358" i="4"/>
  <c r="AA361" i="4" l="1"/>
  <c r="X362" i="4" s="1"/>
  <c r="Y361" i="4"/>
  <c r="U360" i="4"/>
  <c r="N360" i="20" s="1"/>
  <c r="O360" i="20"/>
  <c r="V359" i="4"/>
  <c r="V360" i="4" l="1"/>
  <c r="O361" i="20"/>
  <c r="U361" i="4"/>
  <c r="N361" i="20" s="1"/>
  <c r="AA362" i="4"/>
  <c r="X363" i="4" s="1"/>
  <c r="Y362" i="4"/>
  <c r="V361" i="4" l="1"/>
  <c r="AA363" i="4"/>
  <c r="X364" i="4" s="1"/>
  <c r="Y363" i="4"/>
  <c r="O362" i="20"/>
  <c r="U362" i="4"/>
  <c r="N362" i="20" s="1"/>
  <c r="AA364" i="4" l="1"/>
  <c r="X365" i="4" s="1"/>
  <c r="Y364" i="4"/>
  <c r="U363" i="4"/>
  <c r="N363" i="20" s="1"/>
  <c r="O363" i="20"/>
  <c r="V362" i="4"/>
  <c r="V363" i="4" l="1"/>
  <c r="AA365" i="4"/>
  <c r="X366" i="4" s="1"/>
  <c r="Y365" i="4"/>
  <c r="U364" i="4"/>
  <c r="N364" i="20" s="1"/>
  <c r="O364" i="20"/>
  <c r="V364" i="4" l="1"/>
  <c r="AA366" i="4"/>
  <c r="X367" i="4" s="1"/>
  <c r="Y366" i="4"/>
  <c r="U365" i="4"/>
  <c r="N365" i="20" s="1"/>
  <c r="O365" i="20"/>
  <c r="V365" i="4" l="1"/>
  <c r="U366" i="4"/>
  <c r="N366" i="20" s="1"/>
  <c r="O366" i="20"/>
  <c r="AA367" i="4"/>
  <c r="X368" i="4" s="1"/>
  <c r="Y367" i="4"/>
  <c r="V366" i="4" l="1"/>
  <c r="AA368" i="4"/>
  <c r="X369" i="4" s="1"/>
  <c r="Y368" i="4"/>
  <c r="U367" i="4"/>
  <c r="N367" i="20" s="1"/>
  <c r="O367" i="20"/>
  <c r="V367" i="4" l="1"/>
  <c r="AA369" i="4"/>
  <c r="X370" i="4" s="1"/>
  <c r="Y369" i="4"/>
  <c r="O368" i="20"/>
  <c r="U368" i="4"/>
  <c r="N368" i="20" s="1"/>
  <c r="V368" i="4" l="1"/>
  <c r="AA370" i="4"/>
  <c r="X371" i="4" s="1"/>
  <c r="Y370" i="4"/>
  <c r="U369" i="4"/>
  <c r="N369" i="20" s="1"/>
  <c r="O369" i="20"/>
  <c r="V369" i="4" l="1"/>
  <c r="U370" i="4"/>
  <c r="N370" i="20" s="1"/>
  <c r="O370" i="20"/>
  <c r="AA371" i="4"/>
  <c r="X372" i="4" s="1"/>
  <c r="Y371" i="4"/>
  <c r="V370" i="4" l="1"/>
  <c r="O371" i="20"/>
  <c r="U371" i="4"/>
  <c r="N371" i="20" s="1"/>
  <c r="AA372" i="4"/>
  <c r="X373" i="4" s="1"/>
  <c r="Y372" i="4"/>
  <c r="U372" i="4" l="1"/>
  <c r="N372" i="20" s="1"/>
  <c r="O372" i="20"/>
  <c r="Y373" i="4"/>
  <c r="AA373" i="4"/>
  <c r="X374" i="4" s="1"/>
  <c r="V371" i="4"/>
  <c r="V372" i="4" l="1"/>
  <c r="AA374" i="4"/>
  <c r="X375" i="4" s="1"/>
  <c r="Y374" i="4"/>
  <c r="U373" i="4"/>
  <c r="N373" i="20" s="1"/>
  <c r="O373" i="20"/>
  <c r="V373" i="4" l="1"/>
  <c r="O374" i="20"/>
  <c r="U374" i="4"/>
  <c r="N374" i="20" s="1"/>
  <c r="Y375" i="4"/>
  <c r="AA375" i="4"/>
  <c r="X376" i="4" s="1"/>
  <c r="V374" i="4" l="1"/>
  <c r="U375" i="4"/>
  <c r="N375" i="20" s="1"/>
  <c r="O375" i="20"/>
  <c r="AA376" i="4"/>
  <c r="X377" i="4" s="1"/>
  <c r="Y376" i="4"/>
  <c r="V375" i="4" l="1"/>
  <c r="U376" i="4"/>
  <c r="N376" i="20" s="1"/>
  <c r="O376" i="20"/>
  <c r="AA377" i="4"/>
  <c r="X378" i="4" s="1"/>
  <c r="Y377" i="4"/>
  <c r="Y378" i="4" l="1"/>
  <c r="AA378" i="4"/>
  <c r="X379" i="4" s="1"/>
  <c r="U377" i="4"/>
  <c r="N377" i="20" s="1"/>
  <c r="O377" i="20"/>
  <c r="V376" i="4"/>
  <c r="V377" i="4" l="1"/>
  <c r="AA379" i="4"/>
  <c r="X380" i="4" s="1"/>
  <c r="Y379" i="4"/>
  <c r="U378" i="4"/>
  <c r="N378" i="20" s="1"/>
  <c r="O378" i="20"/>
  <c r="AA380" i="4" l="1"/>
  <c r="X381" i="4" s="1"/>
  <c r="Y380" i="4"/>
  <c r="U379" i="4"/>
  <c r="N379" i="20" s="1"/>
  <c r="O379" i="20"/>
  <c r="V378" i="4"/>
  <c r="AA381" i="4" l="1"/>
  <c r="X382" i="4" s="1"/>
  <c r="Y381" i="4"/>
  <c r="U380" i="4"/>
  <c r="N380" i="20" s="1"/>
  <c r="O380" i="20"/>
  <c r="V379" i="4"/>
  <c r="AA382" i="4" l="1"/>
  <c r="X383" i="4" s="1"/>
  <c r="Y382" i="4"/>
  <c r="U381" i="4"/>
  <c r="N381" i="20" s="1"/>
  <c r="O381" i="20"/>
  <c r="V380" i="4"/>
  <c r="V381" i="4" l="1"/>
  <c r="AA383" i="4"/>
  <c r="X384" i="4" s="1"/>
  <c r="Y383" i="4"/>
  <c r="U382" i="4"/>
  <c r="N382" i="20" s="1"/>
  <c r="O382" i="20"/>
  <c r="V382" i="4" l="1"/>
  <c r="O383" i="20"/>
  <c r="U383" i="4"/>
  <c r="N383" i="20" s="1"/>
  <c r="AA384" i="4"/>
  <c r="X385" i="4" s="1"/>
  <c r="Y384" i="4"/>
  <c r="V383" i="4" l="1"/>
  <c r="O384" i="20"/>
  <c r="U384" i="4"/>
  <c r="N384" i="20" s="1"/>
  <c r="AA385" i="4"/>
  <c r="X386" i="4" s="1"/>
  <c r="Y385" i="4"/>
  <c r="V384" i="4" l="1"/>
  <c r="AA386" i="4"/>
  <c r="X387" i="4" s="1"/>
  <c r="Y386" i="4"/>
  <c r="U385" i="4"/>
  <c r="N385" i="20" s="1"/>
  <c r="O385" i="20"/>
  <c r="AA387" i="4" l="1"/>
  <c r="X388" i="4" s="1"/>
  <c r="Y387" i="4"/>
  <c r="O386" i="20"/>
  <c r="U386" i="4"/>
  <c r="N386" i="20" s="1"/>
  <c r="V385" i="4"/>
  <c r="Y388" i="4" l="1"/>
  <c r="AA388" i="4"/>
  <c r="X389" i="4" s="1"/>
  <c r="U387" i="4"/>
  <c r="N387" i="20" s="1"/>
  <c r="O387" i="20"/>
  <c r="V386" i="4"/>
  <c r="V387" i="4" l="1"/>
  <c r="AA389" i="4"/>
  <c r="X390" i="4" s="1"/>
  <c r="Y389" i="4"/>
  <c r="U388" i="4"/>
  <c r="N388" i="20" s="1"/>
  <c r="O388" i="20"/>
  <c r="AA390" i="4" l="1"/>
  <c r="X391" i="4" s="1"/>
  <c r="Y390" i="4"/>
  <c r="U389" i="4"/>
  <c r="N389" i="20" s="1"/>
  <c r="O389" i="20"/>
  <c r="V388" i="4"/>
  <c r="O390" i="20" l="1"/>
  <c r="U390" i="4"/>
  <c r="N390" i="20" s="1"/>
  <c r="AA391" i="4"/>
  <c r="X392" i="4" s="1"/>
  <c r="Y391" i="4"/>
  <c r="V389" i="4"/>
  <c r="V390" i="4" l="1"/>
  <c r="AA392" i="4"/>
  <c r="X393" i="4" s="1"/>
  <c r="Y392" i="4"/>
  <c r="U391" i="4"/>
  <c r="N391" i="20" s="1"/>
  <c r="O391" i="20"/>
  <c r="Y393" i="4" l="1"/>
  <c r="AA393" i="4"/>
  <c r="X394" i="4" s="1"/>
  <c r="O392" i="20"/>
  <c r="U392" i="4"/>
  <c r="N392" i="20" s="1"/>
  <c r="V391" i="4"/>
  <c r="AA394" i="4" l="1"/>
  <c r="X395" i="4" s="1"/>
  <c r="Y394" i="4"/>
  <c r="V392" i="4"/>
  <c r="O393" i="20"/>
  <c r="U393" i="4"/>
  <c r="N393" i="20" s="1"/>
  <c r="Y395" i="4" l="1"/>
  <c r="AA395" i="4"/>
  <c r="O394" i="20"/>
  <c r="U394" i="4"/>
  <c r="N394" i="20" s="1"/>
  <c r="V393" i="4"/>
  <c r="V394" i="4" l="1"/>
  <c r="X396" i="4"/>
  <c r="U395" i="4"/>
  <c r="N395" i="20" s="1"/>
  <c r="O395" i="20"/>
  <c r="AA396" i="4" l="1"/>
  <c r="X397" i="4" s="1"/>
  <c r="Y396" i="4"/>
  <c r="V395" i="4"/>
  <c r="U396" i="4" l="1"/>
  <c r="N396" i="20" s="1"/>
  <c r="O396" i="20"/>
  <c r="AA397" i="4"/>
  <c r="X398" i="4" s="1"/>
  <c r="Y397" i="4"/>
  <c r="V396" i="4" l="1"/>
  <c r="Y398" i="4"/>
  <c r="AA398" i="4"/>
  <c r="X399" i="4" s="1"/>
  <c r="U397" i="4"/>
  <c r="N397" i="20" s="1"/>
  <c r="O397" i="20"/>
  <c r="Y399" i="4" l="1"/>
  <c r="AA399" i="4"/>
  <c r="X400" i="4" s="1"/>
  <c r="O398" i="20"/>
  <c r="U398" i="4"/>
  <c r="N398" i="20" s="1"/>
  <c r="V397" i="4"/>
  <c r="V398" i="4" l="1"/>
  <c r="Y400" i="4"/>
  <c r="AA400" i="4"/>
  <c r="X401" i="4" s="1"/>
  <c r="U399" i="4"/>
  <c r="N399" i="20" s="1"/>
  <c r="O399" i="20"/>
  <c r="O400" i="20" l="1"/>
  <c r="U400" i="4"/>
  <c r="N400" i="20" s="1"/>
  <c r="V399" i="4"/>
  <c r="Y401" i="4"/>
  <c r="AA401" i="4"/>
  <c r="X402" i="4" s="1"/>
  <c r="V400" i="4" l="1"/>
  <c r="U401" i="4"/>
  <c r="N401" i="20" s="1"/>
  <c r="O401" i="20"/>
  <c r="Y402" i="4"/>
  <c r="AA402" i="4"/>
  <c r="X403" i="4" s="1"/>
  <c r="V401" i="4" l="1"/>
  <c r="Y403" i="4"/>
  <c r="AA403" i="4"/>
  <c r="O402" i="20"/>
  <c r="U402" i="4"/>
  <c r="N402" i="20" s="1"/>
  <c r="V402" i="4" l="1"/>
  <c r="X404" i="4"/>
  <c r="U403" i="4"/>
  <c r="N403" i="20" s="1"/>
  <c r="O403" i="20"/>
  <c r="V403" i="4" l="1"/>
  <c r="Y404" i="4"/>
  <c r="AA404" i="4"/>
  <c r="X405" i="4" s="1"/>
  <c r="AA405" i="4" l="1"/>
  <c r="X406" i="4" s="1"/>
  <c r="Y405" i="4"/>
  <c r="U404" i="4"/>
  <c r="N404" i="20" s="1"/>
  <c r="O404" i="20"/>
  <c r="V404" i="4" l="1"/>
  <c r="AA406" i="4"/>
  <c r="X407" i="4" s="1"/>
  <c r="Y406" i="4"/>
  <c r="O405" i="20"/>
  <c r="U405" i="4"/>
  <c r="N405" i="20" s="1"/>
  <c r="V405" i="4" l="1"/>
  <c r="O406" i="20"/>
  <c r="U406" i="4"/>
  <c r="N406" i="20" s="1"/>
  <c r="AA407" i="4"/>
  <c r="X408" i="4" s="1"/>
  <c r="Y407" i="4"/>
  <c r="V406" i="4" l="1"/>
  <c r="Y408" i="4"/>
  <c r="AA408" i="4"/>
  <c r="X409" i="4" s="1"/>
  <c r="U407" i="4"/>
  <c r="N407" i="20" s="1"/>
  <c r="O407" i="20"/>
  <c r="V407" i="4" l="1"/>
  <c r="Y409" i="4"/>
  <c r="AA409" i="4"/>
  <c r="O408" i="20"/>
  <c r="U408" i="4"/>
  <c r="N408" i="20" s="1"/>
  <c r="O409" i="20" l="1"/>
  <c r="U409" i="4"/>
  <c r="N409" i="20" s="1"/>
  <c r="X410" i="4"/>
  <c r="V408" i="4"/>
  <c r="AA410" i="4" l="1"/>
  <c r="X411" i="4" s="1"/>
  <c r="Y410" i="4"/>
  <c r="V409" i="4"/>
  <c r="O410" i="20" l="1"/>
  <c r="U410" i="4"/>
  <c r="N410" i="20" s="1"/>
  <c r="AA411" i="4"/>
  <c r="X412" i="4" s="1"/>
  <c r="Y411" i="4"/>
  <c r="V410" i="4" l="1"/>
  <c r="Y412" i="4"/>
  <c r="AA412" i="4"/>
  <c r="X413" i="4" s="1"/>
  <c r="O411" i="20"/>
  <c r="U411" i="4"/>
  <c r="N411" i="20" s="1"/>
  <c r="V411" i="4" l="1"/>
  <c r="Y413" i="4"/>
  <c r="AA413" i="4"/>
  <c r="O412" i="20"/>
  <c r="U412" i="4"/>
  <c r="N412" i="20" s="1"/>
  <c r="V412" i="4" l="1"/>
  <c r="X414" i="4"/>
  <c r="O413" i="20"/>
  <c r="U413" i="4"/>
  <c r="N413" i="20" s="1"/>
  <c r="AA414" i="4" l="1"/>
  <c r="X415" i="4" s="1"/>
  <c r="Y414" i="4"/>
  <c r="V413" i="4"/>
  <c r="U414" i="4" l="1"/>
  <c r="N414" i="20" s="1"/>
  <c r="O414" i="20"/>
  <c r="AA415" i="4"/>
  <c r="X416" i="4" s="1"/>
  <c r="Y415" i="4"/>
  <c r="V414" i="4" l="1"/>
  <c r="U415" i="4"/>
  <c r="N415" i="20" s="1"/>
  <c r="O415" i="20"/>
  <c r="Y416" i="4"/>
  <c r="AA416" i="4"/>
  <c r="X417" i="4" s="1"/>
  <c r="O416" i="20" l="1"/>
  <c r="U416" i="4"/>
  <c r="N416" i="20" s="1"/>
  <c r="Y417" i="4"/>
  <c r="AA417" i="4"/>
  <c r="X418" i="4" s="1"/>
  <c r="V415" i="4"/>
  <c r="V416" i="4" l="1"/>
  <c r="U417" i="4"/>
  <c r="N417" i="20" s="1"/>
  <c r="O417" i="20"/>
  <c r="AA418" i="4"/>
  <c r="X419" i="4" s="1"/>
  <c r="Y418" i="4"/>
  <c r="V417" i="4" l="1"/>
  <c r="Y419" i="4"/>
  <c r="AA419" i="4"/>
  <c r="X420" i="4" s="1"/>
  <c r="U418" i="4"/>
  <c r="N418" i="20" s="1"/>
  <c r="O418" i="20"/>
  <c r="Y420" i="4" l="1"/>
  <c r="AA420" i="4"/>
  <c r="X421" i="4" s="1"/>
  <c r="V418" i="4"/>
  <c r="U419" i="4"/>
  <c r="N419" i="20" s="1"/>
  <c r="O419" i="20"/>
  <c r="V419" i="4" l="1"/>
  <c r="Y421" i="4"/>
  <c r="AA421" i="4"/>
  <c r="X422" i="4" s="1"/>
  <c r="U420" i="4"/>
  <c r="N420" i="20" s="1"/>
  <c r="O420" i="20"/>
  <c r="Y422" i="4" l="1"/>
  <c r="AA422" i="4"/>
  <c r="X423" i="4" s="1"/>
  <c r="O421" i="20"/>
  <c r="U421" i="4"/>
  <c r="N421" i="20" s="1"/>
  <c r="V420" i="4"/>
  <c r="V421" i="4" l="1"/>
  <c r="Y423" i="4"/>
  <c r="AA423" i="4"/>
  <c r="O422" i="20"/>
  <c r="U422" i="4"/>
  <c r="N422" i="20" s="1"/>
  <c r="U423" i="4" l="1"/>
  <c r="N423" i="20" s="1"/>
  <c r="O423" i="20"/>
  <c r="V422" i="4"/>
  <c r="X424" i="4"/>
  <c r="Y424" i="4" l="1"/>
  <c r="AA424" i="4"/>
  <c r="X425" i="4" s="1"/>
  <c r="V423" i="4"/>
  <c r="AA425" i="4" l="1"/>
  <c r="Y425" i="4"/>
  <c r="U424" i="4"/>
  <c r="N424" i="20" s="1"/>
  <c r="O424" i="20"/>
  <c r="O425" i="20" l="1"/>
  <c r="U425" i="4"/>
  <c r="N425" i="20" s="1"/>
  <c r="V424" i="4"/>
  <c r="X426" i="4"/>
  <c r="Y426" i="4" l="1"/>
  <c r="AA426" i="4"/>
  <c r="X427" i="4" s="1"/>
  <c r="V425" i="4"/>
  <c r="AA427" i="4" l="1"/>
  <c r="X428" i="4" s="1"/>
  <c r="Y427" i="4"/>
  <c r="O426" i="20"/>
  <c r="U426" i="4"/>
  <c r="N426" i="20" s="1"/>
  <c r="V426" i="4" l="1"/>
  <c r="O427" i="20"/>
  <c r="U427" i="4"/>
  <c r="N427" i="20" s="1"/>
  <c r="Y428" i="4"/>
  <c r="AA428" i="4"/>
  <c r="V427" i="4" l="1"/>
  <c r="X429" i="4"/>
  <c r="U428" i="4"/>
  <c r="N428" i="20" s="1"/>
  <c r="O428" i="20"/>
  <c r="V428" i="4" l="1"/>
  <c r="AA429" i="4"/>
  <c r="X430" i="4" s="1"/>
  <c r="Y429" i="4"/>
  <c r="AA430" i="4" l="1"/>
  <c r="Y430" i="4"/>
  <c r="U429" i="4"/>
  <c r="N429" i="20" s="1"/>
  <c r="O429" i="20"/>
  <c r="X431" i="4" l="1"/>
  <c r="O430" i="20"/>
  <c r="U430" i="4"/>
  <c r="N430" i="20" s="1"/>
  <c r="V429" i="4"/>
  <c r="V430" i="4" l="1"/>
  <c r="Y431" i="4"/>
  <c r="AA431" i="4"/>
  <c r="U431" i="4" l="1"/>
  <c r="N431" i="20" s="1"/>
  <c r="O431" i="20"/>
  <c r="X432" i="4"/>
  <c r="AA432" i="4" l="1"/>
  <c r="X433" i="4" s="1"/>
  <c r="Y432" i="4"/>
  <c r="V431" i="4"/>
  <c r="U432" i="4" l="1"/>
  <c r="N432" i="20" s="1"/>
  <c r="O432" i="20"/>
  <c r="AA433" i="4"/>
  <c r="X434" i="4" s="1"/>
  <c r="Y433" i="4"/>
  <c r="V432" i="4" l="1"/>
  <c r="AA434" i="4"/>
  <c r="Y434" i="4"/>
  <c r="U433" i="4"/>
  <c r="N433" i="20" s="1"/>
  <c r="O433" i="20"/>
  <c r="V433" i="4" l="1"/>
  <c r="O434" i="20"/>
  <c r="U434" i="4"/>
  <c r="N434" i="20" s="1"/>
  <c r="X435" i="4"/>
  <c r="V434" i="4" l="1"/>
  <c r="Y435" i="4"/>
  <c r="AA435" i="4"/>
  <c r="X436" i="4" l="1"/>
  <c r="U435" i="4"/>
  <c r="N435" i="20" s="1"/>
  <c r="O435" i="20"/>
  <c r="V435" i="4" l="1"/>
  <c r="AA436" i="4"/>
  <c r="Y436" i="4"/>
  <c r="U436" i="4" l="1"/>
  <c r="N436" i="20" s="1"/>
  <c r="O436" i="20"/>
  <c r="X437" i="4"/>
  <c r="V436" i="4" l="1"/>
  <c r="Y437" i="4"/>
  <c r="AA437" i="4"/>
  <c r="X438" i="4" s="1"/>
  <c r="Y438" i="4" l="1"/>
  <c r="AA438" i="4"/>
  <c r="X439" i="4" s="1"/>
  <c r="U437" i="4"/>
  <c r="N437" i="20" s="1"/>
  <c r="O437" i="20"/>
  <c r="Y439" i="4" l="1"/>
  <c r="AA439" i="4"/>
  <c r="V437" i="4"/>
  <c r="O438" i="20"/>
  <c r="U438" i="4"/>
  <c r="N438" i="20" s="1"/>
  <c r="V438" i="4" l="1"/>
  <c r="X440" i="4"/>
  <c r="O439" i="20"/>
  <c r="U439" i="4"/>
  <c r="N439" i="20" s="1"/>
  <c r="AA440" i="4" l="1"/>
  <c r="X441" i="4" s="1"/>
  <c r="Y440" i="4"/>
  <c r="V439" i="4"/>
  <c r="U440" i="4" l="1"/>
  <c r="N440" i="20" s="1"/>
  <c r="O440" i="20"/>
  <c r="Y441" i="4"/>
  <c r="AA441" i="4"/>
  <c r="V440" i="4" l="1"/>
  <c r="O441" i="20"/>
  <c r="U441" i="4"/>
  <c r="N441" i="20" s="1"/>
  <c r="X442" i="4"/>
  <c r="AA442" i="4" l="1"/>
  <c r="X443" i="4" s="1"/>
  <c r="Y442" i="4"/>
  <c r="V441" i="4"/>
  <c r="O442" i="20" l="1"/>
  <c r="U442" i="4"/>
  <c r="N442" i="20" s="1"/>
  <c r="AA443" i="4"/>
  <c r="Y443" i="4"/>
  <c r="V442" i="4" l="1"/>
  <c r="O443" i="20"/>
  <c r="U443" i="4"/>
  <c r="N443" i="20" s="1"/>
  <c r="X444" i="4"/>
  <c r="V443" i="4" l="1"/>
  <c r="Y444" i="4"/>
  <c r="AA444" i="4"/>
  <c r="X445" i="4" s="1"/>
  <c r="Y445" i="4" l="1"/>
  <c r="AA445" i="4"/>
  <c r="O444" i="20"/>
  <c r="U444" i="4"/>
  <c r="N444" i="20" s="1"/>
  <c r="V444" i="4" l="1"/>
  <c r="X446" i="4"/>
  <c r="O445" i="20"/>
  <c r="U445" i="4"/>
  <c r="N445" i="20" s="1"/>
  <c r="Y446" i="4" l="1"/>
  <c r="AA446" i="4"/>
  <c r="V445" i="4"/>
  <c r="X447" i="4" l="1"/>
  <c r="U446" i="4"/>
  <c r="N446" i="20" s="1"/>
  <c r="O446" i="20"/>
  <c r="Y447" i="4" l="1"/>
  <c r="AA447" i="4"/>
  <c r="X448" i="4" s="1"/>
  <c r="V446" i="4"/>
  <c r="AA448" i="4" l="1"/>
  <c r="X449" i="4" s="1"/>
  <c r="Y448" i="4"/>
  <c r="U447" i="4"/>
  <c r="N447" i="20" s="1"/>
  <c r="O447" i="20"/>
  <c r="V447" i="4" l="1"/>
  <c r="U448" i="4"/>
  <c r="N448" i="20" s="1"/>
  <c r="O448" i="20"/>
  <c r="AA449" i="4"/>
  <c r="X450" i="4" s="1"/>
  <c r="Y449" i="4"/>
  <c r="V448" i="4" l="1"/>
  <c r="AA450" i="4"/>
  <c r="X451" i="4" s="1"/>
  <c r="Y450" i="4"/>
  <c r="O449" i="20"/>
  <c r="U449" i="4"/>
  <c r="N449" i="20" s="1"/>
  <c r="O450" i="20" l="1"/>
  <c r="U450" i="4"/>
  <c r="N450" i="20" s="1"/>
  <c r="V449" i="4"/>
  <c r="AA451" i="4"/>
  <c r="X452" i="4" s="1"/>
  <c r="Y451" i="4"/>
  <c r="V450" i="4" l="1"/>
  <c r="AA452" i="4"/>
  <c r="Y452" i="4"/>
  <c r="O451" i="20"/>
  <c r="U451" i="4"/>
  <c r="N451" i="20" s="1"/>
  <c r="V451" i="4" l="1"/>
  <c r="U452" i="4"/>
  <c r="N452" i="20" s="1"/>
  <c r="O452" i="20"/>
  <c r="X453" i="4"/>
  <c r="V452" i="4" l="1"/>
  <c r="Y453" i="4"/>
  <c r="AA453" i="4"/>
  <c r="X454" i="4" s="1"/>
  <c r="AA454" i="4" l="1"/>
  <c r="X455" i="4" s="1"/>
  <c r="Y454" i="4"/>
  <c r="O453" i="20"/>
  <c r="U453" i="4"/>
  <c r="N453" i="20" s="1"/>
  <c r="AA455" i="4" l="1"/>
  <c r="X456" i="4" s="1"/>
  <c r="Y455" i="4"/>
  <c r="U454" i="4"/>
  <c r="N454" i="20" s="1"/>
  <c r="O454" i="20"/>
  <c r="V453" i="4"/>
  <c r="V454" i="4" l="1"/>
  <c r="Y456" i="4"/>
  <c r="AA456" i="4"/>
  <c r="U455" i="4"/>
  <c r="N455" i="20" s="1"/>
  <c r="O455" i="20"/>
  <c r="V455" i="4" l="1"/>
  <c r="X457" i="4"/>
  <c r="O456" i="20"/>
  <c r="U456" i="4"/>
  <c r="N456" i="20" s="1"/>
  <c r="V456" i="4" l="1"/>
  <c r="AA457" i="4"/>
  <c r="X458" i="4" s="1"/>
  <c r="Y457" i="4"/>
  <c r="Y458" i="4" l="1"/>
  <c r="AA458" i="4"/>
  <c r="U457" i="4"/>
  <c r="N457" i="20" s="1"/>
  <c r="O457" i="20"/>
  <c r="X459" i="4" l="1"/>
  <c r="U458" i="4"/>
  <c r="N458" i="20" s="1"/>
  <c r="O458" i="20"/>
  <c r="V457" i="4"/>
  <c r="V458" i="4" l="1"/>
  <c r="AA459" i="4"/>
  <c r="Y459" i="4"/>
  <c r="X460" i="4" l="1"/>
  <c r="O459" i="20"/>
  <c r="U459" i="4"/>
  <c r="N459" i="20" s="1"/>
  <c r="V459" i="4" l="1"/>
  <c r="AA460" i="4"/>
  <c r="X461" i="4" s="1"/>
  <c r="Y460" i="4"/>
  <c r="AA461" i="4" l="1"/>
  <c r="X462" i="4" s="1"/>
  <c r="Y461" i="4"/>
  <c r="U460" i="4"/>
  <c r="N460" i="20" s="1"/>
  <c r="O460" i="20"/>
  <c r="AA462" i="4" l="1"/>
  <c r="Y462" i="4"/>
  <c r="O461" i="20"/>
  <c r="U461" i="4"/>
  <c r="N461" i="20" s="1"/>
  <c r="V460" i="4"/>
  <c r="O462" i="20" l="1"/>
  <c r="U462" i="4"/>
  <c r="N462" i="20" s="1"/>
  <c r="V461" i="4"/>
  <c r="X463" i="4"/>
  <c r="V462" i="4" l="1"/>
  <c r="Y463" i="4"/>
  <c r="AA463" i="4"/>
  <c r="X464" i="4" l="1"/>
  <c r="O463" i="20"/>
  <c r="U463" i="4"/>
  <c r="N463" i="20" s="1"/>
  <c r="V463" i="4" l="1"/>
  <c r="Y464" i="4"/>
  <c r="AA464" i="4"/>
  <c r="X465" i="4" l="1"/>
  <c r="U464" i="4"/>
  <c r="N464" i="20" s="1"/>
  <c r="O464" i="20"/>
  <c r="AA465" i="4" l="1"/>
  <c r="Y465" i="4"/>
  <c r="V464" i="4"/>
  <c r="U465" i="4" l="1"/>
  <c r="N465" i="20" s="1"/>
  <c r="O465" i="20"/>
  <c r="X466" i="4"/>
  <c r="V465" i="4" l="1"/>
  <c r="Y466" i="4"/>
  <c r="AA466" i="4"/>
  <c r="X467" i="4" s="1"/>
  <c r="Y467" i="4" l="1"/>
  <c r="AA467" i="4"/>
  <c r="O466" i="20"/>
  <c r="U466" i="4"/>
  <c r="N466" i="20" s="1"/>
  <c r="X468" i="4" l="1"/>
  <c r="V466" i="4"/>
  <c r="U467" i="4"/>
  <c r="N467" i="20" s="1"/>
  <c r="O467" i="20"/>
  <c r="V467" i="4" l="1"/>
  <c r="AA468" i="4"/>
  <c r="Y468" i="4"/>
  <c r="X469" i="4" l="1"/>
  <c r="U468" i="4"/>
  <c r="N468" i="20" s="1"/>
  <c r="O468" i="20"/>
  <c r="AA469" i="4" l="1"/>
  <c r="X470" i="4" s="1"/>
  <c r="Y469" i="4"/>
  <c r="V468" i="4"/>
  <c r="U469" i="4" l="1"/>
  <c r="N469" i="20" s="1"/>
  <c r="O469" i="20"/>
  <c r="Y470" i="4"/>
  <c r="AA470" i="4"/>
  <c r="V469" i="4" l="1"/>
  <c r="X471" i="4"/>
  <c r="U470" i="4"/>
  <c r="N470" i="20" s="1"/>
  <c r="O470" i="20"/>
  <c r="Y471" i="4" l="1"/>
  <c r="AA471" i="4"/>
  <c r="X472" i="4" s="1"/>
  <c r="V470" i="4"/>
  <c r="Y472" i="4" l="1"/>
  <c r="AA472" i="4"/>
  <c r="X473" i="4" s="1"/>
  <c r="O471" i="20"/>
  <c r="U471" i="4"/>
  <c r="N471" i="20" s="1"/>
  <c r="V471" i="4" l="1"/>
  <c r="Y473" i="4"/>
  <c r="AA473" i="4"/>
  <c r="U472" i="4"/>
  <c r="N472" i="20" s="1"/>
  <c r="O472" i="20"/>
  <c r="X474" i="4" l="1"/>
  <c r="O473" i="20"/>
  <c r="U473" i="4"/>
  <c r="N473" i="20" s="1"/>
  <c r="V472" i="4"/>
  <c r="AA474" i="4" l="1"/>
  <c r="X475" i="4" s="1"/>
  <c r="Y474" i="4"/>
  <c r="V473" i="4"/>
  <c r="Y475" i="4" l="1"/>
  <c r="AA475" i="4"/>
  <c r="X476" i="4" s="1"/>
  <c r="O474" i="20"/>
  <c r="U474" i="4"/>
  <c r="N474" i="20" s="1"/>
  <c r="AA476" i="4" l="1"/>
  <c r="X477" i="4" s="1"/>
  <c r="Y476" i="4"/>
  <c r="V474" i="4"/>
  <c r="O475" i="20"/>
  <c r="U475" i="4"/>
  <c r="N475" i="20" s="1"/>
  <c r="O476" i="20" l="1"/>
  <c r="U476" i="4"/>
  <c r="N476" i="20" s="1"/>
  <c r="AA477" i="4"/>
  <c r="X478" i="4" s="1"/>
  <c r="Y477" i="4"/>
  <c r="V475" i="4"/>
  <c r="V476" i="4" l="1"/>
  <c r="O477" i="20"/>
  <c r="U477" i="4"/>
  <c r="N477" i="20" s="1"/>
  <c r="Y478" i="4"/>
  <c r="AA478" i="4"/>
  <c r="V477" i="4" l="1"/>
  <c r="U478" i="4"/>
  <c r="N478" i="20" s="1"/>
  <c r="O478" i="20"/>
  <c r="X479" i="4"/>
  <c r="V478" i="4" l="1"/>
  <c r="Y479" i="4"/>
  <c r="AA479" i="4"/>
  <c r="X480" i="4" s="1"/>
  <c r="AA480" i="4" l="1"/>
  <c r="X481" i="4" s="1"/>
  <c r="Y480" i="4"/>
  <c r="U479" i="4"/>
  <c r="N479" i="20" s="1"/>
  <c r="O479" i="20"/>
  <c r="AA481" i="4" l="1"/>
  <c r="Y481" i="4"/>
  <c r="U480" i="4"/>
  <c r="N480" i="20" s="1"/>
  <c r="O480" i="20"/>
  <c r="V479" i="4"/>
  <c r="X482" i="4" l="1"/>
  <c r="U481" i="4"/>
  <c r="N481" i="20" s="1"/>
  <c r="O481" i="20"/>
  <c r="V480" i="4"/>
  <c r="V481" i="4" l="1"/>
  <c r="AA482" i="4"/>
  <c r="X483" i="4" s="1"/>
  <c r="Y482" i="4"/>
  <c r="Y483" i="4" l="1"/>
  <c r="AA483" i="4"/>
  <c r="X484" i="4" s="1"/>
  <c r="O482" i="20"/>
  <c r="U482" i="4"/>
  <c r="N482" i="20" s="1"/>
  <c r="V482" i="4" l="1"/>
  <c r="Y484" i="4"/>
  <c r="AA484" i="4"/>
  <c r="O483" i="20"/>
  <c r="U483" i="4"/>
  <c r="N483" i="20" s="1"/>
  <c r="X485" i="4" l="1"/>
  <c r="U484" i="4"/>
  <c r="N484" i="20" s="1"/>
  <c r="O484" i="20"/>
  <c r="V483" i="4"/>
  <c r="V484" i="4" l="1"/>
  <c r="Y485" i="4"/>
  <c r="AA485" i="4"/>
  <c r="U485" i="4" l="1"/>
  <c r="N485" i="20" s="1"/>
  <c r="O485" i="20"/>
  <c r="X486" i="4"/>
  <c r="V485" i="4" l="1"/>
  <c r="Y486" i="4"/>
  <c r="AA486" i="4"/>
  <c r="X487" i="4" s="1"/>
  <c r="AA487" i="4" l="1"/>
  <c r="Y487" i="4"/>
  <c r="U486" i="4"/>
  <c r="N486" i="20" s="1"/>
  <c r="O486" i="20"/>
  <c r="V486" i="4" l="1"/>
  <c r="U487" i="4"/>
  <c r="N487" i="20" s="1"/>
  <c r="O487" i="20"/>
  <c r="X488" i="4"/>
  <c r="V487" i="4" l="1"/>
  <c r="Y488" i="4"/>
  <c r="AA488" i="4"/>
  <c r="X489" i="4" s="1"/>
  <c r="Y489" i="4" l="1"/>
  <c r="AA489" i="4"/>
  <c r="O488" i="20"/>
  <c r="U488" i="4"/>
  <c r="N488" i="20" s="1"/>
  <c r="V488" i="4" l="1"/>
  <c r="X490" i="4"/>
  <c r="U489" i="4"/>
  <c r="N489" i="20" s="1"/>
  <c r="O489" i="20"/>
  <c r="V489" i="4" l="1"/>
  <c r="AA490" i="4"/>
  <c r="Y490" i="4"/>
  <c r="X491" i="4" l="1"/>
  <c r="U490" i="4"/>
  <c r="N490" i="20" s="1"/>
  <c r="O490" i="20"/>
  <c r="V490" i="4" l="1"/>
  <c r="Y491" i="4"/>
  <c r="AA491" i="4"/>
  <c r="X492" i="4" s="1"/>
  <c r="AA492" i="4" l="1"/>
  <c r="X493" i="4" s="1"/>
  <c r="Y492" i="4"/>
  <c r="O491" i="20"/>
  <c r="U491" i="4"/>
  <c r="N491" i="20" s="1"/>
  <c r="AA493" i="4" l="1"/>
  <c r="X494" i="4" s="1"/>
  <c r="Y493" i="4"/>
  <c r="V491" i="4"/>
  <c r="U492" i="4"/>
  <c r="N492" i="20" s="1"/>
  <c r="O492" i="20"/>
  <c r="V492" i="4" l="1"/>
  <c r="O493" i="20"/>
  <c r="U493" i="4"/>
  <c r="N493" i="20" s="1"/>
  <c r="AA494" i="4"/>
  <c r="Y494" i="4"/>
  <c r="V493" i="4" l="1"/>
  <c r="O494" i="20"/>
  <c r="U494" i="4"/>
  <c r="N494" i="20" s="1"/>
  <c r="X495" i="4"/>
  <c r="V494" i="4" l="1"/>
  <c r="AA495" i="4"/>
  <c r="X496" i="4" s="1"/>
  <c r="Y495" i="4"/>
  <c r="O495" i="20" l="1"/>
  <c r="U495" i="4"/>
  <c r="N495" i="20" s="1"/>
  <c r="AA496" i="4"/>
  <c r="X497" i="4" s="1"/>
  <c r="Y496" i="4"/>
  <c r="V495" i="4" l="1"/>
  <c r="Y497" i="4"/>
  <c r="AA497" i="4"/>
  <c r="O496" i="20"/>
  <c r="U496" i="4"/>
  <c r="N496" i="20" s="1"/>
  <c r="V496" i="4" l="1"/>
  <c r="X498" i="4"/>
  <c r="U497" i="4"/>
  <c r="N497" i="20" s="1"/>
  <c r="O497" i="20"/>
  <c r="V497" i="4" l="1"/>
  <c r="AA498" i="4"/>
  <c r="Y498" i="4"/>
  <c r="X499" i="4" l="1"/>
  <c r="U498" i="4"/>
  <c r="N498" i="20" s="1"/>
  <c r="O498" i="20"/>
  <c r="V498" i="4" l="1"/>
  <c r="AA499" i="4"/>
  <c r="Y499" i="4"/>
  <c r="X500" i="4" l="1"/>
  <c r="O499" i="20"/>
  <c r="U499" i="4"/>
  <c r="N499" i="20" s="1"/>
  <c r="V499" i="4" l="1"/>
  <c r="AA500" i="4"/>
  <c r="X501" i="4" s="1"/>
  <c r="Y500" i="4"/>
  <c r="Y501" i="4" l="1"/>
  <c r="AA501" i="4"/>
  <c r="X502" i="4" s="1"/>
  <c r="U500" i="4"/>
  <c r="N500" i="20" s="1"/>
  <c r="O500" i="20"/>
  <c r="O501" i="20" l="1"/>
  <c r="U501" i="4"/>
  <c r="N501" i="20" s="1"/>
  <c r="Y502" i="4"/>
  <c r="AA502" i="4"/>
  <c r="V500" i="4"/>
  <c r="X503" i="4" l="1"/>
  <c r="U502" i="4"/>
  <c r="N502" i="20" s="1"/>
  <c r="O502" i="20"/>
  <c r="V501" i="4"/>
  <c r="V502" i="4" l="1"/>
  <c r="AA503" i="4"/>
  <c r="X504" i="4" s="1"/>
  <c r="Y503" i="4"/>
  <c r="Y504" i="4" l="1"/>
  <c r="AA504" i="4"/>
  <c r="U503" i="4"/>
  <c r="N503" i="20" s="1"/>
  <c r="O503" i="20"/>
  <c r="O504" i="20" l="1"/>
  <c r="U504" i="4"/>
  <c r="N504" i="20" s="1"/>
  <c r="X505" i="4"/>
  <c r="V503" i="4"/>
  <c r="V504" i="4" l="1"/>
  <c r="AA505" i="4"/>
  <c r="X506" i="4" s="1"/>
  <c r="Y505" i="4"/>
  <c r="O505" i="20" l="1"/>
  <c r="U505" i="4"/>
  <c r="N505" i="20" s="1"/>
  <c r="AA506" i="4"/>
  <c r="X507" i="4" s="1"/>
  <c r="Y506" i="4"/>
  <c r="V505" i="4" l="1"/>
  <c r="O506" i="20"/>
  <c r="U506" i="4"/>
  <c r="N506" i="20" s="1"/>
  <c r="AA507" i="4"/>
  <c r="Y507" i="4"/>
  <c r="O507" i="20" l="1"/>
  <c r="U507" i="4"/>
  <c r="N507" i="20" s="1"/>
  <c r="X508" i="4"/>
  <c r="V506" i="4"/>
  <c r="V507" i="4" l="1"/>
  <c r="AA508" i="4"/>
  <c r="Y508" i="4"/>
  <c r="U508" i="4" l="1"/>
  <c r="N508" i="20" s="1"/>
  <c r="O508" i="20"/>
  <c r="X509" i="4"/>
  <c r="V508" i="4" l="1"/>
  <c r="Y509" i="4"/>
  <c r="AA509" i="4"/>
  <c r="X510" i="4" l="1"/>
  <c r="O509" i="20"/>
  <c r="U509" i="4"/>
  <c r="N509" i="20" s="1"/>
  <c r="AA510" i="4" l="1"/>
  <c r="X511" i="4" s="1"/>
  <c r="Y510" i="4"/>
  <c r="V509" i="4"/>
  <c r="U510" i="4" l="1"/>
  <c r="N510" i="20" s="1"/>
  <c r="O510" i="20"/>
  <c r="Y511" i="4"/>
  <c r="AA511" i="4"/>
  <c r="X512" i="4" s="1"/>
  <c r="V510" i="4" l="1"/>
  <c r="U511" i="4"/>
  <c r="N511" i="20" s="1"/>
  <c r="O511" i="20"/>
  <c r="AA512" i="4"/>
  <c r="X513" i="4" s="1"/>
  <c r="Y512" i="4"/>
  <c r="V511" i="4" l="1"/>
  <c r="AA513" i="4"/>
  <c r="X514" i="4" s="1"/>
  <c r="Y513" i="4"/>
  <c r="U512" i="4"/>
  <c r="N512" i="20" s="1"/>
  <c r="O512" i="20"/>
  <c r="V512" i="4" l="1"/>
  <c r="Y514" i="4"/>
  <c r="AA514" i="4"/>
  <c r="X515" i="4" s="1"/>
  <c r="O513" i="20"/>
  <c r="U513" i="4"/>
  <c r="N513" i="20" s="1"/>
  <c r="V513" i="4" l="1"/>
  <c r="Y515" i="4"/>
  <c r="AA515" i="4"/>
  <c r="X516" i="4" s="1"/>
  <c r="U514" i="4"/>
  <c r="N514" i="20" s="1"/>
  <c r="O514" i="20"/>
  <c r="U515" i="4" l="1"/>
  <c r="N515" i="20" s="1"/>
  <c r="O515" i="20"/>
  <c r="Y516" i="4"/>
  <c r="AA516" i="4"/>
  <c r="V514" i="4"/>
  <c r="V515" i="4" l="1"/>
  <c r="X517" i="4"/>
  <c r="U516" i="4"/>
  <c r="N516" i="20" s="1"/>
  <c r="O516" i="20"/>
  <c r="V516" i="4" l="1"/>
  <c r="Y517" i="4"/>
  <c r="AA517" i="4"/>
  <c r="X518" i="4" l="1"/>
  <c r="U517" i="4"/>
  <c r="N517" i="20" s="1"/>
  <c r="O517" i="20"/>
  <c r="AA518" i="4" l="1"/>
  <c r="Y518" i="4"/>
  <c r="V517" i="4"/>
  <c r="O518" i="20" l="1"/>
  <c r="U518" i="4"/>
  <c r="N518" i="20" s="1"/>
  <c r="X519" i="4"/>
  <c r="V518" i="4" l="1"/>
  <c r="AA519" i="4"/>
  <c r="X520" i="4" s="1"/>
  <c r="Y519" i="4"/>
  <c r="U519" i="4" l="1"/>
  <c r="N519" i="20" s="1"/>
  <c r="O519" i="20"/>
  <c r="Y520" i="4"/>
  <c r="AA520" i="4"/>
  <c r="X521" i="4" s="1"/>
  <c r="V519" i="4" l="1"/>
  <c r="Y521" i="4"/>
  <c r="AA521" i="4"/>
  <c r="O520" i="20"/>
  <c r="U520" i="4"/>
  <c r="N520" i="20" s="1"/>
  <c r="X522" i="4" l="1"/>
  <c r="V520" i="4"/>
  <c r="O521" i="20"/>
  <c r="U521" i="4"/>
  <c r="N521" i="20" s="1"/>
  <c r="V521" i="4" l="1"/>
  <c r="Y522" i="4"/>
  <c r="AA522" i="4"/>
  <c r="O522" i="20" l="1"/>
  <c r="U522" i="4"/>
  <c r="N522" i="20" s="1"/>
  <c r="X523" i="4"/>
  <c r="Y523" i="4" l="1"/>
  <c r="AA523" i="4"/>
  <c r="V522" i="4"/>
  <c r="X524" i="4" l="1"/>
  <c r="U523" i="4"/>
  <c r="N523" i="20" s="1"/>
  <c r="O523" i="20"/>
  <c r="Y524" i="4" l="1"/>
  <c r="AA524" i="4"/>
  <c r="X525" i="4" s="1"/>
  <c r="V523" i="4"/>
  <c r="AA525" i="4" l="1"/>
  <c r="X526" i="4" s="1"/>
  <c r="Y525" i="4"/>
  <c r="U524" i="4"/>
  <c r="N524" i="20" s="1"/>
  <c r="O524" i="20"/>
  <c r="V524" i="4" l="1"/>
  <c r="U525" i="4"/>
  <c r="N525" i="20" s="1"/>
  <c r="O525" i="20"/>
  <c r="AA526" i="4"/>
  <c r="X527" i="4" s="1"/>
  <c r="Y526" i="4"/>
  <c r="V525" i="4" l="1"/>
  <c r="U526" i="4"/>
  <c r="N526" i="20" s="1"/>
  <c r="O526" i="20"/>
  <c r="Y527" i="4"/>
  <c r="AA527" i="4"/>
  <c r="V526" i="4" l="1"/>
  <c r="U527" i="4"/>
  <c r="N527" i="20" s="1"/>
  <c r="O527" i="20"/>
  <c r="X528" i="4"/>
  <c r="V527" i="4" l="1"/>
  <c r="Y528" i="4"/>
  <c r="AA528" i="4"/>
  <c r="X529" i="4" s="1"/>
  <c r="AA529" i="4" l="1"/>
  <c r="X530" i="4" s="1"/>
  <c r="Y529" i="4"/>
  <c r="O528" i="20"/>
  <c r="U528" i="4"/>
  <c r="N528" i="20" s="1"/>
  <c r="Y530" i="4" l="1"/>
  <c r="AA530" i="4"/>
  <c r="X531" i="4" s="1"/>
  <c r="V528" i="4"/>
  <c r="O529" i="20"/>
  <c r="U529" i="4"/>
  <c r="N529" i="20" s="1"/>
  <c r="V529" i="4" l="1"/>
  <c r="AA531" i="4"/>
  <c r="X532" i="4" s="1"/>
  <c r="Y531" i="4"/>
  <c r="U530" i="4"/>
  <c r="N530" i="20" s="1"/>
  <c r="O530" i="20"/>
  <c r="AA532" i="4" l="1"/>
  <c r="Y532" i="4"/>
  <c r="U531" i="4"/>
  <c r="N531" i="20" s="1"/>
  <c r="O531" i="20"/>
  <c r="V530" i="4"/>
  <c r="V531" i="4" l="1"/>
  <c r="O532" i="20"/>
  <c r="U532" i="4"/>
  <c r="N532" i="20" s="1"/>
  <c r="X533" i="4"/>
  <c r="V532" i="4" l="1"/>
  <c r="AA533" i="4"/>
  <c r="X534" i="4" s="1"/>
  <c r="Y533" i="4"/>
  <c r="U533" i="4" l="1"/>
  <c r="N533" i="20" s="1"/>
  <c r="O533" i="20"/>
  <c r="Y534" i="4"/>
  <c r="AA534" i="4"/>
  <c r="V533" i="4" l="1"/>
  <c r="X535" i="4"/>
  <c r="U534" i="4"/>
  <c r="N534" i="20" s="1"/>
  <c r="O534" i="20"/>
  <c r="V534" i="4" l="1"/>
  <c r="AA535" i="4"/>
  <c r="Y535" i="4"/>
  <c r="X536" i="4" l="1"/>
  <c r="O535" i="20"/>
  <c r="U535" i="4"/>
  <c r="N535" i="20" s="1"/>
  <c r="V535" i="4" l="1"/>
  <c r="AA536" i="4"/>
  <c r="X537" i="4" s="1"/>
  <c r="Y536" i="4"/>
  <c r="O536" i="20" l="1"/>
  <c r="U536" i="4"/>
  <c r="N536" i="20" s="1"/>
  <c r="AA537" i="4"/>
  <c r="Y537" i="4"/>
  <c r="V536" i="4" l="1"/>
  <c r="X538" i="4"/>
  <c r="U537" i="4"/>
  <c r="N537" i="20" s="1"/>
  <c r="O537" i="20"/>
  <c r="V537" i="4" l="1"/>
  <c r="Y538" i="4"/>
  <c r="AA538" i="4"/>
  <c r="X539" i="4" l="1"/>
  <c r="U538" i="4"/>
  <c r="N538" i="20" s="1"/>
  <c r="O538" i="20"/>
  <c r="V538" i="4" l="1"/>
  <c r="Y539" i="4"/>
  <c r="AA539" i="4"/>
  <c r="X540" i="4" s="1"/>
  <c r="Y540" i="4" l="1"/>
  <c r="AA540" i="4"/>
  <c r="U539" i="4"/>
  <c r="N539" i="20" s="1"/>
  <c r="O539" i="20"/>
  <c r="X541" i="4" l="1"/>
  <c r="V539" i="4"/>
  <c r="U540" i="4"/>
  <c r="N540" i="20" s="1"/>
  <c r="O540" i="20"/>
  <c r="V540" i="4" l="1"/>
  <c r="AA541" i="4"/>
  <c r="Y541" i="4"/>
  <c r="X542" i="4" l="1"/>
  <c r="U541" i="4"/>
  <c r="N541" i="20" s="1"/>
  <c r="O541" i="20"/>
  <c r="V541" i="4" l="1"/>
  <c r="Y542" i="4"/>
  <c r="AA542" i="4"/>
  <c r="X543" i="4" s="1"/>
  <c r="Y543" i="4" l="1"/>
  <c r="AA543" i="4"/>
  <c r="U542" i="4"/>
  <c r="N542" i="20" s="1"/>
  <c r="O542" i="20"/>
  <c r="V542" i="4" l="1"/>
  <c r="X544" i="4"/>
  <c r="O543" i="20"/>
  <c r="U543" i="4"/>
  <c r="N543" i="20" s="1"/>
  <c r="V543" i="4" l="1"/>
  <c r="AA544" i="4"/>
  <c r="X545" i="4" s="1"/>
  <c r="Y544" i="4"/>
  <c r="AA545" i="4" l="1"/>
  <c r="X546" i="4" s="1"/>
  <c r="Y545" i="4"/>
  <c r="O544" i="20"/>
  <c r="U544" i="4"/>
  <c r="N544" i="20" s="1"/>
  <c r="V544" i="4" l="1"/>
  <c r="Y546" i="4"/>
  <c r="AA546" i="4"/>
  <c r="U545" i="4"/>
  <c r="N545" i="20" s="1"/>
  <c r="O545" i="20"/>
  <c r="V545" i="4" l="1"/>
  <c r="X547" i="4"/>
  <c r="O546" i="20"/>
  <c r="U546" i="4"/>
  <c r="N546" i="20" s="1"/>
  <c r="V546" i="4" l="1"/>
  <c r="Y547" i="4"/>
  <c r="AA547" i="4"/>
  <c r="X548" i="4" s="1"/>
  <c r="Y548" i="4" l="1"/>
  <c r="AA548" i="4"/>
  <c r="X549" i="4" s="1"/>
  <c r="O547" i="20"/>
  <c r="U547" i="4"/>
  <c r="N547" i="20" s="1"/>
  <c r="V547" i="4" l="1"/>
  <c r="AA549" i="4"/>
  <c r="Y549" i="4"/>
  <c r="U548" i="4"/>
  <c r="N548" i="20" s="1"/>
  <c r="O548" i="20"/>
  <c r="O549" i="20" l="1"/>
  <c r="U549" i="4"/>
  <c r="N549" i="20" s="1"/>
  <c r="X550" i="4"/>
  <c r="V548" i="4"/>
  <c r="V549" i="4" l="1"/>
  <c r="AA550" i="4"/>
  <c r="X551" i="4" s="1"/>
  <c r="Y550" i="4"/>
  <c r="O550" i="20" l="1"/>
  <c r="U550" i="4"/>
  <c r="N550" i="20" s="1"/>
  <c r="AA551" i="4"/>
  <c r="X552" i="4" s="1"/>
  <c r="Y551" i="4"/>
  <c r="V550" i="4" l="1"/>
  <c r="Y552" i="4"/>
  <c r="AA552" i="4"/>
  <c r="X553" i="4" s="1"/>
  <c r="U551" i="4"/>
  <c r="N551" i="20" s="1"/>
  <c r="O551" i="20"/>
  <c r="AA553" i="4" l="1"/>
  <c r="X554" i="4" s="1"/>
  <c r="Y553" i="4"/>
  <c r="U552" i="4"/>
  <c r="N552" i="20" s="1"/>
  <c r="O552" i="20"/>
  <c r="V551" i="4"/>
  <c r="V552" i="4" l="1"/>
  <c r="O553" i="20"/>
  <c r="U553" i="4"/>
  <c r="N553" i="20" s="1"/>
  <c r="AA554" i="4"/>
  <c r="Y554" i="4"/>
  <c r="V553" i="4" l="1"/>
  <c r="O554" i="20"/>
  <c r="U554" i="4"/>
  <c r="N554" i="20" s="1"/>
  <c r="X555" i="4"/>
  <c r="V554" i="4" l="1"/>
  <c r="Y555" i="4"/>
  <c r="AA555" i="4"/>
  <c r="X556" i="4" s="1"/>
  <c r="AA556" i="4" l="1"/>
  <c r="Y556" i="4"/>
  <c r="U555" i="4"/>
  <c r="N555" i="20" s="1"/>
  <c r="O555" i="20"/>
  <c r="V555" i="4" l="1"/>
  <c r="U556" i="4"/>
  <c r="N556" i="20" s="1"/>
  <c r="O556" i="20"/>
  <c r="X557" i="4"/>
  <c r="V556" i="4" l="1"/>
  <c r="AA557" i="4"/>
  <c r="X558" i="4" s="1"/>
  <c r="Y557" i="4"/>
  <c r="U557" i="4" l="1"/>
  <c r="N557" i="20" s="1"/>
  <c r="O557" i="20"/>
  <c r="AA558" i="4"/>
  <c r="Y558" i="4"/>
  <c r="V557" i="4" l="1"/>
  <c r="X559" i="4"/>
  <c r="U558" i="4"/>
  <c r="N558" i="20" s="1"/>
  <c r="O558" i="20"/>
  <c r="V558" i="4" l="1"/>
  <c r="AA559" i="4"/>
  <c r="Y559" i="4"/>
  <c r="X560" i="4" l="1"/>
  <c r="O559" i="20"/>
  <c r="U559" i="4"/>
  <c r="N559" i="20" s="1"/>
  <c r="V559" i="4" l="1"/>
  <c r="Y560" i="4"/>
  <c r="AA560" i="4"/>
  <c r="U560" i="4" l="1"/>
  <c r="N560" i="20" s="1"/>
  <c r="O560" i="20"/>
  <c r="X561" i="4"/>
  <c r="V560" i="4" l="1"/>
  <c r="Y561" i="4"/>
  <c r="AA561" i="4"/>
  <c r="X562" i="4" l="1"/>
  <c r="O561" i="20"/>
  <c r="U561" i="4"/>
  <c r="N561" i="20" s="1"/>
  <c r="V561" i="4" l="1"/>
  <c r="Y562" i="4"/>
  <c r="AA562" i="4"/>
  <c r="X563" i="4" s="1"/>
  <c r="Y563" i="4" l="1"/>
  <c r="AA563" i="4"/>
  <c r="X564" i="4" s="1"/>
  <c r="O562" i="20"/>
  <c r="U562" i="4"/>
  <c r="N562" i="20" s="1"/>
  <c r="V562" i="4" l="1"/>
  <c r="AA564" i="4"/>
  <c r="X565" i="4" s="1"/>
  <c r="Y564" i="4"/>
  <c r="U563" i="4"/>
  <c r="N563" i="20" s="1"/>
  <c r="O563" i="20"/>
  <c r="AA565" i="4" l="1"/>
  <c r="X566" i="4" s="1"/>
  <c r="Y565" i="4"/>
  <c r="U564" i="4"/>
  <c r="N564" i="20" s="1"/>
  <c r="O564" i="20"/>
  <c r="V563" i="4"/>
  <c r="U565" i="4" l="1"/>
  <c r="N565" i="20" s="1"/>
  <c r="O565" i="20"/>
  <c r="AA566" i="4"/>
  <c r="Y566" i="4"/>
  <c r="V564" i="4"/>
  <c r="V565" i="4" l="1"/>
  <c r="U566" i="4"/>
  <c r="N566" i="20" s="1"/>
  <c r="O566" i="20"/>
  <c r="X567" i="4"/>
  <c r="V566" i="4" l="1"/>
  <c r="AA567" i="4"/>
  <c r="Y567" i="4"/>
  <c r="O567" i="20" l="1"/>
  <c r="U567" i="4"/>
  <c r="N567" i="20" s="1"/>
  <c r="X568" i="4"/>
  <c r="V567" i="4" l="1"/>
  <c r="Y568" i="4"/>
  <c r="AA568" i="4"/>
  <c r="X569" i="4" l="1"/>
  <c r="U568" i="4"/>
  <c r="N568" i="20" s="1"/>
  <c r="O568" i="20"/>
  <c r="Y569" i="4" l="1"/>
  <c r="AA569" i="4"/>
  <c r="V568" i="4"/>
  <c r="X570" i="4" l="1"/>
  <c r="O569" i="20"/>
  <c r="U569" i="4"/>
  <c r="N569" i="20" s="1"/>
  <c r="V569" i="4" l="1"/>
  <c r="AA570" i="4"/>
  <c r="Y570" i="4"/>
  <c r="X571" i="4" l="1"/>
  <c r="O570" i="20"/>
  <c r="U570" i="4"/>
  <c r="N570" i="20" s="1"/>
  <c r="V570" i="4" l="1"/>
  <c r="AA571" i="4"/>
  <c r="X572" i="4" s="1"/>
  <c r="Y571" i="4"/>
  <c r="Y572" i="4" l="1"/>
  <c r="AA572" i="4"/>
  <c r="X573" i="4" s="1"/>
  <c r="O571" i="20"/>
  <c r="U571" i="4"/>
  <c r="N571" i="20" s="1"/>
  <c r="Y573" i="4" l="1"/>
  <c r="AA573" i="4"/>
  <c r="X574" i="4" s="1"/>
  <c r="O572" i="20"/>
  <c r="U572" i="4"/>
  <c r="N572" i="20" s="1"/>
  <c r="V571" i="4"/>
  <c r="V572" i="4" l="1"/>
  <c r="AA574" i="4"/>
  <c r="X575" i="4" s="1"/>
  <c r="Y574" i="4"/>
  <c r="U573" i="4"/>
  <c r="N573" i="20" s="1"/>
  <c r="O573" i="20"/>
  <c r="O574" i="20" l="1"/>
  <c r="U574" i="4"/>
  <c r="N574" i="20" s="1"/>
  <c r="V573" i="4"/>
  <c r="Y575" i="4"/>
  <c r="AA575" i="4"/>
  <c r="V574" i="4" l="1"/>
  <c r="X576" i="4"/>
  <c r="U575" i="4"/>
  <c r="N575" i="20" s="1"/>
  <c r="O575" i="20"/>
  <c r="V575" i="4" l="1"/>
  <c r="AA576" i="4"/>
  <c r="X577" i="4" s="1"/>
  <c r="Y576" i="4"/>
  <c r="O576" i="20" l="1"/>
  <c r="U576" i="4"/>
  <c r="N576" i="20" s="1"/>
  <c r="AA577" i="4"/>
  <c r="X578" i="4" s="1"/>
  <c r="Y577" i="4"/>
  <c r="V576" i="4" l="1"/>
  <c r="Y578" i="4"/>
  <c r="AA578" i="4"/>
  <c r="X579" i="4" s="1"/>
  <c r="U577" i="4"/>
  <c r="N577" i="20" s="1"/>
  <c r="O577" i="20"/>
  <c r="AA579" i="4" l="1"/>
  <c r="Y579" i="4"/>
  <c r="V577" i="4"/>
  <c r="U578" i="4"/>
  <c r="N578" i="20" s="1"/>
  <c r="O578" i="20"/>
  <c r="V578" i="4" l="1"/>
  <c r="O579" i="20"/>
  <c r="U579" i="4"/>
  <c r="N579" i="20" s="1"/>
  <c r="X580" i="4"/>
  <c r="V579" i="4" l="1"/>
  <c r="Y580" i="4"/>
  <c r="AA580" i="4"/>
  <c r="X581" i="4" s="1"/>
  <c r="Y581" i="4" l="1"/>
  <c r="AA581" i="4"/>
  <c r="O580" i="20"/>
  <c r="U580" i="4"/>
  <c r="N580" i="20" s="1"/>
  <c r="V580" i="4" l="1"/>
  <c r="X582" i="4"/>
  <c r="U581" i="4"/>
  <c r="N581" i="20" s="1"/>
  <c r="O581" i="20"/>
  <c r="AA582" i="4" l="1"/>
  <c r="X583" i="4" s="1"/>
  <c r="Y582" i="4"/>
  <c r="V581" i="4"/>
  <c r="Y583" i="4" l="1"/>
  <c r="AA583" i="4"/>
  <c r="U582" i="4"/>
  <c r="N582" i="20" s="1"/>
  <c r="O582" i="20"/>
  <c r="V582" i="4" l="1"/>
  <c r="X584" i="4"/>
  <c r="O583" i="20"/>
  <c r="U583" i="4"/>
  <c r="N583" i="20" s="1"/>
  <c r="V583" i="4" l="1"/>
  <c r="Y584" i="4"/>
  <c r="AA584" i="4"/>
  <c r="U584" i="4" l="1"/>
  <c r="N584" i="20" s="1"/>
  <c r="O584" i="20"/>
  <c r="X585" i="4"/>
  <c r="V584" i="4" l="1"/>
  <c r="Y585" i="4"/>
  <c r="AA585" i="4"/>
  <c r="X586" i="4" l="1"/>
  <c r="O585" i="20"/>
  <c r="U585" i="4"/>
  <c r="N585" i="20" s="1"/>
  <c r="V585" i="4" l="1"/>
  <c r="Y586" i="4"/>
  <c r="AA586" i="4"/>
  <c r="O586" i="20" l="1"/>
  <c r="U586" i="4"/>
  <c r="N586" i="20" s="1"/>
  <c r="X587" i="4"/>
  <c r="V586" i="4" l="1"/>
  <c r="Y587" i="4"/>
  <c r="AA587" i="4"/>
  <c r="X588" i="4" s="1"/>
  <c r="AA588" i="4" l="1"/>
  <c r="X589" i="4" s="1"/>
  <c r="Y588" i="4"/>
  <c r="U587" i="4"/>
  <c r="N587" i="20" s="1"/>
  <c r="O587" i="20"/>
  <c r="V587" i="4" l="1"/>
  <c r="Y589" i="4"/>
  <c r="AA589" i="4"/>
  <c r="U588" i="4"/>
  <c r="N588" i="20" s="1"/>
  <c r="O588" i="20"/>
  <c r="V588" i="4" l="1"/>
  <c r="X590" i="4"/>
  <c r="O589" i="20"/>
  <c r="U589" i="4"/>
  <c r="N589" i="20" s="1"/>
  <c r="V589" i="4" l="1"/>
  <c r="AA590" i="4"/>
  <c r="X591" i="4" s="1"/>
  <c r="Y590" i="4"/>
  <c r="AA591" i="4" l="1"/>
  <c r="Y591" i="4"/>
  <c r="O590" i="20"/>
  <c r="U590" i="4"/>
  <c r="N590" i="20" s="1"/>
  <c r="U591" i="4" l="1"/>
  <c r="N591" i="20" s="1"/>
  <c r="O591" i="20"/>
  <c r="X592" i="4"/>
  <c r="V590" i="4"/>
  <c r="V591" i="4" l="1"/>
  <c r="Y592" i="4"/>
  <c r="AA592" i="4"/>
  <c r="X593" i="4" l="1"/>
  <c r="O592" i="20"/>
  <c r="U592" i="4"/>
  <c r="N592" i="20" s="1"/>
  <c r="AA593" i="4" l="1"/>
  <c r="Y593" i="4"/>
  <c r="V592" i="4"/>
  <c r="U593" i="4" l="1"/>
  <c r="N593" i="20" s="1"/>
  <c r="O593" i="20"/>
  <c r="X594" i="4"/>
  <c r="V593" i="4" l="1"/>
  <c r="AA594" i="4"/>
  <c r="X595" i="4" s="1"/>
  <c r="Y594" i="4"/>
  <c r="U594" i="4" l="1"/>
  <c r="N594" i="20" s="1"/>
  <c r="O594" i="20"/>
  <c r="Y595" i="4"/>
  <c r="AA595" i="4"/>
  <c r="X596" i="4" s="1"/>
  <c r="V594" i="4" l="1"/>
  <c r="AA596" i="4"/>
  <c r="Y596" i="4"/>
  <c r="U595" i="4"/>
  <c r="N595" i="20" s="1"/>
  <c r="O595" i="20"/>
  <c r="V595" i="4" l="1"/>
  <c r="O596" i="20"/>
  <c r="U596" i="4"/>
  <c r="N596" i="20" s="1"/>
  <c r="X597" i="4"/>
  <c r="Y597" i="4" l="1"/>
  <c r="AA597" i="4"/>
  <c r="V596" i="4"/>
  <c r="X598" i="4" l="1"/>
  <c r="U597" i="4"/>
  <c r="N597" i="20" s="1"/>
  <c r="O597" i="20"/>
  <c r="Y598" i="4" l="1"/>
  <c r="AA598" i="4"/>
  <c r="V597" i="4"/>
  <c r="X599" i="4" l="1"/>
  <c r="U598" i="4"/>
  <c r="N598" i="20" s="1"/>
  <c r="O598" i="20"/>
  <c r="Y599" i="4" l="1"/>
  <c r="AA599" i="4"/>
  <c r="V598" i="4"/>
  <c r="X600" i="4" l="1"/>
  <c r="O599" i="20"/>
  <c r="U599" i="4"/>
  <c r="N599" i="20" s="1"/>
  <c r="V599" i="4" l="1"/>
  <c r="AA600" i="4"/>
  <c r="Y600" i="4"/>
  <c r="X601" i="4" l="1"/>
  <c r="U600" i="4"/>
  <c r="N600" i="20" s="1"/>
  <c r="O600" i="20"/>
  <c r="V600" i="4" l="1"/>
  <c r="Y601" i="4"/>
  <c r="AA601" i="4"/>
  <c r="X602" i="4" s="1"/>
  <c r="Y602" i="4" l="1"/>
  <c r="AA602" i="4"/>
  <c r="O601" i="20"/>
  <c r="U601" i="4"/>
  <c r="N601" i="20" s="1"/>
  <c r="V601" i="4" l="1"/>
  <c r="X603" i="4"/>
  <c r="U602" i="4"/>
  <c r="N602" i="20" s="1"/>
  <c r="O602" i="20"/>
  <c r="V602" i="4" l="1"/>
  <c r="Y603" i="4"/>
  <c r="AA603" i="4"/>
  <c r="X604" i="4" s="1"/>
  <c r="AA604" i="4" l="1"/>
  <c r="Y604" i="4"/>
  <c r="U603" i="4"/>
  <c r="N603" i="20" s="1"/>
  <c r="O603" i="20"/>
  <c r="V603" i="4" l="1"/>
  <c r="U604" i="4"/>
  <c r="N604" i="20" s="1"/>
  <c r="O604" i="20"/>
  <c r="X605" i="4"/>
  <c r="AA605" i="4" l="1"/>
  <c r="X606" i="4" s="1"/>
  <c r="Y605" i="4"/>
  <c r="V604" i="4"/>
  <c r="U605" i="4" l="1"/>
  <c r="N605" i="20" s="1"/>
  <c r="O605" i="20"/>
  <c r="AA606" i="4"/>
  <c r="Y606" i="4"/>
  <c r="V605" i="4" l="1"/>
  <c r="U606" i="4"/>
  <c r="N606" i="20" s="1"/>
  <c r="O606" i="20"/>
  <c r="X607" i="4"/>
  <c r="V606" i="4" l="1"/>
  <c r="AA607" i="4"/>
  <c r="Y607" i="4"/>
  <c r="U607" i="4" l="1"/>
  <c r="N607" i="20" s="1"/>
  <c r="O607" i="20"/>
  <c r="X608" i="4"/>
  <c r="V607" i="4" l="1"/>
  <c r="Y608" i="4"/>
  <c r="AA608" i="4"/>
  <c r="X609" i="4" l="1"/>
  <c r="O608" i="20"/>
  <c r="U608" i="4"/>
  <c r="N608" i="20" s="1"/>
  <c r="V608" i="4" l="1"/>
  <c r="Y609" i="4"/>
  <c r="AA609" i="4"/>
  <c r="U609" i="4" l="1"/>
  <c r="N609" i="20" s="1"/>
  <c r="O609" i="20"/>
  <c r="X610" i="4"/>
  <c r="V609" i="4" l="1"/>
  <c r="Y610" i="4"/>
  <c r="AA610" i="4"/>
  <c r="X611" i="4" s="1"/>
  <c r="Y611" i="4" l="1"/>
  <c r="AA611" i="4"/>
  <c r="O610" i="20"/>
  <c r="U610" i="4"/>
  <c r="N610" i="20" s="1"/>
  <c r="X612" i="4" l="1"/>
  <c r="V610" i="4"/>
  <c r="U611" i="4"/>
  <c r="N611" i="20" s="1"/>
  <c r="O611" i="20"/>
  <c r="V611" i="4" l="1"/>
  <c r="AA612" i="4"/>
  <c r="Y612" i="4"/>
  <c r="X613" i="4" l="1"/>
  <c r="O612" i="20"/>
  <c r="U612" i="4"/>
  <c r="N612" i="20" s="1"/>
  <c r="V612" i="4" l="1"/>
  <c r="AA613" i="4"/>
  <c r="Y613" i="4"/>
  <c r="X614" i="4" l="1"/>
  <c r="U613" i="4"/>
  <c r="N613" i="20" s="1"/>
  <c r="O613" i="20"/>
  <c r="V613" i="4" l="1"/>
  <c r="AA614" i="4"/>
  <c r="X615" i="4" s="1"/>
  <c r="Y614" i="4"/>
  <c r="AA615" i="4" l="1"/>
  <c r="Y615" i="4"/>
  <c r="U614" i="4"/>
  <c r="N614" i="20" s="1"/>
  <c r="O614" i="20"/>
  <c r="X616" i="4" l="1"/>
  <c r="O615" i="20"/>
  <c r="U615" i="4"/>
  <c r="N615" i="20" s="1"/>
  <c r="V614" i="4"/>
  <c r="Y616" i="4" l="1"/>
  <c r="AA616" i="4"/>
  <c r="V615" i="4"/>
  <c r="X617" i="4" l="1"/>
  <c r="U616" i="4"/>
  <c r="N616" i="20" s="1"/>
  <c r="O616" i="20"/>
  <c r="V616" i="4" l="1"/>
  <c r="Y617" i="4"/>
  <c r="AA617" i="4"/>
  <c r="O617" i="20" l="1"/>
  <c r="U617" i="4"/>
  <c r="N617" i="20" s="1"/>
  <c r="X618" i="4"/>
  <c r="V617" i="4" l="1"/>
  <c r="AA618" i="4"/>
  <c r="X619" i="4" s="1"/>
  <c r="Y618" i="4"/>
  <c r="O618" i="20" l="1"/>
  <c r="U618" i="4"/>
  <c r="N618" i="20" s="1"/>
  <c r="Y619" i="4"/>
  <c r="AA619" i="4"/>
  <c r="V618" i="4" l="1"/>
  <c r="X620" i="4"/>
  <c r="O619" i="20"/>
  <c r="U619" i="4"/>
  <c r="N619" i="20" s="1"/>
  <c r="V619" i="4" l="1"/>
  <c r="AA620" i="4"/>
  <c r="Y620" i="4"/>
  <c r="O620" i="20" l="1"/>
  <c r="U620" i="4"/>
  <c r="N620" i="20" s="1"/>
  <c r="X621" i="4"/>
  <c r="V620" i="4" l="1"/>
  <c r="AA621" i="4"/>
  <c r="Y621" i="4"/>
  <c r="U621" i="4" l="1"/>
  <c r="N621" i="20" s="1"/>
  <c r="O621" i="20"/>
  <c r="X622" i="4"/>
  <c r="V621" i="4" l="1"/>
  <c r="AA622" i="4"/>
  <c r="Y622" i="4"/>
  <c r="U622" i="4" l="1"/>
  <c r="N622" i="20" s="1"/>
  <c r="O622" i="20"/>
  <c r="X623" i="4"/>
  <c r="V622" i="4" l="1"/>
  <c r="AA623" i="4"/>
  <c r="Y623" i="4"/>
  <c r="U623" i="4" l="1"/>
  <c r="N623" i="20" s="1"/>
  <c r="O623" i="20"/>
  <c r="X624" i="4"/>
  <c r="V623" i="4" l="1"/>
  <c r="AA624" i="4"/>
  <c r="X625" i="4" s="1"/>
  <c r="Y624" i="4"/>
  <c r="U624" i="4" l="1"/>
  <c r="N624" i="20" s="1"/>
  <c r="O624" i="20"/>
  <c r="Y625" i="4"/>
  <c r="AA625" i="4"/>
  <c r="X626" i="4" s="1"/>
  <c r="V624" i="4" l="1"/>
  <c r="U625" i="4"/>
  <c r="N625" i="20" s="1"/>
  <c r="O625" i="20"/>
  <c r="AA626" i="4"/>
  <c r="Y626" i="4"/>
  <c r="V625" i="4" l="1"/>
  <c r="U626" i="4"/>
  <c r="N626" i="20" s="1"/>
  <c r="O626" i="20"/>
  <c r="X627" i="4"/>
  <c r="V626" i="4" l="1"/>
  <c r="Y627" i="4"/>
  <c r="AA627" i="4"/>
  <c r="X628" i="4" l="1"/>
  <c r="O627" i="20"/>
  <c r="U627" i="4"/>
  <c r="N627" i="20" s="1"/>
  <c r="V627" i="4" l="1"/>
  <c r="Y628" i="4"/>
  <c r="AA628" i="4"/>
  <c r="U628" i="4" l="1"/>
  <c r="N628" i="20" s="1"/>
  <c r="O628" i="20"/>
  <c r="X629" i="4"/>
  <c r="V628" i="4" l="1"/>
  <c r="AA629" i="4"/>
  <c r="X630" i="4" s="1"/>
  <c r="Y629" i="4"/>
  <c r="O629" i="20" l="1"/>
  <c r="U629" i="4"/>
  <c r="N629" i="20" s="1"/>
  <c r="Y630" i="4"/>
  <c r="AA630" i="4"/>
  <c r="V629" i="4" l="1"/>
  <c r="X631" i="4"/>
  <c r="O630" i="20"/>
  <c r="U630" i="4"/>
  <c r="N630" i="20" s="1"/>
  <c r="V630" i="4" l="1"/>
  <c r="AA631" i="4"/>
  <c r="X632" i="4" s="1"/>
  <c r="Y631" i="4"/>
  <c r="O631" i="20" l="1"/>
  <c r="U631" i="4"/>
  <c r="N631" i="20" s="1"/>
  <c r="AA632" i="4"/>
  <c r="X633" i="4" s="1"/>
  <c r="Y632" i="4"/>
  <c r="Y633" i="4" l="1"/>
  <c r="AA633" i="4"/>
  <c r="X634" i="4" s="1"/>
  <c r="U632" i="4"/>
  <c r="N632" i="20" s="1"/>
  <c r="O632" i="20"/>
  <c r="V631" i="4"/>
  <c r="AA634" i="4" l="1"/>
  <c r="X635" i="4" s="1"/>
  <c r="Y634" i="4"/>
  <c r="O633" i="20"/>
  <c r="U633" i="4"/>
  <c r="N633" i="20" s="1"/>
  <c r="V632" i="4"/>
  <c r="AA635" i="4" l="1"/>
  <c r="Y635" i="4"/>
  <c r="O634" i="20"/>
  <c r="U634" i="4"/>
  <c r="N634" i="20" s="1"/>
  <c r="V633" i="4"/>
  <c r="V634" i="4" l="1"/>
  <c r="O635" i="20"/>
  <c r="U635" i="4"/>
  <c r="N635" i="20" s="1"/>
  <c r="X636" i="4"/>
  <c r="V635" i="4" l="1"/>
  <c r="AA636" i="4"/>
  <c r="Y636" i="4"/>
  <c r="U636" i="4" l="1"/>
  <c r="N636" i="20" s="1"/>
  <c r="O636" i="20"/>
  <c r="X637" i="4"/>
  <c r="V636" i="4" l="1"/>
  <c r="Y637" i="4"/>
  <c r="AA637" i="4"/>
  <c r="X638" i="4" l="1"/>
  <c r="U637" i="4"/>
  <c r="N637" i="20" s="1"/>
  <c r="O637" i="20"/>
  <c r="Y638" i="4" l="1"/>
  <c r="AA638" i="4"/>
  <c r="V637" i="4"/>
  <c r="X639" i="4" l="1"/>
  <c r="U638" i="4"/>
  <c r="N638" i="20" s="1"/>
  <c r="O638" i="20"/>
  <c r="V638" i="4" l="1"/>
  <c r="AA639" i="4"/>
  <c r="Y639" i="4"/>
  <c r="U639" i="4" l="1"/>
  <c r="N639" i="20" s="1"/>
  <c r="O639" i="20"/>
  <c r="X640" i="4"/>
  <c r="V639" i="4" l="1"/>
  <c r="Y640" i="4"/>
  <c r="AA640" i="4"/>
  <c r="X641" i="4" l="1"/>
  <c r="U640" i="4"/>
  <c r="N640" i="20" s="1"/>
  <c r="O640" i="20"/>
  <c r="Y641" i="4" l="1"/>
  <c r="AA641" i="4"/>
  <c r="V640" i="4"/>
  <c r="X642" i="4" l="1"/>
  <c r="O641" i="20"/>
  <c r="U641" i="4"/>
  <c r="N641" i="20" s="1"/>
  <c r="V641" i="4" l="1"/>
  <c r="AA642" i="4"/>
  <c r="Y642" i="4"/>
  <c r="U642" i="4" l="1"/>
  <c r="N642" i="20" s="1"/>
  <c r="O642" i="20"/>
  <c r="X643" i="4"/>
  <c r="Y643" i="4" l="1"/>
  <c r="AA643" i="4"/>
  <c r="V642" i="4"/>
  <c r="U643" i="4" l="1"/>
  <c r="N643" i="20" s="1"/>
  <c r="O643" i="20"/>
  <c r="X644" i="4"/>
  <c r="Y644" i="4" l="1"/>
  <c r="AA644" i="4"/>
  <c r="X645" i="4" s="1"/>
  <c r="V643" i="4"/>
  <c r="AA645" i="4" l="1"/>
  <c r="Y645" i="4"/>
  <c r="O644" i="20"/>
  <c r="U644" i="4"/>
  <c r="N644" i="20" s="1"/>
  <c r="V644" i="4" l="1"/>
  <c r="U645" i="4"/>
  <c r="N645" i="20" s="1"/>
  <c r="O645" i="20"/>
  <c r="X646" i="4"/>
  <c r="V645" i="4" l="1"/>
  <c r="AA646" i="4"/>
  <c r="Y646" i="4"/>
  <c r="O646" i="20" l="1"/>
  <c r="U646" i="4"/>
  <c r="N646" i="20" s="1"/>
  <c r="X647" i="4"/>
  <c r="V646" i="4" l="1"/>
  <c r="AA647" i="4"/>
  <c r="Y647" i="4"/>
  <c r="U647" i="4" l="1"/>
  <c r="N647" i="20" s="1"/>
  <c r="O647" i="20"/>
  <c r="X648" i="4"/>
  <c r="V647" i="4" l="1"/>
  <c r="Y648" i="4"/>
  <c r="AA648" i="4"/>
  <c r="X649" i="4" l="1"/>
  <c r="U648" i="4"/>
  <c r="N648" i="20" s="1"/>
  <c r="O648" i="20"/>
  <c r="V648" i="4" l="1"/>
  <c r="AA649" i="4"/>
  <c r="Y649" i="4"/>
  <c r="X650" i="4" l="1"/>
  <c r="U649" i="4"/>
  <c r="N649" i="20" s="1"/>
  <c r="O649" i="20"/>
  <c r="V649" i="4" l="1"/>
  <c r="AA650" i="4"/>
  <c r="Y650" i="4"/>
  <c r="X651" i="4" l="1"/>
  <c r="O650" i="20"/>
  <c r="U650" i="4"/>
  <c r="N650" i="20" s="1"/>
  <c r="V650" i="4" l="1"/>
  <c r="Y651" i="4"/>
  <c r="AA651" i="4"/>
  <c r="O651" i="20" l="1"/>
  <c r="U651" i="4"/>
  <c r="N651" i="20" s="1"/>
  <c r="X652" i="4"/>
  <c r="V651" i="4" l="1"/>
  <c r="Y652" i="4"/>
  <c r="AA652" i="4"/>
  <c r="X653" i="4" l="1"/>
  <c r="O652" i="20"/>
  <c r="U652" i="4"/>
  <c r="N652" i="20" s="1"/>
  <c r="V652" i="4" l="1"/>
  <c r="AA653" i="4"/>
  <c r="Y653" i="4"/>
  <c r="O653" i="20" l="1"/>
  <c r="U653" i="4"/>
  <c r="N653" i="20" s="1"/>
  <c r="X654" i="4"/>
  <c r="V653" i="4" l="1"/>
  <c r="AA654" i="4"/>
  <c r="X655" i="4" s="1"/>
  <c r="Y654" i="4"/>
  <c r="O654" i="20" l="1"/>
  <c r="U654" i="4"/>
  <c r="N654" i="20" s="1"/>
  <c r="Y655" i="4"/>
  <c r="AA655" i="4"/>
  <c r="V654" i="4" l="1"/>
  <c r="X656" i="4"/>
  <c r="U655" i="4"/>
  <c r="N655" i="20" s="1"/>
  <c r="O655" i="20"/>
  <c r="V655" i="4" l="1"/>
  <c r="Y656" i="4"/>
  <c r="AA656" i="4"/>
  <c r="X657" i="4" l="1"/>
  <c r="O656" i="20"/>
  <c r="U656" i="4"/>
  <c r="N656" i="20" s="1"/>
  <c r="V656" i="4" l="1"/>
  <c r="AA657" i="4"/>
  <c r="X658" i="4" s="1"/>
  <c r="Y657" i="4"/>
  <c r="Y658" i="4" l="1"/>
  <c r="AA658" i="4"/>
  <c r="O657" i="20"/>
  <c r="U657" i="4"/>
  <c r="N657" i="20" s="1"/>
  <c r="X659" i="4" l="1"/>
  <c r="U658" i="4"/>
  <c r="N658" i="20" s="1"/>
  <c r="O658" i="20"/>
  <c r="V657" i="4"/>
  <c r="V658" i="4" l="1"/>
  <c r="Y659" i="4"/>
  <c r="AA659" i="4"/>
  <c r="O659" i="20" l="1"/>
  <c r="U659" i="4"/>
  <c r="N659" i="20" s="1"/>
  <c r="X660" i="4"/>
  <c r="V659" i="4" l="1"/>
  <c r="AA660" i="4"/>
  <c r="X661" i="4" s="1"/>
  <c r="Y660" i="4"/>
  <c r="O660" i="20" l="1"/>
  <c r="U660" i="4"/>
  <c r="N660" i="20" s="1"/>
  <c r="Y661" i="4"/>
  <c r="AA661" i="4"/>
  <c r="X662" i="4" s="1"/>
  <c r="Y662" i="4" l="1"/>
  <c r="AA662" i="4"/>
  <c r="V660" i="4"/>
  <c r="U661" i="4"/>
  <c r="N661" i="20" s="1"/>
  <c r="O661" i="20"/>
  <c r="V661" i="4" l="1"/>
  <c r="X663" i="4"/>
  <c r="O662" i="20"/>
  <c r="U662" i="4"/>
  <c r="N662" i="20" s="1"/>
  <c r="AA663" i="4" l="1"/>
  <c r="Y663" i="4"/>
  <c r="V662" i="4"/>
  <c r="O663" i="20" l="1"/>
  <c r="U663" i="4"/>
  <c r="N663" i="20" s="1"/>
  <c r="X664" i="4"/>
  <c r="AA664" i="4" l="1"/>
  <c r="Y664" i="4"/>
  <c r="V663" i="4"/>
  <c r="U664" i="4" l="1"/>
  <c r="N664" i="20" s="1"/>
  <c r="O664" i="20"/>
  <c r="X665" i="4"/>
  <c r="V664" i="4" l="1"/>
  <c r="AA665" i="4"/>
  <c r="Y665" i="4"/>
  <c r="O665" i="20" l="1"/>
  <c r="U665" i="4"/>
  <c r="N665" i="20" s="1"/>
  <c r="X666" i="4"/>
  <c r="V665" i="4" l="1"/>
  <c r="Y666" i="4"/>
  <c r="AA666" i="4"/>
  <c r="X667" i="4" l="1"/>
  <c r="O666" i="20"/>
  <c r="U666" i="4"/>
  <c r="N666" i="20" s="1"/>
  <c r="V666" i="4" l="1"/>
  <c r="AA667" i="4"/>
  <c r="Y667" i="4"/>
  <c r="X668" i="4" l="1"/>
  <c r="U667" i="4"/>
  <c r="N667" i="20" s="1"/>
  <c r="O667" i="20"/>
  <c r="V667" i="4" l="1"/>
  <c r="Y668" i="4"/>
  <c r="AA668" i="4"/>
  <c r="U668" i="4" l="1"/>
  <c r="N668" i="20" s="1"/>
  <c r="O668" i="20"/>
  <c r="X669" i="4"/>
  <c r="V668" i="4" l="1"/>
  <c r="Y669" i="4"/>
  <c r="AA669" i="4"/>
  <c r="X670" i="4" l="1"/>
  <c r="U669" i="4"/>
  <c r="N669" i="20" s="1"/>
  <c r="O669" i="20"/>
  <c r="V669" i="4" l="1"/>
  <c r="AA670" i="4"/>
  <c r="X671" i="4" s="1"/>
  <c r="Y670" i="4"/>
  <c r="U670" i="4" l="1"/>
  <c r="N670" i="20" s="1"/>
  <c r="O670" i="20"/>
  <c r="Y671" i="4"/>
  <c r="AA671" i="4"/>
  <c r="V670" i="4" l="1"/>
  <c r="U671" i="4"/>
  <c r="N671" i="20" s="1"/>
  <c r="O671" i="20"/>
  <c r="X672" i="4"/>
  <c r="Y672" i="4" l="1"/>
  <c r="AA672" i="4"/>
  <c r="V671" i="4"/>
  <c r="X673" i="4" l="1"/>
  <c r="U672" i="4"/>
  <c r="N672" i="20" s="1"/>
  <c r="O672" i="20"/>
  <c r="AA673" i="4" l="1"/>
  <c r="Y673" i="4"/>
  <c r="V672" i="4"/>
  <c r="U673" i="4" l="1"/>
  <c r="N673" i="20" s="1"/>
  <c r="O673" i="20"/>
  <c r="X674" i="4"/>
  <c r="V673" i="4" l="1"/>
  <c r="AA674" i="4"/>
  <c r="X675" i="4" s="1"/>
  <c r="Y674" i="4"/>
  <c r="U674" i="4" l="1"/>
  <c r="N674" i="20" s="1"/>
  <c r="O674" i="20"/>
  <c r="Y675" i="4"/>
  <c r="AA675" i="4"/>
  <c r="V674" i="4" l="1"/>
  <c r="X676" i="4"/>
  <c r="U675" i="4"/>
  <c r="N675" i="20" s="1"/>
  <c r="O675" i="20"/>
  <c r="V675" i="4" l="1"/>
  <c r="AA676" i="4"/>
  <c r="X677" i="4" s="1"/>
  <c r="Y676" i="4"/>
  <c r="Y677" i="4" l="1"/>
  <c r="AA677" i="4"/>
  <c r="U676" i="4"/>
  <c r="N676" i="20" s="1"/>
  <c r="O676" i="20"/>
  <c r="X678" i="4" l="1"/>
  <c r="O677" i="20"/>
  <c r="U677" i="4"/>
  <c r="N677" i="20" s="1"/>
  <c r="V676" i="4"/>
  <c r="V677" i="4" l="1"/>
  <c r="AA678" i="4"/>
  <c r="Y678" i="4"/>
  <c r="U678" i="4" l="1"/>
  <c r="N678" i="20" s="1"/>
  <c r="O678" i="20"/>
  <c r="X679" i="4"/>
  <c r="AA679" i="4" l="1"/>
  <c r="X680" i="4" s="1"/>
  <c r="Y679" i="4"/>
  <c r="V678" i="4"/>
  <c r="Y680" i="4" l="1"/>
  <c r="AA680" i="4"/>
  <c r="U679" i="4"/>
  <c r="N679" i="20" s="1"/>
  <c r="O679" i="20"/>
  <c r="V679" i="4" l="1"/>
  <c r="X681" i="4"/>
  <c r="U680" i="4"/>
  <c r="N680" i="20" s="1"/>
  <c r="O680" i="20"/>
  <c r="V680" i="4" l="1"/>
  <c r="Y681" i="4"/>
  <c r="AA681" i="4"/>
  <c r="X682" i="4" l="1"/>
  <c r="O681" i="20"/>
  <c r="U681" i="4"/>
  <c r="N681" i="20" s="1"/>
  <c r="AA682" i="4" l="1"/>
  <c r="X683" i="4" s="1"/>
  <c r="Y682" i="4"/>
  <c r="V681" i="4"/>
  <c r="U682" i="4" l="1"/>
  <c r="N682" i="20" s="1"/>
  <c r="O682" i="20"/>
  <c r="AA683" i="4"/>
  <c r="X684" i="4" s="1"/>
  <c r="Y683" i="4"/>
  <c r="V682" i="4" l="1"/>
  <c r="O683" i="20"/>
  <c r="U683" i="4"/>
  <c r="N683" i="20" s="1"/>
  <c r="AA684" i="4"/>
  <c r="Y684" i="4"/>
  <c r="V683" i="4" l="1"/>
  <c r="O684" i="20"/>
  <c r="U684" i="4"/>
  <c r="N684" i="20" s="1"/>
  <c r="X685" i="4"/>
  <c r="V684" i="4" l="1"/>
  <c r="AA685" i="4"/>
  <c r="X686" i="4" s="1"/>
  <c r="Y685" i="4"/>
  <c r="AA686" i="4" l="1"/>
  <c r="X687" i="4" s="1"/>
  <c r="Y686" i="4"/>
  <c r="U685" i="4"/>
  <c r="N685" i="20" s="1"/>
  <c r="O685" i="20"/>
  <c r="V685" i="4" l="1"/>
  <c r="O686" i="20"/>
  <c r="U686" i="4"/>
  <c r="N686" i="20" s="1"/>
  <c r="AA687" i="4"/>
  <c r="X688" i="4" s="1"/>
  <c r="Y687" i="4"/>
  <c r="V686" i="4" l="1"/>
  <c r="U687" i="4"/>
  <c r="N687" i="20" s="1"/>
  <c r="O687" i="20"/>
  <c r="Y688" i="4"/>
  <c r="AA688" i="4"/>
  <c r="V687" i="4" l="1"/>
  <c r="X689" i="4"/>
  <c r="O688" i="20"/>
  <c r="U688" i="4"/>
  <c r="N688" i="20" s="1"/>
  <c r="Y689" i="4" l="1"/>
  <c r="AA689" i="4"/>
  <c r="X690" i="4" s="1"/>
  <c r="V688" i="4"/>
  <c r="Y690" i="4" l="1"/>
  <c r="AA690" i="4"/>
  <c r="U689" i="4"/>
  <c r="N689" i="20" s="1"/>
  <c r="O689" i="20"/>
  <c r="V689" i="4" l="1"/>
  <c r="X691" i="4"/>
  <c r="O690" i="20"/>
  <c r="U690" i="4"/>
  <c r="N690" i="20" s="1"/>
  <c r="Y691" i="4" l="1"/>
  <c r="AA691" i="4"/>
  <c r="X692" i="4" s="1"/>
  <c r="V690" i="4"/>
  <c r="Y692" i="4" l="1"/>
  <c r="AA692" i="4"/>
  <c r="X693" i="4" s="1"/>
  <c r="O691" i="20"/>
  <c r="U691" i="4"/>
  <c r="N691" i="20" s="1"/>
  <c r="AA693" i="4" l="1"/>
  <c r="X694" i="4" s="1"/>
  <c r="Y693" i="4"/>
  <c r="V691" i="4"/>
  <c r="U692" i="4"/>
  <c r="N692" i="20" s="1"/>
  <c r="O692" i="20"/>
  <c r="V692" i="4" l="1"/>
  <c r="Y694" i="4"/>
  <c r="AA694" i="4"/>
  <c r="O693" i="20"/>
  <c r="U693" i="4"/>
  <c r="N693" i="20" s="1"/>
  <c r="V693" i="4" l="1"/>
  <c r="X695" i="4"/>
  <c r="O694" i="20"/>
  <c r="U694" i="4"/>
  <c r="N694" i="20" s="1"/>
  <c r="V694" i="4" l="1"/>
  <c r="Y695" i="4"/>
  <c r="AA695" i="4"/>
  <c r="X696" i="4" l="1"/>
  <c r="O695" i="20"/>
  <c r="U695" i="4"/>
  <c r="N695" i="20" s="1"/>
  <c r="Y696" i="4" l="1"/>
  <c r="AA696" i="4"/>
  <c r="X697" i="4" s="1"/>
  <c r="V695" i="4"/>
  <c r="AA697" i="4" l="1"/>
  <c r="X698" i="4" s="1"/>
  <c r="Y697" i="4"/>
  <c r="U696" i="4"/>
  <c r="N696" i="20" s="1"/>
  <c r="O696" i="20"/>
  <c r="V696" i="4" l="1"/>
  <c r="O697" i="20"/>
  <c r="U697" i="4"/>
  <c r="N697" i="20" s="1"/>
  <c r="Y698" i="4"/>
  <c r="AA698" i="4"/>
  <c r="V697" i="4" l="1"/>
  <c r="X699" i="4"/>
  <c r="O698" i="20"/>
  <c r="U698" i="4"/>
  <c r="N698" i="20" s="1"/>
  <c r="V698" i="4" l="1"/>
  <c r="AA699" i="4"/>
  <c r="X700" i="4" s="1"/>
  <c r="Y699" i="4"/>
  <c r="AA700" i="4" l="1"/>
  <c r="Y700" i="4"/>
  <c r="U699" i="4"/>
  <c r="N699" i="20" s="1"/>
  <c r="O699" i="20"/>
  <c r="O700" i="20" l="1"/>
  <c r="U700" i="4"/>
  <c r="N700" i="20" s="1"/>
  <c r="AA3" i="4"/>
  <c r="V699" i="4"/>
  <c r="V700" i="4" l="1"/>
  <c r="G95" i="1" l="1"/>
  <c r="G92" i="1" l="1"/>
  <c r="H92" i="1" s="1"/>
  <c r="G93" i="1"/>
  <c r="H93" i="1" s="1"/>
  <c r="G89" i="1"/>
  <c r="G91" i="1"/>
  <c r="G94" i="1"/>
  <c r="H94" i="1" s="1"/>
  <c r="G90" i="1"/>
  <c r="G88" i="1"/>
  <c r="H95" i="1"/>
  <c r="H96" i="1" l="1"/>
  <c r="G96" i="1"/>
  <c r="F12" i="25" l="1"/>
  <c r="F13" i="25" s="1"/>
  <c r="I96" i="1"/>
  <c r="J96" i="1" s="1"/>
  <c r="F14" i="25" l="1"/>
  <c r="F15"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8" authorId="0" shapeId="0" xr:uid="{00000000-0006-0000-0500-000001000000}">
      <text>
        <r>
          <rPr>
            <b/>
            <sz val="9"/>
            <color indexed="81"/>
            <rFont val="Segoe UI"/>
            <family val="2"/>
          </rPr>
          <t>GEABE:</t>
        </r>
        <r>
          <rPr>
            <sz val="9"/>
            <color indexed="81"/>
            <rFont val="Segoe UI"/>
            <family val="2"/>
          </rPr>
          <t xml:space="preserve">
Elegibilidade após 5 anos de contribuição ao Funpresp-EXE. Condição desconsiderada para fins do simulador de migração.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8" authorId="0" shapeId="0" xr:uid="{00000000-0006-0000-0600-000001000000}">
      <text>
        <r>
          <rPr>
            <b/>
            <sz val="9"/>
            <color indexed="81"/>
            <rFont val="Segoe UI"/>
            <family val="2"/>
          </rPr>
          <t>Autor:</t>
        </r>
        <r>
          <rPr>
            <sz val="9"/>
            <color indexed="81"/>
            <rFont val="Segoe UI"/>
            <family val="2"/>
          </rPr>
          <t xml:space="preserve">
retirado esse trecho inicial da fórmula:
SE(OU(Preencher_Dados!I13&lt;PREMISSAS!$D$9;E(C9="SIM";Preencher_Dados!I13&lt;PREMISSAS!$D$11));
MÍNIMO(PREMISSAS!$H$117;PREMISSA_TETO);</t>
        </r>
      </text>
    </comment>
  </commentList>
</comments>
</file>

<file path=xl/sharedStrings.xml><?xml version="1.0" encoding="utf-8"?>
<sst xmlns="http://schemas.openxmlformats.org/spreadsheetml/2006/main" count="950" uniqueCount="375">
  <si>
    <t>NOME</t>
  </si>
  <si>
    <t>DATA DE NASCIMENTO</t>
  </si>
  <si>
    <t>SEXO</t>
  </si>
  <si>
    <t>REMUNERAÇÃO</t>
  </si>
  <si>
    <t>DATA DA SIMULAÇÃO</t>
  </si>
  <si>
    <t>IDADE DE AP.</t>
  </si>
  <si>
    <t>M</t>
  </si>
  <si>
    <t>F</t>
  </si>
  <si>
    <t>TEMPO DE CONTR.</t>
  </si>
  <si>
    <t>APOSENTADORIA POR TEMPO DE CONTRIBUIÇÃO</t>
  </si>
  <si>
    <t>APOSENTADORIA POR IDADE</t>
  </si>
  <si>
    <t>EC 41/2003</t>
  </si>
  <si>
    <t>PROFESSOR ENSINO FUNDAMENTAL OU MÉDIO?</t>
  </si>
  <si>
    <t>TETO RGPS</t>
  </si>
  <si>
    <t>SALÁRIO MÍNIMO</t>
  </si>
  <si>
    <t>POSSUI TEMPO ANTERIOR NO RGPS?</t>
  </si>
  <si>
    <t>ANOS</t>
  </si>
  <si>
    <t>MESES</t>
  </si>
  <si>
    <t>SIM</t>
  </si>
  <si>
    <t>NÃO</t>
  </si>
  <si>
    <t>INFORMAÇÕES DE ENTRADA</t>
  </si>
  <si>
    <t>DATA</t>
  </si>
  <si>
    <t>DATAS DE TRANSIÇÃO DE LEGISLAÇÃO</t>
  </si>
  <si>
    <t>INFORMAÇÕES FINANCEIRAS</t>
  </si>
  <si>
    <t>INFORMAÇÕE UTILZIADAS NA SIMULAÇÃO</t>
  </si>
  <si>
    <t>CRÍTÉRIOS DE APOSENTADORIA NO RPPS</t>
  </si>
  <si>
    <t>TABELA DE TRIBUTAÇÃO</t>
  </si>
  <si>
    <t>TABELA REGRESSIVA</t>
  </si>
  <si>
    <t>TABELA PROGRESSIVA</t>
  </si>
  <si>
    <t>BASE DE CÁLCULO ANUAL EM R$</t>
  </si>
  <si>
    <t>BASE DE CÁLCULO MENSAL EM R$</t>
  </si>
  <si>
    <t>ALÍQUOTA %</t>
  </si>
  <si>
    <t>+ que 55.976,16</t>
  </si>
  <si>
    <t>+ que 4.664,68</t>
  </si>
  <si>
    <t>PRAZO (anos) até</t>
  </si>
  <si>
    <t>CRESIMENTO SALARIAL</t>
  </si>
  <si>
    <t>TAXA DE CRESCIMENTO ANUAL</t>
  </si>
  <si>
    <t>PROJEÇÃO DA REMUNERAÇÃO</t>
  </si>
  <si>
    <t>REMUNERAÇÃO PERÍODO INTEGRAL</t>
  </si>
  <si>
    <t>REMUNERAÇÃO ATUALIZADA</t>
  </si>
  <si>
    <t>IPCA</t>
  </si>
  <si>
    <t>FATOR</t>
  </si>
  <si>
    <t>FATOR ACUMULADO</t>
  </si>
  <si>
    <r>
      <rPr>
        <b/>
        <sz val="11"/>
        <color theme="1"/>
        <rFont val="Calibri"/>
        <family val="2"/>
      </rPr>
      <t>∑</t>
    </r>
    <r>
      <rPr>
        <b/>
        <sz val="11"/>
        <color theme="1"/>
        <rFont val="Calibri"/>
        <family val="2"/>
        <scheme val="minor"/>
      </rPr>
      <t xml:space="preserve"> 80%</t>
    </r>
    <r>
      <rPr>
        <b/>
        <sz val="8"/>
        <color theme="1"/>
        <rFont val="Calibri"/>
        <family val="2"/>
        <scheme val="minor"/>
      </rPr>
      <t>maiores salários/n</t>
    </r>
  </si>
  <si>
    <t>PROJEÇÃO COM PERMENÊNCIA NO RPPS</t>
  </si>
  <si>
    <t>REMUNERAÇÃO ATUAL</t>
  </si>
  <si>
    <t>REMUNERAÇÃO NA DATA DA APOSENTADORIA</t>
  </si>
  <si>
    <t>IDADE</t>
  </si>
  <si>
    <t>IDADE NA APOSENTADORIA</t>
  </si>
  <si>
    <t>OPÇÃO DE MIGRAÇÃO ENTRE REGIMES</t>
  </si>
  <si>
    <t>BENEFÍCIO PROJETADO</t>
  </si>
  <si>
    <t>INTEGRAL</t>
  </si>
  <si>
    <t>CONTRIBUIÇÃO SOBRE BENEFÍCIO</t>
  </si>
  <si>
    <t>% DE CONTRIBUIÇÃO SOBRE BENEFÍCIO</t>
  </si>
  <si>
    <t>IMPOSTO DE RENDA TABELA PROGRESSIVA</t>
  </si>
  <si>
    <t>Parcela a Deduzir do IR (R$)</t>
  </si>
  <si>
    <t>BENEFÍCIO LÍQUIDO DE CONTRIBUIÇÃO</t>
  </si>
  <si>
    <t>BENEFÍCIO LÍQUIDO DE IR</t>
  </si>
  <si>
    <t>EC 20/1998</t>
  </si>
  <si>
    <t>PRÉ EC 20/1998</t>
  </si>
  <si>
    <t>AP VOLUNTÁRIA</t>
  </si>
  <si>
    <t>PROVENTOS INTEGRAIS</t>
  </si>
  <si>
    <t>35/30 ANOS DE CONTRIBUIÇÃO</t>
  </si>
  <si>
    <t>REQUISITO:</t>
  </si>
  <si>
    <t>CÁLCULO DOS PROVENTOS:</t>
  </si>
  <si>
    <t>INTEGRALIDADE DA REMUNERAÇÃO RECEBIDA</t>
  </si>
  <si>
    <t>PROVENTOS PROPORCIONAIS AO TEMPO DE SERVIÇO</t>
  </si>
  <si>
    <t>30/25 ANOS DE CONTRIBUIÇÃO</t>
  </si>
  <si>
    <t>INTEGRALIDADE DA REMUNERAÇÃO RECEBIDA, PROPORCIONAL AO TEMPO DE CONTRIBUIÇÃO</t>
  </si>
  <si>
    <t>IDADE, PROVENTOS PROPORCIONAIS AO TEMPO DE SERVIÇO</t>
  </si>
  <si>
    <t>65/60 ANOS</t>
  </si>
  <si>
    <t>REGRA DE TRANSIÇÃO EC 20/1998</t>
  </si>
  <si>
    <t>53/48 ANOS</t>
  </si>
  <si>
    <t>60/55 ANOS</t>
  </si>
  <si>
    <t>5 ANOS DE EFETIVO EXERCÍCIO NO CARGO</t>
  </si>
  <si>
    <t>10 ANOS DE EFETIVO EXERCÍCIO NO SERVIÇO PÚBLICO</t>
  </si>
  <si>
    <r>
      <t>35/30 ANOS DE CONTRIBUIÇÃO +</t>
    </r>
    <r>
      <rPr>
        <sz val="11"/>
        <color rgb="FFFF0000"/>
        <rFont val="Calibri"/>
        <family val="2"/>
        <scheme val="minor"/>
      </rPr>
      <t xml:space="preserve"> 20%(35/30 - TC)</t>
    </r>
  </si>
  <si>
    <r>
      <t>30/25 ANOS DE CONTRIBUIÇÃO +</t>
    </r>
    <r>
      <rPr>
        <sz val="11"/>
        <color rgb="FFFF0000"/>
        <rFont val="Calibri"/>
        <family val="2"/>
        <scheme val="minor"/>
      </rPr>
      <t xml:space="preserve"> 40%(30/25 - TC)</t>
    </r>
  </si>
  <si>
    <r>
      <rPr>
        <sz val="11"/>
        <color rgb="FFFF0000"/>
        <rFont val="Calibri"/>
        <family val="2"/>
        <scheme val="minor"/>
      </rPr>
      <t>70%</t>
    </r>
    <r>
      <rPr>
        <sz val="11"/>
        <color theme="1"/>
        <rFont val="Calibri"/>
        <family val="2"/>
        <scheme val="minor"/>
      </rPr>
      <t xml:space="preserve"> REMUNERAÇÃO RECEBIDA </t>
    </r>
    <r>
      <rPr>
        <sz val="11"/>
        <color rgb="FFFF0000"/>
        <rFont val="Calibri"/>
        <family val="2"/>
        <scheme val="minor"/>
      </rPr>
      <t>+ 1%*TC</t>
    </r>
  </si>
  <si>
    <r>
      <t xml:space="preserve">PROVENTOS PROPORCIONAIS AO TEMPO DE </t>
    </r>
    <r>
      <rPr>
        <b/>
        <sz val="11"/>
        <color rgb="FFFF0000"/>
        <rFont val="Calibri"/>
        <family val="2"/>
        <scheme val="minor"/>
      </rPr>
      <t>CONTRIBUIÇÃO</t>
    </r>
  </si>
  <si>
    <t>NORMA</t>
  </si>
  <si>
    <t>PUBLICAÇÃO</t>
  </si>
  <si>
    <t>VIGÊNCIA</t>
  </si>
  <si>
    <t>REGRA PÓS EC 20/1998</t>
  </si>
  <si>
    <t>MÊS</t>
  </si>
  <si>
    <t>PLANO REAL</t>
  </si>
  <si>
    <t>REGRA:</t>
  </si>
  <si>
    <t>CÁLCULO PROVENTOS</t>
  </si>
  <si>
    <r>
      <rPr>
        <sz val="11"/>
        <color rgb="FFFF0000"/>
        <rFont val="Calibri"/>
        <family val="2"/>
        <scheme val="minor"/>
      </rPr>
      <t>70%</t>
    </r>
    <r>
      <rPr>
        <sz val="11"/>
        <color theme="1"/>
        <rFont val="Calibri"/>
        <family val="2"/>
        <scheme val="minor"/>
      </rPr>
      <t xml:space="preserve"> REMUNERAÇÃO RECEBIDA </t>
    </r>
    <r>
      <rPr>
        <sz val="11"/>
        <color rgb="FFFF0000"/>
        <rFont val="Calibri"/>
        <family val="2"/>
        <scheme val="minor"/>
      </rPr>
      <t>+ 5%*(TC-30/25) + PEDÁGIO</t>
    </r>
  </si>
  <si>
    <t>MÉDIA DAS 80% MAIORES REMUNERAÇÕES (PÓS 07/1994) * TC/(30/35)</t>
  </si>
  <si>
    <t>REGRA PÓS EC 41/2003</t>
  </si>
  <si>
    <t>REGRA DE TRANSIÇÃO EC 41/2003</t>
  </si>
  <si>
    <t>(ALTERA A TRANSIÇÃO DA EC 20/1998)</t>
  </si>
  <si>
    <t>MÉDIA DAS 80% MAIORES REMUNERAÇÕES (PÓS 07/1994)</t>
  </si>
  <si>
    <r>
      <t>35/30 ANOS DE CONTRIBUIÇÃO +</t>
    </r>
    <r>
      <rPr>
        <sz val="11"/>
        <rFont val="Calibri"/>
        <family val="2"/>
        <scheme val="minor"/>
      </rPr>
      <t xml:space="preserve"> (20%</t>
    </r>
    <r>
      <rPr>
        <sz val="11"/>
        <color rgb="FFFF0000"/>
        <rFont val="Calibri"/>
        <family val="2"/>
        <scheme val="minor"/>
      </rPr>
      <t>-3,5%/5%</t>
    </r>
    <r>
      <rPr>
        <sz val="11"/>
        <rFont val="Calibri"/>
        <family val="2"/>
        <scheme val="minor"/>
      </rPr>
      <t>)*(35/30 - TC)</t>
    </r>
  </si>
  <si>
    <t>90/85 (TC+IDADE)</t>
  </si>
  <si>
    <t>REGRA PÓS LEI 12.618/2012</t>
  </si>
  <si>
    <t>(FUNPRESP)</t>
  </si>
  <si>
    <t>PRÉ EC 41/2003</t>
  </si>
  <si>
    <t>LEI 12.618</t>
  </si>
  <si>
    <r>
      <t>MÍN[</t>
    </r>
    <r>
      <rPr>
        <b/>
        <sz val="11"/>
        <color theme="1"/>
        <rFont val="Calibri"/>
        <family val="2"/>
      </rPr>
      <t>∑</t>
    </r>
    <r>
      <rPr>
        <b/>
        <sz val="11"/>
        <color theme="1"/>
        <rFont val="Calibri"/>
        <family val="2"/>
        <scheme val="minor"/>
      </rPr>
      <t xml:space="preserve"> 80%</t>
    </r>
    <r>
      <rPr>
        <b/>
        <sz val="8"/>
        <color theme="1"/>
        <rFont val="Calibri"/>
        <family val="2"/>
        <scheme val="minor"/>
      </rPr>
      <t>maiores salários/n ; TETO]</t>
    </r>
  </si>
  <si>
    <r>
      <t xml:space="preserve">MÍNIMO[ </t>
    </r>
    <r>
      <rPr>
        <sz val="11"/>
        <rFont val="Calibri"/>
        <family val="2"/>
        <scheme val="minor"/>
      </rPr>
      <t>MÉDIA DAS 80% MAIORES REMUNERAÇÕES (PÓS 07/1994)</t>
    </r>
    <r>
      <rPr>
        <sz val="11"/>
        <color rgb="FFFF0000"/>
        <rFont val="Calibri"/>
        <family val="2"/>
        <scheme val="minor"/>
      </rPr>
      <t xml:space="preserve"> ; TETO RGPS]</t>
    </r>
  </si>
  <si>
    <r>
      <t xml:space="preserve">MÍNIMO[ </t>
    </r>
    <r>
      <rPr>
        <sz val="11"/>
        <rFont val="Calibri"/>
        <family val="2"/>
        <scheme val="minor"/>
      </rPr>
      <t>MÉDIA DAS 80% MAIORES REMUNERAÇÕES (PÓS 07/1994)</t>
    </r>
    <r>
      <rPr>
        <sz val="11"/>
        <color rgb="FFFF0000"/>
        <rFont val="Calibri"/>
        <family val="2"/>
        <scheme val="minor"/>
      </rPr>
      <t xml:space="preserve"> ; TETO RGPS] </t>
    </r>
    <r>
      <rPr>
        <sz val="11"/>
        <rFont val="Calibri"/>
        <family val="2"/>
        <scheme val="minor"/>
      </rPr>
      <t>* TC/(30/35)</t>
    </r>
  </si>
  <si>
    <t>TEMPO DE SERVIÇO PÚBLICO</t>
  </si>
  <si>
    <t>TEMPO DE CARGO</t>
  </si>
  <si>
    <t>(INGRESSO ATÉ 16/12/1998)</t>
  </si>
  <si>
    <t>LEI 12..618 (FUNPRESP)</t>
  </si>
  <si>
    <t>DATA DE INGRESSO NO CARGO</t>
  </si>
  <si>
    <t>DATA DE INGRESSO NO SERVIÇO PÚBLICO</t>
  </si>
  <si>
    <t>BENEFÍCIO RPPS</t>
  </si>
  <si>
    <t>BENEFÍCIO RPC (FUNPRESP)</t>
  </si>
  <si>
    <t>BENEFÍCIO ESPECIAL DO RPPS</t>
  </si>
  <si>
    <t>PROJEÇÃO COM MIGRAÇÃO DO RPPS PARA O RPC (FUNPRESP)</t>
  </si>
  <si>
    <t>DATA DE APOSENTADORIA</t>
  </si>
  <si>
    <t>BENEFÍCIO FUNPRESP</t>
  </si>
  <si>
    <t>SALÁRIO DE PARTICIPAÇÃO</t>
  </si>
  <si>
    <t>PERCENTUAL DE CONTR. BÁSICA</t>
  </si>
  <si>
    <t>PERCENTUAL DE CONTR. FACULTATIVA</t>
  </si>
  <si>
    <t>CONTRIB. BÁSICA</t>
  </si>
  <si>
    <t>PARTICIPANTE</t>
  </si>
  <si>
    <t>PATROCINADORA</t>
  </si>
  <si>
    <t>CONTRIB. FACULTATIVA</t>
  </si>
  <si>
    <t>CONTRIBUIÇÃO FCBE</t>
  </si>
  <si>
    <t>sobre a contribuição básica</t>
  </si>
  <si>
    <t>sobre o salário de part.</t>
  </si>
  <si>
    <t>SALDO RAP</t>
  </si>
  <si>
    <t>SALDO RAS</t>
  </si>
  <si>
    <t>CONTR. ADM.</t>
  </si>
  <si>
    <t>CONTR. FCBE.</t>
  </si>
  <si>
    <t>BENEFÍCIO SUPLEMENTAR</t>
  </si>
  <si>
    <t>SALDO RAP NA AP</t>
  </si>
  <si>
    <t>SALDO RAS NA AP</t>
  </si>
  <si>
    <t>BENEFÍCIO APOSENT. NORMAL</t>
  </si>
  <si>
    <t xml:space="preserve">            Idade     Ano</t>
  </si>
  <si>
    <t>ex</t>
  </si>
  <si>
    <t>FATOR AP NORMAL</t>
  </si>
  <si>
    <t>FATOR AP SUPLEMENTAR</t>
  </si>
  <si>
    <t>PRAZO DE RECEBIMENTO SUPLEMENTAR</t>
  </si>
  <si>
    <t>TAXA DE JUROS FUNPRESP a.m.</t>
  </si>
  <si>
    <t>TAXA DE JUROS FUNPRESP a.a.</t>
  </si>
  <si>
    <t>BENEFÍCIO TOTAL</t>
  </si>
  <si>
    <t>BENEFÍCIOS RPPS</t>
  </si>
  <si>
    <t>BENEFÍCIOS RPPS LÍQUIDO DE IR</t>
  </si>
  <si>
    <t>IMPOSTO DE RENDA</t>
  </si>
  <si>
    <t>REMUNERAÇÃO DO PERÍODO JÁ DECORRIDO</t>
  </si>
  <si>
    <t>TIPO DE PARTICIPANTE</t>
  </si>
  <si>
    <t>Normal</t>
  </si>
  <si>
    <t>Alternativo</t>
  </si>
  <si>
    <t>% DE CONTRIB. (DEDUÇÃO IR)</t>
  </si>
  <si>
    <t>INFORMAÇÕES NA DATA DA APOSENTADORIA NO RPPS</t>
  </si>
  <si>
    <t>INFORMAÇÕES NA DATA DA APOSENTADORIA NO RPC</t>
  </si>
  <si>
    <t>CUSTEIO ADM. NA CONTRIBUIÇÃO</t>
  </si>
  <si>
    <t>CUSTEIO ADM. NO BENEFÍCIO</t>
  </si>
  <si>
    <t>CUSTEIO ADMINISTRATIVO</t>
  </si>
  <si>
    <t>BENEFÍCIO APOSENT. NORMAL LÍQUIDO</t>
  </si>
  <si>
    <t>BENEFÍCIO SUPLEMENTAR LÍQUIDO</t>
  </si>
  <si>
    <t>idade</t>
  </si>
  <si>
    <t>tempo de serviço público</t>
  </si>
  <si>
    <t>PLANO DE CUSTEIO RPPS</t>
  </si>
  <si>
    <t>PLANO DE CUSTEIO</t>
  </si>
  <si>
    <t>CRITÉRIOS DE APOSENTADORIA NO FUNPRESP</t>
  </si>
  <si>
    <t>sobre o benefício</t>
  </si>
  <si>
    <t>CONTRIB. ALTERNATIVA</t>
  </si>
  <si>
    <t>URP</t>
  </si>
  <si>
    <t>---&gt;</t>
  </si>
  <si>
    <t>IDADE NA APOSENTADORIA (POSTERGADA)</t>
  </si>
  <si>
    <t>Postergar Data de Início do Benefício?</t>
  </si>
  <si>
    <t>Benefício Total Líquido</t>
  </si>
  <si>
    <t>Benefício Total Líquido (IR progressiva)</t>
  </si>
  <si>
    <t>Benefício Total Líquido (IR regressiva)</t>
  </si>
  <si>
    <t>Não migrando</t>
  </si>
  <si>
    <t>Migrando</t>
  </si>
  <si>
    <t>(-) Imposto de Renda - tabela progressiva</t>
  </si>
  <si>
    <t>Benefício Líquido após contribuição</t>
  </si>
  <si>
    <t>Benefício Líquido após IR</t>
  </si>
  <si>
    <t>10+</t>
  </si>
  <si>
    <t>Sexo:</t>
  </si>
  <si>
    <t>Meses</t>
  </si>
  <si>
    <t>Anos e</t>
  </si>
  <si>
    <t>Simulador de Migração do Regime RPPS para o Regime RPC e Adesão à Funpresp</t>
  </si>
  <si>
    <t>Remuneração atual:</t>
  </si>
  <si>
    <t>Referência</t>
  </si>
  <si>
    <t>Salário</t>
  </si>
  <si>
    <t>Data da simulação:</t>
  </si>
  <si>
    <t>Histórico de Remunerações:</t>
  </si>
  <si>
    <t>Deseja postergar a data de aposentadoria?</t>
  </si>
  <si>
    <t>Benefício RPPS</t>
  </si>
  <si>
    <t>FC (Fator de conversão) = Tc/Tt</t>
  </si>
  <si>
    <t>=</t>
  </si>
  <si>
    <t>(2)</t>
  </si>
  <si>
    <t>(1)</t>
  </si>
  <si>
    <t>Foram consideradas contribuições relativas às gratificações natalinas;</t>
  </si>
  <si>
    <t>REMUNERAÇÃO PERÍODO ANTERIOR</t>
  </si>
  <si>
    <t>Teto do INSS</t>
  </si>
  <si>
    <t>I)</t>
  </si>
  <si>
    <t>II)</t>
  </si>
  <si>
    <t>III)</t>
  </si>
  <si>
    <t>Possui tempo anterior no RPPS, fora da União?</t>
  </si>
  <si>
    <t>DATA DE INGRESSO NO SERVIÇO PÚBLICO FEDERAL</t>
  </si>
  <si>
    <t>tempo de serviço público federal</t>
  </si>
  <si>
    <t>tempo no cargo</t>
  </si>
  <si>
    <t>Foi considerado todo o período de contribuição do servidor ao regime de previdência da União, dos Estados, do Distrito Federal ou dos Municípios.</t>
  </si>
  <si>
    <t>Tabela Regressiva</t>
  </si>
  <si>
    <t>Tabela Progressiva</t>
  </si>
  <si>
    <t>Rentabilidade</t>
  </si>
  <si>
    <t>Contrib. da Patrocinadora</t>
  </si>
  <si>
    <t>Contrib. do Participante</t>
  </si>
  <si>
    <t>Informação para gráfico da evolução de saldo no período de atividade</t>
  </si>
  <si>
    <t>Informação para gráfico da evolução de saldo no período de inatividade</t>
  </si>
  <si>
    <t>Saldo</t>
  </si>
  <si>
    <t>Benef. Ap. Normal</t>
  </si>
  <si>
    <t>Benef. Suplementar</t>
  </si>
  <si>
    <t>DATA suplementar</t>
  </si>
  <si>
    <t>CONCESSÃO DO BENEFÍCIO</t>
  </si>
  <si>
    <t>EVOLUÇÃO PATRIMONIAL</t>
  </si>
  <si>
    <t>Limite de Data Nascimento</t>
  </si>
  <si>
    <t>Limite de Data de Ingresso</t>
  </si>
  <si>
    <t>Benefício Sem Migração</t>
  </si>
  <si>
    <t>Benefício Com Migração</t>
  </si>
  <si>
    <t>Salário Atual</t>
  </si>
  <si>
    <t>RPPS com migração</t>
  </si>
  <si>
    <t>DATA DE INGRESSO NO MERCADO DE TRABALHO</t>
  </si>
  <si>
    <t>O Benefício Especial é de responsabilidade da União.</t>
  </si>
  <si>
    <t>Funpresp Ap. Normal</t>
  </si>
  <si>
    <t>Funpresp Suplementar</t>
  </si>
  <si>
    <t>TEMPO</t>
  </si>
  <si>
    <t>ALÍQUOTA</t>
  </si>
  <si>
    <t>Faixa de Contribuição RPPS</t>
  </si>
  <si>
    <t>% EFETIVO DE CONTRIBUIÇÃO SOBRE BENEFÍCIO</t>
  </si>
  <si>
    <t>REGRA PÓS EC103/2019</t>
  </si>
  <si>
    <t>Professor:</t>
  </si>
  <si>
    <t>55/50 ANOS</t>
  </si>
  <si>
    <t>Servidor:</t>
  </si>
  <si>
    <t>62/57 ANOS</t>
  </si>
  <si>
    <t>57/52 ANOS</t>
  </si>
  <si>
    <t>20 ANOS DE EFETIVO EXERCÍCIO NO SERVIÇO PÚBLICO</t>
  </si>
  <si>
    <t>86/96 a 100/105 PONTOS</t>
  </si>
  <si>
    <t>81/91 a 92/100 PONTOS</t>
  </si>
  <si>
    <t>Pedágio de 100% do tempo faltante em 11/2019</t>
  </si>
  <si>
    <t>Policial:</t>
  </si>
  <si>
    <t>55 ANOS</t>
  </si>
  <si>
    <r>
      <t xml:space="preserve">Art.40 §1, III, a (revogado) CF </t>
    </r>
    <r>
      <rPr>
        <b/>
        <sz val="11"/>
        <color rgb="FFC00000"/>
        <rFont val="Calibri"/>
        <family val="2"/>
        <scheme val="minor"/>
      </rPr>
      <t>(elegível até EC/103)</t>
    </r>
  </si>
  <si>
    <r>
      <t xml:space="preserve">Art.4º EC  </t>
    </r>
    <r>
      <rPr>
        <b/>
        <sz val="11"/>
        <color rgb="FFC00000"/>
        <rFont val="Calibri"/>
        <family val="2"/>
        <scheme val="minor"/>
      </rPr>
      <t>(ingresso até EC/103)</t>
    </r>
  </si>
  <si>
    <r>
      <t xml:space="preserve">Art.5º EC </t>
    </r>
    <r>
      <rPr>
        <b/>
        <sz val="11"/>
        <color rgb="FFC00000"/>
        <rFont val="Calibri"/>
        <family val="2"/>
        <scheme val="minor"/>
      </rPr>
      <t>(ingresso até EC/103)</t>
    </r>
  </si>
  <si>
    <t>Art.40 §1, III CF</t>
  </si>
  <si>
    <t>65/62 ANOS</t>
  </si>
  <si>
    <t>60/57 ANOS</t>
  </si>
  <si>
    <t>Art.10 EC</t>
  </si>
  <si>
    <t>25 ANOS DE CONTRIBUIÇÃO</t>
  </si>
  <si>
    <r>
      <t xml:space="preserve">Art.20 EC </t>
    </r>
    <r>
      <rPr>
        <b/>
        <sz val="11"/>
        <color rgb="FFC00000"/>
        <rFont val="Calibri"/>
        <family val="2"/>
        <scheme val="minor"/>
      </rPr>
      <t>(ingresso até EC/103)</t>
    </r>
  </si>
  <si>
    <t>Teste Idade Ap. Masculino</t>
  </si>
  <si>
    <t>Teste Idade Ap. Feminino</t>
  </si>
  <si>
    <t>Id.Ap.</t>
  </si>
  <si>
    <t>Anos</t>
  </si>
  <si>
    <t>Pontuação</t>
  </si>
  <si>
    <t>TC</t>
  </si>
  <si>
    <t>Idade</t>
  </si>
  <si>
    <t>TSF</t>
  </si>
  <si>
    <t>Servidor</t>
  </si>
  <si>
    <t>Professor</t>
  </si>
  <si>
    <t>TEMPO DE CONTRIBUIÇÃO</t>
  </si>
  <si>
    <t>TEMPO NO CARGO</t>
  </si>
  <si>
    <t>(-) Contribuição sobre o benefício</t>
  </si>
  <si>
    <t>Policial?</t>
  </si>
  <si>
    <t>Servidor Professor da Educação Básica?</t>
  </si>
  <si>
    <t>Servidor Policial?</t>
  </si>
  <si>
    <t>PONTUAÇÃO</t>
  </si>
  <si>
    <t>Professor?</t>
  </si>
  <si>
    <t>Data de ingresso no SP</t>
  </si>
  <si>
    <t>Sexo</t>
  </si>
  <si>
    <t>Tempo faltante</t>
  </si>
  <si>
    <t>EC 103/2019</t>
  </si>
  <si>
    <t>Tabela</t>
  </si>
  <si>
    <t>Tempo faltante Meses</t>
  </si>
  <si>
    <t>APLICAÇÃO</t>
  </si>
  <si>
    <t>Idade Aposentadoria</t>
  </si>
  <si>
    <t>Data Aposentadoria</t>
  </si>
  <si>
    <t>BENEFÍCIO ESPECIAL</t>
  </si>
  <si>
    <r>
      <rPr>
        <b/>
        <sz val="11"/>
        <color theme="1"/>
        <rFont val="Calibri"/>
        <family val="2"/>
      </rPr>
      <t>∑</t>
    </r>
    <r>
      <rPr>
        <b/>
        <sz val="8"/>
        <color theme="1"/>
        <rFont val="Calibri"/>
        <family val="2"/>
        <scheme val="minor"/>
      </rPr>
      <t>/n</t>
    </r>
  </si>
  <si>
    <t>BENEFÍCIO RPPS SEM MIGRAÇÃO</t>
  </si>
  <si>
    <t>BENEFÍCIO RPPS COM MIGRAÇÃO</t>
  </si>
  <si>
    <t>Contr.Benef.RPPS</t>
  </si>
  <si>
    <t>Contr.Ativo.RPPS</t>
  </si>
  <si>
    <t>RPPS</t>
  </si>
  <si>
    <t>RPC</t>
  </si>
  <si>
    <t>Funpresp(Básica)</t>
  </si>
  <si>
    <t>Funpresp(Facultativa)</t>
  </si>
  <si>
    <t>IV)</t>
  </si>
  <si>
    <t>RPPS - Benef. Especial</t>
  </si>
  <si>
    <t>RPPS Atual (sem migração)</t>
  </si>
  <si>
    <t>Valor do Benefício Especial:</t>
  </si>
  <si>
    <t>Benefício Especial (União)</t>
  </si>
  <si>
    <t>(-) Contribuição para RPPS</t>
  </si>
  <si>
    <t>Benefício Funpresp</t>
  </si>
  <si>
    <t>Sem migração</t>
  </si>
  <si>
    <t>Com migração</t>
  </si>
  <si>
    <t>Com migração e Adesão à Funpresp</t>
  </si>
  <si>
    <t>Quando você poderá se aposentar:</t>
  </si>
  <si>
    <t>Data de nascimento:</t>
  </si>
  <si>
    <t>Data de ingresso no serviço público federal:</t>
  </si>
  <si>
    <t>Simulação de Migração do RPPS para o RPC</t>
  </si>
  <si>
    <t xml:space="preserve">IMPORTANTE: A simulação é executada com base em projeções, estimativas e parâmetros variáveis, motivo pelo qual, o resultado não implica na garantia do valor do benefício.
</t>
  </si>
  <si>
    <t>Se você já tiver o valor do BE em mãos, inclua neste campo.</t>
  </si>
  <si>
    <t>Você pode baixar o arquivo em Excel com todas as suas contribuições, na tela de simulação de migração diretamente no Sigepe.</t>
  </si>
  <si>
    <t>Preencha os campos abaixo com seus dados e informações sobre sua trajetória profissional. 
A migração de regime previdenciário é uma decisão individual do servidor público, sendo irrevogável e irretratável.</t>
  </si>
  <si>
    <t>(-) Imposto de Renda</t>
  </si>
  <si>
    <t>Ordem</t>
  </si>
  <si>
    <t>Data de ingresso no cargo atual:</t>
  </si>
  <si>
    <t>Benefício Invalidez</t>
  </si>
  <si>
    <t>Benefício Pensão</t>
  </si>
  <si>
    <t>5 ou mais</t>
  </si>
  <si>
    <t>Quantidade de dependentes para Pensão:</t>
  </si>
  <si>
    <t>Comparação de Benefícios 
de Aposentadoria por Incapacidade:</t>
  </si>
  <si>
    <t>Comparação de Benefícios 
de Pensão por Morte:</t>
  </si>
  <si>
    <t>IRPF</t>
  </si>
  <si>
    <t>Comparação de Salário:</t>
  </si>
  <si>
    <t>BE</t>
  </si>
  <si>
    <t>Total RPPS</t>
  </si>
  <si>
    <t>RPPS + RPC</t>
  </si>
  <si>
    <t>Comparação de Benefícios 
de Aposentadoria Voluntária:</t>
  </si>
  <si>
    <t>novo</t>
  </si>
  <si>
    <t>média</t>
  </si>
  <si>
    <t>integralidade</t>
  </si>
  <si>
    <t>Com migração e Adesão à Funpresp (Normal + Suplementar)</t>
  </si>
  <si>
    <t>IR - BENEFÍCIO APOSENT. NORMAL</t>
  </si>
  <si>
    <t>IR - BENEFÍCIO SUPLEMENTAR</t>
  </si>
  <si>
    <r>
      <t xml:space="preserve">Tc (quantidade de contribuições mensais efetuadas para o regime de previdência da União até a data da opção) </t>
    </r>
    <r>
      <rPr>
        <vertAlign val="superscript"/>
        <sz val="10"/>
        <color theme="4" tint="-0.499984740745262"/>
        <rFont val="Helvetica"/>
        <family val="2"/>
      </rPr>
      <t>(1)(2)</t>
    </r>
  </si>
  <si>
    <r>
      <t xml:space="preserve">Benefício Especial RPPS = </t>
    </r>
    <r>
      <rPr>
        <b/>
        <sz val="10"/>
        <color theme="4" tint="-0.499984740745262"/>
        <rFont val="Helvetica"/>
        <family val="2"/>
      </rPr>
      <t>I</t>
    </r>
    <r>
      <rPr>
        <sz val="10"/>
        <color theme="4" tint="-0.499984740745262"/>
        <rFont val="Helvetica"/>
        <family val="2"/>
      </rPr>
      <t xml:space="preserve"> x (</t>
    </r>
    <r>
      <rPr>
        <b/>
        <sz val="10"/>
        <color theme="4" tint="-0.499984740745262"/>
        <rFont val="Helvetica"/>
        <family val="2"/>
      </rPr>
      <t>II</t>
    </r>
    <r>
      <rPr>
        <sz val="10"/>
        <color theme="4" tint="-0.499984740745262"/>
        <rFont val="Helvetica"/>
        <family val="2"/>
      </rPr>
      <t xml:space="preserve"> - </t>
    </r>
    <r>
      <rPr>
        <b/>
        <sz val="10"/>
        <color theme="4" tint="-0.499984740745262"/>
        <rFont val="Helvetica"/>
        <family val="2"/>
      </rPr>
      <t>III</t>
    </r>
    <r>
      <rPr>
        <sz val="10"/>
        <color theme="4" tint="-0.499984740745262"/>
        <rFont val="Helvetica"/>
        <family val="2"/>
      </rPr>
      <t>)</t>
    </r>
  </si>
  <si>
    <r>
      <rPr>
        <b/>
        <sz val="11"/>
        <color theme="4" tint="-0.499984740745262"/>
        <rFont val="Helvetica"/>
      </rPr>
      <t xml:space="preserve">Com migração e Adesão à Funpresp </t>
    </r>
    <r>
      <rPr>
        <b/>
        <sz val="10"/>
        <color theme="4" tint="-0.499984740745262"/>
        <rFont val="Helvetica"/>
        <family val="2"/>
      </rPr>
      <t xml:space="preserve">
</t>
    </r>
    <r>
      <rPr>
        <b/>
        <sz val="8"/>
        <color theme="4" tint="-0.499984740745262"/>
        <rFont val="Helvetica"/>
      </rPr>
      <t>(Contribuição Obrigatória)</t>
    </r>
  </si>
  <si>
    <r>
      <rPr>
        <b/>
        <sz val="11"/>
        <color theme="4" tint="-0.499984740745262"/>
        <rFont val="Helvetica"/>
      </rPr>
      <t xml:space="preserve">Com migração e Adesão à Funpresp </t>
    </r>
    <r>
      <rPr>
        <b/>
        <sz val="10"/>
        <color theme="4" tint="-0.499984740745262"/>
        <rFont val="Helvetica"/>
        <family val="2"/>
      </rPr>
      <t xml:space="preserve">
</t>
    </r>
    <r>
      <rPr>
        <b/>
        <sz val="8"/>
        <color theme="4" tint="-0.499984740745262"/>
        <rFont val="Helvetica"/>
      </rPr>
      <t>(Contribuição Facultativa)</t>
    </r>
  </si>
  <si>
    <t>Participante Ativo Normal</t>
  </si>
  <si>
    <t>Escolha o Regime de Tributação na Funpresp:</t>
  </si>
  <si>
    <r>
      <t>Se preferir, agende uma consultoria exclusiva e gratuita com nossos assessores previdenciários pelo telefone 0800 282 6794 ou </t>
    </r>
    <r>
      <rPr>
        <u/>
        <sz val="12"/>
        <color theme="3"/>
        <rFont val="Helvetica"/>
      </rPr>
      <t>clique aqui</t>
    </r>
    <r>
      <rPr>
        <sz val="12"/>
        <color theme="1"/>
        <rFont val="Helvetica"/>
        <family val="2"/>
      </rPr>
      <t xml:space="preserve"> e preencha o formulário de contato. </t>
    </r>
  </si>
  <si>
    <t xml:space="preserve">IMPORTANTE: A simulação é executada com base em projeções, estimativas e parâmetros variáveis, motivo pelo qual o resultado não implica na garantia do valor do benefício.
</t>
  </si>
  <si>
    <t>Salário Líquido após contribuição</t>
  </si>
  <si>
    <t>Salário Líquido após IR</t>
  </si>
  <si>
    <t>Informações para a simulação</t>
  </si>
  <si>
    <t>Expectativa de aposentadoria</t>
  </si>
  <si>
    <t>Benefício Especial RPPS</t>
  </si>
  <si>
    <t>Memória de Cálculo do Benefício Especial RPPS</t>
  </si>
  <si>
    <t>Situação do Participante:</t>
  </si>
  <si>
    <t>(-) Soma das Contribuições</t>
  </si>
  <si>
    <t>Para realizar a simulação você precisará das seguintes informações:</t>
  </si>
  <si>
    <t>Escolha a opção referente ao sexo:</t>
  </si>
  <si>
    <t>Preencher data de nascimento no formado "DD/MM/AAAA", conforme exemplo:</t>
  </si>
  <si>
    <t>Preencher data de ingresso no serviço público no formado "DD/MM/AAAA", conforme exemplo:</t>
  </si>
  <si>
    <t>Preencher data de ingresso no cargo atual no formado "DD/MM/AAAA", conforme exemplo:</t>
  </si>
  <si>
    <t>Identificar o tempo de contribuição anterior ao vínculo na União. Se houver, selecione a opção "Sim" para as perguntas, e preencha o tempo em anos e meses completos. Conforme exemplo abaixo:</t>
  </si>
  <si>
    <t>Com base nos dados disponibilizados, o simulador irá calcular a data provável de aposentadoria. 
Esta data é quando o servidor cumprirá todos os pré-requisitos para a aposentadoria voluntária.</t>
  </si>
  <si>
    <t>65 anos e 0 meses completos.</t>
  </si>
  <si>
    <t>Na aba "Preencher_Dados":</t>
  </si>
  <si>
    <t>Na aba "Preencher_Salários":</t>
  </si>
  <si>
    <t>A partir das informações da aba "Preencher_Dados", será listada na aba "Preencher_Salários" a coluna "Referência", e deverá ser preenchida a coluna "Salário", com os respectivos valores de cada referência, conforme exemplo abaixo:</t>
  </si>
  <si>
    <t>13º 2021</t>
  </si>
  <si>
    <t>Identificar caso seja Policial ou Professor, selecionando a opção "Sim" para as perguntas, conforme exemplo abaixo:</t>
  </si>
  <si>
    <t>Identificar a quantidade de dependentes para simulação do benefício de pensão. Caso tenha algum dependente, informar a quantidade conforme exemplo abaixo:</t>
  </si>
  <si>
    <t>Caso deseje simular os benefícios considerando uma data posterior a esta, basta selecionar "sim" na pergunta seguinte e escolher a idade para a simulação, conforme exemplo abaixo:</t>
  </si>
  <si>
    <t>Caso não possua o valor do Benefício Especial calculado pelo SIGEPE, basta deixar o campo em branco, o simulador exibirá a memória de cálculo para você.</t>
  </si>
  <si>
    <t>O Benefício Especial é calculado com as informações das abas "Preencher_Dados" e "Preencher_Salários". 
Caso você já possua o valor do Benefício Especial calculado pelo SIGEPE, basta inserir o valor no campo a seguir, conforme exemplo.</t>
  </si>
  <si>
    <t>Identificar o regime de tributação no plano de benefícios da Funpresp, se regime progressivo ou regressivo. (Há um tópico sobre perguntas frequentes de regime de tributação no nosso site, clique aqui para acessar)</t>
  </si>
  <si>
    <t>DADOS DE TEMPO E IDADE ATUAIS:</t>
  </si>
  <si>
    <t>REFERÊNCIA</t>
  </si>
  <si>
    <t>Possui tempo anterior no RGPS/INSS ou Militar?</t>
  </si>
  <si>
    <t>Quando houver tempo anterior de RPPS, fora da União, e tempo anteiror no RGPS/INSS ou Militar, a aba "Preencher_Salários" terá os meses (referências) atualizados. 
Os salários são considerados na seguinte ordem: os amis recetens são os salários no RPPS da União, depois os salários do RPPS fora da União, e os mais antigos os salários no RGPS/INSS ou Militar.</t>
  </si>
  <si>
    <t>Média aritmética simples das maiores remunerações anteriores à data de mudança do regime, atualizadas pelo IPCA, correspondentes a 80% de todo o período contributivo de competência posterior a julho de 1994.</t>
  </si>
  <si>
    <t>TEMPO DE CONTRIBUIÇÃO na EC103/2019</t>
  </si>
  <si>
    <t>TEMPO DE CONTRIBUIÇÃO + Pedágio</t>
  </si>
  <si>
    <t>Idade Elegibilidade</t>
  </si>
  <si>
    <t>Idade Anos</t>
  </si>
  <si>
    <t>Regra geral: Média dos 100% SC x [60%+(2%xTC&gt;20)]</t>
  </si>
  <si>
    <t>Regras do texto aprovado pela Câmara dos Deputados</t>
  </si>
  <si>
    <t xml:space="preserve">Tt (455, 390 ou 325 de acordo com o § 3º e § 4º do art. 3º da Lei 12.618) </t>
  </si>
  <si>
    <t>Requisitos (Art.10 EC103/2019):</t>
  </si>
  <si>
    <t>Regra de transição 1 (Art.4 e 5 EC103/2019):</t>
  </si>
  <si>
    <t>Regra de transição 2 (Art.20 EC103/2019):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</si>
</sst>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416]mmm\-yy;@"/>
    <numFmt numFmtId="165" formatCode="_-* #,##0.0000_-;\-* #,##0.0000_-;_-* &quot;-&quot;??_-;_-@_-"/>
    <numFmt numFmtId="166" formatCode="0.0"/>
    <numFmt numFmtId="167" formatCode="0.000"/>
    <numFmt numFmtId="168" formatCode="_-* #,##0_-;\-* #,##0_-;_-* &quot;-&quot;??_-;_-@_-"/>
    <numFmt numFmtId="169" formatCode="0.0%"/>
  </numFmts>
  <fonts count="7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color theme="1"/>
      <name val="Calibri"/>
      <family val="2"/>
    </font>
    <font>
      <b/>
      <sz val="8"/>
      <color theme="1"/>
      <name val="Calibri"/>
      <family val="2"/>
      <scheme val="minor"/>
    </font>
    <font>
      <b/>
      <sz val="14"/>
      <color theme="0"/>
      <name val="Calibri"/>
      <family val="2"/>
      <scheme val="minor"/>
    </font>
    <font>
      <b/>
      <sz val="11"/>
      <color rgb="FFFF0000"/>
      <name val="Calibri"/>
      <family val="2"/>
      <scheme val="minor"/>
    </font>
    <font>
      <b/>
      <sz val="11"/>
      <color theme="8" tint="-0.499984740745262"/>
      <name val="Calibri"/>
      <family val="2"/>
      <scheme val="minor"/>
    </font>
    <font>
      <b/>
      <sz val="11"/>
      <color rgb="FF0070C0"/>
      <name val="Calibri"/>
      <family val="2"/>
      <scheme val="minor"/>
    </font>
    <font>
      <b/>
      <sz val="11"/>
      <color rgb="FF00B050"/>
      <name val="Calibri"/>
      <family val="2"/>
      <scheme val="minor"/>
    </font>
    <font>
      <b/>
      <sz val="11"/>
      <color theme="9" tint="-0.249977111117893"/>
      <name val="Calibri"/>
      <family val="2"/>
      <scheme val="minor"/>
    </font>
    <font>
      <b/>
      <sz val="12"/>
      <color theme="0"/>
      <name val="Calibri"/>
      <family val="2"/>
      <scheme val="minor"/>
    </font>
    <font>
      <b/>
      <sz val="11"/>
      <name val="Calibri"/>
      <family val="2"/>
      <scheme val="minor"/>
    </font>
    <font>
      <sz val="12"/>
      <color theme="1"/>
      <name val="Arial"/>
      <family val="2"/>
    </font>
    <font>
      <b/>
      <sz val="12"/>
      <color theme="1"/>
      <name val="Arial"/>
      <family val="2"/>
    </font>
    <font>
      <i/>
      <sz val="12"/>
      <color theme="1"/>
      <name val="Arial"/>
      <family val="2"/>
    </font>
    <font>
      <sz val="10"/>
      <color indexed="8"/>
      <name val="Arial"/>
      <family val="2"/>
    </font>
    <font>
      <sz val="11"/>
      <color indexed="8"/>
      <name val="Calibri"/>
      <family val="2"/>
    </font>
    <font>
      <b/>
      <sz val="12"/>
      <color theme="1"/>
      <name val="Calibri"/>
      <family val="2"/>
      <scheme val="minor"/>
    </font>
    <font>
      <sz val="9"/>
      <color indexed="81"/>
      <name val="Segoe UI"/>
      <family val="2"/>
    </font>
    <font>
      <b/>
      <sz val="9"/>
      <color indexed="81"/>
      <name val="Segoe UI"/>
      <family val="2"/>
    </font>
    <font>
      <sz val="11"/>
      <color theme="1"/>
      <name val="Helvetica"/>
      <family val="2"/>
    </font>
    <font>
      <b/>
      <sz val="12"/>
      <color theme="1"/>
      <name val="Helvetica"/>
      <family val="2"/>
    </font>
    <font>
      <sz val="12"/>
      <color theme="1"/>
      <name val="Helvetica"/>
      <family val="2"/>
    </font>
    <font>
      <sz val="10"/>
      <color theme="1"/>
      <name val="Helvetica"/>
      <family val="2"/>
    </font>
    <font>
      <sz val="14"/>
      <color theme="1"/>
      <name val="Helvetica"/>
      <family val="2"/>
    </font>
    <font>
      <sz val="10"/>
      <color theme="1" tint="0.34998626667073579"/>
      <name val="Helvetica"/>
      <family val="2"/>
    </font>
    <font>
      <sz val="12"/>
      <color theme="1" tint="0.34998626667073579"/>
      <name val="Helvetica"/>
      <family val="2"/>
    </font>
    <font>
      <b/>
      <sz val="11"/>
      <color theme="4" tint="-0.499984740745262"/>
      <name val="Helvetica"/>
      <family val="2"/>
    </font>
    <font>
      <sz val="9"/>
      <color theme="1"/>
      <name val="Helvetica"/>
      <family val="2"/>
    </font>
    <font>
      <b/>
      <sz val="12"/>
      <color rgb="FF182A40"/>
      <name val="Helvetica"/>
      <family val="2"/>
    </font>
    <font>
      <b/>
      <sz val="11"/>
      <color rgb="FF182A40"/>
      <name val="Helvetica"/>
      <family val="2"/>
    </font>
    <font>
      <sz val="11"/>
      <color theme="4" tint="-0.499984740745262"/>
      <name val="Helvetica"/>
      <family val="2"/>
    </font>
    <font>
      <b/>
      <sz val="10"/>
      <color rgb="FF002060"/>
      <name val="Helvetica"/>
      <family val="2"/>
    </font>
    <font>
      <sz val="10"/>
      <color rgb="FF002060"/>
      <name val="Helvetica"/>
      <family val="2"/>
    </font>
    <font>
      <sz val="8"/>
      <color theme="4" tint="-0.499984740745262"/>
      <name val="Helvetica"/>
      <family val="2"/>
    </font>
    <font>
      <sz val="8"/>
      <color theme="1"/>
      <name val="Helvetica"/>
      <family val="2"/>
    </font>
    <font>
      <sz val="8"/>
      <color rgb="FF002060"/>
      <name val="Helvetica"/>
      <family val="2"/>
    </font>
    <font>
      <b/>
      <sz val="8"/>
      <color theme="4" tint="-0.499984740745262"/>
      <name val="Helvetica"/>
      <family val="2"/>
    </font>
    <font>
      <b/>
      <sz val="10"/>
      <color theme="1"/>
      <name val="Helvetica"/>
      <family val="2"/>
    </font>
    <font>
      <b/>
      <sz val="11"/>
      <color theme="1"/>
      <name val="Helvetica"/>
      <family val="2"/>
    </font>
    <font>
      <sz val="11"/>
      <color rgb="FFFF0000"/>
      <name val="Helvetica"/>
      <family val="2"/>
    </font>
    <font>
      <b/>
      <sz val="9"/>
      <color theme="4" tint="-0.499984740745262"/>
      <name val="Helvetica"/>
      <family val="2"/>
    </font>
    <font>
      <b/>
      <sz val="11"/>
      <color theme="3"/>
      <name val="Calibri"/>
      <family val="2"/>
      <scheme val="minor"/>
    </font>
    <font>
      <sz val="11"/>
      <name val="Calibri"/>
      <family val="2"/>
      <scheme val="minor"/>
    </font>
    <font>
      <b/>
      <sz val="11"/>
      <color rgb="FFC00000"/>
      <name val="Calibri"/>
      <family val="2"/>
      <scheme val="minor"/>
    </font>
    <font>
      <sz val="9"/>
      <color rgb="FFC00000"/>
      <name val="Helvetica"/>
      <family val="2"/>
    </font>
    <font>
      <b/>
      <sz val="9"/>
      <color rgb="FFC00000"/>
      <name val="Helvetica"/>
      <family val="2"/>
    </font>
    <font>
      <b/>
      <sz val="11"/>
      <color theme="4" tint="-0.499984740745262"/>
      <name val="Helvetica"/>
    </font>
    <font>
      <b/>
      <sz val="10"/>
      <color theme="4" tint="-0.499984740745262"/>
      <name val="Helvetica"/>
      <family val="2"/>
    </font>
    <font>
      <sz val="8"/>
      <color theme="1" tint="0.34998626667073579"/>
      <name val="Helvetica"/>
      <family val="2"/>
    </font>
    <font>
      <b/>
      <sz val="12"/>
      <name val="Helvetica"/>
      <family val="2"/>
    </font>
    <font>
      <b/>
      <sz val="11"/>
      <color theme="1" tint="0.34998626667073579"/>
      <name val="Helvetica"/>
      <family val="2"/>
    </font>
    <font>
      <sz val="11"/>
      <color theme="1" tint="0.34998626667073579"/>
      <name val="Helvetica"/>
      <family val="2"/>
    </font>
    <font>
      <b/>
      <sz val="11"/>
      <name val="Helvetica"/>
      <family val="2"/>
    </font>
    <font>
      <sz val="11"/>
      <name val="Helvetica"/>
      <family val="2"/>
    </font>
    <font>
      <b/>
      <sz val="10"/>
      <name val="Helvetica"/>
      <family val="2"/>
    </font>
    <font>
      <sz val="10"/>
      <color theme="4" tint="-0.499984740745262"/>
      <name val="Helvetica"/>
      <family val="2"/>
    </font>
    <font>
      <vertAlign val="superscript"/>
      <sz val="10"/>
      <color theme="4" tint="-0.499984740745262"/>
      <name val="Helvetica"/>
      <family val="2"/>
    </font>
    <font>
      <b/>
      <sz val="8"/>
      <color theme="4" tint="-0.499984740745262"/>
      <name val="Helvetica"/>
    </font>
    <font>
      <b/>
      <sz val="10"/>
      <color theme="4" tint="-0.499984740745262"/>
      <name val="Helvetica"/>
    </font>
    <font>
      <b/>
      <sz val="9"/>
      <name val="Helvetica"/>
      <family val="2"/>
    </font>
    <font>
      <b/>
      <sz val="8"/>
      <name val="Helvetica"/>
      <family val="2"/>
    </font>
    <font>
      <sz val="9"/>
      <name val="Helvetica"/>
      <family val="2"/>
    </font>
    <font>
      <u/>
      <sz val="12"/>
      <color theme="3"/>
      <name val="Helvetica"/>
    </font>
    <font>
      <sz val="9"/>
      <color theme="1" tint="0.34998626667073579"/>
      <name val="Helvetica"/>
      <family val="2"/>
    </font>
    <font>
      <b/>
      <sz val="10"/>
      <color rgb="FFC00000"/>
      <name val="Helvetica"/>
    </font>
    <font>
      <sz val="9"/>
      <color rgb="FFC00000"/>
      <name val="Helvetica"/>
    </font>
    <font>
      <sz val="11"/>
      <color theme="1"/>
      <name val="Helvetica"/>
    </font>
    <font>
      <b/>
      <sz val="11"/>
      <color theme="3"/>
      <name val="Helvetica"/>
      <family val="2"/>
    </font>
    <font>
      <sz val="11"/>
      <color theme="3"/>
      <name val="Helvetica"/>
      <family val="2"/>
    </font>
    <font>
      <sz val="11"/>
      <color theme="0"/>
      <name val="Calibri"/>
      <family val="2"/>
      <scheme val="minor"/>
    </font>
    <font>
      <sz val="11"/>
      <color theme="0"/>
      <name val="Helvetica"/>
      <family val="2"/>
    </font>
    <font>
      <sz val="9"/>
      <color theme="0"/>
      <name val="Helvetica"/>
      <family val="2"/>
    </font>
    <font>
      <b/>
      <sz val="11"/>
      <color theme="0"/>
      <name val="Helvetica"/>
    </font>
  </fonts>
  <fills count="33">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bgColor indexed="64"/>
      </patternFill>
    </fill>
    <fill>
      <patternFill patternType="solid">
        <fgColor theme="8"/>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6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E4E6"/>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auto="1"/>
      </left>
      <right style="medium">
        <color auto="1"/>
      </right>
      <top style="medium">
        <color auto="1"/>
      </top>
      <bottom/>
      <diagonal style="medium">
        <color auto="1"/>
      </diagonal>
    </border>
    <border>
      <left style="medium">
        <color indexed="64"/>
      </left>
      <right style="medium">
        <color indexed="64"/>
      </right>
      <top style="medium">
        <color indexed="64"/>
      </top>
      <bottom style="thin">
        <color indexed="64"/>
      </bottom>
      <diagonal/>
    </border>
    <border diagonalDown="1">
      <left style="medium">
        <color auto="1"/>
      </left>
      <right style="medium">
        <color auto="1"/>
      </right>
      <top/>
      <bottom style="medium">
        <color auto="1"/>
      </bottom>
      <diagonal style="medium">
        <color auto="1"/>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auto="1"/>
      </bottom>
      <diagonal/>
    </border>
    <border>
      <left/>
      <right style="thin">
        <color auto="1"/>
      </right>
      <top style="thin">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top style="thin">
        <color theme="0" tint="-0.499984740745262"/>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0" fontId="19" fillId="0" borderId="0"/>
    <xf numFmtId="44" fontId="1" fillId="0" borderId="0" applyFont="0" applyFill="0" applyBorder="0" applyAlignment="0" applyProtection="0"/>
  </cellStyleXfs>
  <cellXfs count="432">
    <xf numFmtId="0" fontId="0" fillId="0" borderId="0" xfId="0"/>
    <xf numFmtId="0" fontId="0" fillId="0" borderId="1" xfId="0" applyBorder="1"/>
    <xf numFmtId="14" fontId="0" fillId="0" borderId="1" xfId="0" applyNumberFormat="1" applyBorder="1"/>
    <xf numFmtId="0" fontId="0" fillId="0" borderId="1" xfId="0" applyBorder="1" applyAlignment="1">
      <alignment horizontal="center"/>
    </xf>
    <xf numFmtId="43" fontId="0" fillId="0" borderId="1" xfId="1" applyFont="1" applyBorder="1"/>
    <xf numFmtId="0" fontId="3" fillId="0" borderId="0" xfId="0" applyFont="1"/>
    <xf numFmtId="0" fontId="3" fillId="3" borderId="0" xfId="0" applyFont="1" applyFill="1"/>
    <xf numFmtId="0" fontId="0" fillId="3" borderId="0" xfId="0" applyFill="1"/>
    <xf numFmtId="0" fontId="0" fillId="3" borderId="0" xfId="0" applyFill="1" applyAlignment="1">
      <alignment horizontal="center"/>
    </xf>
    <xf numFmtId="0" fontId="3" fillId="0" borderId="1" xfId="0" applyFont="1" applyBorder="1" applyAlignment="1">
      <alignment horizontal="center"/>
    </xf>
    <xf numFmtId="0" fontId="0" fillId="0" borderId="2" xfId="0" applyBorder="1"/>
    <xf numFmtId="0" fontId="0" fillId="0" borderId="3" xfId="0" applyBorder="1"/>
    <xf numFmtId="43" fontId="0" fillId="0" borderId="1" xfId="1" applyFont="1" applyBorder="1" applyAlignment="1">
      <alignment horizontal="right"/>
    </xf>
    <xf numFmtId="43" fontId="0" fillId="0" borderId="1" xfId="0" applyNumberFormat="1" applyBorder="1" applyAlignment="1">
      <alignment horizontal="center"/>
    </xf>
    <xf numFmtId="43" fontId="0" fillId="0" borderId="1" xfId="1" applyFont="1" applyFill="1" applyBorder="1" applyAlignment="1">
      <alignment horizontal="right"/>
    </xf>
    <xf numFmtId="43" fontId="0" fillId="0" borderId="1" xfId="1" quotePrefix="1" applyFont="1" applyFill="1" applyBorder="1" applyAlignment="1">
      <alignment horizontal="right"/>
    </xf>
    <xf numFmtId="10" fontId="0" fillId="0" borderId="1" xfId="2" applyNumberFormat="1" applyFont="1" applyBorder="1" applyAlignment="1">
      <alignment horizontal="center"/>
    </xf>
    <xf numFmtId="0" fontId="0" fillId="0" borderId="1" xfId="0" applyFont="1" applyBorder="1" applyAlignment="1">
      <alignment horizontal="center" vertical="center" wrapText="1"/>
    </xf>
    <xf numFmtId="0" fontId="0" fillId="0" borderId="1" xfId="0" applyNumberFormat="1" applyBorder="1" applyAlignment="1">
      <alignment horizontal="center"/>
    </xf>
    <xf numFmtId="0" fontId="0" fillId="0" borderId="1" xfId="1" quotePrefix="1" applyNumberFormat="1" applyFont="1" applyFill="1" applyBorder="1" applyAlignment="1">
      <alignment horizontal="center"/>
    </xf>
    <xf numFmtId="0" fontId="0" fillId="0" borderId="1" xfId="0" applyNumberFormat="1" applyFill="1" applyBorder="1" applyAlignment="1">
      <alignment horizontal="center"/>
    </xf>
    <xf numFmtId="164" fontId="0" fillId="0" borderId="1" xfId="0" applyNumberFormat="1" applyBorder="1" applyAlignment="1">
      <alignment horizontal="center"/>
    </xf>
    <xf numFmtId="43" fontId="0" fillId="0" borderId="1" xfId="0" applyNumberFormat="1" applyBorder="1"/>
    <xf numFmtId="0" fontId="3" fillId="5" borderId="1" xfId="0" applyFont="1" applyFill="1" applyBorder="1" applyAlignment="1">
      <alignment horizontal="center"/>
    </xf>
    <xf numFmtId="17" fontId="0" fillId="2" borderId="1" xfId="0" applyNumberFormat="1" applyFill="1" applyBorder="1"/>
    <xf numFmtId="0" fontId="0" fillId="2" borderId="1" xfId="0" applyFill="1" applyBorder="1"/>
    <xf numFmtId="165" fontId="0" fillId="2" borderId="1" xfId="1" applyNumberFormat="1" applyFont="1" applyFill="1" applyBorder="1"/>
    <xf numFmtId="164" fontId="3" fillId="7" borderId="1" xfId="0" applyNumberFormat="1" applyFont="1" applyFill="1" applyBorder="1" applyAlignment="1">
      <alignment horizontal="center"/>
    </xf>
    <xf numFmtId="0" fontId="4" fillId="0" borderId="0" xfId="0" applyFont="1"/>
    <xf numFmtId="0" fontId="5" fillId="0" borderId="0" xfId="0" applyFont="1"/>
    <xf numFmtId="14" fontId="3" fillId="0" borderId="1" xfId="0" applyNumberFormat="1" applyFont="1" applyBorder="1" applyAlignment="1">
      <alignment horizontal="center"/>
    </xf>
    <xf numFmtId="0" fontId="10" fillId="0" borderId="0" xfId="0" applyFont="1"/>
    <xf numFmtId="0" fontId="11" fillId="0" borderId="0" xfId="0" applyFont="1"/>
    <xf numFmtId="0" fontId="12" fillId="0" borderId="0" xfId="0" applyFont="1"/>
    <xf numFmtId="0" fontId="9" fillId="0" borderId="0" xfId="0" applyFont="1"/>
    <xf numFmtId="164" fontId="3" fillId="7" borderId="3" xfId="0" applyNumberFormat="1" applyFont="1" applyFill="1" applyBorder="1" applyAlignment="1">
      <alignment horizontal="center"/>
    </xf>
    <xf numFmtId="14" fontId="0" fillId="5" borderId="1" xfId="0" applyNumberFormat="1" applyFill="1" applyBorder="1"/>
    <xf numFmtId="43" fontId="0" fillId="0" borderId="1" xfId="1" applyFont="1" applyBorder="1" applyAlignment="1">
      <alignment horizontal="center"/>
    </xf>
    <xf numFmtId="0" fontId="3" fillId="5" borderId="0" xfId="0" applyFont="1" applyFill="1"/>
    <xf numFmtId="0" fontId="0" fillId="5" borderId="0" xfId="0" applyFill="1"/>
    <xf numFmtId="0" fontId="5" fillId="5" borderId="0" xfId="0" applyFont="1" applyFill="1"/>
    <xf numFmtId="0" fontId="13" fillId="0" borderId="0" xfId="0" applyFont="1"/>
    <xf numFmtId="0" fontId="2" fillId="8" borderId="3" xfId="0" applyFont="1" applyFill="1" applyBorder="1" applyAlignment="1">
      <alignment horizontal="center"/>
    </xf>
    <xf numFmtId="0" fontId="0" fillId="3" borderId="0" xfId="0" applyFont="1" applyFill="1"/>
    <xf numFmtId="166" fontId="0" fillId="0" borderId="0" xfId="0" applyNumberFormat="1"/>
    <xf numFmtId="0" fontId="0" fillId="0" borderId="0" xfId="0" quotePrefix="1"/>
    <xf numFmtId="0" fontId="0" fillId="0" borderId="8" xfId="0" applyBorder="1"/>
    <xf numFmtId="0" fontId="0" fillId="0" borderId="10" xfId="0" applyBorder="1"/>
    <xf numFmtId="43" fontId="0" fillId="0" borderId="11" xfId="1" applyFont="1" applyBorder="1"/>
    <xf numFmtId="0" fontId="0" fillId="0" borderId="6" xfId="0" applyBorder="1"/>
    <xf numFmtId="43" fontId="0" fillId="0" borderId="7" xfId="1" applyFont="1" applyBorder="1"/>
    <xf numFmtId="9" fontId="0" fillId="0" borderId="9" xfId="0" applyNumberFormat="1" applyBorder="1"/>
    <xf numFmtId="43" fontId="0" fillId="0" borderId="9" xfId="0" applyNumberFormat="1" applyBorder="1"/>
    <xf numFmtId="43" fontId="0" fillId="0" borderId="9" xfId="1" applyFont="1" applyBorder="1"/>
    <xf numFmtId="43" fontId="0" fillId="0" borderId="0" xfId="1" applyFont="1" applyBorder="1"/>
    <xf numFmtId="9" fontId="0" fillId="0" borderId="0" xfId="0" applyNumberFormat="1" applyBorder="1"/>
    <xf numFmtId="43" fontId="0" fillId="0" borderId="0" xfId="0" applyNumberFormat="1" applyBorder="1"/>
    <xf numFmtId="43" fontId="3" fillId="0" borderId="0" xfId="0" applyNumberFormat="1" applyFont="1" applyBorder="1"/>
    <xf numFmtId="10" fontId="0" fillId="0" borderId="1" xfId="2" applyNumberFormat="1" applyFont="1" applyBorder="1"/>
    <xf numFmtId="0" fontId="0" fillId="16" borderId="6" xfId="0" applyFill="1" applyBorder="1"/>
    <xf numFmtId="0" fontId="0" fillId="16" borderId="8" xfId="0" applyFill="1" applyBorder="1"/>
    <xf numFmtId="0" fontId="0" fillId="16" borderId="10" xfId="0" applyFill="1" applyBorder="1"/>
    <xf numFmtId="0" fontId="0" fillId="0" borderId="1" xfId="0" applyNumberFormat="1" applyBorder="1" applyAlignment="1">
      <alignment horizontal="left"/>
    </xf>
    <xf numFmtId="0" fontId="0" fillId="11" borderId="1" xfId="0" applyFill="1" applyBorder="1" applyAlignment="1">
      <alignment horizontal="center"/>
    </xf>
    <xf numFmtId="0" fontId="0" fillId="0" borderId="16" xfId="0" applyBorder="1"/>
    <xf numFmtId="0" fontId="16" fillId="0" borderId="0" xfId="3"/>
    <xf numFmtId="0" fontId="18" fillId="17" borderId="22" xfId="3" applyFont="1" applyFill="1" applyBorder="1" applyAlignment="1">
      <alignment horizontal="center"/>
    </xf>
    <xf numFmtId="0" fontId="16" fillId="0" borderId="0" xfId="3" applyAlignment="1">
      <alignment horizontal="center"/>
    </xf>
    <xf numFmtId="0" fontId="17" fillId="17" borderId="15" xfId="3" applyFont="1" applyFill="1" applyBorder="1" applyAlignment="1">
      <alignment horizontal="center"/>
    </xf>
    <xf numFmtId="0" fontId="17" fillId="17" borderId="22" xfId="3" applyFont="1" applyFill="1" applyBorder="1" applyAlignment="1">
      <alignment horizontal="center"/>
    </xf>
    <xf numFmtId="2" fontId="20" fillId="0" borderId="24" xfId="4" applyNumberFormat="1" applyFont="1" applyFill="1" applyBorder="1" applyAlignment="1">
      <alignment horizontal="right" wrapText="1"/>
    </xf>
    <xf numFmtId="4" fontId="16" fillId="18" borderId="0" xfId="3" applyNumberFormat="1" applyFill="1"/>
    <xf numFmtId="0" fontId="17" fillId="17" borderId="20" xfId="3" applyFont="1" applyFill="1" applyBorder="1" applyAlignment="1">
      <alignment horizontal="center"/>
    </xf>
    <xf numFmtId="0" fontId="17" fillId="17" borderId="25" xfId="3" applyFont="1" applyFill="1" applyBorder="1" applyAlignment="1">
      <alignment horizontal="center"/>
    </xf>
    <xf numFmtId="2" fontId="20" fillId="0" borderId="26" xfId="4" applyNumberFormat="1" applyFont="1" applyFill="1" applyBorder="1" applyAlignment="1">
      <alignment horizontal="right" wrapText="1"/>
    </xf>
    <xf numFmtId="2" fontId="20" fillId="0" borderId="27" xfId="4" applyNumberFormat="1" applyFont="1" applyFill="1" applyBorder="1" applyAlignment="1">
      <alignment horizontal="right" wrapText="1"/>
    </xf>
    <xf numFmtId="2" fontId="20" fillId="0" borderId="28" xfId="4" applyNumberFormat="1" applyFont="1" applyFill="1" applyBorder="1" applyAlignment="1">
      <alignment horizontal="right" wrapText="1"/>
    </xf>
    <xf numFmtId="2" fontId="20" fillId="0" borderId="0" xfId="4" applyNumberFormat="1" applyFont="1" applyFill="1" applyBorder="1" applyAlignment="1">
      <alignment horizontal="right" wrapText="1"/>
    </xf>
    <xf numFmtId="10" fontId="0" fillId="0" borderId="1" xfId="0" applyNumberFormat="1" applyBorder="1"/>
    <xf numFmtId="43" fontId="0" fillId="0" borderId="17" xfId="0" applyNumberFormat="1" applyBorder="1"/>
    <xf numFmtId="0" fontId="3" fillId="12" borderId="10" xfId="0" applyFont="1" applyFill="1" applyBorder="1"/>
    <xf numFmtId="43" fontId="3" fillId="12" borderId="11" xfId="0" applyNumberFormat="1" applyFont="1" applyFill="1" applyBorder="1"/>
    <xf numFmtId="0" fontId="3" fillId="6" borderId="10" xfId="0" applyFont="1" applyFill="1" applyBorder="1"/>
    <xf numFmtId="43" fontId="3" fillId="6" borderId="11" xfId="0" applyNumberFormat="1" applyFont="1" applyFill="1" applyBorder="1"/>
    <xf numFmtId="0" fontId="0" fillId="19" borderId="6" xfId="0" applyFill="1" applyBorder="1"/>
    <xf numFmtId="43" fontId="0" fillId="19" borderId="7" xfId="1" applyFont="1" applyFill="1" applyBorder="1"/>
    <xf numFmtId="0" fontId="0" fillId="16" borderId="31" xfId="0" applyFill="1" applyBorder="1"/>
    <xf numFmtId="43" fontId="0" fillId="16" borderId="1" xfId="1" applyFont="1" applyFill="1" applyBorder="1"/>
    <xf numFmtId="2" fontId="0" fillId="0" borderId="9" xfId="0" applyNumberFormat="1" applyBorder="1"/>
    <xf numFmtId="14" fontId="0" fillId="0" borderId="9" xfId="0" applyNumberFormat="1" applyBorder="1"/>
    <xf numFmtId="0" fontId="0" fillId="0" borderId="11" xfId="0" applyBorder="1" applyAlignment="1">
      <alignment horizontal="center"/>
    </xf>
    <xf numFmtId="0" fontId="0" fillId="0" borderId="34" xfId="0" applyBorder="1"/>
    <xf numFmtId="43" fontId="0" fillId="0" borderId="36" xfId="0" applyNumberFormat="1" applyBorder="1"/>
    <xf numFmtId="43" fontId="0" fillId="0" borderId="20" xfId="0" applyNumberFormat="1" applyBorder="1"/>
    <xf numFmtId="0" fontId="3" fillId="16" borderId="35" xfId="0" applyFont="1" applyFill="1" applyBorder="1"/>
    <xf numFmtId="43" fontId="0" fillId="16" borderId="15" xfId="0" applyNumberFormat="1" applyFill="1" applyBorder="1"/>
    <xf numFmtId="43" fontId="0" fillId="16" borderId="37" xfId="0" applyNumberFormat="1" applyFill="1" applyBorder="1"/>
    <xf numFmtId="0" fontId="3" fillId="16" borderId="10" xfId="0" applyFont="1" applyFill="1" applyBorder="1"/>
    <xf numFmtId="43" fontId="3" fillId="16" borderId="11" xfId="0" applyNumberFormat="1" applyFont="1" applyFill="1" applyBorder="1"/>
    <xf numFmtId="43" fontId="0" fillId="16" borderId="9" xfId="0" applyNumberFormat="1" applyFill="1" applyBorder="1"/>
    <xf numFmtId="0" fontId="3" fillId="20" borderId="6" xfId="0" applyFont="1" applyFill="1" applyBorder="1"/>
    <xf numFmtId="43" fontId="3" fillId="20" borderId="7" xfId="1" applyFont="1" applyFill="1" applyBorder="1"/>
    <xf numFmtId="0" fontId="3" fillId="20" borderId="18" xfId="0" applyFont="1" applyFill="1" applyBorder="1"/>
    <xf numFmtId="43" fontId="3" fillId="20" borderId="22" xfId="1" applyFont="1" applyFill="1" applyBorder="1"/>
    <xf numFmtId="43" fontId="3" fillId="20" borderId="19" xfId="1" applyFont="1" applyFill="1" applyBorder="1"/>
    <xf numFmtId="0" fontId="3" fillId="20" borderId="16" xfId="0" applyFont="1" applyFill="1" applyBorder="1"/>
    <xf numFmtId="43" fontId="3" fillId="20" borderId="17" xfId="1" applyFont="1" applyFill="1" applyBorder="1"/>
    <xf numFmtId="0" fontId="3" fillId="16" borderId="16" xfId="0" applyFont="1" applyFill="1" applyBorder="1"/>
    <xf numFmtId="43" fontId="3" fillId="16" borderId="17" xfId="0" applyNumberFormat="1" applyFont="1" applyFill="1" applyBorder="1"/>
    <xf numFmtId="43" fontId="0" fillId="0" borderId="0" xfId="0" applyNumberFormat="1"/>
    <xf numFmtId="0" fontId="0" fillId="0" borderId="26" xfId="0" applyBorder="1"/>
    <xf numFmtId="43" fontId="0" fillId="0" borderId="26" xfId="1" applyFont="1" applyBorder="1"/>
    <xf numFmtId="14" fontId="0" fillId="6" borderId="26" xfId="0" applyNumberFormat="1" applyFill="1" applyBorder="1"/>
    <xf numFmtId="10" fontId="0" fillId="0" borderId="0" xfId="0" applyNumberFormat="1"/>
    <xf numFmtId="0" fontId="3" fillId="21" borderId="32" xfId="0" applyFont="1" applyFill="1" applyBorder="1" applyAlignment="1"/>
    <xf numFmtId="0" fontId="3" fillId="21" borderId="29" xfId="0" applyFont="1" applyFill="1" applyBorder="1" applyAlignment="1">
      <alignment horizontal="center"/>
    </xf>
    <xf numFmtId="0" fontId="3" fillId="21" borderId="33" xfId="0" applyFont="1" applyFill="1" applyBorder="1" applyAlignment="1">
      <alignment horizontal="center"/>
    </xf>
    <xf numFmtId="43" fontId="0" fillId="0" borderId="40" xfId="0" applyNumberFormat="1" applyBorder="1"/>
    <xf numFmtId="43" fontId="0" fillId="0" borderId="41" xfId="1" applyFont="1" applyBorder="1"/>
    <xf numFmtId="0" fontId="0" fillId="21" borderId="26" xfId="0" applyFill="1" applyBorder="1"/>
    <xf numFmtId="43" fontId="0" fillId="21" borderId="26" xfId="0" applyNumberFormat="1" applyFill="1" applyBorder="1"/>
    <xf numFmtId="0" fontId="0" fillId="0" borderId="42" xfId="0" applyBorder="1"/>
    <xf numFmtId="0" fontId="0" fillId="0" borderId="0" xfId="0" applyBorder="1"/>
    <xf numFmtId="14" fontId="0" fillId="22" borderId="9" xfId="0" applyNumberFormat="1" applyFill="1" applyBorder="1" applyAlignment="1">
      <alignment horizontal="center"/>
    </xf>
    <xf numFmtId="0" fontId="0" fillId="22" borderId="7" xfId="0" applyFill="1" applyBorder="1"/>
    <xf numFmtId="0" fontId="0" fillId="22" borderId="9" xfId="0" applyFill="1" applyBorder="1" applyAlignment="1">
      <alignment horizontal="center"/>
    </xf>
    <xf numFmtId="43" fontId="0" fillId="22" borderId="9" xfId="1" applyFont="1" applyFill="1" applyBorder="1"/>
    <xf numFmtId="10" fontId="0" fillId="22" borderId="9" xfId="2" applyNumberFormat="1" applyFont="1" applyFill="1" applyBorder="1" applyAlignment="1">
      <alignment horizontal="center"/>
    </xf>
    <xf numFmtId="0" fontId="0" fillId="22" borderId="17" xfId="0" applyFill="1" applyBorder="1" applyAlignment="1">
      <alignment horizontal="center"/>
    </xf>
    <xf numFmtId="164" fontId="3" fillId="7" borderId="1" xfId="0" applyNumberFormat="1" applyFont="1" applyFill="1" applyBorder="1" applyAlignment="1">
      <alignment horizontal="center" vertical="center" wrapText="1"/>
    </xf>
    <xf numFmtId="14" fontId="0" fillId="0" borderId="0" xfId="0" applyNumberFormat="1"/>
    <xf numFmtId="14" fontId="0" fillId="0" borderId="26" xfId="0" applyNumberFormat="1" applyBorder="1"/>
    <xf numFmtId="164" fontId="3" fillId="7" borderId="1" xfId="0" applyNumberFormat="1" applyFont="1" applyFill="1" applyBorder="1" applyAlignment="1">
      <alignment horizontal="center" vertical="center"/>
    </xf>
    <xf numFmtId="164" fontId="3" fillId="7" borderId="26" xfId="0" applyNumberFormat="1" applyFont="1" applyFill="1" applyBorder="1" applyAlignment="1">
      <alignment horizontal="center" vertical="center" wrapText="1"/>
    </xf>
    <xf numFmtId="43" fontId="0" fillId="0" borderId="26" xfId="0" applyNumberFormat="1" applyBorder="1"/>
    <xf numFmtId="8" fontId="0" fillId="0" borderId="0" xfId="0" applyNumberFormat="1"/>
    <xf numFmtId="0" fontId="0" fillId="0" borderId="26" xfId="0" applyBorder="1" applyAlignment="1">
      <alignment horizontal="center" vertical="center" wrapText="1"/>
    </xf>
    <xf numFmtId="43" fontId="0" fillId="20" borderId="26" xfId="0" applyNumberFormat="1" applyFill="1" applyBorder="1"/>
    <xf numFmtId="0" fontId="0" fillId="7" borderId="1" xfId="0" applyFill="1" applyBorder="1"/>
    <xf numFmtId="10" fontId="0" fillId="7" borderId="1" xfId="0" applyNumberFormat="1" applyFill="1" applyBorder="1"/>
    <xf numFmtId="164" fontId="3" fillId="7" borderId="1" xfId="0" applyNumberFormat="1" applyFont="1" applyFill="1" applyBorder="1" applyAlignment="1">
      <alignment horizontal="center" vertical="center" wrapText="1"/>
    </xf>
    <xf numFmtId="0" fontId="24" fillId="0" borderId="46" xfId="0" applyFont="1" applyBorder="1" applyProtection="1">
      <protection hidden="1"/>
    </xf>
    <xf numFmtId="0" fontId="26" fillId="0" borderId="0" xfId="0" applyFont="1" applyBorder="1" applyProtection="1">
      <protection hidden="1"/>
    </xf>
    <xf numFmtId="0" fontId="31" fillId="0" borderId="0" xfId="0" applyFont="1" applyBorder="1" applyProtection="1">
      <protection hidden="1"/>
    </xf>
    <xf numFmtId="44" fontId="42" fillId="0" borderId="0" xfId="5" applyFont="1" applyBorder="1" applyProtection="1">
      <protection hidden="1"/>
    </xf>
    <xf numFmtId="0" fontId="24" fillId="0" borderId="0" xfId="0" applyFont="1" applyBorder="1" applyProtection="1">
      <protection hidden="1"/>
    </xf>
    <xf numFmtId="0" fontId="33" fillId="0" borderId="51" xfId="0" applyFont="1" applyBorder="1" applyProtection="1">
      <protection hidden="1"/>
    </xf>
    <xf numFmtId="0" fontId="25" fillId="0" borderId="51" xfId="0" applyFont="1" applyBorder="1" applyProtection="1">
      <protection hidden="1"/>
    </xf>
    <xf numFmtId="0" fontId="34" fillId="0" borderId="0" xfId="0" applyFont="1" applyBorder="1" applyProtection="1">
      <protection hidden="1"/>
    </xf>
    <xf numFmtId="14" fontId="43" fillId="0" borderId="0" xfId="0" applyNumberFormat="1" applyFont="1" applyBorder="1" applyAlignment="1" applyProtection="1">
      <alignment horizontal="center"/>
      <protection hidden="1"/>
    </xf>
    <xf numFmtId="0" fontId="29" fillId="0" borderId="0" xfId="0" applyFont="1" applyBorder="1" applyProtection="1">
      <protection hidden="1"/>
    </xf>
    <xf numFmtId="0" fontId="27" fillId="0" borderId="0" xfId="0" applyFont="1" applyBorder="1" applyProtection="1">
      <protection hidden="1"/>
    </xf>
    <xf numFmtId="44" fontId="36" fillId="0" borderId="0" xfId="5" applyFont="1" applyBorder="1" applyProtection="1">
      <protection hidden="1"/>
    </xf>
    <xf numFmtId="0" fontId="35" fillId="0" borderId="0" xfId="0" applyFont="1" applyBorder="1" applyProtection="1">
      <protection hidden="1"/>
    </xf>
    <xf numFmtId="44" fontId="37" fillId="0" borderId="0" xfId="5" applyFont="1" applyBorder="1" applyProtection="1">
      <protection hidden="1"/>
    </xf>
    <xf numFmtId="0" fontId="24" fillId="0" borderId="51" xfId="0" applyFont="1" applyBorder="1" applyProtection="1">
      <protection hidden="1"/>
    </xf>
    <xf numFmtId="0" fontId="31" fillId="0" borderId="0" xfId="0" applyFont="1" applyBorder="1" applyAlignment="1" applyProtection="1">
      <alignment horizontal="right"/>
      <protection hidden="1"/>
    </xf>
    <xf numFmtId="0" fontId="39" fillId="0" borderId="46" xfId="0" applyFont="1" applyBorder="1" applyProtection="1">
      <protection hidden="1"/>
    </xf>
    <xf numFmtId="0" fontId="39" fillId="0" borderId="0" xfId="0" applyFont="1" applyBorder="1" applyProtection="1">
      <protection hidden="1"/>
    </xf>
    <xf numFmtId="0" fontId="38" fillId="0" borderId="0" xfId="0" applyFont="1" applyBorder="1" applyAlignment="1" applyProtection="1">
      <alignment vertical="top"/>
      <protection hidden="1"/>
    </xf>
    <xf numFmtId="0" fontId="40" fillId="0" borderId="0" xfId="0" applyFont="1" applyBorder="1" applyProtection="1">
      <protection hidden="1"/>
    </xf>
    <xf numFmtId="0" fontId="24" fillId="0" borderId="48" xfId="0" applyFont="1" applyBorder="1" applyProtection="1">
      <protection hidden="1"/>
    </xf>
    <xf numFmtId="0" fontId="32" fillId="0" borderId="49" xfId="0" applyFont="1" applyBorder="1" applyAlignment="1" applyProtection="1">
      <alignment horizontal="right"/>
      <protection hidden="1"/>
    </xf>
    <xf numFmtId="14" fontId="32" fillId="0" borderId="49" xfId="0" applyNumberFormat="1" applyFont="1" applyBorder="1" applyProtection="1">
      <protection hidden="1"/>
    </xf>
    <xf numFmtId="0" fontId="24" fillId="0" borderId="47" xfId="0" applyFont="1" applyBorder="1" applyProtection="1">
      <protection hidden="1"/>
    </xf>
    <xf numFmtId="0" fontId="39" fillId="0" borderId="47" xfId="0" applyFont="1" applyBorder="1" applyProtection="1">
      <protection hidden="1"/>
    </xf>
    <xf numFmtId="0" fontId="24" fillId="0" borderId="50" xfId="0" applyFont="1" applyBorder="1" applyProtection="1">
      <protection hidden="1"/>
    </xf>
    <xf numFmtId="0" fontId="24" fillId="0" borderId="0" xfId="0" applyFont="1" applyAlignment="1" applyProtection="1">
      <protection hidden="1"/>
    </xf>
    <xf numFmtId="0" fontId="24" fillId="0" borderId="43" xfId="0" applyFont="1" applyBorder="1" applyAlignment="1" applyProtection="1">
      <protection hidden="1"/>
    </xf>
    <xf numFmtId="0" fontId="24" fillId="0" borderId="45" xfId="0" applyFont="1" applyBorder="1" applyAlignment="1" applyProtection="1">
      <protection hidden="1"/>
    </xf>
    <xf numFmtId="0" fontId="24" fillId="0" borderId="0" xfId="0" applyFont="1" applyProtection="1">
      <protection hidden="1"/>
    </xf>
    <xf numFmtId="0" fontId="24" fillId="0" borderId="46" xfId="0" applyFont="1" applyBorder="1" applyAlignment="1" applyProtection="1">
      <protection hidden="1"/>
    </xf>
    <xf numFmtId="0" fontId="24" fillId="0" borderId="47" xfId="0" applyFont="1" applyBorder="1" applyAlignment="1" applyProtection="1">
      <protection hidden="1"/>
    </xf>
    <xf numFmtId="0" fontId="24" fillId="7" borderId="46" xfId="0" applyFont="1" applyFill="1" applyBorder="1" applyProtection="1">
      <protection hidden="1"/>
    </xf>
    <xf numFmtId="0" fontId="24" fillId="7" borderId="47" xfId="0" applyFont="1" applyFill="1" applyBorder="1" applyProtection="1">
      <protection hidden="1"/>
    </xf>
    <xf numFmtId="0" fontId="30" fillId="0" borderId="0" xfId="0" applyFont="1" applyBorder="1" applyProtection="1">
      <protection hidden="1"/>
    </xf>
    <xf numFmtId="0" fontId="39" fillId="0" borderId="0" xfId="0" applyFont="1" applyProtection="1">
      <protection hidden="1"/>
    </xf>
    <xf numFmtId="0" fontId="24" fillId="0" borderId="49" xfId="0" applyFont="1" applyBorder="1" applyProtection="1">
      <protection hidden="1"/>
    </xf>
    <xf numFmtId="0" fontId="31" fillId="0" borderId="0" xfId="0" applyFont="1" applyBorder="1" applyAlignment="1" applyProtection="1">
      <alignment horizontal="right" vertical="top"/>
      <protection hidden="1"/>
    </xf>
    <xf numFmtId="0" fontId="24" fillId="0" borderId="0" xfId="0" applyFont="1" applyBorder="1" applyAlignment="1" applyProtection="1">
      <alignment horizontal="center"/>
      <protection hidden="1"/>
    </xf>
    <xf numFmtId="0" fontId="24" fillId="7" borderId="52" xfId="0" applyFont="1" applyFill="1" applyBorder="1" applyAlignment="1" applyProtection="1">
      <alignment horizontal="center"/>
      <protection locked="0"/>
    </xf>
    <xf numFmtId="14" fontId="24" fillId="7" borderId="52" xfId="0" applyNumberFormat="1" applyFont="1" applyFill="1" applyBorder="1" applyAlignment="1" applyProtection="1">
      <alignment horizontal="center"/>
      <protection locked="0"/>
    </xf>
    <xf numFmtId="0" fontId="27" fillId="7" borderId="52" xfId="0" applyFont="1" applyFill="1" applyBorder="1" applyAlignment="1" applyProtection="1">
      <alignment horizontal="center"/>
      <protection locked="0"/>
    </xf>
    <xf numFmtId="0" fontId="41" fillId="0" borderId="49" xfId="0" applyFont="1" applyBorder="1" applyAlignment="1" applyProtection="1">
      <alignment vertical="top"/>
      <protection hidden="1"/>
    </xf>
    <xf numFmtId="168" fontId="0" fillId="0" borderId="0" xfId="1" applyNumberFormat="1" applyFont="1"/>
    <xf numFmtId="0" fontId="31" fillId="0" borderId="0" xfId="0" applyFont="1" applyBorder="1" applyAlignment="1" applyProtection="1">
      <protection hidden="1"/>
    </xf>
    <xf numFmtId="0" fontId="0" fillId="0" borderId="10" xfId="0" applyFill="1" applyBorder="1"/>
    <xf numFmtId="0" fontId="0" fillId="0" borderId="11" xfId="0" applyFill="1" applyBorder="1" applyAlignment="1">
      <alignment horizontal="center"/>
    </xf>
    <xf numFmtId="43" fontId="0" fillId="0" borderId="0" xfId="1" applyFont="1"/>
    <xf numFmtId="165" fontId="0" fillId="0" borderId="0" xfId="1" applyNumberFormat="1" applyFont="1"/>
    <xf numFmtId="2" fontId="0" fillId="2" borderId="1" xfId="0" applyNumberFormat="1" applyFill="1" applyBorder="1"/>
    <xf numFmtId="0" fontId="0" fillId="20" borderId="0" xfId="0" applyFill="1"/>
    <xf numFmtId="0" fontId="0" fillId="2" borderId="1" xfId="0" applyNumberFormat="1" applyFill="1" applyBorder="1"/>
    <xf numFmtId="0" fontId="0" fillId="0" borderId="26" xfId="0" applyBorder="1" applyAlignment="1">
      <alignment horizontal="center"/>
    </xf>
    <xf numFmtId="10" fontId="0" fillId="0" borderId="26" xfId="2" applyNumberFormat="1" applyFont="1" applyBorder="1" applyAlignment="1">
      <alignment horizontal="center"/>
    </xf>
    <xf numFmtId="0" fontId="47" fillId="23" borderId="26" xfId="0" applyFont="1" applyFill="1" applyBorder="1" applyAlignment="1">
      <alignment horizontal="center" vertical="center"/>
    </xf>
    <xf numFmtId="10" fontId="47" fillId="23" borderId="26" xfId="0" applyNumberFormat="1" applyFont="1" applyFill="1" applyBorder="1" applyAlignment="1">
      <alignment horizontal="center" vertical="center"/>
    </xf>
    <xf numFmtId="43" fontId="4" fillId="0" borderId="26" xfId="1" applyFont="1" applyBorder="1" applyAlignment="1">
      <alignment horizontal="center"/>
    </xf>
    <xf numFmtId="44" fontId="0" fillId="0" borderId="26" xfId="5" applyFont="1" applyBorder="1"/>
    <xf numFmtId="44" fontId="3" fillId="0" borderId="26" xfId="0" applyNumberFormat="1" applyFont="1" applyBorder="1"/>
    <xf numFmtId="169" fontId="0" fillId="0" borderId="9" xfId="0" applyNumberFormat="1" applyBorder="1"/>
    <xf numFmtId="0" fontId="46" fillId="0" borderId="0" xfId="0" applyFont="1"/>
    <xf numFmtId="0" fontId="15" fillId="2" borderId="26" xfId="0" applyFont="1" applyFill="1" applyBorder="1" applyAlignment="1">
      <alignment horizontal="center"/>
    </xf>
    <xf numFmtId="0" fontId="15" fillId="2" borderId="27" xfId="0" applyFont="1" applyFill="1" applyBorder="1" applyAlignment="1">
      <alignment vertical="center"/>
    </xf>
    <xf numFmtId="0" fontId="4" fillId="2" borderId="26" xfId="0" applyFont="1" applyFill="1" applyBorder="1" applyAlignment="1">
      <alignment horizontal="center"/>
    </xf>
    <xf numFmtId="0" fontId="0" fillId="17" borderId="26" xfId="0" applyFill="1" applyBorder="1" applyAlignment="1">
      <alignment horizontal="center"/>
    </xf>
    <xf numFmtId="0" fontId="0" fillId="20" borderId="0" xfId="0" applyFill="1" applyAlignment="1">
      <alignment horizontal="center"/>
    </xf>
    <xf numFmtId="0" fontId="0" fillId="24" borderId="0" xfId="0" applyFill="1" applyAlignment="1">
      <alignment horizontal="center"/>
    </xf>
    <xf numFmtId="0" fontId="0" fillId="24" borderId="0" xfId="0" applyFill="1"/>
    <xf numFmtId="0" fontId="3" fillId="0" borderId="26" xfId="0" applyFont="1" applyFill="1" applyBorder="1" applyAlignment="1"/>
    <xf numFmtId="0" fontId="0" fillId="5" borderId="26" xfId="0" applyFill="1" applyBorder="1"/>
    <xf numFmtId="0" fontId="3" fillId="0" borderId="26" xfId="0" applyFont="1" applyFill="1" applyBorder="1" applyAlignment="1">
      <alignment horizontal="center"/>
    </xf>
    <xf numFmtId="166" fontId="0" fillId="0" borderId="26" xfId="0" applyNumberFormat="1" applyFill="1" applyBorder="1" applyAlignment="1">
      <alignment horizontal="center"/>
    </xf>
    <xf numFmtId="168" fontId="0" fillId="0" borderId="26" xfId="1" applyNumberFormat="1" applyFont="1" applyBorder="1"/>
    <xf numFmtId="14" fontId="0" fillId="0" borderId="26" xfId="0" applyNumberFormat="1" applyBorder="1" applyAlignment="1">
      <alignment horizontal="center"/>
    </xf>
    <xf numFmtId="0" fontId="0" fillId="26" borderId="0" xfId="0" applyFill="1"/>
    <xf numFmtId="0" fontId="4" fillId="26" borderId="0" xfId="0" applyFont="1" applyFill="1"/>
    <xf numFmtId="0" fontId="0" fillId="16" borderId="0" xfId="0" applyFill="1"/>
    <xf numFmtId="0" fontId="4" fillId="16" borderId="0" xfId="0" applyFont="1" applyFill="1"/>
    <xf numFmtId="0" fontId="0" fillId="27" borderId="0" xfId="0" applyFill="1"/>
    <xf numFmtId="0" fontId="4" fillId="27" borderId="0" xfId="0" applyFont="1" applyFill="1"/>
    <xf numFmtId="0" fontId="3" fillId="0" borderId="26" xfId="0" applyFont="1" applyBorder="1" applyAlignment="1">
      <alignment horizontal="center"/>
    </xf>
    <xf numFmtId="169" fontId="0" fillId="0" borderId="0" xfId="2" applyNumberFormat="1" applyFont="1"/>
    <xf numFmtId="10" fontId="0" fillId="0" borderId="0" xfId="2" applyNumberFormat="1" applyFont="1"/>
    <xf numFmtId="43" fontId="46" fillId="0" borderId="26" xfId="0" applyNumberFormat="1" applyFont="1" applyBorder="1"/>
    <xf numFmtId="44" fontId="48" fillId="0" borderId="26" xfId="0" applyNumberFormat="1" applyFont="1" applyBorder="1"/>
    <xf numFmtId="0" fontId="3" fillId="28" borderId="26" xfId="0" applyFont="1" applyFill="1" applyBorder="1" applyAlignment="1">
      <alignment horizontal="center"/>
    </xf>
    <xf numFmtId="14" fontId="3" fillId="28" borderId="26" xfId="0" applyNumberFormat="1" applyFont="1" applyFill="1" applyBorder="1" applyAlignment="1">
      <alignment horizontal="center"/>
    </xf>
    <xf numFmtId="0" fontId="0" fillId="28" borderId="0" xfId="0" applyFill="1"/>
    <xf numFmtId="0" fontId="0" fillId="21" borderId="0" xfId="0" applyFill="1"/>
    <xf numFmtId="0" fontId="3" fillId="0" borderId="26" xfId="0" applyFont="1" applyBorder="1"/>
    <xf numFmtId="43" fontId="3" fillId="0" borderId="26" xfId="1" applyNumberFormat="1" applyFont="1" applyFill="1" applyBorder="1"/>
    <xf numFmtId="43" fontId="3" fillId="0" borderId="26" xfId="1" applyFont="1" applyBorder="1"/>
    <xf numFmtId="0" fontId="35" fillId="0" borderId="0" xfId="0" applyFont="1" applyBorder="1" applyAlignment="1" applyProtection="1">
      <alignment vertical="top" wrapText="1"/>
      <protection hidden="1"/>
    </xf>
    <xf numFmtId="0" fontId="49" fillId="0" borderId="0" xfId="0" applyFont="1" applyBorder="1" applyAlignment="1" applyProtection="1">
      <alignment horizontal="left" indent="1"/>
      <protection hidden="1"/>
    </xf>
    <xf numFmtId="44" fontId="50" fillId="0" borderId="0" xfId="5" applyFont="1" applyBorder="1" applyProtection="1">
      <protection hidden="1"/>
    </xf>
    <xf numFmtId="0" fontId="29" fillId="0" borderId="0" xfId="0" applyFont="1" applyBorder="1" applyAlignment="1" applyProtection="1">
      <alignment horizontal="left" vertical="center" wrapText="1" indent="3"/>
      <protection hidden="1"/>
    </xf>
    <xf numFmtId="44" fontId="27" fillId="7" borderId="52" xfId="5" applyFont="1" applyFill="1" applyBorder="1" applyAlignment="1" applyProtection="1">
      <alignment horizontal="center"/>
      <protection locked="0"/>
    </xf>
    <xf numFmtId="44" fontId="36" fillId="5" borderId="0" xfId="5" applyFont="1" applyFill="1" applyBorder="1" applyProtection="1">
      <protection hidden="1"/>
    </xf>
    <xf numFmtId="44" fontId="50" fillId="5" borderId="0" xfId="5" applyFont="1" applyFill="1" applyBorder="1" applyProtection="1">
      <protection hidden="1"/>
    </xf>
    <xf numFmtId="0" fontId="31" fillId="26" borderId="0" xfId="0" applyFont="1" applyFill="1" applyBorder="1" applyProtection="1">
      <protection hidden="1"/>
    </xf>
    <xf numFmtId="0" fontId="24" fillId="26" borderId="0" xfId="0" applyFont="1" applyFill="1" applyProtection="1">
      <protection hidden="1"/>
    </xf>
    <xf numFmtId="44" fontId="36" fillId="26" borderId="0" xfId="5" applyFont="1" applyFill="1" applyBorder="1" applyProtection="1">
      <protection hidden="1"/>
    </xf>
    <xf numFmtId="0" fontId="24" fillId="26" borderId="0" xfId="0" applyFont="1" applyFill="1" applyBorder="1" applyProtection="1">
      <protection hidden="1"/>
    </xf>
    <xf numFmtId="43" fontId="0" fillId="0" borderId="0" xfId="1" applyFont="1" applyAlignment="1"/>
    <xf numFmtId="0" fontId="0" fillId="0" borderId="0" xfId="0" applyAlignment="1"/>
    <xf numFmtId="0" fontId="44" fillId="0" borderId="0" xfId="0" applyFont="1" applyProtection="1">
      <protection hidden="1"/>
    </xf>
    <xf numFmtId="2" fontId="0" fillId="0" borderId="0" xfId="0" applyNumberFormat="1"/>
    <xf numFmtId="0" fontId="24" fillId="0" borderId="0" xfId="0" applyFont="1" applyFill="1"/>
    <xf numFmtId="0" fontId="24" fillId="0" borderId="0" xfId="0" applyFont="1" applyFill="1" applyAlignment="1"/>
    <xf numFmtId="0" fontId="24" fillId="0" borderId="0" xfId="0" applyFont="1" applyFill="1" applyBorder="1" applyAlignment="1"/>
    <xf numFmtId="0" fontId="24" fillId="0" borderId="0" xfId="0" applyFont="1" applyFill="1" applyBorder="1"/>
    <xf numFmtId="0" fontId="31" fillId="0" borderId="0" xfId="0" applyFont="1" applyFill="1" applyBorder="1"/>
    <xf numFmtId="0" fontId="26" fillId="0" borderId="0" xfId="0" applyFont="1" applyFill="1" applyBorder="1"/>
    <xf numFmtId="0" fontId="31" fillId="0" borderId="26" xfId="0" applyFont="1" applyFill="1" applyBorder="1" applyAlignment="1">
      <alignment horizontal="center"/>
    </xf>
    <xf numFmtId="14" fontId="24" fillId="0" borderId="3" xfId="0" applyNumberFormat="1" applyFont="1" applyFill="1" applyBorder="1" applyAlignment="1" applyProtection="1">
      <alignment horizontal="center"/>
      <protection hidden="1"/>
    </xf>
    <xf numFmtId="43" fontId="24" fillId="0" borderId="3" xfId="1" applyFont="1" applyFill="1" applyBorder="1"/>
    <xf numFmtId="43" fontId="26" fillId="0" borderId="0" xfId="0" applyNumberFormat="1" applyFont="1" applyFill="1" applyBorder="1"/>
    <xf numFmtId="14" fontId="24" fillId="0" borderId="26" xfId="0" applyNumberFormat="1" applyFont="1" applyFill="1" applyBorder="1" applyAlignment="1" applyProtection="1">
      <alignment horizontal="center"/>
      <protection hidden="1"/>
    </xf>
    <xf numFmtId="0" fontId="55" fillId="7" borderId="26" xfId="0" applyFont="1" applyFill="1" applyBorder="1" applyAlignment="1">
      <alignment horizontal="center"/>
    </xf>
    <xf numFmtId="14" fontId="56" fillId="7" borderId="3" xfId="0" applyNumberFormat="1" applyFont="1" applyFill="1" applyBorder="1" applyAlignment="1" applyProtection="1">
      <alignment horizontal="center"/>
      <protection hidden="1"/>
    </xf>
    <xf numFmtId="43" fontId="56" fillId="7" borderId="3" xfId="1" applyFont="1" applyFill="1" applyBorder="1"/>
    <xf numFmtId="14" fontId="56" fillId="7" borderId="26" xfId="0" applyNumberFormat="1" applyFont="1" applyFill="1" applyBorder="1" applyAlignment="1" applyProtection="1">
      <alignment horizontal="center"/>
      <protection hidden="1"/>
    </xf>
    <xf numFmtId="0" fontId="0" fillId="0" borderId="26" xfId="0" applyNumberFormat="1" applyBorder="1" applyAlignment="1">
      <alignment horizontal="center"/>
    </xf>
    <xf numFmtId="0" fontId="53" fillId="0" borderId="0" xfId="0" applyFont="1" applyBorder="1" applyAlignment="1" applyProtection="1">
      <alignment vertical="center" wrapText="1"/>
      <protection hidden="1"/>
    </xf>
    <xf numFmtId="9" fontId="0" fillId="0" borderId="26" xfId="0" applyNumberFormat="1" applyBorder="1" applyAlignment="1">
      <alignment horizontal="center"/>
    </xf>
    <xf numFmtId="0" fontId="3" fillId="3" borderId="0" xfId="0" applyFont="1" applyFill="1" applyAlignment="1">
      <alignment horizontal="center"/>
    </xf>
    <xf numFmtId="0" fontId="24" fillId="26" borderId="51" xfId="0" applyFont="1" applyFill="1" applyBorder="1" applyProtection="1">
      <protection hidden="1"/>
    </xf>
    <xf numFmtId="0" fontId="24" fillId="11" borderId="0" xfId="0" applyFont="1" applyFill="1" applyBorder="1" applyProtection="1">
      <protection hidden="1"/>
    </xf>
    <xf numFmtId="0" fontId="24" fillId="30" borderId="0" xfId="0" applyFont="1" applyFill="1" applyBorder="1" applyProtection="1">
      <protection hidden="1"/>
    </xf>
    <xf numFmtId="0" fontId="58" fillId="30" borderId="0" xfId="0" applyFont="1" applyFill="1" applyBorder="1" applyProtection="1">
      <protection hidden="1"/>
    </xf>
    <xf numFmtId="0" fontId="58" fillId="30" borderId="51" xfId="0" applyFont="1" applyFill="1" applyBorder="1" applyProtection="1">
      <protection hidden="1"/>
    </xf>
    <xf numFmtId="0" fontId="58" fillId="11" borderId="0" xfId="0" applyFont="1" applyFill="1" applyBorder="1" applyProtection="1">
      <protection hidden="1"/>
    </xf>
    <xf numFmtId="0" fontId="58" fillId="11" borderId="51" xfId="0" applyFont="1" applyFill="1" applyBorder="1" applyProtection="1">
      <protection hidden="1"/>
    </xf>
    <xf numFmtId="0" fontId="58" fillId="30" borderId="0" xfId="0" applyFont="1" applyFill="1" applyProtection="1">
      <protection hidden="1"/>
    </xf>
    <xf numFmtId="44" fontId="59" fillId="30" borderId="0" xfId="5" applyFont="1" applyFill="1" applyBorder="1" applyProtection="1">
      <protection hidden="1"/>
    </xf>
    <xf numFmtId="0" fontId="58" fillId="11" borderId="0" xfId="0" applyFont="1" applyFill="1" applyProtection="1">
      <protection hidden="1"/>
    </xf>
    <xf numFmtId="44" fontId="59" fillId="11" borderId="0" xfId="5" applyFont="1" applyFill="1" applyBorder="1" applyProtection="1">
      <protection hidden="1"/>
    </xf>
    <xf numFmtId="0" fontId="57" fillId="11" borderId="0" xfId="0" applyFont="1" applyFill="1" applyBorder="1" applyProtection="1">
      <protection hidden="1"/>
    </xf>
    <xf numFmtId="0" fontId="57" fillId="30" borderId="0" xfId="0" applyFont="1" applyFill="1" applyBorder="1" applyProtection="1">
      <protection hidden="1"/>
    </xf>
    <xf numFmtId="164" fontId="3" fillId="7" borderId="1" xfId="0" applyNumberFormat="1" applyFont="1" applyFill="1" applyBorder="1" applyAlignment="1">
      <alignment horizontal="center" vertical="center" wrapText="1"/>
    </xf>
    <xf numFmtId="44" fontId="37" fillId="0" borderId="0" xfId="5" applyFont="1" applyBorder="1" applyAlignment="1" applyProtection="1">
      <alignment horizontal="center"/>
      <protection hidden="1"/>
    </xf>
    <xf numFmtId="44" fontId="36" fillId="26" borderId="0" xfId="5" applyFont="1" applyFill="1" applyBorder="1" applyAlignment="1" applyProtection="1">
      <alignment horizontal="center"/>
      <protection hidden="1"/>
    </xf>
    <xf numFmtId="44" fontId="50" fillId="0" borderId="0" xfId="5" applyFont="1" applyBorder="1" applyAlignment="1" applyProtection="1">
      <alignment horizontal="center"/>
      <protection hidden="1"/>
    </xf>
    <xf numFmtId="44" fontId="36" fillId="5" borderId="0" xfId="5" applyFont="1" applyFill="1" applyBorder="1" applyAlignment="1" applyProtection="1">
      <alignment horizontal="center"/>
      <protection hidden="1"/>
    </xf>
    <xf numFmtId="44" fontId="36" fillId="0" borderId="54" xfId="5" applyFont="1" applyBorder="1" applyAlignment="1" applyProtection="1">
      <alignment horizontal="center"/>
      <protection hidden="1"/>
    </xf>
    <xf numFmtId="44" fontId="50" fillId="5" borderId="0" xfId="5" applyFont="1" applyFill="1" applyBorder="1" applyAlignment="1" applyProtection="1">
      <alignment horizontal="center"/>
      <protection hidden="1"/>
    </xf>
    <xf numFmtId="44" fontId="59" fillId="11" borderId="0" xfId="5" applyFont="1" applyFill="1" applyBorder="1" applyAlignment="1" applyProtection="1">
      <alignment horizontal="center"/>
      <protection hidden="1"/>
    </xf>
    <xf numFmtId="44" fontId="59" fillId="30" borderId="0" xfId="5" applyFont="1" applyFill="1" applyBorder="1" applyAlignment="1" applyProtection="1">
      <alignment horizontal="center"/>
      <protection hidden="1"/>
    </xf>
    <xf numFmtId="0" fontId="58" fillId="31" borderId="0" xfId="0" applyFont="1" applyFill="1" applyBorder="1" applyProtection="1">
      <protection hidden="1"/>
    </xf>
    <xf numFmtId="0" fontId="58" fillId="31" borderId="51" xfId="0" applyFont="1" applyFill="1" applyBorder="1" applyProtection="1">
      <protection hidden="1"/>
    </xf>
    <xf numFmtId="0" fontId="24" fillId="31" borderId="0" xfId="0" applyFont="1" applyFill="1" applyBorder="1" applyProtection="1">
      <protection hidden="1"/>
    </xf>
    <xf numFmtId="0" fontId="57" fillId="31" borderId="0" xfId="0" applyFont="1" applyFill="1" applyBorder="1" applyProtection="1">
      <protection hidden="1"/>
    </xf>
    <xf numFmtId="0" fontId="58" fillId="31" borderId="0" xfId="0" applyFont="1" applyFill="1" applyProtection="1">
      <protection hidden="1"/>
    </xf>
    <xf numFmtId="44" fontId="59" fillId="31" borderId="0" xfId="5" applyFont="1" applyFill="1" applyBorder="1" applyProtection="1">
      <protection hidden="1"/>
    </xf>
    <xf numFmtId="44" fontId="59" fillId="31" borderId="0" xfId="5" applyFont="1" applyFill="1" applyBorder="1" applyAlignment="1" applyProtection="1">
      <alignment horizontal="center"/>
      <protection hidden="1"/>
    </xf>
    <xf numFmtId="0" fontId="45" fillId="0" borderId="0" xfId="0" applyFont="1" applyBorder="1" applyAlignment="1" applyProtection="1">
      <alignment vertical="top" wrapText="1"/>
      <protection hidden="1"/>
    </xf>
    <xf numFmtId="0" fontId="45" fillId="0" borderId="47" xfId="0" applyFont="1" applyBorder="1" applyAlignment="1" applyProtection="1">
      <alignment vertical="top" wrapText="1"/>
      <protection hidden="1"/>
    </xf>
    <xf numFmtId="44" fontId="37" fillId="0" borderId="0" xfId="5" applyFont="1" applyBorder="1" applyAlignment="1" applyProtection="1">
      <alignment horizontal="center"/>
      <protection hidden="1"/>
    </xf>
    <xf numFmtId="0" fontId="24" fillId="0" borderId="44" xfId="0" applyFont="1" applyBorder="1" applyAlignment="1" applyProtection="1">
      <alignment horizontal="center"/>
      <protection hidden="1"/>
    </xf>
    <xf numFmtId="0" fontId="24" fillId="0" borderId="0" xfId="0" applyFont="1" applyBorder="1" applyAlignment="1" applyProtection="1">
      <alignment horizontal="center"/>
      <protection hidden="1"/>
    </xf>
    <xf numFmtId="44" fontId="36" fillId="0" borderId="0" xfId="5" applyFont="1" applyBorder="1" applyAlignment="1" applyProtection="1">
      <alignment horizontal="center"/>
      <protection hidden="1"/>
    </xf>
    <xf numFmtId="44" fontId="37" fillId="0" borderId="0" xfId="5" applyFont="1" applyBorder="1" applyAlignment="1" applyProtection="1">
      <alignment horizontal="center"/>
      <protection hidden="1"/>
    </xf>
    <xf numFmtId="0" fontId="24" fillId="0" borderId="44"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53" fillId="0" borderId="0" xfId="0" applyFont="1" applyBorder="1" applyAlignment="1" applyProtection="1">
      <alignment horizontal="left" vertical="top" wrapText="1"/>
      <protection hidden="1"/>
    </xf>
    <xf numFmtId="0" fontId="0" fillId="0" borderId="39" xfId="0" applyBorder="1" applyAlignment="1">
      <alignment horizontal="left" vertical="center"/>
    </xf>
    <xf numFmtId="0" fontId="0" fillId="19" borderId="26" xfId="0" applyFill="1" applyBorder="1"/>
    <xf numFmtId="43" fontId="0" fillId="19" borderId="26" xfId="1" applyFont="1" applyFill="1" applyBorder="1"/>
    <xf numFmtId="0" fontId="60" fillId="0" borderId="0" xfId="0" applyFont="1" applyBorder="1" applyProtection="1">
      <protection hidden="1"/>
    </xf>
    <xf numFmtId="0" fontId="60" fillId="0" borderId="0" xfId="0" applyFont="1" applyBorder="1" applyAlignment="1" applyProtection="1">
      <alignment horizontal="center" vertical="center"/>
      <protection hidden="1"/>
    </xf>
    <xf numFmtId="44" fontId="0" fillId="0" borderId="0" xfId="0" applyNumberFormat="1"/>
    <xf numFmtId="0" fontId="64" fillId="0" borderId="49" xfId="0" applyFont="1" applyBorder="1" applyAlignment="1" applyProtection="1">
      <alignment vertical="top"/>
      <protection hidden="1"/>
    </xf>
    <xf numFmtId="0" fontId="65" fillId="0" borderId="49" xfId="0" applyFont="1" applyBorder="1" applyAlignment="1" applyProtection="1">
      <alignment vertical="top" wrapText="1"/>
      <protection hidden="1"/>
    </xf>
    <xf numFmtId="14" fontId="66" fillId="0" borderId="49" xfId="0" applyNumberFormat="1" applyFont="1" applyBorder="1" applyAlignment="1" applyProtection="1">
      <alignment horizontal="right"/>
      <protection hidden="1"/>
    </xf>
    <xf numFmtId="0" fontId="69" fillId="0" borderId="0" xfId="0" applyFont="1" applyBorder="1" applyAlignment="1" applyProtection="1">
      <alignment horizontal="left" indent="1"/>
      <protection hidden="1"/>
    </xf>
    <xf numFmtId="44" fontId="70" fillId="0" borderId="0" xfId="5" applyFont="1" applyBorder="1" applyProtection="1">
      <protection hidden="1"/>
    </xf>
    <xf numFmtId="0" fontId="71" fillId="0" borderId="0" xfId="0" applyFont="1" applyBorder="1" applyProtection="1">
      <protection hidden="1"/>
    </xf>
    <xf numFmtId="44" fontId="70" fillId="0" borderId="0" xfId="5" applyFont="1" applyBorder="1" applyAlignment="1" applyProtection="1">
      <alignment horizontal="center"/>
      <protection hidden="1"/>
    </xf>
    <xf numFmtId="0" fontId="71" fillId="0" borderId="0" xfId="0" applyFont="1" applyProtection="1">
      <protection hidden="1"/>
    </xf>
    <xf numFmtId="0" fontId="26" fillId="3" borderId="0" xfId="0" applyFont="1" applyFill="1" applyBorder="1" applyProtection="1">
      <protection hidden="1"/>
    </xf>
    <xf numFmtId="0" fontId="24" fillId="3" borderId="46" xfId="0" applyFont="1" applyFill="1" applyBorder="1" applyProtection="1">
      <protection hidden="1"/>
    </xf>
    <xf numFmtId="0" fontId="24" fillId="3" borderId="47" xfId="0" applyFont="1" applyFill="1" applyBorder="1" applyProtection="1">
      <protection hidden="1"/>
    </xf>
    <xf numFmtId="0" fontId="24" fillId="32" borderId="46" xfId="0" applyFont="1" applyFill="1" applyBorder="1" applyProtection="1">
      <protection hidden="1"/>
    </xf>
    <xf numFmtId="0" fontId="33" fillId="32" borderId="0" xfId="0" applyFont="1" applyFill="1" applyBorder="1" applyProtection="1">
      <protection hidden="1"/>
    </xf>
    <xf numFmtId="0" fontId="24" fillId="32" borderId="0" xfId="0" applyFont="1" applyFill="1" applyBorder="1" applyProtection="1">
      <protection hidden="1"/>
    </xf>
    <xf numFmtId="0" fontId="26" fillId="32" borderId="0" xfId="0" applyFont="1" applyFill="1" applyBorder="1" applyProtection="1">
      <protection hidden="1"/>
    </xf>
    <xf numFmtId="0" fontId="27" fillId="32" borderId="0" xfId="0" applyFont="1" applyFill="1" applyBorder="1" applyProtection="1">
      <protection hidden="1"/>
    </xf>
    <xf numFmtId="0" fontId="24" fillId="32" borderId="47" xfId="0" applyFont="1" applyFill="1" applyBorder="1" applyProtection="1">
      <protection hidden="1"/>
    </xf>
    <xf numFmtId="0" fontId="72" fillId="0" borderId="0" xfId="0" applyFont="1" applyBorder="1" applyProtection="1">
      <protection hidden="1"/>
    </xf>
    <xf numFmtId="0" fontId="73" fillId="0" borderId="0" xfId="0" applyFont="1" applyBorder="1" applyProtection="1">
      <protection hidden="1"/>
    </xf>
    <xf numFmtId="0" fontId="75" fillId="0" borderId="0" xfId="0" applyFont="1" applyProtection="1">
      <protection hidden="1"/>
    </xf>
    <xf numFmtId="14" fontId="76" fillId="0" borderId="0" xfId="0" applyNumberFormat="1" applyFont="1" applyProtection="1">
      <protection hidden="1"/>
    </xf>
    <xf numFmtId="0" fontId="75" fillId="0" borderId="0" xfId="0" applyFont="1" applyFill="1"/>
    <xf numFmtId="43" fontId="74" fillId="0" borderId="0" xfId="1" applyFont="1" applyFill="1"/>
    <xf numFmtId="43" fontId="77" fillId="0" borderId="0" xfId="1" applyFont="1" applyFill="1"/>
    <xf numFmtId="43" fontId="75" fillId="0" borderId="0" xfId="1" applyFont="1" applyFill="1"/>
    <xf numFmtId="0" fontId="0" fillId="17" borderId="1" xfId="0" applyNumberFormat="1" applyFill="1" applyBorder="1" applyAlignment="1">
      <alignment horizontal="left"/>
    </xf>
    <xf numFmtId="10" fontId="0" fillId="17" borderId="1" xfId="2" applyNumberFormat="1" applyFont="1" applyFill="1" applyBorder="1" applyAlignment="1">
      <alignment horizontal="center"/>
    </xf>
    <xf numFmtId="0" fontId="0" fillId="17" borderId="1" xfId="0" applyFill="1" applyBorder="1"/>
    <xf numFmtId="43" fontId="0" fillId="17" borderId="1" xfId="1" applyFont="1" applyFill="1" applyBorder="1" applyAlignment="1">
      <alignment horizontal="center"/>
    </xf>
    <xf numFmtId="14" fontId="0" fillId="17" borderId="1" xfId="0" applyNumberFormat="1" applyFill="1" applyBorder="1"/>
    <xf numFmtId="43" fontId="24" fillId="0" borderId="3" xfId="1" applyFont="1" applyFill="1" applyBorder="1" applyProtection="1">
      <protection locked="0"/>
    </xf>
    <xf numFmtId="0" fontId="3" fillId="28" borderId="26" xfId="0" applyFont="1" applyFill="1" applyBorder="1" applyAlignment="1">
      <alignment horizontal="center"/>
    </xf>
    <xf numFmtId="166" fontId="0" fillId="0" borderId="26" xfId="0" applyNumberFormat="1" applyBorder="1" applyAlignment="1">
      <alignment horizontal="center"/>
    </xf>
    <xf numFmtId="43" fontId="75" fillId="29" borderId="0" xfId="1" applyFont="1" applyFill="1"/>
    <xf numFmtId="43" fontId="0" fillId="17" borderId="26" xfId="1" applyFont="1" applyFill="1" applyBorder="1"/>
    <xf numFmtId="43" fontId="3" fillId="0" borderId="0" xfId="0" applyNumberFormat="1" applyFont="1" applyAlignment="1">
      <alignment horizontal="left"/>
    </xf>
    <xf numFmtId="0" fontId="15" fillId="2" borderId="26" xfId="0" applyFont="1" applyFill="1" applyBorder="1" applyAlignment="1">
      <alignment horizontal="center"/>
    </xf>
    <xf numFmtId="0" fontId="21" fillId="25" borderId="26" xfId="0" applyFont="1" applyFill="1" applyBorder="1" applyAlignment="1">
      <alignment horizontal="center"/>
    </xf>
    <xf numFmtId="0" fontId="3" fillId="20" borderId="0" xfId="0" applyFont="1" applyFill="1" applyAlignment="1">
      <alignment horizontal="center"/>
    </xf>
    <xf numFmtId="0" fontId="3" fillId="24" borderId="0" xfId="0" applyFont="1" applyFill="1" applyAlignment="1">
      <alignment horizontal="center"/>
    </xf>
    <xf numFmtId="0" fontId="17" fillId="17" borderId="21" xfId="3" applyFont="1" applyFill="1" applyBorder="1" applyAlignment="1">
      <alignment horizontal="left" wrapText="1"/>
    </xf>
    <xf numFmtId="0" fontId="16" fillId="0" borderId="23" xfId="3" applyBorder="1"/>
    <xf numFmtId="0" fontId="4" fillId="0" borderId="28" xfId="0" applyFont="1" applyBorder="1" applyAlignment="1">
      <alignment horizontal="center"/>
    </xf>
    <xf numFmtId="0" fontId="4" fillId="0" borderId="39" xfId="0" applyFont="1" applyBorder="1" applyAlignment="1">
      <alignment horizontal="center"/>
    </xf>
    <xf numFmtId="0" fontId="4" fillId="2" borderId="0" xfId="0" applyFont="1" applyFill="1" applyAlignment="1">
      <alignment horizontal="left"/>
    </xf>
    <xf numFmtId="0" fontId="0" fillId="0" borderId="28" xfId="0" applyNumberFormat="1" applyFill="1" applyBorder="1" applyAlignment="1">
      <alignment horizontal="center"/>
    </xf>
    <xf numFmtId="0" fontId="0" fillId="0" borderId="39" xfId="0" applyNumberFormat="1" applyFill="1" applyBorder="1" applyAlignment="1">
      <alignment horizontal="center"/>
    </xf>
    <xf numFmtId="0" fontId="3" fillId="0" borderId="28" xfId="0" applyFont="1" applyFill="1" applyBorder="1" applyAlignment="1">
      <alignment horizontal="left"/>
    </xf>
    <xf numFmtId="0" fontId="3" fillId="0" borderId="39" xfId="0" applyFont="1" applyFill="1" applyBorder="1" applyAlignment="1">
      <alignment horizontal="left"/>
    </xf>
    <xf numFmtId="0" fontId="3" fillId="21" borderId="26" xfId="0" applyFont="1" applyFill="1" applyBorder="1" applyAlignment="1">
      <alignment horizontal="center"/>
    </xf>
    <xf numFmtId="0" fontId="3" fillId="28" borderId="26" xfId="0" applyFont="1" applyFill="1" applyBorder="1" applyAlignment="1">
      <alignment horizontal="center"/>
    </xf>
    <xf numFmtId="0" fontId="21" fillId="0" borderId="42" xfId="0" applyFont="1" applyBorder="1" applyAlignment="1">
      <alignment horizontal="center"/>
    </xf>
    <xf numFmtId="0" fontId="3" fillId="0" borderId="1" xfId="0" applyFont="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0" fillId="16" borderId="29" xfId="0" applyFill="1" applyBorder="1" applyAlignment="1">
      <alignment horizontal="center" vertical="center" wrapText="1"/>
    </xf>
    <xf numFmtId="0" fontId="0" fillId="16" borderId="30" xfId="0" applyFill="1" applyBorder="1" applyAlignment="1">
      <alignment horizontal="center" vertical="center" wrapText="1"/>
    </xf>
    <xf numFmtId="0" fontId="14" fillId="4" borderId="1" xfId="0" applyFont="1" applyFill="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8" fillId="10" borderId="12" xfId="0" applyFont="1" applyFill="1" applyBorder="1" applyAlignment="1">
      <alignment horizontal="center"/>
    </xf>
    <xf numFmtId="0" fontId="8" fillId="10" borderId="13" xfId="0" applyFont="1" applyFill="1" applyBorder="1" applyAlignment="1">
      <alignment horizontal="center"/>
    </xf>
    <xf numFmtId="0" fontId="8" fillId="10" borderId="14" xfId="0" applyFont="1" applyFill="1" applyBorder="1" applyAlignment="1">
      <alignment horizontal="center"/>
    </xf>
    <xf numFmtId="0" fontId="14" fillId="13" borderId="1" xfId="0" applyFont="1" applyFill="1" applyBorder="1" applyAlignment="1">
      <alignment horizontal="center"/>
    </xf>
    <xf numFmtId="0" fontId="3" fillId="15" borderId="4" xfId="0" applyFont="1" applyFill="1" applyBorder="1" applyAlignment="1">
      <alignment horizontal="center"/>
    </xf>
    <xf numFmtId="0" fontId="3" fillId="15" borderId="5" xfId="0" applyFont="1" applyFill="1" applyBorder="1" applyAlignment="1">
      <alignment horizontal="center"/>
    </xf>
    <xf numFmtId="0" fontId="3" fillId="9" borderId="4" xfId="0" applyFont="1" applyFill="1" applyBorder="1" applyAlignment="1">
      <alignment horizontal="center"/>
    </xf>
    <xf numFmtId="0" fontId="3" fillId="9" borderId="5" xfId="0" applyFont="1" applyFill="1" applyBorder="1" applyAlignment="1">
      <alignment horizontal="center"/>
    </xf>
    <xf numFmtId="0" fontId="0" fillId="21" borderId="29" xfId="0" applyFill="1" applyBorder="1" applyAlignment="1">
      <alignment horizontal="center" vertical="center" wrapText="1"/>
    </xf>
    <xf numFmtId="0" fontId="0" fillId="21" borderId="30" xfId="0" applyFill="1" applyBorder="1" applyAlignment="1">
      <alignment horizontal="center" vertical="center" wrapText="1"/>
    </xf>
    <xf numFmtId="0" fontId="3" fillId="2" borderId="1" xfId="0" applyFont="1" applyFill="1" applyBorder="1" applyAlignment="1">
      <alignment horizontal="center"/>
    </xf>
    <xf numFmtId="0" fontId="2" fillId="4" borderId="1" xfId="0" applyFont="1" applyFill="1" applyBorder="1" applyAlignment="1">
      <alignment horizontal="center"/>
    </xf>
    <xf numFmtId="0" fontId="2" fillId="8" borderId="1" xfId="0" applyFont="1" applyFill="1" applyBorder="1" applyAlignment="1">
      <alignment horizontal="center"/>
    </xf>
    <xf numFmtId="0" fontId="2" fillId="9" borderId="1" xfId="0" applyFont="1" applyFill="1" applyBorder="1" applyAlignment="1">
      <alignment horizontal="center"/>
    </xf>
    <xf numFmtId="0" fontId="2" fillId="9" borderId="26" xfId="0" applyFont="1" applyFill="1" applyBorder="1" applyAlignment="1">
      <alignment horizontal="center"/>
    </xf>
    <xf numFmtId="0" fontId="2" fillId="4" borderId="26" xfId="0" applyFont="1" applyFill="1" applyBorder="1" applyAlignment="1">
      <alignment horizontal="center"/>
    </xf>
    <xf numFmtId="164" fontId="3" fillId="7" borderId="1" xfId="0" applyNumberFormat="1" applyFont="1" applyFill="1" applyBorder="1" applyAlignment="1">
      <alignment horizontal="center" vertical="center" wrapText="1"/>
    </xf>
    <xf numFmtId="0" fontId="0" fillId="21" borderId="28" xfId="0" applyFill="1" applyBorder="1" applyAlignment="1">
      <alignment horizontal="center"/>
    </xf>
    <xf numFmtId="0" fontId="0" fillId="21" borderId="38" xfId="0" applyFill="1" applyBorder="1" applyAlignment="1">
      <alignment horizontal="center"/>
    </xf>
    <xf numFmtId="0" fontId="0" fillId="21" borderId="39" xfId="0" applyFill="1" applyBorder="1" applyAlignment="1">
      <alignment horizontal="center"/>
    </xf>
    <xf numFmtId="0" fontId="3" fillId="11" borderId="0" xfId="0" applyFont="1" applyFill="1" applyAlignment="1">
      <alignment horizontal="center"/>
    </xf>
    <xf numFmtId="0" fontId="3" fillId="14" borderId="0" xfId="0" applyFont="1" applyFill="1" applyAlignment="1">
      <alignment horizontal="center"/>
    </xf>
    <xf numFmtId="0" fontId="59" fillId="3" borderId="0" xfId="0" applyFont="1" applyFill="1" applyBorder="1" applyAlignment="1" applyProtection="1">
      <alignment horizontal="left" vertical="top" wrapText="1"/>
      <protection hidden="1"/>
    </xf>
    <xf numFmtId="0" fontId="24" fillId="0" borderId="44"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26" fillId="0" borderId="0" xfId="0" applyFont="1" applyFill="1" applyBorder="1" applyAlignment="1" applyProtection="1">
      <alignment horizontal="center" vertical="center" wrapText="1"/>
      <protection hidden="1"/>
    </xf>
    <xf numFmtId="0" fontId="24" fillId="7" borderId="53" xfId="0" applyFont="1" applyFill="1" applyBorder="1" applyAlignment="1" applyProtection="1">
      <alignment horizontal="left"/>
      <protection locked="0"/>
    </xf>
    <xf numFmtId="0" fontId="24" fillId="7" borderId="52" xfId="0" applyFont="1" applyFill="1" applyBorder="1" applyAlignment="1" applyProtection="1">
      <alignment horizontal="left"/>
      <protection locked="0"/>
    </xf>
    <xf numFmtId="0" fontId="60" fillId="0" borderId="0" xfId="0" applyFont="1" applyBorder="1" applyAlignment="1" applyProtection="1">
      <alignment horizontal="left" vertical="top" wrapText="1"/>
      <protection hidden="1"/>
    </xf>
    <xf numFmtId="0" fontId="36" fillId="0" borderId="0" xfId="0" applyFont="1" applyBorder="1" applyAlignment="1" applyProtection="1">
      <alignment horizontal="center" vertical="center"/>
      <protection hidden="1"/>
    </xf>
    <xf numFmtId="167" fontId="36" fillId="0" borderId="0" xfId="0" applyNumberFormat="1" applyFont="1" applyBorder="1" applyAlignment="1" applyProtection="1">
      <alignment horizontal="center" vertical="center"/>
      <protection hidden="1"/>
    </xf>
    <xf numFmtId="44" fontId="36" fillId="0" borderId="0" xfId="5" applyFont="1" applyBorder="1" applyAlignment="1" applyProtection="1">
      <alignment horizontal="center" vertical="center"/>
      <protection hidden="1"/>
    </xf>
    <xf numFmtId="0" fontId="40" fillId="0" borderId="0" xfId="0" applyFont="1" applyBorder="1" applyAlignment="1" applyProtection="1">
      <alignment horizontal="left" vertical="top" wrapText="1"/>
      <protection hidden="1"/>
    </xf>
    <xf numFmtId="0" fontId="41" fillId="0" borderId="0" xfId="0" applyFont="1" applyBorder="1" applyAlignment="1" applyProtection="1">
      <alignment horizontal="left" vertical="top" wrapText="1"/>
      <protection hidden="1"/>
    </xf>
    <xf numFmtId="0" fontId="28" fillId="7" borderId="0" xfId="0" applyFont="1" applyFill="1" applyBorder="1" applyAlignment="1" applyProtection="1">
      <alignment horizontal="center" vertical="center" wrapText="1"/>
      <protection hidden="1"/>
    </xf>
    <xf numFmtId="0" fontId="44" fillId="0" borderId="0" xfId="0" applyFont="1" applyBorder="1" applyAlignment="1" applyProtection="1">
      <alignment horizontal="center" wrapText="1"/>
      <protection hidden="1"/>
    </xf>
    <xf numFmtId="0" fontId="44" fillId="0" borderId="0" xfId="0" applyFont="1" applyBorder="1" applyAlignment="1" applyProtection="1">
      <alignment horizontal="center"/>
      <protection hidden="1"/>
    </xf>
    <xf numFmtId="0" fontId="68" fillId="0" borderId="0" xfId="0" applyFont="1" applyBorder="1" applyAlignment="1" applyProtection="1">
      <alignment horizontal="left" vertical="top" wrapText="1"/>
      <protection hidden="1"/>
    </xf>
    <xf numFmtId="0" fontId="24" fillId="0" borderId="0" xfId="0" applyFont="1" applyFill="1" applyBorder="1" applyAlignment="1">
      <alignment horizontal="center" vertical="center" wrapText="1"/>
    </xf>
    <xf numFmtId="0" fontId="27" fillId="0" borderId="0" xfId="0" applyFont="1" applyFill="1" applyBorder="1" applyAlignment="1">
      <alignment horizontal="left" vertical="top" wrapText="1"/>
    </xf>
    <xf numFmtId="0" fontId="45" fillId="0" borderId="0" xfId="0" applyFont="1" applyBorder="1" applyAlignment="1" applyProtection="1">
      <alignment horizontal="left" vertical="center" wrapText="1"/>
      <protection hidden="1"/>
    </xf>
    <xf numFmtId="0" fontId="63" fillId="26" borderId="0" xfId="0" applyFont="1" applyFill="1" applyBorder="1" applyAlignment="1" applyProtection="1">
      <alignment horizontal="center" vertical="center" wrapText="1"/>
      <protection hidden="1"/>
    </xf>
    <xf numFmtId="0" fontId="52" fillId="26" borderId="51" xfId="0" applyFont="1" applyFill="1" applyBorder="1" applyAlignment="1" applyProtection="1">
      <alignment horizontal="center" vertical="center" wrapText="1"/>
      <protection hidden="1"/>
    </xf>
    <xf numFmtId="0" fontId="54" fillId="26" borderId="0" xfId="0" applyFont="1" applyFill="1" applyBorder="1" applyAlignment="1" applyProtection="1">
      <alignment horizontal="center" vertical="center"/>
      <protection hidden="1"/>
    </xf>
    <xf numFmtId="0" fontId="54" fillId="26" borderId="51" xfId="0" applyFont="1" applyFill="1" applyBorder="1" applyAlignment="1" applyProtection="1">
      <alignment horizontal="center" vertical="center"/>
      <protection hidden="1"/>
    </xf>
    <xf numFmtId="0" fontId="31" fillId="26" borderId="0" xfId="0" applyFont="1" applyFill="1" applyBorder="1" applyAlignment="1" applyProtection="1">
      <alignment horizontal="center" vertical="center" wrapText="1"/>
      <protection hidden="1"/>
    </xf>
    <xf numFmtId="0" fontId="31" fillId="26" borderId="51" xfId="0" applyFont="1" applyFill="1" applyBorder="1" applyAlignment="1" applyProtection="1">
      <alignment horizontal="center" vertical="center" wrapText="1"/>
      <protection hidden="1"/>
    </xf>
    <xf numFmtId="0" fontId="59" fillId="0" borderId="0" xfId="0" applyFont="1" applyBorder="1" applyAlignment="1" applyProtection="1">
      <alignment horizontal="left" vertical="top" wrapText="1"/>
      <protection hidden="1"/>
    </xf>
    <xf numFmtId="0" fontId="57" fillId="31" borderId="0" xfId="0" applyFont="1" applyFill="1" applyBorder="1" applyAlignment="1" applyProtection="1">
      <alignment horizontal="center" vertical="top" wrapText="1"/>
      <protection hidden="1"/>
    </xf>
    <xf numFmtId="0" fontId="57" fillId="31" borderId="51" xfId="0" applyFont="1" applyFill="1" applyBorder="1" applyAlignment="1" applyProtection="1">
      <alignment horizontal="center" vertical="top" wrapText="1"/>
      <protection hidden="1"/>
    </xf>
    <xf numFmtId="0" fontId="57" fillId="31" borderId="0" xfId="0" applyFont="1" applyFill="1" applyBorder="1" applyAlignment="1" applyProtection="1">
      <alignment horizontal="center" vertical="center" wrapText="1"/>
      <protection hidden="1"/>
    </xf>
    <xf numFmtId="0" fontId="57" fillId="31" borderId="51" xfId="0" applyFont="1" applyFill="1" applyBorder="1" applyAlignment="1" applyProtection="1">
      <alignment horizontal="center" vertical="center" wrapText="1"/>
      <protection hidden="1"/>
    </xf>
    <xf numFmtId="0" fontId="57" fillId="30" borderId="0" xfId="0" applyFont="1" applyFill="1" applyBorder="1" applyAlignment="1" applyProtection="1">
      <alignment horizontal="center" vertical="top" wrapText="1"/>
      <protection hidden="1"/>
    </xf>
    <xf numFmtId="0" fontId="57" fillId="30" borderId="51" xfId="0" applyFont="1" applyFill="1" applyBorder="1" applyAlignment="1" applyProtection="1">
      <alignment horizontal="center" vertical="top" wrapText="1"/>
      <protection hidden="1"/>
    </xf>
    <xf numFmtId="0" fontId="57" fillId="30" borderId="0" xfId="0" applyFont="1" applyFill="1" applyBorder="1" applyAlignment="1" applyProtection="1">
      <alignment horizontal="center" vertical="center" wrapText="1"/>
      <protection hidden="1"/>
    </xf>
    <xf numFmtId="0" fontId="57" fillId="30" borderId="51" xfId="0" applyFont="1" applyFill="1" applyBorder="1" applyAlignment="1" applyProtection="1">
      <alignment horizontal="center" vertical="center" wrapText="1"/>
      <protection hidden="1"/>
    </xf>
    <xf numFmtId="0" fontId="57" fillId="11" borderId="0" xfId="0" applyFont="1" applyFill="1" applyBorder="1" applyAlignment="1" applyProtection="1">
      <alignment horizontal="center" vertical="top" wrapText="1"/>
      <protection hidden="1"/>
    </xf>
    <xf numFmtId="0" fontId="57" fillId="11" borderId="51" xfId="0" applyFont="1" applyFill="1" applyBorder="1" applyAlignment="1" applyProtection="1">
      <alignment horizontal="center" vertical="top" wrapText="1"/>
      <protection hidden="1"/>
    </xf>
    <xf numFmtId="0" fontId="57" fillId="11" borderId="0" xfId="0" applyFont="1" applyFill="1" applyBorder="1" applyAlignment="1" applyProtection="1">
      <alignment horizontal="center" vertical="center" wrapText="1"/>
      <protection hidden="1"/>
    </xf>
    <xf numFmtId="0" fontId="57" fillId="11" borderId="51" xfId="0" applyFont="1" applyFill="1" applyBorder="1" applyAlignment="1" applyProtection="1">
      <alignment horizontal="center" vertical="center" wrapText="1"/>
      <protection hidden="1"/>
    </xf>
  </cellXfs>
  <cellStyles count="6">
    <cellStyle name="Moeda" xfId="5" builtinId="4"/>
    <cellStyle name="Normal" xfId="0" builtinId="0"/>
    <cellStyle name="Normal 2" xfId="3" xr:uid="{00000000-0005-0000-0000-000002000000}"/>
    <cellStyle name="Normal_Plan1" xfId="4" xr:uid="{00000000-0005-0000-0000-000003000000}"/>
    <cellStyle name="Porcentagem" xfId="2" builtinId="5"/>
    <cellStyle name="Vírgula" xfId="1" builtinId="3"/>
  </cellStyles>
  <dxfs count="17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right/>
        <top/>
        <bottom/>
      </border>
    </dxf>
    <dxf>
      <font>
        <color theme="0"/>
      </font>
      <border>
        <left/>
        <right/>
        <top/>
        <bottom/>
      </border>
    </dxf>
    <dxf>
      <font>
        <color theme="0"/>
      </font>
      <border>
        <left/>
        <right/>
        <top/>
        <bottom/>
      </border>
    </dxf>
    <dxf>
      <font>
        <color theme="0"/>
      </font>
      <border>
        <left/>
        <right/>
        <top/>
        <bottom/>
      </border>
    </dxf>
    <dxf>
      <font>
        <color theme="0"/>
      </font>
      <fill>
        <patternFill patternType="none">
          <bgColor auto="1"/>
        </patternFill>
      </fill>
      <border>
        <left/>
        <right/>
        <top/>
        <bottom/>
        <vertical/>
        <horizontal/>
      </border>
    </dxf>
    <dxf>
      <font>
        <color theme="0"/>
      </font>
    </dxf>
    <dxf>
      <font>
        <color theme="0"/>
      </font>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border>
        <left/>
        <right/>
        <top/>
        <bottom/>
      </border>
    </dxf>
    <dxf>
      <font>
        <color theme="0"/>
      </font>
      <border>
        <left/>
        <right/>
        <top/>
        <bottom/>
      </border>
    </dxf>
    <dxf>
      <font>
        <color theme="0"/>
      </font>
      <border>
        <left/>
        <right/>
        <top/>
        <bottom/>
      </border>
    </dxf>
    <dxf>
      <font>
        <color theme="0"/>
      </font>
      <border>
        <left/>
        <right/>
        <top/>
        <bottom/>
      </border>
    </dxf>
    <dxf>
      <font>
        <color theme="0"/>
      </font>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theme="0"/>
      </font>
      <fill>
        <patternFill patternType="none">
          <bgColor auto="1"/>
        </patternFill>
      </fill>
      <border>
        <left/>
        <right/>
        <top/>
        <bottom/>
        <vertical/>
        <horizontal/>
      </border>
    </dxf>
  </dxfs>
  <tableStyles count="0" defaultTableStyle="TableStyleMedium2" defaultPivotStyle="PivotStyleMedium9"/>
  <colors>
    <mruColors>
      <color rgb="FFC0E4E6"/>
      <color rgb="FF002060"/>
      <color rgb="FF8DC53F"/>
      <color rgb="FFD9D9D9"/>
      <color rgb="FF182A40"/>
      <color rgb="FF119AD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66674</xdr:colOff>
      <xdr:row>1</xdr:row>
      <xdr:rowOff>57150</xdr:rowOff>
    </xdr:from>
    <xdr:to>
      <xdr:col>13</xdr:col>
      <xdr:colOff>695324</xdr:colOff>
      <xdr:row>3</xdr:row>
      <xdr:rowOff>55245</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781049" y="238125"/>
          <a:ext cx="7248525" cy="1360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66674</xdr:colOff>
      <xdr:row>1</xdr:row>
      <xdr:rowOff>57150</xdr:rowOff>
    </xdr:from>
    <xdr:to>
      <xdr:col>14</xdr:col>
      <xdr:colOff>47624</xdr:colOff>
      <xdr:row>3</xdr:row>
      <xdr:rowOff>55245</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781049" y="238125"/>
          <a:ext cx="7248525" cy="1360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1</xdr:row>
      <xdr:rowOff>28575</xdr:rowOff>
    </xdr:from>
    <xdr:to>
      <xdr:col>3</xdr:col>
      <xdr:colOff>746459</xdr:colOff>
      <xdr:row>1</xdr:row>
      <xdr:rowOff>723900</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42875"/>
          <a:ext cx="1537034"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12</xdr:col>
      <xdr:colOff>38100</xdr:colOff>
      <xdr:row>3</xdr:row>
      <xdr:rowOff>169545</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161926" y="161925"/>
          <a:ext cx="8439149" cy="1360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12</xdr:col>
      <xdr:colOff>47626</xdr:colOff>
      <xdr:row>3</xdr:row>
      <xdr:rowOff>169545</xdr:rowOff>
    </xdr:to>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tretch>
          <a:fillRect/>
        </a:stretch>
      </xdr:blipFill>
      <xdr:spPr>
        <a:xfrm>
          <a:off x="161926" y="161925"/>
          <a:ext cx="8267700" cy="1360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10</xdr:col>
      <xdr:colOff>57150</xdr:colOff>
      <xdr:row>3</xdr:row>
      <xdr:rowOff>169545</xdr:rowOff>
    </xdr:to>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161926" y="161925"/>
          <a:ext cx="6457949" cy="1360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10</xdr:col>
      <xdr:colOff>66675</xdr:colOff>
      <xdr:row>3</xdr:row>
      <xdr:rowOff>169545</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161926" y="161925"/>
          <a:ext cx="6467474" cy="13601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341437755/Downloads/SIMULADOR%20MIGRA&#199;&#195;O%20-%20VCA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AS RPPS"/>
      <sheetName val="IPCA"/>
      <sheetName val="Tabua(fem)"/>
      <sheetName val="Tabua(masc)"/>
      <sheetName val="PREMISSAS"/>
      <sheetName val="ELEGIBILIDADE"/>
      <sheetName val="CÁLCULO RPPS"/>
      <sheetName val="CÁLCULO FUNPRESP"/>
      <sheetName val="RESULTADOS"/>
      <sheetName val="CONFIG"/>
      <sheetName val="LST"/>
      <sheetName val="HOME"/>
      <sheetName val="SIMULAC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C2">
            <v>1</v>
          </cell>
        </row>
        <row r="23">
          <cell r="C23">
            <v>8000</v>
          </cell>
        </row>
      </sheetData>
      <sheetData sheetId="10">
        <row r="3">
          <cell r="C3">
            <v>7.4999999999999997E-2</v>
          </cell>
        </row>
      </sheetData>
      <sheetData sheetId="11" refreshError="1"/>
      <sheetData sheetId="1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funpresp.com.br/perguntas-frequentes/" TargetMode="External"/><Relationship Id="rId1" Type="http://schemas.openxmlformats.org/officeDocument/2006/relationships/hyperlink" Target="https://www.funpresp.com.br/migracao-do-rpps-para-o-rpc/janela2022/" TargetMode="Externa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s://www.funpresp.com.br/migracao-do-rpps-para-o-rpc/janela2022/"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pageSetUpPr fitToPage="1"/>
  </sheetPr>
  <dimension ref="B3:AI62"/>
  <sheetViews>
    <sheetView topLeftCell="U1" workbookViewId="0">
      <selection activeCell="AB8" sqref="AB8"/>
    </sheetView>
  </sheetViews>
  <sheetFormatPr defaultRowHeight="14.4" x14ac:dyDescent="0.3"/>
  <cols>
    <col min="2" max="3" width="2.88671875" customWidth="1"/>
    <col min="4" max="4" width="75" customWidth="1"/>
    <col min="5" max="5" width="3.109375" customWidth="1"/>
    <col min="6" max="7" width="2.88671875" customWidth="1"/>
    <col min="8" max="8" width="85.5546875" bestFit="1" customWidth="1"/>
    <col min="9" max="9" width="3.109375" customWidth="1"/>
    <col min="10" max="11" width="2.88671875" customWidth="1"/>
    <col min="12" max="12" width="52.44140625" customWidth="1"/>
    <col min="13" max="13" width="3.109375" customWidth="1"/>
    <col min="14" max="15" width="2.88671875" customWidth="1"/>
    <col min="16" max="16" width="54.44140625" customWidth="1"/>
    <col min="17" max="17" width="3.109375" customWidth="1"/>
    <col min="18" max="19" width="2.88671875" customWidth="1"/>
    <col min="20" max="20" width="64.109375" bestFit="1" customWidth="1"/>
    <col min="21" max="21" width="3.109375" customWidth="1"/>
    <col min="22" max="23" width="2.6640625" customWidth="1"/>
    <col min="24" max="24" width="48.109375" customWidth="1"/>
    <col min="25" max="25" width="3.109375" customWidth="1"/>
    <col min="26" max="27" width="2.88671875" customWidth="1"/>
    <col min="28" max="28" width="82.44140625" customWidth="1"/>
    <col min="29" max="31" width="3.109375" customWidth="1"/>
    <col min="32" max="32" width="49.109375" bestFit="1" customWidth="1"/>
    <col min="33" max="34" width="3.109375" customWidth="1"/>
    <col min="35" max="35" width="49.109375" bestFit="1" customWidth="1"/>
  </cols>
  <sheetData>
    <row r="3" spans="2:35" x14ac:dyDescent="0.3">
      <c r="B3" s="32" t="s">
        <v>59</v>
      </c>
      <c r="F3" s="32" t="s">
        <v>71</v>
      </c>
      <c r="J3" s="32" t="s">
        <v>83</v>
      </c>
      <c r="N3" s="33" t="s">
        <v>91</v>
      </c>
      <c r="R3" s="33" t="s">
        <v>90</v>
      </c>
      <c r="V3" s="41" t="s">
        <v>90</v>
      </c>
      <c r="Z3" s="31" t="s">
        <v>96</v>
      </c>
      <c r="AD3" s="201" t="s">
        <v>229</v>
      </c>
    </row>
    <row r="4" spans="2:35" x14ac:dyDescent="0.3">
      <c r="O4" s="33" t="s">
        <v>92</v>
      </c>
      <c r="W4" s="41" t="s">
        <v>105</v>
      </c>
      <c r="AA4" s="31" t="s">
        <v>97</v>
      </c>
    </row>
    <row r="5" spans="2:35" x14ac:dyDescent="0.3">
      <c r="B5" t="s">
        <v>60</v>
      </c>
      <c r="F5" t="s">
        <v>60</v>
      </c>
      <c r="J5" t="s">
        <v>60</v>
      </c>
      <c r="N5" t="s">
        <v>60</v>
      </c>
      <c r="R5" t="s">
        <v>60</v>
      </c>
      <c r="V5" t="s">
        <v>60</v>
      </c>
      <c r="Z5" t="s">
        <v>60</v>
      </c>
      <c r="AD5" t="s">
        <v>60</v>
      </c>
    </row>
    <row r="6" spans="2:35" s="5" customFormat="1" x14ac:dyDescent="0.3">
      <c r="C6" s="5" t="s">
        <v>61</v>
      </c>
      <c r="G6" s="5" t="s">
        <v>61</v>
      </c>
      <c r="K6" s="5" t="s">
        <v>61</v>
      </c>
      <c r="O6" s="5" t="s">
        <v>61</v>
      </c>
      <c r="W6" s="5" t="s">
        <v>61</v>
      </c>
      <c r="AE6" s="5" t="s">
        <v>241</v>
      </c>
      <c r="AH6" s="5" t="s">
        <v>244</v>
      </c>
    </row>
    <row r="7" spans="2:35" x14ac:dyDescent="0.3">
      <c r="D7" t="s">
        <v>63</v>
      </c>
      <c r="H7" t="s">
        <v>63</v>
      </c>
      <c r="L7" t="s">
        <v>63</v>
      </c>
      <c r="P7" t="s">
        <v>63</v>
      </c>
      <c r="T7" t="s">
        <v>63</v>
      </c>
      <c r="X7" t="s">
        <v>63</v>
      </c>
      <c r="AB7" t="s">
        <v>63</v>
      </c>
      <c r="AF7" s="215" t="s">
        <v>232</v>
      </c>
      <c r="AI7" s="215" t="s">
        <v>232</v>
      </c>
    </row>
    <row r="8" spans="2:35" x14ac:dyDescent="0.3">
      <c r="D8" t="s">
        <v>62</v>
      </c>
      <c r="H8" t="s">
        <v>76</v>
      </c>
      <c r="L8" t="s">
        <v>62</v>
      </c>
      <c r="P8" t="s">
        <v>94</v>
      </c>
      <c r="T8" t="s">
        <v>62</v>
      </c>
      <c r="X8" t="s">
        <v>62</v>
      </c>
      <c r="AB8" t="s">
        <v>62</v>
      </c>
      <c r="AF8" s="215" t="s">
        <v>62</v>
      </c>
      <c r="AI8" s="216" t="s">
        <v>245</v>
      </c>
    </row>
    <row r="9" spans="2:35" x14ac:dyDescent="0.3">
      <c r="H9" s="29" t="s">
        <v>72</v>
      </c>
      <c r="L9" s="29" t="s">
        <v>73</v>
      </c>
      <c r="P9" s="28" t="s">
        <v>72</v>
      </c>
      <c r="T9" s="28" t="s">
        <v>73</v>
      </c>
      <c r="X9" s="28" t="s">
        <v>73</v>
      </c>
      <c r="AB9" s="28" t="s">
        <v>73</v>
      </c>
      <c r="AF9" s="216" t="s">
        <v>73</v>
      </c>
    </row>
    <row r="10" spans="2:35" x14ac:dyDescent="0.3">
      <c r="H10" s="29" t="s">
        <v>74</v>
      </c>
      <c r="L10" s="29" t="s">
        <v>74</v>
      </c>
      <c r="P10" s="28" t="s">
        <v>74</v>
      </c>
      <c r="T10" s="28" t="s">
        <v>74</v>
      </c>
      <c r="X10" s="28" t="s">
        <v>74</v>
      </c>
      <c r="AB10" s="28" t="s">
        <v>74</v>
      </c>
    </row>
    <row r="11" spans="2:35" x14ac:dyDescent="0.3">
      <c r="L11" s="29" t="s">
        <v>75</v>
      </c>
      <c r="P11" s="29"/>
      <c r="T11" s="28" t="s">
        <v>75</v>
      </c>
      <c r="X11" s="28" t="s">
        <v>75</v>
      </c>
      <c r="AB11" s="28" t="s">
        <v>75</v>
      </c>
      <c r="AE11" s="5" t="s">
        <v>242</v>
      </c>
      <c r="AF11" s="5"/>
      <c r="AH11" s="5" t="s">
        <v>247</v>
      </c>
      <c r="AI11" s="5"/>
    </row>
    <row r="12" spans="2:35" x14ac:dyDescent="0.3">
      <c r="L12" s="29"/>
      <c r="P12" s="29"/>
      <c r="T12" s="28"/>
      <c r="X12" s="29" t="s">
        <v>95</v>
      </c>
      <c r="AB12" s="28"/>
      <c r="AF12" s="215" t="s">
        <v>232</v>
      </c>
      <c r="AI12" s="215" t="s">
        <v>232</v>
      </c>
    </row>
    <row r="13" spans="2:35" x14ac:dyDescent="0.3">
      <c r="AF13" s="215" t="s">
        <v>62</v>
      </c>
      <c r="AI13" s="215" t="s">
        <v>248</v>
      </c>
    </row>
    <row r="14" spans="2:35" x14ac:dyDescent="0.3">
      <c r="D14" t="s">
        <v>64</v>
      </c>
      <c r="H14" t="s">
        <v>64</v>
      </c>
      <c r="L14" t="s">
        <v>64</v>
      </c>
      <c r="P14" t="s">
        <v>64</v>
      </c>
      <c r="T14" t="s">
        <v>64</v>
      </c>
      <c r="X14" t="s">
        <v>64</v>
      </c>
      <c r="AB14" t="s">
        <v>64</v>
      </c>
      <c r="AF14" s="216" t="s">
        <v>233</v>
      </c>
      <c r="AI14" s="216" t="s">
        <v>245</v>
      </c>
    </row>
    <row r="15" spans="2:35" x14ac:dyDescent="0.3">
      <c r="D15" t="s">
        <v>65</v>
      </c>
      <c r="H15" t="s">
        <v>65</v>
      </c>
      <c r="L15" t="s">
        <v>65</v>
      </c>
      <c r="P15" s="29" t="s">
        <v>93</v>
      </c>
      <c r="T15" s="29" t="s">
        <v>93</v>
      </c>
      <c r="X15" t="s">
        <v>65</v>
      </c>
      <c r="AB15" s="29" t="s">
        <v>101</v>
      </c>
      <c r="AF15" s="216" t="s">
        <v>236</v>
      </c>
      <c r="AI15" s="215" t="s">
        <v>75</v>
      </c>
    </row>
    <row r="16" spans="2:35" x14ac:dyDescent="0.3">
      <c r="AF16" s="216" t="s">
        <v>235</v>
      </c>
      <c r="AH16" s="5"/>
      <c r="AI16" s="215" t="s">
        <v>74</v>
      </c>
    </row>
    <row r="17" spans="3:35" s="5" customFormat="1" x14ac:dyDescent="0.3">
      <c r="C17" s="5" t="s">
        <v>66</v>
      </c>
      <c r="G17" s="5" t="s">
        <v>66</v>
      </c>
      <c r="K17" s="5" t="s">
        <v>79</v>
      </c>
      <c r="O17" s="5" t="s">
        <v>79</v>
      </c>
      <c r="S17" s="38"/>
      <c r="T17" s="38"/>
      <c r="W17" s="38"/>
      <c r="X17" s="38"/>
      <c r="AA17" s="38"/>
      <c r="AB17" s="38"/>
      <c r="AE17"/>
      <c r="AF17" s="216" t="s">
        <v>74</v>
      </c>
      <c r="AG17"/>
      <c r="AH17"/>
      <c r="AI17"/>
    </row>
    <row r="18" spans="3:35" x14ac:dyDescent="0.3">
      <c r="D18" t="s">
        <v>63</v>
      </c>
      <c r="H18" t="s">
        <v>63</v>
      </c>
      <c r="L18" t="s">
        <v>63</v>
      </c>
      <c r="P18" t="s">
        <v>63</v>
      </c>
      <c r="S18" s="39"/>
      <c r="T18" s="39"/>
      <c r="W18" s="38"/>
      <c r="X18" s="38"/>
      <c r="AA18" s="39"/>
      <c r="AB18" s="39"/>
      <c r="AG18" s="5"/>
    </row>
    <row r="19" spans="3:35" x14ac:dyDescent="0.3">
      <c r="D19" t="s">
        <v>67</v>
      </c>
      <c r="H19" t="s">
        <v>77</v>
      </c>
      <c r="L19" t="s">
        <v>62</v>
      </c>
      <c r="P19" t="s">
        <v>62</v>
      </c>
      <c r="S19" s="39"/>
      <c r="T19" s="39"/>
      <c r="W19" s="38"/>
      <c r="X19" s="38"/>
      <c r="AA19" s="39"/>
      <c r="AB19" s="39"/>
      <c r="AE19" s="5" t="s">
        <v>249</v>
      </c>
      <c r="AF19" s="5"/>
    </row>
    <row r="20" spans="3:35" x14ac:dyDescent="0.3">
      <c r="H20" s="29" t="s">
        <v>72</v>
      </c>
      <c r="L20" s="29" t="s">
        <v>73</v>
      </c>
      <c r="P20" s="29" t="s">
        <v>73</v>
      </c>
      <c r="S20" s="39"/>
      <c r="T20" s="40"/>
      <c r="W20" s="38"/>
      <c r="X20" s="38"/>
      <c r="AA20" s="39"/>
      <c r="AB20" s="40"/>
      <c r="AF20" s="216" t="s">
        <v>232</v>
      </c>
    </row>
    <row r="21" spans="3:35" x14ac:dyDescent="0.3">
      <c r="H21" s="29" t="s">
        <v>74</v>
      </c>
      <c r="L21" s="29" t="s">
        <v>74</v>
      </c>
      <c r="P21" s="29" t="s">
        <v>74</v>
      </c>
      <c r="S21" s="39"/>
      <c r="T21" s="40"/>
      <c r="W21" s="38"/>
      <c r="X21" s="38"/>
      <c r="AA21" s="39"/>
      <c r="AB21" s="40"/>
      <c r="AF21" s="216" t="s">
        <v>62</v>
      </c>
    </row>
    <row r="22" spans="3:35" x14ac:dyDescent="0.3">
      <c r="L22" s="29" t="s">
        <v>75</v>
      </c>
      <c r="P22" s="29" t="s">
        <v>75</v>
      </c>
      <c r="S22" s="39"/>
      <c r="T22" s="40"/>
      <c r="W22" s="38"/>
      <c r="X22" s="38"/>
      <c r="AA22" s="39"/>
      <c r="AB22" s="40"/>
      <c r="AF22" s="216" t="s">
        <v>233</v>
      </c>
    </row>
    <row r="23" spans="3:35" x14ac:dyDescent="0.3">
      <c r="L23" s="29"/>
      <c r="P23" s="29"/>
      <c r="S23" s="39"/>
      <c r="T23" s="40"/>
      <c r="W23" s="38"/>
      <c r="X23" s="38"/>
      <c r="AA23" s="39"/>
      <c r="AB23" s="40"/>
      <c r="AF23" s="216" t="s">
        <v>238</v>
      </c>
    </row>
    <row r="24" spans="3:35" x14ac:dyDescent="0.3">
      <c r="D24" t="s">
        <v>64</v>
      </c>
      <c r="H24" t="s">
        <v>64</v>
      </c>
      <c r="L24" t="s">
        <v>64</v>
      </c>
      <c r="P24" t="s">
        <v>64</v>
      </c>
      <c r="S24" s="39"/>
      <c r="T24" s="39"/>
      <c r="W24" s="38"/>
      <c r="X24" s="38"/>
      <c r="AA24" s="39"/>
      <c r="AB24" s="39"/>
      <c r="AF24" s="216" t="s">
        <v>235</v>
      </c>
    </row>
    <row r="25" spans="3:35" x14ac:dyDescent="0.3">
      <c r="D25" t="s">
        <v>68</v>
      </c>
      <c r="H25" t="s">
        <v>88</v>
      </c>
      <c r="L25" t="s">
        <v>78</v>
      </c>
      <c r="P25" t="s">
        <v>78</v>
      </c>
      <c r="S25" s="39"/>
      <c r="T25" s="39"/>
      <c r="W25" s="38"/>
      <c r="X25" s="38"/>
      <c r="AA25" s="39"/>
      <c r="AB25" s="39"/>
      <c r="AF25" s="216" t="s">
        <v>74</v>
      </c>
    </row>
    <row r="26" spans="3:35" x14ac:dyDescent="0.3">
      <c r="S26" s="39"/>
      <c r="T26" s="39"/>
      <c r="W26" s="38"/>
      <c r="X26" s="38"/>
      <c r="AA26" s="39"/>
      <c r="AB26" s="39"/>
    </row>
    <row r="27" spans="3:35" s="5" customFormat="1" x14ac:dyDescent="0.3">
      <c r="C27" s="5" t="s">
        <v>69</v>
      </c>
      <c r="G27" s="5" t="s">
        <v>69</v>
      </c>
      <c r="K27" s="5" t="s">
        <v>69</v>
      </c>
      <c r="O27" s="5" t="s">
        <v>69</v>
      </c>
      <c r="S27" s="34" t="s">
        <v>47</v>
      </c>
      <c r="W27" s="38"/>
      <c r="X27" s="38"/>
      <c r="AA27" s="34" t="s">
        <v>47</v>
      </c>
      <c r="AE27" s="5" t="s">
        <v>241</v>
      </c>
      <c r="AG27"/>
      <c r="AH27" s="5" t="s">
        <v>244</v>
      </c>
    </row>
    <row r="28" spans="3:35" x14ac:dyDescent="0.3">
      <c r="D28" t="s">
        <v>63</v>
      </c>
      <c r="H28" t="s">
        <v>63</v>
      </c>
      <c r="L28" t="s">
        <v>63</v>
      </c>
      <c r="P28" t="s">
        <v>63</v>
      </c>
      <c r="T28" t="s">
        <v>63</v>
      </c>
      <c r="W28" s="38"/>
      <c r="X28" s="38"/>
      <c r="AB28" t="s">
        <v>63</v>
      </c>
      <c r="AF28" s="217" t="s">
        <v>230</v>
      </c>
      <c r="AI28" s="217" t="s">
        <v>230</v>
      </c>
    </row>
    <row r="29" spans="3:35" x14ac:dyDescent="0.3">
      <c r="D29" t="s">
        <v>70</v>
      </c>
      <c r="H29" t="s">
        <v>70</v>
      </c>
      <c r="L29" t="s">
        <v>70</v>
      </c>
      <c r="P29" t="s">
        <v>70</v>
      </c>
      <c r="T29" t="s">
        <v>70</v>
      </c>
      <c r="W29" s="38"/>
      <c r="X29" s="38"/>
      <c r="AB29" t="s">
        <v>70</v>
      </c>
      <c r="AF29" s="217" t="s">
        <v>67</v>
      </c>
      <c r="AI29" s="218" t="s">
        <v>246</v>
      </c>
    </row>
    <row r="30" spans="3:35" x14ac:dyDescent="0.3">
      <c r="P30" s="29" t="s">
        <v>74</v>
      </c>
      <c r="T30" t="s">
        <v>74</v>
      </c>
      <c r="W30" s="38"/>
      <c r="X30" s="38"/>
      <c r="AB30" t="s">
        <v>74</v>
      </c>
      <c r="AF30" s="218" t="s">
        <v>231</v>
      </c>
    </row>
    <row r="31" spans="3:35" x14ac:dyDescent="0.3">
      <c r="P31" s="29" t="s">
        <v>75</v>
      </c>
      <c r="T31" t="s">
        <v>75</v>
      </c>
      <c r="W31" s="38"/>
      <c r="X31" s="38"/>
      <c r="AB31" t="s">
        <v>75</v>
      </c>
    </row>
    <row r="32" spans="3:35" x14ac:dyDescent="0.3">
      <c r="W32" s="38"/>
      <c r="X32" s="38"/>
      <c r="AE32" s="5" t="s">
        <v>242</v>
      </c>
      <c r="AF32" s="5"/>
      <c r="AH32" s="5" t="s">
        <v>247</v>
      </c>
      <c r="AI32" s="5"/>
    </row>
    <row r="33" spans="4:35" x14ac:dyDescent="0.3">
      <c r="D33" t="s">
        <v>64</v>
      </c>
      <c r="H33" t="s">
        <v>64</v>
      </c>
      <c r="L33" t="s">
        <v>64</v>
      </c>
      <c r="P33" t="s">
        <v>64</v>
      </c>
      <c r="T33" t="s">
        <v>64</v>
      </c>
      <c r="W33" s="38"/>
      <c r="X33" s="38"/>
      <c r="AB33" s="29"/>
      <c r="AF33" s="217" t="s">
        <v>230</v>
      </c>
      <c r="AI33" s="217" t="s">
        <v>230</v>
      </c>
    </row>
    <row r="34" spans="4:35" x14ac:dyDescent="0.3">
      <c r="D34" t="s">
        <v>68</v>
      </c>
      <c r="H34" t="s">
        <v>68</v>
      </c>
      <c r="L34" t="s">
        <v>68</v>
      </c>
      <c r="P34" t="s">
        <v>68</v>
      </c>
      <c r="T34" s="29" t="s">
        <v>89</v>
      </c>
      <c r="W34" s="38"/>
      <c r="X34" s="38"/>
      <c r="AB34" s="29" t="s">
        <v>102</v>
      </c>
      <c r="AF34" s="217" t="s">
        <v>67</v>
      </c>
      <c r="AI34" s="217" t="s">
        <v>248</v>
      </c>
    </row>
    <row r="35" spans="4:35" x14ac:dyDescent="0.3">
      <c r="AF35" s="218" t="s">
        <v>234</v>
      </c>
      <c r="AI35" s="218" t="s">
        <v>246</v>
      </c>
    </row>
    <row r="36" spans="4:35" x14ac:dyDescent="0.3">
      <c r="AF36" s="218" t="s">
        <v>237</v>
      </c>
      <c r="AI36" s="217" t="s">
        <v>75</v>
      </c>
    </row>
    <row r="37" spans="4:35" x14ac:dyDescent="0.3">
      <c r="AF37" s="217" t="s">
        <v>235</v>
      </c>
      <c r="AI37" s="217" t="s">
        <v>74</v>
      </c>
    </row>
    <row r="38" spans="4:35" x14ac:dyDescent="0.3">
      <c r="AF38" s="217" t="s">
        <v>74</v>
      </c>
    </row>
    <row r="40" spans="4:35" x14ac:dyDescent="0.3">
      <c r="AE40" s="5" t="s">
        <v>249</v>
      </c>
      <c r="AF40" s="5"/>
    </row>
    <row r="41" spans="4:35" x14ac:dyDescent="0.3">
      <c r="AF41" s="218" t="s">
        <v>230</v>
      </c>
    </row>
    <row r="42" spans="4:35" x14ac:dyDescent="0.3">
      <c r="AF42" s="218" t="s">
        <v>67</v>
      </c>
    </row>
    <row r="43" spans="4:35" x14ac:dyDescent="0.3">
      <c r="AF43" s="218" t="s">
        <v>234</v>
      </c>
    </row>
    <row r="44" spans="4:35" x14ac:dyDescent="0.3">
      <c r="AF44" s="218" t="s">
        <v>238</v>
      </c>
      <c r="AG44" s="5"/>
    </row>
    <row r="45" spans="4:35" x14ac:dyDescent="0.3">
      <c r="AF45" s="218" t="s">
        <v>235</v>
      </c>
    </row>
    <row r="46" spans="4:35" x14ac:dyDescent="0.3">
      <c r="AF46" s="218" t="s">
        <v>74</v>
      </c>
    </row>
    <row r="48" spans="4:35" x14ac:dyDescent="0.3">
      <c r="AE48" s="5" t="s">
        <v>243</v>
      </c>
      <c r="AF48" s="5"/>
      <c r="AH48" s="5" t="s">
        <v>247</v>
      </c>
      <c r="AI48" s="5"/>
    </row>
    <row r="49" spans="32:35" x14ac:dyDescent="0.3">
      <c r="AF49" s="219" t="s">
        <v>239</v>
      </c>
      <c r="AI49" s="219" t="s">
        <v>239</v>
      </c>
    </row>
    <row r="50" spans="32:35" x14ac:dyDescent="0.3">
      <c r="AF50" s="219" t="s">
        <v>67</v>
      </c>
      <c r="AI50" s="219" t="s">
        <v>67</v>
      </c>
    </row>
    <row r="51" spans="32:35" x14ac:dyDescent="0.3">
      <c r="AF51" s="220" t="s">
        <v>240</v>
      </c>
      <c r="AI51" s="220" t="s">
        <v>240</v>
      </c>
    </row>
    <row r="57" spans="32:35" x14ac:dyDescent="0.3">
      <c r="AH57" s="5"/>
    </row>
    <row r="62" spans="32:35" x14ac:dyDescent="0.3">
      <c r="AH62" s="5"/>
    </row>
  </sheetData>
  <pageMargins left="0.511811024" right="0.511811024" top="0.78740157499999996" bottom="0.78740157499999996" header="0.31496062000000002" footer="0.31496062000000002"/>
  <pageSetup paperSize="9" scale="1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1"/>
  <dimension ref="B1:H654"/>
  <sheetViews>
    <sheetView workbookViewId="0">
      <selection activeCell="K61" sqref="K61:M61"/>
    </sheetView>
  </sheetViews>
  <sheetFormatPr defaultRowHeight="14.4" x14ac:dyDescent="0.3"/>
  <cols>
    <col min="1" max="1" width="5" customWidth="1"/>
    <col min="2" max="2" width="4.88671875" bestFit="1" customWidth="1"/>
    <col min="3" max="3" width="10.6640625" bestFit="1" customWidth="1"/>
    <col min="4" max="4" width="15.33203125" bestFit="1" customWidth="1"/>
    <col min="5" max="5" width="27.44140625" bestFit="1" customWidth="1"/>
    <col min="6" max="7" width="18.44140625" bestFit="1" customWidth="1"/>
    <col min="8" max="8" width="9.5546875" bestFit="1" customWidth="1"/>
  </cols>
  <sheetData>
    <row r="1" spans="2:7" x14ac:dyDescent="0.3">
      <c r="C1" s="112">
        <f ca="1">ELEGIBILIDADE!E5</f>
        <v>52195</v>
      </c>
    </row>
    <row r="3" spans="2:7" x14ac:dyDescent="0.3">
      <c r="B3" s="387" t="s">
        <v>192</v>
      </c>
      <c r="C3" s="387"/>
      <c r="D3" s="387"/>
      <c r="E3" s="387"/>
      <c r="F3" s="387"/>
      <c r="G3" s="387"/>
    </row>
    <row r="4" spans="2:7" x14ac:dyDescent="0.3">
      <c r="B4" s="35" t="s">
        <v>84</v>
      </c>
      <c r="C4" s="35" t="s">
        <v>21</v>
      </c>
      <c r="D4" s="35" t="s">
        <v>3</v>
      </c>
      <c r="E4" s="35" t="s">
        <v>39</v>
      </c>
      <c r="F4" s="27" t="s">
        <v>43</v>
      </c>
      <c r="G4" s="27" t="s">
        <v>278</v>
      </c>
    </row>
    <row r="5" spans="2:7" x14ac:dyDescent="0.3">
      <c r="B5" s="18">
        <v>1</v>
      </c>
      <c r="C5" s="21">
        <f>MAX(RESULTADOS!C9,PREMISSAS!$D$7)</f>
        <v>37621</v>
      </c>
      <c r="D5" s="22">
        <f ca="1">VLOOKUP(C5,Preencher_Salários!$D$7:$E$656,2,FALSE)</f>
        <v>0</v>
      </c>
      <c r="E5" s="4" t="str">
        <f ca="1">IF(D5=0,"",IF(IF(ISTEXT(C5),DATE(RIGHT(C5,4),12,31),C5)&lt;PREMISSAS!$D$7,"",IFERROR(VLOOKUP(IF(LEFT(C5,2)="13",DATE(RIGHT(C5,4),12,31),C5),IPCA!$A:$D,4,FALSE),1)*D5))</f>
        <v/>
      </c>
      <c r="F5" s="4">
        <f ca="1">IF(C5="","",IFERROR(AVERAGEIF(E$5:$E5,"&gt;="&amp;_xlfn.PERCENTILE.EXC(E$5:$E5,0.2)),0))</f>
        <v>0</v>
      </c>
      <c r="G5" s="4">
        <f ca="1">IF(C5="","",IFERROR(AVERAGEIF($E$5:E5,"&gt;"&amp;0,$E$5:E5),0))</f>
        <v>0</v>
      </c>
    </row>
    <row r="6" spans="2:7" x14ac:dyDescent="0.3">
      <c r="B6" s="18">
        <v>2</v>
      </c>
      <c r="C6" s="21">
        <f ca="1">IFERROR(IF(LEFT(C5,2)="13",DATE(RIGHT(C5,4),12,31),IF(EOMONTH(C5,1)&gt;PREMISSAS!$C$3,"",IF(MONTH(C5)=11,"13º "&amp;YEAR(C5),EOMONTH(C5,1)))),"")</f>
        <v>37652</v>
      </c>
      <c r="D6" s="22">
        <f ca="1">VLOOKUP(C6,Preencher_Salários!$D$7:$E$656,2,FALSE)</f>
        <v>0</v>
      </c>
      <c r="E6" s="4" t="str">
        <f ca="1">IF(D6=0,"",IF(IF(ISTEXT(C6),DATE(RIGHT(C6,4),12,31),C6)&lt;PREMISSAS!$D$7,"",IFERROR(VLOOKUP(IF(LEFT(C6,2)="13",DATE(RIGHT(C6,4),12,31),C6),IPCA!$A:$D,4,FALSE),1)*D6))</f>
        <v/>
      </c>
      <c r="F6" s="4">
        <f ca="1">IF(C6="","",IFERROR(AVERAGEIF(E$5:$E6,"&gt;="&amp;_xlfn.PERCENTILE.EXC(E$5:$E6,0.2)),0))</f>
        <v>0</v>
      </c>
      <c r="G6" s="4">
        <f ca="1">IF(C6="","",IFERROR(AVERAGEIF($E$5:E6,"&gt;"&amp;0,$E$5:E6),0))</f>
        <v>0</v>
      </c>
    </row>
    <row r="7" spans="2:7" x14ac:dyDescent="0.3">
      <c r="B7" s="18">
        <v>3</v>
      </c>
      <c r="C7" s="21">
        <f ca="1">IFERROR(IF(LEFT(C6,2)="13",DATE(RIGHT(C6,4),12,31),IF(EOMONTH(C6,1)&gt;PREMISSAS!$C$3,"",IF(MONTH(C6)=11,"13º "&amp;YEAR(C6),EOMONTH(C6,1)))),"")</f>
        <v>37680</v>
      </c>
      <c r="D7" s="22">
        <f ca="1">VLOOKUP(C7,Preencher_Salários!$D$7:$E$656,2,FALSE)</f>
        <v>0</v>
      </c>
      <c r="E7" s="4" t="str">
        <f ca="1">IF(D7=0,"",IF(IF(ISTEXT(C7),DATE(RIGHT(C7,4),12,31),C7)&lt;PREMISSAS!$D$7,"",IFERROR(VLOOKUP(IF(LEFT(C7,2)="13",DATE(RIGHT(C7,4),12,31),C7),IPCA!$A:$D,4,FALSE),1)*D7))</f>
        <v/>
      </c>
      <c r="F7" s="4">
        <f ca="1">IF(C7="","",IFERROR(AVERAGEIF(E$5:$E7,"&gt;="&amp;_xlfn.PERCENTILE.EXC(E$5:$E7,0.2)),0))</f>
        <v>0</v>
      </c>
      <c r="G7" s="4">
        <f ca="1">IF(C7="","",IFERROR(AVERAGEIF($E$5:E7,"&gt;"&amp;0,$E$5:E7),0))</f>
        <v>0</v>
      </c>
    </row>
    <row r="8" spans="2:7" x14ac:dyDescent="0.3">
      <c r="B8" s="18">
        <v>4</v>
      </c>
      <c r="C8" s="21">
        <f ca="1">IFERROR(IF(LEFT(C7,2)="13",DATE(RIGHT(C7,4),12,31),IF(EOMONTH(C7,1)&gt;PREMISSAS!$C$3,"",IF(MONTH(C7)=11,"13º "&amp;YEAR(C7),EOMONTH(C7,1)))),"")</f>
        <v>37711</v>
      </c>
      <c r="D8" s="22">
        <f ca="1">VLOOKUP(C8,Preencher_Salários!$D$7:$E$656,2,FALSE)</f>
        <v>0</v>
      </c>
      <c r="E8" s="4" t="str">
        <f ca="1">IF(D8=0,"",IF(IF(ISTEXT(C8),DATE(RIGHT(C8,4),12,31),C8)&lt;PREMISSAS!$D$7,"",IFERROR(VLOOKUP(IF(LEFT(C8,2)="13",DATE(RIGHT(C8,4),12,31),C8),IPCA!$A:$D,4,FALSE),1)*D8))</f>
        <v/>
      </c>
      <c r="F8" s="4">
        <f ca="1">IF(C8="","",IFERROR(AVERAGEIF(E$5:$E8,"&gt;="&amp;_xlfn.PERCENTILE.EXC(E$5:$E8,0.2)),0))</f>
        <v>0</v>
      </c>
      <c r="G8" s="4">
        <f ca="1">IF(C8="","",IFERROR(AVERAGEIF($E$5:E8,"&gt;"&amp;0,$E$5:E8),0))</f>
        <v>0</v>
      </c>
    </row>
    <row r="9" spans="2:7" x14ac:dyDescent="0.3">
      <c r="B9" s="18">
        <v>5</v>
      </c>
      <c r="C9" s="21">
        <f ca="1">IFERROR(IF(LEFT(C8,2)="13",DATE(RIGHT(C8,4),12,31),IF(EOMONTH(C8,1)&gt;PREMISSAS!$C$3,"",IF(MONTH(C8)=11,"13º "&amp;YEAR(C8),EOMONTH(C8,1)))),"")</f>
        <v>37741</v>
      </c>
      <c r="D9" s="22">
        <f ca="1">VLOOKUP(C9,Preencher_Salários!$D$7:$E$656,2,FALSE)</f>
        <v>0</v>
      </c>
      <c r="E9" s="4" t="str">
        <f ca="1">IF(D9=0,"",IF(IF(ISTEXT(C9),DATE(RIGHT(C9,4),12,31),C9)&lt;PREMISSAS!$D$7,"",IFERROR(VLOOKUP(IF(LEFT(C9,2)="13",DATE(RIGHT(C9,4),12,31),C9),IPCA!$A:$D,4,FALSE),1)*D9))</f>
        <v/>
      </c>
      <c r="F9" s="4">
        <f ca="1">IF(C9="","",IFERROR(AVERAGEIF(E$5:$E9,"&gt;="&amp;_xlfn.PERCENTILE.EXC(E$5:$E9,0.2)),0))</f>
        <v>0</v>
      </c>
      <c r="G9" s="4">
        <f ca="1">IF(C9="","",IFERROR(AVERAGEIF($E$5:E9,"&gt;"&amp;0,$E$5:E9),0))</f>
        <v>0</v>
      </c>
    </row>
    <row r="10" spans="2:7" x14ac:dyDescent="0.3">
      <c r="B10" s="18">
        <v>6</v>
      </c>
      <c r="C10" s="21">
        <f ca="1">IFERROR(IF(LEFT(C9,2)="13",DATE(RIGHT(C9,4),12,31),IF(EOMONTH(C9,1)&gt;PREMISSAS!$C$3,"",IF(MONTH(C9)=11,"13º "&amp;YEAR(C9),EOMONTH(C9,1)))),"")</f>
        <v>37772</v>
      </c>
      <c r="D10" s="22">
        <f ca="1">VLOOKUP(C10,Preencher_Salários!$D$7:$E$656,2,FALSE)</f>
        <v>0</v>
      </c>
      <c r="E10" s="4" t="str">
        <f ca="1">IF(D10=0,"",IF(IF(ISTEXT(C10),DATE(RIGHT(C10,4),12,31),C10)&lt;PREMISSAS!$D$7,"",IFERROR(VLOOKUP(IF(LEFT(C10,2)="13",DATE(RIGHT(C10,4),12,31),C10),IPCA!$A:$D,4,FALSE),1)*D10))</f>
        <v/>
      </c>
      <c r="F10" s="4">
        <f ca="1">IF(C10="","",IFERROR(AVERAGEIF(E$5:$E10,"&gt;="&amp;_xlfn.PERCENTILE.EXC(E$5:$E10,0.2)),0))</f>
        <v>0</v>
      </c>
      <c r="G10" s="4">
        <f ca="1">IF(C10="","",IFERROR(AVERAGEIF($E$5:E10,"&gt;"&amp;0,$E$5:E10),0))</f>
        <v>0</v>
      </c>
    </row>
    <row r="11" spans="2:7" x14ac:dyDescent="0.3">
      <c r="B11" s="18">
        <v>7</v>
      </c>
      <c r="C11" s="21">
        <f ca="1">IFERROR(IF(LEFT(C10,2)="13",DATE(RIGHT(C10,4),12,31),IF(EOMONTH(C10,1)&gt;PREMISSAS!$C$3,"",IF(MONTH(C10)=11,"13º "&amp;YEAR(C10),EOMONTH(C10,1)))),"")</f>
        <v>37802</v>
      </c>
      <c r="D11" s="22">
        <f ca="1">VLOOKUP(C11,Preencher_Salários!$D$7:$E$656,2,FALSE)</f>
        <v>0</v>
      </c>
      <c r="E11" s="4" t="str">
        <f ca="1">IF(D11=0,"",IF(IF(ISTEXT(C11),DATE(RIGHT(C11,4),12,31),C11)&lt;PREMISSAS!$D$7,"",IFERROR(VLOOKUP(IF(LEFT(C11,2)="13",DATE(RIGHT(C11,4),12,31),C11),IPCA!$A:$D,4,FALSE),1)*D11))</f>
        <v/>
      </c>
      <c r="F11" s="4">
        <f ca="1">IF(C11="","",IFERROR(AVERAGEIF(E$5:$E11,"&gt;="&amp;_xlfn.PERCENTILE.EXC(E$5:$E11,0.2)),0))</f>
        <v>0</v>
      </c>
      <c r="G11" s="4">
        <f ca="1">IF(C11="","",IFERROR(AVERAGEIF($E$5:E11,"&gt;"&amp;0,$E$5:E11),0))</f>
        <v>0</v>
      </c>
    </row>
    <row r="12" spans="2:7" x14ac:dyDescent="0.3">
      <c r="B12" s="18">
        <v>8</v>
      </c>
      <c r="C12" s="21">
        <f ca="1">IFERROR(IF(LEFT(C11,2)="13",DATE(RIGHT(C11,4),12,31),IF(EOMONTH(C11,1)&gt;PREMISSAS!$C$3,"",IF(MONTH(C11)=11,"13º "&amp;YEAR(C11),EOMONTH(C11,1)))),"")</f>
        <v>37833</v>
      </c>
      <c r="D12" s="22">
        <f ca="1">VLOOKUP(C12,Preencher_Salários!$D$7:$E$656,2,FALSE)</f>
        <v>0</v>
      </c>
      <c r="E12" s="4" t="str">
        <f ca="1">IF(D12=0,"",IF(IF(ISTEXT(C12),DATE(RIGHT(C12,4),12,31),C12)&lt;PREMISSAS!$D$7,"",IFERROR(VLOOKUP(IF(LEFT(C12,2)="13",DATE(RIGHT(C12,4),12,31),C12),IPCA!$A:$D,4,FALSE),1)*D12))</f>
        <v/>
      </c>
      <c r="F12" s="4">
        <f ca="1">IF(C12="","",IFERROR(AVERAGEIF(E$5:$E12,"&gt;="&amp;_xlfn.PERCENTILE.EXC(E$5:$E12,0.2)),0))</f>
        <v>0</v>
      </c>
      <c r="G12" s="4">
        <f ca="1">IF(C12="","",IFERROR(AVERAGEIF($E$5:E12,"&gt;"&amp;0,$E$5:E12),0))</f>
        <v>0</v>
      </c>
    </row>
    <row r="13" spans="2:7" x14ac:dyDescent="0.3">
      <c r="B13" s="18">
        <v>9</v>
      </c>
      <c r="C13" s="21">
        <f ca="1">IFERROR(IF(LEFT(C12,2)="13",DATE(RIGHT(C12,4),12,31),IF(EOMONTH(C12,1)&gt;PREMISSAS!$C$3,"",IF(MONTH(C12)=11,"13º "&amp;YEAR(C12),EOMONTH(C12,1)))),"")</f>
        <v>37864</v>
      </c>
      <c r="D13" s="22">
        <f ca="1">VLOOKUP(C13,Preencher_Salários!$D$7:$E$656,2,FALSE)</f>
        <v>0</v>
      </c>
      <c r="E13" s="4" t="str">
        <f ca="1">IF(D13=0,"",IF(IF(ISTEXT(C13),DATE(RIGHT(C13,4),12,31),C13)&lt;PREMISSAS!$D$7,"",IFERROR(VLOOKUP(IF(LEFT(C13,2)="13",DATE(RIGHT(C13,4),12,31),C13),IPCA!$A:$D,4,FALSE),1)*D13))</f>
        <v/>
      </c>
      <c r="F13" s="4">
        <f ca="1">IF(C13="","",IFERROR(AVERAGEIF(E$5:$E13,"&gt;="&amp;_xlfn.PERCENTILE.EXC(E$5:$E13,0.2)),0))</f>
        <v>0</v>
      </c>
      <c r="G13" s="4">
        <f ca="1">IF(C13="","",IFERROR(AVERAGEIF($E$5:E13,"&gt;"&amp;0,$E$5:E13),0))</f>
        <v>0</v>
      </c>
    </row>
    <row r="14" spans="2:7" x14ac:dyDescent="0.3">
      <c r="B14" s="18">
        <v>10</v>
      </c>
      <c r="C14" s="21">
        <f ca="1">IFERROR(IF(LEFT(C13,2)="13",DATE(RIGHT(C13,4),12,31),IF(EOMONTH(C13,1)&gt;PREMISSAS!$C$3,"",IF(MONTH(C13)=11,"13º "&amp;YEAR(C13),EOMONTH(C13,1)))),"")</f>
        <v>37894</v>
      </c>
      <c r="D14" s="22">
        <f ca="1">VLOOKUP(C14,Preencher_Salários!$D$7:$E$656,2,FALSE)</f>
        <v>0</v>
      </c>
      <c r="E14" s="4" t="str">
        <f ca="1">IF(D14=0,"",IF(IF(ISTEXT(C14),DATE(RIGHT(C14,4),12,31),C14)&lt;PREMISSAS!$D$7,"",IFERROR(VLOOKUP(IF(LEFT(C14,2)="13",DATE(RIGHT(C14,4),12,31),C14),IPCA!$A:$D,4,FALSE),1)*D14))</f>
        <v/>
      </c>
      <c r="F14" s="4">
        <f ca="1">IF(C14="","",IFERROR(AVERAGEIF(E$5:$E14,"&gt;="&amp;_xlfn.PERCENTILE.EXC(E$5:$E14,0.2)),0))</f>
        <v>0</v>
      </c>
      <c r="G14" s="4">
        <f ca="1">IF(C14="","",IFERROR(AVERAGEIF($E$5:E14,"&gt;"&amp;0,$E$5:E14),0))</f>
        <v>0</v>
      </c>
    </row>
    <row r="15" spans="2:7" x14ac:dyDescent="0.3">
      <c r="B15" s="18">
        <v>11</v>
      </c>
      <c r="C15" s="21">
        <f ca="1">IFERROR(IF(LEFT(C14,2)="13",DATE(RIGHT(C14,4),12,31),IF(EOMONTH(C14,1)&gt;PREMISSAS!$C$3,"",IF(MONTH(C14)=11,"13º "&amp;YEAR(C14),EOMONTH(C14,1)))),"")</f>
        <v>37925</v>
      </c>
      <c r="D15" s="22">
        <f ca="1">VLOOKUP(C15,Preencher_Salários!$D$7:$E$656,2,FALSE)</f>
        <v>0</v>
      </c>
      <c r="E15" s="4" t="str">
        <f ca="1">IF(D15=0,"",IF(IF(ISTEXT(C15),DATE(RIGHT(C15,4),12,31),C15)&lt;PREMISSAS!$D$7,"",IFERROR(VLOOKUP(IF(LEFT(C15,2)="13",DATE(RIGHT(C15,4),12,31),C15),IPCA!$A:$D,4,FALSE),1)*D15))</f>
        <v/>
      </c>
      <c r="F15" s="4">
        <f ca="1">IF(C15="","",IFERROR(AVERAGEIF(E$5:$E15,"&gt;="&amp;_xlfn.PERCENTILE.EXC(E$5:$E15,0.2)),0))</f>
        <v>0</v>
      </c>
      <c r="G15" s="4">
        <f ca="1">IF(C15="","",IFERROR(AVERAGEIF($E$5:E15,"&gt;"&amp;0,$E$5:E15),0))</f>
        <v>0</v>
      </c>
    </row>
    <row r="16" spans="2:7" x14ac:dyDescent="0.3">
      <c r="B16" s="18">
        <v>12</v>
      </c>
      <c r="C16" s="21">
        <f ca="1">IFERROR(IF(LEFT(C15,2)="13",DATE(RIGHT(C15,4),12,31),IF(EOMONTH(C15,1)&gt;PREMISSAS!$C$3,"",IF(MONTH(C15)=11,"13º "&amp;YEAR(C15),EOMONTH(C15,1)))),"")</f>
        <v>37955</v>
      </c>
      <c r="D16" s="22">
        <f ca="1">VLOOKUP(C16,Preencher_Salários!$D$7:$E$656,2,FALSE)</f>
        <v>0</v>
      </c>
      <c r="E16" s="4" t="str">
        <f ca="1">IF(D16=0,"",IF(IF(ISTEXT(C16),DATE(RIGHT(C16,4),12,31),C16)&lt;PREMISSAS!$D$7,"",IFERROR(VLOOKUP(IF(LEFT(C16,2)="13",DATE(RIGHT(C16,4),12,31),C16),IPCA!$A:$D,4,FALSE),1)*D16))</f>
        <v/>
      </c>
      <c r="F16" s="4">
        <f ca="1">IF(C16="","",IFERROR(AVERAGEIF(E$5:$E16,"&gt;="&amp;_xlfn.PERCENTILE.EXC(E$5:$E16,0.2)),0))</f>
        <v>0</v>
      </c>
      <c r="G16" s="4">
        <f ca="1">IF(C16="","",IFERROR(AVERAGEIF($E$5:E16,"&gt;"&amp;0,$E$5:E16),0))</f>
        <v>0</v>
      </c>
    </row>
    <row r="17" spans="2:7" x14ac:dyDescent="0.3">
      <c r="B17" s="18">
        <v>13</v>
      </c>
      <c r="C17" s="21" t="str">
        <f ca="1">IFERROR(IF(LEFT(C16,2)="13",DATE(RIGHT(C16,4),12,31),IF(EOMONTH(C16,1)&gt;PREMISSAS!$C$3,"",IF(MONTH(C16)=11,"13º "&amp;YEAR(C16),EOMONTH(C16,1)))),"")</f>
        <v>13º 2003</v>
      </c>
      <c r="D17" s="22">
        <f ca="1">VLOOKUP(C17,Preencher_Salários!$D$7:$E$656,2,FALSE)</f>
        <v>0</v>
      </c>
      <c r="E17" s="4" t="str">
        <f ca="1">IF(D17=0,"",IF(IF(ISTEXT(C17),DATE(RIGHT(C17,4),12,31),C17)&lt;PREMISSAS!$D$7,"",IFERROR(VLOOKUP(IF(LEFT(C17,2)="13",DATE(RIGHT(C17,4),12,31),C17),IPCA!$A:$D,4,FALSE),1)*D17))</f>
        <v/>
      </c>
      <c r="F17" s="4">
        <f ca="1">IF(C17="","",IFERROR(AVERAGEIF(E$5:$E17,"&gt;="&amp;_xlfn.PERCENTILE.EXC(E$5:$E17,0.2)),0))</f>
        <v>0</v>
      </c>
      <c r="G17" s="4">
        <f ca="1">IF(C17="","",IFERROR(AVERAGEIF($E$5:E17,"&gt;"&amp;0,$E$5:E17),0))</f>
        <v>0</v>
      </c>
    </row>
    <row r="18" spans="2:7" x14ac:dyDescent="0.3">
      <c r="B18" s="18">
        <v>14</v>
      </c>
      <c r="C18" s="21">
        <f ca="1">IFERROR(IF(LEFT(C17,2)="13",DATE(RIGHT(C17,4),12,31),IF(EOMONTH(C17,1)&gt;PREMISSAS!$C$3,"",IF(MONTH(C17)=11,"13º "&amp;YEAR(C17),EOMONTH(C17,1)))),"")</f>
        <v>37986</v>
      </c>
      <c r="D18" s="22">
        <f ca="1">VLOOKUP(C18,Preencher_Salários!$D$7:$E$656,2,FALSE)</f>
        <v>0</v>
      </c>
      <c r="E18" s="4" t="str">
        <f ca="1">IF(D18=0,"",IF(IF(ISTEXT(C18),DATE(RIGHT(C18,4),12,31),C18)&lt;PREMISSAS!$D$7,"",IFERROR(VLOOKUP(IF(LEFT(C18,2)="13",DATE(RIGHT(C18,4),12,31),C18),IPCA!$A:$D,4,FALSE),1)*D18))</f>
        <v/>
      </c>
      <c r="F18" s="4">
        <f ca="1">IF(C18="","",IFERROR(AVERAGEIF(E$5:$E18,"&gt;="&amp;_xlfn.PERCENTILE.EXC(E$5:$E18,0.2)),0))</f>
        <v>0</v>
      </c>
      <c r="G18" s="4">
        <f ca="1">IF(C18="","",IFERROR(AVERAGEIF($E$5:E18,"&gt;"&amp;0,$E$5:E18),0))</f>
        <v>0</v>
      </c>
    </row>
    <row r="19" spans="2:7" x14ac:dyDescent="0.3">
      <c r="B19" s="18">
        <v>15</v>
      </c>
      <c r="C19" s="21">
        <f ca="1">IFERROR(IF(LEFT(C18,2)="13",DATE(RIGHT(C18,4),12,31),IF(EOMONTH(C18,1)&gt;PREMISSAS!$C$3,"",IF(MONTH(C18)=11,"13º "&amp;YEAR(C18),EOMONTH(C18,1)))),"")</f>
        <v>38017</v>
      </c>
      <c r="D19" s="22">
        <f ca="1">VLOOKUP(C19,Preencher_Salários!$D$7:$E$656,2,FALSE)</f>
        <v>0</v>
      </c>
      <c r="E19" s="4" t="str">
        <f ca="1">IF(D19=0,"",IF(IF(ISTEXT(C19),DATE(RIGHT(C19,4),12,31),C19)&lt;PREMISSAS!$D$7,"",IFERROR(VLOOKUP(IF(LEFT(C19,2)="13",DATE(RIGHT(C19,4),12,31),C19),IPCA!$A:$D,4,FALSE),1)*D19))</f>
        <v/>
      </c>
      <c r="F19" s="4">
        <f ca="1">IF(C19="","",IFERROR(AVERAGEIF(E$5:$E19,"&gt;="&amp;_xlfn.PERCENTILE.EXC(E$5:$E19,0.2)),0))</f>
        <v>0</v>
      </c>
      <c r="G19" s="4">
        <f ca="1">IF(C19="","",IFERROR(AVERAGEIF($E$5:E19,"&gt;"&amp;0,$E$5:E19),0))</f>
        <v>0</v>
      </c>
    </row>
    <row r="20" spans="2:7" x14ac:dyDescent="0.3">
      <c r="B20" s="18">
        <v>16</v>
      </c>
      <c r="C20" s="21">
        <f ca="1">IFERROR(IF(LEFT(C19,2)="13",DATE(RIGHT(C19,4),12,31),IF(EOMONTH(C19,1)&gt;PREMISSAS!$C$3,"",IF(MONTH(C19)=11,"13º "&amp;YEAR(C19),EOMONTH(C19,1)))),"")</f>
        <v>38046</v>
      </c>
      <c r="D20" s="22">
        <f ca="1">VLOOKUP(C20,Preencher_Salários!$D$7:$E$656,2,FALSE)</f>
        <v>0</v>
      </c>
      <c r="E20" s="4" t="str">
        <f ca="1">IF(D20=0,"",IF(IF(ISTEXT(C20),DATE(RIGHT(C20,4),12,31),C20)&lt;PREMISSAS!$D$7,"",IFERROR(VLOOKUP(IF(LEFT(C20,2)="13",DATE(RIGHT(C20,4),12,31),C20),IPCA!$A:$D,4,FALSE),1)*D20))</f>
        <v/>
      </c>
      <c r="F20" s="4">
        <f ca="1">IF(C20="","",IFERROR(AVERAGEIF(E$5:$E20,"&gt;="&amp;_xlfn.PERCENTILE.EXC(E$5:$E20,0.2)),0))</f>
        <v>0</v>
      </c>
      <c r="G20" s="4">
        <f ca="1">IF(C20="","",IFERROR(AVERAGEIF($E$5:E20,"&gt;"&amp;0,$E$5:E20),0))</f>
        <v>0</v>
      </c>
    </row>
    <row r="21" spans="2:7" x14ac:dyDescent="0.3">
      <c r="B21" s="18">
        <v>17</v>
      </c>
      <c r="C21" s="21">
        <f ca="1">IFERROR(IF(LEFT(C20,2)="13",DATE(RIGHT(C20,4),12,31),IF(EOMONTH(C20,1)&gt;PREMISSAS!$C$3,"",IF(MONTH(C20)=11,"13º "&amp;YEAR(C20),EOMONTH(C20,1)))),"")</f>
        <v>38077</v>
      </c>
      <c r="D21" s="22">
        <f ca="1">VLOOKUP(C21,Preencher_Salários!$D$7:$E$656,2,FALSE)</f>
        <v>0</v>
      </c>
      <c r="E21" s="4" t="str">
        <f ca="1">IF(D21=0,"",IF(IF(ISTEXT(C21),DATE(RIGHT(C21,4),12,31),C21)&lt;PREMISSAS!$D$7,"",IFERROR(VLOOKUP(IF(LEFT(C21,2)="13",DATE(RIGHT(C21,4),12,31),C21),IPCA!$A:$D,4,FALSE),1)*D21))</f>
        <v/>
      </c>
      <c r="F21" s="4">
        <f ca="1">IF(C21="","",IFERROR(AVERAGEIF(E$5:$E21,"&gt;="&amp;_xlfn.PERCENTILE.EXC(E$5:$E21,0.2)),0))</f>
        <v>0</v>
      </c>
      <c r="G21" s="4">
        <f ca="1">IF(C21="","",IFERROR(AVERAGEIF($E$5:E21,"&gt;"&amp;0,$E$5:E21),0))</f>
        <v>0</v>
      </c>
    </row>
    <row r="22" spans="2:7" x14ac:dyDescent="0.3">
      <c r="B22" s="18">
        <v>18</v>
      </c>
      <c r="C22" s="21">
        <f ca="1">IFERROR(IF(LEFT(C21,2)="13",DATE(RIGHT(C21,4),12,31),IF(EOMONTH(C21,1)&gt;PREMISSAS!$C$3,"",IF(MONTH(C21)=11,"13º "&amp;YEAR(C21),EOMONTH(C21,1)))),"")</f>
        <v>38107</v>
      </c>
      <c r="D22" s="22">
        <f ca="1">VLOOKUP(C22,Preencher_Salários!$D$7:$E$656,2,FALSE)</f>
        <v>0</v>
      </c>
      <c r="E22" s="4" t="str">
        <f ca="1">IF(D22=0,"",IF(IF(ISTEXT(C22),DATE(RIGHT(C22,4),12,31),C22)&lt;PREMISSAS!$D$7,"",IFERROR(VLOOKUP(IF(LEFT(C22,2)="13",DATE(RIGHT(C22,4),12,31),C22),IPCA!$A:$D,4,FALSE),1)*D22))</f>
        <v/>
      </c>
      <c r="F22" s="4">
        <f ca="1">IF(C22="","",IFERROR(AVERAGEIF(E$5:$E22,"&gt;="&amp;_xlfn.PERCENTILE.EXC(E$5:$E22,0.2)),0))</f>
        <v>0</v>
      </c>
      <c r="G22" s="4">
        <f ca="1">IF(C22="","",IFERROR(AVERAGEIF($E$5:E22,"&gt;"&amp;0,$E$5:E22),0))</f>
        <v>0</v>
      </c>
    </row>
    <row r="23" spans="2:7" x14ac:dyDescent="0.3">
      <c r="B23" s="18">
        <v>19</v>
      </c>
      <c r="C23" s="21">
        <f ca="1">IFERROR(IF(LEFT(C22,2)="13",DATE(RIGHT(C22,4),12,31),IF(EOMONTH(C22,1)&gt;PREMISSAS!$C$3,"",IF(MONTH(C22)=11,"13º "&amp;YEAR(C22),EOMONTH(C22,1)))),"")</f>
        <v>38138</v>
      </c>
      <c r="D23" s="22">
        <f ca="1">VLOOKUP(C23,Preencher_Salários!$D$7:$E$656,2,FALSE)</f>
        <v>0</v>
      </c>
      <c r="E23" s="4" t="str">
        <f ca="1">IF(D23=0,"",IF(IF(ISTEXT(C23),DATE(RIGHT(C23,4),12,31),C23)&lt;PREMISSAS!$D$7,"",IFERROR(VLOOKUP(IF(LEFT(C23,2)="13",DATE(RIGHT(C23,4),12,31),C23),IPCA!$A:$D,4,FALSE),1)*D23))</f>
        <v/>
      </c>
      <c r="F23" s="4">
        <f ca="1">IF(C23="","",IFERROR(AVERAGEIF(E$5:$E23,"&gt;="&amp;_xlfn.PERCENTILE.EXC(E$5:$E23,0.2)),0))</f>
        <v>0</v>
      </c>
      <c r="G23" s="4">
        <f ca="1">IF(C23="","",IFERROR(AVERAGEIF($E$5:E23,"&gt;"&amp;0,$E$5:E23),0))</f>
        <v>0</v>
      </c>
    </row>
    <row r="24" spans="2:7" x14ac:dyDescent="0.3">
      <c r="B24" s="18">
        <v>20</v>
      </c>
      <c r="C24" s="21">
        <f ca="1">IFERROR(IF(LEFT(C23,2)="13",DATE(RIGHT(C23,4),12,31),IF(EOMONTH(C23,1)&gt;PREMISSAS!$C$3,"",IF(MONTH(C23)=11,"13º "&amp;YEAR(C23),EOMONTH(C23,1)))),"")</f>
        <v>38168</v>
      </c>
      <c r="D24" s="22">
        <f ca="1">VLOOKUP(C24,Preencher_Salários!$D$7:$E$656,2,FALSE)</f>
        <v>0</v>
      </c>
      <c r="E24" s="4" t="str">
        <f ca="1">IF(D24=0,"",IF(IF(ISTEXT(C24),DATE(RIGHT(C24,4),12,31),C24)&lt;PREMISSAS!$D$7,"",IFERROR(VLOOKUP(IF(LEFT(C24,2)="13",DATE(RIGHT(C24,4),12,31),C24),IPCA!$A:$D,4,FALSE),1)*D24))</f>
        <v/>
      </c>
      <c r="F24" s="4">
        <f ca="1">IF(C24="","",IFERROR(AVERAGEIF(E$5:$E24,"&gt;="&amp;_xlfn.PERCENTILE.EXC(E$5:$E24,0.2)),0))</f>
        <v>0</v>
      </c>
      <c r="G24" s="4">
        <f ca="1">IF(C24="","",IFERROR(AVERAGEIF($E$5:E24,"&gt;"&amp;0,$E$5:E24),0))</f>
        <v>0</v>
      </c>
    </row>
    <row r="25" spans="2:7" x14ac:dyDescent="0.3">
      <c r="B25" s="18">
        <v>21</v>
      </c>
      <c r="C25" s="21">
        <f ca="1">IFERROR(IF(LEFT(C24,2)="13",DATE(RIGHT(C24,4),12,31),IF(EOMONTH(C24,1)&gt;PREMISSAS!$C$3,"",IF(MONTH(C24)=11,"13º "&amp;YEAR(C24),EOMONTH(C24,1)))),"")</f>
        <v>38199</v>
      </c>
      <c r="D25" s="22">
        <f ca="1">VLOOKUP(C25,Preencher_Salários!$D$7:$E$656,2,FALSE)</f>
        <v>0</v>
      </c>
      <c r="E25" s="4" t="str">
        <f ca="1">IF(D25=0,"",IF(IF(ISTEXT(C25),DATE(RIGHT(C25,4),12,31),C25)&lt;PREMISSAS!$D$7,"",IFERROR(VLOOKUP(IF(LEFT(C25,2)="13",DATE(RIGHT(C25,4),12,31),C25),IPCA!$A:$D,4,FALSE),1)*D25))</f>
        <v/>
      </c>
      <c r="F25" s="4">
        <f ca="1">IF(C25="","",IFERROR(AVERAGEIF(E$5:$E25,"&gt;="&amp;_xlfn.PERCENTILE.EXC(E$5:$E25,0.2)),0))</f>
        <v>0</v>
      </c>
      <c r="G25" s="4">
        <f ca="1">IF(C25="","",IFERROR(AVERAGEIF($E$5:E25,"&gt;"&amp;0,$E$5:E25),0))</f>
        <v>0</v>
      </c>
    </row>
    <row r="26" spans="2:7" x14ac:dyDescent="0.3">
      <c r="B26" s="18">
        <v>22</v>
      </c>
      <c r="C26" s="21">
        <f ca="1">IFERROR(IF(LEFT(C25,2)="13",DATE(RIGHT(C25,4),12,31),IF(EOMONTH(C25,1)&gt;PREMISSAS!$C$3,"",IF(MONTH(C25)=11,"13º "&amp;YEAR(C25),EOMONTH(C25,1)))),"")</f>
        <v>38230</v>
      </c>
      <c r="D26" s="22">
        <f ca="1">VLOOKUP(C26,Preencher_Salários!$D$7:$E$656,2,FALSE)</f>
        <v>0</v>
      </c>
      <c r="E26" s="4" t="str">
        <f ca="1">IF(D26=0,"",IF(IF(ISTEXT(C26),DATE(RIGHT(C26,4),12,31),C26)&lt;PREMISSAS!$D$7,"",IFERROR(VLOOKUP(IF(LEFT(C26,2)="13",DATE(RIGHT(C26,4),12,31),C26),IPCA!$A:$D,4,FALSE),1)*D26))</f>
        <v/>
      </c>
      <c r="F26" s="4">
        <f ca="1">IF(C26="","",IFERROR(AVERAGEIF(E$5:$E26,"&gt;="&amp;_xlfn.PERCENTILE.EXC(E$5:$E26,0.2)),0))</f>
        <v>0</v>
      </c>
      <c r="G26" s="4">
        <f ca="1">IF(C26="","",IFERROR(AVERAGEIF($E$5:E26,"&gt;"&amp;0,$E$5:E26),0))</f>
        <v>0</v>
      </c>
    </row>
    <row r="27" spans="2:7" x14ac:dyDescent="0.3">
      <c r="B27" s="18">
        <v>23</v>
      </c>
      <c r="C27" s="21">
        <f ca="1">IFERROR(IF(LEFT(C26,2)="13",DATE(RIGHT(C26,4),12,31),IF(EOMONTH(C26,1)&gt;PREMISSAS!$C$3,"",IF(MONTH(C26)=11,"13º "&amp;YEAR(C26),EOMONTH(C26,1)))),"")</f>
        <v>38260</v>
      </c>
      <c r="D27" s="22">
        <f ca="1">VLOOKUP(C27,Preencher_Salários!$D$7:$E$656,2,FALSE)</f>
        <v>0</v>
      </c>
      <c r="E27" s="4" t="str">
        <f ca="1">IF(D27=0,"",IF(IF(ISTEXT(C27),DATE(RIGHT(C27,4),12,31),C27)&lt;PREMISSAS!$D$7,"",IFERROR(VLOOKUP(IF(LEFT(C27,2)="13",DATE(RIGHT(C27,4),12,31),C27),IPCA!$A:$D,4,FALSE),1)*D27))</f>
        <v/>
      </c>
      <c r="F27" s="4">
        <f ca="1">IF(C27="","",IFERROR(AVERAGEIF(E$5:$E27,"&gt;="&amp;_xlfn.PERCENTILE.EXC(E$5:$E27,0.2)),0))</f>
        <v>0</v>
      </c>
      <c r="G27" s="4">
        <f ca="1">IF(C27="","",IFERROR(AVERAGEIF($E$5:E27,"&gt;"&amp;0,$E$5:E27),0))</f>
        <v>0</v>
      </c>
    </row>
    <row r="28" spans="2:7" x14ac:dyDescent="0.3">
      <c r="B28" s="18">
        <v>24</v>
      </c>
      <c r="C28" s="21">
        <f ca="1">IFERROR(IF(LEFT(C27,2)="13",DATE(RIGHT(C27,4),12,31),IF(EOMONTH(C27,1)&gt;PREMISSAS!$C$3,"",IF(MONTH(C27)=11,"13º "&amp;YEAR(C27),EOMONTH(C27,1)))),"")</f>
        <v>38291</v>
      </c>
      <c r="D28" s="22">
        <f ca="1">VLOOKUP(C28,Preencher_Salários!$D$7:$E$656,2,FALSE)</f>
        <v>0</v>
      </c>
      <c r="E28" s="4" t="str">
        <f ca="1">IF(D28=0,"",IF(IF(ISTEXT(C28),DATE(RIGHT(C28,4),12,31),C28)&lt;PREMISSAS!$D$7,"",IFERROR(VLOOKUP(IF(LEFT(C28,2)="13",DATE(RIGHT(C28,4),12,31),C28),IPCA!$A:$D,4,FALSE),1)*D28))</f>
        <v/>
      </c>
      <c r="F28" s="4">
        <f ca="1">IF(C28="","",IFERROR(AVERAGEIF(E$5:$E28,"&gt;="&amp;_xlfn.PERCENTILE.EXC(E$5:$E28,0.2)),0))</f>
        <v>0</v>
      </c>
      <c r="G28" s="4">
        <f ca="1">IF(C28="","",IFERROR(AVERAGEIF($E$5:E28,"&gt;"&amp;0,$E$5:E28),0))</f>
        <v>0</v>
      </c>
    </row>
    <row r="29" spans="2:7" x14ac:dyDescent="0.3">
      <c r="B29" s="18">
        <v>25</v>
      </c>
      <c r="C29" s="21">
        <f ca="1">IFERROR(IF(LEFT(C28,2)="13",DATE(RIGHT(C28,4),12,31),IF(EOMONTH(C28,1)&gt;PREMISSAS!$C$3,"",IF(MONTH(C28)=11,"13º "&amp;YEAR(C28),EOMONTH(C28,1)))),"")</f>
        <v>38321</v>
      </c>
      <c r="D29" s="22">
        <f ca="1">VLOOKUP(C29,Preencher_Salários!$D$7:$E$656,2,FALSE)</f>
        <v>0</v>
      </c>
      <c r="E29" s="4" t="str">
        <f ca="1">IF(D29=0,"",IF(IF(ISTEXT(C29),DATE(RIGHT(C29,4),12,31),C29)&lt;PREMISSAS!$D$7,"",IFERROR(VLOOKUP(IF(LEFT(C29,2)="13",DATE(RIGHT(C29,4),12,31),C29),IPCA!$A:$D,4,FALSE),1)*D29))</f>
        <v/>
      </c>
      <c r="F29" s="4">
        <f ca="1">IF(C29="","",IFERROR(AVERAGEIF(E$5:$E29,"&gt;="&amp;_xlfn.PERCENTILE.EXC(E$5:$E29,0.2)),0))</f>
        <v>0</v>
      </c>
      <c r="G29" s="4">
        <f ca="1">IF(C29="","",IFERROR(AVERAGEIF($E$5:E29,"&gt;"&amp;0,$E$5:E29),0))</f>
        <v>0</v>
      </c>
    </row>
    <row r="30" spans="2:7" x14ac:dyDescent="0.3">
      <c r="B30" s="18">
        <v>26</v>
      </c>
      <c r="C30" s="21" t="str">
        <f ca="1">IFERROR(IF(LEFT(C29,2)="13",DATE(RIGHT(C29,4),12,31),IF(EOMONTH(C29,1)&gt;PREMISSAS!$C$3,"",IF(MONTH(C29)=11,"13º "&amp;YEAR(C29),EOMONTH(C29,1)))),"")</f>
        <v>13º 2004</v>
      </c>
      <c r="D30" s="22">
        <f ca="1">VLOOKUP(C30,Preencher_Salários!$D$7:$E$656,2,FALSE)</f>
        <v>0</v>
      </c>
      <c r="E30" s="4" t="str">
        <f ca="1">IF(D30=0,"",IF(IF(ISTEXT(C30),DATE(RIGHT(C30,4),12,31),C30)&lt;PREMISSAS!$D$7,"",IFERROR(VLOOKUP(IF(LEFT(C30,2)="13",DATE(RIGHT(C30,4),12,31),C30),IPCA!$A:$D,4,FALSE),1)*D30))</f>
        <v/>
      </c>
      <c r="F30" s="4">
        <f ca="1">IF(C30="","",IFERROR(AVERAGEIF(E$5:$E30,"&gt;="&amp;_xlfn.PERCENTILE.EXC(E$5:$E30,0.2)),0))</f>
        <v>0</v>
      </c>
      <c r="G30" s="4">
        <f ca="1">IF(C30="","",IFERROR(AVERAGEIF($E$5:E30,"&gt;"&amp;0,$E$5:E30),0))</f>
        <v>0</v>
      </c>
    </row>
    <row r="31" spans="2:7" x14ac:dyDescent="0.3">
      <c r="B31" s="18">
        <v>27</v>
      </c>
      <c r="C31" s="21">
        <f ca="1">IFERROR(IF(LEFT(C30,2)="13",DATE(RIGHT(C30,4),12,31),IF(EOMONTH(C30,1)&gt;PREMISSAS!$C$3,"",IF(MONTH(C30)=11,"13º "&amp;YEAR(C30),EOMONTH(C30,1)))),"")</f>
        <v>38352</v>
      </c>
      <c r="D31" s="22">
        <f ca="1">VLOOKUP(C31,Preencher_Salários!$D$7:$E$656,2,FALSE)</f>
        <v>0</v>
      </c>
      <c r="E31" s="4" t="str">
        <f ca="1">IF(D31=0,"",IF(IF(ISTEXT(C31),DATE(RIGHT(C31,4),12,31),C31)&lt;PREMISSAS!$D$7,"",IFERROR(VLOOKUP(IF(LEFT(C31,2)="13",DATE(RIGHT(C31,4),12,31),C31),IPCA!$A:$D,4,FALSE),1)*D31))</f>
        <v/>
      </c>
      <c r="F31" s="4">
        <f ca="1">IF(C31="","",IFERROR(AVERAGEIF(E$5:$E31,"&gt;="&amp;_xlfn.PERCENTILE.EXC(E$5:$E31,0.2)),0))</f>
        <v>0</v>
      </c>
      <c r="G31" s="4">
        <f ca="1">IF(C31="","",IFERROR(AVERAGEIF($E$5:E31,"&gt;"&amp;0,$E$5:E31),0))</f>
        <v>0</v>
      </c>
    </row>
    <row r="32" spans="2:7" x14ac:dyDescent="0.3">
      <c r="B32" s="18">
        <v>28</v>
      </c>
      <c r="C32" s="21">
        <f ca="1">IFERROR(IF(LEFT(C31,2)="13",DATE(RIGHT(C31,4),12,31),IF(EOMONTH(C31,1)&gt;PREMISSAS!$C$3,"",IF(MONTH(C31)=11,"13º "&amp;YEAR(C31),EOMONTH(C31,1)))),"")</f>
        <v>38383</v>
      </c>
      <c r="D32" s="22">
        <f ca="1">VLOOKUP(C32,Preencher_Salários!$D$7:$E$656,2,FALSE)</f>
        <v>0</v>
      </c>
      <c r="E32" s="4" t="str">
        <f ca="1">IF(D32=0,"",IF(IF(ISTEXT(C32),DATE(RIGHT(C32,4),12,31),C32)&lt;PREMISSAS!$D$7,"",IFERROR(VLOOKUP(IF(LEFT(C32,2)="13",DATE(RIGHT(C32,4),12,31),C32),IPCA!$A:$D,4,FALSE),1)*D32))</f>
        <v/>
      </c>
      <c r="F32" s="4">
        <f ca="1">IF(C32="","",IFERROR(AVERAGEIF(E$5:$E32,"&gt;="&amp;_xlfn.PERCENTILE.EXC(E$5:$E32,0.2)),0))</f>
        <v>0</v>
      </c>
      <c r="G32" s="4">
        <f ca="1">IF(C32="","",IFERROR(AVERAGEIF($E$5:E32,"&gt;"&amp;0,$E$5:E32),0))</f>
        <v>0</v>
      </c>
    </row>
    <row r="33" spans="2:7" x14ac:dyDescent="0.3">
      <c r="B33" s="18">
        <v>29</v>
      </c>
      <c r="C33" s="21">
        <f ca="1">IFERROR(IF(LEFT(C32,2)="13",DATE(RIGHT(C32,4),12,31),IF(EOMONTH(C32,1)&gt;PREMISSAS!$C$3,"",IF(MONTH(C32)=11,"13º "&amp;YEAR(C32),EOMONTH(C32,1)))),"")</f>
        <v>38411</v>
      </c>
      <c r="D33" s="22">
        <f ca="1">VLOOKUP(C33,Preencher_Salários!$D$7:$E$656,2,FALSE)</f>
        <v>0</v>
      </c>
      <c r="E33" s="4" t="str">
        <f ca="1">IF(D33=0,"",IF(IF(ISTEXT(C33),DATE(RIGHT(C33,4),12,31),C33)&lt;PREMISSAS!$D$7,"",IFERROR(VLOOKUP(IF(LEFT(C33,2)="13",DATE(RIGHT(C33,4),12,31),C33),IPCA!$A:$D,4,FALSE),1)*D33))</f>
        <v/>
      </c>
      <c r="F33" s="4">
        <f ca="1">IF(C33="","",IFERROR(AVERAGEIF(E$5:$E33,"&gt;="&amp;_xlfn.PERCENTILE.EXC(E$5:$E33,0.2)),0))</f>
        <v>0</v>
      </c>
      <c r="G33" s="4">
        <f ca="1">IF(C33="","",IFERROR(AVERAGEIF($E$5:E33,"&gt;"&amp;0,$E$5:E33),0))</f>
        <v>0</v>
      </c>
    </row>
    <row r="34" spans="2:7" x14ac:dyDescent="0.3">
      <c r="B34" s="18">
        <v>30</v>
      </c>
      <c r="C34" s="21">
        <f ca="1">IFERROR(IF(LEFT(C33,2)="13",DATE(RIGHT(C33,4),12,31),IF(EOMONTH(C33,1)&gt;PREMISSAS!$C$3,"",IF(MONTH(C33)=11,"13º "&amp;YEAR(C33),EOMONTH(C33,1)))),"")</f>
        <v>38442</v>
      </c>
      <c r="D34" s="22">
        <f ca="1">VLOOKUP(C34,Preencher_Salários!$D$7:$E$656,2,FALSE)</f>
        <v>0</v>
      </c>
      <c r="E34" s="4" t="str">
        <f ca="1">IF(D34=0,"",IF(IF(ISTEXT(C34),DATE(RIGHT(C34,4),12,31),C34)&lt;PREMISSAS!$D$7,"",IFERROR(VLOOKUP(IF(LEFT(C34,2)="13",DATE(RIGHT(C34,4),12,31),C34),IPCA!$A:$D,4,FALSE),1)*D34))</f>
        <v/>
      </c>
      <c r="F34" s="4">
        <f ca="1">IF(C34="","",IFERROR(AVERAGEIF(E$5:$E34,"&gt;="&amp;_xlfn.PERCENTILE.EXC(E$5:$E34,0.2)),0))</f>
        <v>0</v>
      </c>
      <c r="G34" s="4">
        <f ca="1">IF(C34="","",IFERROR(AVERAGEIF($E$5:E34,"&gt;"&amp;0,$E$5:E34),0))</f>
        <v>0</v>
      </c>
    </row>
    <row r="35" spans="2:7" x14ac:dyDescent="0.3">
      <c r="B35" s="18">
        <v>31</v>
      </c>
      <c r="C35" s="21">
        <f ca="1">IFERROR(IF(LEFT(C34,2)="13",DATE(RIGHT(C34,4),12,31),IF(EOMONTH(C34,1)&gt;PREMISSAS!$C$3,"",IF(MONTH(C34)=11,"13º "&amp;YEAR(C34),EOMONTH(C34,1)))),"")</f>
        <v>38472</v>
      </c>
      <c r="D35" s="22">
        <f ca="1">VLOOKUP(C35,Preencher_Salários!$D$7:$E$656,2,FALSE)</f>
        <v>0</v>
      </c>
      <c r="E35" s="4" t="str">
        <f ca="1">IF(D35=0,"",IF(IF(ISTEXT(C35),DATE(RIGHT(C35,4),12,31),C35)&lt;PREMISSAS!$D$7,"",IFERROR(VLOOKUP(IF(LEFT(C35,2)="13",DATE(RIGHT(C35,4),12,31),C35),IPCA!$A:$D,4,FALSE),1)*D35))</f>
        <v/>
      </c>
      <c r="F35" s="4">
        <f ca="1">IF(C35="","",IFERROR(AVERAGEIF(E$5:$E35,"&gt;="&amp;_xlfn.PERCENTILE.EXC(E$5:$E35,0.2)),0))</f>
        <v>0</v>
      </c>
      <c r="G35" s="4">
        <f ca="1">IF(C35="","",IFERROR(AVERAGEIF($E$5:E35,"&gt;"&amp;0,$E$5:E35),0))</f>
        <v>0</v>
      </c>
    </row>
    <row r="36" spans="2:7" x14ac:dyDescent="0.3">
      <c r="B36" s="18">
        <v>32</v>
      </c>
      <c r="C36" s="21">
        <f ca="1">IFERROR(IF(LEFT(C35,2)="13",DATE(RIGHT(C35,4),12,31),IF(EOMONTH(C35,1)&gt;PREMISSAS!$C$3,"",IF(MONTH(C35)=11,"13º "&amp;YEAR(C35),EOMONTH(C35,1)))),"")</f>
        <v>38503</v>
      </c>
      <c r="D36" s="22">
        <f ca="1">VLOOKUP(C36,Preencher_Salários!$D$7:$E$656,2,FALSE)</f>
        <v>0</v>
      </c>
      <c r="E36" s="4" t="str">
        <f ca="1">IF(D36=0,"",IF(IF(ISTEXT(C36),DATE(RIGHT(C36,4),12,31),C36)&lt;PREMISSAS!$D$7,"",IFERROR(VLOOKUP(IF(LEFT(C36,2)="13",DATE(RIGHT(C36,4),12,31),C36),IPCA!$A:$D,4,FALSE),1)*D36))</f>
        <v/>
      </c>
      <c r="F36" s="4">
        <f ca="1">IF(C36="","",IFERROR(AVERAGEIF(E$5:$E36,"&gt;="&amp;_xlfn.PERCENTILE.EXC(E$5:$E36,0.2)),0))</f>
        <v>0</v>
      </c>
      <c r="G36" s="4">
        <f ca="1">IF(C36="","",IFERROR(AVERAGEIF($E$5:E36,"&gt;"&amp;0,$E$5:E36),0))</f>
        <v>0</v>
      </c>
    </row>
    <row r="37" spans="2:7" x14ac:dyDescent="0.3">
      <c r="B37" s="18">
        <v>33</v>
      </c>
      <c r="C37" s="21">
        <f ca="1">IFERROR(IF(LEFT(C36,2)="13",DATE(RIGHT(C36,4),12,31),IF(EOMONTH(C36,1)&gt;PREMISSAS!$C$3,"",IF(MONTH(C36)=11,"13º "&amp;YEAR(C36),EOMONTH(C36,1)))),"")</f>
        <v>38533</v>
      </c>
      <c r="D37" s="22">
        <f ca="1">VLOOKUP(C37,Preencher_Salários!$D$7:$E$656,2,FALSE)</f>
        <v>0</v>
      </c>
      <c r="E37" s="4" t="str">
        <f ca="1">IF(D37=0,"",IF(IF(ISTEXT(C37),DATE(RIGHT(C37,4),12,31),C37)&lt;PREMISSAS!$D$7,"",IFERROR(VLOOKUP(IF(LEFT(C37,2)="13",DATE(RIGHT(C37,4),12,31),C37),IPCA!$A:$D,4,FALSE),1)*D37))</f>
        <v/>
      </c>
      <c r="F37" s="4">
        <f ca="1">IF(C37="","",IFERROR(AVERAGEIF(E$5:$E37,"&gt;="&amp;_xlfn.PERCENTILE.EXC(E$5:$E37,0.2)),0))</f>
        <v>0</v>
      </c>
      <c r="G37" s="4">
        <f ca="1">IF(C37="","",IFERROR(AVERAGEIF($E$5:E37,"&gt;"&amp;0,$E$5:E37),0))</f>
        <v>0</v>
      </c>
    </row>
    <row r="38" spans="2:7" x14ac:dyDescent="0.3">
      <c r="B38" s="18">
        <v>34</v>
      </c>
      <c r="C38" s="21">
        <f ca="1">IFERROR(IF(LEFT(C37,2)="13",DATE(RIGHT(C37,4),12,31),IF(EOMONTH(C37,1)&gt;PREMISSAS!$C$3,"",IF(MONTH(C37)=11,"13º "&amp;YEAR(C37),EOMONTH(C37,1)))),"")</f>
        <v>38564</v>
      </c>
      <c r="D38" s="22">
        <f ca="1">VLOOKUP(C38,Preencher_Salários!$D$7:$E$656,2,FALSE)</f>
        <v>0</v>
      </c>
      <c r="E38" s="4" t="str">
        <f ca="1">IF(D38=0,"",IF(IF(ISTEXT(C38),DATE(RIGHT(C38,4),12,31),C38)&lt;PREMISSAS!$D$7,"",IFERROR(VLOOKUP(IF(LEFT(C38,2)="13",DATE(RIGHT(C38,4),12,31),C38),IPCA!$A:$D,4,FALSE),1)*D38))</f>
        <v/>
      </c>
      <c r="F38" s="4">
        <f ca="1">IF(C38="","",IFERROR(AVERAGEIF(E$5:$E38,"&gt;="&amp;_xlfn.PERCENTILE.EXC(E$5:$E38,0.2)),0))</f>
        <v>0</v>
      </c>
      <c r="G38" s="4">
        <f ca="1">IF(C38="","",IFERROR(AVERAGEIF($E$5:E38,"&gt;"&amp;0,$E$5:E38),0))</f>
        <v>0</v>
      </c>
    </row>
    <row r="39" spans="2:7" x14ac:dyDescent="0.3">
      <c r="B39" s="18">
        <v>35</v>
      </c>
      <c r="C39" s="21">
        <f ca="1">IFERROR(IF(LEFT(C38,2)="13",DATE(RIGHT(C38,4),12,31),IF(EOMONTH(C38,1)&gt;PREMISSAS!$C$3,"",IF(MONTH(C38)=11,"13º "&amp;YEAR(C38),EOMONTH(C38,1)))),"")</f>
        <v>38595</v>
      </c>
      <c r="D39" s="22">
        <f ca="1">VLOOKUP(C39,Preencher_Salários!$D$7:$E$656,2,FALSE)</f>
        <v>0</v>
      </c>
      <c r="E39" s="4" t="str">
        <f ca="1">IF(D39=0,"",IF(IF(ISTEXT(C39),DATE(RIGHT(C39,4),12,31),C39)&lt;PREMISSAS!$D$7,"",IFERROR(VLOOKUP(IF(LEFT(C39,2)="13",DATE(RIGHT(C39,4),12,31),C39),IPCA!$A:$D,4,FALSE),1)*D39))</f>
        <v/>
      </c>
      <c r="F39" s="4">
        <f ca="1">IF(C39="","",IFERROR(AVERAGEIF(E$5:$E39,"&gt;="&amp;_xlfn.PERCENTILE.EXC(E$5:$E39,0.2)),0))</f>
        <v>0</v>
      </c>
      <c r="G39" s="4">
        <f ca="1">IF(C39="","",IFERROR(AVERAGEIF($E$5:E39,"&gt;"&amp;0,$E$5:E39),0))</f>
        <v>0</v>
      </c>
    </row>
    <row r="40" spans="2:7" x14ac:dyDescent="0.3">
      <c r="B40" s="18">
        <v>36</v>
      </c>
      <c r="C40" s="21">
        <f ca="1">IFERROR(IF(LEFT(C39,2)="13",DATE(RIGHT(C39,4),12,31),IF(EOMONTH(C39,1)&gt;PREMISSAS!$C$3,"",IF(MONTH(C39)=11,"13º "&amp;YEAR(C39),EOMONTH(C39,1)))),"")</f>
        <v>38625</v>
      </c>
      <c r="D40" s="22">
        <f ca="1">VLOOKUP(C40,Preencher_Salários!$D$7:$E$656,2,FALSE)</f>
        <v>0</v>
      </c>
      <c r="E40" s="4" t="str">
        <f ca="1">IF(D40=0,"",IF(IF(ISTEXT(C40),DATE(RIGHT(C40,4),12,31),C40)&lt;PREMISSAS!$D$7,"",IFERROR(VLOOKUP(IF(LEFT(C40,2)="13",DATE(RIGHT(C40,4),12,31),C40),IPCA!$A:$D,4,FALSE),1)*D40))</f>
        <v/>
      </c>
      <c r="F40" s="4">
        <f ca="1">IF(C40="","",IFERROR(AVERAGEIF(E$5:$E40,"&gt;="&amp;_xlfn.PERCENTILE.EXC(E$5:$E40,0.2)),0))</f>
        <v>0</v>
      </c>
      <c r="G40" s="4">
        <f ca="1">IF(C40="","",IFERROR(AVERAGEIF($E$5:E40,"&gt;"&amp;0,$E$5:E40),0))</f>
        <v>0</v>
      </c>
    </row>
    <row r="41" spans="2:7" x14ac:dyDescent="0.3">
      <c r="B41" s="18">
        <v>37</v>
      </c>
      <c r="C41" s="21">
        <f ca="1">IFERROR(IF(LEFT(C40,2)="13",DATE(RIGHT(C40,4),12,31),IF(EOMONTH(C40,1)&gt;PREMISSAS!$C$3,"",IF(MONTH(C40)=11,"13º "&amp;YEAR(C40),EOMONTH(C40,1)))),"")</f>
        <v>38656</v>
      </c>
      <c r="D41" s="22">
        <f ca="1">VLOOKUP(C41,Preencher_Salários!$D$7:$E$656,2,FALSE)</f>
        <v>0</v>
      </c>
      <c r="E41" s="4" t="str">
        <f ca="1">IF(D41=0,"",IF(IF(ISTEXT(C41),DATE(RIGHT(C41,4),12,31),C41)&lt;PREMISSAS!$D$7,"",IFERROR(VLOOKUP(IF(LEFT(C41,2)="13",DATE(RIGHT(C41,4),12,31),C41),IPCA!$A:$D,4,FALSE),1)*D41))</f>
        <v/>
      </c>
      <c r="F41" s="4">
        <f ca="1">IF(C41="","",IFERROR(AVERAGEIF(E$5:$E41,"&gt;="&amp;_xlfn.PERCENTILE.EXC(E$5:$E41,0.2)),0))</f>
        <v>0</v>
      </c>
      <c r="G41" s="4">
        <f ca="1">IF(C41="","",IFERROR(AVERAGEIF($E$5:E41,"&gt;"&amp;0,$E$5:E41),0))</f>
        <v>0</v>
      </c>
    </row>
    <row r="42" spans="2:7" x14ac:dyDescent="0.3">
      <c r="B42" s="18">
        <v>38</v>
      </c>
      <c r="C42" s="21">
        <f ca="1">IFERROR(IF(LEFT(C41,2)="13",DATE(RIGHT(C41,4),12,31),IF(EOMONTH(C41,1)&gt;PREMISSAS!$C$3,"",IF(MONTH(C41)=11,"13º "&amp;YEAR(C41),EOMONTH(C41,1)))),"")</f>
        <v>38686</v>
      </c>
      <c r="D42" s="22">
        <f ca="1">VLOOKUP(C42,Preencher_Salários!$D$7:$E$656,2,FALSE)</f>
        <v>0</v>
      </c>
      <c r="E42" s="4" t="str">
        <f ca="1">IF(D42=0,"",IF(IF(ISTEXT(C42),DATE(RIGHT(C42,4),12,31),C42)&lt;PREMISSAS!$D$7,"",IFERROR(VLOOKUP(IF(LEFT(C42,2)="13",DATE(RIGHT(C42,4),12,31),C42),IPCA!$A:$D,4,FALSE),1)*D42))</f>
        <v/>
      </c>
      <c r="F42" s="4">
        <f ca="1">IF(C42="","",IFERROR(AVERAGEIF(E$5:$E42,"&gt;="&amp;_xlfn.PERCENTILE.EXC(E$5:$E42,0.2)),0))</f>
        <v>0</v>
      </c>
      <c r="G42" s="4">
        <f ca="1">IF(C42="","",IFERROR(AVERAGEIF($E$5:E42,"&gt;"&amp;0,$E$5:E42),0))</f>
        <v>0</v>
      </c>
    </row>
    <row r="43" spans="2:7" x14ac:dyDescent="0.3">
      <c r="B43" s="18">
        <v>39</v>
      </c>
      <c r="C43" s="21" t="str">
        <f ca="1">IFERROR(IF(LEFT(C42,2)="13",DATE(RIGHT(C42,4),12,31),IF(EOMONTH(C42,1)&gt;PREMISSAS!$C$3,"",IF(MONTH(C42)=11,"13º "&amp;YEAR(C42),EOMONTH(C42,1)))),"")</f>
        <v>13º 2005</v>
      </c>
      <c r="D43" s="22">
        <f ca="1">VLOOKUP(C43,Preencher_Salários!$D$7:$E$656,2,FALSE)</f>
        <v>0</v>
      </c>
      <c r="E43" s="4" t="str">
        <f ca="1">IF(D43=0,"",IF(IF(ISTEXT(C43),DATE(RIGHT(C43,4),12,31),C43)&lt;PREMISSAS!$D$7,"",IFERROR(VLOOKUP(IF(LEFT(C43,2)="13",DATE(RIGHT(C43,4),12,31),C43),IPCA!$A:$D,4,FALSE),1)*D43))</f>
        <v/>
      </c>
      <c r="F43" s="4">
        <f ca="1">IF(C43="","",IFERROR(AVERAGEIF(E$5:$E43,"&gt;="&amp;_xlfn.PERCENTILE.EXC(E$5:$E43,0.2)),0))</f>
        <v>0</v>
      </c>
      <c r="G43" s="4">
        <f ca="1">IF(C43="","",IFERROR(AVERAGEIF($E$5:E43,"&gt;"&amp;0,$E$5:E43),0))</f>
        <v>0</v>
      </c>
    </row>
    <row r="44" spans="2:7" x14ac:dyDescent="0.3">
      <c r="B44" s="18">
        <v>40</v>
      </c>
      <c r="C44" s="21">
        <f ca="1">IFERROR(IF(LEFT(C43,2)="13",DATE(RIGHT(C43,4),12,31),IF(EOMONTH(C43,1)&gt;PREMISSAS!$C$3,"",IF(MONTH(C43)=11,"13º "&amp;YEAR(C43),EOMONTH(C43,1)))),"")</f>
        <v>38717</v>
      </c>
      <c r="D44" s="22">
        <f ca="1">VLOOKUP(C44,Preencher_Salários!$D$7:$E$656,2,FALSE)</f>
        <v>0</v>
      </c>
      <c r="E44" s="4" t="str">
        <f ca="1">IF(D44=0,"",IF(IF(ISTEXT(C44),DATE(RIGHT(C44,4),12,31),C44)&lt;PREMISSAS!$D$7,"",IFERROR(VLOOKUP(IF(LEFT(C44,2)="13",DATE(RIGHT(C44,4),12,31),C44),IPCA!$A:$D,4,FALSE),1)*D44))</f>
        <v/>
      </c>
      <c r="F44" s="4">
        <f ca="1">IF(C44="","",IFERROR(AVERAGEIF(E$5:$E44,"&gt;="&amp;_xlfn.PERCENTILE.EXC(E$5:$E44,0.2)),0))</f>
        <v>0</v>
      </c>
      <c r="G44" s="4">
        <f ca="1">IF(C44="","",IFERROR(AVERAGEIF($E$5:E44,"&gt;"&amp;0,$E$5:E44),0))</f>
        <v>0</v>
      </c>
    </row>
    <row r="45" spans="2:7" x14ac:dyDescent="0.3">
      <c r="B45" s="18">
        <v>41</v>
      </c>
      <c r="C45" s="21">
        <f ca="1">IFERROR(IF(LEFT(C44,2)="13",DATE(RIGHT(C44,4),12,31),IF(EOMONTH(C44,1)&gt;PREMISSAS!$C$3,"",IF(MONTH(C44)=11,"13º "&amp;YEAR(C44),EOMONTH(C44,1)))),"")</f>
        <v>38748</v>
      </c>
      <c r="D45" s="22">
        <f ca="1">VLOOKUP(C45,Preencher_Salários!$D$7:$E$656,2,FALSE)</f>
        <v>0</v>
      </c>
      <c r="E45" s="4" t="str">
        <f ca="1">IF(D45=0,"",IF(IF(ISTEXT(C45),DATE(RIGHT(C45,4),12,31),C45)&lt;PREMISSAS!$D$7,"",IFERROR(VLOOKUP(IF(LEFT(C45,2)="13",DATE(RIGHT(C45,4),12,31),C45),IPCA!$A:$D,4,FALSE),1)*D45))</f>
        <v/>
      </c>
      <c r="F45" s="4">
        <f ca="1">IF(C45="","",IFERROR(AVERAGEIF(E$5:$E45,"&gt;="&amp;_xlfn.PERCENTILE.EXC(E$5:$E45,0.2)),0))</f>
        <v>0</v>
      </c>
      <c r="G45" s="4">
        <f ca="1">IF(C45="","",IFERROR(AVERAGEIF($E$5:E45,"&gt;"&amp;0,$E$5:E45),0))</f>
        <v>0</v>
      </c>
    </row>
    <row r="46" spans="2:7" x14ac:dyDescent="0.3">
      <c r="B46" s="18">
        <v>42</v>
      </c>
      <c r="C46" s="21">
        <f ca="1">IFERROR(IF(LEFT(C45,2)="13",DATE(RIGHT(C45,4),12,31),IF(EOMONTH(C45,1)&gt;PREMISSAS!$C$3,"",IF(MONTH(C45)=11,"13º "&amp;YEAR(C45),EOMONTH(C45,1)))),"")</f>
        <v>38776</v>
      </c>
      <c r="D46" s="22">
        <f ca="1">VLOOKUP(C46,Preencher_Salários!$D$7:$E$656,2,FALSE)</f>
        <v>0</v>
      </c>
      <c r="E46" s="4" t="str">
        <f ca="1">IF(D46=0,"",IF(IF(ISTEXT(C46),DATE(RIGHT(C46,4),12,31),C46)&lt;PREMISSAS!$D$7,"",IFERROR(VLOOKUP(IF(LEFT(C46,2)="13",DATE(RIGHT(C46,4),12,31),C46),IPCA!$A:$D,4,FALSE),1)*D46))</f>
        <v/>
      </c>
      <c r="F46" s="4">
        <f ca="1">IF(C46="","",IFERROR(AVERAGEIF(E$5:$E46,"&gt;="&amp;_xlfn.PERCENTILE.EXC(E$5:$E46,0.2)),0))</f>
        <v>0</v>
      </c>
      <c r="G46" s="4">
        <f ca="1">IF(C46="","",IFERROR(AVERAGEIF($E$5:E46,"&gt;"&amp;0,$E$5:E46),0))</f>
        <v>0</v>
      </c>
    </row>
    <row r="47" spans="2:7" x14ac:dyDescent="0.3">
      <c r="B47" s="18">
        <v>43</v>
      </c>
      <c r="C47" s="21">
        <f ca="1">IFERROR(IF(LEFT(C46,2)="13",DATE(RIGHT(C46,4),12,31),IF(EOMONTH(C46,1)&gt;PREMISSAS!$C$3,"",IF(MONTH(C46)=11,"13º "&amp;YEAR(C46),EOMONTH(C46,1)))),"")</f>
        <v>38807</v>
      </c>
      <c r="D47" s="22">
        <f ca="1">VLOOKUP(C47,Preencher_Salários!$D$7:$E$656,2,FALSE)</f>
        <v>0</v>
      </c>
      <c r="E47" s="4" t="str">
        <f ca="1">IF(D47=0,"",IF(IF(ISTEXT(C47),DATE(RIGHT(C47,4),12,31),C47)&lt;PREMISSAS!$D$7,"",IFERROR(VLOOKUP(IF(LEFT(C47,2)="13",DATE(RIGHT(C47,4),12,31),C47),IPCA!$A:$D,4,FALSE),1)*D47))</f>
        <v/>
      </c>
      <c r="F47" s="4">
        <f ca="1">IF(C47="","",IFERROR(AVERAGEIF(E$5:$E47,"&gt;="&amp;_xlfn.PERCENTILE.EXC(E$5:$E47,0.2)),0))</f>
        <v>0</v>
      </c>
      <c r="G47" s="4">
        <f ca="1">IF(C47="","",IFERROR(AVERAGEIF($E$5:E47,"&gt;"&amp;0,$E$5:E47),0))</f>
        <v>0</v>
      </c>
    </row>
    <row r="48" spans="2:7" x14ac:dyDescent="0.3">
      <c r="B48" s="18">
        <v>44</v>
      </c>
      <c r="C48" s="21">
        <f ca="1">IFERROR(IF(LEFT(C47,2)="13",DATE(RIGHT(C47,4),12,31),IF(EOMONTH(C47,1)&gt;PREMISSAS!$C$3,"",IF(MONTH(C47)=11,"13º "&amp;YEAR(C47),EOMONTH(C47,1)))),"")</f>
        <v>38837</v>
      </c>
      <c r="D48" s="22">
        <f ca="1">VLOOKUP(C48,Preencher_Salários!$D$7:$E$656,2,FALSE)</f>
        <v>0</v>
      </c>
      <c r="E48" s="4" t="str">
        <f ca="1">IF(D48=0,"",IF(IF(ISTEXT(C48),DATE(RIGHT(C48,4),12,31),C48)&lt;PREMISSAS!$D$7,"",IFERROR(VLOOKUP(IF(LEFT(C48,2)="13",DATE(RIGHT(C48,4),12,31),C48),IPCA!$A:$D,4,FALSE),1)*D48))</f>
        <v/>
      </c>
      <c r="F48" s="4">
        <f ca="1">IF(C48="","",IFERROR(AVERAGEIF(E$5:$E48,"&gt;="&amp;_xlfn.PERCENTILE.EXC(E$5:$E48,0.2)),0))</f>
        <v>0</v>
      </c>
      <c r="G48" s="4">
        <f ca="1">IF(C48="","",IFERROR(AVERAGEIF($E$5:E48,"&gt;"&amp;0,$E$5:E48),0))</f>
        <v>0</v>
      </c>
    </row>
    <row r="49" spans="2:8" x14ac:dyDescent="0.3">
      <c r="B49" s="18">
        <v>45</v>
      </c>
      <c r="C49" s="21">
        <f ca="1">IFERROR(IF(LEFT(C48,2)="13",DATE(RIGHT(C48,4),12,31),IF(EOMONTH(C48,1)&gt;PREMISSAS!$C$3,"",IF(MONTH(C48)=11,"13º "&amp;YEAR(C48),EOMONTH(C48,1)))),"")</f>
        <v>38868</v>
      </c>
      <c r="D49" s="22">
        <f ca="1">VLOOKUP(C49,Preencher_Salários!$D$7:$E$656,2,FALSE)</f>
        <v>0</v>
      </c>
      <c r="E49" s="4" t="str">
        <f ca="1">IF(D49=0,"",IF(IF(ISTEXT(C49),DATE(RIGHT(C49,4),12,31),C49)&lt;PREMISSAS!$D$7,"",IFERROR(VLOOKUP(IF(LEFT(C49,2)="13",DATE(RIGHT(C49,4),12,31),C49),IPCA!$A:$D,4,FALSE),1)*D49))</f>
        <v/>
      </c>
      <c r="F49" s="4">
        <f ca="1">IF(C49="","",IFERROR(AVERAGEIF(E$5:$E49,"&gt;="&amp;_xlfn.PERCENTILE.EXC(E$5:$E49,0.2)),0))</f>
        <v>0</v>
      </c>
      <c r="G49" s="4">
        <f ca="1">IF(C49="","",IFERROR(AVERAGEIF($E$5:E49,"&gt;"&amp;0,$E$5:E49),0))</f>
        <v>0</v>
      </c>
    </row>
    <row r="50" spans="2:8" x14ac:dyDescent="0.3">
      <c r="B50" s="18">
        <v>46</v>
      </c>
      <c r="C50" s="21">
        <f ca="1">IFERROR(IF(LEFT(C49,2)="13",DATE(RIGHT(C49,4),12,31),IF(EOMONTH(C49,1)&gt;PREMISSAS!$C$3,"",IF(MONTH(C49)=11,"13º "&amp;YEAR(C49),EOMONTH(C49,1)))),"")</f>
        <v>38898</v>
      </c>
      <c r="D50" s="22">
        <f ca="1">VLOOKUP(C50,Preencher_Salários!$D$7:$E$656,2,FALSE)</f>
        <v>0</v>
      </c>
      <c r="E50" s="4" t="str">
        <f ca="1">IF(D50=0,"",IF(IF(ISTEXT(C50),DATE(RIGHT(C50,4),12,31),C50)&lt;PREMISSAS!$D$7,"",IFERROR(VLOOKUP(IF(LEFT(C50,2)="13",DATE(RIGHT(C50,4),12,31),C50),IPCA!$A:$D,4,FALSE),1)*D50))</f>
        <v/>
      </c>
      <c r="F50" s="4">
        <f ca="1">IF(C50="","",IFERROR(AVERAGEIF(E$5:$E50,"&gt;="&amp;_xlfn.PERCENTILE.EXC(E$5:$E50,0.2)),0))</f>
        <v>0</v>
      </c>
      <c r="G50" s="4">
        <f ca="1">IF(C50="","",IFERROR(AVERAGEIF($E$5:E50,"&gt;"&amp;0,$E$5:E50),0))</f>
        <v>0</v>
      </c>
    </row>
    <row r="51" spans="2:8" x14ac:dyDescent="0.3">
      <c r="B51" s="18">
        <v>47</v>
      </c>
      <c r="C51" s="21">
        <f ca="1">IFERROR(IF(LEFT(C50,2)="13",DATE(RIGHT(C50,4),12,31),IF(EOMONTH(C50,1)&gt;PREMISSAS!$C$3,"",IF(MONTH(C50)=11,"13º "&amp;YEAR(C50),EOMONTH(C50,1)))),"")</f>
        <v>38929</v>
      </c>
      <c r="D51" s="22">
        <f ca="1">VLOOKUP(C51,Preencher_Salários!$D$7:$E$656,2,FALSE)</f>
        <v>0</v>
      </c>
      <c r="E51" s="4" t="str">
        <f ca="1">IF(D51=0,"",IF(IF(ISTEXT(C51),DATE(RIGHT(C51,4),12,31),C51)&lt;PREMISSAS!$D$7,"",IFERROR(VLOOKUP(IF(LEFT(C51,2)="13",DATE(RIGHT(C51,4),12,31),C51),IPCA!$A:$D,4,FALSE),1)*D51))</f>
        <v/>
      </c>
      <c r="F51" s="4">
        <f ca="1">IF(C51="","",IFERROR(AVERAGEIF(E$5:$E51,"&gt;="&amp;_xlfn.PERCENTILE.EXC(E$5:$E51,0.2)),0))</f>
        <v>0</v>
      </c>
      <c r="G51" s="4">
        <f ca="1">IF(C51="","",IFERROR(AVERAGEIF($E$5:E51,"&gt;"&amp;0,$E$5:E51),0))</f>
        <v>0</v>
      </c>
    </row>
    <row r="52" spans="2:8" x14ac:dyDescent="0.3">
      <c r="B52" s="18">
        <v>48</v>
      </c>
      <c r="C52" s="21">
        <f ca="1">IFERROR(IF(LEFT(C51,2)="13",DATE(RIGHT(C51,4),12,31),IF(EOMONTH(C51,1)&gt;PREMISSAS!$C$3,"",IF(MONTH(C51)=11,"13º "&amp;YEAR(C51),EOMONTH(C51,1)))),"")</f>
        <v>38960</v>
      </c>
      <c r="D52" s="22">
        <f ca="1">VLOOKUP(C52,Preencher_Salários!$D$7:$E$656,2,FALSE)</f>
        <v>0</v>
      </c>
      <c r="E52" s="4" t="str">
        <f ca="1">IF(D52=0,"",IF(IF(ISTEXT(C52),DATE(RIGHT(C52,4),12,31),C52)&lt;PREMISSAS!$D$7,"",IFERROR(VLOOKUP(IF(LEFT(C52,2)="13",DATE(RIGHT(C52,4),12,31),C52),IPCA!$A:$D,4,FALSE),1)*D52))</f>
        <v/>
      </c>
      <c r="F52" s="4">
        <f ca="1">IF(C52="","",IFERROR(AVERAGEIF(E$5:$E52,"&gt;="&amp;_xlfn.PERCENTILE.EXC(E$5:$E52,0.2)),0))</f>
        <v>0</v>
      </c>
      <c r="G52" s="4">
        <f ca="1">IF(C52="","",IFERROR(AVERAGEIF($E$5:E52,"&gt;"&amp;0,$E$5:E52),0))</f>
        <v>0</v>
      </c>
    </row>
    <row r="53" spans="2:8" x14ac:dyDescent="0.3">
      <c r="B53" s="18">
        <v>49</v>
      </c>
      <c r="C53" s="21">
        <f ca="1">IFERROR(IF(LEFT(C52,2)="13",DATE(RIGHT(C52,4),12,31),IF(EOMONTH(C52,1)&gt;PREMISSAS!$C$3,"",IF(MONTH(C52)=11,"13º "&amp;YEAR(C52),EOMONTH(C52,1)))),"")</f>
        <v>38990</v>
      </c>
      <c r="D53" s="22">
        <f ca="1">VLOOKUP(C53,Preencher_Salários!$D$7:$E$656,2,FALSE)</f>
        <v>0</v>
      </c>
      <c r="E53" s="4" t="str">
        <f ca="1">IF(D53=0,"",IF(IF(ISTEXT(C53),DATE(RIGHT(C53,4),12,31),C53)&lt;PREMISSAS!$D$7,"",IFERROR(VLOOKUP(IF(LEFT(C53,2)="13",DATE(RIGHT(C53,4),12,31),C53),IPCA!$A:$D,4,FALSE),1)*D53))</f>
        <v/>
      </c>
      <c r="F53" s="4">
        <f ca="1">IF(C53="","",IFERROR(AVERAGEIF(E$5:$E53,"&gt;="&amp;_xlfn.PERCENTILE.EXC(E$5:$E53,0.2)),0))</f>
        <v>0</v>
      </c>
      <c r="G53" s="4">
        <f ca="1">IF(C53="","",IFERROR(AVERAGEIF($E$5:E53,"&gt;"&amp;0,$E$5:E53),0))</f>
        <v>0</v>
      </c>
    </row>
    <row r="54" spans="2:8" x14ac:dyDescent="0.3">
      <c r="B54" s="18">
        <v>50</v>
      </c>
      <c r="C54" s="21">
        <f ca="1">IFERROR(IF(LEFT(C53,2)="13",DATE(RIGHT(C53,4),12,31),IF(EOMONTH(C53,1)&gt;PREMISSAS!$C$3,"",IF(MONTH(C53)=11,"13º "&amp;YEAR(C53),EOMONTH(C53,1)))),"")</f>
        <v>39021</v>
      </c>
      <c r="D54" s="22">
        <f ca="1">VLOOKUP(C54,Preencher_Salários!$D$7:$E$656,2,FALSE)</f>
        <v>0</v>
      </c>
      <c r="E54" s="4" t="str">
        <f ca="1">IF(D54=0,"",IF(IF(ISTEXT(C54),DATE(RIGHT(C54,4),12,31),C54)&lt;PREMISSAS!$D$7,"",IFERROR(VLOOKUP(IF(LEFT(C54,2)="13",DATE(RIGHT(C54,4),12,31),C54),IPCA!$A:$D,4,FALSE),1)*D54))</f>
        <v/>
      </c>
      <c r="F54" s="4">
        <f ca="1">IF(C54="","",IFERROR(AVERAGEIF(E$5:$E54,"&gt;="&amp;_xlfn.PERCENTILE.EXC(E$5:$E54,0.2)),0))</f>
        <v>0</v>
      </c>
      <c r="G54" s="4">
        <f ca="1">IF(C54="","",IFERROR(AVERAGEIF($E$5:E54,"&gt;"&amp;0,$E$5:E54),0))</f>
        <v>0</v>
      </c>
    </row>
    <row r="55" spans="2:8" x14ac:dyDescent="0.3">
      <c r="B55" s="18">
        <v>51</v>
      </c>
      <c r="C55" s="21">
        <f ca="1">IFERROR(IF(LEFT(C54,2)="13",DATE(RIGHT(C54,4),12,31),IF(EOMONTH(C54,1)&gt;PREMISSAS!$C$3,"",IF(MONTH(C54)=11,"13º "&amp;YEAR(C54),EOMONTH(C54,1)))),"")</f>
        <v>39051</v>
      </c>
      <c r="D55" s="22">
        <f ca="1">VLOOKUP(C55,Preencher_Salários!$D$7:$E$656,2,FALSE)</f>
        <v>0</v>
      </c>
      <c r="E55" s="4" t="str">
        <f ca="1">IF(D55=0,"",IF(IF(ISTEXT(C55),DATE(RIGHT(C55,4),12,31),C55)&lt;PREMISSAS!$D$7,"",IFERROR(VLOOKUP(IF(LEFT(C55,2)="13",DATE(RIGHT(C55,4),12,31),C55),IPCA!$A:$D,4,FALSE),1)*D55))</f>
        <v/>
      </c>
      <c r="F55" s="4">
        <f ca="1">IF(C55="","",IFERROR(AVERAGEIF(E$5:$E55,"&gt;="&amp;_xlfn.PERCENTILE.EXC(E$5:$E55,0.2)),0))</f>
        <v>0</v>
      </c>
      <c r="G55" s="4">
        <f ca="1">IF(C55="","",IFERROR(AVERAGEIF($E$5:E55,"&gt;"&amp;0,$E$5:E55),0))</f>
        <v>0</v>
      </c>
      <c r="H55" s="109"/>
    </row>
    <row r="56" spans="2:8" x14ac:dyDescent="0.3">
      <c r="B56" s="18">
        <v>52</v>
      </c>
      <c r="C56" s="21" t="str">
        <f ca="1">IFERROR(IF(LEFT(C55,2)="13",DATE(RIGHT(C55,4),12,31),IF(EOMONTH(C55,1)&gt;PREMISSAS!$C$3,"",IF(MONTH(C55)=11,"13º "&amp;YEAR(C55),EOMONTH(C55,1)))),"")</f>
        <v>13º 2006</v>
      </c>
      <c r="D56" s="22">
        <f ca="1">VLOOKUP(C56,Preencher_Salários!$D$7:$E$656,2,FALSE)</f>
        <v>0</v>
      </c>
      <c r="E56" s="4" t="str">
        <f ca="1">IF(D56=0,"",IF(IF(ISTEXT(C56),DATE(RIGHT(C56,4),12,31),C56)&lt;PREMISSAS!$D$7,"",IFERROR(VLOOKUP(IF(LEFT(C56,2)="13",DATE(RIGHT(C56,4),12,31),C56),IPCA!$A:$D,4,FALSE),1)*D56))</f>
        <v/>
      </c>
      <c r="F56" s="4">
        <f ca="1">IF(C56="","",IFERROR(AVERAGEIF(E$5:$E56,"&gt;="&amp;_xlfn.PERCENTILE.EXC(E$5:$E56,0.2)),0))</f>
        <v>0</v>
      </c>
      <c r="G56" s="4">
        <f ca="1">IF(C56="","",IFERROR(AVERAGEIF($E$5:E56,"&gt;"&amp;0,$E$5:E56),0))</f>
        <v>0</v>
      </c>
    </row>
    <row r="57" spans="2:8" x14ac:dyDescent="0.3">
      <c r="B57" s="18">
        <v>53</v>
      </c>
      <c r="C57" s="21">
        <f ca="1">IFERROR(IF(LEFT(C56,2)="13",DATE(RIGHT(C56,4),12,31),IF(EOMONTH(C56,1)&gt;PREMISSAS!$C$3,"",IF(MONTH(C56)=11,"13º "&amp;YEAR(C56),EOMONTH(C56,1)))),"")</f>
        <v>39082</v>
      </c>
      <c r="D57" s="22">
        <f ca="1">VLOOKUP(C57,Preencher_Salários!$D$7:$E$656,2,FALSE)</f>
        <v>0</v>
      </c>
      <c r="E57" s="4" t="str">
        <f ca="1">IF(D57=0,"",IF(IF(ISTEXT(C57),DATE(RIGHT(C57,4),12,31),C57)&lt;PREMISSAS!$D$7,"",IFERROR(VLOOKUP(IF(LEFT(C57,2)="13",DATE(RIGHT(C57,4),12,31),C57),IPCA!$A:$D,4,FALSE),1)*D57))</f>
        <v/>
      </c>
      <c r="F57" s="4">
        <f ca="1">IF(C57="","",IFERROR(AVERAGEIF(E$5:$E57,"&gt;="&amp;_xlfn.PERCENTILE.EXC(E$5:$E57,0.2)),0))</f>
        <v>0</v>
      </c>
      <c r="G57" s="4">
        <f ca="1">IF(C57="","",IFERROR(AVERAGEIF($E$5:E57,"&gt;"&amp;0,$E$5:E57),0))</f>
        <v>0</v>
      </c>
    </row>
    <row r="58" spans="2:8" x14ac:dyDescent="0.3">
      <c r="B58" s="18">
        <v>54</v>
      </c>
      <c r="C58" s="21">
        <f ca="1">IFERROR(IF(LEFT(C57,2)="13",DATE(RIGHT(C57,4),12,31),IF(EOMONTH(C57,1)&gt;PREMISSAS!$C$3,"",IF(MONTH(C57)=11,"13º "&amp;YEAR(C57),EOMONTH(C57,1)))),"")</f>
        <v>39113</v>
      </c>
      <c r="D58" s="22">
        <f ca="1">VLOOKUP(C58,Preencher_Salários!$D$7:$E$656,2,FALSE)</f>
        <v>0</v>
      </c>
      <c r="E58" s="4" t="str">
        <f ca="1">IF(D58=0,"",IF(IF(ISTEXT(C58),DATE(RIGHT(C58,4),12,31),C58)&lt;PREMISSAS!$D$7,"",IFERROR(VLOOKUP(IF(LEFT(C58,2)="13",DATE(RIGHT(C58,4),12,31),C58),IPCA!$A:$D,4,FALSE),1)*D58))</f>
        <v/>
      </c>
      <c r="F58" s="4">
        <f ca="1">IF(C58="","",IFERROR(AVERAGEIF(E$5:$E58,"&gt;="&amp;_xlfn.PERCENTILE.EXC(E$5:$E58,0.2)),0))</f>
        <v>0</v>
      </c>
      <c r="G58" s="4">
        <f ca="1">IF(C58="","",IFERROR(AVERAGEIF($E$5:E58,"&gt;"&amp;0,$E$5:E58),0))</f>
        <v>0</v>
      </c>
    </row>
    <row r="59" spans="2:8" x14ac:dyDescent="0.3">
      <c r="B59" s="18">
        <v>55</v>
      </c>
      <c r="C59" s="21">
        <f ca="1">IFERROR(IF(LEFT(C58,2)="13",DATE(RIGHT(C58,4),12,31),IF(EOMONTH(C58,1)&gt;PREMISSAS!$C$3,"",IF(MONTH(C58)=11,"13º "&amp;YEAR(C58),EOMONTH(C58,1)))),"")</f>
        <v>39141</v>
      </c>
      <c r="D59" s="22">
        <f ca="1">VLOOKUP(C59,Preencher_Salários!$D$7:$E$656,2,FALSE)</f>
        <v>0</v>
      </c>
      <c r="E59" s="4" t="str">
        <f ca="1">IF(D59=0,"",IF(IF(ISTEXT(C59),DATE(RIGHT(C59,4),12,31),C59)&lt;PREMISSAS!$D$7,"",IFERROR(VLOOKUP(IF(LEFT(C59,2)="13",DATE(RIGHT(C59,4),12,31),C59),IPCA!$A:$D,4,FALSE),1)*D59))</f>
        <v/>
      </c>
      <c r="F59" s="4">
        <f ca="1">IF(C59="","",IFERROR(AVERAGEIF(E$5:$E59,"&gt;="&amp;_xlfn.PERCENTILE.EXC(E$5:$E59,0.2)),0))</f>
        <v>0</v>
      </c>
      <c r="G59" s="4">
        <f ca="1">IF(C59="","",IFERROR(AVERAGEIF($E$5:E59,"&gt;"&amp;0,$E$5:E59),0))</f>
        <v>0</v>
      </c>
    </row>
    <row r="60" spans="2:8" x14ac:dyDescent="0.3">
      <c r="B60" s="18">
        <v>56</v>
      </c>
      <c r="C60" s="21">
        <f ca="1">IFERROR(IF(LEFT(C59,2)="13",DATE(RIGHT(C59,4),12,31),IF(EOMONTH(C59,1)&gt;PREMISSAS!$C$3,"",IF(MONTH(C59)=11,"13º "&amp;YEAR(C59),EOMONTH(C59,1)))),"")</f>
        <v>39172</v>
      </c>
      <c r="D60" s="22">
        <f ca="1">VLOOKUP(C60,Preencher_Salários!$D$7:$E$656,2,FALSE)</f>
        <v>0</v>
      </c>
      <c r="E60" s="4" t="str">
        <f ca="1">IF(D60=0,"",IF(IF(ISTEXT(C60),DATE(RIGHT(C60,4),12,31),C60)&lt;PREMISSAS!$D$7,"",IFERROR(VLOOKUP(IF(LEFT(C60,2)="13",DATE(RIGHT(C60,4),12,31),C60),IPCA!$A:$D,4,FALSE),1)*D60))</f>
        <v/>
      </c>
      <c r="F60" s="4">
        <f ca="1">IF(C60="","",IFERROR(AVERAGEIF(E$5:$E60,"&gt;="&amp;_xlfn.PERCENTILE.EXC(E$5:$E60,0.2)),0))</f>
        <v>0</v>
      </c>
      <c r="G60" s="4">
        <f ca="1">IF(C60="","",IFERROR(AVERAGEIF($E$5:E60,"&gt;"&amp;0,$E$5:E60),0))</f>
        <v>0</v>
      </c>
    </row>
    <row r="61" spans="2:8" x14ac:dyDescent="0.3">
      <c r="B61" s="18">
        <v>57</v>
      </c>
      <c r="C61" s="21">
        <f ca="1">IFERROR(IF(LEFT(C60,2)="13",DATE(RIGHT(C60,4),12,31),IF(EOMONTH(C60,1)&gt;PREMISSAS!$C$3,"",IF(MONTH(C60)=11,"13º "&amp;YEAR(C60),EOMONTH(C60,1)))),"")</f>
        <v>39202</v>
      </c>
      <c r="D61" s="22">
        <f ca="1">VLOOKUP(C61,Preencher_Salários!$D$7:$E$656,2,FALSE)</f>
        <v>0</v>
      </c>
      <c r="E61" s="4" t="str">
        <f ca="1">IF(D61=0,"",IF(IF(ISTEXT(C61),DATE(RIGHT(C61,4),12,31),C61)&lt;PREMISSAS!$D$7,"",IFERROR(VLOOKUP(IF(LEFT(C61,2)="13",DATE(RIGHT(C61,4),12,31),C61),IPCA!$A:$D,4,FALSE),1)*D61))</f>
        <v/>
      </c>
      <c r="F61" s="4">
        <f ca="1">IF(C61="","",IFERROR(AVERAGEIF(E$5:$E61,"&gt;="&amp;_xlfn.PERCENTILE.EXC(E$5:$E61,0.2)),0))</f>
        <v>0</v>
      </c>
      <c r="G61" s="4">
        <f ca="1">IF(C61="","",IFERROR(AVERAGEIF($E$5:E61,"&gt;"&amp;0,$E$5:E61),0))</f>
        <v>0</v>
      </c>
    </row>
    <row r="62" spans="2:8" x14ac:dyDescent="0.3">
      <c r="B62" s="18">
        <v>58</v>
      </c>
      <c r="C62" s="21">
        <f ca="1">IFERROR(IF(LEFT(C61,2)="13",DATE(RIGHT(C61,4),12,31),IF(EOMONTH(C61,1)&gt;PREMISSAS!$C$3,"",IF(MONTH(C61)=11,"13º "&amp;YEAR(C61),EOMONTH(C61,1)))),"")</f>
        <v>39233</v>
      </c>
      <c r="D62" s="22">
        <f ca="1">VLOOKUP(C62,Preencher_Salários!$D$7:$E$656,2,FALSE)</f>
        <v>0</v>
      </c>
      <c r="E62" s="4" t="str">
        <f ca="1">IF(D62=0,"",IF(IF(ISTEXT(C62),DATE(RIGHT(C62,4),12,31),C62)&lt;PREMISSAS!$D$7,"",IFERROR(VLOOKUP(IF(LEFT(C62,2)="13",DATE(RIGHT(C62,4),12,31),C62),IPCA!$A:$D,4,FALSE),1)*D62))</f>
        <v/>
      </c>
      <c r="F62" s="4">
        <f ca="1">IF(C62="","",IFERROR(AVERAGEIF(E$5:$E62,"&gt;="&amp;_xlfn.PERCENTILE.EXC(E$5:$E62,0.2)),0))</f>
        <v>0</v>
      </c>
      <c r="G62" s="4">
        <f ca="1">IF(C62="","",IFERROR(AVERAGEIF($E$5:E62,"&gt;"&amp;0,$E$5:E62),0))</f>
        <v>0</v>
      </c>
    </row>
    <row r="63" spans="2:8" x14ac:dyDescent="0.3">
      <c r="B63" s="18">
        <v>59</v>
      </c>
      <c r="C63" s="21">
        <f ca="1">IFERROR(IF(LEFT(C62,2)="13",DATE(RIGHT(C62,4),12,31),IF(EOMONTH(C62,1)&gt;PREMISSAS!$C$3,"",IF(MONTH(C62)=11,"13º "&amp;YEAR(C62),EOMONTH(C62,1)))),"")</f>
        <v>39263</v>
      </c>
      <c r="D63" s="22">
        <f ca="1">VLOOKUP(C63,Preencher_Salários!$D$7:$E$656,2,FALSE)</f>
        <v>0</v>
      </c>
      <c r="E63" s="4" t="str">
        <f ca="1">IF(D63=0,"",IF(IF(ISTEXT(C63),DATE(RIGHT(C63,4),12,31),C63)&lt;PREMISSAS!$D$7,"",IFERROR(VLOOKUP(IF(LEFT(C63,2)="13",DATE(RIGHT(C63,4),12,31),C63),IPCA!$A:$D,4,FALSE),1)*D63))</f>
        <v/>
      </c>
      <c r="F63" s="4">
        <f ca="1">IF(C63="","",IFERROR(AVERAGEIF(E$5:$E63,"&gt;="&amp;_xlfn.PERCENTILE.EXC(E$5:$E63,0.2)),0))</f>
        <v>0</v>
      </c>
      <c r="G63" s="4">
        <f ca="1">IF(C63="","",IFERROR(AVERAGEIF($E$5:E63,"&gt;"&amp;0,$E$5:E63),0))</f>
        <v>0</v>
      </c>
    </row>
    <row r="64" spans="2:8" x14ac:dyDescent="0.3">
      <c r="B64" s="18">
        <v>60</v>
      </c>
      <c r="C64" s="21">
        <f ca="1">IFERROR(IF(LEFT(C63,2)="13",DATE(RIGHT(C63,4),12,31),IF(EOMONTH(C63,1)&gt;PREMISSAS!$C$3,"",IF(MONTH(C63)=11,"13º "&amp;YEAR(C63),EOMONTH(C63,1)))),"")</f>
        <v>39294</v>
      </c>
      <c r="D64" s="22">
        <f ca="1">VLOOKUP(C64,Preencher_Salários!$D$7:$E$656,2,FALSE)</f>
        <v>0</v>
      </c>
      <c r="E64" s="4" t="str">
        <f ca="1">IF(D64=0,"",IF(IF(ISTEXT(C64),DATE(RIGHT(C64,4),12,31),C64)&lt;PREMISSAS!$D$7,"",IFERROR(VLOOKUP(IF(LEFT(C64,2)="13",DATE(RIGHT(C64,4),12,31),C64),IPCA!$A:$D,4,FALSE),1)*D64))</f>
        <v/>
      </c>
      <c r="F64" s="4">
        <f ca="1">IF(C64="","",IFERROR(AVERAGEIF(E$5:$E64,"&gt;="&amp;_xlfn.PERCENTILE.EXC(E$5:$E64,0.2)),0))</f>
        <v>0</v>
      </c>
      <c r="G64" s="4">
        <f ca="1">IF(C64="","",IFERROR(AVERAGEIF($E$5:E64,"&gt;"&amp;0,$E$5:E64),0))</f>
        <v>0</v>
      </c>
    </row>
    <row r="65" spans="2:7" x14ac:dyDescent="0.3">
      <c r="B65" s="18">
        <v>61</v>
      </c>
      <c r="C65" s="21">
        <f ca="1">IFERROR(IF(LEFT(C64,2)="13",DATE(RIGHT(C64,4),12,31),IF(EOMONTH(C64,1)&gt;PREMISSAS!$C$3,"",IF(MONTH(C64)=11,"13º "&amp;YEAR(C64),EOMONTH(C64,1)))),"")</f>
        <v>39325</v>
      </c>
      <c r="D65" s="22">
        <f ca="1">VLOOKUP(C65,Preencher_Salários!$D$7:$E$656,2,FALSE)</f>
        <v>0</v>
      </c>
      <c r="E65" s="4" t="str">
        <f ca="1">IF(D65=0,"",IF(IF(ISTEXT(C65),DATE(RIGHT(C65,4),12,31),C65)&lt;PREMISSAS!$D$7,"",IFERROR(VLOOKUP(IF(LEFT(C65,2)="13",DATE(RIGHT(C65,4),12,31),C65),IPCA!$A:$D,4,FALSE),1)*D65))</f>
        <v/>
      </c>
      <c r="F65" s="4">
        <f ca="1">IF(C65="","",IFERROR(AVERAGEIF(E$5:$E65,"&gt;="&amp;_xlfn.PERCENTILE.EXC(E$5:$E65,0.2)),0))</f>
        <v>0</v>
      </c>
      <c r="G65" s="4">
        <f ca="1">IF(C65="","",IFERROR(AVERAGEIF($E$5:E65,"&gt;"&amp;0,$E$5:E65),0))</f>
        <v>0</v>
      </c>
    </row>
    <row r="66" spans="2:7" x14ac:dyDescent="0.3">
      <c r="B66" s="18">
        <v>62</v>
      </c>
      <c r="C66" s="21">
        <f ca="1">IFERROR(IF(LEFT(C65,2)="13",DATE(RIGHT(C65,4),12,31),IF(EOMONTH(C65,1)&gt;PREMISSAS!$C$3,"",IF(MONTH(C65)=11,"13º "&amp;YEAR(C65),EOMONTH(C65,1)))),"")</f>
        <v>39355</v>
      </c>
      <c r="D66" s="22">
        <f ca="1">VLOOKUP(C66,Preencher_Salários!$D$7:$E$656,2,FALSE)</f>
        <v>0</v>
      </c>
      <c r="E66" s="4" t="str">
        <f ca="1">IF(D66=0,"",IF(IF(ISTEXT(C66),DATE(RIGHT(C66,4),12,31),C66)&lt;PREMISSAS!$D$7,"",IFERROR(VLOOKUP(IF(LEFT(C66,2)="13",DATE(RIGHT(C66,4),12,31),C66),IPCA!$A:$D,4,FALSE),1)*D66))</f>
        <v/>
      </c>
      <c r="F66" s="4">
        <f ca="1">IF(C66="","",IFERROR(AVERAGEIF(E$5:$E66,"&gt;="&amp;_xlfn.PERCENTILE.EXC(E$5:$E66,0.2)),0))</f>
        <v>0</v>
      </c>
      <c r="G66" s="4">
        <f ca="1">IF(C66="","",IFERROR(AVERAGEIF($E$5:E66,"&gt;"&amp;0,$E$5:E66),0))</f>
        <v>0</v>
      </c>
    </row>
    <row r="67" spans="2:7" x14ac:dyDescent="0.3">
      <c r="B67" s="18">
        <v>63</v>
      </c>
      <c r="C67" s="21">
        <f ca="1">IFERROR(IF(LEFT(C66,2)="13",DATE(RIGHT(C66,4),12,31),IF(EOMONTH(C66,1)&gt;PREMISSAS!$C$3,"",IF(MONTH(C66)=11,"13º "&amp;YEAR(C66),EOMONTH(C66,1)))),"")</f>
        <v>39386</v>
      </c>
      <c r="D67" s="22">
        <f ca="1">VLOOKUP(C67,Preencher_Salários!$D$7:$E$656,2,FALSE)</f>
        <v>0</v>
      </c>
      <c r="E67" s="4" t="str">
        <f ca="1">IF(D67=0,"",IF(IF(ISTEXT(C67),DATE(RIGHT(C67,4),12,31),C67)&lt;PREMISSAS!$D$7,"",IFERROR(VLOOKUP(IF(LEFT(C67,2)="13",DATE(RIGHT(C67,4),12,31),C67),IPCA!$A:$D,4,FALSE),1)*D67))</f>
        <v/>
      </c>
      <c r="F67" s="4">
        <f ca="1">IF(C67="","",IFERROR(AVERAGEIF(E$5:$E67,"&gt;="&amp;_xlfn.PERCENTILE.EXC(E$5:$E67,0.2)),0))</f>
        <v>0</v>
      </c>
      <c r="G67" s="4">
        <f ca="1">IF(C67="","",IFERROR(AVERAGEIF($E$5:E67,"&gt;"&amp;0,$E$5:E67),0))</f>
        <v>0</v>
      </c>
    </row>
    <row r="68" spans="2:7" x14ac:dyDescent="0.3">
      <c r="B68" s="18">
        <v>64</v>
      </c>
      <c r="C68" s="21">
        <f ca="1">IFERROR(IF(LEFT(C67,2)="13",DATE(RIGHT(C67,4),12,31),IF(EOMONTH(C67,1)&gt;PREMISSAS!$C$3,"",IF(MONTH(C67)=11,"13º "&amp;YEAR(C67),EOMONTH(C67,1)))),"")</f>
        <v>39416</v>
      </c>
      <c r="D68" s="22">
        <f ca="1">VLOOKUP(C68,Preencher_Salários!$D$7:$E$656,2,FALSE)</f>
        <v>0</v>
      </c>
      <c r="E68" s="4" t="str">
        <f ca="1">IF(D68=0,"",IF(IF(ISTEXT(C68),DATE(RIGHT(C68,4),12,31),C68)&lt;PREMISSAS!$D$7,"",IFERROR(VLOOKUP(IF(LEFT(C68,2)="13",DATE(RIGHT(C68,4),12,31),C68),IPCA!$A:$D,4,FALSE),1)*D68))</f>
        <v/>
      </c>
      <c r="F68" s="4">
        <f ca="1">IF(C68="","",IFERROR(AVERAGEIF(E$5:$E68,"&gt;="&amp;_xlfn.PERCENTILE.EXC(E$5:$E68,0.2)),0))</f>
        <v>0</v>
      </c>
      <c r="G68" s="4">
        <f ca="1">IF(C68="","",IFERROR(AVERAGEIF($E$5:E68,"&gt;"&amp;0,$E$5:E68),0))</f>
        <v>0</v>
      </c>
    </row>
    <row r="69" spans="2:7" x14ac:dyDescent="0.3">
      <c r="B69" s="18">
        <v>65</v>
      </c>
      <c r="C69" s="21" t="str">
        <f ca="1">IFERROR(IF(LEFT(C68,2)="13",DATE(RIGHT(C68,4),12,31),IF(EOMONTH(C68,1)&gt;PREMISSAS!$C$3,"",IF(MONTH(C68)=11,"13º "&amp;YEAR(C68),EOMONTH(C68,1)))),"")</f>
        <v>13º 2007</v>
      </c>
      <c r="D69" s="22">
        <f ca="1">VLOOKUP(C69,Preencher_Salários!$D$7:$E$656,2,FALSE)</f>
        <v>0</v>
      </c>
      <c r="E69" s="4" t="str">
        <f ca="1">IF(D69=0,"",IF(IF(ISTEXT(C69),DATE(RIGHT(C69,4),12,31),C69)&lt;PREMISSAS!$D$7,"",IFERROR(VLOOKUP(IF(LEFT(C69,2)="13",DATE(RIGHT(C69,4),12,31),C69),IPCA!$A:$D,4,FALSE),1)*D69))</f>
        <v/>
      </c>
      <c r="F69" s="4">
        <f ca="1">IF(C69="","",IFERROR(AVERAGEIF(E$5:$E69,"&gt;="&amp;_xlfn.PERCENTILE.EXC(E$5:$E69,0.2)),0))</f>
        <v>0</v>
      </c>
      <c r="G69" s="4">
        <f ca="1">IF(C69="","",IFERROR(AVERAGEIF($E$5:E69,"&gt;"&amp;0,$E$5:E69),0))</f>
        <v>0</v>
      </c>
    </row>
    <row r="70" spans="2:7" x14ac:dyDescent="0.3">
      <c r="B70" s="18">
        <v>66</v>
      </c>
      <c r="C70" s="21">
        <f ca="1">IFERROR(IF(LEFT(C69,2)="13",DATE(RIGHT(C69,4),12,31),IF(EOMONTH(C69,1)&gt;PREMISSAS!$C$3,"",IF(MONTH(C69)=11,"13º "&amp;YEAR(C69),EOMONTH(C69,1)))),"")</f>
        <v>39447</v>
      </c>
      <c r="D70" s="22">
        <f ca="1">VLOOKUP(C70,Preencher_Salários!$D$7:$E$656,2,FALSE)</f>
        <v>0</v>
      </c>
      <c r="E70" s="4" t="str">
        <f ca="1">IF(D70=0,"",IF(IF(ISTEXT(C70),DATE(RIGHT(C70,4),12,31),C70)&lt;PREMISSAS!$D$7,"",IFERROR(VLOOKUP(IF(LEFT(C70,2)="13",DATE(RIGHT(C70,4),12,31),C70),IPCA!$A:$D,4,FALSE),1)*D70))</f>
        <v/>
      </c>
      <c r="F70" s="4">
        <f ca="1">IF(C70="","",IFERROR(AVERAGEIF(E$5:$E70,"&gt;="&amp;_xlfn.PERCENTILE.EXC(E$5:$E70,0.2)),0))</f>
        <v>0</v>
      </c>
      <c r="G70" s="4">
        <f ca="1">IF(C70="","",IFERROR(AVERAGEIF($E$5:E70,"&gt;"&amp;0,$E$5:E70),0))</f>
        <v>0</v>
      </c>
    </row>
    <row r="71" spans="2:7" x14ac:dyDescent="0.3">
      <c r="B71" s="18">
        <v>67</v>
      </c>
      <c r="C71" s="21">
        <f ca="1">IFERROR(IF(LEFT(C70,2)="13",DATE(RIGHT(C70,4),12,31),IF(EOMONTH(C70,1)&gt;PREMISSAS!$C$3,"",IF(MONTH(C70)=11,"13º "&amp;YEAR(C70),EOMONTH(C70,1)))),"")</f>
        <v>39478</v>
      </c>
      <c r="D71" s="22">
        <f ca="1">VLOOKUP(C71,Preencher_Salários!$D$7:$E$656,2,FALSE)</f>
        <v>0</v>
      </c>
      <c r="E71" s="4" t="str">
        <f ca="1">IF(D71=0,"",IF(IF(ISTEXT(C71),DATE(RIGHT(C71,4),12,31),C71)&lt;PREMISSAS!$D$7,"",IFERROR(VLOOKUP(IF(LEFT(C71,2)="13",DATE(RIGHT(C71,4),12,31),C71),IPCA!$A:$D,4,FALSE),1)*D71))</f>
        <v/>
      </c>
      <c r="F71" s="4">
        <f ca="1">IF(C71="","",IFERROR(AVERAGEIF(E$5:$E71,"&gt;="&amp;_xlfn.PERCENTILE.EXC(E$5:$E71,0.2)),0))</f>
        <v>0</v>
      </c>
      <c r="G71" s="4">
        <f ca="1">IF(C71="","",IFERROR(AVERAGEIF($E$5:E71,"&gt;"&amp;0,$E$5:E71),0))</f>
        <v>0</v>
      </c>
    </row>
    <row r="72" spans="2:7" x14ac:dyDescent="0.3">
      <c r="B72" s="18">
        <v>68</v>
      </c>
      <c r="C72" s="21">
        <f ca="1">IFERROR(IF(LEFT(C71,2)="13",DATE(RIGHT(C71,4),12,31),IF(EOMONTH(C71,1)&gt;PREMISSAS!$C$3,"",IF(MONTH(C71)=11,"13º "&amp;YEAR(C71),EOMONTH(C71,1)))),"")</f>
        <v>39507</v>
      </c>
      <c r="D72" s="22">
        <f ca="1">VLOOKUP(C72,Preencher_Salários!$D$7:$E$656,2,FALSE)</f>
        <v>0</v>
      </c>
      <c r="E72" s="4" t="str">
        <f ca="1">IF(D72=0,"",IF(IF(ISTEXT(C72),DATE(RIGHT(C72,4),12,31),C72)&lt;PREMISSAS!$D$7,"",IFERROR(VLOOKUP(IF(LEFT(C72,2)="13",DATE(RIGHT(C72,4),12,31),C72),IPCA!$A:$D,4,FALSE),1)*D72))</f>
        <v/>
      </c>
      <c r="F72" s="4">
        <f ca="1">IF(C72="","",IFERROR(AVERAGEIF(E$5:$E72,"&gt;="&amp;_xlfn.PERCENTILE.EXC(E$5:$E72,0.2)),0))</f>
        <v>0</v>
      </c>
      <c r="G72" s="4">
        <f ca="1">IF(C72="","",IFERROR(AVERAGEIF($E$5:E72,"&gt;"&amp;0,$E$5:E72),0))</f>
        <v>0</v>
      </c>
    </row>
    <row r="73" spans="2:7" x14ac:dyDescent="0.3">
      <c r="B73" s="18">
        <v>69</v>
      </c>
      <c r="C73" s="21">
        <f ca="1">IFERROR(IF(LEFT(C72,2)="13",DATE(RIGHT(C72,4),12,31),IF(EOMONTH(C72,1)&gt;PREMISSAS!$C$3,"",IF(MONTH(C72)=11,"13º "&amp;YEAR(C72),EOMONTH(C72,1)))),"")</f>
        <v>39538</v>
      </c>
      <c r="D73" s="22">
        <f ca="1">VLOOKUP(C73,Preencher_Salários!$D$7:$E$656,2,FALSE)</f>
        <v>0</v>
      </c>
      <c r="E73" s="4" t="str">
        <f ca="1">IF(D73=0,"",IF(IF(ISTEXT(C73),DATE(RIGHT(C73,4),12,31),C73)&lt;PREMISSAS!$D$7,"",IFERROR(VLOOKUP(IF(LEFT(C73,2)="13",DATE(RIGHT(C73,4),12,31),C73),IPCA!$A:$D,4,FALSE),1)*D73))</f>
        <v/>
      </c>
      <c r="F73" s="4">
        <f ca="1">IF(C73="","",IFERROR(AVERAGEIF(E$5:$E73,"&gt;="&amp;_xlfn.PERCENTILE.EXC(E$5:$E73,0.2)),0))</f>
        <v>0</v>
      </c>
      <c r="G73" s="4">
        <f ca="1">IF(C73="","",IFERROR(AVERAGEIF($E$5:E73,"&gt;"&amp;0,$E$5:E73),0))</f>
        <v>0</v>
      </c>
    </row>
    <row r="74" spans="2:7" x14ac:dyDescent="0.3">
      <c r="B74" s="18">
        <v>70</v>
      </c>
      <c r="C74" s="21">
        <f ca="1">IFERROR(IF(LEFT(C73,2)="13",DATE(RIGHT(C73,4),12,31),IF(EOMONTH(C73,1)&gt;PREMISSAS!$C$3,"",IF(MONTH(C73)=11,"13º "&amp;YEAR(C73),EOMONTH(C73,1)))),"")</f>
        <v>39568</v>
      </c>
      <c r="D74" s="22">
        <f ca="1">VLOOKUP(C74,Preencher_Salários!$D$7:$E$656,2,FALSE)</f>
        <v>0</v>
      </c>
      <c r="E74" s="4" t="str">
        <f ca="1">IF(D74=0,"",IF(IF(ISTEXT(C74),DATE(RIGHT(C74,4),12,31),C74)&lt;PREMISSAS!$D$7,"",IFERROR(VLOOKUP(IF(LEFT(C74,2)="13",DATE(RIGHT(C74,4),12,31),C74),IPCA!$A:$D,4,FALSE),1)*D74))</f>
        <v/>
      </c>
      <c r="F74" s="4">
        <f ca="1">IF(C74="","",IFERROR(AVERAGEIF(E$5:$E74,"&gt;="&amp;_xlfn.PERCENTILE.EXC(E$5:$E74,0.2)),0))</f>
        <v>0</v>
      </c>
      <c r="G74" s="4">
        <f ca="1">IF(C74="","",IFERROR(AVERAGEIF($E$5:E74,"&gt;"&amp;0,$E$5:E74),0))</f>
        <v>0</v>
      </c>
    </row>
    <row r="75" spans="2:7" x14ac:dyDescent="0.3">
      <c r="B75" s="18">
        <v>71</v>
      </c>
      <c r="C75" s="21">
        <f ca="1">IFERROR(IF(LEFT(C74,2)="13",DATE(RIGHT(C74,4),12,31),IF(EOMONTH(C74,1)&gt;PREMISSAS!$C$3,"",IF(MONTH(C74)=11,"13º "&amp;YEAR(C74),EOMONTH(C74,1)))),"")</f>
        <v>39599</v>
      </c>
      <c r="D75" s="22">
        <f ca="1">VLOOKUP(C75,Preencher_Salários!$D$7:$E$656,2,FALSE)</f>
        <v>0</v>
      </c>
      <c r="E75" s="4" t="str">
        <f ca="1">IF(D75=0,"",IF(IF(ISTEXT(C75),DATE(RIGHT(C75,4),12,31),C75)&lt;PREMISSAS!$D$7,"",IFERROR(VLOOKUP(IF(LEFT(C75,2)="13",DATE(RIGHT(C75,4),12,31),C75),IPCA!$A:$D,4,FALSE),1)*D75))</f>
        <v/>
      </c>
      <c r="F75" s="4">
        <f ca="1">IF(C75="","",IFERROR(AVERAGEIF(E$5:$E75,"&gt;="&amp;_xlfn.PERCENTILE.EXC(E$5:$E75,0.2)),0))</f>
        <v>0</v>
      </c>
      <c r="G75" s="4">
        <f ca="1">IF(C75="","",IFERROR(AVERAGEIF($E$5:E75,"&gt;"&amp;0,$E$5:E75),0))</f>
        <v>0</v>
      </c>
    </row>
    <row r="76" spans="2:7" x14ac:dyDescent="0.3">
      <c r="B76" s="18">
        <v>72</v>
      </c>
      <c r="C76" s="21">
        <f ca="1">IFERROR(IF(LEFT(C75,2)="13",DATE(RIGHT(C75,4),12,31),IF(EOMONTH(C75,1)&gt;PREMISSAS!$C$3,"",IF(MONTH(C75)=11,"13º "&amp;YEAR(C75),EOMONTH(C75,1)))),"")</f>
        <v>39629</v>
      </c>
      <c r="D76" s="22">
        <f ca="1">VLOOKUP(C76,Preencher_Salários!$D$7:$E$656,2,FALSE)</f>
        <v>0</v>
      </c>
      <c r="E76" s="4" t="str">
        <f ca="1">IF(D76=0,"",IF(IF(ISTEXT(C76),DATE(RIGHT(C76,4),12,31),C76)&lt;PREMISSAS!$D$7,"",IFERROR(VLOOKUP(IF(LEFT(C76,2)="13",DATE(RIGHT(C76,4),12,31),C76),IPCA!$A:$D,4,FALSE),1)*D76))</f>
        <v/>
      </c>
      <c r="F76" s="4">
        <f ca="1">IF(C76="","",IFERROR(AVERAGEIF(E$5:$E76,"&gt;="&amp;_xlfn.PERCENTILE.EXC(E$5:$E76,0.2)),0))</f>
        <v>0</v>
      </c>
      <c r="G76" s="4">
        <f ca="1">IF(C76="","",IFERROR(AVERAGEIF($E$5:E76,"&gt;"&amp;0,$E$5:E76),0))</f>
        <v>0</v>
      </c>
    </row>
    <row r="77" spans="2:7" x14ac:dyDescent="0.3">
      <c r="B77" s="18">
        <v>73</v>
      </c>
      <c r="C77" s="21">
        <f ca="1">IFERROR(IF(LEFT(C76,2)="13",DATE(RIGHT(C76,4),12,31),IF(EOMONTH(C76,1)&gt;PREMISSAS!$C$3,"",IF(MONTH(C76)=11,"13º "&amp;YEAR(C76),EOMONTH(C76,1)))),"")</f>
        <v>39660</v>
      </c>
      <c r="D77" s="22">
        <f ca="1">VLOOKUP(C77,Preencher_Salários!$D$7:$E$656,2,FALSE)</f>
        <v>0</v>
      </c>
      <c r="E77" s="4" t="str">
        <f ca="1">IF(D77=0,"",IF(IF(ISTEXT(C77),DATE(RIGHT(C77,4),12,31),C77)&lt;PREMISSAS!$D$7,"",IFERROR(VLOOKUP(IF(LEFT(C77,2)="13",DATE(RIGHT(C77,4),12,31),C77),IPCA!$A:$D,4,FALSE),1)*D77))</f>
        <v/>
      </c>
      <c r="F77" s="4">
        <f ca="1">IF(C77="","",IFERROR(AVERAGEIF(E$5:$E77,"&gt;="&amp;_xlfn.PERCENTILE.EXC(E$5:$E77,0.2)),0))</f>
        <v>0</v>
      </c>
      <c r="G77" s="4">
        <f ca="1">IF(C77="","",IFERROR(AVERAGEIF($E$5:E77,"&gt;"&amp;0,$E$5:E77),0))</f>
        <v>0</v>
      </c>
    </row>
    <row r="78" spans="2:7" x14ac:dyDescent="0.3">
      <c r="B78" s="18">
        <v>74</v>
      </c>
      <c r="C78" s="21">
        <f ca="1">IFERROR(IF(LEFT(C77,2)="13",DATE(RIGHT(C77,4),12,31),IF(EOMONTH(C77,1)&gt;PREMISSAS!$C$3,"",IF(MONTH(C77)=11,"13º "&amp;YEAR(C77),EOMONTH(C77,1)))),"")</f>
        <v>39691</v>
      </c>
      <c r="D78" s="22">
        <f ca="1">VLOOKUP(C78,Preencher_Salários!$D$7:$E$656,2,FALSE)</f>
        <v>0</v>
      </c>
      <c r="E78" s="4" t="str">
        <f ca="1">IF(D78=0,"",IF(IF(ISTEXT(C78),DATE(RIGHT(C78,4),12,31),C78)&lt;PREMISSAS!$D$7,"",IFERROR(VLOOKUP(IF(LEFT(C78,2)="13",DATE(RIGHT(C78,4),12,31),C78),IPCA!$A:$D,4,FALSE),1)*D78))</f>
        <v/>
      </c>
      <c r="F78" s="4">
        <f ca="1">IF(C78="","",IFERROR(AVERAGEIF(E$5:$E78,"&gt;="&amp;_xlfn.PERCENTILE.EXC(E$5:$E78,0.2)),0))</f>
        <v>0</v>
      </c>
      <c r="G78" s="4">
        <f ca="1">IF(C78="","",IFERROR(AVERAGEIF($E$5:E78,"&gt;"&amp;0,$E$5:E78),0))</f>
        <v>0</v>
      </c>
    </row>
    <row r="79" spans="2:7" x14ac:dyDescent="0.3">
      <c r="B79" s="18">
        <v>75</v>
      </c>
      <c r="C79" s="21">
        <f ca="1">IFERROR(IF(LEFT(C78,2)="13",DATE(RIGHT(C78,4),12,31),IF(EOMONTH(C78,1)&gt;PREMISSAS!$C$3,"",IF(MONTH(C78)=11,"13º "&amp;YEAR(C78),EOMONTH(C78,1)))),"")</f>
        <v>39721</v>
      </c>
      <c r="D79" s="22">
        <f ca="1">VLOOKUP(C79,Preencher_Salários!$D$7:$E$656,2,FALSE)</f>
        <v>0</v>
      </c>
      <c r="E79" s="4" t="str">
        <f ca="1">IF(D79=0,"",IF(IF(ISTEXT(C79),DATE(RIGHT(C79,4),12,31),C79)&lt;PREMISSAS!$D$7,"",IFERROR(VLOOKUP(IF(LEFT(C79,2)="13",DATE(RIGHT(C79,4),12,31),C79),IPCA!$A:$D,4,FALSE),1)*D79))</f>
        <v/>
      </c>
      <c r="F79" s="4">
        <f ca="1">IF(C79="","",IFERROR(AVERAGEIF(E$5:$E79,"&gt;="&amp;_xlfn.PERCENTILE.EXC(E$5:$E79,0.2)),0))</f>
        <v>0</v>
      </c>
      <c r="G79" s="4">
        <f ca="1">IF(C79="","",IFERROR(AVERAGEIF($E$5:E79,"&gt;"&amp;0,$E$5:E79),0))</f>
        <v>0</v>
      </c>
    </row>
    <row r="80" spans="2:7" x14ac:dyDescent="0.3">
      <c r="B80" s="18">
        <v>76</v>
      </c>
      <c r="C80" s="21">
        <f ca="1">IFERROR(IF(LEFT(C79,2)="13",DATE(RIGHT(C79,4),12,31),IF(EOMONTH(C79,1)&gt;PREMISSAS!$C$3,"",IF(MONTH(C79)=11,"13º "&amp;YEAR(C79),EOMONTH(C79,1)))),"")</f>
        <v>39752</v>
      </c>
      <c r="D80" s="22">
        <f ca="1">VLOOKUP(C80,Preencher_Salários!$D$7:$E$656,2,FALSE)</f>
        <v>0</v>
      </c>
      <c r="E80" s="4" t="str">
        <f ca="1">IF(D80=0,"",IF(IF(ISTEXT(C80),DATE(RIGHT(C80,4),12,31),C80)&lt;PREMISSAS!$D$7,"",IFERROR(VLOOKUP(IF(LEFT(C80,2)="13",DATE(RIGHT(C80,4),12,31),C80),IPCA!$A:$D,4,FALSE),1)*D80))</f>
        <v/>
      </c>
      <c r="F80" s="4">
        <f ca="1">IF(C80="","",IFERROR(AVERAGEIF(E$5:$E80,"&gt;="&amp;_xlfn.PERCENTILE.EXC(E$5:$E80,0.2)),0))</f>
        <v>0</v>
      </c>
      <c r="G80" s="4">
        <f ca="1">IF(C80="","",IFERROR(AVERAGEIF($E$5:E80,"&gt;"&amp;0,$E$5:E80),0))</f>
        <v>0</v>
      </c>
    </row>
    <row r="81" spans="2:7" x14ac:dyDescent="0.3">
      <c r="B81" s="18">
        <v>77</v>
      </c>
      <c r="C81" s="21">
        <f ca="1">IFERROR(IF(LEFT(C80,2)="13",DATE(RIGHT(C80,4),12,31),IF(EOMONTH(C80,1)&gt;PREMISSAS!$C$3,"",IF(MONTH(C80)=11,"13º "&amp;YEAR(C80),EOMONTH(C80,1)))),"")</f>
        <v>39782</v>
      </c>
      <c r="D81" s="22">
        <f ca="1">VLOOKUP(C81,Preencher_Salários!$D$7:$E$656,2,FALSE)</f>
        <v>0</v>
      </c>
      <c r="E81" s="4" t="str">
        <f ca="1">IF(D81=0,"",IF(IF(ISTEXT(C81),DATE(RIGHT(C81,4),12,31),C81)&lt;PREMISSAS!$D$7,"",IFERROR(VLOOKUP(IF(LEFT(C81,2)="13",DATE(RIGHT(C81,4),12,31),C81),IPCA!$A:$D,4,FALSE),1)*D81))</f>
        <v/>
      </c>
      <c r="F81" s="4">
        <f ca="1">IF(C81="","",IFERROR(AVERAGEIF(E$5:$E81,"&gt;="&amp;_xlfn.PERCENTILE.EXC(E$5:$E81,0.2)),0))</f>
        <v>0</v>
      </c>
      <c r="G81" s="4">
        <f ca="1">IF(C81="","",IFERROR(AVERAGEIF($E$5:E81,"&gt;"&amp;0,$E$5:E81),0))</f>
        <v>0</v>
      </c>
    </row>
    <row r="82" spans="2:7" x14ac:dyDescent="0.3">
      <c r="B82" s="18">
        <v>78</v>
      </c>
      <c r="C82" s="21" t="str">
        <f ca="1">IFERROR(IF(LEFT(C81,2)="13",DATE(RIGHT(C81,4),12,31),IF(EOMONTH(C81,1)&gt;PREMISSAS!$C$3,"",IF(MONTH(C81)=11,"13º "&amp;YEAR(C81),EOMONTH(C81,1)))),"")</f>
        <v>13º 2008</v>
      </c>
      <c r="D82" s="22">
        <f ca="1">VLOOKUP(C82,Preencher_Salários!$D$7:$E$656,2,FALSE)</f>
        <v>0</v>
      </c>
      <c r="E82" s="4" t="str">
        <f ca="1">IF(D82=0,"",IF(IF(ISTEXT(C82),DATE(RIGHT(C82,4),12,31),C82)&lt;PREMISSAS!$D$7,"",IFERROR(VLOOKUP(IF(LEFT(C82,2)="13",DATE(RIGHT(C82,4),12,31),C82),IPCA!$A:$D,4,FALSE),1)*D82))</f>
        <v/>
      </c>
      <c r="F82" s="4">
        <f ca="1">IF(C82="","",IFERROR(AVERAGEIF(E$5:$E82,"&gt;="&amp;_xlfn.PERCENTILE.EXC(E$5:$E82,0.2)),0))</f>
        <v>0</v>
      </c>
      <c r="G82" s="4">
        <f ca="1">IF(C82="","",IFERROR(AVERAGEIF($E$5:E82,"&gt;"&amp;0,$E$5:E82),0))</f>
        <v>0</v>
      </c>
    </row>
    <row r="83" spans="2:7" x14ac:dyDescent="0.3">
      <c r="B83" s="18">
        <v>79</v>
      </c>
      <c r="C83" s="21">
        <f ca="1">IFERROR(IF(LEFT(C82,2)="13",DATE(RIGHT(C82,4),12,31),IF(EOMONTH(C82,1)&gt;PREMISSAS!$C$3,"",IF(MONTH(C82)=11,"13º "&amp;YEAR(C82),EOMONTH(C82,1)))),"")</f>
        <v>39813</v>
      </c>
      <c r="D83" s="22">
        <f ca="1">VLOOKUP(C83,Preencher_Salários!$D$7:$E$656,2,FALSE)</f>
        <v>0</v>
      </c>
      <c r="E83" s="4" t="str">
        <f ca="1">IF(D83=0,"",IF(IF(ISTEXT(C83),DATE(RIGHT(C83,4),12,31),C83)&lt;PREMISSAS!$D$7,"",IFERROR(VLOOKUP(IF(LEFT(C83,2)="13",DATE(RIGHT(C83,4),12,31),C83),IPCA!$A:$D,4,FALSE),1)*D83))</f>
        <v/>
      </c>
      <c r="F83" s="4">
        <f ca="1">IF(C83="","",IFERROR(AVERAGEIF(E$5:$E83,"&gt;="&amp;_xlfn.PERCENTILE.EXC(E$5:$E83,0.2)),0))</f>
        <v>0</v>
      </c>
      <c r="G83" s="4">
        <f ca="1">IF(C83="","",IFERROR(AVERAGEIF($E$5:E83,"&gt;"&amp;0,$E$5:E83),0))</f>
        <v>0</v>
      </c>
    </row>
    <row r="84" spans="2:7" x14ac:dyDescent="0.3">
      <c r="B84" s="18">
        <v>80</v>
      </c>
      <c r="C84" s="21">
        <f ca="1">IFERROR(IF(LEFT(C83,2)="13",DATE(RIGHT(C83,4),12,31),IF(EOMONTH(C83,1)&gt;PREMISSAS!$C$3,"",IF(MONTH(C83)=11,"13º "&amp;YEAR(C83),EOMONTH(C83,1)))),"")</f>
        <v>39844</v>
      </c>
      <c r="D84" s="22">
        <f ca="1">VLOOKUP(C84,Preencher_Salários!$D$7:$E$656,2,FALSE)</f>
        <v>0</v>
      </c>
      <c r="E84" s="4" t="str">
        <f ca="1">IF(D84=0,"",IF(IF(ISTEXT(C84),DATE(RIGHT(C84,4),12,31),C84)&lt;PREMISSAS!$D$7,"",IFERROR(VLOOKUP(IF(LEFT(C84,2)="13",DATE(RIGHT(C84,4),12,31),C84),IPCA!$A:$D,4,FALSE),1)*D84))</f>
        <v/>
      </c>
      <c r="F84" s="4">
        <f ca="1">IF(C84="","",IFERROR(AVERAGEIF(E$5:$E84,"&gt;="&amp;_xlfn.PERCENTILE.EXC(E$5:$E84,0.2)),0))</f>
        <v>0</v>
      </c>
      <c r="G84" s="4">
        <f ca="1">IF(C84="","",IFERROR(AVERAGEIF($E$5:E84,"&gt;"&amp;0,$E$5:E84),0))</f>
        <v>0</v>
      </c>
    </row>
    <row r="85" spans="2:7" x14ac:dyDescent="0.3">
      <c r="B85" s="18">
        <v>81</v>
      </c>
      <c r="C85" s="21">
        <f ca="1">IFERROR(IF(LEFT(C84,2)="13",DATE(RIGHT(C84,4),12,31),IF(EOMONTH(C84,1)&gt;PREMISSAS!$C$3,"",IF(MONTH(C84)=11,"13º "&amp;YEAR(C84),EOMONTH(C84,1)))),"")</f>
        <v>39872</v>
      </c>
      <c r="D85" s="22">
        <f ca="1">VLOOKUP(C85,Preencher_Salários!$D$7:$E$656,2,FALSE)</f>
        <v>0</v>
      </c>
      <c r="E85" s="4" t="str">
        <f ca="1">IF(D85=0,"",IF(IF(ISTEXT(C85),DATE(RIGHT(C85,4),12,31),C85)&lt;PREMISSAS!$D$7,"",IFERROR(VLOOKUP(IF(LEFT(C85,2)="13",DATE(RIGHT(C85,4),12,31),C85),IPCA!$A:$D,4,FALSE),1)*D85))</f>
        <v/>
      </c>
      <c r="F85" s="4">
        <f ca="1">IF(C85="","",IFERROR(AVERAGEIF(E$5:$E85,"&gt;="&amp;_xlfn.PERCENTILE.EXC(E$5:$E85,0.2)),0))</f>
        <v>0</v>
      </c>
      <c r="G85" s="4">
        <f ca="1">IF(C85="","",IFERROR(AVERAGEIF($E$5:E85,"&gt;"&amp;0,$E$5:E85),0))</f>
        <v>0</v>
      </c>
    </row>
    <row r="86" spans="2:7" x14ac:dyDescent="0.3">
      <c r="B86" s="18">
        <v>82</v>
      </c>
      <c r="C86" s="21">
        <f ca="1">IFERROR(IF(LEFT(C85,2)="13",DATE(RIGHT(C85,4),12,31),IF(EOMONTH(C85,1)&gt;PREMISSAS!$C$3,"",IF(MONTH(C85)=11,"13º "&amp;YEAR(C85),EOMONTH(C85,1)))),"")</f>
        <v>39903</v>
      </c>
      <c r="D86" s="22">
        <f ca="1">VLOOKUP(C86,Preencher_Salários!$D$7:$E$656,2,FALSE)</f>
        <v>0</v>
      </c>
      <c r="E86" s="4" t="str">
        <f ca="1">IF(D86=0,"",IF(IF(ISTEXT(C86),DATE(RIGHT(C86,4),12,31),C86)&lt;PREMISSAS!$D$7,"",IFERROR(VLOOKUP(IF(LEFT(C86,2)="13",DATE(RIGHT(C86,4),12,31),C86),IPCA!$A:$D,4,FALSE),1)*D86))</f>
        <v/>
      </c>
      <c r="F86" s="4">
        <f ca="1">IF(C86="","",IFERROR(AVERAGEIF(E$5:$E86,"&gt;="&amp;_xlfn.PERCENTILE.EXC(E$5:$E86,0.2)),0))</f>
        <v>0</v>
      </c>
      <c r="G86" s="4">
        <f ca="1">IF(C86="","",IFERROR(AVERAGEIF($E$5:E86,"&gt;"&amp;0,$E$5:E86),0))</f>
        <v>0</v>
      </c>
    </row>
    <row r="87" spans="2:7" x14ac:dyDescent="0.3">
      <c r="B87" s="18">
        <v>83</v>
      </c>
      <c r="C87" s="21">
        <f ca="1">IFERROR(IF(LEFT(C86,2)="13",DATE(RIGHT(C86,4),12,31),IF(EOMONTH(C86,1)&gt;PREMISSAS!$C$3,"",IF(MONTH(C86)=11,"13º "&amp;YEAR(C86),EOMONTH(C86,1)))),"")</f>
        <v>39933</v>
      </c>
      <c r="D87" s="22">
        <f ca="1">VLOOKUP(C87,Preencher_Salários!$D$7:$E$656,2,FALSE)</f>
        <v>0</v>
      </c>
      <c r="E87" s="4" t="str">
        <f ca="1">IF(D87=0,"",IF(IF(ISTEXT(C87),DATE(RIGHT(C87,4),12,31),C87)&lt;PREMISSAS!$D$7,"",IFERROR(VLOOKUP(IF(LEFT(C87,2)="13",DATE(RIGHT(C87,4),12,31),C87),IPCA!$A:$D,4,FALSE),1)*D87))</f>
        <v/>
      </c>
      <c r="F87" s="4">
        <f ca="1">IF(C87="","",IFERROR(AVERAGEIF(E$5:$E87,"&gt;="&amp;_xlfn.PERCENTILE.EXC(E$5:$E87,0.2)),0))</f>
        <v>0</v>
      </c>
      <c r="G87" s="4">
        <f ca="1">IF(C87="","",IFERROR(AVERAGEIF($E$5:E87,"&gt;"&amp;0,$E$5:E87),0))</f>
        <v>0</v>
      </c>
    </row>
    <row r="88" spans="2:7" x14ac:dyDescent="0.3">
      <c r="B88" s="18">
        <v>84</v>
      </c>
      <c r="C88" s="21">
        <f ca="1">IFERROR(IF(LEFT(C87,2)="13",DATE(RIGHT(C87,4),12,31),IF(EOMONTH(C87,1)&gt;PREMISSAS!$C$3,"",IF(MONTH(C87)=11,"13º "&amp;YEAR(C87),EOMONTH(C87,1)))),"")</f>
        <v>39964</v>
      </c>
      <c r="D88" s="22">
        <f ca="1">VLOOKUP(C88,Preencher_Salários!$D$7:$E$656,2,FALSE)</f>
        <v>0</v>
      </c>
      <c r="E88" s="4" t="str">
        <f ca="1">IF(D88=0,"",IF(IF(ISTEXT(C88),DATE(RIGHT(C88,4),12,31),C88)&lt;PREMISSAS!$D$7,"",IFERROR(VLOOKUP(IF(LEFT(C88,2)="13",DATE(RIGHT(C88,4),12,31),C88),IPCA!$A:$D,4,FALSE),1)*D88))</f>
        <v/>
      </c>
      <c r="F88" s="4">
        <f ca="1">IF(C88="","",IFERROR(AVERAGEIF(E$5:$E88,"&gt;="&amp;_xlfn.PERCENTILE.EXC(E$5:$E88,0.2)),0))</f>
        <v>0</v>
      </c>
      <c r="G88" s="4">
        <f ca="1">IF(C88="","",IFERROR(AVERAGEIF($E$5:E88,"&gt;"&amp;0,$E$5:E88),0))</f>
        <v>0</v>
      </c>
    </row>
    <row r="89" spans="2:7" x14ac:dyDescent="0.3">
      <c r="B89" s="18">
        <v>85</v>
      </c>
      <c r="C89" s="21">
        <f ca="1">IFERROR(IF(LEFT(C88,2)="13",DATE(RIGHT(C88,4),12,31),IF(EOMONTH(C88,1)&gt;PREMISSAS!$C$3,"",IF(MONTH(C88)=11,"13º "&amp;YEAR(C88),EOMONTH(C88,1)))),"")</f>
        <v>39994</v>
      </c>
      <c r="D89" s="22">
        <f ca="1">VLOOKUP(C89,Preencher_Salários!$D$7:$E$656,2,FALSE)</f>
        <v>0</v>
      </c>
      <c r="E89" s="4" t="str">
        <f ca="1">IF(D89=0,"",IF(IF(ISTEXT(C89),DATE(RIGHT(C89,4),12,31),C89)&lt;PREMISSAS!$D$7,"",IFERROR(VLOOKUP(IF(LEFT(C89,2)="13",DATE(RIGHT(C89,4),12,31),C89),IPCA!$A:$D,4,FALSE),1)*D89))</f>
        <v/>
      </c>
      <c r="F89" s="4">
        <f ca="1">IF(C89="","",IFERROR(AVERAGEIF(E$5:$E89,"&gt;="&amp;_xlfn.PERCENTILE.EXC(E$5:$E89,0.2)),0))</f>
        <v>0</v>
      </c>
      <c r="G89" s="4">
        <f ca="1">IF(C89="","",IFERROR(AVERAGEIF($E$5:E89,"&gt;"&amp;0,$E$5:E89),0))</f>
        <v>0</v>
      </c>
    </row>
    <row r="90" spans="2:7" x14ac:dyDescent="0.3">
      <c r="B90" s="18">
        <v>86</v>
      </c>
      <c r="C90" s="21">
        <f ca="1">IFERROR(IF(LEFT(C89,2)="13",DATE(RIGHT(C89,4),12,31),IF(EOMONTH(C89,1)&gt;PREMISSAS!$C$3,"",IF(MONTH(C89)=11,"13º "&amp;YEAR(C89),EOMONTH(C89,1)))),"")</f>
        <v>40025</v>
      </c>
      <c r="D90" s="22">
        <f ca="1">VLOOKUP(C90,Preencher_Salários!$D$7:$E$656,2,FALSE)</f>
        <v>0</v>
      </c>
      <c r="E90" s="4" t="str">
        <f ca="1">IF(D90=0,"",IF(IF(ISTEXT(C90),DATE(RIGHT(C90,4),12,31),C90)&lt;PREMISSAS!$D$7,"",IFERROR(VLOOKUP(IF(LEFT(C90,2)="13",DATE(RIGHT(C90,4),12,31),C90),IPCA!$A:$D,4,FALSE),1)*D90))</f>
        <v/>
      </c>
      <c r="F90" s="4">
        <f ca="1">IF(C90="","",IFERROR(AVERAGEIF(E$5:$E90,"&gt;="&amp;_xlfn.PERCENTILE.EXC(E$5:$E90,0.2)),0))</f>
        <v>0</v>
      </c>
      <c r="G90" s="4">
        <f ca="1">IF(C90="","",IFERROR(AVERAGEIF($E$5:E90,"&gt;"&amp;0,$E$5:E90),0))</f>
        <v>0</v>
      </c>
    </row>
    <row r="91" spans="2:7" x14ac:dyDescent="0.3">
      <c r="B91" s="18">
        <v>87</v>
      </c>
      <c r="C91" s="21">
        <f ca="1">IFERROR(IF(LEFT(C90,2)="13",DATE(RIGHT(C90,4),12,31),IF(EOMONTH(C90,1)&gt;PREMISSAS!$C$3,"",IF(MONTH(C90)=11,"13º "&amp;YEAR(C90),EOMONTH(C90,1)))),"")</f>
        <v>40056</v>
      </c>
      <c r="D91" s="22">
        <f ca="1">VLOOKUP(C91,Preencher_Salários!$D$7:$E$656,2,FALSE)</f>
        <v>0</v>
      </c>
      <c r="E91" s="4" t="str">
        <f ca="1">IF(D91=0,"",IF(IF(ISTEXT(C91),DATE(RIGHT(C91,4),12,31),C91)&lt;PREMISSAS!$D$7,"",IFERROR(VLOOKUP(IF(LEFT(C91,2)="13",DATE(RIGHT(C91,4),12,31),C91),IPCA!$A:$D,4,FALSE),1)*D91))</f>
        <v/>
      </c>
      <c r="F91" s="4">
        <f ca="1">IF(C91="","",IFERROR(AVERAGEIF(E$5:$E91,"&gt;="&amp;_xlfn.PERCENTILE.EXC(E$5:$E91,0.2)),0))</f>
        <v>0</v>
      </c>
      <c r="G91" s="4">
        <f ca="1">IF(C91="","",IFERROR(AVERAGEIF($E$5:E91,"&gt;"&amp;0,$E$5:E91),0))</f>
        <v>0</v>
      </c>
    </row>
    <row r="92" spans="2:7" x14ac:dyDescent="0.3">
      <c r="B92" s="18">
        <v>88</v>
      </c>
      <c r="C92" s="21">
        <f ca="1">IFERROR(IF(LEFT(C91,2)="13",DATE(RIGHT(C91,4),12,31),IF(EOMONTH(C91,1)&gt;PREMISSAS!$C$3,"",IF(MONTH(C91)=11,"13º "&amp;YEAR(C91),EOMONTH(C91,1)))),"")</f>
        <v>40086</v>
      </c>
      <c r="D92" s="22">
        <f ca="1">VLOOKUP(C92,Preencher_Salários!$D$7:$E$656,2,FALSE)</f>
        <v>0</v>
      </c>
      <c r="E92" s="4" t="str">
        <f ca="1">IF(D92=0,"",IF(IF(ISTEXT(C92),DATE(RIGHT(C92,4),12,31),C92)&lt;PREMISSAS!$D$7,"",IFERROR(VLOOKUP(IF(LEFT(C92,2)="13",DATE(RIGHT(C92,4),12,31),C92),IPCA!$A:$D,4,FALSE),1)*D92))</f>
        <v/>
      </c>
      <c r="F92" s="4">
        <f ca="1">IF(C92="","",IFERROR(AVERAGEIF(E$5:$E92,"&gt;="&amp;_xlfn.PERCENTILE.EXC(E$5:$E92,0.2)),0))</f>
        <v>0</v>
      </c>
      <c r="G92" s="4">
        <f ca="1">IF(C92="","",IFERROR(AVERAGEIF($E$5:E92,"&gt;"&amp;0,$E$5:E92),0))</f>
        <v>0</v>
      </c>
    </row>
    <row r="93" spans="2:7" x14ac:dyDescent="0.3">
      <c r="B93" s="18">
        <v>89</v>
      </c>
      <c r="C93" s="21">
        <f ca="1">IFERROR(IF(LEFT(C92,2)="13",DATE(RIGHT(C92,4),12,31),IF(EOMONTH(C92,1)&gt;PREMISSAS!$C$3,"",IF(MONTH(C92)=11,"13º "&amp;YEAR(C92),EOMONTH(C92,1)))),"")</f>
        <v>40117</v>
      </c>
      <c r="D93" s="22">
        <f ca="1">VLOOKUP(C93,Preencher_Salários!$D$7:$E$656,2,FALSE)</f>
        <v>0</v>
      </c>
      <c r="E93" s="4" t="str">
        <f ca="1">IF(D93=0,"",IF(IF(ISTEXT(C93),DATE(RIGHT(C93,4),12,31),C93)&lt;PREMISSAS!$D$7,"",IFERROR(VLOOKUP(IF(LEFT(C93,2)="13",DATE(RIGHT(C93,4),12,31),C93),IPCA!$A:$D,4,FALSE),1)*D93))</f>
        <v/>
      </c>
      <c r="F93" s="4">
        <f ca="1">IF(C93="","",IFERROR(AVERAGEIF(E$5:$E93,"&gt;="&amp;_xlfn.PERCENTILE.EXC(E$5:$E93,0.2)),0))</f>
        <v>0</v>
      </c>
      <c r="G93" s="4">
        <f ca="1">IF(C93="","",IFERROR(AVERAGEIF($E$5:E93,"&gt;"&amp;0,$E$5:E93),0))</f>
        <v>0</v>
      </c>
    </row>
    <row r="94" spans="2:7" x14ac:dyDescent="0.3">
      <c r="B94" s="18">
        <v>90</v>
      </c>
      <c r="C94" s="21">
        <f ca="1">IFERROR(IF(LEFT(C93,2)="13",DATE(RIGHT(C93,4),12,31),IF(EOMONTH(C93,1)&gt;PREMISSAS!$C$3,"",IF(MONTH(C93)=11,"13º "&amp;YEAR(C93),EOMONTH(C93,1)))),"")</f>
        <v>40147</v>
      </c>
      <c r="D94" s="22">
        <f ca="1">VLOOKUP(C94,Preencher_Salários!$D$7:$E$656,2,FALSE)</f>
        <v>0</v>
      </c>
      <c r="E94" s="4" t="str">
        <f ca="1">IF(D94=0,"",IF(IF(ISTEXT(C94),DATE(RIGHT(C94,4),12,31),C94)&lt;PREMISSAS!$D$7,"",IFERROR(VLOOKUP(IF(LEFT(C94,2)="13",DATE(RIGHT(C94,4),12,31),C94),IPCA!$A:$D,4,FALSE),1)*D94))</f>
        <v/>
      </c>
      <c r="F94" s="4">
        <f ca="1">IF(C94="","",IFERROR(AVERAGEIF(E$5:$E94,"&gt;="&amp;_xlfn.PERCENTILE.EXC(E$5:$E94,0.2)),0))</f>
        <v>0</v>
      </c>
      <c r="G94" s="4">
        <f ca="1">IF(C94="","",IFERROR(AVERAGEIF($E$5:E94,"&gt;"&amp;0,$E$5:E94),0))</f>
        <v>0</v>
      </c>
    </row>
    <row r="95" spans="2:7" x14ac:dyDescent="0.3">
      <c r="B95" s="18">
        <v>91</v>
      </c>
      <c r="C95" s="21" t="str">
        <f ca="1">IFERROR(IF(LEFT(C94,2)="13",DATE(RIGHT(C94,4),12,31),IF(EOMONTH(C94,1)&gt;PREMISSAS!$C$3,"",IF(MONTH(C94)=11,"13º "&amp;YEAR(C94),EOMONTH(C94,1)))),"")</f>
        <v>13º 2009</v>
      </c>
      <c r="D95" s="22">
        <f ca="1">VLOOKUP(C95,Preencher_Salários!$D$7:$E$656,2,FALSE)</f>
        <v>0</v>
      </c>
      <c r="E95" s="4" t="str">
        <f ca="1">IF(D95=0,"",IF(IF(ISTEXT(C95),DATE(RIGHT(C95,4),12,31),C95)&lt;PREMISSAS!$D$7,"",IFERROR(VLOOKUP(IF(LEFT(C95,2)="13",DATE(RIGHT(C95,4),12,31),C95),IPCA!$A:$D,4,FALSE),1)*D95))</f>
        <v/>
      </c>
      <c r="F95" s="4">
        <f ca="1">IF(C95="","",IFERROR(AVERAGEIF(E$5:$E95,"&gt;="&amp;_xlfn.PERCENTILE.EXC(E$5:$E95,0.2)),0))</f>
        <v>0</v>
      </c>
      <c r="G95" s="4">
        <f ca="1">IF(C95="","",IFERROR(AVERAGEIF($E$5:E95,"&gt;"&amp;0,$E$5:E95),0))</f>
        <v>0</v>
      </c>
    </row>
    <row r="96" spans="2:7" x14ac:dyDescent="0.3">
      <c r="B96" s="18">
        <v>92</v>
      </c>
      <c r="C96" s="21">
        <f ca="1">IFERROR(IF(LEFT(C95,2)="13",DATE(RIGHT(C95,4),12,31),IF(EOMONTH(C95,1)&gt;PREMISSAS!$C$3,"",IF(MONTH(C95)=11,"13º "&amp;YEAR(C95),EOMONTH(C95,1)))),"")</f>
        <v>40178</v>
      </c>
      <c r="D96" s="22">
        <f ca="1">VLOOKUP(C96,Preencher_Salários!$D$7:$E$656,2,FALSE)</f>
        <v>0</v>
      </c>
      <c r="E96" s="4" t="str">
        <f ca="1">IF(D96=0,"",IF(IF(ISTEXT(C96),DATE(RIGHT(C96,4),12,31),C96)&lt;PREMISSAS!$D$7,"",IFERROR(VLOOKUP(IF(LEFT(C96,2)="13",DATE(RIGHT(C96,4),12,31),C96),IPCA!$A:$D,4,FALSE),1)*D96))</f>
        <v/>
      </c>
      <c r="F96" s="4">
        <f ca="1">IF(C96="","",IFERROR(AVERAGEIF(E$5:$E96,"&gt;="&amp;_xlfn.PERCENTILE.EXC(E$5:$E96,0.2)),0))</f>
        <v>0</v>
      </c>
      <c r="G96" s="4">
        <f ca="1">IF(C96="","",IFERROR(AVERAGEIF($E$5:E96,"&gt;"&amp;0,$E$5:E96),0))</f>
        <v>0</v>
      </c>
    </row>
    <row r="97" spans="2:7" x14ac:dyDescent="0.3">
      <c r="B97" s="18">
        <v>93</v>
      </c>
      <c r="C97" s="21">
        <f ca="1">IFERROR(IF(LEFT(C96,2)="13",DATE(RIGHT(C96,4),12,31),IF(EOMONTH(C96,1)&gt;PREMISSAS!$C$3,"",IF(MONTH(C96)=11,"13º "&amp;YEAR(C96),EOMONTH(C96,1)))),"")</f>
        <v>40209</v>
      </c>
      <c r="D97" s="22">
        <f ca="1">VLOOKUP(C97,Preencher_Salários!$D$7:$E$656,2,FALSE)</f>
        <v>0</v>
      </c>
      <c r="E97" s="4" t="str">
        <f ca="1">IF(D97=0,"",IF(IF(ISTEXT(C97),DATE(RIGHT(C97,4),12,31),C97)&lt;PREMISSAS!$D$7,"",IFERROR(VLOOKUP(IF(LEFT(C97,2)="13",DATE(RIGHT(C97,4),12,31),C97),IPCA!$A:$D,4,FALSE),1)*D97))</f>
        <v/>
      </c>
      <c r="F97" s="4">
        <f ca="1">IF(C97="","",IFERROR(AVERAGEIF(E$5:$E97,"&gt;="&amp;_xlfn.PERCENTILE.EXC(E$5:$E97,0.2)),0))</f>
        <v>0</v>
      </c>
      <c r="G97" s="4">
        <f ca="1">IF(C97="","",IFERROR(AVERAGEIF($E$5:E97,"&gt;"&amp;0,$E$5:E97),0))</f>
        <v>0</v>
      </c>
    </row>
    <row r="98" spans="2:7" x14ac:dyDescent="0.3">
      <c r="B98" s="18">
        <v>94</v>
      </c>
      <c r="C98" s="21">
        <f ca="1">IFERROR(IF(LEFT(C97,2)="13",DATE(RIGHT(C97,4),12,31),IF(EOMONTH(C97,1)&gt;PREMISSAS!$C$3,"",IF(MONTH(C97)=11,"13º "&amp;YEAR(C97),EOMONTH(C97,1)))),"")</f>
        <v>40237</v>
      </c>
      <c r="D98" s="22">
        <f ca="1">VLOOKUP(C98,Preencher_Salários!$D$7:$E$656,2,FALSE)</f>
        <v>0</v>
      </c>
      <c r="E98" s="4" t="str">
        <f ca="1">IF(D98=0,"",IF(IF(ISTEXT(C98),DATE(RIGHT(C98,4),12,31),C98)&lt;PREMISSAS!$D$7,"",IFERROR(VLOOKUP(IF(LEFT(C98,2)="13",DATE(RIGHT(C98,4),12,31),C98),IPCA!$A:$D,4,FALSE),1)*D98))</f>
        <v/>
      </c>
      <c r="F98" s="4">
        <f ca="1">IF(C98="","",IFERROR(AVERAGEIF(E$5:$E98,"&gt;="&amp;_xlfn.PERCENTILE.EXC(E$5:$E98,0.2)),0))</f>
        <v>0</v>
      </c>
      <c r="G98" s="4">
        <f ca="1">IF(C98="","",IFERROR(AVERAGEIF($E$5:E98,"&gt;"&amp;0,$E$5:E98),0))</f>
        <v>0</v>
      </c>
    </row>
    <row r="99" spans="2:7" x14ac:dyDescent="0.3">
      <c r="B99" s="18">
        <v>95</v>
      </c>
      <c r="C99" s="21">
        <f ca="1">IFERROR(IF(LEFT(C98,2)="13",DATE(RIGHT(C98,4),12,31),IF(EOMONTH(C98,1)&gt;PREMISSAS!$C$3,"",IF(MONTH(C98)=11,"13º "&amp;YEAR(C98),EOMONTH(C98,1)))),"")</f>
        <v>40268</v>
      </c>
      <c r="D99" s="22">
        <f ca="1">VLOOKUP(C99,Preencher_Salários!$D$7:$E$656,2,FALSE)</f>
        <v>0</v>
      </c>
      <c r="E99" s="4" t="str">
        <f ca="1">IF(D99=0,"",IF(IF(ISTEXT(C99),DATE(RIGHT(C99,4),12,31),C99)&lt;PREMISSAS!$D$7,"",IFERROR(VLOOKUP(IF(LEFT(C99,2)="13",DATE(RIGHT(C99,4),12,31),C99),IPCA!$A:$D,4,FALSE),1)*D99))</f>
        <v/>
      </c>
      <c r="F99" s="4">
        <f ca="1">IF(C99="","",IFERROR(AVERAGEIF(E$5:$E99,"&gt;="&amp;_xlfn.PERCENTILE.EXC(E$5:$E99,0.2)),0))</f>
        <v>0</v>
      </c>
      <c r="G99" s="4">
        <f ca="1">IF(C99="","",IFERROR(AVERAGEIF($E$5:E99,"&gt;"&amp;0,$E$5:E99),0))</f>
        <v>0</v>
      </c>
    </row>
    <row r="100" spans="2:7" x14ac:dyDescent="0.3">
      <c r="B100" s="18">
        <v>96</v>
      </c>
      <c r="C100" s="21">
        <f ca="1">IFERROR(IF(LEFT(C99,2)="13",DATE(RIGHT(C99,4),12,31),IF(EOMONTH(C99,1)&gt;PREMISSAS!$C$3,"",IF(MONTH(C99)=11,"13º "&amp;YEAR(C99),EOMONTH(C99,1)))),"")</f>
        <v>40298</v>
      </c>
      <c r="D100" s="22">
        <f ca="1">VLOOKUP(C100,Preencher_Salários!$D$7:$E$656,2,FALSE)</f>
        <v>0</v>
      </c>
      <c r="E100" s="4" t="str">
        <f ca="1">IF(D100=0,"",IF(IF(ISTEXT(C100),DATE(RIGHT(C100,4),12,31),C100)&lt;PREMISSAS!$D$7,"",IFERROR(VLOOKUP(IF(LEFT(C100,2)="13",DATE(RIGHT(C100,4),12,31),C100),IPCA!$A:$D,4,FALSE),1)*D100))</f>
        <v/>
      </c>
      <c r="F100" s="4">
        <f ca="1">IF(C100="","",IFERROR(AVERAGEIF(E$5:$E100,"&gt;="&amp;_xlfn.PERCENTILE.EXC(E$5:$E100,0.2)),0))</f>
        <v>0</v>
      </c>
      <c r="G100" s="4">
        <f ca="1">IF(C100="","",IFERROR(AVERAGEIF($E$5:E100,"&gt;"&amp;0,$E$5:E100),0))</f>
        <v>0</v>
      </c>
    </row>
    <row r="101" spans="2:7" x14ac:dyDescent="0.3">
      <c r="B101" s="18">
        <v>97</v>
      </c>
      <c r="C101" s="21">
        <f ca="1">IFERROR(IF(LEFT(C100,2)="13",DATE(RIGHT(C100,4),12,31),IF(EOMONTH(C100,1)&gt;PREMISSAS!$C$3,"",IF(MONTH(C100)=11,"13º "&amp;YEAR(C100),EOMONTH(C100,1)))),"")</f>
        <v>40329</v>
      </c>
      <c r="D101" s="22">
        <f ca="1">VLOOKUP(C101,Preencher_Salários!$D$7:$E$656,2,FALSE)</f>
        <v>0</v>
      </c>
      <c r="E101" s="4" t="str">
        <f ca="1">IF(D101=0,"",IF(IF(ISTEXT(C101),DATE(RIGHT(C101,4),12,31),C101)&lt;PREMISSAS!$D$7,"",IFERROR(VLOOKUP(IF(LEFT(C101,2)="13",DATE(RIGHT(C101,4),12,31),C101),IPCA!$A:$D,4,FALSE),1)*D101))</f>
        <v/>
      </c>
      <c r="F101" s="4">
        <f ca="1">IF(C101="","",IFERROR(AVERAGEIF(E$5:$E101,"&gt;="&amp;_xlfn.PERCENTILE.EXC(E$5:$E101,0.2)),0))</f>
        <v>0</v>
      </c>
      <c r="G101" s="4">
        <f ca="1">IF(C101="","",IFERROR(AVERAGEIF($E$5:E101,"&gt;"&amp;0,$E$5:E101),0))</f>
        <v>0</v>
      </c>
    </row>
    <row r="102" spans="2:7" x14ac:dyDescent="0.3">
      <c r="B102" s="18">
        <v>98</v>
      </c>
      <c r="C102" s="21">
        <f ca="1">IFERROR(IF(LEFT(C101,2)="13",DATE(RIGHT(C101,4),12,31),IF(EOMONTH(C101,1)&gt;PREMISSAS!$C$3,"",IF(MONTH(C101)=11,"13º "&amp;YEAR(C101),EOMONTH(C101,1)))),"")</f>
        <v>40359</v>
      </c>
      <c r="D102" s="22">
        <f ca="1">VLOOKUP(C102,Preencher_Salários!$D$7:$E$656,2,FALSE)</f>
        <v>0</v>
      </c>
      <c r="E102" s="4" t="str">
        <f ca="1">IF(D102=0,"",IF(IF(ISTEXT(C102),DATE(RIGHT(C102,4),12,31),C102)&lt;PREMISSAS!$D$7,"",IFERROR(VLOOKUP(IF(LEFT(C102,2)="13",DATE(RIGHT(C102,4),12,31),C102),IPCA!$A:$D,4,FALSE),1)*D102))</f>
        <v/>
      </c>
      <c r="F102" s="4">
        <f ca="1">IF(C102="","",IFERROR(AVERAGEIF(E$5:$E102,"&gt;="&amp;_xlfn.PERCENTILE.EXC(E$5:$E102,0.2)),0))</f>
        <v>0</v>
      </c>
      <c r="G102" s="4">
        <f ca="1">IF(C102="","",IFERROR(AVERAGEIF($E$5:E102,"&gt;"&amp;0,$E$5:E102),0))</f>
        <v>0</v>
      </c>
    </row>
    <row r="103" spans="2:7" x14ac:dyDescent="0.3">
      <c r="B103" s="18">
        <v>99</v>
      </c>
      <c r="C103" s="21">
        <f ca="1">IFERROR(IF(LEFT(C102,2)="13",DATE(RIGHT(C102,4),12,31),IF(EOMONTH(C102,1)&gt;PREMISSAS!$C$3,"",IF(MONTH(C102)=11,"13º "&amp;YEAR(C102),EOMONTH(C102,1)))),"")</f>
        <v>40390</v>
      </c>
      <c r="D103" s="22">
        <f ca="1">VLOOKUP(C103,Preencher_Salários!$D$7:$E$656,2,FALSE)</f>
        <v>0</v>
      </c>
      <c r="E103" s="4" t="str">
        <f ca="1">IF(D103=0,"",IF(IF(ISTEXT(C103),DATE(RIGHT(C103,4),12,31),C103)&lt;PREMISSAS!$D$7,"",IFERROR(VLOOKUP(IF(LEFT(C103,2)="13",DATE(RIGHT(C103,4),12,31),C103),IPCA!$A:$D,4,FALSE),1)*D103))</f>
        <v/>
      </c>
      <c r="F103" s="4">
        <f ca="1">IF(C103="","",IFERROR(AVERAGEIF(E$5:$E103,"&gt;="&amp;_xlfn.PERCENTILE.EXC(E$5:$E103,0.2)),0))</f>
        <v>0</v>
      </c>
      <c r="G103" s="4">
        <f ca="1">IF(C103="","",IFERROR(AVERAGEIF($E$5:E103,"&gt;"&amp;0,$E$5:E103),0))</f>
        <v>0</v>
      </c>
    </row>
    <row r="104" spans="2:7" x14ac:dyDescent="0.3">
      <c r="B104" s="18">
        <v>100</v>
      </c>
      <c r="C104" s="21">
        <f ca="1">IFERROR(IF(LEFT(C103,2)="13",DATE(RIGHT(C103,4),12,31),IF(EOMONTH(C103,1)&gt;PREMISSAS!$C$3,"",IF(MONTH(C103)=11,"13º "&amp;YEAR(C103),EOMONTH(C103,1)))),"")</f>
        <v>40421</v>
      </c>
      <c r="D104" s="22">
        <f ca="1">VLOOKUP(C104,Preencher_Salários!$D$7:$E$656,2,FALSE)</f>
        <v>0</v>
      </c>
      <c r="E104" s="4" t="str">
        <f ca="1">IF(D104=0,"",IF(IF(ISTEXT(C104),DATE(RIGHT(C104,4),12,31),C104)&lt;PREMISSAS!$D$7,"",IFERROR(VLOOKUP(IF(LEFT(C104,2)="13",DATE(RIGHT(C104,4),12,31),C104),IPCA!$A:$D,4,FALSE),1)*D104))</f>
        <v/>
      </c>
      <c r="F104" s="4">
        <f ca="1">IF(C104="","",IFERROR(AVERAGEIF(E$5:$E104,"&gt;="&amp;_xlfn.PERCENTILE.EXC(E$5:$E104,0.2)),0))</f>
        <v>0</v>
      </c>
      <c r="G104" s="4">
        <f ca="1">IF(C104="","",IFERROR(AVERAGEIF($E$5:E104,"&gt;"&amp;0,$E$5:E104),0))</f>
        <v>0</v>
      </c>
    </row>
    <row r="105" spans="2:7" x14ac:dyDescent="0.3">
      <c r="B105" s="18">
        <v>101</v>
      </c>
      <c r="C105" s="21">
        <f ca="1">IFERROR(IF(LEFT(C104,2)="13",DATE(RIGHT(C104,4),12,31),IF(EOMONTH(C104,1)&gt;PREMISSAS!$C$3,"",IF(MONTH(C104)=11,"13º "&amp;YEAR(C104),EOMONTH(C104,1)))),"")</f>
        <v>40451</v>
      </c>
      <c r="D105" s="22">
        <f ca="1">VLOOKUP(C105,Preencher_Salários!$D$7:$E$656,2,FALSE)</f>
        <v>0</v>
      </c>
      <c r="E105" s="4" t="str">
        <f ca="1">IF(D105=0,"",IF(IF(ISTEXT(C105),DATE(RIGHT(C105,4),12,31),C105)&lt;PREMISSAS!$D$7,"",IFERROR(VLOOKUP(IF(LEFT(C105,2)="13",DATE(RIGHT(C105,4),12,31),C105),IPCA!$A:$D,4,FALSE),1)*D105))</f>
        <v/>
      </c>
      <c r="F105" s="4">
        <f ca="1">IF(C105="","",IFERROR(AVERAGEIF(E$5:$E105,"&gt;="&amp;_xlfn.PERCENTILE.EXC(E$5:$E105,0.2)),0))</f>
        <v>0</v>
      </c>
      <c r="G105" s="4">
        <f ca="1">IF(C105="","",IFERROR(AVERAGEIF($E$5:E105,"&gt;"&amp;0,$E$5:E105),0))</f>
        <v>0</v>
      </c>
    </row>
    <row r="106" spans="2:7" x14ac:dyDescent="0.3">
      <c r="B106" s="18">
        <v>102</v>
      </c>
      <c r="C106" s="21">
        <f ca="1">IFERROR(IF(LEFT(C105,2)="13",DATE(RIGHT(C105,4),12,31),IF(EOMONTH(C105,1)&gt;PREMISSAS!$C$3,"",IF(MONTH(C105)=11,"13º "&amp;YEAR(C105),EOMONTH(C105,1)))),"")</f>
        <v>40482</v>
      </c>
      <c r="D106" s="22">
        <f ca="1">VLOOKUP(C106,Preencher_Salários!$D$7:$E$656,2,FALSE)</f>
        <v>0</v>
      </c>
      <c r="E106" s="4" t="str">
        <f ca="1">IF(D106=0,"",IF(IF(ISTEXT(C106),DATE(RIGHT(C106,4),12,31),C106)&lt;PREMISSAS!$D$7,"",IFERROR(VLOOKUP(IF(LEFT(C106,2)="13",DATE(RIGHT(C106,4),12,31),C106),IPCA!$A:$D,4,FALSE),1)*D106))</f>
        <v/>
      </c>
      <c r="F106" s="4">
        <f ca="1">IF(C106="","",IFERROR(AVERAGEIF(E$5:$E106,"&gt;="&amp;_xlfn.PERCENTILE.EXC(E$5:$E106,0.2)),0))</f>
        <v>0</v>
      </c>
      <c r="G106" s="4">
        <f ca="1">IF(C106="","",IFERROR(AVERAGEIF($E$5:E106,"&gt;"&amp;0,$E$5:E106),0))</f>
        <v>0</v>
      </c>
    </row>
    <row r="107" spans="2:7" x14ac:dyDescent="0.3">
      <c r="B107" s="18">
        <v>103</v>
      </c>
      <c r="C107" s="21">
        <f ca="1">IFERROR(IF(LEFT(C106,2)="13",DATE(RIGHT(C106,4),12,31),IF(EOMONTH(C106,1)&gt;PREMISSAS!$C$3,"",IF(MONTH(C106)=11,"13º "&amp;YEAR(C106),EOMONTH(C106,1)))),"")</f>
        <v>40512</v>
      </c>
      <c r="D107" s="22">
        <f ca="1">VLOOKUP(C107,Preencher_Salários!$D$7:$E$656,2,FALSE)</f>
        <v>0</v>
      </c>
      <c r="E107" s="4" t="str">
        <f ca="1">IF(D107=0,"",IF(IF(ISTEXT(C107),DATE(RIGHT(C107,4),12,31),C107)&lt;PREMISSAS!$D$7,"",IFERROR(VLOOKUP(IF(LEFT(C107,2)="13",DATE(RIGHT(C107,4),12,31),C107),IPCA!$A:$D,4,FALSE),1)*D107))</f>
        <v/>
      </c>
      <c r="F107" s="4">
        <f ca="1">IF(C107="","",IFERROR(AVERAGEIF(E$5:$E107,"&gt;="&amp;_xlfn.PERCENTILE.EXC(E$5:$E107,0.2)),0))</f>
        <v>0</v>
      </c>
      <c r="G107" s="4">
        <f ca="1">IF(C107="","",IFERROR(AVERAGEIF($E$5:E107,"&gt;"&amp;0,$E$5:E107),0))</f>
        <v>0</v>
      </c>
    </row>
    <row r="108" spans="2:7" x14ac:dyDescent="0.3">
      <c r="B108" s="18">
        <v>104</v>
      </c>
      <c r="C108" s="21" t="str">
        <f ca="1">IFERROR(IF(LEFT(C107,2)="13",DATE(RIGHT(C107,4),12,31),IF(EOMONTH(C107,1)&gt;PREMISSAS!$C$3,"",IF(MONTH(C107)=11,"13º "&amp;YEAR(C107),EOMONTH(C107,1)))),"")</f>
        <v>13º 2010</v>
      </c>
      <c r="D108" s="22">
        <f ca="1">VLOOKUP(C108,Preencher_Salários!$D$7:$E$656,2,FALSE)</f>
        <v>0</v>
      </c>
      <c r="E108" s="4" t="str">
        <f ca="1">IF(D108=0,"",IF(IF(ISTEXT(C108),DATE(RIGHT(C108,4),12,31),C108)&lt;PREMISSAS!$D$7,"",IFERROR(VLOOKUP(IF(LEFT(C108,2)="13",DATE(RIGHT(C108,4),12,31),C108),IPCA!$A:$D,4,FALSE),1)*D108))</f>
        <v/>
      </c>
      <c r="F108" s="4">
        <f ca="1">IF(C108="","",IFERROR(AVERAGEIF(E$5:$E108,"&gt;="&amp;_xlfn.PERCENTILE.EXC(E$5:$E108,0.2)),0))</f>
        <v>0</v>
      </c>
      <c r="G108" s="4">
        <f ca="1">IF(C108="","",IFERROR(AVERAGEIF($E$5:E108,"&gt;"&amp;0,$E$5:E108),0))</f>
        <v>0</v>
      </c>
    </row>
    <row r="109" spans="2:7" x14ac:dyDescent="0.3">
      <c r="B109" s="18">
        <v>105</v>
      </c>
      <c r="C109" s="21">
        <f ca="1">IFERROR(IF(LEFT(C108,2)="13",DATE(RIGHT(C108,4),12,31),IF(EOMONTH(C108,1)&gt;PREMISSAS!$C$3,"",IF(MONTH(C108)=11,"13º "&amp;YEAR(C108),EOMONTH(C108,1)))),"")</f>
        <v>40543</v>
      </c>
      <c r="D109" s="22">
        <f ca="1">VLOOKUP(C109,Preencher_Salários!$D$7:$E$656,2,FALSE)</f>
        <v>0</v>
      </c>
      <c r="E109" s="4" t="str">
        <f ca="1">IF(D109=0,"",IF(IF(ISTEXT(C109),DATE(RIGHT(C109,4),12,31),C109)&lt;PREMISSAS!$D$7,"",IFERROR(VLOOKUP(IF(LEFT(C109,2)="13",DATE(RIGHT(C109,4),12,31),C109),IPCA!$A:$D,4,FALSE),1)*D109))</f>
        <v/>
      </c>
      <c r="F109" s="4">
        <f ca="1">IF(C109="","",IFERROR(AVERAGEIF(E$5:$E109,"&gt;="&amp;_xlfn.PERCENTILE.EXC(E$5:$E109,0.2)),0))</f>
        <v>0</v>
      </c>
      <c r="G109" s="4">
        <f ca="1">IF(C109="","",IFERROR(AVERAGEIF($E$5:E109,"&gt;"&amp;0,$E$5:E109),0))</f>
        <v>0</v>
      </c>
    </row>
    <row r="110" spans="2:7" x14ac:dyDescent="0.3">
      <c r="B110" s="18">
        <v>106</v>
      </c>
      <c r="C110" s="21">
        <f ca="1">IFERROR(IF(LEFT(C109,2)="13",DATE(RIGHT(C109,4),12,31),IF(EOMONTH(C109,1)&gt;PREMISSAS!$C$3,"",IF(MONTH(C109)=11,"13º "&amp;YEAR(C109),EOMONTH(C109,1)))),"")</f>
        <v>40574</v>
      </c>
      <c r="D110" s="22">
        <f ca="1">VLOOKUP(C110,Preencher_Salários!$D$7:$E$656,2,FALSE)</f>
        <v>0</v>
      </c>
      <c r="E110" s="4" t="str">
        <f ca="1">IF(D110=0,"",IF(IF(ISTEXT(C110),DATE(RIGHT(C110,4),12,31),C110)&lt;PREMISSAS!$D$7,"",IFERROR(VLOOKUP(IF(LEFT(C110,2)="13",DATE(RIGHT(C110,4),12,31),C110),IPCA!$A:$D,4,FALSE),1)*D110))</f>
        <v/>
      </c>
      <c r="F110" s="4">
        <f ca="1">IF(C110="","",IFERROR(AVERAGEIF(E$5:$E110,"&gt;="&amp;_xlfn.PERCENTILE.EXC(E$5:$E110,0.2)),0))</f>
        <v>0</v>
      </c>
      <c r="G110" s="4">
        <f ca="1">IF(C110="","",IFERROR(AVERAGEIF($E$5:E110,"&gt;"&amp;0,$E$5:E110),0))</f>
        <v>0</v>
      </c>
    </row>
    <row r="111" spans="2:7" x14ac:dyDescent="0.3">
      <c r="B111" s="18">
        <v>107</v>
      </c>
      <c r="C111" s="21">
        <f ca="1">IFERROR(IF(LEFT(C110,2)="13",DATE(RIGHT(C110,4),12,31),IF(EOMONTH(C110,1)&gt;PREMISSAS!$C$3,"",IF(MONTH(C110)=11,"13º "&amp;YEAR(C110),EOMONTH(C110,1)))),"")</f>
        <v>40602</v>
      </c>
      <c r="D111" s="22">
        <f ca="1">VLOOKUP(C111,Preencher_Salários!$D$7:$E$656,2,FALSE)</f>
        <v>0</v>
      </c>
      <c r="E111" s="4" t="str">
        <f ca="1">IF(D111=0,"",IF(IF(ISTEXT(C111),DATE(RIGHT(C111,4),12,31),C111)&lt;PREMISSAS!$D$7,"",IFERROR(VLOOKUP(IF(LEFT(C111,2)="13",DATE(RIGHT(C111,4),12,31),C111),IPCA!$A:$D,4,FALSE),1)*D111))</f>
        <v/>
      </c>
      <c r="F111" s="4">
        <f ca="1">IF(C111="","",IFERROR(AVERAGEIF(E$5:$E111,"&gt;="&amp;_xlfn.PERCENTILE.EXC(E$5:$E111,0.2)),0))</f>
        <v>0</v>
      </c>
      <c r="G111" s="4">
        <f ca="1">IF(C111="","",IFERROR(AVERAGEIF($E$5:E111,"&gt;"&amp;0,$E$5:E111),0))</f>
        <v>0</v>
      </c>
    </row>
    <row r="112" spans="2:7" x14ac:dyDescent="0.3">
      <c r="B112" s="18">
        <v>108</v>
      </c>
      <c r="C112" s="21">
        <f ca="1">IFERROR(IF(LEFT(C111,2)="13",DATE(RIGHT(C111,4),12,31),IF(EOMONTH(C111,1)&gt;PREMISSAS!$C$3,"",IF(MONTH(C111)=11,"13º "&amp;YEAR(C111),EOMONTH(C111,1)))),"")</f>
        <v>40633</v>
      </c>
      <c r="D112" s="22">
        <f ca="1">VLOOKUP(C112,Preencher_Salários!$D$7:$E$656,2,FALSE)</f>
        <v>0</v>
      </c>
      <c r="E112" s="4" t="str">
        <f ca="1">IF(D112=0,"",IF(IF(ISTEXT(C112),DATE(RIGHT(C112,4),12,31),C112)&lt;PREMISSAS!$D$7,"",IFERROR(VLOOKUP(IF(LEFT(C112,2)="13",DATE(RIGHT(C112,4),12,31),C112),IPCA!$A:$D,4,FALSE),1)*D112))</f>
        <v/>
      </c>
      <c r="F112" s="4">
        <f ca="1">IF(C112="","",IFERROR(AVERAGEIF(E$5:$E112,"&gt;="&amp;_xlfn.PERCENTILE.EXC(E$5:$E112,0.2)),0))</f>
        <v>0</v>
      </c>
      <c r="G112" s="4">
        <f ca="1">IF(C112="","",IFERROR(AVERAGEIF($E$5:E112,"&gt;"&amp;0,$E$5:E112),0))</f>
        <v>0</v>
      </c>
    </row>
    <row r="113" spans="2:7" x14ac:dyDescent="0.3">
      <c r="B113" s="18">
        <v>109</v>
      </c>
      <c r="C113" s="21">
        <f ca="1">IFERROR(IF(LEFT(C112,2)="13",DATE(RIGHT(C112,4),12,31),IF(EOMONTH(C112,1)&gt;PREMISSAS!$C$3,"",IF(MONTH(C112)=11,"13º "&amp;YEAR(C112),EOMONTH(C112,1)))),"")</f>
        <v>40663</v>
      </c>
      <c r="D113" s="22">
        <f ca="1">VLOOKUP(C113,Preencher_Salários!$D$7:$E$656,2,FALSE)</f>
        <v>0</v>
      </c>
      <c r="E113" s="4" t="str">
        <f ca="1">IF(D113=0,"",IF(IF(ISTEXT(C113),DATE(RIGHT(C113,4),12,31),C113)&lt;PREMISSAS!$D$7,"",IFERROR(VLOOKUP(IF(LEFT(C113,2)="13",DATE(RIGHT(C113,4),12,31),C113),IPCA!$A:$D,4,FALSE),1)*D113))</f>
        <v/>
      </c>
      <c r="F113" s="4">
        <f ca="1">IF(C113="","",IFERROR(AVERAGEIF(E$5:$E113,"&gt;="&amp;_xlfn.PERCENTILE.EXC(E$5:$E113,0.2)),0))</f>
        <v>0</v>
      </c>
      <c r="G113" s="4">
        <f ca="1">IF(C113="","",IFERROR(AVERAGEIF($E$5:E113,"&gt;"&amp;0,$E$5:E113),0))</f>
        <v>0</v>
      </c>
    </row>
    <row r="114" spans="2:7" x14ac:dyDescent="0.3">
      <c r="B114" s="18">
        <v>110</v>
      </c>
      <c r="C114" s="21">
        <f ca="1">IFERROR(IF(LEFT(C113,2)="13",DATE(RIGHT(C113,4),12,31),IF(EOMONTH(C113,1)&gt;PREMISSAS!$C$3,"",IF(MONTH(C113)=11,"13º "&amp;YEAR(C113),EOMONTH(C113,1)))),"")</f>
        <v>40694</v>
      </c>
      <c r="D114" s="22">
        <f ca="1">VLOOKUP(C114,Preencher_Salários!$D$7:$E$656,2,FALSE)</f>
        <v>0</v>
      </c>
      <c r="E114" s="4" t="str">
        <f ca="1">IF(D114=0,"",IF(IF(ISTEXT(C114),DATE(RIGHT(C114,4),12,31),C114)&lt;PREMISSAS!$D$7,"",IFERROR(VLOOKUP(IF(LEFT(C114,2)="13",DATE(RIGHT(C114,4),12,31),C114),IPCA!$A:$D,4,FALSE),1)*D114))</f>
        <v/>
      </c>
      <c r="F114" s="4">
        <f ca="1">IF(C114="","",IFERROR(AVERAGEIF(E$5:$E114,"&gt;="&amp;_xlfn.PERCENTILE.EXC(E$5:$E114,0.2)),0))</f>
        <v>0</v>
      </c>
      <c r="G114" s="4">
        <f ca="1">IF(C114="","",IFERROR(AVERAGEIF($E$5:E114,"&gt;"&amp;0,$E$5:E114),0))</f>
        <v>0</v>
      </c>
    </row>
    <row r="115" spans="2:7" x14ac:dyDescent="0.3">
      <c r="B115" s="18">
        <v>111</v>
      </c>
      <c r="C115" s="21">
        <f ca="1">IFERROR(IF(LEFT(C114,2)="13",DATE(RIGHT(C114,4),12,31),IF(EOMONTH(C114,1)&gt;PREMISSAS!$C$3,"",IF(MONTH(C114)=11,"13º "&amp;YEAR(C114),EOMONTH(C114,1)))),"")</f>
        <v>40724</v>
      </c>
      <c r="D115" s="22">
        <f ca="1">VLOOKUP(C115,Preencher_Salários!$D$7:$E$656,2,FALSE)</f>
        <v>0</v>
      </c>
      <c r="E115" s="4" t="str">
        <f ca="1">IF(D115=0,"",IF(IF(ISTEXT(C115),DATE(RIGHT(C115,4),12,31),C115)&lt;PREMISSAS!$D$7,"",IFERROR(VLOOKUP(IF(LEFT(C115,2)="13",DATE(RIGHT(C115,4),12,31),C115),IPCA!$A:$D,4,FALSE),1)*D115))</f>
        <v/>
      </c>
      <c r="F115" s="4">
        <f ca="1">IF(C115="","",IFERROR(AVERAGEIF(E$5:$E115,"&gt;="&amp;_xlfn.PERCENTILE.EXC(E$5:$E115,0.2)),0))</f>
        <v>0</v>
      </c>
      <c r="G115" s="4">
        <f ca="1">IF(C115="","",IFERROR(AVERAGEIF($E$5:E115,"&gt;"&amp;0,$E$5:E115),0))</f>
        <v>0</v>
      </c>
    </row>
    <row r="116" spans="2:7" x14ac:dyDescent="0.3">
      <c r="B116" s="18">
        <v>112</v>
      </c>
      <c r="C116" s="21">
        <f ca="1">IFERROR(IF(LEFT(C115,2)="13",DATE(RIGHT(C115,4),12,31),IF(EOMONTH(C115,1)&gt;PREMISSAS!$C$3,"",IF(MONTH(C115)=11,"13º "&amp;YEAR(C115),EOMONTH(C115,1)))),"")</f>
        <v>40755</v>
      </c>
      <c r="D116" s="22">
        <f ca="1">VLOOKUP(C116,Preencher_Salários!$D$7:$E$656,2,FALSE)</f>
        <v>0</v>
      </c>
      <c r="E116" s="4" t="str">
        <f ca="1">IF(D116=0,"",IF(IF(ISTEXT(C116),DATE(RIGHT(C116,4),12,31),C116)&lt;PREMISSAS!$D$7,"",IFERROR(VLOOKUP(IF(LEFT(C116,2)="13",DATE(RIGHT(C116,4),12,31),C116),IPCA!$A:$D,4,FALSE),1)*D116))</f>
        <v/>
      </c>
      <c r="F116" s="4">
        <f ca="1">IF(C116="","",IFERROR(AVERAGEIF(E$5:$E116,"&gt;="&amp;_xlfn.PERCENTILE.EXC(E$5:$E116,0.2)),0))</f>
        <v>0</v>
      </c>
      <c r="G116" s="4">
        <f ca="1">IF(C116="","",IFERROR(AVERAGEIF($E$5:E116,"&gt;"&amp;0,$E$5:E116),0))</f>
        <v>0</v>
      </c>
    </row>
    <row r="117" spans="2:7" x14ac:dyDescent="0.3">
      <c r="B117" s="18">
        <v>113</v>
      </c>
      <c r="C117" s="21">
        <f ca="1">IFERROR(IF(LEFT(C116,2)="13",DATE(RIGHT(C116,4),12,31),IF(EOMONTH(C116,1)&gt;PREMISSAS!$C$3,"",IF(MONTH(C116)=11,"13º "&amp;YEAR(C116),EOMONTH(C116,1)))),"")</f>
        <v>40786</v>
      </c>
      <c r="D117" s="22">
        <f ca="1">VLOOKUP(C117,Preencher_Salários!$D$7:$E$656,2,FALSE)</f>
        <v>0</v>
      </c>
      <c r="E117" s="4" t="str">
        <f ca="1">IF(D117=0,"",IF(IF(ISTEXT(C117),DATE(RIGHT(C117,4),12,31),C117)&lt;PREMISSAS!$D$7,"",IFERROR(VLOOKUP(IF(LEFT(C117,2)="13",DATE(RIGHT(C117,4),12,31),C117),IPCA!$A:$D,4,FALSE),1)*D117))</f>
        <v/>
      </c>
      <c r="F117" s="4">
        <f ca="1">IF(C117="","",IFERROR(AVERAGEIF(E$5:$E117,"&gt;="&amp;_xlfn.PERCENTILE.EXC(E$5:$E117,0.2)),0))</f>
        <v>0</v>
      </c>
      <c r="G117" s="4">
        <f ca="1">IF(C117="","",IFERROR(AVERAGEIF($E$5:E117,"&gt;"&amp;0,$E$5:E117),0))</f>
        <v>0</v>
      </c>
    </row>
    <row r="118" spans="2:7" x14ac:dyDescent="0.3">
      <c r="B118" s="18">
        <v>114</v>
      </c>
      <c r="C118" s="21">
        <f ca="1">IFERROR(IF(LEFT(C117,2)="13",DATE(RIGHT(C117,4),12,31),IF(EOMONTH(C117,1)&gt;PREMISSAS!$C$3,"",IF(MONTH(C117)=11,"13º "&amp;YEAR(C117),EOMONTH(C117,1)))),"")</f>
        <v>40816</v>
      </c>
      <c r="D118" s="22">
        <f ca="1">VLOOKUP(C118,Preencher_Salários!$D$7:$E$656,2,FALSE)</f>
        <v>0</v>
      </c>
      <c r="E118" s="4" t="str">
        <f ca="1">IF(D118=0,"",IF(IF(ISTEXT(C118),DATE(RIGHT(C118,4),12,31),C118)&lt;PREMISSAS!$D$7,"",IFERROR(VLOOKUP(IF(LEFT(C118,2)="13",DATE(RIGHT(C118,4),12,31),C118),IPCA!$A:$D,4,FALSE),1)*D118))</f>
        <v/>
      </c>
      <c r="F118" s="4">
        <f ca="1">IF(C118="","",IFERROR(AVERAGEIF(E$5:$E118,"&gt;="&amp;_xlfn.PERCENTILE.EXC(E$5:$E118,0.2)),0))</f>
        <v>0</v>
      </c>
      <c r="G118" s="4">
        <f ca="1">IF(C118="","",IFERROR(AVERAGEIF($E$5:E118,"&gt;"&amp;0,$E$5:E118),0))</f>
        <v>0</v>
      </c>
    </row>
    <row r="119" spans="2:7" x14ac:dyDescent="0.3">
      <c r="B119" s="18">
        <v>115</v>
      </c>
      <c r="C119" s="21">
        <f ca="1">IFERROR(IF(LEFT(C118,2)="13",DATE(RIGHT(C118,4),12,31),IF(EOMONTH(C118,1)&gt;PREMISSAS!$C$3,"",IF(MONTH(C118)=11,"13º "&amp;YEAR(C118),EOMONTH(C118,1)))),"")</f>
        <v>40847</v>
      </c>
      <c r="D119" s="22">
        <f ca="1">VLOOKUP(C119,Preencher_Salários!$D$7:$E$656,2,FALSE)</f>
        <v>0</v>
      </c>
      <c r="E119" s="4" t="str">
        <f ca="1">IF(D119=0,"",IF(IF(ISTEXT(C119),DATE(RIGHT(C119,4),12,31),C119)&lt;PREMISSAS!$D$7,"",IFERROR(VLOOKUP(IF(LEFT(C119,2)="13",DATE(RIGHT(C119,4),12,31),C119),IPCA!$A:$D,4,FALSE),1)*D119))</f>
        <v/>
      </c>
      <c r="F119" s="4">
        <f ca="1">IF(C119="","",IFERROR(AVERAGEIF(E$5:$E119,"&gt;="&amp;_xlfn.PERCENTILE.EXC(E$5:$E119,0.2)),0))</f>
        <v>0</v>
      </c>
      <c r="G119" s="4">
        <f ca="1">IF(C119="","",IFERROR(AVERAGEIF($E$5:E119,"&gt;"&amp;0,$E$5:E119),0))</f>
        <v>0</v>
      </c>
    </row>
    <row r="120" spans="2:7" x14ac:dyDescent="0.3">
      <c r="B120" s="18">
        <v>116</v>
      </c>
      <c r="C120" s="21">
        <f ca="1">IFERROR(IF(LEFT(C119,2)="13",DATE(RIGHT(C119,4),12,31),IF(EOMONTH(C119,1)&gt;PREMISSAS!$C$3,"",IF(MONTH(C119)=11,"13º "&amp;YEAR(C119),EOMONTH(C119,1)))),"")</f>
        <v>40877</v>
      </c>
      <c r="D120" s="22">
        <f ca="1">VLOOKUP(C120,Preencher_Salários!$D$7:$E$656,2,FALSE)</f>
        <v>0</v>
      </c>
      <c r="E120" s="4" t="str">
        <f ca="1">IF(D120=0,"",IF(IF(ISTEXT(C120),DATE(RIGHT(C120,4),12,31),C120)&lt;PREMISSAS!$D$7,"",IFERROR(VLOOKUP(IF(LEFT(C120,2)="13",DATE(RIGHT(C120,4),12,31),C120),IPCA!$A:$D,4,FALSE),1)*D120))</f>
        <v/>
      </c>
      <c r="F120" s="4">
        <f ca="1">IF(C120="","",IFERROR(AVERAGEIF(E$5:$E120,"&gt;="&amp;_xlfn.PERCENTILE.EXC(E$5:$E120,0.2)),0))</f>
        <v>0</v>
      </c>
      <c r="G120" s="4">
        <f ca="1">IF(C120="","",IFERROR(AVERAGEIF($E$5:E120,"&gt;"&amp;0,$E$5:E120),0))</f>
        <v>0</v>
      </c>
    </row>
    <row r="121" spans="2:7" x14ac:dyDescent="0.3">
      <c r="B121" s="18">
        <v>117</v>
      </c>
      <c r="C121" s="21" t="str">
        <f ca="1">IFERROR(IF(LEFT(C120,2)="13",DATE(RIGHT(C120,4),12,31),IF(EOMONTH(C120,1)&gt;PREMISSAS!$C$3,"",IF(MONTH(C120)=11,"13º "&amp;YEAR(C120),EOMONTH(C120,1)))),"")</f>
        <v>13º 2011</v>
      </c>
      <c r="D121" s="22">
        <f ca="1">VLOOKUP(C121,Preencher_Salários!$D$7:$E$656,2,FALSE)</f>
        <v>0</v>
      </c>
      <c r="E121" s="4" t="str">
        <f ca="1">IF(D121=0,"",IF(IF(ISTEXT(C121),DATE(RIGHT(C121,4),12,31),C121)&lt;PREMISSAS!$D$7,"",IFERROR(VLOOKUP(IF(LEFT(C121,2)="13",DATE(RIGHT(C121,4),12,31),C121),IPCA!$A:$D,4,FALSE),1)*D121))</f>
        <v/>
      </c>
      <c r="F121" s="4">
        <f ca="1">IF(C121="","",IFERROR(AVERAGEIF(E$5:$E121,"&gt;="&amp;_xlfn.PERCENTILE.EXC(E$5:$E121,0.2)),0))</f>
        <v>0</v>
      </c>
      <c r="G121" s="4">
        <f ca="1">IF(C121="","",IFERROR(AVERAGEIF($E$5:E121,"&gt;"&amp;0,$E$5:E121),0))</f>
        <v>0</v>
      </c>
    </row>
    <row r="122" spans="2:7" x14ac:dyDescent="0.3">
      <c r="B122" s="18">
        <v>118</v>
      </c>
      <c r="C122" s="21">
        <f ca="1">IFERROR(IF(LEFT(C121,2)="13",DATE(RIGHT(C121,4),12,31),IF(EOMONTH(C121,1)&gt;PREMISSAS!$C$3,"",IF(MONTH(C121)=11,"13º "&amp;YEAR(C121),EOMONTH(C121,1)))),"")</f>
        <v>40908</v>
      </c>
      <c r="D122" s="22">
        <f ca="1">VLOOKUP(C122,Preencher_Salários!$D$7:$E$656,2,FALSE)</f>
        <v>0</v>
      </c>
      <c r="E122" s="4" t="str">
        <f ca="1">IF(D122=0,"",IF(IF(ISTEXT(C122),DATE(RIGHT(C122,4),12,31),C122)&lt;PREMISSAS!$D$7,"",IFERROR(VLOOKUP(IF(LEFT(C122,2)="13",DATE(RIGHT(C122,4),12,31),C122),IPCA!$A:$D,4,FALSE),1)*D122))</f>
        <v/>
      </c>
      <c r="F122" s="4">
        <f ca="1">IF(C122="","",IFERROR(AVERAGEIF(E$5:$E122,"&gt;="&amp;_xlfn.PERCENTILE.EXC(E$5:$E122,0.2)),0))</f>
        <v>0</v>
      </c>
      <c r="G122" s="4">
        <f ca="1">IF(C122="","",IFERROR(AVERAGEIF($E$5:E122,"&gt;"&amp;0,$E$5:E122),0))</f>
        <v>0</v>
      </c>
    </row>
    <row r="123" spans="2:7" x14ac:dyDescent="0.3">
      <c r="B123" s="18">
        <v>119</v>
      </c>
      <c r="C123" s="21">
        <f ca="1">IFERROR(IF(LEFT(C122,2)="13",DATE(RIGHT(C122,4),12,31),IF(EOMONTH(C122,1)&gt;PREMISSAS!$C$3,"",IF(MONTH(C122)=11,"13º "&amp;YEAR(C122),EOMONTH(C122,1)))),"")</f>
        <v>40939</v>
      </c>
      <c r="D123" s="22">
        <f ca="1">VLOOKUP(C123,Preencher_Salários!$D$7:$E$656,2,FALSE)</f>
        <v>0</v>
      </c>
      <c r="E123" s="4" t="str">
        <f ca="1">IF(D123=0,"",IF(IF(ISTEXT(C123),DATE(RIGHT(C123,4),12,31),C123)&lt;PREMISSAS!$D$7,"",IFERROR(VLOOKUP(IF(LEFT(C123,2)="13",DATE(RIGHT(C123,4),12,31),C123),IPCA!$A:$D,4,FALSE),1)*D123))</f>
        <v/>
      </c>
      <c r="F123" s="4">
        <f ca="1">IF(C123="","",IFERROR(AVERAGEIF(E$5:$E123,"&gt;="&amp;_xlfn.PERCENTILE.EXC(E$5:$E123,0.2)),0))</f>
        <v>0</v>
      </c>
      <c r="G123" s="4">
        <f ca="1">IF(C123="","",IFERROR(AVERAGEIF($E$5:E123,"&gt;"&amp;0,$E$5:E123),0))</f>
        <v>0</v>
      </c>
    </row>
    <row r="124" spans="2:7" x14ac:dyDescent="0.3">
      <c r="B124" s="18">
        <v>120</v>
      </c>
      <c r="C124" s="21">
        <f ca="1">IFERROR(IF(LEFT(C123,2)="13",DATE(RIGHT(C123,4),12,31),IF(EOMONTH(C123,1)&gt;PREMISSAS!$C$3,"",IF(MONTH(C123)=11,"13º "&amp;YEAR(C123),EOMONTH(C123,1)))),"")</f>
        <v>40968</v>
      </c>
      <c r="D124" s="22">
        <f ca="1">VLOOKUP(C124,Preencher_Salários!$D$7:$E$656,2,FALSE)</f>
        <v>0</v>
      </c>
      <c r="E124" s="4" t="str">
        <f ca="1">IF(D124=0,"",IF(IF(ISTEXT(C124),DATE(RIGHT(C124,4),12,31),C124)&lt;PREMISSAS!$D$7,"",IFERROR(VLOOKUP(IF(LEFT(C124,2)="13",DATE(RIGHT(C124,4),12,31),C124),IPCA!$A:$D,4,FALSE),1)*D124))</f>
        <v/>
      </c>
      <c r="F124" s="4">
        <f ca="1">IF(C124="","",IFERROR(AVERAGEIF(E$5:$E124,"&gt;="&amp;_xlfn.PERCENTILE.EXC(E$5:$E124,0.2)),0))</f>
        <v>0</v>
      </c>
      <c r="G124" s="4">
        <f ca="1">IF(C124="","",IFERROR(AVERAGEIF($E$5:E124,"&gt;"&amp;0,$E$5:E124),0))</f>
        <v>0</v>
      </c>
    </row>
    <row r="125" spans="2:7" x14ac:dyDescent="0.3">
      <c r="B125" s="18">
        <v>121</v>
      </c>
      <c r="C125" s="21">
        <f ca="1">IFERROR(IF(LEFT(C124,2)="13",DATE(RIGHT(C124,4),12,31),IF(EOMONTH(C124,1)&gt;PREMISSAS!$C$3,"",IF(MONTH(C124)=11,"13º "&amp;YEAR(C124),EOMONTH(C124,1)))),"")</f>
        <v>40999</v>
      </c>
      <c r="D125" s="22">
        <f ca="1">VLOOKUP(C125,Preencher_Salários!$D$7:$E$656,2,FALSE)</f>
        <v>0</v>
      </c>
      <c r="E125" s="4" t="str">
        <f ca="1">IF(D125=0,"",IF(IF(ISTEXT(C125),DATE(RIGHT(C125,4),12,31),C125)&lt;PREMISSAS!$D$7,"",IFERROR(VLOOKUP(IF(LEFT(C125,2)="13",DATE(RIGHT(C125,4),12,31),C125),IPCA!$A:$D,4,FALSE),1)*D125))</f>
        <v/>
      </c>
      <c r="F125" s="4">
        <f ca="1">IF(C125="","",IFERROR(AVERAGEIF(E$5:$E125,"&gt;="&amp;_xlfn.PERCENTILE.EXC(E$5:$E125,0.2)),0))</f>
        <v>0</v>
      </c>
      <c r="G125" s="4">
        <f ca="1">IF(C125="","",IFERROR(AVERAGEIF($E$5:E125,"&gt;"&amp;0,$E$5:E125),0))</f>
        <v>0</v>
      </c>
    </row>
    <row r="126" spans="2:7" x14ac:dyDescent="0.3">
      <c r="B126" s="18">
        <v>122</v>
      </c>
      <c r="C126" s="21">
        <f ca="1">IFERROR(IF(LEFT(C125,2)="13",DATE(RIGHT(C125,4),12,31),IF(EOMONTH(C125,1)&gt;PREMISSAS!$C$3,"",IF(MONTH(C125)=11,"13º "&amp;YEAR(C125),EOMONTH(C125,1)))),"")</f>
        <v>41029</v>
      </c>
      <c r="D126" s="22">
        <f ca="1">VLOOKUP(C126,Preencher_Salários!$D$7:$E$656,2,FALSE)</f>
        <v>0</v>
      </c>
      <c r="E126" s="4" t="str">
        <f ca="1">IF(D126=0,"",IF(IF(ISTEXT(C126),DATE(RIGHT(C126,4),12,31),C126)&lt;PREMISSAS!$D$7,"",IFERROR(VLOOKUP(IF(LEFT(C126,2)="13",DATE(RIGHT(C126,4),12,31),C126),IPCA!$A:$D,4,FALSE),1)*D126))</f>
        <v/>
      </c>
      <c r="F126" s="4">
        <f ca="1">IF(C126="","",IFERROR(AVERAGEIF(E$5:$E126,"&gt;="&amp;_xlfn.PERCENTILE.EXC(E$5:$E126,0.2)),0))</f>
        <v>0</v>
      </c>
      <c r="G126" s="4">
        <f ca="1">IF(C126="","",IFERROR(AVERAGEIF($E$5:E126,"&gt;"&amp;0,$E$5:E126),0))</f>
        <v>0</v>
      </c>
    </row>
    <row r="127" spans="2:7" x14ac:dyDescent="0.3">
      <c r="B127" s="18">
        <v>123</v>
      </c>
      <c r="C127" s="21">
        <f ca="1">IFERROR(IF(LEFT(C126,2)="13",DATE(RIGHT(C126,4),12,31),IF(EOMONTH(C126,1)&gt;PREMISSAS!$C$3,"",IF(MONTH(C126)=11,"13º "&amp;YEAR(C126),EOMONTH(C126,1)))),"")</f>
        <v>41060</v>
      </c>
      <c r="D127" s="22">
        <f ca="1">VLOOKUP(C127,Preencher_Salários!$D$7:$E$656,2,FALSE)</f>
        <v>0</v>
      </c>
      <c r="E127" s="4" t="str">
        <f ca="1">IF(D127=0,"",IF(IF(ISTEXT(C127),DATE(RIGHT(C127,4),12,31),C127)&lt;PREMISSAS!$D$7,"",IFERROR(VLOOKUP(IF(LEFT(C127,2)="13",DATE(RIGHT(C127,4),12,31),C127),IPCA!$A:$D,4,FALSE),1)*D127))</f>
        <v/>
      </c>
      <c r="F127" s="4">
        <f ca="1">IF(C127="","",IFERROR(AVERAGEIF(E$5:$E127,"&gt;="&amp;_xlfn.PERCENTILE.EXC(E$5:$E127,0.2)),0))</f>
        <v>0</v>
      </c>
      <c r="G127" s="4">
        <f ca="1">IF(C127="","",IFERROR(AVERAGEIF($E$5:E127,"&gt;"&amp;0,$E$5:E127),0))</f>
        <v>0</v>
      </c>
    </row>
    <row r="128" spans="2:7" x14ac:dyDescent="0.3">
      <c r="B128" s="18">
        <v>124</v>
      </c>
      <c r="C128" s="21">
        <f ca="1">IFERROR(IF(LEFT(C127,2)="13",DATE(RIGHT(C127,4),12,31),IF(EOMONTH(C127,1)&gt;PREMISSAS!$C$3,"",IF(MONTH(C127)=11,"13º "&amp;YEAR(C127),EOMONTH(C127,1)))),"")</f>
        <v>41090</v>
      </c>
      <c r="D128" s="22">
        <f ca="1">VLOOKUP(C128,Preencher_Salários!$D$7:$E$656,2,FALSE)</f>
        <v>0</v>
      </c>
      <c r="E128" s="4" t="str">
        <f ca="1">IF(D128=0,"",IF(IF(ISTEXT(C128),DATE(RIGHT(C128,4),12,31),C128)&lt;PREMISSAS!$D$7,"",IFERROR(VLOOKUP(IF(LEFT(C128,2)="13",DATE(RIGHT(C128,4),12,31),C128),IPCA!$A:$D,4,FALSE),1)*D128))</f>
        <v/>
      </c>
      <c r="F128" s="4">
        <f ca="1">IF(C128="","",IFERROR(AVERAGEIF(E$5:$E128,"&gt;="&amp;_xlfn.PERCENTILE.EXC(E$5:$E128,0.2)),0))</f>
        <v>0</v>
      </c>
      <c r="G128" s="4">
        <f ca="1">IF(C128="","",IFERROR(AVERAGEIF($E$5:E128,"&gt;"&amp;0,$E$5:E128),0))</f>
        <v>0</v>
      </c>
    </row>
    <row r="129" spans="2:7" x14ac:dyDescent="0.3">
      <c r="B129" s="18">
        <v>125</v>
      </c>
      <c r="C129" s="21">
        <f ca="1">IFERROR(IF(LEFT(C128,2)="13",DATE(RIGHT(C128,4),12,31),IF(EOMONTH(C128,1)&gt;PREMISSAS!$C$3,"",IF(MONTH(C128)=11,"13º "&amp;YEAR(C128),EOMONTH(C128,1)))),"")</f>
        <v>41121</v>
      </c>
      <c r="D129" s="22">
        <f ca="1">VLOOKUP(C129,Preencher_Salários!$D$7:$E$656,2,FALSE)</f>
        <v>0</v>
      </c>
      <c r="E129" s="4" t="str">
        <f ca="1">IF(D129=0,"",IF(IF(ISTEXT(C129),DATE(RIGHT(C129,4),12,31),C129)&lt;PREMISSAS!$D$7,"",IFERROR(VLOOKUP(IF(LEFT(C129,2)="13",DATE(RIGHT(C129,4),12,31),C129),IPCA!$A:$D,4,FALSE),1)*D129))</f>
        <v/>
      </c>
      <c r="F129" s="4">
        <f ca="1">IF(C129="","",IFERROR(AVERAGEIF(E$5:$E129,"&gt;="&amp;_xlfn.PERCENTILE.EXC(E$5:$E129,0.2)),0))</f>
        <v>0</v>
      </c>
      <c r="G129" s="4">
        <f ca="1">IF(C129="","",IFERROR(AVERAGEIF($E$5:E129,"&gt;"&amp;0,$E$5:E129),0))</f>
        <v>0</v>
      </c>
    </row>
    <row r="130" spans="2:7" x14ac:dyDescent="0.3">
      <c r="B130" s="18">
        <v>126</v>
      </c>
      <c r="C130" s="21">
        <f ca="1">IFERROR(IF(LEFT(C129,2)="13",DATE(RIGHT(C129,4),12,31),IF(EOMONTH(C129,1)&gt;PREMISSAS!$C$3,"",IF(MONTH(C129)=11,"13º "&amp;YEAR(C129),EOMONTH(C129,1)))),"")</f>
        <v>41152</v>
      </c>
      <c r="D130" s="22">
        <f ca="1">VLOOKUP(C130,Preencher_Salários!$D$7:$E$656,2,FALSE)</f>
        <v>0</v>
      </c>
      <c r="E130" s="4" t="str">
        <f ca="1">IF(D130=0,"",IF(IF(ISTEXT(C130),DATE(RIGHT(C130,4),12,31),C130)&lt;PREMISSAS!$D$7,"",IFERROR(VLOOKUP(IF(LEFT(C130,2)="13",DATE(RIGHT(C130,4),12,31),C130),IPCA!$A:$D,4,FALSE),1)*D130))</f>
        <v/>
      </c>
      <c r="F130" s="4">
        <f ca="1">IF(C130="","",IFERROR(AVERAGEIF(E$5:$E130,"&gt;="&amp;_xlfn.PERCENTILE.EXC(E$5:$E130,0.2)),0))</f>
        <v>0</v>
      </c>
      <c r="G130" s="4">
        <f ca="1">IF(C130="","",IFERROR(AVERAGEIF($E$5:E130,"&gt;"&amp;0,$E$5:E130),0))</f>
        <v>0</v>
      </c>
    </row>
    <row r="131" spans="2:7" x14ac:dyDescent="0.3">
      <c r="B131" s="18">
        <v>127</v>
      </c>
      <c r="C131" s="21">
        <f ca="1">IFERROR(IF(LEFT(C130,2)="13",DATE(RIGHT(C130,4),12,31),IF(EOMONTH(C130,1)&gt;PREMISSAS!$C$3,"",IF(MONTH(C130)=11,"13º "&amp;YEAR(C130),EOMONTH(C130,1)))),"")</f>
        <v>41182</v>
      </c>
      <c r="D131" s="22">
        <f ca="1">VLOOKUP(C131,Preencher_Salários!$D$7:$E$656,2,FALSE)</f>
        <v>0</v>
      </c>
      <c r="E131" s="4" t="str">
        <f ca="1">IF(D131=0,"",IF(IF(ISTEXT(C131),DATE(RIGHT(C131,4),12,31),C131)&lt;PREMISSAS!$D$7,"",IFERROR(VLOOKUP(IF(LEFT(C131,2)="13",DATE(RIGHT(C131,4),12,31),C131),IPCA!$A:$D,4,FALSE),1)*D131))</f>
        <v/>
      </c>
      <c r="F131" s="4">
        <f ca="1">IF(C131="","",IFERROR(AVERAGEIF(E$5:$E131,"&gt;="&amp;_xlfn.PERCENTILE.EXC(E$5:$E131,0.2)),0))</f>
        <v>0</v>
      </c>
      <c r="G131" s="4">
        <f ca="1">IF(C131="","",IFERROR(AVERAGEIF($E$5:E131,"&gt;"&amp;0,$E$5:E131),0))</f>
        <v>0</v>
      </c>
    </row>
    <row r="132" spans="2:7" x14ac:dyDescent="0.3">
      <c r="B132" s="18">
        <v>128</v>
      </c>
      <c r="C132" s="21">
        <f ca="1">IFERROR(IF(LEFT(C131,2)="13",DATE(RIGHT(C131,4),12,31),IF(EOMONTH(C131,1)&gt;PREMISSAS!$C$3,"",IF(MONTH(C131)=11,"13º "&amp;YEAR(C131),EOMONTH(C131,1)))),"")</f>
        <v>41213</v>
      </c>
      <c r="D132" s="22">
        <f ca="1">VLOOKUP(C132,Preencher_Salários!$D$7:$E$656,2,FALSE)</f>
        <v>0</v>
      </c>
      <c r="E132" s="4" t="str">
        <f ca="1">IF(D132=0,"",IF(IF(ISTEXT(C132),DATE(RIGHT(C132,4),12,31),C132)&lt;PREMISSAS!$D$7,"",IFERROR(VLOOKUP(IF(LEFT(C132,2)="13",DATE(RIGHT(C132,4),12,31),C132),IPCA!$A:$D,4,FALSE),1)*D132))</f>
        <v/>
      </c>
      <c r="F132" s="4">
        <f ca="1">IF(C132="","",IFERROR(AVERAGEIF(E$5:$E132,"&gt;="&amp;_xlfn.PERCENTILE.EXC(E$5:$E132,0.2)),0))</f>
        <v>0</v>
      </c>
      <c r="G132" s="4">
        <f ca="1">IF(C132="","",IFERROR(AVERAGEIF($E$5:E132,"&gt;"&amp;0,$E$5:E132),0))</f>
        <v>0</v>
      </c>
    </row>
    <row r="133" spans="2:7" x14ac:dyDescent="0.3">
      <c r="B133" s="18">
        <v>129</v>
      </c>
      <c r="C133" s="21">
        <f ca="1">IFERROR(IF(LEFT(C132,2)="13",DATE(RIGHT(C132,4),12,31),IF(EOMONTH(C132,1)&gt;PREMISSAS!$C$3,"",IF(MONTH(C132)=11,"13º "&amp;YEAR(C132),EOMONTH(C132,1)))),"")</f>
        <v>41243</v>
      </c>
      <c r="D133" s="22">
        <f ca="1">VLOOKUP(C133,Preencher_Salários!$D$7:$E$656,2,FALSE)</f>
        <v>0</v>
      </c>
      <c r="E133" s="4" t="str">
        <f ca="1">IF(D133=0,"",IF(IF(ISTEXT(C133),DATE(RIGHT(C133,4),12,31),C133)&lt;PREMISSAS!$D$7,"",IFERROR(VLOOKUP(IF(LEFT(C133,2)="13",DATE(RIGHT(C133,4),12,31),C133),IPCA!$A:$D,4,FALSE),1)*D133))</f>
        <v/>
      </c>
      <c r="F133" s="4">
        <f ca="1">IF(C133="","",IFERROR(AVERAGEIF(E$5:$E133,"&gt;="&amp;_xlfn.PERCENTILE.EXC(E$5:$E133,0.2)),0))</f>
        <v>0</v>
      </c>
      <c r="G133" s="4">
        <f ca="1">IF(C133="","",IFERROR(AVERAGEIF($E$5:E133,"&gt;"&amp;0,$E$5:E133),0))</f>
        <v>0</v>
      </c>
    </row>
    <row r="134" spans="2:7" x14ac:dyDescent="0.3">
      <c r="B134" s="18">
        <v>130</v>
      </c>
      <c r="C134" s="21" t="str">
        <f ca="1">IFERROR(IF(LEFT(C133,2)="13",DATE(RIGHT(C133,4),12,31),IF(EOMONTH(C133,1)&gt;PREMISSAS!$C$3,"",IF(MONTH(C133)=11,"13º "&amp;YEAR(C133),EOMONTH(C133,1)))),"")</f>
        <v>13º 2012</v>
      </c>
      <c r="D134" s="22">
        <f ca="1">VLOOKUP(C134,Preencher_Salários!$D$7:$E$656,2,FALSE)</f>
        <v>0</v>
      </c>
      <c r="E134" s="4" t="str">
        <f ca="1">IF(D134=0,"",IF(IF(ISTEXT(C134),DATE(RIGHT(C134,4),12,31),C134)&lt;PREMISSAS!$D$7,"",IFERROR(VLOOKUP(IF(LEFT(C134,2)="13",DATE(RIGHT(C134,4),12,31),C134),IPCA!$A:$D,4,FALSE),1)*D134))</f>
        <v/>
      </c>
      <c r="F134" s="4">
        <f ca="1">IF(C134="","",IFERROR(AVERAGEIF(E$5:$E134,"&gt;="&amp;_xlfn.PERCENTILE.EXC(E$5:$E134,0.2)),0))</f>
        <v>0</v>
      </c>
      <c r="G134" s="4">
        <f ca="1">IF(C134="","",IFERROR(AVERAGEIF($E$5:E134,"&gt;"&amp;0,$E$5:E134),0))</f>
        <v>0</v>
      </c>
    </row>
    <row r="135" spans="2:7" x14ac:dyDescent="0.3">
      <c r="B135" s="18">
        <v>131</v>
      </c>
      <c r="C135" s="21">
        <f ca="1">IFERROR(IF(LEFT(C134,2)="13",DATE(RIGHT(C134,4),12,31),IF(EOMONTH(C134,1)&gt;PREMISSAS!$C$3,"",IF(MONTH(C134)=11,"13º "&amp;YEAR(C134),EOMONTH(C134,1)))),"")</f>
        <v>41274</v>
      </c>
      <c r="D135" s="22">
        <f ca="1">VLOOKUP(C135,Preencher_Salários!$D$7:$E$656,2,FALSE)</f>
        <v>0</v>
      </c>
      <c r="E135" s="4" t="str">
        <f ca="1">IF(D135=0,"",IF(IF(ISTEXT(C135),DATE(RIGHT(C135,4),12,31),C135)&lt;PREMISSAS!$D$7,"",IFERROR(VLOOKUP(IF(LEFT(C135,2)="13",DATE(RIGHT(C135,4),12,31),C135),IPCA!$A:$D,4,FALSE),1)*D135))</f>
        <v/>
      </c>
      <c r="F135" s="4">
        <f ca="1">IF(C135="","",IFERROR(AVERAGEIF(E$5:$E135,"&gt;="&amp;_xlfn.PERCENTILE.EXC(E$5:$E135,0.2)),0))</f>
        <v>0</v>
      </c>
      <c r="G135" s="4">
        <f ca="1">IF(C135="","",IFERROR(AVERAGEIF($E$5:E135,"&gt;"&amp;0,$E$5:E135),0))</f>
        <v>0</v>
      </c>
    </row>
    <row r="136" spans="2:7" x14ac:dyDescent="0.3">
      <c r="B136" s="18">
        <v>132</v>
      </c>
      <c r="C136" s="21">
        <f ca="1">IFERROR(IF(LEFT(C135,2)="13",DATE(RIGHT(C135,4),12,31),IF(EOMONTH(C135,1)&gt;PREMISSAS!$C$3,"",IF(MONTH(C135)=11,"13º "&amp;YEAR(C135),EOMONTH(C135,1)))),"")</f>
        <v>41305</v>
      </c>
      <c r="D136" s="22">
        <f ca="1">VLOOKUP(C136,Preencher_Salários!$D$7:$E$656,2,FALSE)</f>
        <v>0</v>
      </c>
      <c r="E136" s="4" t="str">
        <f ca="1">IF(D136=0,"",IF(IF(ISTEXT(C136),DATE(RIGHT(C136,4),12,31),C136)&lt;PREMISSAS!$D$7,"",IFERROR(VLOOKUP(IF(LEFT(C136,2)="13",DATE(RIGHT(C136,4),12,31),C136),IPCA!$A:$D,4,FALSE),1)*D136))</f>
        <v/>
      </c>
      <c r="F136" s="4">
        <f ca="1">IF(C136="","",IFERROR(AVERAGEIF(E$5:$E136,"&gt;="&amp;_xlfn.PERCENTILE.EXC(E$5:$E136,0.2)),0))</f>
        <v>0</v>
      </c>
      <c r="G136" s="4">
        <f ca="1">IF(C136="","",IFERROR(AVERAGEIF($E$5:E136,"&gt;"&amp;0,$E$5:E136),0))</f>
        <v>0</v>
      </c>
    </row>
    <row r="137" spans="2:7" x14ac:dyDescent="0.3">
      <c r="B137" s="18">
        <v>133</v>
      </c>
      <c r="C137" s="21">
        <f ca="1">IFERROR(IF(LEFT(C136,2)="13",DATE(RIGHT(C136,4),12,31),IF(EOMONTH(C136,1)&gt;PREMISSAS!$C$3,"",IF(MONTH(C136)=11,"13º "&amp;YEAR(C136),EOMONTH(C136,1)))),"")</f>
        <v>41333</v>
      </c>
      <c r="D137" s="22">
        <f ca="1">VLOOKUP(C137,Preencher_Salários!$D$7:$E$656,2,FALSE)</f>
        <v>0</v>
      </c>
      <c r="E137" s="4" t="str">
        <f ca="1">IF(D137=0,"",IF(IF(ISTEXT(C137),DATE(RIGHT(C137,4),12,31),C137)&lt;PREMISSAS!$D$7,"",IFERROR(VLOOKUP(IF(LEFT(C137,2)="13",DATE(RIGHT(C137,4),12,31),C137),IPCA!$A:$D,4,FALSE),1)*D137))</f>
        <v/>
      </c>
      <c r="F137" s="4">
        <f ca="1">IF(C137="","",IFERROR(AVERAGEIF(E$5:$E137,"&gt;="&amp;_xlfn.PERCENTILE.EXC(E$5:$E137,0.2)),0))</f>
        <v>0</v>
      </c>
      <c r="G137" s="4">
        <f ca="1">IF(C137="","",IFERROR(AVERAGEIF($E$5:E137,"&gt;"&amp;0,$E$5:E137),0))</f>
        <v>0</v>
      </c>
    </row>
    <row r="138" spans="2:7" x14ac:dyDescent="0.3">
      <c r="B138" s="18">
        <v>134</v>
      </c>
      <c r="C138" s="21">
        <f ca="1">IFERROR(IF(LEFT(C137,2)="13",DATE(RIGHT(C137,4),12,31),IF(EOMONTH(C137,1)&gt;PREMISSAS!$C$3,"",IF(MONTH(C137)=11,"13º "&amp;YEAR(C137),EOMONTH(C137,1)))),"")</f>
        <v>41364</v>
      </c>
      <c r="D138" s="22">
        <f ca="1">VLOOKUP(C138,Preencher_Salários!$D$7:$E$656,2,FALSE)</f>
        <v>0</v>
      </c>
      <c r="E138" s="4" t="str">
        <f ca="1">IF(D138=0,"",IF(IF(ISTEXT(C138),DATE(RIGHT(C138,4),12,31),C138)&lt;PREMISSAS!$D$7,"",IFERROR(VLOOKUP(IF(LEFT(C138,2)="13",DATE(RIGHT(C138,4),12,31),C138),IPCA!$A:$D,4,FALSE),1)*D138))</f>
        <v/>
      </c>
      <c r="F138" s="4">
        <f ca="1">IF(C138="","",IFERROR(AVERAGEIF(E$5:$E138,"&gt;="&amp;_xlfn.PERCENTILE.EXC(E$5:$E138,0.2)),0))</f>
        <v>0</v>
      </c>
      <c r="G138" s="4">
        <f ca="1">IF(C138="","",IFERROR(AVERAGEIF($E$5:E138,"&gt;"&amp;0,$E$5:E138),0))</f>
        <v>0</v>
      </c>
    </row>
    <row r="139" spans="2:7" x14ac:dyDescent="0.3">
      <c r="B139" s="18">
        <v>135</v>
      </c>
      <c r="C139" s="21">
        <f ca="1">IFERROR(IF(LEFT(C138,2)="13",DATE(RIGHT(C138,4),12,31),IF(EOMONTH(C138,1)&gt;PREMISSAS!$C$3,"",IF(MONTH(C138)=11,"13º "&amp;YEAR(C138),EOMONTH(C138,1)))),"")</f>
        <v>41394</v>
      </c>
      <c r="D139" s="22">
        <f ca="1">VLOOKUP(C139,Preencher_Salários!$D$7:$E$656,2,FALSE)</f>
        <v>0</v>
      </c>
      <c r="E139" s="4" t="str">
        <f ca="1">IF(D139=0,"",IF(IF(ISTEXT(C139),DATE(RIGHT(C139,4),12,31),C139)&lt;PREMISSAS!$D$7,"",IFERROR(VLOOKUP(IF(LEFT(C139,2)="13",DATE(RIGHT(C139,4),12,31),C139),IPCA!$A:$D,4,FALSE),1)*D139))</f>
        <v/>
      </c>
      <c r="F139" s="4">
        <f ca="1">IF(C139="","",IFERROR(AVERAGEIF(E$5:$E139,"&gt;="&amp;_xlfn.PERCENTILE.EXC(E$5:$E139,0.2)),0))</f>
        <v>0</v>
      </c>
      <c r="G139" s="4">
        <f ca="1">IF(C139="","",IFERROR(AVERAGEIF($E$5:E139,"&gt;"&amp;0,$E$5:E139),0))</f>
        <v>0</v>
      </c>
    </row>
    <row r="140" spans="2:7" x14ac:dyDescent="0.3">
      <c r="B140" s="18">
        <v>136</v>
      </c>
      <c r="C140" s="21">
        <f ca="1">IFERROR(IF(LEFT(C139,2)="13",DATE(RIGHT(C139,4),12,31),IF(EOMONTH(C139,1)&gt;PREMISSAS!$C$3,"",IF(MONTH(C139)=11,"13º "&amp;YEAR(C139),EOMONTH(C139,1)))),"")</f>
        <v>41425</v>
      </c>
      <c r="D140" s="22">
        <f ca="1">VLOOKUP(C140,Preencher_Salários!$D$7:$E$656,2,FALSE)</f>
        <v>0</v>
      </c>
      <c r="E140" s="4" t="str">
        <f ca="1">IF(D140=0,"",IF(IF(ISTEXT(C140),DATE(RIGHT(C140,4),12,31),C140)&lt;PREMISSAS!$D$7,"",IFERROR(VLOOKUP(IF(LEFT(C140,2)="13",DATE(RIGHT(C140,4),12,31),C140),IPCA!$A:$D,4,FALSE),1)*D140))</f>
        <v/>
      </c>
      <c r="F140" s="4">
        <f ca="1">IF(C140="","",IFERROR(AVERAGEIF(E$5:$E140,"&gt;="&amp;_xlfn.PERCENTILE.EXC(E$5:$E140,0.2)),0))</f>
        <v>0</v>
      </c>
      <c r="G140" s="4">
        <f ca="1">IF(C140="","",IFERROR(AVERAGEIF($E$5:E140,"&gt;"&amp;0,$E$5:E140),0))</f>
        <v>0</v>
      </c>
    </row>
    <row r="141" spans="2:7" x14ac:dyDescent="0.3">
      <c r="B141" s="18">
        <v>137</v>
      </c>
      <c r="C141" s="21">
        <f ca="1">IFERROR(IF(LEFT(C140,2)="13",DATE(RIGHT(C140,4),12,31),IF(EOMONTH(C140,1)&gt;PREMISSAS!$C$3,"",IF(MONTH(C140)=11,"13º "&amp;YEAR(C140),EOMONTH(C140,1)))),"")</f>
        <v>41455</v>
      </c>
      <c r="D141" s="22">
        <f ca="1">VLOOKUP(C141,Preencher_Salários!$D$7:$E$656,2,FALSE)</f>
        <v>0</v>
      </c>
      <c r="E141" s="4" t="str">
        <f ca="1">IF(D141=0,"",IF(IF(ISTEXT(C141),DATE(RIGHT(C141,4),12,31),C141)&lt;PREMISSAS!$D$7,"",IFERROR(VLOOKUP(IF(LEFT(C141,2)="13",DATE(RIGHT(C141,4),12,31),C141),IPCA!$A:$D,4,FALSE),1)*D141))</f>
        <v/>
      </c>
      <c r="F141" s="4">
        <f ca="1">IF(C141="","",IFERROR(AVERAGEIF(E$5:$E141,"&gt;="&amp;_xlfn.PERCENTILE.EXC(E$5:$E141,0.2)),0))</f>
        <v>0</v>
      </c>
      <c r="G141" s="4">
        <f ca="1">IF(C141="","",IFERROR(AVERAGEIF($E$5:E141,"&gt;"&amp;0,$E$5:E141),0))</f>
        <v>0</v>
      </c>
    </row>
    <row r="142" spans="2:7" x14ac:dyDescent="0.3">
      <c r="B142" s="18">
        <v>138</v>
      </c>
      <c r="C142" s="21">
        <f ca="1">IFERROR(IF(LEFT(C141,2)="13",DATE(RIGHT(C141,4),12,31),IF(EOMONTH(C141,1)&gt;PREMISSAS!$C$3,"",IF(MONTH(C141)=11,"13º "&amp;YEAR(C141),EOMONTH(C141,1)))),"")</f>
        <v>41486</v>
      </c>
      <c r="D142" s="22">
        <f ca="1">VLOOKUP(C142,Preencher_Salários!$D$7:$E$656,2,FALSE)</f>
        <v>0</v>
      </c>
      <c r="E142" s="4" t="str">
        <f ca="1">IF(D142=0,"",IF(IF(ISTEXT(C142),DATE(RIGHT(C142,4),12,31),C142)&lt;PREMISSAS!$D$7,"",IFERROR(VLOOKUP(IF(LEFT(C142,2)="13",DATE(RIGHT(C142,4),12,31),C142),IPCA!$A:$D,4,FALSE),1)*D142))</f>
        <v/>
      </c>
      <c r="F142" s="4">
        <f ca="1">IF(C142="","",IFERROR(AVERAGEIF(E$5:$E142,"&gt;="&amp;_xlfn.PERCENTILE.EXC(E$5:$E142,0.2)),0))</f>
        <v>0</v>
      </c>
      <c r="G142" s="4">
        <f ca="1">IF(C142="","",IFERROR(AVERAGEIF($E$5:E142,"&gt;"&amp;0,$E$5:E142),0))</f>
        <v>0</v>
      </c>
    </row>
    <row r="143" spans="2:7" x14ac:dyDescent="0.3">
      <c r="B143" s="18">
        <v>139</v>
      </c>
      <c r="C143" s="21">
        <f ca="1">IFERROR(IF(LEFT(C142,2)="13",DATE(RIGHT(C142,4),12,31),IF(EOMONTH(C142,1)&gt;PREMISSAS!$C$3,"",IF(MONTH(C142)=11,"13º "&amp;YEAR(C142),EOMONTH(C142,1)))),"")</f>
        <v>41517</v>
      </c>
      <c r="D143" s="22">
        <f ca="1">VLOOKUP(C143,Preencher_Salários!$D$7:$E$656,2,FALSE)</f>
        <v>0</v>
      </c>
      <c r="E143" s="4" t="str">
        <f ca="1">IF(D143=0,"",IF(IF(ISTEXT(C143),DATE(RIGHT(C143,4),12,31),C143)&lt;PREMISSAS!$D$7,"",IFERROR(VLOOKUP(IF(LEFT(C143,2)="13",DATE(RIGHT(C143,4),12,31),C143),IPCA!$A:$D,4,FALSE),1)*D143))</f>
        <v/>
      </c>
      <c r="F143" s="4">
        <f ca="1">IF(C143="","",IFERROR(AVERAGEIF(E$5:$E143,"&gt;="&amp;_xlfn.PERCENTILE.EXC(E$5:$E143,0.2)),0))</f>
        <v>0</v>
      </c>
      <c r="G143" s="4">
        <f ca="1">IF(C143="","",IFERROR(AVERAGEIF($E$5:E143,"&gt;"&amp;0,$E$5:E143),0))</f>
        <v>0</v>
      </c>
    </row>
    <row r="144" spans="2:7" x14ac:dyDescent="0.3">
      <c r="B144" s="18">
        <v>140</v>
      </c>
      <c r="C144" s="21">
        <f ca="1">IFERROR(IF(LEFT(C143,2)="13",DATE(RIGHT(C143,4),12,31),IF(EOMONTH(C143,1)&gt;PREMISSAS!$C$3,"",IF(MONTH(C143)=11,"13º "&amp;YEAR(C143),EOMONTH(C143,1)))),"")</f>
        <v>41547</v>
      </c>
      <c r="D144" s="22">
        <f ca="1">VLOOKUP(C144,Preencher_Salários!$D$7:$E$656,2,FALSE)</f>
        <v>0</v>
      </c>
      <c r="E144" s="4" t="str">
        <f ca="1">IF(D144=0,"",IF(IF(ISTEXT(C144),DATE(RIGHT(C144,4),12,31),C144)&lt;PREMISSAS!$D$7,"",IFERROR(VLOOKUP(IF(LEFT(C144,2)="13",DATE(RIGHT(C144,4),12,31),C144),IPCA!$A:$D,4,FALSE),1)*D144))</f>
        <v/>
      </c>
      <c r="F144" s="4">
        <f ca="1">IF(C144="","",IFERROR(AVERAGEIF(E$5:$E144,"&gt;="&amp;_xlfn.PERCENTILE.EXC(E$5:$E144,0.2)),0))</f>
        <v>0</v>
      </c>
      <c r="G144" s="4">
        <f ca="1">IF(C144="","",IFERROR(AVERAGEIF($E$5:E144,"&gt;"&amp;0,$E$5:E144),0))</f>
        <v>0</v>
      </c>
    </row>
    <row r="145" spans="2:7" x14ac:dyDescent="0.3">
      <c r="B145" s="18">
        <v>141</v>
      </c>
      <c r="C145" s="21">
        <f ca="1">IFERROR(IF(LEFT(C144,2)="13",DATE(RIGHT(C144,4),12,31),IF(EOMONTH(C144,1)&gt;PREMISSAS!$C$3,"",IF(MONTH(C144)=11,"13º "&amp;YEAR(C144),EOMONTH(C144,1)))),"")</f>
        <v>41578</v>
      </c>
      <c r="D145" s="22">
        <f ca="1">VLOOKUP(C145,Preencher_Salários!$D$7:$E$656,2,FALSE)</f>
        <v>0</v>
      </c>
      <c r="E145" s="4" t="str">
        <f ca="1">IF(D145=0,"",IF(IF(ISTEXT(C145),DATE(RIGHT(C145,4),12,31),C145)&lt;PREMISSAS!$D$7,"",IFERROR(VLOOKUP(IF(LEFT(C145,2)="13",DATE(RIGHT(C145,4),12,31),C145),IPCA!$A:$D,4,FALSE),1)*D145))</f>
        <v/>
      </c>
      <c r="F145" s="4">
        <f ca="1">IF(C145="","",IFERROR(AVERAGEIF(E$5:$E145,"&gt;="&amp;_xlfn.PERCENTILE.EXC(E$5:$E145,0.2)),0))</f>
        <v>0</v>
      </c>
      <c r="G145" s="4">
        <f ca="1">IF(C145="","",IFERROR(AVERAGEIF($E$5:E145,"&gt;"&amp;0,$E$5:E145),0))</f>
        <v>0</v>
      </c>
    </row>
    <row r="146" spans="2:7" x14ac:dyDescent="0.3">
      <c r="B146" s="18">
        <v>142</v>
      </c>
      <c r="C146" s="21">
        <f ca="1">IFERROR(IF(LEFT(C145,2)="13",DATE(RIGHT(C145,4),12,31),IF(EOMONTH(C145,1)&gt;PREMISSAS!$C$3,"",IF(MONTH(C145)=11,"13º "&amp;YEAR(C145),EOMONTH(C145,1)))),"")</f>
        <v>41608</v>
      </c>
      <c r="D146" s="22">
        <f ca="1">VLOOKUP(C146,Preencher_Salários!$D$7:$E$656,2,FALSE)</f>
        <v>0</v>
      </c>
      <c r="E146" s="4" t="str">
        <f ca="1">IF(D146=0,"",IF(IF(ISTEXT(C146),DATE(RIGHT(C146,4),12,31),C146)&lt;PREMISSAS!$D$7,"",IFERROR(VLOOKUP(IF(LEFT(C146,2)="13",DATE(RIGHT(C146,4),12,31),C146),IPCA!$A:$D,4,FALSE),1)*D146))</f>
        <v/>
      </c>
      <c r="F146" s="4">
        <f ca="1">IF(C146="","",IFERROR(AVERAGEIF(E$5:$E146,"&gt;="&amp;_xlfn.PERCENTILE.EXC(E$5:$E146,0.2)),0))</f>
        <v>0</v>
      </c>
      <c r="G146" s="4">
        <f ca="1">IF(C146="","",IFERROR(AVERAGEIF($E$5:E146,"&gt;"&amp;0,$E$5:E146),0))</f>
        <v>0</v>
      </c>
    </row>
    <row r="147" spans="2:7" x14ac:dyDescent="0.3">
      <c r="B147" s="18">
        <v>143</v>
      </c>
      <c r="C147" s="21" t="str">
        <f ca="1">IFERROR(IF(LEFT(C146,2)="13",DATE(RIGHT(C146,4),12,31),IF(EOMONTH(C146,1)&gt;PREMISSAS!$C$3,"",IF(MONTH(C146)=11,"13º "&amp;YEAR(C146),EOMONTH(C146,1)))),"")</f>
        <v>13º 2013</v>
      </c>
      <c r="D147" s="22">
        <f ca="1">VLOOKUP(C147,Preencher_Salários!$D$7:$E$656,2,FALSE)</f>
        <v>0</v>
      </c>
      <c r="E147" s="4" t="str">
        <f ca="1">IF(D147=0,"",IF(IF(ISTEXT(C147),DATE(RIGHT(C147,4),12,31),C147)&lt;PREMISSAS!$D$7,"",IFERROR(VLOOKUP(IF(LEFT(C147,2)="13",DATE(RIGHT(C147,4),12,31),C147),IPCA!$A:$D,4,FALSE),1)*D147))</f>
        <v/>
      </c>
      <c r="F147" s="4">
        <f ca="1">IF(C147="","",IFERROR(AVERAGEIF(E$5:$E147,"&gt;="&amp;_xlfn.PERCENTILE.EXC(E$5:$E147,0.2)),0))</f>
        <v>0</v>
      </c>
      <c r="G147" s="4">
        <f ca="1">IF(C147="","",IFERROR(AVERAGEIF($E$5:E147,"&gt;"&amp;0,$E$5:E147),0))</f>
        <v>0</v>
      </c>
    </row>
    <row r="148" spans="2:7" x14ac:dyDescent="0.3">
      <c r="B148" s="18">
        <v>144</v>
      </c>
      <c r="C148" s="21">
        <f ca="1">IFERROR(IF(LEFT(C147,2)="13",DATE(RIGHT(C147,4),12,31),IF(EOMONTH(C147,1)&gt;PREMISSAS!$C$3,"",IF(MONTH(C147)=11,"13º "&amp;YEAR(C147),EOMONTH(C147,1)))),"")</f>
        <v>41639</v>
      </c>
      <c r="D148" s="22">
        <f ca="1">VLOOKUP(C148,Preencher_Salários!$D$7:$E$656,2,FALSE)</f>
        <v>0</v>
      </c>
      <c r="E148" s="4" t="str">
        <f ca="1">IF(D148=0,"",IF(IF(ISTEXT(C148),DATE(RIGHT(C148,4),12,31),C148)&lt;PREMISSAS!$D$7,"",IFERROR(VLOOKUP(IF(LEFT(C148,2)="13",DATE(RIGHT(C148,4),12,31),C148),IPCA!$A:$D,4,FALSE),1)*D148))</f>
        <v/>
      </c>
      <c r="F148" s="4">
        <f ca="1">IF(C148="","",IFERROR(AVERAGEIF(E$5:$E148,"&gt;="&amp;_xlfn.PERCENTILE.EXC(E$5:$E148,0.2)),0))</f>
        <v>0</v>
      </c>
      <c r="G148" s="4">
        <f ca="1">IF(C148="","",IFERROR(AVERAGEIF($E$5:E148,"&gt;"&amp;0,$E$5:E148),0))</f>
        <v>0</v>
      </c>
    </row>
    <row r="149" spans="2:7" x14ac:dyDescent="0.3">
      <c r="B149" s="18">
        <v>145</v>
      </c>
      <c r="C149" s="21">
        <f ca="1">IFERROR(IF(LEFT(C148,2)="13",DATE(RIGHT(C148,4),12,31),IF(EOMONTH(C148,1)&gt;PREMISSAS!$C$3,"",IF(MONTH(C148)=11,"13º "&amp;YEAR(C148),EOMONTH(C148,1)))),"")</f>
        <v>41670</v>
      </c>
      <c r="D149" s="22">
        <f ca="1">VLOOKUP(C149,Preencher_Salários!$D$7:$E$656,2,FALSE)</f>
        <v>0</v>
      </c>
      <c r="E149" s="4" t="str">
        <f ca="1">IF(D149=0,"",IF(IF(ISTEXT(C149),DATE(RIGHT(C149,4),12,31),C149)&lt;PREMISSAS!$D$7,"",IFERROR(VLOOKUP(IF(LEFT(C149,2)="13",DATE(RIGHT(C149,4),12,31),C149),IPCA!$A:$D,4,FALSE),1)*D149))</f>
        <v/>
      </c>
      <c r="F149" s="4">
        <f ca="1">IF(C149="","",IFERROR(AVERAGEIF(E$5:$E149,"&gt;="&amp;_xlfn.PERCENTILE.EXC(E$5:$E149,0.2)),0))</f>
        <v>0</v>
      </c>
      <c r="G149" s="4">
        <f ca="1">IF(C149="","",IFERROR(AVERAGEIF($E$5:E149,"&gt;"&amp;0,$E$5:E149),0))</f>
        <v>0</v>
      </c>
    </row>
    <row r="150" spans="2:7" x14ac:dyDescent="0.3">
      <c r="B150" s="18">
        <v>146</v>
      </c>
      <c r="C150" s="21">
        <f ca="1">IFERROR(IF(LEFT(C149,2)="13",DATE(RIGHT(C149,4),12,31),IF(EOMONTH(C149,1)&gt;PREMISSAS!$C$3,"",IF(MONTH(C149)=11,"13º "&amp;YEAR(C149),EOMONTH(C149,1)))),"")</f>
        <v>41698</v>
      </c>
      <c r="D150" s="22">
        <f ca="1">VLOOKUP(C150,Preencher_Salários!$D$7:$E$656,2,FALSE)</f>
        <v>0</v>
      </c>
      <c r="E150" s="4" t="str">
        <f ca="1">IF(D150=0,"",IF(IF(ISTEXT(C150),DATE(RIGHT(C150,4),12,31),C150)&lt;PREMISSAS!$D$7,"",IFERROR(VLOOKUP(IF(LEFT(C150,2)="13",DATE(RIGHT(C150,4),12,31),C150),IPCA!$A:$D,4,FALSE),1)*D150))</f>
        <v/>
      </c>
      <c r="F150" s="4">
        <f ca="1">IF(C150="","",IFERROR(AVERAGEIF(E$5:$E150,"&gt;="&amp;_xlfn.PERCENTILE.EXC(E$5:$E150,0.2)),0))</f>
        <v>0</v>
      </c>
      <c r="G150" s="4">
        <f ca="1">IF(C150="","",IFERROR(AVERAGEIF($E$5:E150,"&gt;"&amp;0,$E$5:E150),0))</f>
        <v>0</v>
      </c>
    </row>
    <row r="151" spans="2:7" x14ac:dyDescent="0.3">
      <c r="B151" s="18">
        <v>147</v>
      </c>
      <c r="C151" s="21">
        <f ca="1">IFERROR(IF(LEFT(C150,2)="13",DATE(RIGHT(C150,4),12,31),IF(EOMONTH(C150,1)&gt;PREMISSAS!$C$3,"",IF(MONTH(C150)=11,"13º "&amp;YEAR(C150),EOMONTH(C150,1)))),"")</f>
        <v>41729</v>
      </c>
      <c r="D151" s="22">
        <f ca="1">VLOOKUP(C151,Preencher_Salários!$D$7:$E$656,2,FALSE)</f>
        <v>0</v>
      </c>
      <c r="E151" s="4" t="str">
        <f ca="1">IF(D151=0,"",IF(IF(ISTEXT(C151),DATE(RIGHT(C151,4),12,31),C151)&lt;PREMISSAS!$D$7,"",IFERROR(VLOOKUP(IF(LEFT(C151,2)="13",DATE(RIGHT(C151,4),12,31),C151),IPCA!$A:$D,4,FALSE),1)*D151))</f>
        <v/>
      </c>
      <c r="F151" s="4">
        <f ca="1">IF(C151="","",IFERROR(AVERAGEIF(E$5:$E151,"&gt;="&amp;_xlfn.PERCENTILE.EXC(E$5:$E151,0.2)),0))</f>
        <v>0</v>
      </c>
      <c r="G151" s="4">
        <f ca="1">IF(C151="","",IFERROR(AVERAGEIF($E$5:E151,"&gt;"&amp;0,$E$5:E151),0))</f>
        <v>0</v>
      </c>
    </row>
    <row r="152" spans="2:7" x14ac:dyDescent="0.3">
      <c r="B152" s="18">
        <v>148</v>
      </c>
      <c r="C152" s="21">
        <f ca="1">IFERROR(IF(LEFT(C151,2)="13",DATE(RIGHT(C151,4),12,31),IF(EOMONTH(C151,1)&gt;PREMISSAS!$C$3,"",IF(MONTH(C151)=11,"13º "&amp;YEAR(C151),EOMONTH(C151,1)))),"")</f>
        <v>41759</v>
      </c>
      <c r="D152" s="22">
        <f ca="1">VLOOKUP(C152,Preencher_Salários!$D$7:$E$656,2,FALSE)</f>
        <v>0</v>
      </c>
      <c r="E152" s="4" t="str">
        <f ca="1">IF(D152=0,"",IF(IF(ISTEXT(C152),DATE(RIGHT(C152,4),12,31),C152)&lt;PREMISSAS!$D$7,"",IFERROR(VLOOKUP(IF(LEFT(C152,2)="13",DATE(RIGHT(C152,4),12,31),C152),IPCA!$A:$D,4,FALSE),1)*D152))</f>
        <v/>
      </c>
      <c r="F152" s="4">
        <f ca="1">IF(C152="","",IFERROR(AVERAGEIF(E$5:$E152,"&gt;="&amp;_xlfn.PERCENTILE.EXC(E$5:$E152,0.2)),0))</f>
        <v>0</v>
      </c>
      <c r="G152" s="4">
        <f ca="1">IF(C152="","",IFERROR(AVERAGEIF($E$5:E152,"&gt;"&amp;0,$E$5:E152),0))</f>
        <v>0</v>
      </c>
    </row>
    <row r="153" spans="2:7" x14ac:dyDescent="0.3">
      <c r="B153" s="18">
        <v>149</v>
      </c>
      <c r="C153" s="21">
        <f ca="1">IFERROR(IF(LEFT(C152,2)="13",DATE(RIGHT(C152,4),12,31),IF(EOMONTH(C152,1)&gt;PREMISSAS!$C$3,"",IF(MONTH(C152)=11,"13º "&amp;YEAR(C152),EOMONTH(C152,1)))),"")</f>
        <v>41790</v>
      </c>
      <c r="D153" s="22">
        <f ca="1">VLOOKUP(C153,Preencher_Salários!$D$7:$E$656,2,FALSE)</f>
        <v>0</v>
      </c>
      <c r="E153" s="4" t="str">
        <f ca="1">IF(D153=0,"",IF(IF(ISTEXT(C153),DATE(RIGHT(C153,4),12,31),C153)&lt;PREMISSAS!$D$7,"",IFERROR(VLOOKUP(IF(LEFT(C153,2)="13",DATE(RIGHT(C153,4),12,31),C153),IPCA!$A:$D,4,FALSE),1)*D153))</f>
        <v/>
      </c>
      <c r="F153" s="4">
        <f ca="1">IF(C153="","",IFERROR(AVERAGEIF(E$5:$E153,"&gt;="&amp;_xlfn.PERCENTILE.EXC(E$5:$E153,0.2)),0))</f>
        <v>0</v>
      </c>
      <c r="G153" s="4">
        <f ca="1">IF(C153="","",IFERROR(AVERAGEIF($E$5:E153,"&gt;"&amp;0,$E$5:E153),0))</f>
        <v>0</v>
      </c>
    </row>
    <row r="154" spans="2:7" x14ac:dyDescent="0.3">
      <c r="B154" s="18">
        <v>150</v>
      </c>
      <c r="C154" s="21">
        <f ca="1">IFERROR(IF(LEFT(C153,2)="13",DATE(RIGHT(C153,4),12,31),IF(EOMONTH(C153,1)&gt;PREMISSAS!$C$3,"",IF(MONTH(C153)=11,"13º "&amp;YEAR(C153),EOMONTH(C153,1)))),"")</f>
        <v>41820</v>
      </c>
      <c r="D154" s="22">
        <f ca="1">VLOOKUP(C154,Preencher_Salários!$D$7:$E$656,2,FALSE)</f>
        <v>0</v>
      </c>
      <c r="E154" s="4" t="str">
        <f ca="1">IF(D154=0,"",IF(IF(ISTEXT(C154),DATE(RIGHT(C154,4),12,31),C154)&lt;PREMISSAS!$D$7,"",IFERROR(VLOOKUP(IF(LEFT(C154,2)="13",DATE(RIGHT(C154,4),12,31),C154),IPCA!$A:$D,4,FALSE),1)*D154))</f>
        <v/>
      </c>
      <c r="F154" s="4">
        <f ca="1">IF(C154="","",IFERROR(AVERAGEIF(E$5:$E154,"&gt;="&amp;_xlfn.PERCENTILE.EXC(E$5:$E154,0.2)),0))</f>
        <v>0</v>
      </c>
      <c r="G154" s="4">
        <f ca="1">IF(C154="","",IFERROR(AVERAGEIF($E$5:E154,"&gt;"&amp;0,$E$5:E154),0))</f>
        <v>0</v>
      </c>
    </row>
    <row r="155" spans="2:7" x14ac:dyDescent="0.3">
      <c r="B155" s="18">
        <v>151</v>
      </c>
      <c r="C155" s="21">
        <f ca="1">IFERROR(IF(LEFT(C154,2)="13",DATE(RIGHT(C154,4),12,31),IF(EOMONTH(C154,1)&gt;PREMISSAS!$C$3,"",IF(MONTH(C154)=11,"13º "&amp;YEAR(C154),EOMONTH(C154,1)))),"")</f>
        <v>41851</v>
      </c>
      <c r="D155" s="22">
        <f ca="1">VLOOKUP(C155,Preencher_Salários!$D$7:$E$656,2,FALSE)</f>
        <v>0</v>
      </c>
      <c r="E155" s="4" t="str">
        <f ca="1">IF(D155=0,"",IF(IF(ISTEXT(C155),DATE(RIGHT(C155,4),12,31),C155)&lt;PREMISSAS!$D$7,"",IFERROR(VLOOKUP(IF(LEFT(C155,2)="13",DATE(RIGHT(C155,4),12,31),C155),IPCA!$A:$D,4,FALSE),1)*D155))</f>
        <v/>
      </c>
      <c r="F155" s="4">
        <f ca="1">IF(C155="","",IFERROR(AVERAGEIF(E$5:$E155,"&gt;="&amp;_xlfn.PERCENTILE.EXC(E$5:$E155,0.2)),0))</f>
        <v>0</v>
      </c>
      <c r="G155" s="4">
        <f ca="1">IF(C155="","",IFERROR(AVERAGEIF($E$5:E155,"&gt;"&amp;0,$E$5:E155),0))</f>
        <v>0</v>
      </c>
    </row>
    <row r="156" spans="2:7" x14ac:dyDescent="0.3">
      <c r="B156" s="18">
        <v>152</v>
      </c>
      <c r="C156" s="21">
        <f ca="1">IFERROR(IF(LEFT(C155,2)="13",DATE(RIGHT(C155,4),12,31),IF(EOMONTH(C155,1)&gt;PREMISSAS!$C$3,"",IF(MONTH(C155)=11,"13º "&amp;YEAR(C155),EOMONTH(C155,1)))),"")</f>
        <v>41882</v>
      </c>
      <c r="D156" s="22">
        <f ca="1">VLOOKUP(C156,Preencher_Salários!$D$7:$E$656,2,FALSE)</f>
        <v>0</v>
      </c>
      <c r="E156" s="4" t="str">
        <f ca="1">IF(D156=0,"",IF(IF(ISTEXT(C156),DATE(RIGHT(C156,4),12,31),C156)&lt;PREMISSAS!$D$7,"",IFERROR(VLOOKUP(IF(LEFT(C156,2)="13",DATE(RIGHT(C156,4),12,31),C156),IPCA!$A:$D,4,FALSE),1)*D156))</f>
        <v/>
      </c>
      <c r="F156" s="4">
        <f ca="1">IF(C156="","",IFERROR(AVERAGEIF(E$5:$E156,"&gt;="&amp;_xlfn.PERCENTILE.EXC(E$5:$E156,0.2)),0))</f>
        <v>0</v>
      </c>
      <c r="G156" s="4">
        <f ca="1">IF(C156="","",IFERROR(AVERAGEIF($E$5:E156,"&gt;"&amp;0,$E$5:E156),0))</f>
        <v>0</v>
      </c>
    </row>
    <row r="157" spans="2:7" x14ac:dyDescent="0.3">
      <c r="B157" s="18">
        <v>153</v>
      </c>
      <c r="C157" s="21">
        <f ca="1">IFERROR(IF(LEFT(C156,2)="13",DATE(RIGHT(C156,4),12,31),IF(EOMONTH(C156,1)&gt;PREMISSAS!$C$3,"",IF(MONTH(C156)=11,"13º "&amp;YEAR(C156),EOMONTH(C156,1)))),"")</f>
        <v>41912</v>
      </c>
      <c r="D157" s="22">
        <f ca="1">VLOOKUP(C157,Preencher_Salários!$D$7:$E$656,2,FALSE)</f>
        <v>0</v>
      </c>
      <c r="E157" s="4" t="str">
        <f ca="1">IF(D157=0,"",IF(IF(ISTEXT(C157),DATE(RIGHT(C157,4),12,31),C157)&lt;PREMISSAS!$D$7,"",IFERROR(VLOOKUP(IF(LEFT(C157,2)="13",DATE(RIGHT(C157,4),12,31),C157),IPCA!$A:$D,4,FALSE),1)*D157))</f>
        <v/>
      </c>
      <c r="F157" s="4">
        <f ca="1">IF(C157="","",IFERROR(AVERAGEIF(E$5:$E157,"&gt;="&amp;_xlfn.PERCENTILE.EXC(E$5:$E157,0.2)),0))</f>
        <v>0</v>
      </c>
      <c r="G157" s="4">
        <f ca="1">IF(C157="","",IFERROR(AVERAGEIF($E$5:E157,"&gt;"&amp;0,$E$5:E157),0))</f>
        <v>0</v>
      </c>
    </row>
    <row r="158" spans="2:7" x14ac:dyDescent="0.3">
      <c r="B158" s="18">
        <v>154</v>
      </c>
      <c r="C158" s="21">
        <f ca="1">IFERROR(IF(LEFT(C157,2)="13",DATE(RIGHT(C157,4),12,31),IF(EOMONTH(C157,1)&gt;PREMISSAS!$C$3,"",IF(MONTH(C157)=11,"13º "&amp;YEAR(C157),EOMONTH(C157,1)))),"")</f>
        <v>41943</v>
      </c>
      <c r="D158" s="22">
        <f ca="1">VLOOKUP(C158,Preencher_Salários!$D$7:$E$656,2,FALSE)</f>
        <v>0</v>
      </c>
      <c r="E158" s="4" t="str">
        <f ca="1">IF(D158=0,"",IF(IF(ISTEXT(C158),DATE(RIGHT(C158,4),12,31),C158)&lt;PREMISSAS!$D$7,"",IFERROR(VLOOKUP(IF(LEFT(C158,2)="13",DATE(RIGHT(C158,4),12,31),C158),IPCA!$A:$D,4,FALSE),1)*D158))</f>
        <v/>
      </c>
      <c r="F158" s="4">
        <f ca="1">IF(C158="","",IFERROR(AVERAGEIF(E$5:$E158,"&gt;="&amp;_xlfn.PERCENTILE.EXC(E$5:$E158,0.2)),0))</f>
        <v>0</v>
      </c>
      <c r="G158" s="4">
        <f ca="1">IF(C158="","",IFERROR(AVERAGEIF($E$5:E158,"&gt;"&amp;0,$E$5:E158),0))</f>
        <v>0</v>
      </c>
    </row>
    <row r="159" spans="2:7" x14ac:dyDescent="0.3">
      <c r="B159" s="18">
        <v>155</v>
      </c>
      <c r="C159" s="21">
        <f ca="1">IFERROR(IF(LEFT(C158,2)="13",DATE(RIGHT(C158,4),12,31),IF(EOMONTH(C158,1)&gt;PREMISSAS!$C$3,"",IF(MONTH(C158)=11,"13º "&amp;YEAR(C158),EOMONTH(C158,1)))),"")</f>
        <v>41973</v>
      </c>
      <c r="D159" s="22">
        <f ca="1">VLOOKUP(C159,Preencher_Salários!$D$7:$E$656,2,FALSE)</f>
        <v>0</v>
      </c>
      <c r="E159" s="4" t="str">
        <f ca="1">IF(D159=0,"",IF(IF(ISTEXT(C159),DATE(RIGHT(C159,4),12,31),C159)&lt;PREMISSAS!$D$7,"",IFERROR(VLOOKUP(IF(LEFT(C159,2)="13",DATE(RIGHT(C159,4),12,31),C159),IPCA!$A:$D,4,FALSE),1)*D159))</f>
        <v/>
      </c>
      <c r="F159" s="4">
        <f ca="1">IF(C159="","",IFERROR(AVERAGEIF(E$5:$E159,"&gt;="&amp;_xlfn.PERCENTILE.EXC(E$5:$E159,0.2)),0))</f>
        <v>0</v>
      </c>
      <c r="G159" s="4">
        <f ca="1">IF(C159="","",IFERROR(AVERAGEIF($E$5:E159,"&gt;"&amp;0,$E$5:E159),0))</f>
        <v>0</v>
      </c>
    </row>
    <row r="160" spans="2:7" x14ac:dyDescent="0.3">
      <c r="B160" s="18">
        <v>156</v>
      </c>
      <c r="C160" s="21" t="str">
        <f ca="1">IFERROR(IF(LEFT(C159,2)="13",DATE(RIGHT(C159,4),12,31),IF(EOMONTH(C159,1)&gt;PREMISSAS!$C$3,"",IF(MONTH(C159)=11,"13º "&amp;YEAR(C159),EOMONTH(C159,1)))),"")</f>
        <v>13º 2014</v>
      </c>
      <c r="D160" s="22">
        <f ca="1">VLOOKUP(C160,Preencher_Salários!$D$7:$E$656,2,FALSE)</f>
        <v>0</v>
      </c>
      <c r="E160" s="4" t="str">
        <f ca="1">IF(D160=0,"",IF(IF(ISTEXT(C160),DATE(RIGHT(C160,4),12,31),C160)&lt;PREMISSAS!$D$7,"",IFERROR(VLOOKUP(IF(LEFT(C160,2)="13",DATE(RIGHT(C160,4),12,31),C160),IPCA!$A:$D,4,FALSE),1)*D160))</f>
        <v/>
      </c>
      <c r="F160" s="4">
        <f ca="1">IF(C160="","",IFERROR(AVERAGEIF(E$5:$E160,"&gt;="&amp;_xlfn.PERCENTILE.EXC(E$5:$E160,0.2)),0))</f>
        <v>0</v>
      </c>
      <c r="G160" s="4">
        <f ca="1">IF(C160="","",IFERROR(AVERAGEIF($E$5:E160,"&gt;"&amp;0,$E$5:E160),0))</f>
        <v>0</v>
      </c>
    </row>
    <row r="161" spans="2:7" x14ac:dyDescent="0.3">
      <c r="B161" s="18">
        <v>157</v>
      </c>
      <c r="C161" s="21">
        <f ca="1">IFERROR(IF(LEFT(C160,2)="13",DATE(RIGHT(C160,4),12,31),IF(EOMONTH(C160,1)&gt;PREMISSAS!$C$3,"",IF(MONTH(C160)=11,"13º "&amp;YEAR(C160),EOMONTH(C160,1)))),"")</f>
        <v>42004</v>
      </c>
      <c r="D161" s="22">
        <f ca="1">VLOOKUP(C161,Preencher_Salários!$D$7:$E$656,2,FALSE)</f>
        <v>0</v>
      </c>
      <c r="E161" s="4" t="str">
        <f ca="1">IF(D161=0,"",IF(IF(ISTEXT(C161),DATE(RIGHT(C161,4),12,31),C161)&lt;PREMISSAS!$D$7,"",IFERROR(VLOOKUP(IF(LEFT(C161,2)="13",DATE(RIGHT(C161,4),12,31),C161),IPCA!$A:$D,4,FALSE),1)*D161))</f>
        <v/>
      </c>
      <c r="F161" s="4">
        <f ca="1">IF(C161="","",IFERROR(AVERAGEIF(E$5:$E161,"&gt;="&amp;_xlfn.PERCENTILE.EXC(E$5:$E161,0.2)),0))</f>
        <v>0</v>
      </c>
      <c r="G161" s="4">
        <f ca="1">IF(C161="","",IFERROR(AVERAGEIF($E$5:E161,"&gt;"&amp;0,$E$5:E161),0))</f>
        <v>0</v>
      </c>
    </row>
    <row r="162" spans="2:7" x14ac:dyDescent="0.3">
      <c r="B162" s="18">
        <v>158</v>
      </c>
      <c r="C162" s="21">
        <f ca="1">IFERROR(IF(LEFT(C161,2)="13",DATE(RIGHT(C161,4),12,31),IF(EOMONTH(C161,1)&gt;PREMISSAS!$C$3,"",IF(MONTH(C161)=11,"13º "&amp;YEAR(C161),EOMONTH(C161,1)))),"")</f>
        <v>42035</v>
      </c>
      <c r="D162" s="22">
        <f ca="1">VLOOKUP(C162,Preencher_Salários!$D$7:$E$656,2,FALSE)</f>
        <v>0</v>
      </c>
      <c r="E162" s="4" t="str">
        <f ca="1">IF(D162=0,"",IF(IF(ISTEXT(C162),DATE(RIGHT(C162,4),12,31),C162)&lt;PREMISSAS!$D$7,"",IFERROR(VLOOKUP(IF(LEFT(C162,2)="13",DATE(RIGHT(C162,4),12,31),C162),IPCA!$A:$D,4,FALSE),1)*D162))</f>
        <v/>
      </c>
      <c r="F162" s="4">
        <f ca="1">IF(C162="","",IFERROR(AVERAGEIF(E$5:$E162,"&gt;="&amp;_xlfn.PERCENTILE.EXC(E$5:$E162,0.2)),0))</f>
        <v>0</v>
      </c>
      <c r="G162" s="4">
        <f ca="1">IF(C162="","",IFERROR(AVERAGEIF($E$5:E162,"&gt;"&amp;0,$E$5:E162),0))</f>
        <v>0</v>
      </c>
    </row>
    <row r="163" spans="2:7" x14ac:dyDescent="0.3">
      <c r="B163" s="18">
        <v>159</v>
      </c>
      <c r="C163" s="21">
        <f ca="1">IFERROR(IF(LEFT(C162,2)="13",DATE(RIGHT(C162,4),12,31),IF(EOMONTH(C162,1)&gt;PREMISSAS!$C$3,"",IF(MONTH(C162)=11,"13º "&amp;YEAR(C162),EOMONTH(C162,1)))),"")</f>
        <v>42063</v>
      </c>
      <c r="D163" s="22">
        <f ca="1">VLOOKUP(C163,Preencher_Salários!$D$7:$E$656,2,FALSE)</f>
        <v>0</v>
      </c>
      <c r="E163" s="4" t="str">
        <f ca="1">IF(D163=0,"",IF(IF(ISTEXT(C163),DATE(RIGHT(C163,4),12,31),C163)&lt;PREMISSAS!$D$7,"",IFERROR(VLOOKUP(IF(LEFT(C163,2)="13",DATE(RIGHT(C163,4),12,31),C163),IPCA!$A:$D,4,FALSE),1)*D163))</f>
        <v/>
      </c>
      <c r="F163" s="4">
        <f ca="1">IF(C163="","",IFERROR(AVERAGEIF(E$5:$E163,"&gt;="&amp;_xlfn.PERCENTILE.EXC(E$5:$E163,0.2)),0))</f>
        <v>0</v>
      </c>
      <c r="G163" s="4">
        <f ca="1">IF(C163="","",IFERROR(AVERAGEIF($E$5:E163,"&gt;"&amp;0,$E$5:E163),0))</f>
        <v>0</v>
      </c>
    </row>
    <row r="164" spans="2:7" x14ac:dyDescent="0.3">
      <c r="B164" s="18">
        <v>160</v>
      </c>
      <c r="C164" s="21">
        <f ca="1">IFERROR(IF(LEFT(C163,2)="13",DATE(RIGHT(C163,4),12,31),IF(EOMONTH(C163,1)&gt;PREMISSAS!$C$3,"",IF(MONTH(C163)=11,"13º "&amp;YEAR(C163),EOMONTH(C163,1)))),"")</f>
        <v>42094</v>
      </c>
      <c r="D164" s="22">
        <f ca="1">VLOOKUP(C164,Preencher_Salários!$D$7:$E$656,2,FALSE)</f>
        <v>0</v>
      </c>
      <c r="E164" s="4" t="str">
        <f ca="1">IF(D164=0,"",IF(IF(ISTEXT(C164),DATE(RIGHT(C164,4),12,31),C164)&lt;PREMISSAS!$D$7,"",IFERROR(VLOOKUP(IF(LEFT(C164,2)="13",DATE(RIGHT(C164,4),12,31),C164),IPCA!$A:$D,4,FALSE),1)*D164))</f>
        <v/>
      </c>
      <c r="F164" s="4">
        <f ca="1">IF(C164="","",IFERROR(AVERAGEIF(E$5:$E164,"&gt;="&amp;_xlfn.PERCENTILE.EXC(E$5:$E164,0.2)),0))</f>
        <v>0</v>
      </c>
      <c r="G164" s="4">
        <f ca="1">IF(C164="","",IFERROR(AVERAGEIF($E$5:E164,"&gt;"&amp;0,$E$5:E164),0))</f>
        <v>0</v>
      </c>
    </row>
    <row r="165" spans="2:7" x14ac:dyDescent="0.3">
      <c r="B165" s="18">
        <v>161</v>
      </c>
      <c r="C165" s="21">
        <f ca="1">IFERROR(IF(LEFT(C164,2)="13",DATE(RIGHT(C164,4),12,31),IF(EOMONTH(C164,1)&gt;PREMISSAS!$C$3,"",IF(MONTH(C164)=11,"13º "&amp;YEAR(C164),EOMONTH(C164,1)))),"")</f>
        <v>42124</v>
      </c>
      <c r="D165" s="22">
        <f ca="1">VLOOKUP(C165,Preencher_Salários!$D$7:$E$656,2,FALSE)</f>
        <v>0</v>
      </c>
      <c r="E165" s="4" t="str">
        <f ca="1">IF(D165=0,"",IF(IF(ISTEXT(C165),DATE(RIGHT(C165,4),12,31),C165)&lt;PREMISSAS!$D$7,"",IFERROR(VLOOKUP(IF(LEFT(C165,2)="13",DATE(RIGHT(C165,4),12,31),C165),IPCA!$A:$D,4,FALSE),1)*D165))</f>
        <v/>
      </c>
      <c r="F165" s="4">
        <f ca="1">IF(C165="","",IFERROR(AVERAGEIF(E$5:$E165,"&gt;="&amp;_xlfn.PERCENTILE.EXC(E$5:$E165,0.2)),0))</f>
        <v>0</v>
      </c>
      <c r="G165" s="4">
        <f ca="1">IF(C165="","",IFERROR(AVERAGEIF($E$5:E165,"&gt;"&amp;0,$E$5:E165),0))</f>
        <v>0</v>
      </c>
    </row>
    <row r="166" spans="2:7" x14ac:dyDescent="0.3">
      <c r="B166" s="18">
        <v>162</v>
      </c>
      <c r="C166" s="21">
        <f ca="1">IFERROR(IF(LEFT(C165,2)="13",DATE(RIGHT(C165,4),12,31),IF(EOMONTH(C165,1)&gt;PREMISSAS!$C$3,"",IF(MONTH(C165)=11,"13º "&amp;YEAR(C165),EOMONTH(C165,1)))),"")</f>
        <v>42155</v>
      </c>
      <c r="D166" s="22">
        <f ca="1">VLOOKUP(C166,Preencher_Salários!$D$7:$E$656,2,FALSE)</f>
        <v>0</v>
      </c>
      <c r="E166" s="4" t="str">
        <f ca="1">IF(D166=0,"",IF(IF(ISTEXT(C166),DATE(RIGHT(C166,4),12,31),C166)&lt;PREMISSAS!$D$7,"",IFERROR(VLOOKUP(IF(LEFT(C166,2)="13",DATE(RIGHT(C166,4),12,31),C166),IPCA!$A:$D,4,FALSE),1)*D166))</f>
        <v/>
      </c>
      <c r="F166" s="4">
        <f ca="1">IF(C166="","",IFERROR(AVERAGEIF(E$5:$E166,"&gt;="&amp;_xlfn.PERCENTILE.EXC(E$5:$E166,0.2)),0))</f>
        <v>0</v>
      </c>
      <c r="G166" s="4">
        <f ca="1">IF(C166="","",IFERROR(AVERAGEIF($E$5:E166,"&gt;"&amp;0,$E$5:E166),0))</f>
        <v>0</v>
      </c>
    </row>
    <row r="167" spans="2:7" x14ac:dyDescent="0.3">
      <c r="B167" s="18">
        <v>163</v>
      </c>
      <c r="C167" s="21">
        <f ca="1">IFERROR(IF(LEFT(C166,2)="13",DATE(RIGHT(C166,4),12,31),IF(EOMONTH(C166,1)&gt;PREMISSAS!$C$3,"",IF(MONTH(C166)=11,"13º "&amp;YEAR(C166),EOMONTH(C166,1)))),"")</f>
        <v>42185</v>
      </c>
      <c r="D167" s="22">
        <f ca="1">VLOOKUP(C167,Preencher_Salários!$D$7:$E$656,2,FALSE)</f>
        <v>0</v>
      </c>
      <c r="E167" s="4" t="str">
        <f ca="1">IF(D167=0,"",IF(IF(ISTEXT(C167),DATE(RIGHT(C167,4),12,31),C167)&lt;PREMISSAS!$D$7,"",IFERROR(VLOOKUP(IF(LEFT(C167,2)="13",DATE(RIGHT(C167,4),12,31),C167),IPCA!$A:$D,4,FALSE),1)*D167))</f>
        <v/>
      </c>
      <c r="F167" s="4">
        <f ca="1">IF(C167="","",IFERROR(AVERAGEIF(E$5:$E167,"&gt;="&amp;_xlfn.PERCENTILE.EXC(E$5:$E167,0.2)),0))</f>
        <v>0</v>
      </c>
      <c r="G167" s="4">
        <f ca="1">IF(C167="","",IFERROR(AVERAGEIF($E$5:E167,"&gt;"&amp;0,$E$5:E167),0))</f>
        <v>0</v>
      </c>
    </row>
    <row r="168" spans="2:7" x14ac:dyDescent="0.3">
      <c r="B168" s="18">
        <v>164</v>
      </c>
      <c r="C168" s="21">
        <f ca="1">IFERROR(IF(LEFT(C167,2)="13",DATE(RIGHT(C167,4),12,31),IF(EOMONTH(C167,1)&gt;PREMISSAS!$C$3,"",IF(MONTH(C167)=11,"13º "&amp;YEAR(C167),EOMONTH(C167,1)))),"")</f>
        <v>42216</v>
      </c>
      <c r="D168" s="22">
        <f ca="1">VLOOKUP(C168,Preencher_Salários!$D$7:$E$656,2,FALSE)</f>
        <v>0</v>
      </c>
      <c r="E168" s="4" t="str">
        <f ca="1">IF(D168=0,"",IF(IF(ISTEXT(C168),DATE(RIGHT(C168,4),12,31),C168)&lt;PREMISSAS!$D$7,"",IFERROR(VLOOKUP(IF(LEFT(C168,2)="13",DATE(RIGHT(C168,4),12,31),C168),IPCA!$A:$D,4,FALSE),1)*D168))</f>
        <v/>
      </c>
      <c r="F168" s="4">
        <f ca="1">IF(C168="","",IFERROR(AVERAGEIF(E$5:$E168,"&gt;="&amp;_xlfn.PERCENTILE.EXC(E$5:$E168,0.2)),0))</f>
        <v>0</v>
      </c>
      <c r="G168" s="4">
        <f ca="1">IF(C168="","",IFERROR(AVERAGEIF($E$5:E168,"&gt;"&amp;0,$E$5:E168),0))</f>
        <v>0</v>
      </c>
    </row>
    <row r="169" spans="2:7" x14ac:dyDescent="0.3">
      <c r="B169" s="18">
        <v>165</v>
      </c>
      <c r="C169" s="21">
        <f ca="1">IFERROR(IF(LEFT(C168,2)="13",DATE(RIGHT(C168,4),12,31),IF(EOMONTH(C168,1)&gt;PREMISSAS!$C$3,"",IF(MONTH(C168)=11,"13º "&amp;YEAR(C168),EOMONTH(C168,1)))),"")</f>
        <v>42247</v>
      </c>
      <c r="D169" s="22">
        <f ca="1">VLOOKUP(C169,Preencher_Salários!$D$7:$E$656,2,FALSE)</f>
        <v>0</v>
      </c>
      <c r="E169" s="4" t="str">
        <f ca="1">IF(D169=0,"",IF(IF(ISTEXT(C169),DATE(RIGHT(C169,4),12,31),C169)&lt;PREMISSAS!$D$7,"",IFERROR(VLOOKUP(IF(LEFT(C169,2)="13",DATE(RIGHT(C169,4),12,31),C169),IPCA!$A:$D,4,FALSE),1)*D169))</f>
        <v/>
      </c>
      <c r="F169" s="4">
        <f ca="1">IF(C169="","",IFERROR(AVERAGEIF(E$5:$E169,"&gt;="&amp;_xlfn.PERCENTILE.EXC(E$5:$E169,0.2)),0))</f>
        <v>0</v>
      </c>
      <c r="G169" s="4">
        <f ca="1">IF(C169="","",IFERROR(AVERAGEIF($E$5:E169,"&gt;"&amp;0,$E$5:E169),0))</f>
        <v>0</v>
      </c>
    </row>
    <row r="170" spans="2:7" x14ac:dyDescent="0.3">
      <c r="B170" s="18">
        <v>166</v>
      </c>
      <c r="C170" s="21">
        <f ca="1">IFERROR(IF(LEFT(C169,2)="13",DATE(RIGHT(C169,4),12,31),IF(EOMONTH(C169,1)&gt;PREMISSAS!$C$3,"",IF(MONTH(C169)=11,"13º "&amp;YEAR(C169),EOMONTH(C169,1)))),"")</f>
        <v>42277</v>
      </c>
      <c r="D170" s="22">
        <f ca="1">VLOOKUP(C170,Preencher_Salários!$D$7:$E$656,2,FALSE)</f>
        <v>0</v>
      </c>
      <c r="E170" s="4" t="str">
        <f ca="1">IF(D170=0,"",IF(IF(ISTEXT(C170),DATE(RIGHT(C170,4),12,31),C170)&lt;PREMISSAS!$D$7,"",IFERROR(VLOOKUP(IF(LEFT(C170,2)="13",DATE(RIGHT(C170,4),12,31),C170),IPCA!$A:$D,4,FALSE),1)*D170))</f>
        <v/>
      </c>
      <c r="F170" s="4">
        <f ca="1">IF(C170="","",IFERROR(AVERAGEIF(E$5:$E170,"&gt;="&amp;_xlfn.PERCENTILE.EXC(E$5:$E170,0.2)),0))</f>
        <v>0</v>
      </c>
      <c r="G170" s="4">
        <f ca="1">IF(C170="","",IFERROR(AVERAGEIF($E$5:E170,"&gt;"&amp;0,$E$5:E170),0))</f>
        <v>0</v>
      </c>
    </row>
    <row r="171" spans="2:7" x14ac:dyDescent="0.3">
      <c r="B171" s="18">
        <v>167</v>
      </c>
      <c r="C171" s="21">
        <f ca="1">IFERROR(IF(LEFT(C170,2)="13",DATE(RIGHT(C170,4),12,31),IF(EOMONTH(C170,1)&gt;PREMISSAS!$C$3,"",IF(MONTH(C170)=11,"13º "&amp;YEAR(C170),EOMONTH(C170,1)))),"")</f>
        <v>42308</v>
      </c>
      <c r="D171" s="22">
        <f ca="1">VLOOKUP(C171,Preencher_Salários!$D$7:$E$656,2,FALSE)</f>
        <v>0</v>
      </c>
      <c r="E171" s="4" t="str">
        <f ca="1">IF(D171=0,"",IF(IF(ISTEXT(C171),DATE(RIGHT(C171,4),12,31),C171)&lt;PREMISSAS!$D$7,"",IFERROR(VLOOKUP(IF(LEFT(C171,2)="13",DATE(RIGHT(C171,4),12,31),C171),IPCA!$A:$D,4,FALSE),1)*D171))</f>
        <v/>
      </c>
      <c r="F171" s="4">
        <f ca="1">IF(C171="","",IFERROR(AVERAGEIF(E$5:$E171,"&gt;="&amp;_xlfn.PERCENTILE.EXC(E$5:$E171,0.2)),0))</f>
        <v>0</v>
      </c>
      <c r="G171" s="4">
        <f ca="1">IF(C171="","",IFERROR(AVERAGEIF($E$5:E171,"&gt;"&amp;0,$E$5:E171),0))</f>
        <v>0</v>
      </c>
    </row>
    <row r="172" spans="2:7" x14ac:dyDescent="0.3">
      <c r="B172" s="18">
        <v>168</v>
      </c>
      <c r="C172" s="21">
        <f ca="1">IFERROR(IF(LEFT(C171,2)="13",DATE(RIGHT(C171,4),12,31),IF(EOMONTH(C171,1)&gt;PREMISSAS!$C$3,"",IF(MONTH(C171)=11,"13º "&amp;YEAR(C171),EOMONTH(C171,1)))),"")</f>
        <v>42338</v>
      </c>
      <c r="D172" s="22">
        <f ca="1">VLOOKUP(C172,Preencher_Salários!$D$7:$E$656,2,FALSE)</f>
        <v>0</v>
      </c>
      <c r="E172" s="4" t="str">
        <f ca="1">IF(D172=0,"",IF(IF(ISTEXT(C172),DATE(RIGHT(C172,4),12,31),C172)&lt;PREMISSAS!$D$7,"",IFERROR(VLOOKUP(IF(LEFT(C172,2)="13",DATE(RIGHT(C172,4),12,31),C172),IPCA!$A:$D,4,FALSE),1)*D172))</f>
        <v/>
      </c>
      <c r="F172" s="4">
        <f ca="1">IF(C172="","",IFERROR(AVERAGEIF(E$5:$E172,"&gt;="&amp;_xlfn.PERCENTILE.EXC(E$5:$E172,0.2)),0))</f>
        <v>0</v>
      </c>
      <c r="G172" s="4">
        <f ca="1">IF(C172="","",IFERROR(AVERAGEIF($E$5:E172,"&gt;"&amp;0,$E$5:E172),0))</f>
        <v>0</v>
      </c>
    </row>
    <row r="173" spans="2:7" x14ac:dyDescent="0.3">
      <c r="B173" s="18">
        <v>169</v>
      </c>
      <c r="C173" s="21" t="str">
        <f ca="1">IFERROR(IF(LEFT(C172,2)="13",DATE(RIGHT(C172,4),12,31),IF(EOMONTH(C172,1)&gt;PREMISSAS!$C$3,"",IF(MONTH(C172)=11,"13º "&amp;YEAR(C172),EOMONTH(C172,1)))),"")</f>
        <v>13º 2015</v>
      </c>
      <c r="D173" s="22">
        <f ca="1">VLOOKUP(C173,Preencher_Salários!$D$7:$E$656,2,FALSE)</f>
        <v>0</v>
      </c>
      <c r="E173" s="4" t="str">
        <f ca="1">IF(D173=0,"",IF(IF(ISTEXT(C173),DATE(RIGHT(C173,4),12,31),C173)&lt;PREMISSAS!$D$7,"",IFERROR(VLOOKUP(IF(LEFT(C173,2)="13",DATE(RIGHT(C173,4),12,31),C173),IPCA!$A:$D,4,FALSE),1)*D173))</f>
        <v/>
      </c>
      <c r="F173" s="4">
        <f ca="1">IF(C173="","",IFERROR(AVERAGEIF(E$5:$E173,"&gt;="&amp;_xlfn.PERCENTILE.EXC(E$5:$E173,0.2)),0))</f>
        <v>0</v>
      </c>
      <c r="G173" s="4">
        <f ca="1">IF(C173="","",IFERROR(AVERAGEIF($E$5:E173,"&gt;"&amp;0,$E$5:E173),0))</f>
        <v>0</v>
      </c>
    </row>
    <row r="174" spans="2:7" x14ac:dyDescent="0.3">
      <c r="B174" s="18">
        <v>170</v>
      </c>
      <c r="C174" s="21">
        <f ca="1">IFERROR(IF(LEFT(C173,2)="13",DATE(RIGHT(C173,4),12,31),IF(EOMONTH(C173,1)&gt;PREMISSAS!$C$3,"",IF(MONTH(C173)=11,"13º "&amp;YEAR(C173),EOMONTH(C173,1)))),"")</f>
        <v>42369</v>
      </c>
      <c r="D174" s="22">
        <f ca="1">VLOOKUP(C174,Preencher_Salários!$D$7:$E$656,2,FALSE)</f>
        <v>0</v>
      </c>
      <c r="E174" s="4" t="str">
        <f ca="1">IF(D174=0,"",IF(IF(ISTEXT(C174),DATE(RIGHT(C174,4),12,31),C174)&lt;PREMISSAS!$D$7,"",IFERROR(VLOOKUP(IF(LEFT(C174,2)="13",DATE(RIGHT(C174,4),12,31),C174),IPCA!$A:$D,4,FALSE),1)*D174))</f>
        <v/>
      </c>
      <c r="F174" s="4">
        <f ca="1">IF(C174="","",IFERROR(AVERAGEIF(E$5:$E174,"&gt;="&amp;_xlfn.PERCENTILE.EXC(E$5:$E174,0.2)),0))</f>
        <v>0</v>
      </c>
      <c r="G174" s="4">
        <f ca="1">IF(C174="","",IFERROR(AVERAGEIF($E$5:E174,"&gt;"&amp;0,$E$5:E174),0))</f>
        <v>0</v>
      </c>
    </row>
    <row r="175" spans="2:7" x14ac:dyDescent="0.3">
      <c r="B175" s="18">
        <v>171</v>
      </c>
      <c r="C175" s="21">
        <f ca="1">IFERROR(IF(LEFT(C174,2)="13",DATE(RIGHT(C174,4),12,31),IF(EOMONTH(C174,1)&gt;PREMISSAS!$C$3,"",IF(MONTH(C174)=11,"13º "&amp;YEAR(C174),EOMONTH(C174,1)))),"")</f>
        <v>42400</v>
      </c>
      <c r="D175" s="22">
        <f ca="1">VLOOKUP(C175,Preencher_Salários!$D$7:$E$656,2,FALSE)</f>
        <v>0</v>
      </c>
      <c r="E175" s="4" t="str">
        <f ca="1">IF(D175=0,"",IF(IF(ISTEXT(C175),DATE(RIGHT(C175,4),12,31),C175)&lt;PREMISSAS!$D$7,"",IFERROR(VLOOKUP(IF(LEFT(C175,2)="13",DATE(RIGHT(C175,4),12,31),C175),IPCA!$A:$D,4,FALSE),1)*D175))</f>
        <v/>
      </c>
      <c r="F175" s="4">
        <f ca="1">IF(C175="","",IFERROR(AVERAGEIF(E$5:$E175,"&gt;="&amp;_xlfn.PERCENTILE.EXC(E$5:$E175,0.2)),0))</f>
        <v>0</v>
      </c>
      <c r="G175" s="4">
        <f ca="1">IF(C175="","",IFERROR(AVERAGEIF($E$5:E175,"&gt;"&amp;0,$E$5:E175),0))</f>
        <v>0</v>
      </c>
    </row>
    <row r="176" spans="2:7" x14ac:dyDescent="0.3">
      <c r="B176" s="18">
        <v>172</v>
      </c>
      <c r="C176" s="21">
        <f ca="1">IFERROR(IF(LEFT(C175,2)="13",DATE(RIGHT(C175,4),12,31),IF(EOMONTH(C175,1)&gt;PREMISSAS!$C$3,"",IF(MONTH(C175)=11,"13º "&amp;YEAR(C175),EOMONTH(C175,1)))),"")</f>
        <v>42429</v>
      </c>
      <c r="D176" s="22">
        <f ca="1">VLOOKUP(C176,Preencher_Salários!$D$7:$E$656,2,FALSE)</f>
        <v>0</v>
      </c>
      <c r="E176" s="4" t="str">
        <f ca="1">IF(D176=0,"",IF(IF(ISTEXT(C176),DATE(RIGHT(C176,4),12,31),C176)&lt;PREMISSAS!$D$7,"",IFERROR(VLOOKUP(IF(LEFT(C176,2)="13",DATE(RIGHT(C176,4),12,31),C176),IPCA!$A:$D,4,FALSE),1)*D176))</f>
        <v/>
      </c>
      <c r="F176" s="4">
        <f ca="1">IF(C176="","",IFERROR(AVERAGEIF(E$5:$E176,"&gt;="&amp;_xlfn.PERCENTILE.EXC(E$5:$E176,0.2)),0))</f>
        <v>0</v>
      </c>
      <c r="G176" s="4">
        <f ca="1">IF(C176="","",IFERROR(AVERAGEIF($E$5:E176,"&gt;"&amp;0,$E$5:E176),0))</f>
        <v>0</v>
      </c>
    </row>
    <row r="177" spans="2:7" x14ac:dyDescent="0.3">
      <c r="B177" s="18">
        <v>173</v>
      </c>
      <c r="C177" s="21">
        <f ca="1">IFERROR(IF(LEFT(C176,2)="13",DATE(RIGHT(C176,4),12,31),IF(EOMONTH(C176,1)&gt;PREMISSAS!$C$3,"",IF(MONTH(C176)=11,"13º "&amp;YEAR(C176),EOMONTH(C176,1)))),"")</f>
        <v>42460</v>
      </c>
      <c r="D177" s="22">
        <f ca="1">VLOOKUP(C177,Preencher_Salários!$D$7:$E$656,2,FALSE)</f>
        <v>0</v>
      </c>
      <c r="E177" s="4" t="str">
        <f ca="1">IF(D177=0,"",IF(IF(ISTEXT(C177),DATE(RIGHT(C177,4),12,31),C177)&lt;PREMISSAS!$D$7,"",IFERROR(VLOOKUP(IF(LEFT(C177,2)="13",DATE(RIGHT(C177,4),12,31),C177),IPCA!$A:$D,4,FALSE),1)*D177))</f>
        <v/>
      </c>
      <c r="F177" s="4">
        <f ca="1">IF(C177="","",IFERROR(AVERAGEIF(E$5:$E177,"&gt;="&amp;_xlfn.PERCENTILE.EXC(E$5:$E177,0.2)),0))</f>
        <v>0</v>
      </c>
      <c r="G177" s="4">
        <f ca="1">IF(C177="","",IFERROR(AVERAGEIF($E$5:E177,"&gt;"&amp;0,$E$5:E177),0))</f>
        <v>0</v>
      </c>
    </row>
    <row r="178" spans="2:7" x14ac:dyDescent="0.3">
      <c r="B178" s="18">
        <v>174</v>
      </c>
      <c r="C178" s="21">
        <f ca="1">IFERROR(IF(LEFT(C177,2)="13",DATE(RIGHT(C177,4),12,31),IF(EOMONTH(C177,1)&gt;PREMISSAS!$C$3,"",IF(MONTH(C177)=11,"13º "&amp;YEAR(C177),EOMONTH(C177,1)))),"")</f>
        <v>42490</v>
      </c>
      <c r="D178" s="22">
        <f ca="1">VLOOKUP(C178,Preencher_Salários!$D$7:$E$656,2,FALSE)</f>
        <v>0</v>
      </c>
      <c r="E178" s="4" t="str">
        <f ca="1">IF(D178=0,"",IF(IF(ISTEXT(C178),DATE(RIGHT(C178,4),12,31),C178)&lt;PREMISSAS!$D$7,"",IFERROR(VLOOKUP(IF(LEFT(C178,2)="13",DATE(RIGHT(C178,4),12,31),C178),IPCA!$A:$D,4,FALSE),1)*D178))</f>
        <v/>
      </c>
      <c r="F178" s="4">
        <f ca="1">IF(C178="","",IFERROR(AVERAGEIF(E$5:$E178,"&gt;="&amp;_xlfn.PERCENTILE.EXC(E$5:$E178,0.2)),0))</f>
        <v>0</v>
      </c>
      <c r="G178" s="4">
        <f ca="1">IF(C178="","",IFERROR(AVERAGEIF($E$5:E178,"&gt;"&amp;0,$E$5:E178),0))</f>
        <v>0</v>
      </c>
    </row>
    <row r="179" spans="2:7" x14ac:dyDescent="0.3">
      <c r="B179" s="18">
        <v>175</v>
      </c>
      <c r="C179" s="21">
        <f ca="1">IFERROR(IF(LEFT(C178,2)="13",DATE(RIGHT(C178,4),12,31),IF(EOMONTH(C178,1)&gt;PREMISSAS!$C$3,"",IF(MONTH(C178)=11,"13º "&amp;YEAR(C178),EOMONTH(C178,1)))),"")</f>
        <v>42521</v>
      </c>
      <c r="D179" s="22">
        <f ca="1">VLOOKUP(C179,Preencher_Salários!$D$7:$E$656,2,FALSE)</f>
        <v>0</v>
      </c>
      <c r="E179" s="4" t="str">
        <f ca="1">IF(D179=0,"",IF(IF(ISTEXT(C179),DATE(RIGHT(C179,4),12,31),C179)&lt;PREMISSAS!$D$7,"",IFERROR(VLOOKUP(IF(LEFT(C179,2)="13",DATE(RIGHT(C179,4),12,31),C179),IPCA!$A:$D,4,FALSE),1)*D179))</f>
        <v/>
      </c>
      <c r="F179" s="4">
        <f ca="1">IF(C179="","",IFERROR(AVERAGEIF(E$5:$E179,"&gt;="&amp;_xlfn.PERCENTILE.EXC(E$5:$E179,0.2)),0))</f>
        <v>0</v>
      </c>
      <c r="G179" s="4">
        <f ca="1">IF(C179="","",IFERROR(AVERAGEIF($E$5:E179,"&gt;"&amp;0,$E$5:E179),0))</f>
        <v>0</v>
      </c>
    </row>
    <row r="180" spans="2:7" x14ac:dyDescent="0.3">
      <c r="B180" s="18">
        <v>176</v>
      </c>
      <c r="C180" s="21">
        <f ca="1">IFERROR(IF(LEFT(C179,2)="13",DATE(RIGHT(C179,4),12,31),IF(EOMONTH(C179,1)&gt;PREMISSAS!$C$3,"",IF(MONTH(C179)=11,"13º "&amp;YEAR(C179),EOMONTH(C179,1)))),"")</f>
        <v>42551</v>
      </c>
      <c r="D180" s="22">
        <f ca="1">VLOOKUP(C180,Preencher_Salários!$D$7:$E$656,2,FALSE)</f>
        <v>0</v>
      </c>
      <c r="E180" s="4" t="str">
        <f ca="1">IF(D180=0,"",IF(IF(ISTEXT(C180),DATE(RIGHT(C180,4),12,31),C180)&lt;PREMISSAS!$D$7,"",IFERROR(VLOOKUP(IF(LEFT(C180,2)="13",DATE(RIGHT(C180,4),12,31),C180),IPCA!$A:$D,4,FALSE),1)*D180))</f>
        <v/>
      </c>
      <c r="F180" s="4">
        <f ca="1">IF(C180="","",IFERROR(AVERAGEIF(E$5:$E180,"&gt;="&amp;_xlfn.PERCENTILE.EXC(E$5:$E180,0.2)),0))</f>
        <v>0</v>
      </c>
      <c r="G180" s="4">
        <f ca="1">IF(C180="","",IFERROR(AVERAGEIF($E$5:E180,"&gt;"&amp;0,$E$5:E180),0))</f>
        <v>0</v>
      </c>
    </row>
    <row r="181" spans="2:7" x14ac:dyDescent="0.3">
      <c r="B181" s="18">
        <v>177</v>
      </c>
      <c r="C181" s="21">
        <f ca="1">IFERROR(IF(LEFT(C180,2)="13",DATE(RIGHT(C180,4),12,31),IF(EOMONTH(C180,1)&gt;PREMISSAS!$C$3,"",IF(MONTH(C180)=11,"13º "&amp;YEAR(C180),EOMONTH(C180,1)))),"")</f>
        <v>42582</v>
      </c>
      <c r="D181" s="22">
        <f ca="1">VLOOKUP(C181,Preencher_Salários!$D$7:$E$656,2,FALSE)</f>
        <v>0</v>
      </c>
      <c r="E181" s="4" t="str">
        <f ca="1">IF(D181=0,"",IF(IF(ISTEXT(C181),DATE(RIGHT(C181,4),12,31),C181)&lt;PREMISSAS!$D$7,"",IFERROR(VLOOKUP(IF(LEFT(C181,2)="13",DATE(RIGHT(C181,4),12,31),C181),IPCA!$A:$D,4,FALSE),1)*D181))</f>
        <v/>
      </c>
      <c r="F181" s="4">
        <f ca="1">IF(C181="","",IFERROR(AVERAGEIF(E$5:$E181,"&gt;="&amp;_xlfn.PERCENTILE.EXC(E$5:$E181,0.2)),0))</f>
        <v>0</v>
      </c>
      <c r="G181" s="4">
        <f ca="1">IF(C181="","",IFERROR(AVERAGEIF($E$5:E181,"&gt;"&amp;0,$E$5:E181),0))</f>
        <v>0</v>
      </c>
    </row>
    <row r="182" spans="2:7" x14ac:dyDescent="0.3">
      <c r="B182" s="18">
        <v>178</v>
      </c>
      <c r="C182" s="21">
        <f ca="1">IFERROR(IF(LEFT(C181,2)="13",DATE(RIGHT(C181,4),12,31),IF(EOMONTH(C181,1)&gt;PREMISSAS!$C$3,"",IF(MONTH(C181)=11,"13º "&amp;YEAR(C181),EOMONTH(C181,1)))),"")</f>
        <v>42613</v>
      </c>
      <c r="D182" s="22">
        <f ca="1">VLOOKUP(C182,Preencher_Salários!$D$7:$E$656,2,FALSE)</f>
        <v>0</v>
      </c>
      <c r="E182" s="4" t="str">
        <f ca="1">IF(D182=0,"",IF(IF(ISTEXT(C182),DATE(RIGHT(C182,4),12,31),C182)&lt;PREMISSAS!$D$7,"",IFERROR(VLOOKUP(IF(LEFT(C182,2)="13",DATE(RIGHT(C182,4),12,31),C182),IPCA!$A:$D,4,FALSE),1)*D182))</f>
        <v/>
      </c>
      <c r="F182" s="4">
        <f ca="1">IF(C182="","",IFERROR(AVERAGEIF(E$5:$E182,"&gt;="&amp;_xlfn.PERCENTILE.EXC(E$5:$E182,0.2)),0))</f>
        <v>0</v>
      </c>
      <c r="G182" s="4">
        <f ca="1">IF(C182="","",IFERROR(AVERAGEIF($E$5:E182,"&gt;"&amp;0,$E$5:E182),0))</f>
        <v>0</v>
      </c>
    </row>
    <row r="183" spans="2:7" x14ac:dyDescent="0.3">
      <c r="B183" s="18">
        <v>179</v>
      </c>
      <c r="C183" s="21">
        <f ca="1">IFERROR(IF(LEFT(C182,2)="13",DATE(RIGHT(C182,4),12,31),IF(EOMONTH(C182,1)&gt;PREMISSAS!$C$3,"",IF(MONTH(C182)=11,"13º "&amp;YEAR(C182),EOMONTH(C182,1)))),"")</f>
        <v>42643</v>
      </c>
      <c r="D183" s="22">
        <f ca="1">VLOOKUP(C183,Preencher_Salários!$D$7:$E$656,2,FALSE)</f>
        <v>0</v>
      </c>
      <c r="E183" s="4" t="str">
        <f ca="1">IF(D183=0,"",IF(IF(ISTEXT(C183),DATE(RIGHT(C183,4),12,31),C183)&lt;PREMISSAS!$D$7,"",IFERROR(VLOOKUP(IF(LEFT(C183,2)="13",DATE(RIGHT(C183,4),12,31),C183),IPCA!$A:$D,4,FALSE),1)*D183))</f>
        <v/>
      </c>
      <c r="F183" s="4">
        <f ca="1">IF(C183="","",IFERROR(AVERAGEIF(E$5:$E183,"&gt;="&amp;_xlfn.PERCENTILE.EXC(E$5:$E183,0.2)),0))</f>
        <v>0</v>
      </c>
      <c r="G183" s="4">
        <f ca="1">IF(C183="","",IFERROR(AVERAGEIF($E$5:E183,"&gt;"&amp;0,$E$5:E183),0))</f>
        <v>0</v>
      </c>
    </row>
    <row r="184" spans="2:7" x14ac:dyDescent="0.3">
      <c r="B184" s="18">
        <v>180</v>
      </c>
      <c r="C184" s="21">
        <f ca="1">IFERROR(IF(LEFT(C183,2)="13",DATE(RIGHT(C183,4),12,31),IF(EOMONTH(C183,1)&gt;PREMISSAS!$C$3,"",IF(MONTH(C183)=11,"13º "&amp;YEAR(C183),EOMONTH(C183,1)))),"")</f>
        <v>42674</v>
      </c>
      <c r="D184" s="22">
        <f ca="1">VLOOKUP(C184,Preencher_Salários!$D$7:$E$656,2,FALSE)</f>
        <v>0</v>
      </c>
      <c r="E184" s="4" t="str">
        <f ca="1">IF(D184=0,"",IF(IF(ISTEXT(C184),DATE(RIGHT(C184,4),12,31),C184)&lt;PREMISSAS!$D$7,"",IFERROR(VLOOKUP(IF(LEFT(C184,2)="13",DATE(RIGHT(C184,4),12,31),C184),IPCA!$A:$D,4,FALSE),1)*D184))</f>
        <v/>
      </c>
      <c r="F184" s="4">
        <f ca="1">IF(C184="","",IFERROR(AVERAGEIF(E$5:$E184,"&gt;="&amp;_xlfn.PERCENTILE.EXC(E$5:$E184,0.2)),0))</f>
        <v>0</v>
      </c>
      <c r="G184" s="4">
        <f ca="1">IF(C184="","",IFERROR(AVERAGEIF($E$5:E184,"&gt;"&amp;0,$E$5:E184),0))</f>
        <v>0</v>
      </c>
    </row>
    <row r="185" spans="2:7" x14ac:dyDescent="0.3">
      <c r="B185" s="18">
        <v>181</v>
      </c>
      <c r="C185" s="21">
        <f ca="1">IFERROR(IF(LEFT(C184,2)="13",DATE(RIGHT(C184,4),12,31),IF(EOMONTH(C184,1)&gt;PREMISSAS!$C$3,"",IF(MONTH(C184)=11,"13º "&amp;YEAR(C184),EOMONTH(C184,1)))),"")</f>
        <v>42704</v>
      </c>
      <c r="D185" s="22">
        <f ca="1">VLOOKUP(C185,Preencher_Salários!$D$7:$E$656,2,FALSE)</f>
        <v>0</v>
      </c>
      <c r="E185" s="4" t="str">
        <f ca="1">IF(D185=0,"",IF(IF(ISTEXT(C185),DATE(RIGHT(C185,4),12,31),C185)&lt;PREMISSAS!$D$7,"",IFERROR(VLOOKUP(IF(LEFT(C185,2)="13",DATE(RIGHT(C185,4),12,31),C185),IPCA!$A:$D,4,FALSE),1)*D185))</f>
        <v/>
      </c>
      <c r="F185" s="4">
        <f ca="1">IF(C185="","",IFERROR(AVERAGEIF(E$5:$E185,"&gt;="&amp;_xlfn.PERCENTILE.EXC(E$5:$E185,0.2)),0))</f>
        <v>0</v>
      </c>
      <c r="G185" s="4">
        <f ca="1">IF(C185="","",IFERROR(AVERAGEIF($E$5:E185,"&gt;"&amp;0,$E$5:E185),0))</f>
        <v>0</v>
      </c>
    </row>
    <row r="186" spans="2:7" x14ac:dyDescent="0.3">
      <c r="B186" s="18">
        <v>182</v>
      </c>
      <c r="C186" s="21" t="str">
        <f ca="1">IFERROR(IF(LEFT(C185,2)="13",DATE(RIGHT(C185,4),12,31),IF(EOMONTH(C185,1)&gt;PREMISSAS!$C$3,"",IF(MONTH(C185)=11,"13º "&amp;YEAR(C185),EOMONTH(C185,1)))),"")</f>
        <v>13º 2016</v>
      </c>
      <c r="D186" s="22">
        <f ca="1">VLOOKUP(C186,Preencher_Salários!$D$7:$E$656,2,FALSE)</f>
        <v>0</v>
      </c>
      <c r="E186" s="4" t="str">
        <f ca="1">IF(D186=0,"",IF(IF(ISTEXT(C186),DATE(RIGHT(C186,4),12,31),C186)&lt;PREMISSAS!$D$7,"",IFERROR(VLOOKUP(IF(LEFT(C186,2)="13",DATE(RIGHT(C186,4),12,31),C186),IPCA!$A:$D,4,FALSE),1)*D186))</f>
        <v/>
      </c>
      <c r="F186" s="4">
        <f ca="1">IF(C186="","",IFERROR(AVERAGEIF(E$5:$E186,"&gt;="&amp;_xlfn.PERCENTILE.EXC(E$5:$E186,0.2)),0))</f>
        <v>0</v>
      </c>
      <c r="G186" s="4">
        <f ca="1">IF(C186="","",IFERROR(AVERAGEIF($E$5:E186,"&gt;"&amp;0,$E$5:E186),0))</f>
        <v>0</v>
      </c>
    </row>
    <row r="187" spans="2:7" x14ac:dyDescent="0.3">
      <c r="B187" s="18">
        <v>183</v>
      </c>
      <c r="C187" s="21">
        <f ca="1">IFERROR(IF(LEFT(C186,2)="13",DATE(RIGHT(C186,4),12,31),IF(EOMONTH(C186,1)&gt;PREMISSAS!$C$3,"",IF(MONTH(C186)=11,"13º "&amp;YEAR(C186),EOMONTH(C186,1)))),"")</f>
        <v>42735</v>
      </c>
      <c r="D187" s="22">
        <f ca="1">VLOOKUP(C187,Preencher_Salários!$D$7:$E$656,2,FALSE)</f>
        <v>0</v>
      </c>
      <c r="E187" s="4" t="str">
        <f ca="1">IF(D187=0,"",IF(IF(ISTEXT(C187),DATE(RIGHT(C187,4),12,31),C187)&lt;PREMISSAS!$D$7,"",IFERROR(VLOOKUP(IF(LEFT(C187,2)="13",DATE(RIGHT(C187,4),12,31),C187),IPCA!$A:$D,4,FALSE),1)*D187))</f>
        <v/>
      </c>
      <c r="F187" s="4">
        <f ca="1">IF(C187="","",IFERROR(AVERAGEIF(E$5:$E187,"&gt;="&amp;_xlfn.PERCENTILE.EXC(E$5:$E187,0.2)),0))</f>
        <v>0</v>
      </c>
      <c r="G187" s="4">
        <f ca="1">IF(C187="","",IFERROR(AVERAGEIF($E$5:E187,"&gt;"&amp;0,$E$5:E187),0))</f>
        <v>0</v>
      </c>
    </row>
    <row r="188" spans="2:7" x14ac:dyDescent="0.3">
      <c r="B188" s="18">
        <v>184</v>
      </c>
      <c r="C188" s="21">
        <f ca="1">IFERROR(IF(LEFT(C187,2)="13",DATE(RIGHT(C187,4),12,31),IF(EOMONTH(C187,1)&gt;PREMISSAS!$C$3,"",IF(MONTH(C187)=11,"13º "&amp;YEAR(C187),EOMONTH(C187,1)))),"")</f>
        <v>42766</v>
      </c>
      <c r="D188" s="22">
        <f ca="1">VLOOKUP(C188,Preencher_Salários!$D$7:$E$656,2,FALSE)</f>
        <v>0</v>
      </c>
      <c r="E188" s="4" t="str">
        <f ca="1">IF(D188=0,"",IF(IF(ISTEXT(C188),DATE(RIGHT(C188,4),12,31),C188)&lt;PREMISSAS!$D$7,"",IFERROR(VLOOKUP(IF(LEFT(C188,2)="13",DATE(RIGHT(C188,4),12,31),C188),IPCA!$A:$D,4,FALSE),1)*D188))</f>
        <v/>
      </c>
      <c r="F188" s="4">
        <f ca="1">IF(C188="","",IFERROR(AVERAGEIF(E$5:$E188,"&gt;="&amp;_xlfn.PERCENTILE.EXC(E$5:$E188,0.2)),0))</f>
        <v>0</v>
      </c>
      <c r="G188" s="4">
        <f ca="1">IF(C188="","",IFERROR(AVERAGEIF($E$5:E188,"&gt;"&amp;0,$E$5:E188),0))</f>
        <v>0</v>
      </c>
    </row>
    <row r="189" spans="2:7" x14ac:dyDescent="0.3">
      <c r="B189" s="18">
        <v>185</v>
      </c>
      <c r="C189" s="21">
        <f ca="1">IFERROR(IF(LEFT(C188,2)="13",DATE(RIGHT(C188,4),12,31),IF(EOMONTH(C188,1)&gt;PREMISSAS!$C$3,"",IF(MONTH(C188)=11,"13º "&amp;YEAR(C188),EOMONTH(C188,1)))),"")</f>
        <v>42794</v>
      </c>
      <c r="D189" s="22">
        <f ca="1">VLOOKUP(C189,Preencher_Salários!$D$7:$E$656,2,FALSE)</f>
        <v>0</v>
      </c>
      <c r="E189" s="4" t="str">
        <f ca="1">IF(D189=0,"",IF(IF(ISTEXT(C189),DATE(RIGHT(C189,4),12,31),C189)&lt;PREMISSAS!$D$7,"",IFERROR(VLOOKUP(IF(LEFT(C189,2)="13",DATE(RIGHT(C189,4),12,31),C189),IPCA!$A:$D,4,FALSE),1)*D189))</f>
        <v/>
      </c>
      <c r="F189" s="4">
        <f ca="1">IF(C189="","",IFERROR(AVERAGEIF(E$5:$E189,"&gt;="&amp;_xlfn.PERCENTILE.EXC(E$5:$E189,0.2)),0))</f>
        <v>0</v>
      </c>
      <c r="G189" s="4">
        <f ca="1">IF(C189="","",IFERROR(AVERAGEIF($E$5:E189,"&gt;"&amp;0,$E$5:E189),0))</f>
        <v>0</v>
      </c>
    </row>
    <row r="190" spans="2:7" x14ac:dyDescent="0.3">
      <c r="B190" s="18">
        <v>186</v>
      </c>
      <c r="C190" s="21">
        <f ca="1">IFERROR(IF(LEFT(C189,2)="13",DATE(RIGHT(C189,4),12,31),IF(EOMONTH(C189,1)&gt;PREMISSAS!$C$3,"",IF(MONTH(C189)=11,"13º "&amp;YEAR(C189),EOMONTH(C189,1)))),"")</f>
        <v>42825</v>
      </c>
      <c r="D190" s="22">
        <f ca="1">VLOOKUP(C190,Preencher_Salários!$D$7:$E$656,2,FALSE)</f>
        <v>0</v>
      </c>
      <c r="E190" s="4" t="str">
        <f ca="1">IF(D190=0,"",IF(IF(ISTEXT(C190),DATE(RIGHT(C190,4),12,31),C190)&lt;PREMISSAS!$D$7,"",IFERROR(VLOOKUP(IF(LEFT(C190,2)="13",DATE(RIGHT(C190,4),12,31),C190),IPCA!$A:$D,4,FALSE),1)*D190))</f>
        <v/>
      </c>
      <c r="F190" s="4">
        <f ca="1">IF(C190="","",IFERROR(AVERAGEIF(E$5:$E190,"&gt;="&amp;_xlfn.PERCENTILE.EXC(E$5:$E190,0.2)),0))</f>
        <v>0</v>
      </c>
      <c r="G190" s="4">
        <f ca="1">IF(C190="","",IFERROR(AVERAGEIF($E$5:E190,"&gt;"&amp;0,$E$5:E190),0))</f>
        <v>0</v>
      </c>
    </row>
    <row r="191" spans="2:7" x14ac:dyDescent="0.3">
      <c r="B191" s="18">
        <v>187</v>
      </c>
      <c r="C191" s="21">
        <f ca="1">IFERROR(IF(LEFT(C190,2)="13",DATE(RIGHT(C190,4),12,31),IF(EOMONTH(C190,1)&gt;PREMISSAS!$C$3,"",IF(MONTH(C190)=11,"13º "&amp;YEAR(C190),EOMONTH(C190,1)))),"")</f>
        <v>42855</v>
      </c>
      <c r="D191" s="22">
        <f ca="1">VLOOKUP(C191,Preencher_Salários!$D$7:$E$656,2,FALSE)</f>
        <v>0</v>
      </c>
      <c r="E191" s="4" t="str">
        <f ca="1">IF(D191=0,"",IF(IF(ISTEXT(C191),DATE(RIGHT(C191,4),12,31),C191)&lt;PREMISSAS!$D$7,"",IFERROR(VLOOKUP(IF(LEFT(C191,2)="13",DATE(RIGHT(C191,4),12,31),C191),IPCA!$A:$D,4,FALSE),1)*D191))</f>
        <v/>
      </c>
      <c r="F191" s="4">
        <f ca="1">IF(C191="","",IFERROR(AVERAGEIF(E$5:$E191,"&gt;="&amp;_xlfn.PERCENTILE.EXC(E$5:$E191,0.2)),0))</f>
        <v>0</v>
      </c>
      <c r="G191" s="4">
        <f ca="1">IF(C191="","",IFERROR(AVERAGEIF($E$5:E191,"&gt;"&amp;0,$E$5:E191),0))</f>
        <v>0</v>
      </c>
    </row>
    <row r="192" spans="2:7" x14ac:dyDescent="0.3">
      <c r="B192" s="18">
        <v>188</v>
      </c>
      <c r="C192" s="21">
        <f ca="1">IFERROR(IF(LEFT(C191,2)="13",DATE(RIGHT(C191,4),12,31),IF(EOMONTH(C191,1)&gt;PREMISSAS!$C$3,"",IF(MONTH(C191)=11,"13º "&amp;YEAR(C191),EOMONTH(C191,1)))),"")</f>
        <v>42886</v>
      </c>
      <c r="D192" s="22">
        <f ca="1">VLOOKUP(C192,Preencher_Salários!$D$7:$E$656,2,FALSE)</f>
        <v>0</v>
      </c>
      <c r="E192" s="4" t="str">
        <f ca="1">IF(D192=0,"",IF(IF(ISTEXT(C192),DATE(RIGHT(C192,4),12,31),C192)&lt;PREMISSAS!$D$7,"",IFERROR(VLOOKUP(IF(LEFT(C192,2)="13",DATE(RIGHT(C192,4),12,31),C192),IPCA!$A:$D,4,FALSE),1)*D192))</f>
        <v/>
      </c>
      <c r="F192" s="4">
        <f ca="1">IF(C192="","",IFERROR(AVERAGEIF(E$5:$E192,"&gt;="&amp;_xlfn.PERCENTILE.EXC(E$5:$E192,0.2)),0))</f>
        <v>0</v>
      </c>
      <c r="G192" s="4">
        <f ca="1">IF(C192="","",IFERROR(AVERAGEIF($E$5:E192,"&gt;"&amp;0,$E$5:E192),0))</f>
        <v>0</v>
      </c>
    </row>
    <row r="193" spans="2:7" x14ac:dyDescent="0.3">
      <c r="B193" s="18">
        <v>189</v>
      </c>
      <c r="C193" s="21">
        <f ca="1">IFERROR(IF(LEFT(C192,2)="13",DATE(RIGHT(C192,4),12,31),IF(EOMONTH(C192,1)&gt;PREMISSAS!$C$3,"",IF(MONTH(C192)=11,"13º "&amp;YEAR(C192),EOMONTH(C192,1)))),"")</f>
        <v>42916</v>
      </c>
      <c r="D193" s="22">
        <f ca="1">VLOOKUP(C193,Preencher_Salários!$D$7:$E$656,2,FALSE)</f>
        <v>0</v>
      </c>
      <c r="E193" s="4" t="str">
        <f ca="1">IF(D193=0,"",IF(IF(ISTEXT(C193),DATE(RIGHT(C193,4),12,31),C193)&lt;PREMISSAS!$D$7,"",IFERROR(VLOOKUP(IF(LEFT(C193,2)="13",DATE(RIGHT(C193,4),12,31),C193),IPCA!$A:$D,4,FALSE),1)*D193))</f>
        <v/>
      </c>
      <c r="F193" s="4">
        <f ca="1">IF(C193="","",IFERROR(AVERAGEIF(E$5:$E193,"&gt;="&amp;_xlfn.PERCENTILE.EXC(E$5:$E193,0.2)),0))</f>
        <v>0</v>
      </c>
      <c r="G193" s="4">
        <f ca="1">IF(C193="","",IFERROR(AVERAGEIF($E$5:E193,"&gt;"&amp;0,$E$5:E193),0))</f>
        <v>0</v>
      </c>
    </row>
    <row r="194" spans="2:7" x14ac:dyDescent="0.3">
      <c r="B194" s="18">
        <v>190</v>
      </c>
      <c r="C194" s="21">
        <f ca="1">IFERROR(IF(LEFT(C193,2)="13",DATE(RIGHT(C193,4),12,31),IF(EOMONTH(C193,1)&gt;PREMISSAS!$C$3,"",IF(MONTH(C193)=11,"13º "&amp;YEAR(C193),EOMONTH(C193,1)))),"")</f>
        <v>42947</v>
      </c>
      <c r="D194" s="22">
        <f ca="1">VLOOKUP(C194,Preencher_Salários!$D$7:$E$656,2,FALSE)</f>
        <v>0</v>
      </c>
      <c r="E194" s="4" t="str">
        <f ca="1">IF(D194=0,"",IF(IF(ISTEXT(C194),DATE(RIGHT(C194,4),12,31),C194)&lt;PREMISSAS!$D$7,"",IFERROR(VLOOKUP(IF(LEFT(C194,2)="13",DATE(RIGHT(C194,4),12,31),C194),IPCA!$A:$D,4,FALSE),1)*D194))</f>
        <v/>
      </c>
      <c r="F194" s="4">
        <f ca="1">IF(C194="","",IFERROR(AVERAGEIF(E$5:$E194,"&gt;="&amp;_xlfn.PERCENTILE.EXC(E$5:$E194,0.2)),0))</f>
        <v>0</v>
      </c>
      <c r="G194" s="4">
        <f ca="1">IF(C194="","",IFERROR(AVERAGEIF($E$5:E194,"&gt;"&amp;0,$E$5:E194),0))</f>
        <v>0</v>
      </c>
    </row>
    <row r="195" spans="2:7" x14ac:dyDescent="0.3">
      <c r="B195" s="18">
        <v>191</v>
      </c>
      <c r="C195" s="21">
        <f ca="1">IFERROR(IF(LEFT(C194,2)="13",DATE(RIGHT(C194,4),12,31),IF(EOMONTH(C194,1)&gt;PREMISSAS!$C$3,"",IF(MONTH(C194)=11,"13º "&amp;YEAR(C194),EOMONTH(C194,1)))),"")</f>
        <v>42978</v>
      </c>
      <c r="D195" s="22">
        <f ca="1">VLOOKUP(C195,Preencher_Salários!$D$7:$E$656,2,FALSE)</f>
        <v>0</v>
      </c>
      <c r="E195" s="4" t="str">
        <f ca="1">IF(D195=0,"",IF(IF(ISTEXT(C195),DATE(RIGHT(C195,4),12,31),C195)&lt;PREMISSAS!$D$7,"",IFERROR(VLOOKUP(IF(LEFT(C195,2)="13",DATE(RIGHT(C195,4),12,31),C195),IPCA!$A:$D,4,FALSE),1)*D195))</f>
        <v/>
      </c>
      <c r="F195" s="4">
        <f ca="1">IF(C195="","",IFERROR(AVERAGEIF(E$5:$E195,"&gt;="&amp;_xlfn.PERCENTILE.EXC(E$5:$E195,0.2)),0))</f>
        <v>0</v>
      </c>
      <c r="G195" s="4">
        <f ca="1">IF(C195="","",IFERROR(AVERAGEIF($E$5:E195,"&gt;"&amp;0,$E$5:E195),0))</f>
        <v>0</v>
      </c>
    </row>
    <row r="196" spans="2:7" x14ac:dyDescent="0.3">
      <c r="B196" s="18">
        <v>192</v>
      </c>
      <c r="C196" s="21">
        <f ca="1">IFERROR(IF(LEFT(C195,2)="13",DATE(RIGHT(C195,4),12,31),IF(EOMONTH(C195,1)&gt;PREMISSAS!$C$3,"",IF(MONTH(C195)=11,"13º "&amp;YEAR(C195),EOMONTH(C195,1)))),"")</f>
        <v>43008</v>
      </c>
      <c r="D196" s="22">
        <f ca="1">VLOOKUP(C196,Preencher_Salários!$D$7:$E$656,2,FALSE)</f>
        <v>0</v>
      </c>
      <c r="E196" s="4" t="str">
        <f ca="1">IF(D196=0,"",IF(IF(ISTEXT(C196),DATE(RIGHT(C196,4),12,31),C196)&lt;PREMISSAS!$D$7,"",IFERROR(VLOOKUP(IF(LEFT(C196,2)="13",DATE(RIGHT(C196,4),12,31),C196),IPCA!$A:$D,4,FALSE),1)*D196))</f>
        <v/>
      </c>
      <c r="F196" s="4">
        <f ca="1">IF(C196="","",IFERROR(AVERAGEIF(E$5:$E196,"&gt;="&amp;_xlfn.PERCENTILE.EXC(E$5:$E196,0.2)),0))</f>
        <v>0</v>
      </c>
      <c r="G196" s="4">
        <f ca="1">IF(C196="","",IFERROR(AVERAGEIF($E$5:E196,"&gt;"&amp;0,$E$5:E196),0))</f>
        <v>0</v>
      </c>
    </row>
    <row r="197" spans="2:7" x14ac:dyDescent="0.3">
      <c r="B197" s="18">
        <v>193</v>
      </c>
      <c r="C197" s="21">
        <f ca="1">IFERROR(IF(LEFT(C196,2)="13",DATE(RIGHT(C196,4),12,31),IF(EOMONTH(C196,1)&gt;PREMISSAS!$C$3,"",IF(MONTH(C196)=11,"13º "&amp;YEAR(C196),EOMONTH(C196,1)))),"")</f>
        <v>43039</v>
      </c>
      <c r="D197" s="22">
        <f ca="1">VLOOKUP(C197,Preencher_Salários!$D$7:$E$656,2,FALSE)</f>
        <v>0</v>
      </c>
      <c r="E197" s="4" t="str">
        <f ca="1">IF(D197=0,"",IF(IF(ISTEXT(C197),DATE(RIGHT(C197,4),12,31),C197)&lt;PREMISSAS!$D$7,"",IFERROR(VLOOKUP(IF(LEFT(C197,2)="13",DATE(RIGHT(C197,4),12,31),C197),IPCA!$A:$D,4,FALSE),1)*D197))</f>
        <v/>
      </c>
      <c r="F197" s="4">
        <f ca="1">IF(C197="","",IFERROR(AVERAGEIF(E$5:$E197,"&gt;="&amp;_xlfn.PERCENTILE.EXC(E$5:$E197,0.2)),0))</f>
        <v>0</v>
      </c>
      <c r="G197" s="4">
        <f ca="1">IF(C197="","",IFERROR(AVERAGEIF($E$5:E197,"&gt;"&amp;0,$E$5:E197),0))</f>
        <v>0</v>
      </c>
    </row>
    <row r="198" spans="2:7" x14ac:dyDescent="0.3">
      <c r="B198" s="18">
        <v>194</v>
      </c>
      <c r="C198" s="21">
        <f ca="1">IFERROR(IF(LEFT(C197,2)="13",DATE(RIGHT(C197,4),12,31),IF(EOMONTH(C197,1)&gt;PREMISSAS!$C$3,"",IF(MONTH(C197)=11,"13º "&amp;YEAR(C197),EOMONTH(C197,1)))),"")</f>
        <v>43069</v>
      </c>
      <c r="D198" s="22">
        <f ca="1">VLOOKUP(C198,Preencher_Salários!$D$7:$E$656,2,FALSE)</f>
        <v>0</v>
      </c>
      <c r="E198" s="4" t="str">
        <f ca="1">IF(D198=0,"",IF(IF(ISTEXT(C198),DATE(RIGHT(C198,4),12,31),C198)&lt;PREMISSAS!$D$7,"",IFERROR(VLOOKUP(IF(LEFT(C198,2)="13",DATE(RIGHT(C198,4),12,31),C198),IPCA!$A:$D,4,FALSE),1)*D198))</f>
        <v/>
      </c>
      <c r="F198" s="4">
        <f ca="1">IF(C198="","",IFERROR(AVERAGEIF(E$5:$E198,"&gt;="&amp;_xlfn.PERCENTILE.EXC(E$5:$E198,0.2)),0))</f>
        <v>0</v>
      </c>
      <c r="G198" s="4">
        <f ca="1">IF(C198="","",IFERROR(AVERAGEIF($E$5:E198,"&gt;"&amp;0,$E$5:E198),0))</f>
        <v>0</v>
      </c>
    </row>
    <row r="199" spans="2:7" x14ac:dyDescent="0.3">
      <c r="B199" s="18">
        <v>195</v>
      </c>
      <c r="C199" s="21" t="str">
        <f ca="1">IFERROR(IF(LEFT(C198,2)="13",DATE(RIGHT(C198,4),12,31),IF(EOMONTH(C198,1)&gt;PREMISSAS!$C$3,"",IF(MONTH(C198)=11,"13º "&amp;YEAR(C198),EOMONTH(C198,1)))),"")</f>
        <v>13º 2017</v>
      </c>
      <c r="D199" s="22">
        <f ca="1">VLOOKUP(C199,Preencher_Salários!$D$7:$E$656,2,FALSE)</f>
        <v>0</v>
      </c>
      <c r="E199" s="4" t="str">
        <f ca="1">IF(D199=0,"",IF(IF(ISTEXT(C199),DATE(RIGHT(C199,4),12,31),C199)&lt;PREMISSAS!$D$7,"",IFERROR(VLOOKUP(IF(LEFT(C199,2)="13",DATE(RIGHT(C199,4),12,31),C199),IPCA!$A:$D,4,FALSE),1)*D199))</f>
        <v/>
      </c>
      <c r="F199" s="4">
        <f ca="1">IF(C199="","",IFERROR(AVERAGEIF(E$5:$E199,"&gt;="&amp;_xlfn.PERCENTILE.EXC(E$5:$E199,0.2)),0))</f>
        <v>0</v>
      </c>
      <c r="G199" s="4">
        <f ca="1">IF(C199="","",IFERROR(AVERAGEIF($E$5:E199,"&gt;"&amp;0,$E$5:E199),0))</f>
        <v>0</v>
      </c>
    </row>
    <row r="200" spans="2:7" x14ac:dyDescent="0.3">
      <c r="B200" s="18">
        <v>196</v>
      </c>
      <c r="C200" s="21">
        <f ca="1">IFERROR(IF(LEFT(C199,2)="13",DATE(RIGHT(C199,4),12,31),IF(EOMONTH(C199,1)&gt;PREMISSAS!$C$3,"",IF(MONTH(C199)=11,"13º "&amp;YEAR(C199),EOMONTH(C199,1)))),"")</f>
        <v>43100</v>
      </c>
      <c r="D200" s="22">
        <f ca="1">VLOOKUP(C200,Preencher_Salários!$D$7:$E$656,2,FALSE)</f>
        <v>0</v>
      </c>
      <c r="E200" s="4" t="str">
        <f ca="1">IF(D200=0,"",IF(IF(ISTEXT(C200),DATE(RIGHT(C200,4),12,31),C200)&lt;PREMISSAS!$D$7,"",IFERROR(VLOOKUP(IF(LEFT(C200,2)="13",DATE(RIGHT(C200,4),12,31),C200),IPCA!$A:$D,4,FALSE),1)*D200))</f>
        <v/>
      </c>
      <c r="F200" s="4">
        <f ca="1">IF(C200="","",IFERROR(AVERAGEIF(E$5:$E200,"&gt;="&amp;_xlfn.PERCENTILE.EXC(E$5:$E200,0.2)),0))</f>
        <v>0</v>
      </c>
      <c r="G200" s="4">
        <f ca="1">IF(C200="","",IFERROR(AVERAGEIF($E$5:E200,"&gt;"&amp;0,$E$5:E200),0))</f>
        <v>0</v>
      </c>
    </row>
    <row r="201" spans="2:7" x14ac:dyDescent="0.3">
      <c r="B201" s="18">
        <v>197</v>
      </c>
      <c r="C201" s="21">
        <f ca="1">IFERROR(IF(LEFT(C200,2)="13",DATE(RIGHT(C200,4),12,31),IF(EOMONTH(C200,1)&gt;PREMISSAS!$C$3,"",IF(MONTH(C200)=11,"13º "&amp;YEAR(C200),EOMONTH(C200,1)))),"")</f>
        <v>43131</v>
      </c>
      <c r="D201" s="22">
        <f ca="1">VLOOKUP(C201,Preencher_Salários!$D$7:$E$656,2,FALSE)</f>
        <v>0</v>
      </c>
      <c r="E201" s="4" t="str">
        <f ca="1">IF(D201=0,"",IF(IF(ISTEXT(C201),DATE(RIGHT(C201,4),12,31),C201)&lt;PREMISSAS!$D$7,"",IFERROR(VLOOKUP(IF(LEFT(C201,2)="13",DATE(RIGHT(C201,4),12,31),C201),IPCA!$A:$D,4,FALSE),1)*D201))</f>
        <v/>
      </c>
      <c r="F201" s="4">
        <f ca="1">IF(C201="","",IFERROR(AVERAGEIF(E$5:$E201,"&gt;="&amp;_xlfn.PERCENTILE.EXC(E$5:$E201,0.2)),0))</f>
        <v>0</v>
      </c>
      <c r="G201" s="4">
        <f ca="1">IF(C201="","",IFERROR(AVERAGEIF($E$5:E201,"&gt;"&amp;0,$E$5:E201),0))</f>
        <v>0</v>
      </c>
    </row>
    <row r="202" spans="2:7" x14ac:dyDescent="0.3">
      <c r="B202" s="18">
        <v>198</v>
      </c>
      <c r="C202" s="21">
        <f ca="1">IFERROR(IF(LEFT(C201,2)="13",DATE(RIGHT(C201,4),12,31),IF(EOMONTH(C201,1)&gt;PREMISSAS!$C$3,"",IF(MONTH(C201)=11,"13º "&amp;YEAR(C201),EOMONTH(C201,1)))),"")</f>
        <v>43159</v>
      </c>
      <c r="D202" s="22">
        <f ca="1">VLOOKUP(C202,Preencher_Salários!$D$7:$E$656,2,FALSE)</f>
        <v>0</v>
      </c>
      <c r="E202" s="4" t="str">
        <f ca="1">IF(D202=0,"",IF(IF(ISTEXT(C202),DATE(RIGHT(C202,4),12,31),C202)&lt;PREMISSAS!$D$7,"",IFERROR(VLOOKUP(IF(LEFT(C202,2)="13",DATE(RIGHT(C202,4),12,31),C202),IPCA!$A:$D,4,FALSE),1)*D202))</f>
        <v/>
      </c>
      <c r="F202" s="4">
        <f ca="1">IF(C202="","",IFERROR(AVERAGEIF(E$5:$E202,"&gt;="&amp;_xlfn.PERCENTILE.EXC(E$5:$E202,0.2)),0))</f>
        <v>0</v>
      </c>
      <c r="G202" s="4">
        <f ca="1">IF(C202="","",IFERROR(AVERAGEIF($E$5:E202,"&gt;"&amp;0,$E$5:E202),0))</f>
        <v>0</v>
      </c>
    </row>
    <row r="203" spans="2:7" x14ac:dyDescent="0.3">
      <c r="B203" s="18">
        <v>199</v>
      </c>
      <c r="C203" s="21">
        <f ca="1">IFERROR(IF(LEFT(C202,2)="13",DATE(RIGHT(C202,4),12,31),IF(EOMONTH(C202,1)&gt;PREMISSAS!$C$3,"",IF(MONTH(C202)=11,"13º "&amp;YEAR(C202),EOMONTH(C202,1)))),"")</f>
        <v>43190</v>
      </c>
      <c r="D203" s="22">
        <f ca="1">VLOOKUP(C203,Preencher_Salários!$D$7:$E$656,2,FALSE)</f>
        <v>0</v>
      </c>
      <c r="E203" s="4" t="str">
        <f ca="1">IF(D203=0,"",IF(IF(ISTEXT(C203),DATE(RIGHT(C203,4),12,31),C203)&lt;PREMISSAS!$D$7,"",IFERROR(VLOOKUP(IF(LEFT(C203,2)="13",DATE(RIGHT(C203,4),12,31),C203),IPCA!$A:$D,4,FALSE),1)*D203))</f>
        <v/>
      </c>
      <c r="F203" s="4">
        <f ca="1">IF(C203="","",IFERROR(AVERAGEIF(E$5:$E203,"&gt;="&amp;_xlfn.PERCENTILE.EXC(E$5:$E203,0.2)),0))</f>
        <v>0</v>
      </c>
      <c r="G203" s="4">
        <f ca="1">IF(C203="","",IFERROR(AVERAGEIF($E$5:E203,"&gt;"&amp;0,$E$5:E203),0))</f>
        <v>0</v>
      </c>
    </row>
    <row r="204" spans="2:7" x14ac:dyDescent="0.3">
      <c r="B204" s="18">
        <v>200</v>
      </c>
      <c r="C204" s="21">
        <f ca="1">IFERROR(IF(LEFT(C203,2)="13",DATE(RIGHT(C203,4),12,31),IF(EOMONTH(C203,1)&gt;PREMISSAS!$C$3,"",IF(MONTH(C203)=11,"13º "&amp;YEAR(C203),EOMONTH(C203,1)))),"")</f>
        <v>43220</v>
      </c>
      <c r="D204" s="22">
        <f ca="1">VLOOKUP(C204,Preencher_Salários!$D$7:$E$656,2,FALSE)</f>
        <v>0</v>
      </c>
      <c r="E204" s="4" t="str">
        <f ca="1">IF(D204=0,"",IF(IF(ISTEXT(C204),DATE(RIGHT(C204,4),12,31),C204)&lt;PREMISSAS!$D$7,"",IFERROR(VLOOKUP(IF(LEFT(C204,2)="13",DATE(RIGHT(C204,4),12,31),C204),IPCA!$A:$D,4,FALSE),1)*D204))</f>
        <v/>
      </c>
      <c r="F204" s="4">
        <f ca="1">IF(C204="","",IFERROR(AVERAGEIF(E$5:$E204,"&gt;="&amp;_xlfn.PERCENTILE.EXC(E$5:$E204,0.2)),0))</f>
        <v>0</v>
      </c>
      <c r="G204" s="4">
        <f ca="1">IF(C204="","",IFERROR(AVERAGEIF($E$5:E204,"&gt;"&amp;0,$E$5:E204),0))</f>
        <v>0</v>
      </c>
    </row>
    <row r="205" spans="2:7" x14ac:dyDescent="0.3">
      <c r="B205" s="18">
        <v>201</v>
      </c>
      <c r="C205" s="21">
        <f ca="1">IFERROR(IF(LEFT(C204,2)="13",DATE(RIGHT(C204,4),12,31),IF(EOMONTH(C204,1)&gt;PREMISSAS!$C$3,"",IF(MONTH(C204)=11,"13º "&amp;YEAR(C204),EOMONTH(C204,1)))),"")</f>
        <v>43251</v>
      </c>
      <c r="D205" s="22">
        <f ca="1">VLOOKUP(C205,Preencher_Salários!$D$7:$E$656,2,FALSE)</f>
        <v>0</v>
      </c>
      <c r="E205" s="4" t="str">
        <f ca="1">IF(D205=0,"",IF(IF(ISTEXT(C205),DATE(RIGHT(C205,4),12,31),C205)&lt;PREMISSAS!$D$7,"",IFERROR(VLOOKUP(IF(LEFT(C205,2)="13",DATE(RIGHT(C205,4),12,31),C205),IPCA!$A:$D,4,FALSE),1)*D205))</f>
        <v/>
      </c>
      <c r="F205" s="4">
        <f ca="1">IF(C205="","",IFERROR(AVERAGEIF(E$5:$E205,"&gt;="&amp;_xlfn.PERCENTILE.EXC(E$5:$E205,0.2)),0))</f>
        <v>0</v>
      </c>
      <c r="G205" s="4">
        <f ca="1">IF(C205="","",IFERROR(AVERAGEIF($E$5:E205,"&gt;"&amp;0,$E$5:E205),0))</f>
        <v>0</v>
      </c>
    </row>
    <row r="206" spans="2:7" x14ac:dyDescent="0.3">
      <c r="B206" s="18">
        <v>202</v>
      </c>
      <c r="C206" s="21">
        <f ca="1">IFERROR(IF(LEFT(C205,2)="13",DATE(RIGHT(C205,4),12,31),IF(EOMONTH(C205,1)&gt;PREMISSAS!$C$3,"",IF(MONTH(C205)=11,"13º "&amp;YEAR(C205),EOMONTH(C205,1)))),"")</f>
        <v>43281</v>
      </c>
      <c r="D206" s="22">
        <f ca="1">VLOOKUP(C206,Preencher_Salários!$D$7:$E$656,2,FALSE)</f>
        <v>0</v>
      </c>
      <c r="E206" s="4" t="str">
        <f ca="1">IF(D206=0,"",IF(IF(ISTEXT(C206),DATE(RIGHT(C206,4),12,31),C206)&lt;PREMISSAS!$D$7,"",IFERROR(VLOOKUP(IF(LEFT(C206,2)="13",DATE(RIGHT(C206,4),12,31),C206),IPCA!$A:$D,4,FALSE),1)*D206))</f>
        <v/>
      </c>
      <c r="F206" s="4">
        <f ca="1">IF(C206="","",IFERROR(AVERAGEIF(E$5:$E206,"&gt;="&amp;_xlfn.PERCENTILE.EXC(E$5:$E206,0.2)),0))</f>
        <v>0</v>
      </c>
      <c r="G206" s="4">
        <f ca="1">IF(C206="","",IFERROR(AVERAGEIF($E$5:E206,"&gt;"&amp;0,$E$5:E206),0))</f>
        <v>0</v>
      </c>
    </row>
    <row r="207" spans="2:7" x14ac:dyDescent="0.3">
      <c r="B207" s="18">
        <v>203</v>
      </c>
      <c r="C207" s="21">
        <f ca="1">IFERROR(IF(LEFT(C206,2)="13",DATE(RIGHT(C206,4),12,31),IF(EOMONTH(C206,1)&gt;PREMISSAS!$C$3,"",IF(MONTH(C206)=11,"13º "&amp;YEAR(C206),EOMONTH(C206,1)))),"")</f>
        <v>43312</v>
      </c>
      <c r="D207" s="22">
        <f ca="1">VLOOKUP(C207,Preencher_Salários!$D$7:$E$656,2,FALSE)</f>
        <v>0</v>
      </c>
      <c r="E207" s="4" t="str">
        <f ca="1">IF(D207=0,"",IF(IF(ISTEXT(C207),DATE(RIGHT(C207,4),12,31),C207)&lt;PREMISSAS!$D$7,"",IFERROR(VLOOKUP(IF(LEFT(C207,2)="13",DATE(RIGHT(C207,4),12,31),C207),IPCA!$A:$D,4,FALSE),1)*D207))</f>
        <v/>
      </c>
      <c r="F207" s="4">
        <f ca="1">IF(C207="","",IFERROR(AVERAGEIF(E$5:$E207,"&gt;="&amp;_xlfn.PERCENTILE.EXC(E$5:$E207,0.2)),0))</f>
        <v>0</v>
      </c>
      <c r="G207" s="4">
        <f ca="1">IF(C207="","",IFERROR(AVERAGEIF($E$5:E207,"&gt;"&amp;0,$E$5:E207),0))</f>
        <v>0</v>
      </c>
    </row>
    <row r="208" spans="2:7" x14ac:dyDescent="0.3">
      <c r="B208" s="18">
        <v>204</v>
      </c>
      <c r="C208" s="21">
        <f ca="1">IFERROR(IF(LEFT(C207,2)="13",DATE(RIGHT(C207,4),12,31),IF(EOMONTH(C207,1)&gt;PREMISSAS!$C$3,"",IF(MONTH(C207)=11,"13º "&amp;YEAR(C207),EOMONTH(C207,1)))),"")</f>
        <v>43343</v>
      </c>
      <c r="D208" s="22">
        <f ca="1">VLOOKUP(C208,Preencher_Salários!$D$7:$E$656,2,FALSE)</f>
        <v>0</v>
      </c>
      <c r="E208" s="4" t="str">
        <f ca="1">IF(D208=0,"",IF(IF(ISTEXT(C208),DATE(RIGHT(C208,4),12,31),C208)&lt;PREMISSAS!$D$7,"",IFERROR(VLOOKUP(IF(LEFT(C208,2)="13",DATE(RIGHT(C208,4),12,31),C208),IPCA!$A:$D,4,FALSE),1)*D208))</f>
        <v/>
      </c>
      <c r="F208" s="4">
        <f ca="1">IF(C208="","",IFERROR(AVERAGEIF(E$5:$E208,"&gt;="&amp;_xlfn.PERCENTILE.EXC(E$5:$E208,0.2)),0))</f>
        <v>0</v>
      </c>
      <c r="G208" s="4">
        <f ca="1">IF(C208="","",IFERROR(AVERAGEIF($E$5:E208,"&gt;"&amp;0,$E$5:E208),0))</f>
        <v>0</v>
      </c>
    </row>
    <row r="209" spans="2:7" x14ac:dyDescent="0.3">
      <c r="B209" s="18">
        <v>205</v>
      </c>
      <c r="C209" s="21">
        <f ca="1">IFERROR(IF(LEFT(C208,2)="13",DATE(RIGHT(C208,4),12,31),IF(EOMONTH(C208,1)&gt;PREMISSAS!$C$3,"",IF(MONTH(C208)=11,"13º "&amp;YEAR(C208),EOMONTH(C208,1)))),"")</f>
        <v>43373</v>
      </c>
      <c r="D209" s="22">
        <f ca="1">VLOOKUP(C209,Preencher_Salários!$D$7:$E$656,2,FALSE)</f>
        <v>0</v>
      </c>
      <c r="E209" s="4" t="str">
        <f ca="1">IF(D209=0,"",IF(IF(ISTEXT(C209),DATE(RIGHT(C209,4),12,31),C209)&lt;PREMISSAS!$D$7,"",IFERROR(VLOOKUP(IF(LEFT(C209,2)="13",DATE(RIGHT(C209,4),12,31),C209),IPCA!$A:$D,4,FALSE),1)*D209))</f>
        <v/>
      </c>
      <c r="F209" s="4">
        <f ca="1">IF(C209="","",IFERROR(AVERAGEIF(E$5:$E209,"&gt;="&amp;_xlfn.PERCENTILE.EXC(E$5:$E209,0.2)),0))</f>
        <v>0</v>
      </c>
      <c r="G209" s="4">
        <f ca="1">IF(C209="","",IFERROR(AVERAGEIF($E$5:E209,"&gt;"&amp;0,$E$5:E209),0))</f>
        <v>0</v>
      </c>
    </row>
    <row r="210" spans="2:7" x14ac:dyDescent="0.3">
      <c r="B210" s="18">
        <v>206</v>
      </c>
      <c r="C210" s="21">
        <f ca="1">IFERROR(IF(LEFT(C209,2)="13",DATE(RIGHT(C209,4),12,31),IF(EOMONTH(C209,1)&gt;PREMISSAS!$C$3,"",IF(MONTH(C209)=11,"13º "&amp;YEAR(C209),EOMONTH(C209,1)))),"")</f>
        <v>43404</v>
      </c>
      <c r="D210" s="22">
        <f ca="1">VLOOKUP(C210,Preencher_Salários!$D$7:$E$656,2,FALSE)</f>
        <v>0</v>
      </c>
      <c r="E210" s="4" t="str">
        <f ca="1">IF(D210=0,"",IF(IF(ISTEXT(C210),DATE(RIGHT(C210,4),12,31),C210)&lt;PREMISSAS!$D$7,"",IFERROR(VLOOKUP(IF(LEFT(C210,2)="13",DATE(RIGHT(C210,4),12,31),C210),IPCA!$A:$D,4,FALSE),1)*D210))</f>
        <v/>
      </c>
      <c r="F210" s="4">
        <f ca="1">IF(C210="","",IFERROR(AVERAGEIF(E$5:$E210,"&gt;="&amp;_xlfn.PERCENTILE.EXC(E$5:$E210,0.2)),0))</f>
        <v>0</v>
      </c>
      <c r="G210" s="4">
        <f ca="1">IF(C210="","",IFERROR(AVERAGEIF($E$5:E210,"&gt;"&amp;0,$E$5:E210),0))</f>
        <v>0</v>
      </c>
    </row>
    <row r="211" spans="2:7" x14ac:dyDescent="0.3">
      <c r="B211" s="18">
        <v>207</v>
      </c>
      <c r="C211" s="21">
        <f ca="1">IFERROR(IF(LEFT(C210,2)="13",DATE(RIGHT(C210,4),12,31),IF(EOMONTH(C210,1)&gt;PREMISSAS!$C$3,"",IF(MONTH(C210)=11,"13º "&amp;YEAR(C210),EOMONTH(C210,1)))),"")</f>
        <v>43434</v>
      </c>
      <c r="D211" s="22">
        <f ca="1">VLOOKUP(C211,Preencher_Salários!$D$7:$E$656,2,FALSE)</f>
        <v>0</v>
      </c>
      <c r="E211" s="4" t="str">
        <f ca="1">IF(D211=0,"",IF(IF(ISTEXT(C211),DATE(RIGHT(C211,4),12,31),C211)&lt;PREMISSAS!$D$7,"",IFERROR(VLOOKUP(IF(LEFT(C211,2)="13",DATE(RIGHT(C211,4),12,31),C211),IPCA!$A:$D,4,FALSE),1)*D211))</f>
        <v/>
      </c>
      <c r="F211" s="4">
        <f ca="1">IF(C211="","",IFERROR(AVERAGEIF(E$5:$E211,"&gt;="&amp;_xlfn.PERCENTILE.EXC(E$5:$E211,0.2)),0))</f>
        <v>0</v>
      </c>
      <c r="G211" s="4">
        <f ca="1">IF(C211="","",IFERROR(AVERAGEIF($E$5:E211,"&gt;"&amp;0,$E$5:E211),0))</f>
        <v>0</v>
      </c>
    </row>
    <row r="212" spans="2:7" x14ac:dyDescent="0.3">
      <c r="B212" s="18">
        <v>208</v>
      </c>
      <c r="C212" s="21" t="str">
        <f ca="1">IFERROR(IF(LEFT(C211,2)="13",DATE(RIGHT(C211,4),12,31),IF(EOMONTH(C211,1)&gt;PREMISSAS!$C$3,"",IF(MONTH(C211)=11,"13º "&amp;YEAR(C211),EOMONTH(C211,1)))),"")</f>
        <v>13º 2018</v>
      </c>
      <c r="D212" s="22">
        <f ca="1">VLOOKUP(C212,Preencher_Salários!$D$7:$E$656,2,FALSE)</f>
        <v>0</v>
      </c>
      <c r="E212" s="4" t="str">
        <f ca="1">IF(D212=0,"",IF(IF(ISTEXT(C212),DATE(RIGHT(C212,4),12,31),C212)&lt;PREMISSAS!$D$7,"",IFERROR(VLOOKUP(IF(LEFT(C212,2)="13",DATE(RIGHT(C212,4),12,31),C212),IPCA!$A:$D,4,FALSE),1)*D212))</f>
        <v/>
      </c>
      <c r="F212" s="4">
        <f ca="1">IF(C212="","",IFERROR(AVERAGEIF(E$5:$E212,"&gt;="&amp;_xlfn.PERCENTILE.EXC(E$5:$E212,0.2)),0))</f>
        <v>0</v>
      </c>
      <c r="G212" s="4">
        <f ca="1">IF(C212="","",IFERROR(AVERAGEIF($E$5:E212,"&gt;"&amp;0,$E$5:E212),0))</f>
        <v>0</v>
      </c>
    </row>
    <row r="213" spans="2:7" x14ac:dyDescent="0.3">
      <c r="B213" s="18">
        <v>209</v>
      </c>
      <c r="C213" s="21">
        <f ca="1">IFERROR(IF(LEFT(C212,2)="13",DATE(RIGHT(C212,4),12,31),IF(EOMONTH(C212,1)&gt;PREMISSAS!$C$3,"",IF(MONTH(C212)=11,"13º "&amp;YEAR(C212),EOMONTH(C212,1)))),"")</f>
        <v>43465</v>
      </c>
      <c r="D213" s="22">
        <f ca="1">VLOOKUP(C213,Preencher_Salários!$D$7:$E$656,2,FALSE)</f>
        <v>0</v>
      </c>
      <c r="E213" s="4" t="str">
        <f ca="1">IF(D213=0,"",IF(IF(ISTEXT(C213),DATE(RIGHT(C213,4),12,31),C213)&lt;PREMISSAS!$D$7,"",IFERROR(VLOOKUP(IF(LEFT(C213,2)="13",DATE(RIGHT(C213,4),12,31),C213),IPCA!$A:$D,4,FALSE),1)*D213))</f>
        <v/>
      </c>
      <c r="F213" s="4">
        <f ca="1">IF(C213="","",IFERROR(AVERAGEIF(E$5:$E213,"&gt;="&amp;_xlfn.PERCENTILE.EXC(E$5:$E213,0.2)),0))</f>
        <v>0</v>
      </c>
      <c r="G213" s="4">
        <f ca="1">IF(C213="","",IFERROR(AVERAGEIF($E$5:E213,"&gt;"&amp;0,$E$5:E213),0))</f>
        <v>0</v>
      </c>
    </row>
    <row r="214" spans="2:7" x14ac:dyDescent="0.3">
      <c r="B214" s="18">
        <v>210</v>
      </c>
      <c r="C214" s="21">
        <f ca="1">IFERROR(IF(LEFT(C213,2)="13",DATE(RIGHT(C213,4),12,31),IF(EOMONTH(C213,1)&gt;PREMISSAS!$C$3,"",IF(MONTH(C213)=11,"13º "&amp;YEAR(C213),EOMONTH(C213,1)))),"")</f>
        <v>43496</v>
      </c>
      <c r="D214" s="22">
        <f ca="1">VLOOKUP(C214,Preencher_Salários!$D$7:$E$656,2,FALSE)</f>
        <v>0</v>
      </c>
      <c r="E214" s="4" t="str">
        <f ca="1">IF(D214=0,"",IF(IF(ISTEXT(C214),DATE(RIGHT(C214,4),12,31),C214)&lt;PREMISSAS!$D$7,"",IFERROR(VLOOKUP(IF(LEFT(C214,2)="13",DATE(RIGHT(C214,4),12,31),C214),IPCA!$A:$D,4,FALSE),1)*D214))</f>
        <v/>
      </c>
      <c r="F214" s="4">
        <f ca="1">IF(C214="","",IFERROR(AVERAGEIF(E$5:$E214,"&gt;="&amp;_xlfn.PERCENTILE.EXC(E$5:$E214,0.2)),0))</f>
        <v>0</v>
      </c>
      <c r="G214" s="4">
        <f ca="1">IF(C214="","",IFERROR(AVERAGEIF($E$5:E214,"&gt;"&amp;0,$E$5:E214),0))</f>
        <v>0</v>
      </c>
    </row>
    <row r="215" spans="2:7" x14ac:dyDescent="0.3">
      <c r="B215" s="18">
        <v>211</v>
      </c>
      <c r="C215" s="21">
        <f ca="1">IFERROR(IF(LEFT(C214,2)="13",DATE(RIGHT(C214,4),12,31),IF(EOMONTH(C214,1)&gt;PREMISSAS!$C$3,"",IF(MONTH(C214)=11,"13º "&amp;YEAR(C214),EOMONTH(C214,1)))),"")</f>
        <v>43524</v>
      </c>
      <c r="D215" s="22">
        <f ca="1">VLOOKUP(C215,Preencher_Salários!$D$7:$E$656,2,FALSE)</f>
        <v>0</v>
      </c>
      <c r="E215" s="4" t="str">
        <f ca="1">IF(D215=0,"",IF(IF(ISTEXT(C215),DATE(RIGHT(C215,4),12,31),C215)&lt;PREMISSAS!$D$7,"",IFERROR(VLOOKUP(IF(LEFT(C215,2)="13",DATE(RIGHT(C215,4),12,31),C215),IPCA!$A:$D,4,FALSE),1)*D215))</f>
        <v/>
      </c>
      <c r="F215" s="4">
        <f ca="1">IF(C215="","",IFERROR(AVERAGEIF(E$5:$E215,"&gt;="&amp;_xlfn.PERCENTILE.EXC(E$5:$E215,0.2)),0))</f>
        <v>0</v>
      </c>
      <c r="G215" s="4">
        <f ca="1">IF(C215="","",IFERROR(AVERAGEIF($E$5:E215,"&gt;"&amp;0,$E$5:E215),0))</f>
        <v>0</v>
      </c>
    </row>
    <row r="216" spans="2:7" x14ac:dyDescent="0.3">
      <c r="B216" s="18">
        <v>212</v>
      </c>
      <c r="C216" s="21">
        <f ca="1">IFERROR(IF(LEFT(C215,2)="13",DATE(RIGHT(C215,4),12,31),IF(EOMONTH(C215,1)&gt;PREMISSAS!$C$3,"",IF(MONTH(C215)=11,"13º "&amp;YEAR(C215),EOMONTH(C215,1)))),"")</f>
        <v>43555</v>
      </c>
      <c r="D216" s="22">
        <f ca="1">VLOOKUP(C216,Preencher_Salários!$D$7:$E$656,2,FALSE)</f>
        <v>0</v>
      </c>
      <c r="E216" s="4" t="str">
        <f ca="1">IF(D216=0,"",IF(IF(ISTEXT(C216),DATE(RIGHT(C216,4),12,31),C216)&lt;PREMISSAS!$D$7,"",IFERROR(VLOOKUP(IF(LEFT(C216,2)="13",DATE(RIGHT(C216,4),12,31),C216),IPCA!$A:$D,4,FALSE),1)*D216))</f>
        <v/>
      </c>
      <c r="F216" s="4">
        <f ca="1">IF(C216="","",IFERROR(AVERAGEIF(E$5:$E216,"&gt;="&amp;_xlfn.PERCENTILE.EXC(E$5:$E216,0.2)),0))</f>
        <v>0</v>
      </c>
      <c r="G216" s="4">
        <f ca="1">IF(C216="","",IFERROR(AVERAGEIF($E$5:E216,"&gt;"&amp;0,$E$5:E216),0))</f>
        <v>0</v>
      </c>
    </row>
    <row r="217" spans="2:7" x14ac:dyDescent="0.3">
      <c r="B217" s="18">
        <v>213</v>
      </c>
      <c r="C217" s="21">
        <f ca="1">IFERROR(IF(LEFT(C216,2)="13",DATE(RIGHT(C216,4),12,31),IF(EOMONTH(C216,1)&gt;PREMISSAS!$C$3,"",IF(MONTH(C216)=11,"13º "&amp;YEAR(C216),EOMONTH(C216,1)))),"")</f>
        <v>43585</v>
      </c>
      <c r="D217" s="22">
        <f ca="1">VLOOKUP(C217,Preencher_Salários!$D$7:$E$656,2,FALSE)</f>
        <v>0</v>
      </c>
      <c r="E217" s="4" t="str">
        <f ca="1">IF(D217=0,"",IF(IF(ISTEXT(C217),DATE(RIGHT(C217,4),12,31),C217)&lt;PREMISSAS!$D$7,"",IFERROR(VLOOKUP(IF(LEFT(C217,2)="13",DATE(RIGHT(C217,4),12,31),C217),IPCA!$A:$D,4,FALSE),1)*D217))</f>
        <v/>
      </c>
      <c r="F217" s="4">
        <f ca="1">IF(C217="","",IFERROR(AVERAGEIF(E$5:$E217,"&gt;="&amp;_xlfn.PERCENTILE.EXC(E$5:$E217,0.2)),0))</f>
        <v>0</v>
      </c>
      <c r="G217" s="4">
        <f ca="1">IF(C217="","",IFERROR(AVERAGEIF($E$5:E217,"&gt;"&amp;0,$E$5:E217),0))</f>
        <v>0</v>
      </c>
    </row>
    <row r="218" spans="2:7" x14ac:dyDescent="0.3">
      <c r="B218" s="18">
        <v>214</v>
      </c>
      <c r="C218" s="21">
        <f ca="1">IFERROR(IF(LEFT(C217,2)="13",DATE(RIGHT(C217,4),12,31),IF(EOMONTH(C217,1)&gt;PREMISSAS!$C$3,"",IF(MONTH(C217)=11,"13º "&amp;YEAR(C217),EOMONTH(C217,1)))),"")</f>
        <v>43616</v>
      </c>
      <c r="D218" s="22">
        <f ca="1">VLOOKUP(C218,Preencher_Salários!$D$7:$E$656,2,FALSE)</f>
        <v>0</v>
      </c>
      <c r="E218" s="4" t="str">
        <f ca="1">IF(D218=0,"",IF(IF(ISTEXT(C218),DATE(RIGHT(C218,4),12,31),C218)&lt;PREMISSAS!$D$7,"",IFERROR(VLOOKUP(IF(LEFT(C218,2)="13",DATE(RIGHT(C218,4),12,31),C218),IPCA!$A:$D,4,FALSE),1)*D218))</f>
        <v/>
      </c>
      <c r="F218" s="4">
        <f ca="1">IF(C218="","",IFERROR(AVERAGEIF(E$5:$E218,"&gt;="&amp;_xlfn.PERCENTILE.EXC(E$5:$E218,0.2)),0))</f>
        <v>0</v>
      </c>
      <c r="G218" s="4">
        <f ca="1">IF(C218="","",IFERROR(AVERAGEIF($E$5:E218,"&gt;"&amp;0,$E$5:E218),0))</f>
        <v>0</v>
      </c>
    </row>
    <row r="219" spans="2:7" x14ac:dyDescent="0.3">
      <c r="B219" s="18">
        <v>215</v>
      </c>
      <c r="C219" s="21">
        <f ca="1">IFERROR(IF(LEFT(C218,2)="13",DATE(RIGHT(C218,4),12,31),IF(EOMONTH(C218,1)&gt;PREMISSAS!$C$3,"",IF(MONTH(C218)=11,"13º "&amp;YEAR(C218),EOMONTH(C218,1)))),"")</f>
        <v>43646</v>
      </c>
      <c r="D219" s="22">
        <f ca="1">VLOOKUP(C219,Preencher_Salários!$D$7:$E$656,2,FALSE)</f>
        <v>0</v>
      </c>
      <c r="E219" s="4" t="str">
        <f ca="1">IF(D219=0,"",IF(IF(ISTEXT(C219),DATE(RIGHT(C219,4),12,31),C219)&lt;PREMISSAS!$D$7,"",IFERROR(VLOOKUP(IF(LEFT(C219,2)="13",DATE(RIGHT(C219,4),12,31),C219),IPCA!$A:$D,4,FALSE),1)*D219))</f>
        <v/>
      </c>
      <c r="F219" s="4">
        <f ca="1">IF(C219="","",IFERROR(AVERAGEIF(E$5:$E219,"&gt;="&amp;_xlfn.PERCENTILE.EXC(E$5:$E219,0.2)),0))</f>
        <v>0</v>
      </c>
      <c r="G219" s="4">
        <f ca="1">IF(C219="","",IFERROR(AVERAGEIF($E$5:E219,"&gt;"&amp;0,$E$5:E219),0))</f>
        <v>0</v>
      </c>
    </row>
    <row r="220" spans="2:7" x14ac:dyDescent="0.3">
      <c r="B220" s="18">
        <v>216</v>
      </c>
      <c r="C220" s="21">
        <f ca="1">IFERROR(IF(LEFT(C219,2)="13",DATE(RIGHT(C219,4),12,31),IF(EOMONTH(C219,1)&gt;PREMISSAS!$C$3,"",IF(MONTH(C219)=11,"13º "&amp;YEAR(C219),EOMONTH(C219,1)))),"")</f>
        <v>43677</v>
      </c>
      <c r="D220" s="22">
        <f ca="1">VLOOKUP(C220,Preencher_Salários!$D$7:$E$656,2,FALSE)</f>
        <v>0</v>
      </c>
      <c r="E220" s="4" t="str">
        <f ca="1">IF(D220=0,"",IF(IF(ISTEXT(C220),DATE(RIGHT(C220,4),12,31),C220)&lt;PREMISSAS!$D$7,"",IFERROR(VLOOKUP(IF(LEFT(C220,2)="13",DATE(RIGHT(C220,4),12,31),C220),IPCA!$A:$D,4,FALSE),1)*D220))</f>
        <v/>
      </c>
      <c r="F220" s="4">
        <f ca="1">IF(C220="","",IFERROR(AVERAGEIF(E$5:$E220,"&gt;="&amp;_xlfn.PERCENTILE.EXC(E$5:$E220,0.2)),0))</f>
        <v>0</v>
      </c>
      <c r="G220" s="4">
        <f ca="1">IF(C220="","",IFERROR(AVERAGEIF($E$5:E220,"&gt;"&amp;0,$E$5:E220),0))</f>
        <v>0</v>
      </c>
    </row>
    <row r="221" spans="2:7" x14ac:dyDescent="0.3">
      <c r="B221" s="18">
        <v>217</v>
      </c>
      <c r="C221" s="21">
        <f ca="1">IFERROR(IF(LEFT(C220,2)="13",DATE(RIGHT(C220,4),12,31),IF(EOMONTH(C220,1)&gt;PREMISSAS!$C$3,"",IF(MONTH(C220)=11,"13º "&amp;YEAR(C220),EOMONTH(C220,1)))),"")</f>
        <v>43708</v>
      </c>
      <c r="D221" s="22">
        <f ca="1">VLOOKUP(C221,Preencher_Salários!$D$7:$E$656,2,FALSE)</f>
        <v>0</v>
      </c>
      <c r="E221" s="4" t="str">
        <f ca="1">IF(D221=0,"",IF(IF(ISTEXT(C221),DATE(RIGHT(C221,4),12,31),C221)&lt;PREMISSAS!$D$7,"",IFERROR(VLOOKUP(IF(LEFT(C221,2)="13",DATE(RIGHT(C221,4),12,31),C221),IPCA!$A:$D,4,FALSE),1)*D221))</f>
        <v/>
      </c>
      <c r="F221" s="4">
        <f ca="1">IF(C221="","",IFERROR(AVERAGEIF(E$5:$E221,"&gt;="&amp;_xlfn.PERCENTILE.EXC(E$5:$E221,0.2)),0))</f>
        <v>0</v>
      </c>
      <c r="G221" s="4">
        <f ca="1">IF(C221="","",IFERROR(AVERAGEIF($E$5:E221,"&gt;"&amp;0,$E$5:E221),0))</f>
        <v>0</v>
      </c>
    </row>
    <row r="222" spans="2:7" x14ac:dyDescent="0.3">
      <c r="B222" s="18">
        <v>218</v>
      </c>
      <c r="C222" s="21">
        <f ca="1">IFERROR(IF(LEFT(C221,2)="13",DATE(RIGHT(C221,4),12,31),IF(EOMONTH(C221,1)&gt;PREMISSAS!$C$3,"",IF(MONTH(C221)=11,"13º "&amp;YEAR(C221),EOMONTH(C221,1)))),"")</f>
        <v>43738</v>
      </c>
      <c r="D222" s="22">
        <f ca="1">VLOOKUP(C222,Preencher_Salários!$D$7:$E$656,2,FALSE)</f>
        <v>0</v>
      </c>
      <c r="E222" s="4" t="str">
        <f ca="1">IF(D222=0,"",IF(IF(ISTEXT(C222),DATE(RIGHT(C222,4),12,31),C222)&lt;PREMISSAS!$D$7,"",IFERROR(VLOOKUP(IF(LEFT(C222,2)="13",DATE(RIGHT(C222,4),12,31),C222),IPCA!$A:$D,4,FALSE),1)*D222))</f>
        <v/>
      </c>
      <c r="F222" s="4">
        <f ca="1">IF(C222="","",IFERROR(AVERAGEIF(E$5:$E222,"&gt;="&amp;_xlfn.PERCENTILE.EXC(E$5:$E222,0.2)),0))</f>
        <v>0</v>
      </c>
      <c r="G222" s="4">
        <f ca="1">IF(C222="","",IFERROR(AVERAGEIF($E$5:E222,"&gt;"&amp;0,$E$5:E222),0))</f>
        <v>0</v>
      </c>
    </row>
    <row r="223" spans="2:7" x14ac:dyDescent="0.3">
      <c r="B223" s="18">
        <v>219</v>
      </c>
      <c r="C223" s="21">
        <f ca="1">IFERROR(IF(LEFT(C222,2)="13",DATE(RIGHT(C222,4),12,31),IF(EOMONTH(C222,1)&gt;PREMISSAS!$C$3,"",IF(MONTH(C222)=11,"13º "&amp;YEAR(C222),EOMONTH(C222,1)))),"")</f>
        <v>43769</v>
      </c>
      <c r="D223" s="22">
        <f ca="1">VLOOKUP(C223,Preencher_Salários!$D$7:$E$656,2,FALSE)</f>
        <v>0</v>
      </c>
      <c r="E223" s="4" t="str">
        <f ca="1">IF(D223=0,"",IF(IF(ISTEXT(C223),DATE(RIGHT(C223,4),12,31),C223)&lt;PREMISSAS!$D$7,"",IFERROR(VLOOKUP(IF(LEFT(C223,2)="13",DATE(RIGHT(C223,4),12,31),C223),IPCA!$A:$D,4,FALSE),1)*D223))</f>
        <v/>
      </c>
      <c r="F223" s="4">
        <f ca="1">IF(C223="","",IFERROR(AVERAGEIF(E$5:$E223,"&gt;="&amp;_xlfn.PERCENTILE.EXC(E$5:$E223,0.2)),0))</f>
        <v>0</v>
      </c>
      <c r="G223" s="4">
        <f ca="1">IF(C223="","",IFERROR(AVERAGEIF($E$5:E223,"&gt;"&amp;0,$E$5:E223),0))</f>
        <v>0</v>
      </c>
    </row>
    <row r="224" spans="2:7" x14ac:dyDescent="0.3">
      <c r="B224" s="18">
        <v>220</v>
      </c>
      <c r="C224" s="21">
        <f ca="1">IFERROR(IF(LEFT(C223,2)="13",DATE(RIGHT(C223,4),12,31),IF(EOMONTH(C223,1)&gt;PREMISSAS!$C$3,"",IF(MONTH(C223)=11,"13º "&amp;YEAR(C223),EOMONTH(C223,1)))),"")</f>
        <v>43799</v>
      </c>
      <c r="D224" s="22">
        <f ca="1">VLOOKUP(C224,Preencher_Salários!$D$7:$E$656,2,FALSE)</f>
        <v>0</v>
      </c>
      <c r="E224" s="4" t="str">
        <f ca="1">IF(D224=0,"",IF(IF(ISTEXT(C224),DATE(RIGHT(C224,4),12,31),C224)&lt;PREMISSAS!$D$7,"",IFERROR(VLOOKUP(IF(LEFT(C224,2)="13",DATE(RIGHT(C224,4),12,31),C224),IPCA!$A:$D,4,FALSE),1)*D224))</f>
        <v/>
      </c>
      <c r="F224" s="4">
        <f ca="1">IF(C224="","",IFERROR(AVERAGEIF(E$5:$E224,"&gt;="&amp;_xlfn.PERCENTILE.EXC(E$5:$E224,0.2)),0))</f>
        <v>0</v>
      </c>
      <c r="G224" s="4">
        <f ca="1">IF(C224="","",IFERROR(AVERAGEIF($E$5:E224,"&gt;"&amp;0,$E$5:E224),0))</f>
        <v>0</v>
      </c>
    </row>
    <row r="225" spans="2:7" x14ac:dyDescent="0.3">
      <c r="B225" s="18">
        <v>221</v>
      </c>
      <c r="C225" s="21" t="str">
        <f ca="1">IFERROR(IF(LEFT(C224,2)="13",DATE(RIGHT(C224,4),12,31),IF(EOMONTH(C224,1)&gt;PREMISSAS!$C$3,"",IF(MONTH(C224)=11,"13º "&amp;YEAR(C224),EOMONTH(C224,1)))),"")</f>
        <v>13º 2019</v>
      </c>
      <c r="D225" s="22">
        <f ca="1">VLOOKUP(C225,Preencher_Salários!$D$7:$E$656,2,FALSE)</f>
        <v>0</v>
      </c>
      <c r="E225" s="4" t="str">
        <f ca="1">IF(D225=0,"",IF(IF(ISTEXT(C225),DATE(RIGHT(C225,4),12,31),C225)&lt;PREMISSAS!$D$7,"",IFERROR(VLOOKUP(IF(LEFT(C225,2)="13",DATE(RIGHT(C225,4),12,31),C225),IPCA!$A:$D,4,FALSE),1)*D225))</f>
        <v/>
      </c>
      <c r="F225" s="4">
        <f ca="1">IF(C225="","",IFERROR(AVERAGEIF(E$5:$E225,"&gt;="&amp;_xlfn.PERCENTILE.EXC(E$5:$E225,0.2)),0))</f>
        <v>0</v>
      </c>
      <c r="G225" s="4">
        <f ca="1">IF(C225="","",IFERROR(AVERAGEIF($E$5:E225,"&gt;"&amp;0,$E$5:E225),0))</f>
        <v>0</v>
      </c>
    </row>
    <row r="226" spans="2:7" x14ac:dyDescent="0.3">
      <c r="B226" s="18">
        <v>222</v>
      </c>
      <c r="C226" s="21">
        <f ca="1">IFERROR(IF(LEFT(C225,2)="13",DATE(RIGHT(C225,4),12,31),IF(EOMONTH(C225,1)&gt;PREMISSAS!$C$3,"",IF(MONTH(C225)=11,"13º "&amp;YEAR(C225),EOMONTH(C225,1)))),"")</f>
        <v>43830</v>
      </c>
      <c r="D226" s="22">
        <f ca="1">VLOOKUP(C226,Preencher_Salários!$D$7:$E$656,2,FALSE)</f>
        <v>0</v>
      </c>
      <c r="E226" s="4" t="str">
        <f ca="1">IF(D226=0,"",IF(IF(ISTEXT(C226),DATE(RIGHT(C226,4),12,31),C226)&lt;PREMISSAS!$D$7,"",IFERROR(VLOOKUP(IF(LEFT(C226,2)="13",DATE(RIGHT(C226,4),12,31),C226),IPCA!$A:$D,4,FALSE),1)*D226))</f>
        <v/>
      </c>
      <c r="F226" s="4">
        <f ca="1">IF(C226="","",IFERROR(AVERAGEIF(E$5:$E226,"&gt;="&amp;_xlfn.PERCENTILE.EXC(E$5:$E226,0.2)),0))</f>
        <v>0</v>
      </c>
      <c r="G226" s="4">
        <f ca="1">IF(C226="","",IFERROR(AVERAGEIF($E$5:E226,"&gt;"&amp;0,$E$5:E226),0))</f>
        <v>0</v>
      </c>
    </row>
    <row r="227" spans="2:7" x14ac:dyDescent="0.3">
      <c r="B227" s="18">
        <v>223</v>
      </c>
      <c r="C227" s="21">
        <f ca="1">IFERROR(IF(LEFT(C226,2)="13",DATE(RIGHT(C226,4),12,31),IF(EOMONTH(C226,1)&gt;PREMISSAS!$C$3,"",IF(MONTH(C226)=11,"13º "&amp;YEAR(C226),EOMONTH(C226,1)))),"")</f>
        <v>43861</v>
      </c>
      <c r="D227" s="22">
        <f ca="1">VLOOKUP(C227,Preencher_Salários!$D$7:$E$656,2,FALSE)</f>
        <v>0</v>
      </c>
      <c r="E227" s="4" t="str">
        <f ca="1">IF(D227=0,"",IF(IF(ISTEXT(C227),DATE(RIGHT(C227,4),12,31),C227)&lt;PREMISSAS!$D$7,"",IFERROR(VLOOKUP(IF(LEFT(C227,2)="13",DATE(RIGHT(C227,4),12,31),C227),IPCA!$A:$D,4,FALSE),1)*D227))</f>
        <v/>
      </c>
      <c r="F227" s="4">
        <f ca="1">IF(C227="","",IFERROR(AVERAGEIF(E$5:$E227,"&gt;="&amp;_xlfn.PERCENTILE.EXC(E$5:$E227,0.2)),0))</f>
        <v>0</v>
      </c>
      <c r="G227" s="4">
        <f ca="1">IF(C227="","",IFERROR(AVERAGEIF($E$5:E227,"&gt;"&amp;0,$E$5:E227),0))</f>
        <v>0</v>
      </c>
    </row>
    <row r="228" spans="2:7" x14ac:dyDescent="0.3">
      <c r="B228" s="18">
        <v>224</v>
      </c>
      <c r="C228" s="21">
        <f ca="1">IFERROR(IF(LEFT(C227,2)="13",DATE(RIGHT(C227,4),12,31),IF(EOMONTH(C227,1)&gt;PREMISSAS!$C$3,"",IF(MONTH(C227)=11,"13º "&amp;YEAR(C227),EOMONTH(C227,1)))),"")</f>
        <v>43890</v>
      </c>
      <c r="D228" s="22">
        <f ca="1">VLOOKUP(C228,Preencher_Salários!$D$7:$E$656,2,FALSE)</f>
        <v>0</v>
      </c>
      <c r="E228" s="4" t="str">
        <f ca="1">IF(D228=0,"",IF(IF(ISTEXT(C228),DATE(RIGHT(C228,4),12,31),C228)&lt;PREMISSAS!$D$7,"",IFERROR(VLOOKUP(IF(LEFT(C228,2)="13",DATE(RIGHT(C228,4),12,31),C228),IPCA!$A:$D,4,FALSE),1)*D228))</f>
        <v/>
      </c>
      <c r="F228" s="4">
        <f ca="1">IF(C228="","",IFERROR(AVERAGEIF(E$5:$E228,"&gt;="&amp;_xlfn.PERCENTILE.EXC(E$5:$E228,0.2)),0))</f>
        <v>0</v>
      </c>
      <c r="G228" s="4">
        <f ca="1">IF(C228="","",IFERROR(AVERAGEIF($E$5:E228,"&gt;"&amp;0,$E$5:E228),0))</f>
        <v>0</v>
      </c>
    </row>
    <row r="229" spans="2:7" x14ac:dyDescent="0.3">
      <c r="B229" s="18">
        <v>225</v>
      </c>
      <c r="C229" s="21">
        <f ca="1">IFERROR(IF(LEFT(C228,2)="13",DATE(RIGHT(C228,4),12,31),IF(EOMONTH(C228,1)&gt;PREMISSAS!$C$3,"",IF(MONTH(C228)=11,"13º "&amp;YEAR(C228),EOMONTH(C228,1)))),"")</f>
        <v>43921</v>
      </c>
      <c r="D229" s="22">
        <f ca="1">VLOOKUP(C229,Preencher_Salários!$D$7:$E$656,2,FALSE)</f>
        <v>0</v>
      </c>
      <c r="E229" s="4" t="str">
        <f ca="1">IF(D229=0,"",IF(IF(ISTEXT(C229),DATE(RIGHT(C229,4),12,31),C229)&lt;PREMISSAS!$D$7,"",IFERROR(VLOOKUP(IF(LEFT(C229,2)="13",DATE(RIGHT(C229,4),12,31),C229),IPCA!$A:$D,4,FALSE),1)*D229))</f>
        <v/>
      </c>
      <c r="F229" s="4">
        <f ca="1">IF(C229="","",IFERROR(AVERAGEIF(E$5:$E229,"&gt;="&amp;_xlfn.PERCENTILE.EXC(E$5:$E229,0.2)),0))</f>
        <v>0</v>
      </c>
      <c r="G229" s="4">
        <f ca="1">IF(C229="","",IFERROR(AVERAGEIF($E$5:E229,"&gt;"&amp;0,$E$5:E229),0))</f>
        <v>0</v>
      </c>
    </row>
    <row r="230" spans="2:7" x14ac:dyDescent="0.3">
      <c r="B230" s="18">
        <v>226</v>
      </c>
      <c r="C230" s="21">
        <f ca="1">IFERROR(IF(LEFT(C229,2)="13",DATE(RIGHT(C229,4),12,31),IF(EOMONTH(C229,1)&gt;PREMISSAS!$C$3,"",IF(MONTH(C229)=11,"13º "&amp;YEAR(C229),EOMONTH(C229,1)))),"")</f>
        <v>43951</v>
      </c>
      <c r="D230" s="22">
        <f ca="1">VLOOKUP(C230,Preencher_Salários!$D$7:$E$656,2,FALSE)</f>
        <v>0</v>
      </c>
      <c r="E230" s="4" t="str">
        <f ca="1">IF(D230=0,"",IF(IF(ISTEXT(C230),DATE(RIGHT(C230,4),12,31),C230)&lt;PREMISSAS!$D$7,"",IFERROR(VLOOKUP(IF(LEFT(C230,2)="13",DATE(RIGHT(C230,4),12,31),C230),IPCA!$A:$D,4,FALSE),1)*D230))</f>
        <v/>
      </c>
      <c r="F230" s="4">
        <f ca="1">IF(C230="","",IFERROR(AVERAGEIF(E$5:$E230,"&gt;="&amp;_xlfn.PERCENTILE.EXC(E$5:$E230,0.2)),0))</f>
        <v>0</v>
      </c>
      <c r="G230" s="4">
        <f ca="1">IF(C230="","",IFERROR(AVERAGEIF($E$5:E230,"&gt;"&amp;0,$E$5:E230),0))</f>
        <v>0</v>
      </c>
    </row>
    <row r="231" spans="2:7" x14ac:dyDescent="0.3">
      <c r="B231" s="18">
        <v>227</v>
      </c>
      <c r="C231" s="21">
        <f ca="1">IFERROR(IF(LEFT(C230,2)="13",DATE(RIGHT(C230,4),12,31),IF(EOMONTH(C230,1)&gt;PREMISSAS!$C$3,"",IF(MONTH(C230)=11,"13º "&amp;YEAR(C230),EOMONTH(C230,1)))),"")</f>
        <v>43982</v>
      </c>
      <c r="D231" s="22">
        <f ca="1">VLOOKUP(C231,Preencher_Salários!$D$7:$E$656,2,FALSE)</f>
        <v>0</v>
      </c>
      <c r="E231" s="4" t="str">
        <f ca="1">IF(D231=0,"",IF(IF(ISTEXT(C231),DATE(RIGHT(C231,4),12,31),C231)&lt;PREMISSAS!$D$7,"",IFERROR(VLOOKUP(IF(LEFT(C231,2)="13",DATE(RIGHT(C231,4),12,31),C231),IPCA!$A:$D,4,FALSE),1)*D231))</f>
        <v/>
      </c>
      <c r="F231" s="4">
        <f ca="1">IF(C231="","",IFERROR(AVERAGEIF(E$5:$E231,"&gt;="&amp;_xlfn.PERCENTILE.EXC(E$5:$E231,0.2)),0))</f>
        <v>0</v>
      </c>
      <c r="G231" s="4">
        <f ca="1">IF(C231="","",IFERROR(AVERAGEIF($E$5:E231,"&gt;"&amp;0,$E$5:E231),0))</f>
        <v>0</v>
      </c>
    </row>
    <row r="232" spans="2:7" x14ac:dyDescent="0.3">
      <c r="B232" s="18">
        <v>228</v>
      </c>
      <c r="C232" s="21">
        <f ca="1">IFERROR(IF(LEFT(C231,2)="13",DATE(RIGHT(C231,4),12,31),IF(EOMONTH(C231,1)&gt;PREMISSAS!$C$3,"",IF(MONTH(C231)=11,"13º "&amp;YEAR(C231),EOMONTH(C231,1)))),"")</f>
        <v>44012</v>
      </c>
      <c r="D232" s="22">
        <f ca="1">VLOOKUP(C232,Preencher_Salários!$D$7:$E$656,2,FALSE)</f>
        <v>0</v>
      </c>
      <c r="E232" s="4" t="str">
        <f ca="1">IF(D232=0,"",IF(IF(ISTEXT(C232),DATE(RIGHT(C232,4),12,31),C232)&lt;PREMISSAS!$D$7,"",IFERROR(VLOOKUP(IF(LEFT(C232,2)="13",DATE(RIGHT(C232,4),12,31),C232),IPCA!$A:$D,4,FALSE),1)*D232))</f>
        <v/>
      </c>
      <c r="F232" s="4">
        <f ca="1">IF(C232="","",IFERROR(AVERAGEIF(E$5:$E232,"&gt;="&amp;_xlfn.PERCENTILE.EXC(E$5:$E232,0.2)),0))</f>
        <v>0</v>
      </c>
      <c r="G232" s="4">
        <f ca="1">IF(C232="","",IFERROR(AVERAGEIF($E$5:E232,"&gt;"&amp;0,$E$5:E232),0))</f>
        <v>0</v>
      </c>
    </row>
    <row r="233" spans="2:7" x14ac:dyDescent="0.3">
      <c r="B233" s="18">
        <v>229</v>
      </c>
      <c r="C233" s="21">
        <f ca="1">IFERROR(IF(LEFT(C232,2)="13",DATE(RIGHT(C232,4),12,31),IF(EOMONTH(C232,1)&gt;PREMISSAS!$C$3,"",IF(MONTH(C232)=11,"13º "&amp;YEAR(C232),EOMONTH(C232,1)))),"")</f>
        <v>44043</v>
      </c>
      <c r="D233" s="22">
        <f ca="1">VLOOKUP(C233,Preencher_Salários!$D$7:$E$656,2,FALSE)</f>
        <v>0</v>
      </c>
      <c r="E233" s="4" t="str">
        <f ca="1">IF(D233=0,"",IF(IF(ISTEXT(C233),DATE(RIGHT(C233,4),12,31),C233)&lt;PREMISSAS!$D$7,"",IFERROR(VLOOKUP(IF(LEFT(C233,2)="13",DATE(RIGHT(C233,4),12,31),C233),IPCA!$A:$D,4,FALSE),1)*D233))</f>
        <v/>
      </c>
      <c r="F233" s="4">
        <f ca="1">IF(C233="","",IFERROR(AVERAGEIF(E$5:$E233,"&gt;="&amp;_xlfn.PERCENTILE.EXC(E$5:$E233,0.2)),0))</f>
        <v>0</v>
      </c>
      <c r="G233" s="4">
        <f ca="1">IF(C233="","",IFERROR(AVERAGEIF($E$5:E233,"&gt;"&amp;0,$E$5:E233),0))</f>
        <v>0</v>
      </c>
    </row>
    <row r="234" spans="2:7" x14ac:dyDescent="0.3">
      <c r="B234" s="18">
        <v>230</v>
      </c>
      <c r="C234" s="21">
        <f ca="1">IFERROR(IF(LEFT(C233,2)="13",DATE(RIGHT(C233,4),12,31),IF(EOMONTH(C233,1)&gt;PREMISSAS!$C$3,"",IF(MONTH(C233)=11,"13º "&amp;YEAR(C233),EOMONTH(C233,1)))),"")</f>
        <v>44074</v>
      </c>
      <c r="D234" s="22">
        <f ca="1">VLOOKUP(C234,Preencher_Salários!$D$7:$E$656,2,FALSE)</f>
        <v>0</v>
      </c>
      <c r="E234" s="4" t="str">
        <f ca="1">IF(D234=0,"",IF(IF(ISTEXT(C234),DATE(RIGHT(C234,4),12,31),C234)&lt;PREMISSAS!$D$7,"",IFERROR(VLOOKUP(IF(LEFT(C234,2)="13",DATE(RIGHT(C234,4),12,31),C234),IPCA!$A:$D,4,FALSE),1)*D234))</f>
        <v/>
      </c>
      <c r="F234" s="4">
        <f ca="1">IF(C234="","",IFERROR(AVERAGEIF(E$5:$E234,"&gt;="&amp;_xlfn.PERCENTILE.EXC(E$5:$E234,0.2)),0))</f>
        <v>0</v>
      </c>
      <c r="G234" s="4">
        <f ca="1">IF(C234="","",IFERROR(AVERAGEIF($E$5:E234,"&gt;"&amp;0,$E$5:E234),0))</f>
        <v>0</v>
      </c>
    </row>
    <row r="235" spans="2:7" x14ac:dyDescent="0.3">
      <c r="B235" s="18">
        <v>231</v>
      </c>
      <c r="C235" s="21">
        <f ca="1">IFERROR(IF(LEFT(C234,2)="13",DATE(RIGHT(C234,4),12,31),IF(EOMONTH(C234,1)&gt;PREMISSAS!$C$3,"",IF(MONTH(C234)=11,"13º "&amp;YEAR(C234),EOMONTH(C234,1)))),"")</f>
        <v>44104</v>
      </c>
      <c r="D235" s="22">
        <f ca="1">VLOOKUP(C235,Preencher_Salários!$D$7:$E$656,2,FALSE)</f>
        <v>0</v>
      </c>
      <c r="E235" s="4" t="str">
        <f ca="1">IF(D235=0,"",IF(IF(ISTEXT(C235),DATE(RIGHT(C235,4),12,31),C235)&lt;PREMISSAS!$D$7,"",IFERROR(VLOOKUP(IF(LEFT(C235,2)="13",DATE(RIGHT(C235,4),12,31),C235),IPCA!$A:$D,4,FALSE),1)*D235))</f>
        <v/>
      </c>
      <c r="F235" s="4">
        <f ca="1">IF(C235="","",IFERROR(AVERAGEIF(E$5:$E235,"&gt;="&amp;_xlfn.PERCENTILE.EXC(E$5:$E235,0.2)),0))</f>
        <v>0</v>
      </c>
      <c r="G235" s="4">
        <f ca="1">IF(C235="","",IFERROR(AVERAGEIF($E$5:E235,"&gt;"&amp;0,$E$5:E235),0))</f>
        <v>0</v>
      </c>
    </row>
    <row r="236" spans="2:7" x14ac:dyDescent="0.3">
      <c r="B236" s="18">
        <v>232</v>
      </c>
      <c r="C236" s="21">
        <f ca="1">IFERROR(IF(LEFT(C235,2)="13",DATE(RIGHT(C235,4),12,31),IF(EOMONTH(C235,1)&gt;PREMISSAS!$C$3,"",IF(MONTH(C235)=11,"13º "&amp;YEAR(C235),EOMONTH(C235,1)))),"")</f>
        <v>44135</v>
      </c>
      <c r="D236" s="22">
        <f ca="1">VLOOKUP(C236,Preencher_Salários!$D$7:$E$656,2,FALSE)</f>
        <v>0</v>
      </c>
      <c r="E236" s="4" t="str">
        <f ca="1">IF(D236=0,"",IF(IF(ISTEXT(C236),DATE(RIGHT(C236,4),12,31),C236)&lt;PREMISSAS!$D$7,"",IFERROR(VLOOKUP(IF(LEFT(C236,2)="13",DATE(RIGHT(C236,4),12,31),C236),IPCA!$A:$D,4,FALSE),1)*D236))</f>
        <v/>
      </c>
      <c r="F236" s="4">
        <f ca="1">IF(C236="","",IFERROR(AVERAGEIF(E$5:$E236,"&gt;="&amp;_xlfn.PERCENTILE.EXC(E$5:$E236,0.2)),0))</f>
        <v>0</v>
      </c>
      <c r="G236" s="4">
        <f ca="1">IF(C236="","",IFERROR(AVERAGEIF($E$5:E236,"&gt;"&amp;0,$E$5:E236),0))</f>
        <v>0</v>
      </c>
    </row>
    <row r="237" spans="2:7" x14ac:dyDescent="0.3">
      <c r="B237" s="18">
        <v>233</v>
      </c>
      <c r="C237" s="21">
        <f ca="1">IFERROR(IF(LEFT(C236,2)="13",DATE(RIGHT(C236,4),12,31),IF(EOMONTH(C236,1)&gt;PREMISSAS!$C$3,"",IF(MONTH(C236)=11,"13º "&amp;YEAR(C236),EOMONTH(C236,1)))),"")</f>
        <v>44165</v>
      </c>
      <c r="D237" s="22">
        <f ca="1">VLOOKUP(C237,Preencher_Salários!$D$7:$E$656,2,FALSE)</f>
        <v>0</v>
      </c>
      <c r="E237" s="4" t="str">
        <f ca="1">IF(D237=0,"",IF(IF(ISTEXT(C237),DATE(RIGHT(C237,4),12,31),C237)&lt;PREMISSAS!$D$7,"",IFERROR(VLOOKUP(IF(LEFT(C237,2)="13",DATE(RIGHT(C237,4),12,31),C237),IPCA!$A:$D,4,FALSE),1)*D237))</f>
        <v/>
      </c>
      <c r="F237" s="4">
        <f ca="1">IF(C237="","",IFERROR(AVERAGEIF(E$5:$E237,"&gt;="&amp;_xlfn.PERCENTILE.EXC(E$5:$E237,0.2)),0))</f>
        <v>0</v>
      </c>
      <c r="G237" s="4">
        <f ca="1">IF(C237="","",IFERROR(AVERAGEIF($E$5:E237,"&gt;"&amp;0,$E$5:E237),0))</f>
        <v>0</v>
      </c>
    </row>
    <row r="238" spans="2:7" x14ac:dyDescent="0.3">
      <c r="B238" s="18">
        <v>234</v>
      </c>
      <c r="C238" s="21" t="str">
        <f ca="1">IFERROR(IF(LEFT(C237,2)="13",DATE(RIGHT(C237,4),12,31),IF(EOMONTH(C237,1)&gt;PREMISSAS!$C$3,"",IF(MONTH(C237)=11,"13º "&amp;YEAR(C237),EOMONTH(C237,1)))),"")</f>
        <v>13º 2020</v>
      </c>
      <c r="D238" s="22">
        <f ca="1">VLOOKUP(C238,Preencher_Salários!$D$7:$E$656,2,FALSE)</f>
        <v>0</v>
      </c>
      <c r="E238" s="4" t="str">
        <f ca="1">IF(D238=0,"",IF(IF(ISTEXT(C238),DATE(RIGHT(C238,4),12,31),C238)&lt;PREMISSAS!$D$7,"",IFERROR(VLOOKUP(IF(LEFT(C238,2)="13",DATE(RIGHT(C238,4),12,31),C238),IPCA!$A:$D,4,FALSE),1)*D238))</f>
        <v/>
      </c>
      <c r="F238" s="4">
        <f ca="1">IF(C238="","",IFERROR(AVERAGEIF(E$5:$E238,"&gt;="&amp;_xlfn.PERCENTILE.EXC(E$5:$E238,0.2)),0))</f>
        <v>0</v>
      </c>
      <c r="G238" s="4">
        <f ca="1">IF(C238="","",IFERROR(AVERAGEIF($E$5:E238,"&gt;"&amp;0,$E$5:E238),0))</f>
        <v>0</v>
      </c>
    </row>
    <row r="239" spans="2:7" x14ac:dyDescent="0.3">
      <c r="B239" s="18">
        <v>235</v>
      </c>
      <c r="C239" s="21">
        <f ca="1">IFERROR(IF(LEFT(C238,2)="13",DATE(RIGHT(C238,4),12,31),IF(EOMONTH(C238,1)&gt;PREMISSAS!$C$3,"",IF(MONTH(C238)=11,"13º "&amp;YEAR(C238),EOMONTH(C238,1)))),"")</f>
        <v>44196</v>
      </c>
      <c r="D239" s="22">
        <f ca="1">VLOOKUP(C239,Preencher_Salários!$D$7:$E$656,2,FALSE)</f>
        <v>0</v>
      </c>
      <c r="E239" s="4" t="str">
        <f ca="1">IF(D239=0,"",IF(IF(ISTEXT(C239),DATE(RIGHT(C239,4),12,31),C239)&lt;PREMISSAS!$D$7,"",IFERROR(VLOOKUP(IF(LEFT(C239,2)="13",DATE(RIGHT(C239,4),12,31),C239),IPCA!$A:$D,4,FALSE),1)*D239))</f>
        <v/>
      </c>
      <c r="F239" s="4">
        <f ca="1">IF(C239="","",IFERROR(AVERAGEIF(E$5:$E239,"&gt;="&amp;_xlfn.PERCENTILE.EXC(E$5:$E239,0.2)),0))</f>
        <v>0</v>
      </c>
      <c r="G239" s="4">
        <f ca="1">IF(C239="","",IFERROR(AVERAGEIF($E$5:E239,"&gt;"&amp;0,$E$5:E239),0))</f>
        <v>0</v>
      </c>
    </row>
    <row r="240" spans="2:7" x14ac:dyDescent="0.3">
      <c r="B240" s="18">
        <v>236</v>
      </c>
      <c r="C240" s="21">
        <f ca="1">IFERROR(IF(LEFT(C239,2)="13",DATE(RIGHT(C239,4),12,31),IF(EOMONTH(C239,1)&gt;PREMISSAS!$C$3,"",IF(MONTH(C239)=11,"13º "&amp;YEAR(C239),EOMONTH(C239,1)))),"")</f>
        <v>44227</v>
      </c>
      <c r="D240" s="22">
        <f ca="1">VLOOKUP(C240,Preencher_Salários!$D$7:$E$656,2,FALSE)</f>
        <v>0</v>
      </c>
      <c r="E240" s="4" t="str">
        <f ca="1">IF(D240=0,"",IF(IF(ISTEXT(C240),DATE(RIGHT(C240,4),12,31),C240)&lt;PREMISSAS!$D$7,"",IFERROR(VLOOKUP(IF(LEFT(C240,2)="13",DATE(RIGHT(C240,4),12,31),C240),IPCA!$A:$D,4,FALSE),1)*D240))</f>
        <v/>
      </c>
      <c r="F240" s="4">
        <f ca="1">IF(C240="","",IFERROR(AVERAGEIF(E$5:$E240,"&gt;="&amp;_xlfn.PERCENTILE.EXC(E$5:$E240,0.2)),0))</f>
        <v>0</v>
      </c>
      <c r="G240" s="4">
        <f ca="1">IF(C240="","",IFERROR(AVERAGEIF($E$5:E240,"&gt;"&amp;0,$E$5:E240),0))</f>
        <v>0</v>
      </c>
    </row>
    <row r="241" spans="2:7" x14ac:dyDescent="0.3">
      <c r="B241" s="18">
        <v>237</v>
      </c>
      <c r="C241" s="21">
        <f ca="1">IFERROR(IF(LEFT(C240,2)="13",DATE(RIGHT(C240,4),12,31),IF(EOMONTH(C240,1)&gt;PREMISSAS!$C$3,"",IF(MONTH(C240)=11,"13º "&amp;YEAR(C240),EOMONTH(C240,1)))),"")</f>
        <v>44255</v>
      </c>
      <c r="D241" s="22">
        <f ca="1">VLOOKUP(C241,Preencher_Salários!$D$7:$E$656,2,FALSE)</f>
        <v>0</v>
      </c>
      <c r="E241" s="4" t="str">
        <f ca="1">IF(D241=0,"",IF(IF(ISTEXT(C241),DATE(RIGHT(C241,4),12,31),C241)&lt;PREMISSAS!$D$7,"",IFERROR(VLOOKUP(IF(LEFT(C241,2)="13",DATE(RIGHT(C241,4),12,31),C241),IPCA!$A:$D,4,FALSE),1)*D241))</f>
        <v/>
      </c>
      <c r="F241" s="4">
        <f ca="1">IF(C241="","",IFERROR(AVERAGEIF(E$5:$E241,"&gt;="&amp;_xlfn.PERCENTILE.EXC(E$5:$E241,0.2)),0))</f>
        <v>0</v>
      </c>
      <c r="G241" s="4">
        <f ca="1">IF(C241="","",IFERROR(AVERAGEIF($E$5:E241,"&gt;"&amp;0,$E$5:E241),0))</f>
        <v>0</v>
      </c>
    </row>
    <row r="242" spans="2:7" x14ac:dyDescent="0.3">
      <c r="B242" s="18">
        <v>238</v>
      </c>
      <c r="C242" s="21">
        <f ca="1">IFERROR(IF(LEFT(C241,2)="13",DATE(RIGHT(C241,4),12,31),IF(EOMONTH(C241,1)&gt;PREMISSAS!$C$3,"",IF(MONTH(C241)=11,"13º "&amp;YEAR(C241),EOMONTH(C241,1)))),"")</f>
        <v>44286</v>
      </c>
      <c r="D242" s="22">
        <f ca="1">VLOOKUP(C242,Preencher_Salários!$D$7:$E$656,2,FALSE)</f>
        <v>0</v>
      </c>
      <c r="E242" s="4" t="str">
        <f ca="1">IF(D242=0,"",IF(IF(ISTEXT(C242),DATE(RIGHT(C242,4),12,31),C242)&lt;PREMISSAS!$D$7,"",IFERROR(VLOOKUP(IF(LEFT(C242,2)="13",DATE(RIGHT(C242,4),12,31),C242),IPCA!$A:$D,4,FALSE),1)*D242))</f>
        <v/>
      </c>
      <c r="F242" s="4">
        <f ca="1">IF(C242="","",IFERROR(AVERAGEIF(E$5:$E242,"&gt;="&amp;_xlfn.PERCENTILE.EXC(E$5:$E242,0.2)),0))</f>
        <v>0</v>
      </c>
      <c r="G242" s="4">
        <f ca="1">IF(C242="","",IFERROR(AVERAGEIF($E$5:E242,"&gt;"&amp;0,$E$5:E242),0))</f>
        <v>0</v>
      </c>
    </row>
    <row r="243" spans="2:7" x14ac:dyDescent="0.3">
      <c r="B243" s="18">
        <v>239</v>
      </c>
      <c r="C243" s="21">
        <f ca="1">IFERROR(IF(LEFT(C242,2)="13",DATE(RIGHT(C242,4),12,31),IF(EOMONTH(C242,1)&gt;PREMISSAS!$C$3,"",IF(MONTH(C242)=11,"13º "&amp;YEAR(C242),EOMONTH(C242,1)))),"")</f>
        <v>44316</v>
      </c>
      <c r="D243" s="22">
        <f ca="1">VLOOKUP(C243,Preencher_Salários!$D$7:$E$656,2,FALSE)</f>
        <v>0</v>
      </c>
      <c r="E243" s="4" t="str">
        <f ca="1">IF(D243=0,"",IF(IF(ISTEXT(C243),DATE(RIGHT(C243,4),12,31),C243)&lt;PREMISSAS!$D$7,"",IFERROR(VLOOKUP(IF(LEFT(C243,2)="13",DATE(RIGHT(C243,4),12,31),C243),IPCA!$A:$D,4,FALSE),1)*D243))</f>
        <v/>
      </c>
      <c r="F243" s="4">
        <f ca="1">IF(C243="","",IFERROR(AVERAGEIF(E$5:$E243,"&gt;="&amp;_xlfn.PERCENTILE.EXC(E$5:$E243,0.2)),0))</f>
        <v>0</v>
      </c>
      <c r="G243" s="4">
        <f ca="1">IF(C243="","",IFERROR(AVERAGEIF($E$5:E243,"&gt;"&amp;0,$E$5:E243),0))</f>
        <v>0</v>
      </c>
    </row>
    <row r="244" spans="2:7" x14ac:dyDescent="0.3">
      <c r="B244" s="18">
        <v>240</v>
      </c>
      <c r="C244" s="21">
        <f ca="1">IFERROR(IF(LEFT(C243,2)="13",DATE(RIGHT(C243,4),12,31),IF(EOMONTH(C243,1)&gt;PREMISSAS!$C$3,"",IF(MONTH(C243)=11,"13º "&amp;YEAR(C243),EOMONTH(C243,1)))),"")</f>
        <v>44347</v>
      </c>
      <c r="D244" s="22">
        <f ca="1">VLOOKUP(C244,Preencher_Salários!$D$7:$E$656,2,FALSE)</f>
        <v>0</v>
      </c>
      <c r="E244" s="4" t="str">
        <f ca="1">IF(D244=0,"",IF(IF(ISTEXT(C244),DATE(RIGHT(C244,4),12,31),C244)&lt;PREMISSAS!$D$7,"",IFERROR(VLOOKUP(IF(LEFT(C244,2)="13",DATE(RIGHT(C244,4),12,31),C244),IPCA!$A:$D,4,FALSE),1)*D244))</f>
        <v/>
      </c>
      <c r="F244" s="4">
        <f ca="1">IF(C244="","",IFERROR(AVERAGEIF(E$5:$E244,"&gt;="&amp;_xlfn.PERCENTILE.EXC(E$5:$E244,0.2)),0))</f>
        <v>0</v>
      </c>
      <c r="G244" s="4">
        <f ca="1">IF(C244="","",IFERROR(AVERAGEIF($E$5:E244,"&gt;"&amp;0,$E$5:E244),0))</f>
        <v>0</v>
      </c>
    </row>
    <row r="245" spans="2:7" x14ac:dyDescent="0.3">
      <c r="B245" s="18">
        <v>241</v>
      </c>
      <c r="C245" s="21">
        <f ca="1">IFERROR(IF(LEFT(C244,2)="13",DATE(RIGHT(C244,4),12,31),IF(EOMONTH(C244,1)&gt;PREMISSAS!$C$3,"",IF(MONTH(C244)=11,"13º "&amp;YEAR(C244),EOMONTH(C244,1)))),"")</f>
        <v>44377</v>
      </c>
      <c r="D245" s="22">
        <f ca="1">VLOOKUP(C245,Preencher_Salários!$D$7:$E$656,2,FALSE)</f>
        <v>0</v>
      </c>
      <c r="E245" s="4" t="str">
        <f ca="1">IF(D245=0,"",IF(IF(ISTEXT(C245),DATE(RIGHT(C245,4),12,31),C245)&lt;PREMISSAS!$D$7,"",IFERROR(VLOOKUP(IF(LEFT(C245,2)="13",DATE(RIGHT(C245,4),12,31),C245),IPCA!$A:$D,4,FALSE),1)*D245))</f>
        <v/>
      </c>
      <c r="F245" s="4">
        <f ca="1">IF(C245="","",IFERROR(AVERAGEIF(E$5:$E245,"&gt;="&amp;_xlfn.PERCENTILE.EXC(E$5:$E245,0.2)),0))</f>
        <v>0</v>
      </c>
      <c r="G245" s="4">
        <f ca="1">IF(C245="","",IFERROR(AVERAGEIF($E$5:E245,"&gt;"&amp;0,$E$5:E245),0))</f>
        <v>0</v>
      </c>
    </row>
    <row r="246" spans="2:7" x14ac:dyDescent="0.3">
      <c r="B246" s="18">
        <v>242</v>
      </c>
      <c r="C246" s="21">
        <f ca="1">IFERROR(IF(LEFT(C245,2)="13",DATE(RIGHT(C245,4),12,31),IF(EOMONTH(C245,1)&gt;PREMISSAS!$C$3,"",IF(MONTH(C245)=11,"13º "&amp;YEAR(C245),EOMONTH(C245,1)))),"")</f>
        <v>44408</v>
      </c>
      <c r="D246" s="22">
        <f ca="1">VLOOKUP(C246,Preencher_Salários!$D$7:$E$656,2,FALSE)</f>
        <v>0</v>
      </c>
      <c r="E246" s="4" t="str">
        <f ca="1">IF(D246=0,"",IF(IF(ISTEXT(C246),DATE(RIGHT(C246,4),12,31),C246)&lt;PREMISSAS!$D$7,"",IFERROR(VLOOKUP(IF(LEFT(C246,2)="13",DATE(RIGHT(C246,4),12,31),C246),IPCA!$A:$D,4,FALSE),1)*D246))</f>
        <v/>
      </c>
      <c r="F246" s="4">
        <f ca="1">IF(C246="","",IFERROR(AVERAGEIF(E$5:$E246,"&gt;="&amp;_xlfn.PERCENTILE.EXC(E$5:$E246,0.2)),0))</f>
        <v>0</v>
      </c>
      <c r="G246" s="4">
        <f ca="1">IF(C246="","",IFERROR(AVERAGEIF($E$5:E246,"&gt;"&amp;0,$E$5:E246),0))</f>
        <v>0</v>
      </c>
    </row>
    <row r="247" spans="2:7" x14ac:dyDescent="0.3">
      <c r="B247" s="18">
        <v>243</v>
      </c>
      <c r="C247" s="21">
        <f ca="1">IFERROR(IF(LEFT(C246,2)="13",DATE(RIGHT(C246,4),12,31),IF(EOMONTH(C246,1)&gt;PREMISSAS!$C$3,"",IF(MONTH(C246)=11,"13º "&amp;YEAR(C246),EOMONTH(C246,1)))),"")</f>
        <v>44439</v>
      </c>
      <c r="D247" s="22">
        <f ca="1">VLOOKUP(C247,Preencher_Salários!$D$7:$E$656,2,FALSE)</f>
        <v>0</v>
      </c>
      <c r="E247" s="4" t="str">
        <f ca="1">IF(D247=0,"",IF(IF(ISTEXT(C247),DATE(RIGHT(C247,4),12,31),C247)&lt;PREMISSAS!$D$7,"",IFERROR(VLOOKUP(IF(LEFT(C247,2)="13",DATE(RIGHT(C247,4),12,31),C247),IPCA!$A:$D,4,FALSE),1)*D247))</f>
        <v/>
      </c>
      <c r="F247" s="4">
        <f ca="1">IF(C247="","",IFERROR(AVERAGEIF(E$5:$E247,"&gt;="&amp;_xlfn.PERCENTILE.EXC(E$5:$E247,0.2)),0))</f>
        <v>0</v>
      </c>
      <c r="G247" s="4">
        <f ca="1">IF(C247="","",IFERROR(AVERAGEIF($E$5:E247,"&gt;"&amp;0,$E$5:E247),0))</f>
        <v>0</v>
      </c>
    </row>
    <row r="248" spans="2:7" x14ac:dyDescent="0.3">
      <c r="B248" s="18">
        <v>244</v>
      </c>
      <c r="C248" s="21">
        <f ca="1">IFERROR(IF(LEFT(C247,2)="13",DATE(RIGHT(C247,4),12,31),IF(EOMONTH(C247,1)&gt;PREMISSAS!$C$3,"",IF(MONTH(C247)=11,"13º "&amp;YEAR(C247),EOMONTH(C247,1)))),"")</f>
        <v>44469</v>
      </c>
      <c r="D248" s="22">
        <f ca="1">VLOOKUP(C248,Preencher_Salários!$D$7:$E$656,2,FALSE)</f>
        <v>0</v>
      </c>
      <c r="E248" s="4" t="str">
        <f ca="1">IF(D248=0,"",IF(IF(ISTEXT(C248),DATE(RIGHT(C248,4),12,31),C248)&lt;PREMISSAS!$D$7,"",IFERROR(VLOOKUP(IF(LEFT(C248,2)="13",DATE(RIGHT(C248,4),12,31),C248),IPCA!$A:$D,4,FALSE),1)*D248))</f>
        <v/>
      </c>
      <c r="F248" s="4">
        <f ca="1">IF(C248="","",IFERROR(AVERAGEIF(E$5:$E248,"&gt;="&amp;_xlfn.PERCENTILE.EXC(E$5:$E248,0.2)),0))</f>
        <v>0</v>
      </c>
      <c r="G248" s="4">
        <f ca="1">IF(C248="","",IFERROR(AVERAGEIF($E$5:E248,"&gt;"&amp;0,$E$5:E248),0))</f>
        <v>0</v>
      </c>
    </row>
    <row r="249" spans="2:7" x14ac:dyDescent="0.3">
      <c r="B249" s="18">
        <v>245</v>
      </c>
      <c r="C249" s="21">
        <f ca="1">IFERROR(IF(LEFT(C248,2)="13",DATE(RIGHT(C248,4),12,31),IF(EOMONTH(C248,1)&gt;PREMISSAS!$C$3,"",IF(MONTH(C248)=11,"13º "&amp;YEAR(C248),EOMONTH(C248,1)))),"")</f>
        <v>44500</v>
      </c>
      <c r="D249" s="22">
        <f ca="1">VLOOKUP(C249,Preencher_Salários!$D$7:$E$656,2,FALSE)</f>
        <v>0</v>
      </c>
      <c r="E249" s="4" t="str">
        <f ca="1">IF(D249=0,"",IF(IF(ISTEXT(C249),DATE(RIGHT(C249,4),12,31),C249)&lt;PREMISSAS!$D$7,"",IFERROR(VLOOKUP(IF(LEFT(C249,2)="13",DATE(RIGHT(C249,4),12,31),C249),IPCA!$A:$D,4,FALSE),1)*D249))</f>
        <v/>
      </c>
      <c r="F249" s="4">
        <f ca="1">IF(C249="","",IFERROR(AVERAGEIF(E$5:$E249,"&gt;="&amp;_xlfn.PERCENTILE.EXC(E$5:$E249,0.2)),0))</f>
        <v>0</v>
      </c>
      <c r="G249" s="4">
        <f ca="1">IF(C249="","",IFERROR(AVERAGEIF($E$5:E249,"&gt;"&amp;0,$E$5:E249),0))</f>
        <v>0</v>
      </c>
    </row>
    <row r="250" spans="2:7" x14ac:dyDescent="0.3">
      <c r="B250" s="18">
        <v>246</v>
      </c>
      <c r="C250" s="21">
        <f ca="1">IFERROR(IF(LEFT(C249,2)="13",DATE(RIGHT(C249,4),12,31),IF(EOMONTH(C249,1)&gt;PREMISSAS!$C$3,"",IF(MONTH(C249)=11,"13º "&amp;YEAR(C249),EOMONTH(C249,1)))),"")</f>
        <v>44530</v>
      </c>
      <c r="D250" s="22">
        <f ca="1">VLOOKUP(C250,Preencher_Salários!$D$7:$E$656,2,FALSE)</f>
        <v>0</v>
      </c>
      <c r="E250" s="4" t="str">
        <f ca="1">IF(D250=0,"",IF(IF(ISTEXT(C250),DATE(RIGHT(C250,4),12,31),C250)&lt;PREMISSAS!$D$7,"",IFERROR(VLOOKUP(IF(LEFT(C250,2)="13",DATE(RIGHT(C250,4),12,31),C250),IPCA!$A:$D,4,FALSE),1)*D250))</f>
        <v/>
      </c>
      <c r="F250" s="4">
        <f ca="1">IF(C250="","",IFERROR(AVERAGEIF(E$5:$E250,"&gt;="&amp;_xlfn.PERCENTILE.EXC(E$5:$E250,0.2)),0))</f>
        <v>0</v>
      </c>
      <c r="G250" s="4">
        <f ca="1">IF(C250="","",IFERROR(AVERAGEIF($E$5:E250,"&gt;"&amp;0,$E$5:E250),0))</f>
        <v>0</v>
      </c>
    </row>
    <row r="251" spans="2:7" x14ac:dyDescent="0.3">
      <c r="B251" s="18">
        <v>247</v>
      </c>
      <c r="C251" s="21" t="str">
        <f ca="1">IFERROR(IF(LEFT(C250,2)="13",DATE(RIGHT(C250,4),12,31),IF(EOMONTH(C250,1)&gt;PREMISSAS!$C$3,"",IF(MONTH(C250)=11,"13º "&amp;YEAR(C250),EOMONTH(C250,1)))),"")</f>
        <v>13º 2021</v>
      </c>
      <c r="D251" s="22">
        <f ca="1">VLOOKUP(C251,Preencher_Salários!$D$7:$E$656,2,FALSE)</f>
        <v>0</v>
      </c>
      <c r="E251" s="4" t="str">
        <f ca="1">IF(D251=0,"",IF(IF(ISTEXT(C251),DATE(RIGHT(C251,4),12,31),C251)&lt;PREMISSAS!$D$7,"",IFERROR(VLOOKUP(IF(LEFT(C251,2)="13",DATE(RIGHT(C251,4),12,31),C251),IPCA!$A:$D,4,FALSE),1)*D251))</f>
        <v/>
      </c>
      <c r="F251" s="4">
        <f ca="1">IF(C251="","",IFERROR(AVERAGEIF(E$5:$E251,"&gt;="&amp;_xlfn.PERCENTILE.EXC(E$5:$E251,0.2)),0))</f>
        <v>0</v>
      </c>
      <c r="G251" s="4">
        <f ca="1">IF(C251="","",IFERROR(AVERAGEIF($E$5:E251,"&gt;"&amp;0,$E$5:E251),0))</f>
        <v>0</v>
      </c>
    </row>
    <row r="252" spans="2:7" x14ac:dyDescent="0.3">
      <c r="B252" s="18">
        <v>248</v>
      </c>
      <c r="C252" s="21">
        <f ca="1">IFERROR(IF(LEFT(C251,2)="13",DATE(RIGHT(C251,4),12,31),IF(EOMONTH(C251,1)&gt;PREMISSAS!$C$3,"",IF(MONTH(C251)=11,"13º "&amp;YEAR(C251),EOMONTH(C251,1)))),"")</f>
        <v>44561</v>
      </c>
      <c r="D252" s="22">
        <f ca="1">VLOOKUP(C252,Preencher_Salários!$D$7:$E$656,2,FALSE)</f>
        <v>0</v>
      </c>
      <c r="E252" s="4" t="str">
        <f ca="1">IF(D252=0,"",IF(IF(ISTEXT(C252),DATE(RIGHT(C252,4),12,31),C252)&lt;PREMISSAS!$D$7,"",IFERROR(VLOOKUP(IF(LEFT(C252,2)="13",DATE(RIGHT(C252,4),12,31),C252),IPCA!$A:$D,4,FALSE),1)*D252))</f>
        <v/>
      </c>
      <c r="F252" s="4">
        <f ca="1">IF(C252="","",IFERROR(AVERAGEIF(E$5:$E252,"&gt;="&amp;_xlfn.PERCENTILE.EXC(E$5:$E252,0.2)),0))</f>
        <v>0</v>
      </c>
      <c r="G252" s="4">
        <f ca="1">IF(C252="","",IFERROR(AVERAGEIF($E$5:E252,"&gt;"&amp;0,$E$5:E252),0))</f>
        <v>0</v>
      </c>
    </row>
    <row r="253" spans="2:7" x14ac:dyDescent="0.3">
      <c r="B253" s="18">
        <v>249</v>
      </c>
      <c r="C253" s="21">
        <f ca="1">IFERROR(IF(LEFT(C252,2)="13",DATE(RIGHT(C252,4),12,31),IF(EOMONTH(C252,1)&gt;PREMISSAS!$C$3,"",IF(MONTH(C252)=11,"13º "&amp;YEAR(C252),EOMONTH(C252,1)))),"")</f>
        <v>44592</v>
      </c>
      <c r="D253" s="22">
        <f ca="1">VLOOKUP(C253,Preencher_Salários!$D$7:$E$656,2,FALSE)</f>
        <v>0</v>
      </c>
      <c r="E253" s="4" t="str">
        <f ca="1">IF(D253=0,"",IF(IF(ISTEXT(C253),DATE(RIGHT(C253,4),12,31),C253)&lt;PREMISSAS!$D$7,"",IFERROR(VLOOKUP(IF(LEFT(C253,2)="13",DATE(RIGHT(C253,4),12,31),C253),IPCA!$A:$D,4,FALSE),1)*D253))</f>
        <v/>
      </c>
      <c r="F253" s="4">
        <f ca="1">IF(C253="","",IFERROR(AVERAGEIF(E$5:$E253,"&gt;="&amp;_xlfn.PERCENTILE.EXC(E$5:$E253,0.2)),0))</f>
        <v>0</v>
      </c>
      <c r="G253" s="4">
        <f ca="1">IF(C253="","",IFERROR(AVERAGEIF($E$5:E253,"&gt;"&amp;0,$E$5:E253),0))</f>
        <v>0</v>
      </c>
    </row>
    <row r="254" spans="2:7" x14ac:dyDescent="0.3">
      <c r="B254" s="18">
        <v>250</v>
      </c>
      <c r="C254" s="21">
        <f ca="1">IFERROR(IF(LEFT(C253,2)="13",DATE(RIGHT(C253,4),12,31),IF(EOMONTH(C253,1)&gt;PREMISSAS!$C$3,"",IF(MONTH(C253)=11,"13º "&amp;YEAR(C253),EOMONTH(C253,1)))),"")</f>
        <v>44620</v>
      </c>
      <c r="D254" s="22">
        <f ca="1">VLOOKUP(C254,Preencher_Salários!$D$7:$E$656,2,FALSE)</f>
        <v>0</v>
      </c>
      <c r="E254" s="4" t="str">
        <f ca="1">IF(D254=0,"",IF(IF(ISTEXT(C254),DATE(RIGHT(C254,4),12,31),C254)&lt;PREMISSAS!$D$7,"",IFERROR(VLOOKUP(IF(LEFT(C254,2)="13",DATE(RIGHT(C254,4),12,31),C254),IPCA!$A:$D,4,FALSE),1)*D254))</f>
        <v/>
      </c>
      <c r="F254" s="4">
        <f ca="1">IF(C254="","",IFERROR(AVERAGEIF(E$5:$E254,"&gt;="&amp;_xlfn.PERCENTILE.EXC(E$5:$E254,0.2)),0))</f>
        <v>0</v>
      </c>
      <c r="G254" s="4">
        <f ca="1">IF(C254="","",IFERROR(AVERAGEIF($E$5:E254,"&gt;"&amp;0,$E$5:E254),0))</f>
        <v>0</v>
      </c>
    </row>
    <row r="255" spans="2:7" x14ac:dyDescent="0.3">
      <c r="B255" s="18">
        <v>251</v>
      </c>
      <c r="C255" s="21">
        <f ca="1">IFERROR(IF(LEFT(C254,2)="13",DATE(RIGHT(C254,4),12,31),IF(EOMONTH(C254,1)&gt;PREMISSAS!$C$3,"",IF(MONTH(C254)=11,"13º "&amp;YEAR(C254),EOMONTH(C254,1)))),"")</f>
        <v>44651</v>
      </c>
      <c r="D255" s="22">
        <f ca="1">VLOOKUP(C255,Preencher_Salários!$D$7:$E$656,2,FALSE)</f>
        <v>0</v>
      </c>
      <c r="E255" s="4" t="str">
        <f ca="1">IF(D255=0,"",IF(IF(ISTEXT(C255),DATE(RIGHT(C255,4),12,31),C255)&lt;PREMISSAS!$D$7,"",IFERROR(VLOOKUP(IF(LEFT(C255,2)="13",DATE(RIGHT(C255,4),12,31),C255),IPCA!$A:$D,4,FALSE),1)*D255))</f>
        <v/>
      </c>
      <c r="F255" s="4">
        <f ca="1">IF(C255="","",IFERROR(AVERAGEIF(E$5:$E255,"&gt;="&amp;_xlfn.PERCENTILE.EXC(E$5:$E255,0.2)),0))</f>
        <v>0</v>
      </c>
      <c r="G255" s="4">
        <f ca="1">IF(C255="","",IFERROR(AVERAGEIF($E$5:E255,"&gt;"&amp;0,$E$5:E255),0))</f>
        <v>0</v>
      </c>
    </row>
    <row r="256" spans="2:7" x14ac:dyDescent="0.3">
      <c r="B256" s="18">
        <v>252</v>
      </c>
      <c r="C256" s="21">
        <f ca="1">IFERROR(IF(LEFT(C255,2)="13",DATE(RIGHT(C255,4),12,31),IF(EOMONTH(C255,1)&gt;PREMISSAS!$C$3,"",IF(MONTH(C255)=11,"13º "&amp;YEAR(C255),EOMONTH(C255,1)))),"")</f>
        <v>44681</v>
      </c>
      <c r="D256" s="22">
        <f ca="1">VLOOKUP(C256,Preencher_Salários!$D$7:$E$656,2,FALSE)</f>
        <v>0</v>
      </c>
      <c r="E256" s="4" t="str">
        <f ca="1">IF(D256=0,"",IF(IF(ISTEXT(C256),DATE(RIGHT(C256,4),12,31),C256)&lt;PREMISSAS!$D$7,"",IFERROR(VLOOKUP(IF(LEFT(C256,2)="13",DATE(RIGHT(C256,4),12,31),C256),IPCA!$A:$D,4,FALSE),1)*D256))</f>
        <v/>
      </c>
      <c r="F256" s="4">
        <f ca="1">IF(C256="","",IFERROR(AVERAGEIF(E$5:$E256,"&gt;="&amp;_xlfn.PERCENTILE.EXC(E$5:$E256,0.2)),0))</f>
        <v>0</v>
      </c>
      <c r="G256" s="4">
        <f ca="1">IF(C256="","",IFERROR(AVERAGEIF($E$5:E256,"&gt;"&amp;0,$E$5:E256),0))</f>
        <v>0</v>
      </c>
    </row>
    <row r="257" spans="2:7" x14ac:dyDescent="0.3">
      <c r="B257" s="18">
        <v>253</v>
      </c>
      <c r="C257" s="21">
        <f ca="1">IFERROR(IF(LEFT(C256,2)="13",DATE(RIGHT(C256,4),12,31),IF(EOMONTH(C256,1)&gt;PREMISSAS!$C$3,"",IF(MONTH(C256)=11,"13º "&amp;YEAR(C256),EOMONTH(C256,1)))),"")</f>
        <v>44712</v>
      </c>
      <c r="D257" s="22">
        <f ca="1">VLOOKUP(C257,Preencher_Salários!$D$7:$E$656,2,FALSE)</f>
        <v>0</v>
      </c>
      <c r="E257" s="4" t="str">
        <f ca="1">IF(D257=0,"",IF(IF(ISTEXT(C257),DATE(RIGHT(C257,4),12,31),C257)&lt;PREMISSAS!$D$7,"",IFERROR(VLOOKUP(IF(LEFT(C257,2)="13",DATE(RIGHT(C257,4),12,31),C257),IPCA!$A:$D,4,FALSE),1)*D257))</f>
        <v/>
      </c>
      <c r="F257" s="4">
        <f ca="1">IF(C257="","",IFERROR(AVERAGEIF(E$5:$E257,"&gt;="&amp;_xlfn.PERCENTILE.EXC(E$5:$E257,0.2)),0))</f>
        <v>0</v>
      </c>
      <c r="G257" s="4">
        <f ca="1">IF(C257="","",IFERROR(AVERAGEIF($E$5:E257,"&gt;"&amp;0,$E$5:E257),0))</f>
        <v>0</v>
      </c>
    </row>
    <row r="258" spans="2:7" x14ac:dyDescent="0.3">
      <c r="B258" s="18">
        <v>254</v>
      </c>
      <c r="C258" s="21">
        <f ca="1">IFERROR(IF(LEFT(C257,2)="13",DATE(RIGHT(C257,4),12,31),IF(EOMONTH(C257,1)&gt;PREMISSAS!$C$3,"",IF(MONTH(C257)=11,"13º "&amp;YEAR(C257),EOMONTH(C257,1)))),"")</f>
        <v>44742</v>
      </c>
      <c r="D258" s="22">
        <f ca="1">VLOOKUP(C258,Preencher_Salários!$D$7:$E$656,2,FALSE)</f>
        <v>0</v>
      </c>
      <c r="E258" s="4" t="str">
        <f ca="1">IF(D258=0,"",IF(IF(ISTEXT(C258),DATE(RIGHT(C258,4),12,31),C258)&lt;PREMISSAS!$D$7,"",IFERROR(VLOOKUP(IF(LEFT(C258,2)="13",DATE(RIGHT(C258,4),12,31),C258),IPCA!$A:$D,4,FALSE),1)*D258))</f>
        <v/>
      </c>
      <c r="F258" s="4">
        <f ca="1">IF(C258="","",IFERROR(AVERAGEIF(E$5:$E258,"&gt;="&amp;_xlfn.PERCENTILE.EXC(E$5:$E258,0.2)),0))</f>
        <v>0</v>
      </c>
      <c r="G258" s="4">
        <f ca="1">IF(C258="","",IFERROR(AVERAGEIF($E$5:E258,"&gt;"&amp;0,$E$5:E258),0))</f>
        <v>0</v>
      </c>
    </row>
    <row r="259" spans="2:7" x14ac:dyDescent="0.3">
      <c r="B259" s="18">
        <v>255</v>
      </c>
      <c r="C259" s="21">
        <f ca="1">IFERROR(IF(LEFT(C258,2)="13",DATE(RIGHT(C258,4),12,31),IF(EOMONTH(C258,1)&gt;PREMISSAS!$C$3,"",IF(MONTH(C258)=11,"13º "&amp;YEAR(C258),EOMONTH(C258,1)))),"")</f>
        <v>44773</v>
      </c>
      <c r="D259" s="22">
        <f ca="1">VLOOKUP(C259,Preencher_Salários!$D$7:$E$656,2,FALSE)</f>
        <v>0</v>
      </c>
      <c r="E259" s="4" t="str">
        <f ca="1">IF(D259=0,"",IF(IF(ISTEXT(C259),DATE(RIGHT(C259,4),12,31),C259)&lt;PREMISSAS!$D$7,"",IFERROR(VLOOKUP(IF(LEFT(C259,2)="13",DATE(RIGHT(C259,4),12,31),C259),IPCA!$A:$D,4,FALSE),1)*D259))</f>
        <v/>
      </c>
      <c r="F259" s="4">
        <f ca="1">IF(C259="","",IFERROR(AVERAGEIF(E$5:$E259,"&gt;="&amp;_xlfn.PERCENTILE.EXC(E$5:$E259,0.2)),0))</f>
        <v>0</v>
      </c>
      <c r="G259" s="4">
        <f ca="1">IF(C259="","",IFERROR(AVERAGEIF($E$5:E259,"&gt;"&amp;0,$E$5:E259),0))</f>
        <v>0</v>
      </c>
    </row>
    <row r="260" spans="2:7" x14ac:dyDescent="0.3">
      <c r="B260" s="18">
        <v>256</v>
      </c>
      <c r="C260" s="21">
        <f ca="1">IFERROR(IF(LEFT(C259,2)="13",DATE(RIGHT(C259,4),12,31),IF(EOMONTH(C259,1)&gt;PREMISSAS!$C$3,"",IF(MONTH(C259)=11,"13º "&amp;YEAR(C259),EOMONTH(C259,1)))),"")</f>
        <v>44804</v>
      </c>
      <c r="D260" s="22">
        <f ca="1">VLOOKUP(C260,Preencher_Salários!$D$7:$E$656,2,FALSE)</f>
        <v>0</v>
      </c>
      <c r="E260" s="4" t="str">
        <f ca="1">IF(D260=0,"",IF(IF(ISTEXT(C260),DATE(RIGHT(C260,4),12,31),C260)&lt;PREMISSAS!$D$7,"",IFERROR(VLOOKUP(IF(LEFT(C260,2)="13",DATE(RIGHT(C260,4),12,31),C260),IPCA!$A:$D,4,FALSE),1)*D260))</f>
        <v/>
      </c>
      <c r="F260" s="4">
        <f ca="1">IF(C260="","",IFERROR(AVERAGEIF(E$5:$E260,"&gt;="&amp;_xlfn.PERCENTILE.EXC(E$5:$E260,0.2)),0))</f>
        <v>0</v>
      </c>
      <c r="G260" s="4">
        <f ca="1">IF(C260="","",IFERROR(AVERAGEIF($E$5:E260,"&gt;"&amp;0,$E$5:E260),0))</f>
        <v>0</v>
      </c>
    </row>
    <row r="261" spans="2:7" x14ac:dyDescent="0.3">
      <c r="B261" s="18">
        <v>257</v>
      </c>
      <c r="C261" s="21">
        <f ca="1">IFERROR(IF(LEFT(C260,2)="13",DATE(RIGHT(C260,4),12,31),IF(EOMONTH(C260,1)&gt;PREMISSAS!$C$3,"",IF(MONTH(C260)=11,"13º "&amp;YEAR(C260),EOMONTH(C260,1)))),"")</f>
        <v>44834</v>
      </c>
      <c r="D261" s="22">
        <f ca="1">VLOOKUP(C261,Preencher_Salários!$D$7:$E$656,2,FALSE)</f>
        <v>0</v>
      </c>
      <c r="E261" s="4" t="str">
        <f ca="1">IF(D261=0,"",IF(IF(ISTEXT(C261),DATE(RIGHT(C261,4),12,31),C261)&lt;PREMISSAS!$D$7,"",IFERROR(VLOOKUP(IF(LEFT(C261,2)="13",DATE(RIGHT(C261,4),12,31),C261),IPCA!$A:$D,4,FALSE),1)*D261))</f>
        <v/>
      </c>
      <c r="F261" s="4">
        <f ca="1">IF(C261="","",IFERROR(AVERAGEIF(E$5:$E261,"&gt;="&amp;_xlfn.PERCENTILE.EXC(E$5:$E261,0.2)),0))</f>
        <v>0</v>
      </c>
      <c r="G261" s="4">
        <f ca="1">IF(C261="","",IFERROR(AVERAGEIF($E$5:E261,"&gt;"&amp;0,$E$5:E261),0))</f>
        <v>0</v>
      </c>
    </row>
    <row r="262" spans="2:7" x14ac:dyDescent="0.3">
      <c r="B262" s="18">
        <v>258</v>
      </c>
      <c r="C262" s="21">
        <f ca="1">IFERROR(IF(LEFT(C261,2)="13",DATE(RIGHT(C261,4),12,31),IF(EOMONTH(C261,1)&gt;PREMISSAS!$C$3,"",IF(MONTH(C261)=11,"13º "&amp;YEAR(C261),EOMONTH(C261,1)))),"")</f>
        <v>44865</v>
      </c>
      <c r="D262" s="22">
        <f ca="1">VLOOKUP(C262,Preencher_Salários!$D$7:$E$656,2,FALSE)</f>
        <v>0</v>
      </c>
      <c r="E262" s="4" t="str">
        <f ca="1">IF(D262=0,"",IF(IF(ISTEXT(C262),DATE(RIGHT(C262,4),12,31),C262)&lt;PREMISSAS!$D$7,"",IFERROR(VLOOKUP(IF(LEFT(C262,2)="13",DATE(RIGHT(C262,4),12,31),C262),IPCA!$A:$D,4,FALSE),1)*D262))</f>
        <v/>
      </c>
      <c r="F262" s="4">
        <f ca="1">IF(C262="","",IFERROR(AVERAGEIF(E$5:$E262,"&gt;="&amp;_xlfn.PERCENTILE.EXC(E$5:$E262,0.2)),0))</f>
        <v>0</v>
      </c>
      <c r="G262" s="4">
        <f ca="1">IF(C262="","",IFERROR(AVERAGEIF($E$5:E262,"&gt;"&amp;0,$E$5:E262),0))</f>
        <v>0</v>
      </c>
    </row>
    <row r="263" spans="2:7" x14ac:dyDescent="0.3">
      <c r="B263" s="18">
        <v>259</v>
      </c>
      <c r="C263" s="21" t="str">
        <f ca="1">IFERROR(IF(LEFT(C262,2)="13",DATE(RIGHT(C262,4),12,31),IF(EOMONTH(C262,1)&gt;PREMISSAS!$C$3,"",IF(MONTH(C262)=11,"13º "&amp;YEAR(C262),EOMONTH(C262,1)))),"")</f>
        <v/>
      </c>
      <c r="D263" s="22">
        <f ca="1">VLOOKUP(C263,Preencher_Salários!$D$7:$E$656,2,FALSE)</f>
        <v>0</v>
      </c>
      <c r="E263" s="4" t="str">
        <f ca="1">IF(D263=0,"",IF(IF(ISTEXT(C263),DATE(RIGHT(C263,4),12,31),C263)&lt;PREMISSAS!$D$7,"",IFERROR(VLOOKUP(IF(LEFT(C263,2)="13",DATE(RIGHT(C263,4),12,31),C263),IPCA!$A:$D,4,FALSE),1)*D263))</f>
        <v/>
      </c>
      <c r="F263" s="4" t="str">
        <f ca="1">IF(C263="","",IFERROR(AVERAGEIF(E$5:$E263,"&gt;="&amp;_xlfn.PERCENTILE.EXC(E$5:$E263,0.2)),0))</f>
        <v/>
      </c>
      <c r="G263" s="4" t="str">
        <f ca="1">IF(C263="","",IFERROR(AVERAGEIF($E$5:E263,"&gt;"&amp;0,$E$5:E263),0))</f>
        <v/>
      </c>
    </row>
    <row r="264" spans="2:7" x14ac:dyDescent="0.3">
      <c r="B264" s="18">
        <v>260</v>
      </c>
      <c r="C264" s="21" t="str">
        <f ca="1">IFERROR(IF(LEFT(C263,2)="13",DATE(RIGHT(C263,4),12,31),IF(EOMONTH(C263,1)&gt;PREMISSAS!$C$3,"",IF(MONTH(C263)=11,"13º "&amp;YEAR(C263),EOMONTH(C263,1)))),"")</f>
        <v/>
      </c>
      <c r="D264" s="22">
        <f ca="1">VLOOKUP(C264,Preencher_Salários!$D$7:$E$656,2,FALSE)</f>
        <v>0</v>
      </c>
      <c r="E264" s="4" t="str">
        <f ca="1">IF(D264=0,"",IF(IF(ISTEXT(C264),DATE(RIGHT(C264,4),12,31),C264)&lt;PREMISSAS!$D$7,"",IFERROR(VLOOKUP(IF(LEFT(C264,2)="13",DATE(RIGHT(C264,4),12,31),C264),IPCA!$A:$D,4,FALSE),1)*D264))</f>
        <v/>
      </c>
      <c r="F264" s="4" t="str">
        <f ca="1">IF(C264="","",IFERROR(AVERAGEIF(E$5:$E264,"&gt;="&amp;_xlfn.PERCENTILE.EXC(E$5:$E264,0.2)),0))</f>
        <v/>
      </c>
      <c r="G264" s="4" t="str">
        <f ca="1">IF(C264="","",IFERROR(AVERAGEIF($E$5:E264,"&gt;"&amp;0,$E$5:E264),0))</f>
        <v/>
      </c>
    </row>
    <row r="265" spans="2:7" x14ac:dyDescent="0.3">
      <c r="B265" s="18">
        <v>261</v>
      </c>
      <c r="C265" s="21" t="str">
        <f ca="1">IFERROR(IF(LEFT(C264,2)="13",DATE(RIGHT(C264,4),12,31),IF(EOMONTH(C264,1)&gt;PREMISSAS!$C$3,"",IF(MONTH(C264)=11,"13º "&amp;YEAR(C264),EOMONTH(C264,1)))),"")</f>
        <v/>
      </c>
      <c r="D265" s="22">
        <f ca="1">VLOOKUP(C265,Preencher_Salários!$D$7:$E$656,2,FALSE)</f>
        <v>0</v>
      </c>
      <c r="E265" s="4" t="str">
        <f ca="1">IF(D265=0,"",IF(IF(ISTEXT(C265),DATE(RIGHT(C265,4),12,31),C265)&lt;PREMISSAS!$D$7,"",IFERROR(VLOOKUP(IF(LEFT(C265,2)="13",DATE(RIGHT(C265,4),12,31),C265),IPCA!$A:$D,4,FALSE),1)*D265))</f>
        <v/>
      </c>
      <c r="F265" s="4" t="str">
        <f ca="1">IF(C265="","",IFERROR(AVERAGEIF(E$5:$E265,"&gt;="&amp;_xlfn.PERCENTILE.EXC(E$5:$E265,0.2)),0))</f>
        <v/>
      </c>
      <c r="G265" s="4" t="str">
        <f ca="1">IF(C265="","",IFERROR(AVERAGEIF($E$5:E265,"&gt;"&amp;0,$E$5:E265),0))</f>
        <v/>
      </c>
    </row>
    <row r="266" spans="2:7" x14ac:dyDescent="0.3">
      <c r="B266" s="18">
        <v>262</v>
      </c>
      <c r="C266" s="21" t="str">
        <f ca="1">IFERROR(IF(LEFT(C265,2)="13",DATE(RIGHT(C265,4),12,31),IF(EOMONTH(C265,1)&gt;PREMISSAS!$C$3,"",IF(MONTH(C265)=11,"13º "&amp;YEAR(C265),EOMONTH(C265,1)))),"")</f>
        <v/>
      </c>
      <c r="D266" s="22">
        <f ca="1">VLOOKUP(C266,Preencher_Salários!$D$7:$E$656,2,FALSE)</f>
        <v>0</v>
      </c>
      <c r="E266" s="4" t="str">
        <f ca="1">IF(D266=0,"",IF(IF(ISTEXT(C266),DATE(RIGHT(C266,4),12,31),C266)&lt;PREMISSAS!$D$7,"",IFERROR(VLOOKUP(IF(LEFT(C266,2)="13",DATE(RIGHT(C266,4),12,31),C266),IPCA!$A:$D,4,FALSE),1)*D266))</f>
        <v/>
      </c>
      <c r="F266" s="4" t="str">
        <f ca="1">IF(C266="","",IFERROR(AVERAGEIF(E$5:$E266,"&gt;="&amp;_xlfn.PERCENTILE.EXC(E$5:$E266,0.2)),0))</f>
        <v/>
      </c>
      <c r="G266" s="4" t="str">
        <f ca="1">IF(C266="","",IFERROR(AVERAGEIF($E$5:E266,"&gt;"&amp;0,$E$5:E266),0))</f>
        <v/>
      </c>
    </row>
    <row r="267" spans="2:7" x14ac:dyDescent="0.3">
      <c r="B267" s="18">
        <v>263</v>
      </c>
      <c r="C267" s="21" t="str">
        <f ca="1">IFERROR(IF(LEFT(C266,2)="13",DATE(RIGHT(C266,4),12,31),IF(EOMONTH(C266,1)&gt;PREMISSAS!$C$3,"",IF(MONTH(C266)=11,"13º "&amp;YEAR(C266),EOMONTH(C266,1)))),"")</f>
        <v/>
      </c>
      <c r="D267" s="22">
        <f ca="1">VLOOKUP(C267,Preencher_Salários!$D$7:$E$656,2,FALSE)</f>
        <v>0</v>
      </c>
      <c r="E267" s="4" t="str">
        <f ca="1">IF(D267=0,"",IF(IF(ISTEXT(C267),DATE(RIGHT(C267,4),12,31),C267)&lt;PREMISSAS!$D$7,"",IFERROR(VLOOKUP(IF(LEFT(C267,2)="13",DATE(RIGHT(C267,4),12,31),C267),IPCA!$A:$D,4,FALSE),1)*D267))</f>
        <v/>
      </c>
      <c r="F267" s="4" t="str">
        <f ca="1">IF(C267="","",IFERROR(AVERAGEIF(E$5:$E267,"&gt;="&amp;_xlfn.PERCENTILE.EXC(E$5:$E267,0.2)),0))</f>
        <v/>
      </c>
      <c r="G267" s="4" t="str">
        <f ca="1">IF(C267="","",IFERROR(AVERAGEIF($E$5:E267,"&gt;"&amp;0,$E$5:E267),0))</f>
        <v/>
      </c>
    </row>
    <row r="268" spans="2:7" x14ac:dyDescent="0.3">
      <c r="B268" s="18">
        <v>264</v>
      </c>
      <c r="C268" s="21" t="str">
        <f ca="1">IFERROR(IF(LEFT(C267,2)="13",DATE(RIGHT(C267,4),12,31),IF(EOMONTH(C267,1)&gt;PREMISSAS!$C$3,"",IF(MONTH(C267)=11,"13º "&amp;YEAR(C267),EOMONTH(C267,1)))),"")</f>
        <v/>
      </c>
      <c r="D268" s="22">
        <f ca="1">VLOOKUP(C268,Preencher_Salários!$D$7:$E$656,2,FALSE)</f>
        <v>0</v>
      </c>
      <c r="E268" s="4" t="str">
        <f ca="1">IF(D268=0,"",IF(IF(ISTEXT(C268),DATE(RIGHT(C268,4),12,31),C268)&lt;PREMISSAS!$D$7,"",IFERROR(VLOOKUP(IF(LEFT(C268,2)="13",DATE(RIGHT(C268,4),12,31),C268),IPCA!$A:$D,4,FALSE),1)*D268))</f>
        <v/>
      </c>
      <c r="F268" s="4" t="str">
        <f ca="1">IF(C268="","",IFERROR(AVERAGEIF(E$5:$E268,"&gt;="&amp;_xlfn.PERCENTILE.EXC(E$5:$E268,0.2)),0))</f>
        <v/>
      </c>
      <c r="G268" s="4" t="str">
        <f ca="1">IF(C268="","",IFERROR(AVERAGEIF($E$5:E268,"&gt;"&amp;0,$E$5:E268),0))</f>
        <v/>
      </c>
    </row>
    <row r="269" spans="2:7" x14ac:dyDescent="0.3">
      <c r="B269" s="18">
        <v>265</v>
      </c>
      <c r="C269" s="21" t="str">
        <f ca="1">IFERROR(IF(LEFT(C268,2)="13",DATE(RIGHT(C268,4),12,31),IF(EOMONTH(C268,1)&gt;PREMISSAS!$C$3,"",IF(MONTH(C268)=11,"13º "&amp;YEAR(C268),EOMONTH(C268,1)))),"")</f>
        <v/>
      </c>
      <c r="D269" s="22">
        <f ca="1">VLOOKUP(C269,Preencher_Salários!$D$7:$E$656,2,FALSE)</f>
        <v>0</v>
      </c>
      <c r="E269" s="4" t="str">
        <f ca="1">IF(D269=0,"",IF(IF(ISTEXT(C269),DATE(RIGHT(C269,4),12,31),C269)&lt;PREMISSAS!$D$7,"",IFERROR(VLOOKUP(IF(LEFT(C269,2)="13",DATE(RIGHT(C269,4),12,31),C269),IPCA!$A:$D,4,FALSE),1)*D269))</f>
        <v/>
      </c>
      <c r="F269" s="4" t="str">
        <f ca="1">IF(C269="","",IFERROR(AVERAGEIF(E$5:$E269,"&gt;="&amp;_xlfn.PERCENTILE.EXC(E$5:$E269,0.2)),0))</f>
        <v/>
      </c>
      <c r="G269" s="4" t="str">
        <f ca="1">IF(C269="","",IFERROR(AVERAGEIF($E$5:E269,"&gt;"&amp;0,$E$5:E269),0))</f>
        <v/>
      </c>
    </row>
    <row r="270" spans="2:7" x14ac:dyDescent="0.3">
      <c r="B270" s="18">
        <v>266</v>
      </c>
      <c r="C270" s="21" t="str">
        <f ca="1">IFERROR(IF(LEFT(C269,2)="13",DATE(RIGHT(C269,4),12,31),IF(EOMONTH(C269,1)&gt;PREMISSAS!$C$3,"",IF(MONTH(C269)=11,"13º "&amp;YEAR(C269),EOMONTH(C269,1)))),"")</f>
        <v/>
      </c>
      <c r="D270" s="22">
        <f ca="1">VLOOKUP(C270,Preencher_Salários!$D$7:$E$656,2,FALSE)</f>
        <v>0</v>
      </c>
      <c r="E270" s="4" t="str">
        <f ca="1">IF(D270=0,"",IF(IF(ISTEXT(C270),DATE(RIGHT(C270,4),12,31),C270)&lt;PREMISSAS!$D$7,"",IFERROR(VLOOKUP(IF(LEFT(C270,2)="13",DATE(RIGHT(C270,4),12,31),C270),IPCA!$A:$D,4,FALSE),1)*D270))</f>
        <v/>
      </c>
      <c r="F270" s="4" t="str">
        <f ca="1">IF(C270="","",IFERROR(AVERAGEIF(E$5:$E270,"&gt;="&amp;_xlfn.PERCENTILE.EXC(E$5:$E270,0.2)),0))</f>
        <v/>
      </c>
      <c r="G270" s="4" t="str">
        <f ca="1">IF(C270="","",IFERROR(AVERAGEIF($E$5:E270,"&gt;"&amp;0,$E$5:E270),0))</f>
        <v/>
      </c>
    </row>
    <row r="271" spans="2:7" x14ac:dyDescent="0.3">
      <c r="B271" s="18">
        <v>267</v>
      </c>
      <c r="C271" s="21" t="str">
        <f ca="1">IFERROR(IF(LEFT(C270,2)="13",DATE(RIGHT(C270,4),12,31),IF(EOMONTH(C270,1)&gt;PREMISSAS!$C$3,"",IF(MONTH(C270)=11,"13º "&amp;YEAR(C270),EOMONTH(C270,1)))),"")</f>
        <v/>
      </c>
      <c r="D271" s="22">
        <f ca="1">VLOOKUP(C271,Preencher_Salários!$D$7:$E$656,2,FALSE)</f>
        <v>0</v>
      </c>
      <c r="E271" s="4" t="str">
        <f ca="1">IF(D271=0,"",IF(IF(ISTEXT(C271),DATE(RIGHT(C271,4),12,31),C271)&lt;PREMISSAS!$D$7,"",IFERROR(VLOOKUP(IF(LEFT(C271,2)="13",DATE(RIGHT(C271,4),12,31),C271),IPCA!$A:$D,4,FALSE),1)*D271))</f>
        <v/>
      </c>
      <c r="F271" s="4" t="str">
        <f ca="1">IF(C271="","",IFERROR(AVERAGEIF(E$5:$E271,"&gt;="&amp;_xlfn.PERCENTILE.EXC(E$5:$E271,0.2)),0))</f>
        <v/>
      </c>
      <c r="G271" s="4" t="str">
        <f ca="1">IF(C271="","",IFERROR(AVERAGEIF($E$5:E271,"&gt;"&amp;0,$E$5:E271),0))</f>
        <v/>
      </c>
    </row>
    <row r="272" spans="2:7" x14ac:dyDescent="0.3">
      <c r="B272" s="18">
        <v>268</v>
      </c>
      <c r="C272" s="21" t="str">
        <f ca="1">IFERROR(IF(LEFT(C271,2)="13",DATE(RIGHT(C271,4),12,31),IF(EOMONTH(C271,1)&gt;PREMISSAS!$C$3,"",IF(MONTH(C271)=11,"13º "&amp;YEAR(C271),EOMONTH(C271,1)))),"")</f>
        <v/>
      </c>
      <c r="D272" s="22">
        <f ca="1">VLOOKUP(C272,Preencher_Salários!$D$7:$E$656,2,FALSE)</f>
        <v>0</v>
      </c>
      <c r="E272" s="4" t="str">
        <f ca="1">IF(D272=0,"",IF(IF(ISTEXT(C272),DATE(RIGHT(C272,4),12,31),C272)&lt;PREMISSAS!$D$7,"",IFERROR(VLOOKUP(IF(LEFT(C272,2)="13",DATE(RIGHT(C272,4),12,31),C272),IPCA!$A:$D,4,FALSE),1)*D272))</f>
        <v/>
      </c>
      <c r="F272" s="4" t="str">
        <f ca="1">IF(C272="","",IFERROR(AVERAGEIF(E$5:$E272,"&gt;="&amp;_xlfn.PERCENTILE.EXC(E$5:$E272,0.2)),0))</f>
        <v/>
      </c>
      <c r="G272" s="4" t="str">
        <f ca="1">IF(C272="","",IFERROR(AVERAGEIF($E$5:E272,"&gt;"&amp;0,$E$5:E272),0))</f>
        <v/>
      </c>
    </row>
    <row r="273" spans="2:7" x14ac:dyDescent="0.3">
      <c r="B273" s="18">
        <v>269</v>
      </c>
      <c r="C273" s="21" t="str">
        <f ca="1">IFERROR(IF(LEFT(C272,2)="13",DATE(RIGHT(C272,4),12,31),IF(EOMONTH(C272,1)&gt;PREMISSAS!$C$3,"",IF(MONTH(C272)=11,"13º "&amp;YEAR(C272),EOMONTH(C272,1)))),"")</f>
        <v/>
      </c>
      <c r="D273" s="22">
        <f ca="1">VLOOKUP(C273,Preencher_Salários!$D$7:$E$656,2,FALSE)</f>
        <v>0</v>
      </c>
      <c r="E273" s="4" t="str">
        <f ca="1">IF(D273=0,"",IF(IF(ISTEXT(C273),DATE(RIGHT(C273,4),12,31),C273)&lt;PREMISSAS!$D$7,"",IFERROR(VLOOKUP(IF(LEFT(C273,2)="13",DATE(RIGHT(C273,4),12,31),C273),IPCA!$A:$D,4,FALSE),1)*D273))</f>
        <v/>
      </c>
      <c r="F273" s="4" t="str">
        <f ca="1">IF(C273="","",IFERROR(AVERAGEIF(E$5:$E273,"&gt;="&amp;_xlfn.PERCENTILE.EXC(E$5:$E273,0.2)),0))</f>
        <v/>
      </c>
      <c r="G273" s="4" t="str">
        <f ca="1">IF(C273="","",IFERROR(AVERAGEIF($E$5:E273,"&gt;"&amp;0,$E$5:E273),0))</f>
        <v/>
      </c>
    </row>
    <row r="274" spans="2:7" x14ac:dyDescent="0.3">
      <c r="B274" s="18">
        <v>270</v>
      </c>
      <c r="C274" s="21" t="str">
        <f ca="1">IFERROR(IF(LEFT(C273,2)="13",DATE(RIGHT(C273,4),12,31),IF(EOMONTH(C273,1)&gt;PREMISSAS!$C$3,"",IF(MONTH(C273)=11,"13º "&amp;YEAR(C273),EOMONTH(C273,1)))),"")</f>
        <v/>
      </c>
      <c r="D274" s="22">
        <f ca="1">VLOOKUP(C274,Preencher_Salários!$D$7:$E$656,2,FALSE)</f>
        <v>0</v>
      </c>
      <c r="E274" s="4" t="str">
        <f ca="1">IF(D274=0,"",IF(IF(ISTEXT(C274),DATE(RIGHT(C274,4),12,31),C274)&lt;PREMISSAS!$D$7,"",IFERROR(VLOOKUP(IF(LEFT(C274,2)="13",DATE(RIGHT(C274,4),12,31),C274),IPCA!$A:$D,4,FALSE),1)*D274))</f>
        <v/>
      </c>
      <c r="F274" s="4" t="str">
        <f ca="1">IF(C274="","",IFERROR(AVERAGEIF(E$5:$E274,"&gt;="&amp;_xlfn.PERCENTILE.EXC(E$5:$E274,0.2)),0))</f>
        <v/>
      </c>
      <c r="G274" s="4" t="str">
        <f ca="1">IF(C274="","",IFERROR(AVERAGEIF($E$5:E274,"&gt;"&amp;0,$E$5:E274),0))</f>
        <v/>
      </c>
    </row>
    <row r="275" spans="2:7" x14ac:dyDescent="0.3">
      <c r="B275" s="18">
        <v>271</v>
      </c>
      <c r="C275" s="21" t="str">
        <f ca="1">IFERROR(IF(LEFT(C274,2)="13",DATE(RIGHT(C274,4),12,31),IF(EOMONTH(C274,1)&gt;PREMISSAS!$C$3,"",IF(MONTH(C274)=11,"13º "&amp;YEAR(C274),EOMONTH(C274,1)))),"")</f>
        <v/>
      </c>
      <c r="D275" s="22">
        <f ca="1">VLOOKUP(C275,Preencher_Salários!$D$7:$E$656,2,FALSE)</f>
        <v>0</v>
      </c>
      <c r="E275" s="4" t="str">
        <f ca="1">IF(D275=0,"",IF(IF(ISTEXT(C275),DATE(RIGHT(C275,4),12,31),C275)&lt;PREMISSAS!$D$7,"",IFERROR(VLOOKUP(IF(LEFT(C275,2)="13",DATE(RIGHT(C275,4),12,31),C275),IPCA!$A:$D,4,FALSE),1)*D275))</f>
        <v/>
      </c>
      <c r="F275" s="4" t="str">
        <f ca="1">IF(C275="","",IFERROR(AVERAGEIF(E$5:$E275,"&gt;="&amp;_xlfn.PERCENTILE.EXC(E$5:$E275,0.2)),0))</f>
        <v/>
      </c>
      <c r="G275" s="4" t="str">
        <f ca="1">IF(C275="","",IFERROR(AVERAGEIF($E$5:E275,"&gt;"&amp;0,$E$5:E275),0))</f>
        <v/>
      </c>
    </row>
    <row r="276" spans="2:7" x14ac:dyDescent="0.3">
      <c r="B276" s="18">
        <v>272</v>
      </c>
      <c r="C276" s="21" t="str">
        <f ca="1">IFERROR(IF(LEFT(C275,2)="13",DATE(RIGHT(C275,4),12,31),IF(EOMONTH(C275,1)&gt;PREMISSAS!$C$3,"",IF(MONTH(C275)=11,"13º "&amp;YEAR(C275),EOMONTH(C275,1)))),"")</f>
        <v/>
      </c>
      <c r="D276" s="22">
        <f ca="1">VLOOKUP(C276,Preencher_Salários!$D$7:$E$656,2,FALSE)</f>
        <v>0</v>
      </c>
      <c r="E276" s="4" t="str">
        <f ca="1">IF(D276=0,"",IF(IF(ISTEXT(C276),DATE(RIGHT(C276,4),12,31),C276)&lt;PREMISSAS!$D$7,"",IFERROR(VLOOKUP(IF(LEFT(C276,2)="13",DATE(RIGHT(C276,4),12,31),C276),IPCA!$A:$D,4,FALSE),1)*D276))</f>
        <v/>
      </c>
      <c r="F276" s="4" t="str">
        <f ca="1">IF(C276="","",IFERROR(AVERAGEIF(E$5:$E276,"&gt;="&amp;_xlfn.PERCENTILE.EXC(E$5:$E276,0.2)),0))</f>
        <v/>
      </c>
      <c r="G276" s="4" t="str">
        <f ca="1">IF(C276="","",IFERROR(AVERAGEIF($E$5:E276,"&gt;"&amp;0,$E$5:E276),0))</f>
        <v/>
      </c>
    </row>
    <row r="277" spans="2:7" x14ac:dyDescent="0.3">
      <c r="B277" s="18">
        <v>273</v>
      </c>
      <c r="C277" s="21" t="str">
        <f ca="1">IFERROR(IF(LEFT(C276,2)="13",DATE(RIGHT(C276,4),12,31),IF(EOMONTH(C276,1)&gt;PREMISSAS!$C$3,"",IF(MONTH(C276)=11,"13º "&amp;YEAR(C276),EOMONTH(C276,1)))),"")</f>
        <v/>
      </c>
      <c r="D277" s="22">
        <f ca="1">VLOOKUP(C277,Preencher_Salários!$D$7:$E$656,2,FALSE)</f>
        <v>0</v>
      </c>
      <c r="E277" s="4" t="str">
        <f ca="1">IF(D277=0,"",IF(IF(ISTEXT(C277),DATE(RIGHT(C277,4),12,31),C277)&lt;PREMISSAS!$D$7,"",IFERROR(VLOOKUP(IF(LEFT(C277,2)="13",DATE(RIGHT(C277,4),12,31),C277),IPCA!$A:$D,4,FALSE),1)*D277))</f>
        <v/>
      </c>
      <c r="F277" s="4" t="str">
        <f ca="1">IF(C277="","",IFERROR(AVERAGEIF(E$5:$E277,"&gt;="&amp;_xlfn.PERCENTILE.EXC(E$5:$E277,0.2)),0))</f>
        <v/>
      </c>
      <c r="G277" s="4" t="str">
        <f ca="1">IF(C277="","",IFERROR(AVERAGEIF($E$5:E277,"&gt;"&amp;0,$E$5:E277),0))</f>
        <v/>
      </c>
    </row>
    <row r="278" spans="2:7" x14ac:dyDescent="0.3">
      <c r="B278" s="18">
        <v>274</v>
      </c>
      <c r="C278" s="21" t="str">
        <f ca="1">IFERROR(IF(LEFT(C277,2)="13",DATE(RIGHT(C277,4),12,31),IF(EOMONTH(C277,1)&gt;PREMISSAS!$C$3,"",IF(MONTH(C277)=11,"13º "&amp;YEAR(C277),EOMONTH(C277,1)))),"")</f>
        <v/>
      </c>
      <c r="D278" s="22">
        <f ca="1">VLOOKUP(C278,Preencher_Salários!$D$7:$E$656,2,FALSE)</f>
        <v>0</v>
      </c>
      <c r="E278" s="4" t="str">
        <f ca="1">IF(D278=0,"",IF(IF(ISTEXT(C278),DATE(RIGHT(C278,4),12,31),C278)&lt;PREMISSAS!$D$7,"",IFERROR(VLOOKUP(IF(LEFT(C278,2)="13",DATE(RIGHT(C278,4),12,31),C278),IPCA!$A:$D,4,FALSE),1)*D278))</f>
        <v/>
      </c>
      <c r="F278" s="4" t="str">
        <f ca="1">IF(C278="","",IFERROR(AVERAGEIF(E$5:$E278,"&gt;="&amp;_xlfn.PERCENTILE.EXC(E$5:$E278,0.2)),0))</f>
        <v/>
      </c>
      <c r="G278" s="4" t="str">
        <f ca="1">IF(C278="","",IFERROR(AVERAGEIF($E$5:E278,"&gt;"&amp;0,$E$5:E278),0))</f>
        <v/>
      </c>
    </row>
    <row r="279" spans="2:7" x14ac:dyDescent="0.3">
      <c r="B279" s="18">
        <v>275</v>
      </c>
      <c r="C279" s="21" t="str">
        <f ca="1">IFERROR(IF(LEFT(C278,2)="13",DATE(RIGHT(C278,4),12,31),IF(EOMONTH(C278,1)&gt;PREMISSAS!$C$3,"",IF(MONTH(C278)=11,"13º "&amp;YEAR(C278),EOMONTH(C278,1)))),"")</f>
        <v/>
      </c>
      <c r="D279" s="22">
        <f ca="1">VLOOKUP(C279,Preencher_Salários!$D$7:$E$656,2,FALSE)</f>
        <v>0</v>
      </c>
      <c r="E279" s="4" t="str">
        <f ca="1">IF(D279=0,"",IF(IF(ISTEXT(C279),DATE(RIGHT(C279,4),12,31),C279)&lt;PREMISSAS!$D$7,"",IFERROR(VLOOKUP(IF(LEFT(C279,2)="13",DATE(RIGHT(C279,4),12,31),C279),IPCA!$A:$D,4,FALSE),1)*D279))</f>
        <v/>
      </c>
      <c r="F279" s="4" t="str">
        <f ca="1">IF(C279="","",IFERROR(AVERAGEIF(E$5:$E279,"&gt;="&amp;_xlfn.PERCENTILE.EXC(E$5:$E279,0.2)),0))</f>
        <v/>
      </c>
      <c r="G279" s="4" t="str">
        <f ca="1">IF(C279="","",IFERROR(AVERAGEIF($E$5:E279,"&gt;"&amp;0,$E$5:E279),0))</f>
        <v/>
      </c>
    </row>
    <row r="280" spans="2:7" x14ac:dyDescent="0.3">
      <c r="B280" s="18">
        <v>276</v>
      </c>
      <c r="C280" s="21" t="str">
        <f ca="1">IFERROR(IF(LEFT(C279,2)="13",DATE(RIGHT(C279,4),12,31),IF(EOMONTH(C279,1)&gt;PREMISSAS!$C$3,"",IF(MONTH(C279)=11,"13º "&amp;YEAR(C279),EOMONTH(C279,1)))),"")</f>
        <v/>
      </c>
      <c r="D280" s="22">
        <f ca="1">VLOOKUP(C280,Preencher_Salários!$D$7:$E$656,2,FALSE)</f>
        <v>0</v>
      </c>
      <c r="E280" s="4" t="str">
        <f ca="1">IF(D280=0,"",IF(IF(ISTEXT(C280),DATE(RIGHT(C280,4),12,31),C280)&lt;PREMISSAS!$D$7,"",IFERROR(VLOOKUP(IF(LEFT(C280,2)="13",DATE(RIGHT(C280,4),12,31),C280),IPCA!$A:$D,4,FALSE),1)*D280))</f>
        <v/>
      </c>
      <c r="F280" s="4" t="str">
        <f ca="1">IF(C280="","",IFERROR(AVERAGEIF(E$5:$E280,"&gt;="&amp;_xlfn.PERCENTILE.EXC(E$5:$E280,0.2)),0))</f>
        <v/>
      </c>
      <c r="G280" s="4" t="str">
        <f ca="1">IF(C280="","",IFERROR(AVERAGEIF($E$5:E280,"&gt;"&amp;0,$E$5:E280),0))</f>
        <v/>
      </c>
    </row>
    <row r="281" spans="2:7" x14ac:dyDescent="0.3">
      <c r="B281" s="18">
        <v>277</v>
      </c>
      <c r="C281" s="21" t="str">
        <f ca="1">IFERROR(IF(LEFT(C280,2)="13",DATE(RIGHT(C280,4),12,31),IF(EOMONTH(C280,1)&gt;PREMISSAS!$C$3,"",IF(MONTH(C280)=11,"13º "&amp;YEAR(C280),EOMONTH(C280,1)))),"")</f>
        <v/>
      </c>
      <c r="D281" s="22">
        <f ca="1">VLOOKUP(C281,Preencher_Salários!$D$7:$E$656,2,FALSE)</f>
        <v>0</v>
      </c>
      <c r="E281" s="4" t="str">
        <f ca="1">IF(D281=0,"",IF(IF(ISTEXT(C281),DATE(RIGHT(C281,4),12,31),C281)&lt;PREMISSAS!$D$7,"",IFERROR(VLOOKUP(IF(LEFT(C281,2)="13",DATE(RIGHT(C281,4),12,31),C281),IPCA!$A:$D,4,FALSE),1)*D281))</f>
        <v/>
      </c>
      <c r="F281" s="4" t="str">
        <f ca="1">IF(C281="","",IFERROR(AVERAGEIF(E$5:$E281,"&gt;="&amp;_xlfn.PERCENTILE.EXC(E$5:$E281,0.2)),0))</f>
        <v/>
      </c>
      <c r="G281" s="4" t="str">
        <f ca="1">IF(C281="","",IFERROR(AVERAGEIF($E$5:E281,"&gt;"&amp;0,$E$5:E281),0))</f>
        <v/>
      </c>
    </row>
    <row r="282" spans="2:7" x14ac:dyDescent="0.3">
      <c r="B282" s="18">
        <v>278</v>
      </c>
      <c r="C282" s="21" t="str">
        <f ca="1">IFERROR(IF(LEFT(C281,2)="13",DATE(RIGHT(C281,4),12,31),IF(EOMONTH(C281,1)&gt;PREMISSAS!$C$3,"",IF(MONTH(C281)=11,"13º "&amp;YEAR(C281),EOMONTH(C281,1)))),"")</f>
        <v/>
      </c>
      <c r="D282" s="22">
        <f ca="1">VLOOKUP(C282,Preencher_Salários!$D$7:$E$656,2,FALSE)</f>
        <v>0</v>
      </c>
      <c r="E282" s="4" t="str">
        <f ca="1">IF(D282=0,"",IF(IF(ISTEXT(C282),DATE(RIGHT(C282,4),12,31),C282)&lt;PREMISSAS!$D$7,"",IFERROR(VLOOKUP(IF(LEFT(C282,2)="13",DATE(RIGHT(C282,4),12,31),C282),IPCA!$A:$D,4,FALSE),1)*D282))</f>
        <v/>
      </c>
      <c r="F282" s="4" t="str">
        <f ca="1">IF(C282="","",IFERROR(AVERAGEIF(E$5:$E282,"&gt;="&amp;_xlfn.PERCENTILE.EXC(E$5:$E282,0.2)),0))</f>
        <v/>
      </c>
      <c r="G282" s="4" t="str">
        <f ca="1">IF(C282="","",IFERROR(AVERAGEIF($E$5:E282,"&gt;"&amp;0,$E$5:E282),0))</f>
        <v/>
      </c>
    </row>
    <row r="283" spans="2:7" x14ac:dyDescent="0.3">
      <c r="B283" s="18">
        <v>279</v>
      </c>
      <c r="C283" s="21" t="str">
        <f ca="1">IFERROR(IF(LEFT(C282,2)="13",DATE(RIGHT(C282,4),12,31),IF(EOMONTH(C282,1)&gt;PREMISSAS!$C$3,"",IF(MONTH(C282)=11,"13º "&amp;YEAR(C282),EOMONTH(C282,1)))),"")</f>
        <v/>
      </c>
      <c r="D283" s="22">
        <f ca="1">VLOOKUP(C283,Preencher_Salários!$D$7:$E$656,2,FALSE)</f>
        <v>0</v>
      </c>
      <c r="E283" s="4" t="str">
        <f ca="1">IF(D283=0,"",IF(IF(ISTEXT(C283),DATE(RIGHT(C283,4),12,31),C283)&lt;PREMISSAS!$D$7,"",IFERROR(VLOOKUP(IF(LEFT(C283,2)="13",DATE(RIGHT(C283,4),12,31),C283),IPCA!$A:$D,4,FALSE),1)*D283))</f>
        <v/>
      </c>
      <c r="F283" s="4" t="str">
        <f ca="1">IF(C283="","",IFERROR(AVERAGEIF(E$5:$E283,"&gt;="&amp;_xlfn.PERCENTILE.EXC(E$5:$E283,0.2)),0))</f>
        <v/>
      </c>
      <c r="G283" s="4" t="str">
        <f ca="1">IF(C283="","",IFERROR(AVERAGEIF($E$5:E283,"&gt;"&amp;0,$E$5:E283),0))</f>
        <v/>
      </c>
    </row>
    <row r="284" spans="2:7" x14ac:dyDescent="0.3">
      <c r="B284" s="18">
        <v>280</v>
      </c>
      <c r="C284" s="21" t="str">
        <f ca="1">IFERROR(IF(LEFT(C283,2)="13",DATE(RIGHT(C283,4),12,31),IF(EOMONTH(C283,1)&gt;PREMISSAS!$C$3,"",IF(MONTH(C283)=11,"13º "&amp;YEAR(C283),EOMONTH(C283,1)))),"")</f>
        <v/>
      </c>
      <c r="D284" s="22">
        <f ca="1">VLOOKUP(C284,Preencher_Salários!$D$7:$E$656,2,FALSE)</f>
        <v>0</v>
      </c>
      <c r="E284" s="4" t="str">
        <f ca="1">IF(D284=0,"",IF(IF(ISTEXT(C284),DATE(RIGHT(C284,4),12,31),C284)&lt;PREMISSAS!$D$7,"",IFERROR(VLOOKUP(IF(LEFT(C284,2)="13",DATE(RIGHT(C284,4),12,31),C284),IPCA!$A:$D,4,FALSE),1)*D284))</f>
        <v/>
      </c>
      <c r="F284" s="4" t="str">
        <f ca="1">IF(C284="","",IFERROR(AVERAGEIF(E$5:$E284,"&gt;="&amp;_xlfn.PERCENTILE.EXC(E$5:$E284,0.2)),0))</f>
        <v/>
      </c>
      <c r="G284" s="4" t="str">
        <f ca="1">IF(C284="","",IFERROR(AVERAGEIF($E$5:E284,"&gt;"&amp;0,$E$5:E284),0))</f>
        <v/>
      </c>
    </row>
    <row r="285" spans="2:7" x14ac:dyDescent="0.3">
      <c r="B285" s="18">
        <v>281</v>
      </c>
      <c r="C285" s="21" t="str">
        <f ca="1">IFERROR(IF(LEFT(C284,2)="13",DATE(RIGHT(C284,4),12,31),IF(EOMONTH(C284,1)&gt;PREMISSAS!$C$3,"",IF(MONTH(C284)=11,"13º "&amp;YEAR(C284),EOMONTH(C284,1)))),"")</f>
        <v/>
      </c>
      <c r="D285" s="22">
        <f ca="1">VLOOKUP(C285,Preencher_Salários!$D$7:$E$656,2,FALSE)</f>
        <v>0</v>
      </c>
      <c r="E285" s="4" t="str">
        <f ca="1">IF(D285=0,"",IF(IF(ISTEXT(C285),DATE(RIGHT(C285,4),12,31),C285)&lt;PREMISSAS!$D$7,"",IFERROR(VLOOKUP(IF(LEFT(C285,2)="13",DATE(RIGHT(C285,4),12,31),C285),IPCA!$A:$D,4,FALSE),1)*D285))</f>
        <v/>
      </c>
      <c r="F285" s="4" t="str">
        <f ca="1">IF(C285="","",IFERROR(AVERAGEIF(E$5:$E285,"&gt;="&amp;_xlfn.PERCENTILE.EXC(E$5:$E285,0.2)),0))</f>
        <v/>
      </c>
      <c r="G285" s="4" t="str">
        <f ca="1">IF(C285="","",IFERROR(AVERAGEIF($E$5:E285,"&gt;"&amp;0,$E$5:E285),0))</f>
        <v/>
      </c>
    </row>
    <row r="286" spans="2:7" x14ac:dyDescent="0.3">
      <c r="B286" s="18">
        <v>282</v>
      </c>
      <c r="C286" s="21" t="str">
        <f ca="1">IFERROR(IF(LEFT(C285,2)="13",DATE(RIGHT(C285,4),12,31),IF(EOMONTH(C285,1)&gt;PREMISSAS!$C$3,"",IF(MONTH(C285)=11,"13º "&amp;YEAR(C285),EOMONTH(C285,1)))),"")</f>
        <v/>
      </c>
      <c r="D286" s="22">
        <f ca="1">VLOOKUP(C286,Preencher_Salários!$D$7:$E$656,2,FALSE)</f>
        <v>0</v>
      </c>
      <c r="E286" s="4" t="str">
        <f ca="1">IF(D286=0,"",IF(IF(ISTEXT(C286),DATE(RIGHT(C286,4),12,31),C286)&lt;PREMISSAS!$D$7,"",IFERROR(VLOOKUP(IF(LEFT(C286,2)="13",DATE(RIGHT(C286,4),12,31),C286),IPCA!$A:$D,4,FALSE),1)*D286))</f>
        <v/>
      </c>
      <c r="F286" s="4" t="str">
        <f ca="1">IF(C286="","",IFERROR(AVERAGEIF(E$5:$E286,"&gt;="&amp;_xlfn.PERCENTILE.EXC(E$5:$E286,0.2)),0))</f>
        <v/>
      </c>
      <c r="G286" s="4" t="str">
        <f ca="1">IF(C286="","",IFERROR(AVERAGEIF($E$5:E286,"&gt;"&amp;0,$E$5:E286),0))</f>
        <v/>
      </c>
    </row>
    <row r="287" spans="2:7" x14ac:dyDescent="0.3">
      <c r="B287" s="18">
        <v>283</v>
      </c>
      <c r="C287" s="21" t="str">
        <f ca="1">IFERROR(IF(LEFT(C286,2)="13",DATE(RIGHT(C286,4),12,31),IF(EOMONTH(C286,1)&gt;PREMISSAS!$C$3,"",IF(MONTH(C286)=11,"13º "&amp;YEAR(C286),EOMONTH(C286,1)))),"")</f>
        <v/>
      </c>
      <c r="D287" s="22">
        <f ca="1">VLOOKUP(C287,Preencher_Salários!$D$7:$E$656,2,FALSE)</f>
        <v>0</v>
      </c>
      <c r="E287" s="4" t="str">
        <f ca="1">IF(D287=0,"",IF(IF(ISTEXT(C287),DATE(RIGHT(C287,4),12,31),C287)&lt;PREMISSAS!$D$7,"",IFERROR(VLOOKUP(IF(LEFT(C287,2)="13",DATE(RIGHT(C287,4),12,31),C287),IPCA!$A:$D,4,FALSE),1)*D287))</f>
        <v/>
      </c>
      <c r="F287" s="4" t="str">
        <f ca="1">IF(C287="","",IFERROR(AVERAGEIF(E$5:$E287,"&gt;="&amp;_xlfn.PERCENTILE.EXC(E$5:$E287,0.2)),0))</f>
        <v/>
      </c>
      <c r="G287" s="4" t="str">
        <f ca="1">IF(C287="","",IFERROR(AVERAGEIF($E$5:E287,"&gt;"&amp;0,$E$5:E287),0))</f>
        <v/>
      </c>
    </row>
    <row r="288" spans="2:7" x14ac:dyDescent="0.3">
      <c r="B288" s="18">
        <v>284</v>
      </c>
      <c r="C288" s="21" t="str">
        <f ca="1">IFERROR(IF(LEFT(C287,2)="13",DATE(RIGHT(C287,4),12,31),IF(EOMONTH(C287,1)&gt;PREMISSAS!$C$3,"",IF(MONTH(C287)=11,"13º "&amp;YEAR(C287),EOMONTH(C287,1)))),"")</f>
        <v/>
      </c>
      <c r="D288" s="22">
        <f ca="1">VLOOKUP(C288,Preencher_Salários!$D$7:$E$656,2,FALSE)</f>
        <v>0</v>
      </c>
      <c r="E288" s="4" t="str">
        <f ca="1">IF(D288=0,"",IF(IF(ISTEXT(C288),DATE(RIGHT(C288,4),12,31),C288)&lt;PREMISSAS!$D$7,"",IFERROR(VLOOKUP(IF(LEFT(C288,2)="13",DATE(RIGHT(C288,4),12,31),C288),IPCA!$A:$D,4,FALSE),1)*D288))</f>
        <v/>
      </c>
      <c r="F288" s="4" t="str">
        <f ca="1">IF(C288="","",IFERROR(AVERAGEIF(E$5:$E288,"&gt;="&amp;_xlfn.PERCENTILE.EXC(E$5:$E288,0.2)),0))</f>
        <v/>
      </c>
      <c r="G288" s="4" t="str">
        <f ca="1">IF(C288="","",IFERROR(AVERAGEIF($E$5:E288,"&gt;"&amp;0,$E$5:E288),0))</f>
        <v/>
      </c>
    </row>
    <row r="289" spans="2:7" x14ac:dyDescent="0.3">
      <c r="B289" s="18">
        <v>285</v>
      </c>
      <c r="C289" s="21" t="str">
        <f ca="1">IFERROR(IF(LEFT(C288,2)="13",DATE(RIGHT(C288,4),12,31),IF(EOMONTH(C288,1)&gt;PREMISSAS!$C$3,"",IF(MONTH(C288)=11,"13º "&amp;YEAR(C288),EOMONTH(C288,1)))),"")</f>
        <v/>
      </c>
      <c r="D289" s="22">
        <f ca="1">VLOOKUP(C289,Preencher_Salários!$D$7:$E$656,2,FALSE)</f>
        <v>0</v>
      </c>
      <c r="E289" s="4" t="str">
        <f ca="1">IF(D289=0,"",IF(IF(ISTEXT(C289),DATE(RIGHT(C289,4),12,31),C289)&lt;PREMISSAS!$D$7,"",IFERROR(VLOOKUP(IF(LEFT(C289,2)="13",DATE(RIGHT(C289,4),12,31),C289),IPCA!$A:$D,4,FALSE),1)*D289))</f>
        <v/>
      </c>
      <c r="F289" s="4" t="str">
        <f ca="1">IF(C289="","",IFERROR(AVERAGEIF(E$5:$E289,"&gt;="&amp;_xlfn.PERCENTILE.EXC(E$5:$E289,0.2)),0))</f>
        <v/>
      </c>
      <c r="G289" s="4" t="str">
        <f ca="1">IF(C289="","",IFERROR(AVERAGEIF($E$5:E289,"&gt;"&amp;0,$E$5:E289),0))</f>
        <v/>
      </c>
    </row>
    <row r="290" spans="2:7" x14ac:dyDescent="0.3">
      <c r="B290" s="18">
        <v>286</v>
      </c>
      <c r="C290" s="21" t="str">
        <f ca="1">IFERROR(IF(LEFT(C289,2)="13",DATE(RIGHT(C289,4),12,31),IF(EOMONTH(C289,1)&gt;PREMISSAS!$C$3,"",IF(MONTH(C289)=11,"13º "&amp;YEAR(C289),EOMONTH(C289,1)))),"")</f>
        <v/>
      </c>
      <c r="D290" s="22">
        <f ca="1">VLOOKUP(C290,Preencher_Salários!$D$7:$E$656,2,FALSE)</f>
        <v>0</v>
      </c>
      <c r="E290" s="4" t="str">
        <f ca="1">IF(D290=0,"",IF(IF(ISTEXT(C290),DATE(RIGHT(C290,4),12,31),C290)&lt;PREMISSAS!$D$7,"",IFERROR(VLOOKUP(IF(LEFT(C290,2)="13",DATE(RIGHT(C290,4),12,31),C290),IPCA!$A:$D,4,FALSE),1)*D290))</f>
        <v/>
      </c>
      <c r="F290" s="4" t="str">
        <f ca="1">IF(C290="","",IFERROR(AVERAGEIF(E$5:$E290,"&gt;="&amp;_xlfn.PERCENTILE.EXC(E$5:$E290,0.2)),0))</f>
        <v/>
      </c>
      <c r="G290" s="4" t="str">
        <f ca="1">IF(C290="","",IFERROR(AVERAGEIF($E$5:E290,"&gt;"&amp;0,$E$5:E290),0))</f>
        <v/>
      </c>
    </row>
    <row r="291" spans="2:7" x14ac:dyDescent="0.3">
      <c r="B291" s="18">
        <v>287</v>
      </c>
      <c r="C291" s="21" t="str">
        <f ca="1">IFERROR(IF(LEFT(C290,2)="13",DATE(RIGHT(C290,4),12,31),IF(EOMONTH(C290,1)&gt;PREMISSAS!$C$3,"",IF(MONTH(C290)=11,"13º "&amp;YEAR(C290),EOMONTH(C290,1)))),"")</f>
        <v/>
      </c>
      <c r="D291" s="22">
        <f ca="1">VLOOKUP(C291,Preencher_Salários!$D$7:$E$656,2,FALSE)</f>
        <v>0</v>
      </c>
      <c r="E291" s="4" t="str">
        <f ca="1">IF(D291=0,"",IF(IF(ISTEXT(C291),DATE(RIGHT(C291,4),12,31),C291)&lt;PREMISSAS!$D$7,"",IFERROR(VLOOKUP(IF(LEFT(C291,2)="13",DATE(RIGHT(C291,4),12,31),C291),IPCA!$A:$D,4,FALSE),1)*D291))</f>
        <v/>
      </c>
      <c r="F291" s="4" t="str">
        <f ca="1">IF(C291="","",IFERROR(AVERAGEIF(E$5:$E291,"&gt;="&amp;_xlfn.PERCENTILE.EXC(E$5:$E291,0.2)),0))</f>
        <v/>
      </c>
      <c r="G291" s="4" t="str">
        <f ca="1">IF(C291="","",IFERROR(AVERAGEIF($E$5:E291,"&gt;"&amp;0,$E$5:E291),0))</f>
        <v/>
      </c>
    </row>
    <row r="292" spans="2:7" x14ac:dyDescent="0.3">
      <c r="B292" s="18">
        <v>288</v>
      </c>
      <c r="C292" s="21" t="str">
        <f ca="1">IFERROR(IF(LEFT(C291,2)="13",DATE(RIGHT(C291,4),12,31),IF(EOMONTH(C291,1)&gt;PREMISSAS!$C$3,"",IF(MONTH(C291)=11,"13º "&amp;YEAR(C291),EOMONTH(C291,1)))),"")</f>
        <v/>
      </c>
      <c r="D292" s="22">
        <f ca="1">VLOOKUP(C292,Preencher_Salários!$D$7:$E$656,2,FALSE)</f>
        <v>0</v>
      </c>
      <c r="E292" s="4" t="str">
        <f ca="1">IF(D292=0,"",IF(IF(ISTEXT(C292),DATE(RIGHT(C292,4),12,31),C292)&lt;PREMISSAS!$D$7,"",IFERROR(VLOOKUP(IF(LEFT(C292,2)="13",DATE(RIGHT(C292,4),12,31),C292),IPCA!$A:$D,4,FALSE),1)*D292))</f>
        <v/>
      </c>
      <c r="F292" s="4" t="str">
        <f ca="1">IF(C292="","",IFERROR(AVERAGEIF(E$5:$E292,"&gt;="&amp;_xlfn.PERCENTILE.EXC(E$5:$E292,0.2)),0))</f>
        <v/>
      </c>
      <c r="G292" s="4" t="str">
        <f ca="1">IF(C292="","",IFERROR(AVERAGEIF($E$5:E292,"&gt;"&amp;0,$E$5:E292),0))</f>
        <v/>
      </c>
    </row>
    <row r="293" spans="2:7" x14ac:dyDescent="0.3">
      <c r="B293" s="18">
        <v>289</v>
      </c>
      <c r="C293" s="21" t="str">
        <f ca="1">IFERROR(IF(LEFT(C292,2)="13",DATE(RIGHT(C292,4),12,31),IF(EOMONTH(C292,1)&gt;PREMISSAS!$C$3,"",IF(MONTH(C292)=11,"13º "&amp;YEAR(C292),EOMONTH(C292,1)))),"")</f>
        <v/>
      </c>
      <c r="D293" s="22">
        <f ca="1">VLOOKUP(C293,Preencher_Salários!$D$7:$E$656,2,FALSE)</f>
        <v>0</v>
      </c>
      <c r="E293" s="4" t="str">
        <f ca="1">IF(D293=0,"",IF(IF(ISTEXT(C293),DATE(RIGHT(C293,4),12,31),C293)&lt;PREMISSAS!$D$7,"",IFERROR(VLOOKUP(IF(LEFT(C293,2)="13",DATE(RIGHT(C293,4),12,31),C293),IPCA!$A:$D,4,FALSE),1)*D293))</f>
        <v/>
      </c>
      <c r="F293" s="4" t="str">
        <f ca="1">IF(C293="","",IFERROR(AVERAGEIF(E$5:$E293,"&gt;="&amp;_xlfn.PERCENTILE.EXC(E$5:$E293,0.2)),0))</f>
        <v/>
      </c>
      <c r="G293" s="4" t="str">
        <f ca="1">IF(C293="","",IFERROR(AVERAGEIF($E$5:E293,"&gt;"&amp;0,$E$5:E293),0))</f>
        <v/>
      </c>
    </row>
    <row r="294" spans="2:7" x14ac:dyDescent="0.3">
      <c r="B294" s="18">
        <v>290</v>
      </c>
      <c r="C294" s="21" t="str">
        <f ca="1">IFERROR(IF(LEFT(C293,2)="13",DATE(RIGHT(C293,4),12,31),IF(EOMONTH(C293,1)&gt;PREMISSAS!$C$3,"",IF(MONTH(C293)=11,"13º "&amp;YEAR(C293),EOMONTH(C293,1)))),"")</f>
        <v/>
      </c>
      <c r="D294" s="22">
        <f ca="1">VLOOKUP(C294,Preencher_Salários!$D$7:$E$656,2,FALSE)</f>
        <v>0</v>
      </c>
      <c r="E294" s="4" t="str">
        <f ca="1">IF(D294=0,"",IF(IF(ISTEXT(C294),DATE(RIGHT(C294,4),12,31),C294)&lt;PREMISSAS!$D$7,"",IFERROR(VLOOKUP(IF(LEFT(C294,2)="13",DATE(RIGHT(C294,4),12,31),C294),IPCA!$A:$D,4,FALSE),1)*D294))</f>
        <v/>
      </c>
      <c r="F294" s="4" t="str">
        <f ca="1">IF(C294="","",IFERROR(AVERAGEIF(E$5:$E294,"&gt;="&amp;_xlfn.PERCENTILE.EXC(E$5:$E294,0.2)),0))</f>
        <v/>
      </c>
      <c r="G294" s="4" t="str">
        <f ca="1">IF(C294="","",IFERROR(AVERAGEIF($E$5:E294,"&gt;"&amp;0,$E$5:E294),0))</f>
        <v/>
      </c>
    </row>
    <row r="295" spans="2:7" x14ac:dyDescent="0.3">
      <c r="B295" s="18">
        <v>291</v>
      </c>
      <c r="C295" s="21" t="str">
        <f ca="1">IFERROR(IF(LEFT(C294,2)="13",DATE(RIGHT(C294,4),12,31),IF(EOMONTH(C294,1)&gt;PREMISSAS!$C$3,"",IF(MONTH(C294)=11,"13º "&amp;YEAR(C294),EOMONTH(C294,1)))),"")</f>
        <v/>
      </c>
      <c r="D295" s="22">
        <f ca="1">VLOOKUP(C295,Preencher_Salários!$D$7:$E$656,2,FALSE)</f>
        <v>0</v>
      </c>
      <c r="E295" s="4" t="str">
        <f ca="1">IF(D295=0,"",IF(IF(ISTEXT(C295),DATE(RIGHT(C295,4),12,31),C295)&lt;PREMISSAS!$D$7,"",IFERROR(VLOOKUP(IF(LEFT(C295,2)="13",DATE(RIGHT(C295,4),12,31),C295),IPCA!$A:$D,4,FALSE),1)*D295))</f>
        <v/>
      </c>
      <c r="F295" s="4" t="str">
        <f ca="1">IF(C295="","",IFERROR(AVERAGEIF(E$5:$E295,"&gt;="&amp;_xlfn.PERCENTILE.EXC(E$5:$E295,0.2)),0))</f>
        <v/>
      </c>
      <c r="G295" s="4" t="str">
        <f ca="1">IF(C295="","",IFERROR(AVERAGEIF($E$5:E295,"&gt;"&amp;0,$E$5:E295),0))</f>
        <v/>
      </c>
    </row>
    <row r="296" spans="2:7" x14ac:dyDescent="0.3">
      <c r="B296" s="18">
        <v>292</v>
      </c>
      <c r="C296" s="21" t="str">
        <f ca="1">IFERROR(IF(LEFT(C295,2)="13",DATE(RIGHT(C295,4),12,31),IF(EOMONTH(C295,1)&gt;PREMISSAS!$C$3,"",IF(MONTH(C295)=11,"13º "&amp;YEAR(C295),EOMONTH(C295,1)))),"")</f>
        <v/>
      </c>
      <c r="D296" s="22">
        <f ca="1">VLOOKUP(C296,Preencher_Salários!$D$7:$E$656,2,FALSE)</f>
        <v>0</v>
      </c>
      <c r="E296" s="4" t="str">
        <f ca="1">IF(D296=0,"",IF(IF(ISTEXT(C296),DATE(RIGHT(C296,4),12,31),C296)&lt;PREMISSAS!$D$7,"",IFERROR(VLOOKUP(IF(LEFT(C296,2)="13",DATE(RIGHT(C296,4),12,31),C296),IPCA!$A:$D,4,FALSE),1)*D296))</f>
        <v/>
      </c>
      <c r="F296" s="4" t="str">
        <f ca="1">IF(C296="","",IFERROR(AVERAGEIF(E$5:$E296,"&gt;="&amp;_xlfn.PERCENTILE.EXC(E$5:$E296,0.2)),0))</f>
        <v/>
      </c>
      <c r="G296" s="4" t="str">
        <f ca="1">IF(C296="","",IFERROR(AVERAGEIF($E$5:E296,"&gt;"&amp;0,$E$5:E296),0))</f>
        <v/>
      </c>
    </row>
    <row r="297" spans="2:7" x14ac:dyDescent="0.3">
      <c r="B297" s="18">
        <v>293</v>
      </c>
      <c r="C297" s="21" t="str">
        <f ca="1">IFERROR(IF(LEFT(C296,2)="13",DATE(RIGHT(C296,4),12,31),IF(EOMONTH(C296,1)&gt;PREMISSAS!$C$3,"",IF(MONTH(C296)=11,"13º "&amp;YEAR(C296),EOMONTH(C296,1)))),"")</f>
        <v/>
      </c>
      <c r="D297" s="22">
        <f ca="1">VLOOKUP(C297,Preencher_Salários!$D$7:$E$656,2,FALSE)</f>
        <v>0</v>
      </c>
      <c r="E297" s="4" t="str">
        <f ca="1">IF(D297=0,"",IF(IF(ISTEXT(C297),DATE(RIGHT(C297,4),12,31),C297)&lt;PREMISSAS!$D$7,"",IFERROR(VLOOKUP(IF(LEFT(C297,2)="13",DATE(RIGHT(C297,4),12,31),C297),IPCA!$A:$D,4,FALSE),1)*D297))</f>
        <v/>
      </c>
      <c r="F297" s="4" t="str">
        <f ca="1">IF(C297="","",IFERROR(AVERAGEIF(E$5:$E297,"&gt;="&amp;_xlfn.PERCENTILE.EXC(E$5:$E297,0.2)),0))</f>
        <v/>
      </c>
      <c r="G297" s="4" t="str">
        <f ca="1">IF(C297="","",IFERROR(AVERAGEIF($E$5:E297,"&gt;"&amp;0,$E$5:E297),0))</f>
        <v/>
      </c>
    </row>
    <row r="298" spans="2:7" x14ac:dyDescent="0.3">
      <c r="B298" s="18">
        <v>294</v>
      </c>
      <c r="C298" s="21" t="str">
        <f ca="1">IFERROR(IF(LEFT(C297,2)="13",DATE(RIGHT(C297,4),12,31),IF(EOMONTH(C297,1)&gt;PREMISSAS!$C$3,"",IF(MONTH(C297)=11,"13º "&amp;YEAR(C297),EOMONTH(C297,1)))),"")</f>
        <v/>
      </c>
      <c r="D298" s="22">
        <f ca="1">VLOOKUP(C298,Preencher_Salários!$D$7:$E$656,2,FALSE)</f>
        <v>0</v>
      </c>
      <c r="E298" s="4" t="str">
        <f ca="1">IF(D298=0,"",IF(IF(ISTEXT(C298),DATE(RIGHT(C298,4),12,31),C298)&lt;PREMISSAS!$D$7,"",IFERROR(VLOOKUP(IF(LEFT(C298,2)="13",DATE(RIGHT(C298,4),12,31),C298),IPCA!$A:$D,4,FALSE),1)*D298))</f>
        <v/>
      </c>
      <c r="F298" s="4" t="str">
        <f ca="1">IF(C298="","",IFERROR(AVERAGEIF(E$5:$E298,"&gt;="&amp;_xlfn.PERCENTILE.EXC(E$5:$E298,0.2)),0))</f>
        <v/>
      </c>
      <c r="G298" s="4" t="str">
        <f ca="1">IF(C298="","",IFERROR(AVERAGEIF($E$5:E298,"&gt;"&amp;0,$E$5:E298),0))</f>
        <v/>
      </c>
    </row>
    <row r="299" spans="2:7" x14ac:dyDescent="0.3">
      <c r="B299" s="18">
        <v>295</v>
      </c>
      <c r="C299" s="21" t="str">
        <f ca="1">IFERROR(IF(LEFT(C298,2)="13",DATE(RIGHT(C298,4),12,31),IF(EOMONTH(C298,1)&gt;PREMISSAS!$C$3,"",IF(MONTH(C298)=11,"13º "&amp;YEAR(C298),EOMONTH(C298,1)))),"")</f>
        <v/>
      </c>
      <c r="D299" s="22">
        <f ca="1">VLOOKUP(C299,Preencher_Salários!$D$7:$E$656,2,FALSE)</f>
        <v>0</v>
      </c>
      <c r="E299" s="4" t="str">
        <f ca="1">IF(D299=0,"",IF(IF(ISTEXT(C299),DATE(RIGHT(C299,4),12,31),C299)&lt;PREMISSAS!$D$7,"",IFERROR(VLOOKUP(IF(LEFT(C299,2)="13",DATE(RIGHT(C299,4),12,31),C299),IPCA!$A:$D,4,FALSE),1)*D299))</f>
        <v/>
      </c>
      <c r="F299" s="4" t="str">
        <f ca="1">IF(C299="","",IFERROR(AVERAGEIF(E$5:$E299,"&gt;="&amp;_xlfn.PERCENTILE.EXC(E$5:$E299,0.2)),0))</f>
        <v/>
      </c>
      <c r="G299" s="4" t="str">
        <f ca="1">IF(C299="","",IFERROR(AVERAGEIF($E$5:E299,"&gt;"&amp;0,$E$5:E299),0))</f>
        <v/>
      </c>
    </row>
    <row r="300" spans="2:7" x14ac:dyDescent="0.3">
      <c r="B300" s="18">
        <v>296</v>
      </c>
      <c r="C300" s="21" t="str">
        <f ca="1">IFERROR(IF(LEFT(C299,2)="13",DATE(RIGHT(C299,4),12,31),IF(EOMONTH(C299,1)&gt;PREMISSAS!$C$3,"",IF(MONTH(C299)=11,"13º "&amp;YEAR(C299),EOMONTH(C299,1)))),"")</f>
        <v/>
      </c>
      <c r="D300" s="22">
        <f ca="1">VLOOKUP(C300,Preencher_Salários!$D$7:$E$656,2,FALSE)</f>
        <v>0</v>
      </c>
      <c r="E300" s="4" t="str">
        <f ca="1">IF(D300=0,"",IF(IF(ISTEXT(C300),DATE(RIGHT(C300,4),12,31),C300)&lt;PREMISSAS!$D$7,"",IFERROR(VLOOKUP(IF(LEFT(C300,2)="13",DATE(RIGHT(C300,4),12,31),C300),IPCA!$A:$D,4,FALSE),1)*D300))</f>
        <v/>
      </c>
      <c r="F300" s="4" t="str">
        <f ca="1">IF(C300="","",IFERROR(AVERAGEIF(E$5:$E300,"&gt;="&amp;_xlfn.PERCENTILE.EXC(E$5:$E300,0.2)),0))</f>
        <v/>
      </c>
      <c r="G300" s="4" t="str">
        <f ca="1">IF(C300="","",IFERROR(AVERAGEIF($E$5:E300,"&gt;"&amp;0,$E$5:E300),0))</f>
        <v/>
      </c>
    </row>
    <row r="301" spans="2:7" x14ac:dyDescent="0.3">
      <c r="B301" s="18">
        <v>297</v>
      </c>
      <c r="C301" s="21" t="str">
        <f ca="1">IFERROR(IF(LEFT(C300,2)="13",DATE(RIGHT(C300,4),12,31),IF(EOMONTH(C300,1)&gt;PREMISSAS!$C$3,"",IF(MONTH(C300)=11,"13º "&amp;YEAR(C300),EOMONTH(C300,1)))),"")</f>
        <v/>
      </c>
      <c r="D301" s="22">
        <f ca="1">VLOOKUP(C301,Preencher_Salários!$D$7:$E$656,2,FALSE)</f>
        <v>0</v>
      </c>
      <c r="E301" s="4" t="str">
        <f ca="1">IF(D301=0,"",IF(IF(ISTEXT(C301),DATE(RIGHT(C301,4),12,31),C301)&lt;PREMISSAS!$D$7,"",IFERROR(VLOOKUP(IF(LEFT(C301,2)="13",DATE(RIGHT(C301,4),12,31),C301),IPCA!$A:$D,4,FALSE),1)*D301))</f>
        <v/>
      </c>
      <c r="F301" s="4" t="str">
        <f ca="1">IF(C301="","",IFERROR(AVERAGEIF(E$5:$E301,"&gt;="&amp;_xlfn.PERCENTILE.EXC(E$5:$E301,0.2)),0))</f>
        <v/>
      </c>
      <c r="G301" s="4" t="str">
        <f ca="1">IF(C301="","",IFERROR(AVERAGEIF($E$5:E301,"&gt;"&amp;0,$E$5:E301),0))</f>
        <v/>
      </c>
    </row>
    <row r="302" spans="2:7" x14ac:dyDescent="0.3">
      <c r="B302" s="18">
        <v>298</v>
      </c>
      <c r="C302" s="21" t="str">
        <f ca="1">IFERROR(IF(LEFT(C301,2)="13",DATE(RIGHT(C301,4),12,31),IF(EOMONTH(C301,1)&gt;PREMISSAS!$C$3,"",IF(MONTH(C301)=11,"13º "&amp;YEAR(C301),EOMONTH(C301,1)))),"")</f>
        <v/>
      </c>
      <c r="D302" s="22">
        <f ca="1">VLOOKUP(C302,Preencher_Salários!$D$7:$E$656,2,FALSE)</f>
        <v>0</v>
      </c>
      <c r="E302" s="4" t="str">
        <f ca="1">IF(D302=0,"",IF(IF(ISTEXT(C302),DATE(RIGHT(C302,4),12,31),C302)&lt;PREMISSAS!$D$7,"",IFERROR(VLOOKUP(IF(LEFT(C302,2)="13",DATE(RIGHT(C302,4),12,31),C302),IPCA!$A:$D,4,FALSE),1)*D302))</f>
        <v/>
      </c>
      <c r="F302" s="4" t="str">
        <f ca="1">IF(C302="","",IFERROR(AVERAGEIF(E$5:$E302,"&gt;="&amp;_xlfn.PERCENTILE.EXC(E$5:$E302,0.2)),0))</f>
        <v/>
      </c>
      <c r="G302" s="4" t="str">
        <f ca="1">IF(C302="","",IFERROR(AVERAGEIF($E$5:E302,"&gt;"&amp;0,$E$5:E302),0))</f>
        <v/>
      </c>
    </row>
    <row r="303" spans="2:7" x14ac:dyDescent="0.3">
      <c r="B303" s="18">
        <v>299</v>
      </c>
      <c r="C303" s="21" t="str">
        <f ca="1">IFERROR(IF(LEFT(C302,2)="13",DATE(RIGHT(C302,4),12,31),IF(EOMONTH(C302,1)&gt;PREMISSAS!$C$3,"",IF(MONTH(C302)=11,"13º "&amp;YEAR(C302),EOMONTH(C302,1)))),"")</f>
        <v/>
      </c>
      <c r="D303" s="22">
        <f ca="1">VLOOKUP(C303,Preencher_Salários!$D$7:$E$656,2,FALSE)</f>
        <v>0</v>
      </c>
      <c r="E303" s="4" t="str">
        <f ca="1">IF(D303=0,"",IF(IF(ISTEXT(C303),DATE(RIGHT(C303,4),12,31),C303)&lt;PREMISSAS!$D$7,"",IFERROR(VLOOKUP(IF(LEFT(C303,2)="13",DATE(RIGHT(C303,4),12,31),C303),IPCA!$A:$D,4,FALSE),1)*D303))</f>
        <v/>
      </c>
      <c r="F303" s="4" t="str">
        <f ca="1">IF(C303="","",IFERROR(AVERAGEIF(E$5:$E303,"&gt;="&amp;_xlfn.PERCENTILE.EXC(E$5:$E303,0.2)),0))</f>
        <v/>
      </c>
      <c r="G303" s="4" t="str">
        <f ca="1">IF(C303="","",IFERROR(AVERAGEIF($E$5:E303,"&gt;"&amp;0,$E$5:E303),0))</f>
        <v/>
      </c>
    </row>
    <row r="304" spans="2:7" x14ac:dyDescent="0.3">
      <c r="B304" s="18">
        <v>300</v>
      </c>
      <c r="C304" s="21" t="str">
        <f ca="1">IFERROR(IF(LEFT(C303,2)="13",DATE(RIGHT(C303,4),12,31),IF(EOMONTH(C303,1)&gt;PREMISSAS!$C$3,"",IF(MONTH(C303)=11,"13º "&amp;YEAR(C303),EOMONTH(C303,1)))),"")</f>
        <v/>
      </c>
      <c r="D304" s="22">
        <f ca="1">VLOOKUP(C304,Preencher_Salários!$D$7:$E$656,2,FALSE)</f>
        <v>0</v>
      </c>
      <c r="E304" s="4" t="str">
        <f ca="1">IF(D304=0,"",IF(IF(ISTEXT(C304),DATE(RIGHT(C304,4),12,31),C304)&lt;PREMISSAS!$D$7,"",IFERROR(VLOOKUP(IF(LEFT(C304,2)="13",DATE(RIGHT(C304,4),12,31),C304),IPCA!$A:$D,4,FALSE),1)*D304))</f>
        <v/>
      </c>
      <c r="F304" s="4" t="str">
        <f ca="1">IF(C304="","",IFERROR(AVERAGEIF(E$5:$E304,"&gt;="&amp;_xlfn.PERCENTILE.EXC(E$5:$E304,0.2)),0))</f>
        <v/>
      </c>
      <c r="G304" s="4" t="str">
        <f ca="1">IF(C304="","",IFERROR(AVERAGEIF($E$5:E304,"&gt;"&amp;0,$E$5:E304),0))</f>
        <v/>
      </c>
    </row>
    <row r="305" spans="2:7" x14ac:dyDescent="0.3">
      <c r="B305" s="18">
        <v>301</v>
      </c>
      <c r="C305" s="21" t="str">
        <f ca="1">IFERROR(IF(LEFT(C304,2)="13",DATE(RIGHT(C304,4),12,31),IF(EOMONTH(C304,1)&gt;PREMISSAS!$C$3,"",IF(MONTH(C304)=11,"13º "&amp;YEAR(C304),EOMONTH(C304,1)))),"")</f>
        <v/>
      </c>
      <c r="D305" s="22">
        <f ca="1">VLOOKUP(C305,Preencher_Salários!$D$7:$E$656,2,FALSE)</f>
        <v>0</v>
      </c>
      <c r="E305" s="4" t="str">
        <f ca="1">IF(D305=0,"",IF(IF(ISTEXT(C305),DATE(RIGHT(C305,4),12,31),C305)&lt;PREMISSAS!$D$7,"",IFERROR(VLOOKUP(IF(LEFT(C305,2)="13",DATE(RIGHT(C305,4),12,31),C305),IPCA!$A:$D,4,FALSE),1)*D305))</f>
        <v/>
      </c>
      <c r="F305" s="4" t="str">
        <f ca="1">IF(C305="","",IFERROR(AVERAGEIF(E$5:$E305,"&gt;="&amp;_xlfn.PERCENTILE.EXC(E$5:$E305,0.2)),0))</f>
        <v/>
      </c>
      <c r="G305" s="4" t="str">
        <f ca="1">IF(C305="","",IFERROR(AVERAGEIF($E$5:E305,"&gt;"&amp;0,$E$5:E305),0))</f>
        <v/>
      </c>
    </row>
    <row r="306" spans="2:7" x14ac:dyDescent="0.3">
      <c r="B306" s="18">
        <v>302</v>
      </c>
      <c r="C306" s="21" t="str">
        <f ca="1">IFERROR(IF(LEFT(C305,2)="13",DATE(RIGHT(C305,4),12,31),IF(EOMONTH(C305,1)&gt;PREMISSAS!$C$3,"",IF(MONTH(C305)=11,"13º "&amp;YEAR(C305),EOMONTH(C305,1)))),"")</f>
        <v/>
      </c>
      <c r="D306" s="22">
        <f ca="1">VLOOKUP(C306,Preencher_Salários!$D$7:$E$656,2,FALSE)</f>
        <v>0</v>
      </c>
      <c r="E306" s="4" t="str">
        <f ca="1">IF(D306=0,"",IF(IF(ISTEXT(C306),DATE(RIGHT(C306,4),12,31),C306)&lt;PREMISSAS!$D$7,"",IFERROR(VLOOKUP(IF(LEFT(C306,2)="13",DATE(RIGHT(C306,4),12,31),C306),IPCA!$A:$D,4,FALSE),1)*D306))</f>
        <v/>
      </c>
      <c r="F306" s="4" t="str">
        <f ca="1">IF(C306="","",IFERROR(AVERAGEIF(E$5:$E306,"&gt;="&amp;_xlfn.PERCENTILE.EXC(E$5:$E306,0.2)),0))</f>
        <v/>
      </c>
      <c r="G306" s="4" t="str">
        <f ca="1">IF(C306="","",IFERROR(AVERAGEIF($E$5:E306,"&gt;"&amp;0,$E$5:E306),0))</f>
        <v/>
      </c>
    </row>
    <row r="307" spans="2:7" x14ac:dyDescent="0.3">
      <c r="B307" s="18">
        <v>303</v>
      </c>
      <c r="C307" s="21" t="str">
        <f ca="1">IFERROR(IF(LEFT(C306,2)="13",DATE(RIGHT(C306,4),12,31),IF(EOMONTH(C306,1)&gt;PREMISSAS!$C$3,"",IF(MONTH(C306)=11,"13º "&amp;YEAR(C306),EOMONTH(C306,1)))),"")</f>
        <v/>
      </c>
      <c r="D307" s="22">
        <f ca="1">VLOOKUP(C307,Preencher_Salários!$D$7:$E$656,2,FALSE)</f>
        <v>0</v>
      </c>
      <c r="E307" s="4" t="str">
        <f ca="1">IF(D307=0,"",IF(IF(ISTEXT(C307),DATE(RIGHT(C307,4),12,31),C307)&lt;PREMISSAS!$D$7,"",IFERROR(VLOOKUP(IF(LEFT(C307,2)="13",DATE(RIGHT(C307,4),12,31),C307),IPCA!$A:$D,4,FALSE),1)*D307))</f>
        <v/>
      </c>
      <c r="F307" s="4" t="str">
        <f ca="1">IF(C307="","",IFERROR(AVERAGEIF(E$5:$E307,"&gt;="&amp;_xlfn.PERCENTILE.EXC(E$5:$E307,0.2)),0))</f>
        <v/>
      </c>
      <c r="G307" s="4" t="str">
        <f ca="1">IF(C307="","",IFERROR(AVERAGEIF($E$5:E307,"&gt;"&amp;0,$E$5:E307),0))</f>
        <v/>
      </c>
    </row>
    <row r="308" spans="2:7" x14ac:dyDescent="0.3">
      <c r="B308" s="18">
        <v>304</v>
      </c>
      <c r="C308" s="21" t="str">
        <f ca="1">IFERROR(IF(LEFT(C307,2)="13",DATE(RIGHT(C307,4),12,31),IF(EOMONTH(C307,1)&gt;PREMISSAS!$C$3,"",IF(MONTH(C307)=11,"13º "&amp;YEAR(C307),EOMONTH(C307,1)))),"")</f>
        <v/>
      </c>
      <c r="D308" s="22">
        <f ca="1">VLOOKUP(C308,Preencher_Salários!$D$7:$E$656,2,FALSE)</f>
        <v>0</v>
      </c>
      <c r="E308" s="4" t="str">
        <f ca="1">IF(D308=0,"",IF(IF(ISTEXT(C308),DATE(RIGHT(C308,4),12,31),C308)&lt;PREMISSAS!$D$7,"",IFERROR(VLOOKUP(IF(LEFT(C308,2)="13",DATE(RIGHT(C308,4),12,31),C308),IPCA!$A:$D,4,FALSE),1)*D308))</f>
        <v/>
      </c>
      <c r="F308" s="4" t="str">
        <f ca="1">IF(C308="","",IFERROR(AVERAGEIF(E$5:$E308,"&gt;="&amp;_xlfn.PERCENTILE.EXC(E$5:$E308,0.2)),0))</f>
        <v/>
      </c>
      <c r="G308" s="4" t="str">
        <f ca="1">IF(C308="","",IFERROR(AVERAGEIF($E$5:E308,"&gt;"&amp;0,$E$5:E308),0))</f>
        <v/>
      </c>
    </row>
    <row r="309" spans="2:7" x14ac:dyDescent="0.3">
      <c r="B309" s="18">
        <v>305</v>
      </c>
      <c r="C309" s="21" t="str">
        <f ca="1">IFERROR(IF(LEFT(C308,2)="13",DATE(RIGHT(C308,4),12,31),IF(EOMONTH(C308,1)&gt;PREMISSAS!$C$3,"",IF(MONTH(C308)=11,"13º "&amp;YEAR(C308),EOMONTH(C308,1)))),"")</f>
        <v/>
      </c>
      <c r="D309" s="22">
        <f ca="1">VLOOKUP(C309,Preencher_Salários!$D$7:$E$656,2,FALSE)</f>
        <v>0</v>
      </c>
      <c r="E309" s="4" t="str">
        <f ca="1">IF(D309=0,"",IF(IF(ISTEXT(C309),DATE(RIGHT(C309,4),12,31),C309)&lt;PREMISSAS!$D$7,"",IFERROR(VLOOKUP(IF(LEFT(C309,2)="13",DATE(RIGHT(C309,4),12,31),C309),IPCA!$A:$D,4,FALSE),1)*D309))</f>
        <v/>
      </c>
      <c r="F309" s="4" t="str">
        <f ca="1">IF(C309="","",IFERROR(AVERAGEIF(E$5:$E309,"&gt;="&amp;_xlfn.PERCENTILE.EXC(E$5:$E309,0.2)),0))</f>
        <v/>
      </c>
      <c r="G309" s="4" t="str">
        <f ca="1">IF(C309="","",IFERROR(AVERAGEIF($E$5:E309,"&gt;"&amp;0,$E$5:E309),0))</f>
        <v/>
      </c>
    </row>
    <row r="310" spans="2:7" x14ac:dyDescent="0.3">
      <c r="B310" s="18">
        <v>306</v>
      </c>
      <c r="C310" s="21" t="str">
        <f ca="1">IFERROR(IF(LEFT(C309,2)="13",DATE(RIGHT(C309,4),12,31),IF(EOMONTH(C309,1)&gt;PREMISSAS!$C$3,"",IF(MONTH(C309)=11,"13º "&amp;YEAR(C309),EOMONTH(C309,1)))),"")</f>
        <v/>
      </c>
      <c r="D310" s="22">
        <f ca="1">VLOOKUP(C310,Preencher_Salários!$D$7:$E$656,2,FALSE)</f>
        <v>0</v>
      </c>
      <c r="E310" s="4" t="str">
        <f ca="1">IF(D310=0,"",IF(IF(ISTEXT(C310),DATE(RIGHT(C310,4),12,31),C310)&lt;PREMISSAS!$D$7,"",IFERROR(VLOOKUP(IF(LEFT(C310,2)="13",DATE(RIGHT(C310,4),12,31),C310),IPCA!$A:$D,4,FALSE),1)*D310))</f>
        <v/>
      </c>
      <c r="F310" s="4" t="str">
        <f ca="1">IF(C310="","",IFERROR(AVERAGEIF(E$5:$E310,"&gt;="&amp;_xlfn.PERCENTILE.EXC(E$5:$E310,0.2)),0))</f>
        <v/>
      </c>
      <c r="G310" s="4" t="str">
        <f ca="1">IF(C310="","",IFERROR(AVERAGEIF($E$5:E310,"&gt;"&amp;0,$E$5:E310),0))</f>
        <v/>
      </c>
    </row>
    <row r="311" spans="2:7" x14ac:dyDescent="0.3">
      <c r="B311" s="18">
        <v>307</v>
      </c>
      <c r="C311" s="21" t="str">
        <f ca="1">IFERROR(IF(LEFT(C310,2)="13",DATE(RIGHT(C310,4),12,31),IF(EOMONTH(C310,1)&gt;PREMISSAS!$C$3,"",IF(MONTH(C310)=11,"13º "&amp;YEAR(C310),EOMONTH(C310,1)))),"")</f>
        <v/>
      </c>
      <c r="D311" s="22">
        <f ca="1">VLOOKUP(C311,Preencher_Salários!$D$7:$E$656,2,FALSE)</f>
        <v>0</v>
      </c>
      <c r="E311" s="4" t="str">
        <f ca="1">IF(D311=0,"",IF(IF(ISTEXT(C311),DATE(RIGHT(C311,4),12,31),C311)&lt;PREMISSAS!$D$7,"",IFERROR(VLOOKUP(IF(LEFT(C311,2)="13",DATE(RIGHT(C311,4),12,31),C311),IPCA!$A:$D,4,FALSE),1)*D311))</f>
        <v/>
      </c>
      <c r="F311" s="4" t="str">
        <f ca="1">IF(C311="","",IFERROR(AVERAGEIF(E$5:$E311,"&gt;="&amp;_xlfn.PERCENTILE.EXC(E$5:$E311,0.2)),0))</f>
        <v/>
      </c>
      <c r="G311" s="4" t="str">
        <f ca="1">IF(C311="","",IFERROR(AVERAGEIF($E$5:E311,"&gt;"&amp;0,$E$5:E311),0))</f>
        <v/>
      </c>
    </row>
    <row r="312" spans="2:7" x14ac:dyDescent="0.3">
      <c r="B312" s="18">
        <v>308</v>
      </c>
      <c r="C312" s="21" t="str">
        <f ca="1">IFERROR(IF(LEFT(C311,2)="13",DATE(RIGHT(C311,4),12,31),IF(EOMONTH(C311,1)&gt;PREMISSAS!$C$3,"",IF(MONTH(C311)=11,"13º "&amp;YEAR(C311),EOMONTH(C311,1)))),"")</f>
        <v/>
      </c>
      <c r="D312" s="22">
        <f ca="1">VLOOKUP(C312,Preencher_Salários!$D$7:$E$656,2,FALSE)</f>
        <v>0</v>
      </c>
      <c r="E312" s="4" t="str">
        <f ca="1">IF(D312=0,"",IF(IF(ISTEXT(C312),DATE(RIGHT(C312,4),12,31),C312)&lt;PREMISSAS!$D$7,"",IFERROR(VLOOKUP(IF(LEFT(C312,2)="13",DATE(RIGHT(C312,4),12,31),C312),IPCA!$A:$D,4,FALSE),1)*D312))</f>
        <v/>
      </c>
      <c r="F312" s="4" t="str">
        <f ca="1">IF(C312="","",IFERROR(AVERAGEIF(E$5:$E312,"&gt;="&amp;_xlfn.PERCENTILE.EXC(E$5:$E312,0.2)),0))</f>
        <v/>
      </c>
      <c r="G312" s="4" t="str">
        <f ca="1">IF(C312="","",IFERROR(AVERAGEIF($E$5:E312,"&gt;"&amp;0,$E$5:E312),0))</f>
        <v/>
      </c>
    </row>
    <row r="313" spans="2:7" x14ac:dyDescent="0.3">
      <c r="B313" s="18">
        <v>309</v>
      </c>
      <c r="C313" s="21" t="str">
        <f ca="1">IFERROR(IF(LEFT(C312,2)="13",DATE(RIGHT(C312,4),12,31),IF(EOMONTH(C312,1)&gt;PREMISSAS!$C$3,"",IF(MONTH(C312)=11,"13º "&amp;YEAR(C312),EOMONTH(C312,1)))),"")</f>
        <v/>
      </c>
      <c r="D313" s="22">
        <f ca="1">VLOOKUP(C313,Preencher_Salários!$D$7:$E$656,2,FALSE)</f>
        <v>0</v>
      </c>
      <c r="E313" s="4" t="str">
        <f ca="1">IF(D313=0,"",IF(IF(ISTEXT(C313),DATE(RIGHT(C313,4),12,31),C313)&lt;PREMISSAS!$D$7,"",IFERROR(VLOOKUP(IF(LEFT(C313,2)="13",DATE(RIGHT(C313,4),12,31),C313),IPCA!$A:$D,4,FALSE),1)*D313))</f>
        <v/>
      </c>
      <c r="F313" s="4" t="str">
        <f ca="1">IF(C313="","",IFERROR(AVERAGEIF(E$5:$E313,"&gt;="&amp;_xlfn.PERCENTILE.EXC(E$5:$E313,0.2)),0))</f>
        <v/>
      </c>
      <c r="G313" s="4" t="str">
        <f ca="1">IF(C313="","",IFERROR(AVERAGEIF($E$5:E313,"&gt;"&amp;0,$E$5:E313),0))</f>
        <v/>
      </c>
    </row>
    <row r="314" spans="2:7" x14ac:dyDescent="0.3">
      <c r="B314" s="18">
        <v>310</v>
      </c>
      <c r="C314" s="21" t="str">
        <f ca="1">IFERROR(IF(LEFT(C313,2)="13",DATE(RIGHT(C313,4),12,31),IF(EOMONTH(C313,1)&gt;PREMISSAS!$C$3,"",IF(MONTH(C313)=11,"13º "&amp;YEAR(C313),EOMONTH(C313,1)))),"")</f>
        <v/>
      </c>
      <c r="D314" s="22">
        <f ca="1">VLOOKUP(C314,Preencher_Salários!$D$7:$E$656,2,FALSE)</f>
        <v>0</v>
      </c>
      <c r="E314" s="4" t="str">
        <f ca="1">IF(D314=0,"",IF(IF(ISTEXT(C314),DATE(RIGHT(C314,4),12,31),C314)&lt;PREMISSAS!$D$7,"",IFERROR(VLOOKUP(IF(LEFT(C314,2)="13",DATE(RIGHT(C314,4),12,31),C314),IPCA!$A:$D,4,FALSE),1)*D314))</f>
        <v/>
      </c>
      <c r="F314" s="4" t="str">
        <f ca="1">IF(C314="","",IFERROR(AVERAGEIF(E$5:$E314,"&gt;="&amp;_xlfn.PERCENTILE.EXC(E$5:$E314,0.2)),0))</f>
        <v/>
      </c>
      <c r="G314" s="4" t="str">
        <f ca="1">IF(C314="","",IFERROR(AVERAGEIF($E$5:E314,"&gt;"&amp;0,$E$5:E314),0))</f>
        <v/>
      </c>
    </row>
    <row r="315" spans="2:7" x14ac:dyDescent="0.3">
      <c r="B315" s="18">
        <v>311</v>
      </c>
      <c r="C315" s="21" t="str">
        <f ca="1">IFERROR(IF(LEFT(C314,2)="13",DATE(RIGHT(C314,4),12,31),IF(EOMONTH(C314,1)&gt;PREMISSAS!$C$3,"",IF(MONTH(C314)=11,"13º "&amp;YEAR(C314),EOMONTH(C314,1)))),"")</f>
        <v/>
      </c>
      <c r="D315" s="22">
        <f ca="1">VLOOKUP(C315,Preencher_Salários!$D$7:$E$656,2,FALSE)</f>
        <v>0</v>
      </c>
      <c r="E315" s="4" t="str">
        <f ca="1">IF(D315=0,"",IF(IF(ISTEXT(C315),DATE(RIGHT(C315,4),12,31),C315)&lt;PREMISSAS!$D$7,"",IFERROR(VLOOKUP(IF(LEFT(C315,2)="13",DATE(RIGHT(C315,4),12,31),C315),IPCA!$A:$D,4,FALSE),1)*D315))</f>
        <v/>
      </c>
      <c r="F315" s="4" t="str">
        <f ca="1">IF(C315="","",IFERROR(AVERAGEIF(E$5:$E315,"&gt;="&amp;_xlfn.PERCENTILE.EXC(E$5:$E315,0.2)),0))</f>
        <v/>
      </c>
      <c r="G315" s="4" t="str">
        <f ca="1">IF(C315="","",IFERROR(AVERAGEIF($E$5:E315,"&gt;"&amp;0,$E$5:E315),0))</f>
        <v/>
      </c>
    </row>
    <row r="316" spans="2:7" x14ac:dyDescent="0.3">
      <c r="B316" s="18">
        <v>312</v>
      </c>
      <c r="C316" s="21" t="str">
        <f ca="1">IFERROR(IF(LEFT(C315,2)="13",DATE(RIGHT(C315,4),12,31),IF(EOMONTH(C315,1)&gt;PREMISSAS!$C$3,"",IF(MONTH(C315)=11,"13º "&amp;YEAR(C315),EOMONTH(C315,1)))),"")</f>
        <v/>
      </c>
      <c r="D316" s="22">
        <f ca="1">VLOOKUP(C316,Preencher_Salários!$D$7:$E$656,2,FALSE)</f>
        <v>0</v>
      </c>
      <c r="E316" s="4" t="str">
        <f ca="1">IF(D316=0,"",IF(IF(ISTEXT(C316),DATE(RIGHT(C316,4),12,31),C316)&lt;PREMISSAS!$D$7,"",IFERROR(VLOOKUP(IF(LEFT(C316,2)="13",DATE(RIGHT(C316,4),12,31),C316),IPCA!$A:$D,4,FALSE),1)*D316))</f>
        <v/>
      </c>
      <c r="F316" s="4" t="str">
        <f ca="1">IF(C316="","",IFERROR(AVERAGEIF(E$5:$E316,"&gt;="&amp;_xlfn.PERCENTILE.EXC(E$5:$E316,0.2)),0))</f>
        <v/>
      </c>
      <c r="G316" s="4" t="str">
        <f ca="1">IF(C316="","",IFERROR(AVERAGEIF($E$5:E316,"&gt;"&amp;0,$E$5:E316),0))</f>
        <v/>
      </c>
    </row>
    <row r="317" spans="2:7" x14ac:dyDescent="0.3">
      <c r="B317" s="18">
        <v>313</v>
      </c>
      <c r="C317" s="21" t="str">
        <f ca="1">IFERROR(IF(LEFT(C316,2)="13",DATE(RIGHT(C316,4),12,31),IF(EOMONTH(C316,1)&gt;PREMISSAS!$C$3,"",IF(MONTH(C316)=11,"13º "&amp;YEAR(C316),EOMONTH(C316,1)))),"")</f>
        <v/>
      </c>
      <c r="D317" s="22">
        <f ca="1">VLOOKUP(C317,Preencher_Salários!$D$7:$E$656,2,FALSE)</f>
        <v>0</v>
      </c>
      <c r="E317" s="4" t="str">
        <f ca="1">IF(D317=0,"",IF(IF(ISTEXT(C317),DATE(RIGHT(C317,4),12,31),C317)&lt;PREMISSAS!$D$7,"",IFERROR(VLOOKUP(IF(LEFT(C317,2)="13",DATE(RIGHT(C317,4),12,31),C317),IPCA!$A:$D,4,FALSE),1)*D317))</f>
        <v/>
      </c>
      <c r="F317" s="4" t="str">
        <f ca="1">IF(C317="","",IFERROR(AVERAGEIF(E$5:$E317,"&gt;="&amp;_xlfn.PERCENTILE.EXC(E$5:$E317,0.2)),0))</f>
        <v/>
      </c>
      <c r="G317" s="4" t="str">
        <f ca="1">IF(C317="","",IFERROR(AVERAGEIF($E$5:E317,"&gt;"&amp;0,$E$5:E317),0))</f>
        <v/>
      </c>
    </row>
    <row r="318" spans="2:7" x14ac:dyDescent="0.3">
      <c r="B318" s="18">
        <v>314</v>
      </c>
      <c r="C318" s="21" t="str">
        <f ca="1">IFERROR(IF(LEFT(C317,2)="13",DATE(RIGHT(C317,4),12,31),IF(EOMONTH(C317,1)&gt;PREMISSAS!$C$3,"",IF(MONTH(C317)=11,"13º "&amp;YEAR(C317),EOMONTH(C317,1)))),"")</f>
        <v/>
      </c>
      <c r="D318" s="22">
        <f ca="1">VLOOKUP(C318,Preencher_Salários!$D$7:$E$656,2,FALSE)</f>
        <v>0</v>
      </c>
      <c r="E318" s="4" t="str">
        <f ca="1">IF(D318=0,"",IF(IF(ISTEXT(C318),DATE(RIGHT(C318,4),12,31),C318)&lt;PREMISSAS!$D$7,"",IFERROR(VLOOKUP(IF(LEFT(C318,2)="13",DATE(RIGHT(C318,4),12,31),C318),IPCA!$A:$D,4,FALSE),1)*D318))</f>
        <v/>
      </c>
      <c r="F318" s="4" t="str">
        <f ca="1">IF(C318="","",IFERROR(AVERAGEIF(E$5:$E318,"&gt;="&amp;_xlfn.PERCENTILE.EXC(E$5:$E318,0.2)),0))</f>
        <v/>
      </c>
      <c r="G318" s="4" t="str">
        <f ca="1">IF(C318="","",IFERROR(AVERAGEIF($E$5:E318,"&gt;"&amp;0,$E$5:E318),0))</f>
        <v/>
      </c>
    </row>
    <row r="319" spans="2:7" x14ac:dyDescent="0.3">
      <c r="B319" s="18">
        <v>315</v>
      </c>
      <c r="C319" s="21" t="str">
        <f ca="1">IFERROR(IF(LEFT(C318,2)="13",DATE(RIGHT(C318,4),12,31),IF(EOMONTH(C318,1)&gt;PREMISSAS!$C$3,"",IF(MONTH(C318)=11,"13º "&amp;YEAR(C318),EOMONTH(C318,1)))),"")</f>
        <v/>
      </c>
      <c r="D319" s="22">
        <f ca="1">VLOOKUP(C319,Preencher_Salários!$D$7:$E$656,2,FALSE)</f>
        <v>0</v>
      </c>
      <c r="E319" s="4" t="str">
        <f ca="1">IF(D319=0,"",IF(IF(ISTEXT(C319),DATE(RIGHT(C319,4),12,31),C319)&lt;PREMISSAS!$D$7,"",IFERROR(VLOOKUP(IF(LEFT(C319,2)="13",DATE(RIGHT(C319,4),12,31),C319),IPCA!$A:$D,4,FALSE),1)*D319))</f>
        <v/>
      </c>
      <c r="F319" s="4" t="str">
        <f ca="1">IF(C319="","",IFERROR(AVERAGEIF(E$5:$E319,"&gt;="&amp;_xlfn.PERCENTILE.EXC(E$5:$E319,0.2)),0))</f>
        <v/>
      </c>
      <c r="G319" s="4" t="str">
        <f ca="1">IF(C319="","",IFERROR(AVERAGEIF($E$5:E319,"&gt;"&amp;0,$E$5:E319),0))</f>
        <v/>
      </c>
    </row>
    <row r="320" spans="2:7" x14ac:dyDescent="0.3">
      <c r="B320" s="18">
        <v>316</v>
      </c>
      <c r="C320" s="21" t="str">
        <f ca="1">IFERROR(IF(LEFT(C319,2)="13",DATE(RIGHT(C319,4),12,31),IF(EOMONTH(C319,1)&gt;PREMISSAS!$C$3,"",IF(MONTH(C319)=11,"13º "&amp;YEAR(C319),EOMONTH(C319,1)))),"")</f>
        <v/>
      </c>
      <c r="D320" s="22">
        <f ca="1">VLOOKUP(C320,Preencher_Salários!$D$7:$E$656,2,FALSE)</f>
        <v>0</v>
      </c>
      <c r="E320" s="4" t="str">
        <f ca="1">IF(D320=0,"",IF(IF(ISTEXT(C320),DATE(RIGHT(C320,4),12,31),C320)&lt;PREMISSAS!$D$7,"",IFERROR(VLOOKUP(IF(LEFT(C320,2)="13",DATE(RIGHT(C320,4),12,31),C320),IPCA!$A:$D,4,FALSE),1)*D320))</f>
        <v/>
      </c>
      <c r="F320" s="4" t="str">
        <f ca="1">IF(C320="","",IFERROR(AVERAGEIF(E$5:$E320,"&gt;="&amp;_xlfn.PERCENTILE.EXC(E$5:$E320,0.2)),0))</f>
        <v/>
      </c>
      <c r="G320" s="4" t="str">
        <f ca="1">IF(C320="","",IFERROR(AVERAGEIF($E$5:E320,"&gt;"&amp;0,$E$5:E320),0))</f>
        <v/>
      </c>
    </row>
    <row r="321" spans="2:7" x14ac:dyDescent="0.3">
      <c r="B321" s="18">
        <v>317</v>
      </c>
      <c r="C321" s="21" t="str">
        <f ca="1">IFERROR(IF(LEFT(C320,2)="13",DATE(RIGHT(C320,4),12,31),IF(EOMONTH(C320,1)&gt;PREMISSAS!$C$3,"",IF(MONTH(C320)=11,"13º "&amp;YEAR(C320),EOMONTH(C320,1)))),"")</f>
        <v/>
      </c>
      <c r="D321" s="22">
        <f ca="1">VLOOKUP(C321,Preencher_Salários!$D$7:$E$656,2,FALSE)</f>
        <v>0</v>
      </c>
      <c r="E321" s="4" t="str">
        <f ca="1">IF(D321=0,"",IF(IF(ISTEXT(C321),DATE(RIGHT(C321,4),12,31),C321)&lt;PREMISSAS!$D$7,"",IFERROR(VLOOKUP(IF(LEFT(C321,2)="13",DATE(RIGHT(C321,4),12,31),C321),IPCA!$A:$D,4,FALSE),1)*D321))</f>
        <v/>
      </c>
      <c r="F321" s="4" t="str">
        <f ca="1">IF(C321="","",IFERROR(AVERAGEIF(E$5:$E321,"&gt;="&amp;_xlfn.PERCENTILE.EXC(E$5:$E321,0.2)),0))</f>
        <v/>
      </c>
      <c r="G321" s="4" t="str">
        <f ca="1">IF(C321="","",IFERROR(AVERAGEIF($E$5:E321,"&gt;"&amp;0,$E$5:E321),0))</f>
        <v/>
      </c>
    </row>
    <row r="322" spans="2:7" x14ac:dyDescent="0.3">
      <c r="B322" s="18">
        <v>318</v>
      </c>
      <c r="C322" s="21" t="str">
        <f ca="1">IFERROR(IF(LEFT(C321,2)="13",DATE(RIGHT(C321,4),12,31),IF(EOMONTH(C321,1)&gt;PREMISSAS!$C$3,"",IF(MONTH(C321)=11,"13º "&amp;YEAR(C321),EOMONTH(C321,1)))),"")</f>
        <v/>
      </c>
      <c r="D322" s="22">
        <f ca="1">VLOOKUP(C322,Preencher_Salários!$D$7:$E$656,2,FALSE)</f>
        <v>0</v>
      </c>
      <c r="E322" s="4" t="str">
        <f ca="1">IF(D322=0,"",IF(IF(ISTEXT(C322),DATE(RIGHT(C322,4),12,31),C322)&lt;PREMISSAS!$D$7,"",IFERROR(VLOOKUP(IF(LEFT(C322,2)="13",DATE(RIGHT(C322,4),12,31),C322),IPCA!$A:$D,4,FALSE),1)*D322))</f>
        <v/>
      </c>
      <c r="F322" s="4" t="str">
        <f ca="1">IF(C322="","",IFERROR(AVERAGEIF(E$5:$E322,"&gt;="&amp;_xlfn.PERCENTILE.EXC(E$5:$E322,0.2)),0))</f>
        <v/>
      </c>
      <c r="G322" s="4" t="str">
        <f ca="1">IF(C322="","",IFERROR(AVERAGEIF($E$5:E322,"&gt;"&amp;0,$E$5:E322),0))</f>
        <v/>
      </c>
    </row>
    <row r="323" spans="2:7" x14ac:dyDescent="0.3">
      <c r="B323" s="18">
        <v>319</v>
      </c>
      <c r="C323" s="21" t="str">
        <f ca="1">IFERROR(IF(LEFT(C322,2)="13",DATE(RIGHT(C322,4),12,31),IF(EOMONTH(C322,1)&gt;PREMISSAS!$C$3,"",IF(MONTH(C322)=11,"13º "&amp;YEAR(C322),EOMONTH(C322,1)))),"")</f>
        <v/>
      </c>
      <c r="D323" s="22">
        <f ca="1">VLOOKUP(C323,Preencher_Salários!$D$7:$E$656,2,FALSE)</f>
        <v>0</v>
      </c>
      <c r="E323" s="4" t="str">
        <f ca="1">IF(D323=0,"",IF(IF(ISTEXT(C323),DATE(RIGHT(C323,4),12,31),C323)&lt;PREMISSAS!$D$7,"",IFERROR(VLOOKUP(IF(LEFT(C323,2)="13",DATE(RIGHT(C323,4),12,31),C323),IPCA!$A:$D,4,FALSE),1)*D323))</f>
        <v/>
      </c>
      <c r="F323" s="4" t="str">
        <f ca="1">IF(C323="","",IFERROR(AVERAGEIF(E$5:$E323,"&gt;="&amp;_xlfn.PERCENTILE.EXC(E$5:$E323,0.2)),0))</f>
        <v/>
      </c>
      <c r="G323" s="4" t="str">
        <f ca="1">IF(C323="","",IFERROR(AVERAGEIF($E$5:E323,"&gt;"&amp;0,$E$5:E323),0))</f>
        <v/>
      </c>
    </row>
    <row r="324" spans="2:7" x14ac:dyDescent="0.3">
      <c r="B324" s="18">
        <v>320</v>
      </c>
      <c r="C324" s="21" t="str">
        <f ca="1">IFERROR(IF(LEFT(C323,2)="13",DATE(RIGHT(C323,4),12,31),IF(EOMONTH(C323,1)&gt;PREMISSAS!$C$3,"",IF(MONTH(C323)=11,"13º "&amp;YEAR(C323),EOMONTH(C323,1)))),"")</f>
        <v/>
      </c>
      <c r="D324" s="22">
        <f ca="1">VLOOKUP(C324,Preencher_Salários!$D$7:$E$656,2,FALSE)</f>
        <v>0</v>
      </c>
      <c r="E324" s="4" t="str">
        <f ca="1">IF(D324=0,"",IF(IF(ISTEXT(C324),DATE(RIGHT(C324,4),12,31),C324)&lt;PREMISSAS!$D$7,"",IFERROR(VLOOKUP(IF(LEFT(C324,2)="13",DATE(RIGHT(C324,4),12,31),C324),IPCA!$A:$D,4,FALSE),1)*D324))</f>
        <v/>
      </c>
      <c r="F324" s="4" t="str">
        <f ca="1">IF(C324="","",IFERROR(AVERAGEIF(E$5:$E324,"&gt;="&amp;_xlfn.PERCENTILE.EXC(E$5:$E324,0.2)),0))</f>
        <v/>
      </c>
      <c r="G324" s="4" t="str">
        <f ca="1">IF(C324="","",IFERROR(AVERAGEIF($E$5:E324,"&gt;"&amp;0,$E$5:E324),0))</f>
        <v/>
      </c>
    </row>
    <row r="325" spans="2:7" x14ac:dyDescent="0.3">
      <c r="B325" s="18">
        <v>321</v>
      </c>
      <c r="C325" s="21" t="str">
        <f ca="1">IFERROR(IF(LEFT(C324,2)="13",DATE(RIGHT(C324,4),12,31),IF(EOMONTH(C324,1)&gt;PREMISSAS!$C$3,"",IF(MONTH(C324)=11,"13º "&amp;YEAR(C324),EOMONTH(C324,1)))),"")</f>
        <v/>
      </c>
      <c r="D325" s="22">
        <f ca="1">VLOOKUP(C325,Preencher_Salários!$D$7:$E$656,2,FALSE)</f>
        <v>0</v>
      </c>
      <c r="E325" s="4" t="str">
        <f ca="1">IF(D325=0,"",IF(IF(ISTEXT(C325),DATE(RIGHT(C325,4),12,31),C325)&lt;PREMISSAS!$D$7,"",IFERROR(VLOOKUP(IF(LEFT(C325,2)="13",DATE(RIGHT(C325,4),12,31),C325),IPCA!$A:$D,4,FALSE),1)*D325))</f>
        <v/>
      </c>
      <c r="F325" s="4" t="str">
        <f ca="1">IF(C325="","",IFERROR(AVERAGEIF(E$5:$E325,"&gt;="&amp;_xlfn.PERCENTILE.EXC(E$5:$E325,0.2)),0))</f>
        <v/>
      </c>
      <c r="G325" s="4" t="str">
        <f ca="1">IF(C325="","",IFERROR(AVERAGEIF($E$5:E325,"&gt;"&amp;0,$E$5:E325),0))</f>
        <v/>
      </c>
    </row>
    <row r="326" spans="2:7" x14ac:dyDescent="0.3">
      <c r="B326" s="18">
        <v>322</v>
      </c>
      <c r="C326" s="21" t="str">
        <f ca="1">IFERROR(IF(LEFT(C325,2)="13",DATE(RIGHT(C325,4),12,31),IF(EOMONTH(C325,1)&gt;PREMISSAS!$C$3,"",IF(MONTH(C325)=11,"13º "&amp;YEAR(C325),EOMONTH(C325,1)))),"")</f>
        <v/>
      </c>
      <c r="D326" s="22">
        <f ca="1">VLOOKUP(C326,Preencher_Salários!$D$7:$E$656,2,FALSE)</f>
        <v>0</v>
      </c>
      <c r="E326" s="4" t="str">
        <f ca="1">IF(D326=0,"",IF(IF(ISTEXT(C326),DATE(RIGHT(C326,4),12,31),C326)&lt;PREMISSAS!$D$7,"",IFERROR(VLOOKUP(IF(LEFT(C326,2)="13",DATE(RIGHT(C326,4),12,31),C326),IPCA!$A:$D,4,FALSE),1)*D326))</f>
        <v/>
      </c>
      <c r="F326" s="4" t="str">
        <f ca="1">IF(C326="","",IFERROR(AVERAGEIF(E$5:$E326,"&gt;="&amp;_xlfn.PERCENTILE.EXC(E$5:$E326,0.2)),0))</f>
        <v/>
      </c>
      <c r="G326" s="4" t="str">
        <f ca="1">IF(C326="","",IFERROR(AVERAGEIF($E$5:E326,"&gt;"&amp;0,$E$5:E326),0))</f>
        <v/>
      </c>
    </row>
    <row r="327" spans="2:7" x14ac:dyDescent="0.3">
      <c r="B327" s="18">
        <v>323</v>
      </c>
      <c r="C327" s="21" t="str">
        <f ca="1">IFERROR(IF(LEFT(C326,2)="13",DATE(RIGHT(C326,4),12,31),IF(EOMONTH(C326,1)&gt;PREMISSAS!$C$3,"",IF(MONTH(C326)=11,"13º "&amp;YEAR(C326),EOMONTH(C326,1)))),"")</f>
        <v/>
      </c>
      <c r="D327" s="22">
        <f ca="1">VLOOKUP(C327,Preencher_Salários!$D$7:$E$656,2,FALSE)</f>
        <v>0</v>
      </c>
      <c r="E327" s="4" t="str">
        <f ca="1">IF(D327=0,"",IF(IF(ISTEXT(C327),DATE(RIGHT(C327,4),12,31),C327)&lt;PREMISSAS!$D$7,"",IFERROR(VLOOKUP(IF(LEFT(C327,2)="13",DATE(RIGHT(C327,4),12,31),C327),IPCA!$A:$D,4,FALSE),1)*D327))</f>
        <v/>
      </c>
      <c r="F327" s="4" t="str">
        <f ca="1">IF(C327="","",IFERROR(AVERAGEIF(E$5:$E327,"&gt;="&amp;_xlfn.PERCENTILE.EXC(E$5:$E327,0.2)),0))</f>
        <v/>
      </c>
      <c r="G327" s="4" t="str">
        <f ca="1">IF(C327="","",IFERROR(AVERAGEIF($E$5:E327,"&gt;"&amp;0,$E$5:E327),0))</f>
        <v/>
      </c>
    </row>
    <row r="328" spans="2:7" x14ac:dyDescent="0.3">
      <c r="B328" s="18">
        <v>324</v>
      </c>
      <c r="C328" s="21" t="str">
        <f ca="1">IFERROR(IF(LEFT(C327,2)="13",DATE(RIGHT(C327,4),12,31),IF(EOMONTH(C327,1)&gt;PREMISSAS!$C$3,"",IF(MONTH(C327)=11,"13º "&amp;YEAR(C327),EOMONTH(C327,1)))),"")</f>
        <v/>
      </c>
      <c r="D328" s="22">
        <f ca="1">VLOOKUP(C328,Preencher_Salários!$D$7:$E$656,2,FALSE)</f>
        <v>0</v>
      </c>
      <c r="E328" s="4" t="str">
        <f ca="1">IF(D328=0,"",IF(IF(ISTEXT(C328),DATE(RIGHT(C328,4),12,31),C328)&lt;PREMISSAS!$D$7,"",IFERROR(VLOOKUP(IF(LEFT(C328,2)="13",DATE(RIGHT(C328,4),12,31),C328),IPCA!$A:$D,4,FALSE),1)*D328))</f>
        <v/>
      </c>
      <c r="F328" s="4" t="str">
        <f ca="1">IF(C328="","",IFERROR(AVERAGEIF(E$5:$E328,"&gt;="&amp;_xlfn.PERCENTILE.EXC(E$5:$E328,0.2)),0))</f>
        <v/>
      </c>
      <c r="G328" s="4" t="str">
        <f ca="1">IF(C328="","",IFERROR(AVERAGEIF($E$5:E328,"&gt;"&amp;0,$E$5:E328),0))</f>
        <v/>
      </c>
    </row>
    <row r="329" spans="2:7" x14ac:dyDescent="0.3">
      <c r="B329" s="18">
        <v>325</v>
      </c>
      <c r="C329" s="21" t="str">
        <f ca="1">IFERROR(IF(LEFT(C328,2)="13",DATE(RIGHT(C328,4),12,31),IF(EOMONTH(C328,1)&gt;PREMISSAS!$C$3,"",IF(MONTH(C328)=11,"13º "&amp;YEAR(C328),EOMONTH(C328,1)))),"")</f>
        <v/>
      </c>
      <c r="D329" s="22">
        <f ca="1">VLOOKUP(C329,Preencher_Salários!$D$7:$E$656,2,FALSE)</f>
        <v>0</v>
      </c>
      <c r="E329" s="4" t="str">
        <f ca="1">IF(D329=0,"",IF(IF(ISTEXT(C329),DATE(RIGHT(C329,4),12,31),C329)&lt;PREMISSAS!$D$7,"",IFERROR(VLOOKUP(IF(LEFT(C329,2)="13",DATE(RIGHT(C329,4),12,31),C329),IPCA!$A:$D,4,FALSE),1)*D329))</f>
        <v/>
      </c>
      <c r="F329" s="4" t="str">
        <f ca="1">IF(C329="","",IFERROR(AVERAGEIF(E$5:$E329,"&gt;="&amp;_xlfn.PERCENTILE.EXC(E$5:$E329,0.2)),0))</f>
        <v/>
      </c>
      <c r="G329" s="4" t="str">
        <f ca="1">IF(C329="","",IFERROR(AVERAGEIF($E$5:E329,"&gt;"&amp;0,$E$5:E329),0))</f>
        <v/>
      </c>
    </row>
    <row r="330" spans="2:7" x14ac:dyDescent="0.3">
      <c r="B330" s="18">
        <v>326</v>
      </c>
      <c r="C330" s="21" t="str">
        <f ca="1">IFERROR(IF(LEFT(C329,2)="13",DATE(RIGHT(C329,4),12,31),IF(EOMONTH(C329,1)&gt;PREMISSAS!$C$3,"",IF(MONTH(C329)=11,"13º "&amp;YEAR(C329),EOMONTH(C329,1)))),"")</f>
        <v/>
      </c>
      <c r="D330" s="22">
        <f ca="1">VLOOKUP(C330,Preencher_Salários!$D$7:$E$656,2,FALSE)</f>
        <v>0</v>
      </c>
      <c r="E330" s="4" t="str">
        <f ca="1">IF(D330=0,"",IF(IF(ISTEXT(C330),DATE(RIGHT(C330,4),12,31),C330)&lt;PREMISSAS!$D$7,"",IFERROR(VLOOKUP(IF(LEFT(C330,2)="13",DATE(RIGHT(C330,4),12,31),C330),IPCA!$A:$D,4,FALSE),1)*D330))</f>
        <v/>
      </c>
      <c r="F330" s="4" t="str">
        <f ca="1">IF(C330="","",IFERROR(AVERAGEIF(E$5:$E330,"&gt;="&amp;_xlfn.PERCENTILE.EXC(E$5:$E330,0.2)),0))</f>
        <v/>
      </c>
      <c r="G330" s="4" t="str">
        <f ca="1">IF(C330="","",IFERROR(AVERAGEIF($E$5:E330,"&gt;"&amp;0,$E$5:E330),0))</f>
        <v/>
      </c>
    </row>
    <row r="331" spans="2:7" x14ac:dyDescent="0.3">
      <c r="B331" s="18">
        <v>327</v>
      </c>
      <c r="C331" s="21" t="str">
        <f ca="1">IFERROR(IF(LEFT(C330,2)="13",DATE(RIGHT(C330,4),12,31),IF(EOMONTH(C330,1)&gt;PREMISSAS!$C$3,"",IF(MONTH(C330)=11,"13º "&amp;YEAR(C330),EOMONTH(C330,1)))),"")</f>
        <v/>
      </c>
      <c r="D331" s="22">
        <f ca="1">VLOOKUP(C331,Preencher_Salários!$D$7:$E$656,2,FALSE)</f>
        <v>0</v>
      </c>
      <c r="E331" s="4" t="str">
        <f ca="1">IF(D331=0,"",IF(IF(ISTEXT(C331),DATE(RIGHT(C331,4),12,31),C331)&lt;PREMISSAS!$D$7,"",IFERROR(VLOOKUP(IF(LEFT(C331,2)="13",DATE(RIGHT(C331,4),12,31),C331),IPCA!$A:$D,4,FALSE),1)*D331))</f>
        <v/>
      </c>
      <c r="F331" s="4" t="str">
        <f ca="1">IF(C331="","",IFERROR(AVERAGEIF(E$5:$E331,"&gt;="&amp;_xlfn.PERCENTILE.EXC(E$5:$E331,0.2)),0))</f>
        <v/>
      </c>
      <c r="G331" s="4" t="str">
        <f ca="1">IF(C331="","",IFERROR(AVERAGEIF($E$5:E331,"&gt;"&amp;0,$E$5:E331),0))</f>
        <v/>
      </c>
    </row>
    <row r="332" spans="2:7" x14ac:dyDescent="0.3">
      <c r="B332" s="18">
        <v>328</v>
      </c>
      <c r="C332" s="21" t="str">
        <f ca="1">IFERROR(IF(LEFT(C331,2)="13",DATE(RIGHT(C331,4),12,31),IF(EOMONTH(C331,1)&gt;PREMISSAS!$C$3,"",IF(MONTH(C331)=11,"13º "&amp;YEAR(C331),EOMONTH(C331,1)))),"")</f>
        <v/>
      </c>
      <c r="D332" s="22">
        <f ca="1">VLOOKUP(C332,Preencher_Salários!$D$7:$E$656,2,FALSE)</f>
        <v>0</v>
      </c>
      <c r="E332" s="4" t="str">
        <f ca="1">IF(D332=0,"",IF(IF(ISTEXT(C332),DATE(RIGHT(C332,4),12,31),C332)&lt;PREMISSAS!$D$7,"",IFERROR(VLOOKUP(IF(LEFT(C332,2)="13",DATE(RIGHT(C332,4),12,31),C332),IPCA!$A:$D,4,FALSE),1)*D332))</f>
        <v/>
      </c>
      <c r="F332" s="4" t="str">
        <f ca="1">IF(C332="","",IFERROR(AVERAGEIF(E$5:$E332,"&gt;="&amp;_xlfn.PERCENTILE.EXC(E$5:$E332,0.2)),0))</f>
        <v/>
      </c>
      <c r="G332" s="4" t="str">
        <f ca="1">IF(C332="","",IFERROR(AVERAGEIF($E$5:E332,"&gt;"&amp;0,$E$5:E332),0))</f>
        <v/>
      </c>
    </row>
    <row r="333" spans="2:7" x14ac:dyDescent="0.3">
      <c r="B333" s="18">
        <v>329</v>
      </c>
      <c r="C333" s="21" t="str">
        <f ca="1">IFERROR(IF(LEFT(C332,2)="13",DATE(RIGHT(C332,4),12,31),IF(EOMONTH(C332,1)&gt;PREMISSAS!$C$3,"",IF(MONTH(C332)=11,"13º "&amp;YEAR(C332),EOMONTH(C332,1)))),"")</f>
        <v/>
      </c>
      <c r="D333" s="22">
        <f ca="1">VLOOKUP(C333,Preencher_Salários!$D$7:$E$656,2,FALSE)</f>
        <v>0</v>
      </c>
      <c r="E333" s="4" t="str">
        <f ca="1">IF(D333=0,"",IF(IF(ISTEXT(C333),DATE(RIGHT(C333,4),12,31),C333)&lt;PREMISSAS!$D$7,"",IFERROR(VLOOKUP(IF(LEFT(C333,2)="13",DATE(RIGHT(C333,4),12,31),C333),IPCA!$A:$D,4,FALSE),1)*D333))</f>
        <v/>
      </c>
      <c r="F333" s="4" t="str">
        <f ca="1">IF(C333="","",IFERROR(AVERAGEIF(E$5:$E333,"&gt;="&amp;_xlfn.PERCENTILE.EXC(E$5:$E333,0.2)),0))</f>
        <v/>
      </c>
      <c r="G333" s="4" t="str">
        <f ca="1">IF(C333="","",IFERROR(AVERAGEIF($E$5:E333,"&gt;"&amp;0,$E$5:E333),0))</f>
        <v/>
      </c>
    </row>
    <row r="334" spans="2:7" x14ac:dyDescent="0.3">
      <c r="B334" s="18">
        <v>330</v>
      </c>
      <c r="C334" s="21" t="str">
        <f ca="1">IFERROR(IF(LEFT(C333,2)="13",DATE(RIGHT(C333,4),12,31),IF(EOMONTH(C333,1)&gt;PREMISSAS!$C$3,"",IF(MONTH(C333)=11,"13º "&amp;YEAR(C333),EOMONTH(C333,1)))),"")</f>
        <v/>
      </c>
      <c r="D334" s="22">
        <f ca="1">VLOOKUP(C334,Preencher_Salários!$D$7:$E$656,2,FALSE)</f>
        <v>0</v>
      </c>
      <c r="E334" s="4" t="str">
        <f ca="1">IF(D334=0,"",IF(IF(ISTEXT(C334),DATE(RIGHT(C334,4),12,31),C334)&lt;PREMISSAS!$D$7,"",IFERROR(VLOOKUP(IF(LEFT(C334,2)="13",DATE(RIGHT(C334,4),12,31),C334),IPCA!$A:$D,4,FALSE),1)*D334))</f>
        <v/>
      </c>
      <c r="F334" s="4" t="str">
        <f ca="1">IF(C334="","",IFERROR(AVERAGEIF(E$5:$E334,"&gt;="&amp;_xlfn.PERCENTILE.EXC(E$5:$E334,0.2)),0))</f>
        <v/>
      </c>
      <c r="G334" s="4" t="str">
        <f ca="1">IF(C334="","",IFERROR(AVERAGEIF($E$5:E334,"&gt;"&amp;0,$E$5:E334),0))</f>
        <v/>
      </c>
    </row>
    <row r="335" spans="2:7" x14ac:dyDescent="0.3">
      <c r="B335" s="18">
        <v>331</v>
      </c>
      <c r="C335" s="21" t="str">
        <f ca="1">IFERROR(IF(LEFT(C334,2)="13",DATE(RIGHT(C334,4),12,31),IF(EOMONTH(C334,1)&gt;PREMISSAS!$C$3,"",IF(MONTH(C334)=11,"13º "&amp;YEAR(C334),EOMONTH(C334,1)))),"")</f>
        <v/>
      </c>
      <c r="D335" s="22">
        <f ca="1">VLOOKUP(C335,Preencher_Salários!$D$7:$E$656,2,FALSE)</f>
        <v>0</v>
      </c>
      <c r="E335" s="4" t="str">
        <f ca="1">IF(D335=0,"",IF(IF(ISTEXT(C335),DATE(RIGHT(C335,4),12,31),C335)&lt;PREMISSAS!$D$7,"",IFERROR(VLOOKUP(IF(LEFT(C335,2)="13",DATE(RIGHT(C335,4),12,31),C335),IPCA!$A:$D,4,FALSE),1)*D335))</f>
        <v/>
      </c>
      <c r="F335" s="4" t="str">
        <f ca="1">IF(C335="","",IFERROR(AVERAGEIF(E$5:$E335,"&gt;="&amp;_xlfn.PERCENTILE.EXC(E$5:$E335,0.2)),0))</f>
        <v/>
      </c>
      <c r="G335" s="4" t="str">
        <f ca="1">IF(C335="","",IFERROR(AVERAGEIF($E$5:E335,"&gt;"&amp;0,$E$5:E335),0))</f>
        <v/>
      </c>
    </row>
    <row r="336" spans="2:7" x14ac:dyDescent="0.3">
      <c r="B336" s="18">
        <v>332</v>
      </c>
      <c r="C336" s="21" t="str">
        <f ca="1">IFERROR(IF(LEFT(C335,2)="13",DATE(RIGHT(C335,4),12,31),IF(EOMONTH(C335,1)&gt;PREMISSAS!$C$3,"",IF(MONTH(C335)=11,"13º "&amp;YEAR(C335),EOMONTH(C335,1)))),"")</f>
        <v/>
      </c>
      <c r="D336" s="22">
        <f ca="1">VLOOKUP(C336,Preencher_Salários!$D$7:$E$656,2,FALSE)</f>
        <v>0</v>
      </c>
      <c r="E336" s="4" t="str">
        <f ca="1">IF(D336=0,"",IF(IF(ISTEXT(C336),DATE(RIGHT(C336,4),12,31),C336)&lt;PREMISSAS!$D$7,"",IFERROR(VLOOKUP(IF(LEFT(C336,2)="13",DATE(RIGHT(C336,4),12,31),C336),IPCA!$A:$D,4,FALSE),1)*D336))</f>
        <v/>
      </c>
      <c r="F336" s="4" t="str">
        <f ca="1">IF(C336="","",IFERROR(AVERAGEIF(E$5:$E336,"&gt;="&amp;_xlfn.PERCENTILE.EXC(E$5:$E336,0.2)),0))</f>
        <v/>
      </c>
      <c r="G336" s="4" t="str">
        <f ca="1">IF(C336="","",IFERROR(AVERAGEIF($E$5:E336,"&gt;"&amp;0,$E$5:E336),0))</f>
        <v/>
      </c>
    </row>
    <row r="337" spans="2:7" x14ac:dyDescent="0.3">
      <c r="B337" s="18">
        <v>333</v>
      </c>
      <c r="C337" s="21" t="str">
        <f ca="1">IFERROR(IF(LEFT(C336,2)="13",DATE(RIGHT(C336,4),12,31),IF(EOMONTH(C336,1)&gt;PREMISSAS!$C$3,"",IF(MONTH(C336)=11,"13º "&amp;YEAR(C336),EOMONTH(C336,1)))),"")</f>
        <v/>
      </c>
      <c r="D337" s="22">
        <f ca="1">VLOOKUP(C337,Preencher_Salários!$D$7:$E$656,2,FALSE)</f>
        <v>0</v>
      </c>
      <c r="E337" s="4" t="str">
        <f ca="1">IF(D337=0,"",IF(IF(ISTEXT(C337),DATE(RIGHT(C337,4),12,31),C337)&lt;PREMISSAS!$D$7,"",IFERROR(VLOOKUP(IF(LEFT(C337,2)="13",DATE(RIGHT(C337,4),12,31),C337),IPCA!$A:$D,4,FALSE),1)*D337))</f>
        <v/>
      </c>
      <c r="F337" s="4" t="str">
        <f ca="1">IF(C337="","",IFERROR(AVERAGEIF(E$5:$E337,"&gt;="&amp;_xlfn.PERCENTILE.EXC(E$5:$E337,0.2)),0))</f>
        <v/>
      </c>
      <c r="G337" s="4" t="str">
        <f ca="1">IF(C337="","",IFERROR(AVERAGEIF($E$5:E337,"&gt;"&amp;0,$E$5:E337),0))</f>
        <v/>
      </c>
    </row>
    <row r="338" spans="2:7" x14ac:dyDescent="0.3">
      <c r="B338" s="18">
        <v>334</v>
      </c>
      <c r="C338" s="21" t="str">
        <f ca="1">IFERROR(IF(LEFT(C337,2)="13",DATE(RIGHT(C337,4),12,31),IF(EOMONTH(C337,1)&gt;PREMISSAS!$C$3,"",IF(MONTH(C337)=11,"13º "&amp;YEAR(C337),EOMONTH(C337,1)))),"")</f>
        <v/>
      </c>
      <c r="D338" s="22">
        <f ca="1">VLOOKUP(C338,Preencher_Salários!$D$7:$E$656,2,FALSE)</f>
        <v>0</v>
      </c>
      <c r="E338" s="4" t="str">
        <f ca="1">IF(D338=0,"",IF(IF(ISTEXT(C338),DATE(RIGHT(C338,4),12,31),C338)&lt;PREMISSAS!$D$7,"",IFERROR(VLOOKUP(IF(LEFT(C338,2)="13",DATE(RIGHT(C338,4),12,31),C338),IPCA!$A:$D,4,FALSE),1)*D338))</f>
        <v/>
      </c>
      <c r="F338" s="4" t="str">
        <f ca="1">IF(C338="","",IFERROR(AVERAGEIF(E$5:$E338,"&gt;="&amp;_xlfn.PERCENTILE.EXC(E$5:$E338,0.2)),0))</f>
        <v/>
      </c>
      <c r="G338" s="4" t="str">
        <f ca="1">IF(C338="","",IFERROR(AVERAGEIF($E$5:E338,"&gt;"&amp;0,$E$5:E338),0))</f>
        <v/>
      </c>
    </row>
    <row r="339" spans="2:7" x14ac:dyDescent="0.3">
      <c r="B339" s="18">
        <v>335</v>
      </c>
      <c r="C339" s="21" t="str">
        <f ca="1">IFERROR(IF(LEFT(C338,2)="13",DATE(RIGHT(C338,4),12,31),IF(EOMONTH(C338,1)&gt;PREMISSAS!$C$3,"",IF(MONTH(C338)=11,"13º "&amp;YEAR(C338),EOMONTH(C338,1)))),"")</f>
        <v/>
      </c>
      <c r="D339" s="22">
        <f ca="1">VLOOKUP(C339,Preencher_Salários!$D$7:$E$656,2,FALSE)</f>
        <v>0</v>
      </c>
      <c r="E339" s="4" t="str">
        <f ca="1">IF(D339=0,"",IF(IF(ISTEXT(C339),DATE(RIGHT(C339,4),12,31),C339)&lt;PREMISSAS!$D$7,"",IFERROR(VLOOKUP(IF(LEFT(C339,2)="13",DATE(RIGHT(C339,4),12,31),C339),IPCA!$A:$D,4,FALSE),1)*D339))</f>
        <v/>
      </c>
      <c r="F339" s="4" t="str">
        <f ca="1">IF(C339="","",IFERROR(AVERAGEIF(E$5:$E339,"&gt;="&amp;_xlfn.PERCENTILE.EXC(E$5:$E339,0.2)),0))</f>
        <v/>
      </c>
      <c r="G339" s="4" t="str">
        <f ca="1">IF(C339="","",IFERROR(AVERAGEIF($E$5:E339,"&gt;"&amp;0,$E$5:E339),0))</f>
        <v/>
      </c>
    </row>
    <row r="340" spans="2:7" x14ac:dyDescent="0.3">
      <c r="B340" s="18">
        <v>336</v>
      </c>
      <c r="C340" s="21" t="str">
        <f ca="1">IFERROR(IF(LEFT(C339,2)="13",DATE(RIGHT(C339,4),12,31),IF(EOMONTH(C339,1)&gt;PREMISSAS!$C$3,"",IF(MONTH(C339)=11,"13º "&amp;YEAR(C339),EOMONTH(C339,1)))),"")</f>
        <v/>
      </c>
      <c r="D340" s="22">
        <f ca="1">VLOOKUP(C340,Preencher_Salários!$D$7:$E$656,2,FALSE)</f>
        <v>0</v>
      </c>
      <c r="E340" s="4" t="str">
        <f ca="1">IF(D340=0,"",IF(IF(ISTEXT(C340),DATE(RIGHT(C340,4),12,31),C340)&lt;PREMISSAS!$D$7,"",IFERROR(VLOOKUP(IF(LEFT(C340,2)="13",DATE(RIGHT(C340,4),12,31),C340),IPCA!$A:$D,4,FALSE),1)*D340))</f>
        <v/>
      </c>
      <c r="F340" s="4" t="str">
        <f ca="1">IF(C340="","",IFERROR(AVERAGEIF(E$5:$E340,"&gt;="&amp;_xlfn.PERCENTILE.EXC(E$5:$E340,0.2)),0))</f>
        <v/>
      </c>
      <c r="G340" s="4" t="str">
        <f ca="1">IF(C340="","",IFERROR(AVERAGEIF($E$5:E340,"&gt;"&amp;0,$E$5:E340),0))</f>
        <v/>
      </c>
    </row>
    <row r="341" spans="2:7" x14ac:dyDescent="0.3">
      <c r="B341" s="18">
        <v>337</v>
      </c>
      <c r="C341" s="21" t="str">
        <f ca="1">IFERROR(IF(LEFT(C340,2)="13",DATE(RIGHT(C340,4),12,31),IF(EOMONTH(C340,1)&gt;PREMISSAS!$C$3,"",IF(MONTH(C340)=11,"13º "&amp;YEAR(C340),EOMONTH(C340,1)))),"")</f>
        <v/>
      </c>
      <c r="D341" s="22">
        <f ca="1">VLOOKUP(C341,Preencher_Salários!$D$7:$E$656,2,FALSE)</f>
        <v>0</v>
      </c>
      <c r="E341" s="4" t="str">
        <f ca="1">IF(D341=0,"",IF(IF(ISTEXT(C341),DATE(RIGHT(C341,4),12,31),C341)&lt;PREMISSAS!$D$7,"",IFERROR(VLOOKUP(IF(LEFT(C341,2)="13",DATE(RIGHT(C341,4),12,31),C341),IPCA!$A:$D,4,FALSE),1)*D341))</f>
        <v/>
      </c>
      <c r="F341" s="4" t="str">
        <f ca="1">IF(C341="","",IFERROR(AVERAGEIF(E$5:$E341,"&gt;="&amp;_xlfn.PERCENTILE.EXC(E$5:$E341,0.2)),0))</f>
        <v/>
      </c>
      <c r="G341" s="4" t="str">
        <f ca="1">IF(C341="","",IFERROR(AVERAGEIF($E$5:E341,"&gt;"&amp;0,$E$5:E341),0))</f>
        <v/>
      </c>
    </row>
    <row r="342" spans="2:7" x14ac:dyDescent="0.3">
      <c r="B342" s="18">
        <v>338</v>
      </c>
      <c r="C342" s="21" t="str">
        <f ca="1">IFERROR(IF(LEFT(C341,2)="13",DATE(RIGHT(C341,4),12,31),IF(EOMONTH(C341,1)&gt;PREMISSAS!$C$3,"",IF(MONTH(C341)=11,"13º "&amp;YEAR(C341),EOMONTH(C341,1)))),"")</f>
        <v/>
      </c>
      <c r="D342" s="22">
        <f ca="1">VLOOKUP(C342,Preencher_Salários!$D$7:$E$656,2,FALSE)</f>
        <v>0</v>
      </c>
      <c r="E342" s="4" t="str">
        <f ca="1">IF(D342=0,"",IF(IF(ISTEXT(C342),DATE(RIGHT(C342,4),12,31),C342)&lt;PREMISSAS!$D$7,"",IFERROR(VLOOKUP(IF(LEFT(C342,2)="13",DATE(RIGHT(C342,4),12,31),C342),IPCA!$A:$D,4,FALSE),1)*D342))</f>
        <v/>
      </c>
      <c r="F342" s="4" t="str">
        <f ca="1">IF(C342="","",IFERROR(AVERAGEIF(E$5:$E342,"&gt;="&amp;_xlfn.PERCENTILE.EXC(E$5:$E342,0.2)),0))</f>
        <v/>
      </c>
      <c r="G342" s="4" t="str">
        <f ca="1">IF(C342="","",IFERROR(AVERAGEIF($E$5:E342,"&gt;"&amp;0,$E$5:E342),0))</f>
        <v/>
      </c>
    </row>
    <row r="343" spans="2:7" x14ac:dyDescent="0.3">
      <c r="B343" s="18">
        <v>339</v>
      </c>
      <c r="C343" s="21" t="str">
        <f ca="1">IFERROR(IF(LEFT(C342,2)="13",DATE(RIGHT(C342,4),12,31),IF(EOMONTH(C342,1)&gt;PREMISSAS!$C$3,"",IF(MONTH(C342)=11,"13º "&amp;YEAR(C342),EOMONTH(C342,1)))),"")</f>
        <v/>
      </c>
      <c r="D343" s="22">
        <f ca="1">VLOOKUP(C343,Preencher_Salários!$D$7:$E$656,2,FALSE)</f>
        <v>0</v>
      </c>
      <c r="E343" s="4" t="str">
        <f ca="1">IF(D343=0,"",IF(IF(ISTEXT(C343),DATE(RIGHT(C343,4),12,31),C343)&lt;PREMISSAS!$D$7,"",IFERROR(VLOOKUP(IF(LEFT(C343,2)="13",DATE(RIGHT(C343,4),12,31),C343),IPCA!$A:$D,4,FALSE),1)*D343))</f>
        <v/>
      </c>
      <c r="F343" s="4" t="str">
        <f ca="1">IF(C343="","",IFERROR(AVERAGEIF(E$5:$E343,"&gt;="&amp;_xlfn.PERCENTILE.EXC(E$5:$E343,0.2)),0))</f>
        <v/>
      </c>
      <c r="G343" s="4" t="str">
        <f ca="1">IF(C343="","",IFERROR(AVERAGEIF($E$5:E343,"&gt;"&amp;0,$E$5:E343),0))</f>
        <v/>
      </c>
    </row>
    <row r="344" spans="2:7" x14ac:dyDescent="0.3">
      <c r="B344" s="18">
        <v>340</v>
      </c>
      <c r="C344" s="21" t="str">
        <f ca="1">IFERROR(IF(LEFT(C343,2)="13",DATE(RIGHT(C343,4),12,31),IF(EOMONTH(C343,1)&gt;PREMISSAS!$C$3,"",IF(MONTH(C343)=11,"13º "&amp;YEAR(C343),EOMONTH(C343,1)))),"")</f>
        <v/>
      </c>
      <c r="D344" s="22">
        <f ca="1">VLOOKUP(C344,Preencher_Salários!$D$7:$E$656,2,FALSE)</f>
        <v>0</v>
      </c>
      <c r="E344" s="4" t="str">
        <f ca="1">IF(D344=0,"",IF(IF(ISTEXT(C344),DATE(RIGHT(C344,4),12,31),C344)&lt;PREMISSAS!$D$7,"",IFERROR(VLOOKUP(IF(LEFT(C344,2)="13",DATE(RIGHT(C344,4),12,31),C344),IPCA!$A:$D,4,FALSE),1)*D344))</f>
        <v/>
      </c>
      <c r="F344" s="4" t="str">
        <f ca="1">IF(C344="","",IFERROR(AVERAGEIF(E$5:$E344,"&gt;="&amp;_xlfn.PERCENTILE.EXC(E$5:$E344,0.2)),0))</f>
        <v/>
      </c>
      <c r="G344" s="4" t="str">
        <f ca="1">IF(C344="","",IFERROR(AVERAGEIF($E$5:E344,"&gt;"&amp;0,$E$5:E344),0))</f>
        <v/>
      </c>
    </row>
    <row r="345" spans="2:7" x14ac:dyDescent="0.3">
      <c r="B345" s="18">
        <v>341</v>
      </c>
      <c r="C345" s="21" t="str">
        <f ca="1">IFERROR(IF(LEFT(C344,2)="13",DATE(RIGHT(C344,4),12,31),IF(EOMONTH(C344,1)&gt;PREMISSAS!$C$3,"",IF(MONTH(C344)=11,"13º "&amp;YEAR(C344),EOMONTH(C344,1)))),"")</f>
        <v/>
      </c>
      <c r="D345" s="22">
        <f ca="1">VLOOKUP(C345,Preencher_Salários!$D$7:$E$656,2,FALSE)</f>
        <v>0</v>
      </c>
      <c r="E345" s="4" t="str">
        <f ca="1">IF(D345=0,"",IF(IF(ISTEXT(C345),DATE(RIGHT(C345,4),12,31),C345)&lt;PREMISSAS!$D$7,"",IFERROR(VLOOKUP(IF(LEFT(C345,2)="13",DATE(RIGHT(C345,4),12,31),C345),IPCA!$A:$D,4,FALSE),1)*D345))</f>
        <v/>
      </c>
      <c r="F345" s="4" t="str">
        <f ca="1">IF(C345="","",IFERROR(AVERAGEIF(E$5:$E345,"&gt;="&amp;_xlfn.PERCENTILE.EXC(E$5:$E345,0.2)),0))</f>
        <v/>
      </c>
      <c r="G345" s="4" t="str">
        <f ca="1">IF(C345="","",IFERROR(AVERAGEIF($E$5:E345,"&gt;"&amp;0,$E$5:E345),0))</f>
        <v/>
      </c>
    </row>
    <row r="346" spans="2:7" x14ac:dyDescent="0.3">
      <c r="B346" s="18">
        <v>342</v>
      </c>
      <c r="C346" s="21" t="str">
        <f ca="1">IFERROR(IF(LEFT(C345,2)="13",DATE(RIGHT(C345,4),12,31),IF(EOMONTH(C345,1)&gt;PREMISSAS!$C$3,"",IF(MONTH(C345)=11,"13º "&amp;YEAR(C345),EOMONTH(C345,1)))),"")</f>
        <v/>
      </c>
      <c r="D346" s="22">
        <f ca="1">VLOOKUP(C346,Preencher_Salários!$D$7:$E$656,2,FALSE)</f>
        <v>0</v>
      </c>
      <c r="E346" s="4" t="str">
        <f ca="1">IF(D346=0,"",IF(IF(ISTEXT(C346),DATE(RIGHT(C346,4),12,31),C346)&lt;PREMISSAS!$D$7,"",IFERROR(VLOOKUP(IF(LEFT(C346,2)="13",DATE(RIGHT(C346,4),12,31),C346),IPCA!$A:$D,4,FALSE),1)*D346))</f>
        <v/>
      </c>
      <c r="F346" s="4" t="str">
        <f ca="1">IF(C346="","",IFERROR(AVERAGEIF(E$5:$E346,"&gt;="&amp;_xlfn.PERCENTILE.EXC(E$5:$E346,0.2)),0))</f>
        <v/>
      </c>
      <c r="G346" s="4" t="str">
        <f ca="1">IF(C346="","",IFERROR(AVERAGEIF($E$5:E346,"&gt;"&amp;0,$E$5:E346),0))</f>
        <v/>
      </c>
    </row>
    <row r="347" spans="2:7" x14ac:dyDescent="0.3">
      <c r="B347" s="18">
        <v>343</v>
      </c>
      <c r="C347" s="21" t="str">
        <f ca="1">IFERROR(IF(LEFT(C346,2)="13",DATE(RIGHT(C346,4),12,31),IF(EOMONTH(C346,1)&gt;PREMISSAS!$C$3,"",IF(MONTH(C346)=11,"13º "&amp;YEAR(C346),EOMONTH(C346,1)))),"")</f>
        <v/>
      </c>
      <c r="D347" s="22">
        <f ca="1">VLOOKUP(C347,Preencher_Salários!$D$7:$E$656,2,FALSE)</f>
        <v>0</v>
      </c>
      <c r="E347" s="4" t="str">
        <f ca="1">IF(D347=0,"",IF(IF(ISTEXT(C347),DATE(RIGHT(C347,4),12,31),C347)&lt;PREMISSAS!$D$7,"",IFERROR(VLOOKUP(IF(LEFT(C347,2)="13",DATE(RIGHT(C347,4),12,31),C347),IPCA!$A:$D,4,FALSE),1)*D347))</f>
        <v/>
      </c>
      <c r="F347" s="4" t="str">
        <f ca="1">IF(C347="","",IFERROR(AVERAGEIF(E$5:$E347,"&gt;="&amp;_xlfn.PERCENTILE.EXC(E$5:$E347,0.2)),0))</f>
        <v/>
      </c>
      <c r="G347" s="4" t="str">
        <f ca="1">IF(C347="","",IFERROR(AVERAGEIF($E$5:E347,"&gt;"&amp;0,$E$5:E347),0))</f>
        <v/>
      </c>
    </row>
    <row r="348" spans="2:7" x14ac:dyDescent="0.3">
      <c r="B348" s="18">
        <v>344</v>
      </c>
      <c r="C348" s="21" t="str">
        <f ca="1">IFERROR(IF(LEFT(C347,2)="13",DATE(RIGHT(C347,4),12,31),IF(EOMONTH(C347,1)&gt;PREMISSAS!$C$3,"",IF(MONTH(C347)=11,"13º "&amp;YEAR(C347),EOMONTH(C347,1)))),"")</f>
        <v/>
      </c>
      <c r="D348" s="22">
        <f ca="1">VLOOKUP(C348,Preencher_Salários!$D$7:$E$656,2,FALSE)</f>
        <v>0</v>
      </c>
      <c r="E348" s="4" t="str">
        <f ca="1">IF(D348=0,"",IF(IF(ISTEXT(C348),DATE(RIGHT(C348,4),12,31),C348)&lt;PREMISSAS!$D$7,"",IFERROR(VLOOKUP(IF(LEFT(C348,2)="13",DATE(RIGHT(C348,4),12,31),C348),IPCA!$A:$D,4,FALSE),1)*D348))</f>
        <v/>
      </c>
      <c r="F348" s="4" t="str">
        <f ca="1">IF(C348="","",IFERROR(AVERAGEIF(E$5:$E348,"&gt;="&amp;_xlfn.PERCENTILE.EXC(E$5:$E348,0.2)),0))</f>
        <v/>
      </c>
      <c r="G348" s="4" t="str">
        <f ca="1">IF(C348="","",IFERROR(AVERAGEIF($E$5:E348,"&gt;"&amp;0,$E$5:E348),0))</f>
        <v/>
      </c>
    </row>
    <row r="349" spans="2:7" x14ac:dyDescent="0.3">
      <c r="B349" s="18">
        <v>345</v>
      </c>
      <c r="C349" s="21" t="str">
        <f ca="1">IFERROR(IF(LEFT(C348,2)="13",DATE(RIGHT(C348,4),12,31),IF(EOMONTH(C348,1)&gt;PREMISSAS!$C$3,"",IF(MONTH(C348)=11,"13º "&amp;YEAR(C348),EOMONTH(C348,1)))),"")</f>
        <v/>
      </c>
      <c r="D349" s="22">
        <f ca="1">VLOOKUP(C349,Preencher_Salários!$D$7:$E$656,2,FALSE)</f>
        <v>0</v>
      </c>
      <c r="E349" s="4" t="str">
        <f ca="1">IF(D349=0,"",IF(IF(ISTEXT(C349),DATE(RIGHT(C349,4),12,31),C349)&lt;PREMISSAS!$D$7,"",IFERROR(VLOOKUP(IF(LEFT(C349,2)="13",DATE(RIGHT(C349,4),12,31),C349),IPCA!$A:$D,4,FALSE),1)*D349))</f>
        <v/>
      </c>
      <c r="F349" s="4" t="str">
        <f ca="1">IF(C349="","",IFERROR(AVERAGEIF(E$5:$E349,"&gt;="&amp;_xlfn.PERCENTILE.EXC(E$5:$E349,0.2)),0))</f>
        <v/>
      </c>
      <c r="G349" s="4" t="str">
        <f ca="1">IF(C349="","",IFERROR(AVERAGEIF($E$5:E349,"&gt;"&amp;0,$E$5:E349),0))</f>
        <v/>
      </c>
    </row>
    <row r="350" spans="2:7" x14ac:dyDescent="0.3">
      <c r="B350" s="18">
        <v>346</v>
      </c>
      <c r="C350" s="21" t="str">
        <f ca="1">IFERROR(IF(LEFT(C349,2)="13",DATE(RIGHT(C349,4),12,31),IF(EOMONTH(C349,1)&gt;PREMISSAS!$C$3,"",IF(MONTH(C349)=11,"13º "&amp;YEAR(C349),EOMONTH(C349,1)))),"")</f>
        <v/>
      </c>
      <c r="D350" s="22">
        <f ca="1">VLOOKUP(C350,Preencher_Salários!$D$7:$E$656,2,FALSE)</f>
        <v>0</v>
      </c>
      <c r="E350" s="4" t="str">
        <f ca="1">IF(D350=0,"",IF(IF(ISTEXT(C350),DATE(RIGHT(C350,4),12,31),C350)&lt;PREMISSAS!$D$7,"",IFERROR(VLOOKUP(IF(LEFT(C350,2)="13",DATE(RIGHT(C350,4),12,31),C350),IPCA!$A:$D,4,FALSE),1)*D350))</f>
        <v/>
      </c>
      <c r="F350" s="4" t="str">
        <f ca="1">IF(C350="","",IFERROR(AVERAGEIF(E$5:$E350,"&gt;="&amp;_xlfn.PERCENTILE.EXC(E$5:$E350,0.2)),0))</f>
        <v/>
      </c>
      <c r="G350" s="4" t="str">
        <f ca="1">IF(C350="","",IFERROR(AVERAGEIF($E$5:E350,"&gt;"&amp;0,$E$5:E350),0))</f>
        <v/>
      </c>
    </row>
    <row r="351" spans="2:7" x14ac:dyDescent="0.3">
      <c r="B351" s="18">
        <v>347</v>
      </c>
      <c r="C351" s="21" t="str">
        <f ca="1">IFERROR(IF(LEFT(C350,2)="13",DATE(RIGHT(C350,4),12,31),IF(EOMONTH(C350,1)&gt;PREMISSAS!$C$3,"",IF(MONTH(C350)=11,"13º "&amp;YEAR(C350),EOMONTH(C350,1)))),"")</f>
        <v/>
      </c>
      <c r="D351" s="22">
        <f ca="1">VLOOKUP(C351,Preencher_Salários!$D$7:$E$656,2,FALSE)</f>
        <v>0</v>
      </c>
      <c r="E351" s="4" t="str">
        <f ca="1">IF(D351=0,"",IF(IF(ISTEXT(C351),DATE(RIGHT(C351,4),12,31),C351)&lt;PREMISSAS!$D$7,"",IFERROR(VLOOKUP(IF(LEFT(C351,2)="13",DATE(RIGHT(C351,4),12,31),C351),IPCA!$A:$D,4,FALSE),1)*D351))</f>
        <v/>
      </c>
      <c r="F351" s="4" t="str">
        <f ca="1">IF(C351="","",IFERROR(AVERAGEIF(E$5:$E351,"&gt;="&amp;_xlfn.PERCENTILE.EXC(E$5:$E351,0.2)),0))</f>
        <v/>
      </c>
      <c r="G351" s="4" t="str">
        <f ca="1">IF(C351="","",IFERROR(AVERAGEIF($E$5:E351,"&gt;"&amp;0,$E$5:E351),0))</f>
        <v/>
      </c>
    </row>
    <row r="352" spans="2:7" x14ac:dyDescent="0.3">
      <c r="B352" s="18">
        <v>348</v>
      </c>
      <c r="C352" s="21" t="str">
        <f ca="1">IFERROR(IF(LEFT(C351,2)="13",DATE(RIGHT(C351,4),12,31),IF(EOMONTH(C351,1)&gt;PREMISSAS!$C$3,"",IF(MONTH(C351)=11,"13º "&amp;YEAR(C351),EOMONTH(C351,1)))),"")</f>
        <v/>
      </c>
      <c r="D352" s="22">
        <f ca="1">VLOOKUP(C352,Preencher_Salários!$D$7:$E$656,2,FALSE)</f>
        <v>0</v>
      </c>
      <c r="E352" s="4" t="str">
        <f ca="1">IF(D352=0,"",IF(IF(ISTEXT(C352),DATE(RIGHT(C352,4),12,31),C352)&lt;PREMISSAS!$D$7,"",IFERROR(VLOOKUP(IF(LEFT(C352,2)="13",DATE(RIGHT(C352,4),12,31),C352),IPCA!$A:$D,4,FALSE),1)*D352))</f>
        <v/>
      </c>
      <c r="F352" s="4" t="str">
        <f ca="1">IF(C352="","",IFERROR(AVERAGEIF(E$5:$E352,"&gt;="&amp;_xlfn.PERCENTILE.EXC(E$5:$E352,0.2)),0))</f>
        <v/>
      </c>
      <c r="G352" s="4" t="str">
        <f ca="1">IF(C352="","",IFERROR(AVERAGEIF($E$5:E352,"&gt;"&amp;0,$E$5:E352),0))</f>
        <v/>
      </c>
    </row>
    <row r="353" spans="2:7" x14ac:dyDescent="0.3">
      <c r="B353" s="18">
        <v>349</v>
      </c>
      <c r="C353" s="21" t="str">
        <f ca="1">IFERROR(IF(LEFT(C352,2)="13",DATE(RIGHT(C352,4),12,31),IF(EOMONTH(C352,1)&gt;PREMISSAS!$C$3,"",IF(MONTH(C352)=11,"13º "&amp;YEAR(C352),EOMONTH(C352,1)))),"")</f>
        <v/>
      </c>
      <c r="D353" s="22">
        <f ca="1">VLOOKUP(C353,Preencher_Salários!$D$7:$E$656,2,FALSE)</f>
        <v>0</v>
      </c>
      <c r="E353" s="4" t="str">
        <f ca="1">IF(D353=0,"",IF(IF(ISTEXT(C353),DATE(RIGHT(C353,4),12,31),C353)&lt;PREMISSAS!$D$7,"",IFERROR(VLOOKUP(IF(LEFT(C353,2)="13",DATE(RIGHT(C353,4),12,31),C353),IPCA!$A:$D,4,FALSE),1)*D353))</f>
        <v/>
      </c>
      <c r="F353" s="4" t="str">
        <f ca="1">IF(C353="","",IFERROR(AVERAGEIF(E$5:$E353,"&gt;="&amp;_xlfn.PERCENTILE.EXC(E$5:$E353,0.2)),0))</f>
        <v/>
      </c>
      <c r="G353" s="4" t="str">
        <f ca="1">IF(C353="","",IFERROR(AVERAGEIF($E$5:E353,"&gt;"&amp;0,$E$5:E353),0))</f>
        <v/>
      </c>
    </row>
    <row r="354" spans="2:7" x14ac:dyDescent="0.3">
      <c r="B354" s="18">
        <v>350</v>
      </c>
      <c r="C354" s="21" t="str">
        <f ca="1">IFERROR(IF(LEFT(C353,2)="13",DATE(RIGHT(C353,4),12,31),IF(EOMONTH(C353,1)&gt;PREMISSAS!$C$3,"",IF(MONTH(C353)=11,"13º "&amp;YEAR(C353),EOMONTH(C353,1)))),"")</f>
        <v/>
      </c>
      <c r="D354" s="22">
        <f ca="1">VLOOKUP(C354,Preencher_Salários!$D$7:$E$656,2,FALSE)</f>
        <v>0</v>
      </c>
      <c r="E354" s="4" t="str">
        <f ca="1">IF(D354=0,"",IF(IF(ISTEXT(C354),DATE(RIGHT(C354,4),12,31),C354)&lt;PREMISSAS!$D$7,"",IFERROR(VLOOKUP(IF(LEFT(C354,2)="13",DATE(RIGHT(C354,4),12,31),C354),IPCA!$A:$D,4,FALSE),1)*D354))</f>
        <v/>
      </c>
      <c r="F354" s="4" t="str">
        <f ca="1">IF(C354="","",IFERROR(AVERAGEIF(E$5:$E354,"&gt;="&amp;_xlfn.PERCENTILE.EXC(E$5:$E354,0.2)),0))</f>
        <v/>
      </c>
      <c r="G354" s="4" t="str">
        <f ca="1">IF(C354="","",IFERROR(AVERAGEIF($E$5:E354,"&gt;"&amp;0,$E$5:E354),0))</f>
        <v/>
      </c>
    </row>
    <row r="355" spans="2:7" x14ac:dyDescent="0.3">
      <c r="B355" s="18">
        <v>351</v>
      </c>
      <c r="C355" s="21" t="str">
        <f ca="1">IFERROR(IF(LEFT(C354,2)="13",DATE(RIGHT(C354,4),12,31),IF(EOMONTH(C354,1)&gt;PREMISSAS!$C$3,"",IF(MONTH(C354)=11,"13º "&amp;YEAR(C354),EOMONTH(C354,1)))),"")</f>
        <v/>
      </c>
      <c r="D355" s="22">
        <f ca="1">VLOOKUP(C355,Preencher_Salários!$D$7:$E$656,2,FALSE)</f>
        <v>0</v>
      </c>
      <c r="E355" s="4" t="str">
        <f ca="1">IF(D355=0,"",IF(IF(ISTEXT(C355),DATE(RIGHT(C355,4),12,31),C355)&lt;PREMISSAS!$D$7,"",IFERROR(VLOOKUP(IF(LEFT(C355,2)="13",DATE(RIGHT(C355,4),12,31),C355),IPCA!$A:$D,4,FALSE),1)*D355))</f>
        <v/>
      </c>
      <c r="F355" s="4" t="str">
        <f ca="1">IF(C355="","",IFERROR(AVERAGEIF(E$5:$E355,"&gt;="&amp;_xlfn.PERCENTILE.EXC(E$5:$E355,0.2)),0))</f>
        <v/>
      </c>
      <c r="G355" s="4" t="str">
        <f ca="1">IF(C355="","",IFERROR(AVERAGEIF($E$5:E355,"&gt;"&amp;0,$E$5:E355),0))</f>
        <v/>
      </c>
    </row>
    <row r="356" spans="2:7" x14ac:dyDescent="0.3">
      <c r="B356" s="18">
        <v>352</v>
      </c>
      <c r="C356" s="21" t="str">
        <f ca="1">IFERROR(IF(LEFT(C355,2)="13",DATE(RIGHT(C355,4),12,31),IF(EOMONTH(C355,1)&gt;PREMISSAS!$C$3,"",IF(MONTH(C355)=11,"13º "&amp;YEAR(C355),EOMONTH(C355,1)))),"")</f>
        <v/>
      </c>
      <c r="D356" s="22">
        <f ca="1">VLOOKUP(C356,Preencher_Salários!$D$7:$E$656,2,FALSE)</f>
        <v>0</v>
      </c>
      <c r="E356" s="4" t="str">
        <f ca="1">IF(D356=0,"",IF(IF(ISTEXT(C356),DATE(RIGHT(C356,4),12,31),C356)&lt;PREMISSAS!$D$7,"",IFERROR(VLOOKUP(IF(LEFT(C356,2)="13",DATE(RIGHT(C356,4),12,31),C356),IPCA!$A:$D,4,FALSE),1)*D356))</f>
        <v/>
      </c>
      <c r="F356" s="4" t="str">
        <f ca="1">IF(C356="","",IFERROR(AVERAGEIF(E$5:$E356,"&gt;="&amp;_xlfn.PERCENTILE.EXC(E$5:$E356,0.2)),0))</f>
        <v/>
      </c>
      <c r="G356" s="4" t="str">
        <f ca="1">IF(C356="","",IFERROR(AVERAGEIF($E$5:E356,"&gt;"&amp;0,$E$5:E356),0))</f>
        <v/>
      </c>
    </row>
    <row r="357" spans="2:7" x14ac:dyDescent="0.3">
      <c r="B357" s="18">
        <v>353</v>
      </c>
      <c r="C357" s="21" t="str">
        <f ca="1">IFERROR(IF(LEFT(C356,2)="13",DATE(RIGHT(C356,4),12,31),IF(EOMONTH(C356,1)&gt;PREMISSAS!$C$3,"",IF(MONTH(C356)=11,"13º "&amp;YEAR(C356),EOMONTH(C356,1)))),"")</f>
        <v/>
      </c>
      <c r="D357" s="22">
        <f ca="1">VLOOKUP(C357,Preencher_Salários!$D$7:$E$656,2,FALSE)</f>
        <v>0</v>
      </c>
      <c r="E357" s="4" t="str">
        <f ca="1">IF(D357=0,"",IF(IF(ISTEXT(C357),DATE(RIGHT(C357,4),12,31),C357)&lt;PREMISSAS!$D$7,"",IFERROR(VLOOKUP(IF(LEFT(C357,2)="13",DATE(RIGHT(C357,4),12,31),C357),IPCA!$A:$D,4,FALSE),1)*D357))</f>
        <v/>
      </c>
      <c r="F357" s="4" t="str">
        <f ca="1">IF(C357="","",IFERROR(AVERAGEIF(E$5:$E357,"&gt;="&amp;_xlfn.PERCENTILE.EXC(E$5:$E357,0.2)),0))</f>
        <v/>
      </c>
      <c r="G357" s="4" t="str">
        <f ca="1">IF(C357="","",IFERROR(AVERAGEIF($E$5:E357,"&gt;"&amp;0,$E$5:E357),0))</f>
        <v/>
      </c>
    </row>
    <row r="358" spans="2:7" x14ac:dyDescent="0.3">
      <c r="B358" s="18">
        <v>354</v>
      </c>
      <c r="C358" s="21" t="str">
        <f ca="1">IFERROR(IF(LEFT(C357,2)="13",DATE(RIGHT(C357,4),12,31),IF(EOMONTH(C357,1)&gt;PREMISSAS!$C$3,"",IF(MONTH(C357)=11,"13º "&amp;YEAR(C357),EOMONTH(C357,1)))),"")</f>
        <v/>
      </c>
      <c r="D358" s="22">
        <f ca="1">VLOOKUP(C358,Preencher_Salários!$D$7:$E$656,2,FALSE)</f>
        <v>0</v>
      </c>
      <c r="E358" s="4" t="str">
        <f ca="1">IF(D358=0,"",IF(IF(ISTEXT(C358),DATE(RIGHT(C358,4),12,31),C358)&lt;PREMISSAS!$D$7,"",IFERROR(VLOOKUP(IF(LEFT(C358,2)="13",DATE(RIGHT(C358,4),12,31),C358),IPCA!$A:$D,4,FALSE),1)*D358))</f>
        <v/>
      </c>
      <c r="F358" s="4" t="str">
        <f ca="1">IF(C358="","",IFERROR(AVERAGEIF(E$5:$E358,"&gt;="&amp;_xlfn.PERCENTILE.EXC(E$5:$E358,0.2)),0))</f>
        <v/>
      </c>
      <c r="G358" s="4" t="str">
        <f ca="1">IF(C358="","",IFERROR(AVERAGEIF($E$5:E358,"&gt;"&amp;0,$E$5:E358),0))</f>
        <v/>
      </c>
    </row>
    <row r="359" spans="2:7" x14ac:dyDescent="0.3">
      <c r="B359" s="18">
        <v>355</v>
      </c>
      <c r="C359" s="21" t="str">
        <f ca="1">IFERROR(IF(LEFT(C358,2)="13",DATE(RIGHT(C358,4),12,31),IF(EOMONTH(C358,1)&gt;PREMISSAS!$C$3,"",IF(MONTH(C358)=11,"13º "&amp;YEAR(C358),EOMONTH(C358,1)))),"")</f>
        <v/>
      </c>
      <c r="D359" s="22">
        <f ca="1">VLOOKUP(C359,Preencher_Salários!$D$7:$E$656,2,FALSE)</f>
        <v>0</v>
      </c>
      <c r="E359" s="4" t="str">
        <f ca="1">IF(D359=0,"",IF(IF(ISTEXT(C359),DATE(RIGHT(C359,4),12,31),C359)&lt;PREMISSAS!$D$7,"",IFERROR(VLOOKUP(IF(LEFT(C359,2)="13",DATE(RIGHT(C359,4),12,31),C359),IPCA!$A:$D,4,FALSE),1)*D359))</f>
        <v/>
      </c>
      <c r="F359" s="4" t="str">
        <f ca="1">IF(C359="","",IFERROR(AVERAGEIF(E$5:$E359,"&gt;="&amp;_xlfn.PERCENTILE.EXC(E$5:$E359,0.2)),0))</f>
        <v/>
      </c>
      <c r="G359" s="4" t="str">
        <f ca="1">IF(C359="","",IFERROR(AVERAGEIF($E$5:E359,"&gt;"&amp;0,$E$5:E359),0))</f>
        <v/>
      </c>
    </row>
    <row r="360" spans="2:7" x14ac:dyDescent="0.3">
      <c r="B360" s="18">
        <v>356</v>
      </c>
      <c r="C360" s="21" t="str">
        <f ca="1">IFERROR(IF(LEFT(C359,2)="13",DATE(RIGHT(C359,4),12,31),IF(EOMONTH(C359,1)&gt;PREMISSAS!$C$3,"",IF(MONTH(C359)=11,"13º "&amp;YEAR(C359),EOMONTH(C359,1)))),"")</f>
        <v/>
      </c>
      <c r="D360" s="22">
        <f ca="1">VLOOKUP(C360,Preencher_Salários!$D$7:$E$656,2,FALSE)</f>
        <v>0</v>
      </c>
      <c r="E360" s="4" t="str">
        <f ca="1">IF(D360=0,"",IF(IF(ISTEXT(C360),DATE(RIGHT(C360,4),12,31),C360)&lt;PREMISSAS!$D$7,"",IFERROR(VLOOKUP(IF(LEFT(C360,2)="13",DATE(RIGHT(C360,4),12,31),C360),IPCA!$A:$D,4,FALSE),1)*D360))</f>
        <v/>
      </c>
      <c r="F360" s="4" t="str">
        <f ca="1">IF(C360="","",IFERROR(AVERAGEIF(E$5:$E360,"&gt;="&amp;_xlfn.PERCENTILE.EXC(E$5:$E360,0.2)),0))</f>
        <v/>
      </c>
      <c r="G360" s="4" t="str">
        <f ca="1">IF(C360="","",IFERROR(AVERAGEIF($E$5:E360,"&gt;"&amp;0,$E$5:E360),0))</f>
        <v/>
      </c>
    </row>
    <row r="361" spans="2:7" x14ac:dyDescent="0.3">
      <c r="B361" s="18">
        <v>357</v>
      </c>
      <c r="C361" s="21" t="str">
        <f ca="1">IFERROR(IF(LEFT(C360,2)="13",DATE(RIGHT(C360,4),12,31),IF(EOMONTH(C360,1)&gt;PREMISSAS!$C$3,"",IF(MONTH(C360)=11,"13º "&amp;YEAR(C360),EOMONTH(C360,1)))),"")</f>
        <v/>
      </c>
      <c r="D361" s="22">
        <f ca="1">VLOOKUP(C361,Preencher_Salários!$D$7:$E$656,2,FALSE)</f>
        <v>0</v>
      </c>
      <c r="E361" s="4" t="str">
        <f ca="1">IF(D361=0,"",IF(IF(ISTEXT(C361),DATE(RIGHT(C361,4),12,31),C361)&lt;PREMISSAS!$D$7,"",IFERROR(VLOOKUP(IF(LEFT(C361,2)="13",DATE(RIGHT(C361,4),12,31),C361),IPCA!$A:$D,4,FALSE),1)*D361))</f>
        <v/>
      </c>
      <c r="F361" s="4" t="str">
        <f ca="1">IF(C361="","",IFERROR(AVERAGEIF(E$5:$E361,"&gt;="&amp;_xlfn.PERCENTILE.EXC(E$5:$E361,0.2)),0))</f>
        <v/>
      </c>
      <c r="G361" s="4" t="str">
        <f ca="1">IF(C361="","",IFERROR(AVERAGEIF($E$5:E361,"&gt;"&amp;0,$E$5:E361),0))</f>
        <v/>
      </c>
    </row>
    <row r="362" spans="2:7" x14ac:dyDescent="0.3">
      <c r="B362" s="18">
        <v>358</v>
      </c>
      <c r="C362" s="21" t="str">
        <f ca="1">IFERROR(IF(LEFT(C361,2)="13",DATE(RIGHT(C361,4),12,31),IF(EOMONTH(C361,1)&gt;PREMISSAS!$C$3,"",IF(MONTH(C361)=11,"13º "&amp;YEAR(C361),EOMONTH(C361,1)))),"")</f>
        <v/>
      </c>
      <c r="D362" s="22">
        <f ca="1">VLOOKUP(C362,Preencher_Salários!$D$7:$E$656,2,FALSE)</f>
        <v>0</v>
      </c>
      <c r="E362" s="4" t="str">
        <f ca="1">IF(D362=0,"",IF(IF(ISTEXT(C362),DATE(RIGHT(C362,4),12,31),C362)&lt;PREMISSAS!$D$7,"",IFERROR(VLOOKUP(IF(LEFT(C362,2)="13",DATE(RIGHT(C362,4),12,31),C362),IPCA!$A:$D,4,FALSE),1)*D362))</f>
        <v/>
      </c>
      <c r="F362" s="4" t="str">
        <f ca="1">IF(C362="","",IFERROR(AVERAGEIF(E$5:$E362,"&gt;="&amp;_xlfn.PERCENTILE.EXC(E$5:$E362,0.2)),0))</f>
        <v/>
      </c>
      <c r="G362" s="4" t="str">
        <f ca="1">IF(C362="","",IFERROR(AVERAGEIF($E$5:E362,"&gt;"&amp;0,$E$5:E362),0))</f>
        <v/>
      </c>
    </row>
    <row r="363" spans="2:7" x14ac:dyDescent="0.3">
      <c r="B363" s="18">
        <v>359</v>
      </c>
      <c r="C363" s="21" t="str">
        <f ca="1">IFERROR(IF(LEFT(C362,2)="13",DATE(RIGHT(C362,4),12,31),IF(EOMONTH(C362,1)&gt;PREMISSAS!$C$3,"",IF(MONTH(C362)=11,"13º "&amp;YEAR(C362),EOMONTH(C362,1)))),"")</f>
        <v/>
      </c>
      <c r="D363" s="22">
        <f ca="1">VLOOKUP(C363,Preencher_Salários!$D$7:$E$656,2,FALSE)</f>
        <v>0</v>
      </c>
      <c r="E363" s="4" t="str">
        <f ca="1">IF(D363=0,"",IF(IF(ISTEXT(C363),DATE(RIGHT(C363,4),12,31),C363)&lt;PREMISSAS!$D$7,"",IFERROR(VLOOKUP(IF(LEFT(C363,2)="13",DATE(RIGHT(C363,4),12,31),C363),IPCA!$A:$D,4,FALSE),1)*D363))</f>
        <v/>
      </c>
      <c r="F363" s="4" t="str">
        <f ca="1">IF(C363="","",IFERROR(AVERAGEIF(E$5:$E363,"&gt;="&amp;_xlfn.PERCENTILE.EXC(E$5:$E363,0.2)),0))</f>
        <v/>
      </c>
      <c r="G363" s="4" t="str">
        <f ca="1">IF(C363="","",IFERROR(AVERAGEIF($E$5:E363,"&gt;"&amp;0,$E$5:E363),0))</f>
        <v/>
      </c>
    </row>
    <row r="364" spans="2:7" x14ac:dyDescent="0.3">
      <c r="B364" s="18">
        <v>360</v>
      </c>
      <c r="C364" s="21" t="str">
        <f ca="1">IFERROR(IF(LEFT(C363,2)="13",DATE(RIGHT(C363,4),12,31),IF(EOMONTH(C363,1)&gt;PREMISSAS!$C$3,"",IF(MONTH(C363)=11,"13º "&amp;YEAR(C363),EOMONTH(C363,1)))),"")</f>
        <v/>
      </c>
      <c r="D364" s="22">
        <f ca="1">VLOOKUP(C364,Preencher_Salários!$D$7:$E$656,2,FALSE)</f>
        <v>0</v>
      </c>
      <c r="E364" s="4" t="str">
        <f ca="1">IF(D364=0,"",IF(IF(ISTEXT(C364),DATE(RIGHT(C364,4),12,31),C364)&lt;PREMISSAS!$D$7,"",IFERROR(VLOOKUP(IF(LEFT(C364,2)="13",DATE(RIGHT(C364,4),12,31),C364),IPCA!$A:$D,4,FALSE),1)*D364))</f>
        <v/>
      </c>
      <c r="F364" s="4" t="str">
        <f ca="1">IF(C364="","",IFERROR(AVERAGEIF(E$5:$E364,"&gt;="&amp;_xlfn.PERCENTILE.EXC(E$5:$E364,0.2)),0))</f>
        <v/>
      </c>
      <c r="G364" s="4" t="str">
        <f ca="1">IF(C364="","",IFERROR(AVERAGEIF($E$5:E364,"&gt;"&amp;0,$E$5:E364),0))</f>
        <v/>
      </c>
    </row>
    <row r="365" spans="2:7" x14ac:dyDescent="0.3">
      <c r="B365" s="18">
        <v>361</v>
      </c>
      <c r="C365" s="21" t="str">
        <f ca="1">IFERROR(IF(LEFT(C364,2)="13",DATE(RIGHT(C364,4),12,31),IF(EOMONTH(C364,1)&gt;PREMISSAS!$C$3,"",IF(MONTH(C364)=11,"13º "&amp;YEAR(C364),EOMONTH(C364,1)))),"")</f>
        <v/>
      </c>
      <c r="D365" s="22">
        <f ca="1">VLOOKUP(C365,Preencher_Salários!$D$7:$E$656,2,FALSE)</f>
        <v>0</v>
      </c>
      <c r="E365" s="4" t="str">
        <f ca="1">IF(D365=0,"",IF(IF(ISTEXT(C365),DATE(RIGHT(C365,4),12,31),C365)&lt;PREMISSAS!$D$7,"",IFERROR(VLOOKUP(IF(LEFT(C365,2)="13",DATE(RIGHT(C365,4),12,31),C365),IPCA!$A:$D,4,FALSE),1)*D365))</f>
        <v/>
      </c>
      <c r="F365" s="4" t="str">
        <f ca="1">IF(C365="","",IFERROR(AVERAGEIF(E$5:$E365,"&gt;="&amp;_xlfn.PERCENTILE.EXC(E$5:$E365,0.2)),0))</f>
        <v/>
      </c>
      <c r="G365" s="4" t="str">
        <f ca="1">IF(C365="","",IFERROR(AVERAGEIF($E$5:E365,"&gt;"&amp;0,$E$5:E365),0))</f>
        <v/>
      </c>
    </row>
    <row r="366" spans="2:7" x14ac:dyDescent="0.3">
      <c r="B366" s="18">
        <v>362</v>
      </c>
      <c r="C366" s="21" t="str">
        <f ca="1">IFERROR(IF(LEFT(C365,2)="13",DATE(RIGHT(C365,4),12,31),IF(EOMONTH(C365,1)&gt;PREMISSAS!$C$3,"",IF(MONTH(C365)=11,"13º "&amp;YEAR(C365),EOMONTH(C365,1)))),"")</f>
        <v/>
      </c>
      <c r="D366" s="22">
        <f ca="1">VLOOKUP(C366,Preencher_Salários!$D$7:$E$656,2,FALSE)</f>
        <v>0</v>
      </c>
      <c r="E366" s="4" t="str">
        <f ca="1">IF(D366=0,"",IF(IF(ISTEXT(C366),DATE(RIGHT(C366,4),12,31),C366)&lt;PREMISSAS!$D$7,"",IFERROR(VLOOKUP(IF(LEFT(C366,2)="13",DATE(RIGHT(C366,4),12,31),C366),IPCA!$A:$D,4,FALSE),1)*D366))</f>
        <v/>
      </c>
      <c r="F366" s="4" t="str">
        <f ca="1">IF(C366="","",IFERROR(AVERAGEIF(E$5:$E366,"&gt;="&amp;_xlfn.PERCENTILE.EXC(E$5:$E366,0.2)),0))</f>
        <v/>
      </c>
      <c r="G366" s="4" t="str">
        <f ca="1">IF(C366="","",IFERROR(AVERAGEIF($E$5:E366,"&gt;"&amp;0,$E$5:E366),0))</f>
        <v/>
      </c>
    </row>
    <row r="367" spans="2:7" x14ac:dyDescent="0.3">
      <c r="B367" s="18">
        <v>363</v>
      </c>
      <c r="C367" s="21" t="str">
        <f ca="1">IFERROR(IF(LEFT(C366,2)="13",DATE(RIGHT(C366,4),12,31),IF(EOMONTH(C366,1)&gt;PREMISSAS!$C$3,"",IF(MONTH(C366)=11,"13º "&amp;YEAR(C366),EOMONTH(C366,1)))),"")</f>
        <v/>
      </c>
      <c r="D367" s="22">
        <f ca="1">VLOOKUP(C367,Preencher_Salários!$D$7:$E$656,2,FALSE)</f>
        <v>0</v>
      </c>
      <c r="E367" s="4" t="str">
        <f ca="1">IF(D367=0,"",IF(IF(ISTEXT(C367),DATE(RIGHT(C367,4),12,31),C367)&lt;PREMISSAS!$D$7,"",IFERROR(VLOOKUP(IF(LEFT(C367,2)="13",DATE(RIGHT(C367,4),12,31),C367),IPCA!$A:$D,4,FALSE),1)*D367))</f>
        <v/>
      </c>
      <c r="F367" s="4" t="str">
        <f ca="1">IF(C367="","",IFERROR(AVERAGEIF(E$5:$E367,"&gt;="&amp;_xlfn.PERCENTILE.EXC(E$5:$E367,0.2)),0))</f>
        <v/>
      </c>
      <c r="G367" s="4" t="str">
        <f ca="1">IF(C367="","",IFERROR(AVERAGEIF($E$5:E367,"&gt;"&amp;0,$E$5:E367),0))</f>
        <v/>
      </c>
    </row>
    <row r="368" spans="2:7" x14ac:dyDescent="0.3">
      <c r="B368" s="18">
        <v>364</v>
      </c>
      <c r="C368" s="21" t="str">
        <f ca="1">IFERROR(IF(LEFT(C367,2)="13",DATE(RIGHT(C367,4),12,31),IF(EOMONTH(C367,1)&gt;PREMISSAS!$C$3,"",IF(MONTH(C367)=11,"13º "&amp;YEAR(C367),EOMONTH(C367,1)))),"")</f>
        <v/>
      </c>
      <c r="D368" s="22">
        <f ca="1">VLOOKUP(C368,Preencher_Salários!$D$7:$E$656,2,FALSE)</f>
        <v>0</v>
      </c>
      <c r="E368" s="4" t="str">
        <f ca="1">IF(D368=0,"",IF(IF(ISTEXT(C368),DATE(RIGHT(C368,4),12,31),C368)&lt;PREMISSAS!$D$7,"",IFERROR(VLOOKUP(IF(LEFT(C368,2)="13",DATE(RIGHT(C368,4),12,31),C368),IPCA!$A:$D,4,FALSE),1)*D368))</f>
        <v/>
      </c>
      <c r="F368" s="4" t="str">
        <f ca="1">IF(C368="","",IFERROR(AVERAGEIF(E$5:$E368,"&gt;="&amp;_xlfn.PERCENTILE.EXC(E$5:$E368,0.2)),0))</f>
        <v/>
      </c>
      <c r="G368" s="4" t="str">
        <f ca="1">IF(C368="","",IFERROR(AVERAGEIF($E$5:E368,"&gt;"&amp;0,$E$5:E368),0))</f>
        <v/>
      </c>
    </row>
    <row r="369" spans="2:7" x14ac:dyDescent="0.3">
      <c r="B369" s="18">
        <v>365</v>
      </c>
      <c r="C369" s="21" t="str">
        <f ca="1">IFERROR(IF(LEFT(C368,2)="13",DATE(RIGHT(C368,4),12,31),IF(EOMONTH(C368,1)&gt;PREMISSAS!$C$3,"",IF(MONTH(C368)=11,"13º "&amp;YEAR(C368),EOMONTH(C368,1)))),"")</f>
        <v/>
      </c>
      <c r="D369" s="22">
        <f ca="1">VLOOKUP(C369,Preencher_Salários!$D$7:$E$656,2,FALSE)</f>
        <v>0</v>
      </c>
      <c r="E369" s="4" t="str">
        <f ca="1">IF(D369=0,"",IF(IF(ISTEXT(C369),DATE(RIGHT(C369,4),12,31),C369)&lt;PREMISSAS!$D$7,"",IFERROR(VLOOKUP(IF(LEFT(C369,2)="13",DATE(RIGHT(C369,4),12,31),C369),IPCA!$A:$D,4,FALSE),1)*D369))</f>
        <v/>
      </c>
      <c r="F369" s="4" t="str">
        <f ca="1">IF(C369="","",IFERROR(AVERAGEIF(E$5:$E369,"&gt;="&amp;_xlfn.PERCENTILE.EXC(E$5:$E369,0.2)),0))</f>
        <v/>
      </c>
      <c r="G369" s="4" t="str">
        <f ca="1">IF(C369="","",IFERROR(AVERAGEIF($E$5:E369,"&gt;"&amp;0,$E$5:E369),0))</f>
        <v/>
      </c>
    </row>
    <row r="370" spans="2:7" x14ac:dyDescent="0.3">
      <c r="B370" s="18">
        <v>366</v>
      </c>
      <c r="C370" s="21" t="str">
        <f ca="1">IFERROR(IF(LEFT(C369,2)="13",DATE(RIGHT(C369,4),12,31),IF(EOMONTH(C369,1)&gt;PREMISSAS!$C$3,"",IF(MONTH(C369)=11,"13º "&amp;YEAR(C369),EOMONTH(C369,1)))),"")</f>
        <v/>
      </c>
      <c r="D370" s="22">
        <f ca="1">VLOOKUP(C370,Preencher_Salários!$D$7:$E$656,2,FALSE)</f>
        <v>0</v>
      </c>
      <c r="E370" s="4" t="str">
        <f ca="1">IF(D370=0,"",IF(IF(ISTEXT(C370),DATE(RIGHT(C370,4),12,31),C370)&lt;PREMISSAS!$D$7,"",IFERROR(VLOOKUP(IF(LEFT(C370,2)="13",DATE(RIGHT(C370,4),12,31),C370),IPCA!$A:$D,4,FALSE),1)*D370))</f>
        <v/>
      </c>
      <c r="F370" s="4" t="str">
        <f ca="1">IF(C370="","",IFERROR(AVERAGEIF(E$5:$E370,"&gt;="&amp;_xlfn.PERCENTILE.EXC(E$5:$E370,0.2)),0))</f>
        <v/>
      </c>
      <c r="G370" s="4" t="str">
        <f ca="1">IF(C370="","",IFERROR(AVERAGEIF($E$5:E370,"&gt;"&amp;0,$E$5:E370),0))</f>
        <v/>
      </c>
    </row>
    <row r="371" spans="2:7" x14ac:dyDescent="0.3">
      <c r="B371" s="18">
        <v>367</v>
      </c>
      <c r="C371" s="21" t="str">
        <f ca="1">IFERROR(IF(LEFT(C370,2)="13",DATE(RIGHT(C370,4),12,31),IF(EOMONTH(C370,1)&gt;PREMISSAS!$C$3,"",IF(MONTH(C370)=11,"13º "&amp;YEAR(C370),EOMONTH(C370,1)))),"")</f>
        <v/>
      </c>
      <c r="D371" s="22">
        <f ca="1">VLOOKUP(C371,Preencher_Salários!$D$7:$E$656,2,FALSE)</f>
        <v>0</v>
      </c>
      <c r="E371" s="4" t="str">
        <f ca="1">IF(D371=0,"",IF(IF(ISTEXT(C371),DATE(RIGHT(C371,4),12,31),C371)&lt;PREMISSAS!$D$7,"",IFERROR(VLOOKUP(IF(LEFT(C371,2)="13",DATE(RIGHT(C371,4),12,31),C371),IPCA!$A:$D,4,FALSE),1)*D371))</f>
        <v/>
      </c>
      <c r="F371" s="4" t="str">
        <f ca="1">IF(C371="","",IFERROR(AVERAGEIF(E$5:$E371,"&gt;="&amp;_xlfn.PERCENTILE.EXC(E$5:$E371,0.2)),0))</f>
        <v/>
      </c>
      <c r="G371" s="4" t="str">
        <f ca="1">IF(C371="","",IFERROR(AVERAGEIF($E$5:E371,"&gt;"&amp;0,$E$5:E371),0))</f>
        <v/>
      </c>
    </row>
    <row r="372" spans="2:7" x14ac:dyDescent="0.3">
      <c r="B372" s="18">
        <v>368</v>
      </c>
      <c r="C372" s="21" t="str">
        <f ca="1">IFERROR(IF(LEFT(C371,2)="13",DATE(RIGHT(C371,4),12,31),IF(EOMONTH(C371,1)&gt;PREMISSAS!$C$3,"",IF(MONTH(C371)=11,"13º "&amp;YEAR(C371),EOMONTH(C371,1)))),"")</f>
        <v/>
      </c>
      <c r="D372" s="22">
        <f ca="1">VLOOKUP(C372,Preencher_Salários!$D$7:$E$656,2,FALSE)</f>
        <v>0</v>
      </c>
      <c r="E372" s="4" t="str">
        <f ca="1">IF(D372=0,"",IF(IF(ISTEXT(C372),DATE(RIGHT(C372,4),12,31),C372)&lt;PREMISSAS!$D$7,"",IFERROR(VLOOKUP(IF(LEFT(C372,2)="13",DATE(RIGHT(C372,4),12,31),C372),IPCA!$A:$D,4,FALSE),1)*D372))</f>
        <v/>
      </c>
      <c r="F372" s="4" t="str">
        <f ca="1">IF(C372="","",IFERROR(AVERAGEIF(E$5:$E372,"&gt;="&amp;_xlfn.PERCENTILE.EXC(E$5:$E372,0.2)),0))</f>
        <v/>
      </c>
      <c r="G372" s="4" t="str">
        <f ca="1">IF(C372="","",IFERROR(AVERAGEIF($E$5:E372,"&gt;"&amp;0,$E$5:E372),0))</f>
        <v/>
      </c>
    </row>
    <row r="373" spans="2:7" x14ac:dyDescent="0.3">
      <c r="B373" s="18">
        <v>369</v>
      </c>
      <c r="C373" s="21" t="str">
        <f ca="1">IFERROR(IF(LEFT(C372,2)="13",DATE(RIGHT(C372,4),12,31),IF(EOMONTH(C372,1)&gt;PREMISSAS!$C$3,"",IF(MONTH(C372)=11,"13º "&amp;YEAR(C372),EOMONTH(C372,1)))),"")</f>
        <v/>
      </c>
      <c r="D373" s="22">
        <f ca="1">VLOOKUP(C373,Preencher_Salários!$D$7:$E$656,2,FALSE)</f>
        <v>0</v>
      </c>
      <c r="E373" s="4" t="str">
        <f ca="1">IF(D373=0,"",IF(IF(ISTEXT(C373),DATE(RIGHT(C373,4),12,31),C373)&lt;PREMISSAS!$D$7,"",IFERROR(VLOOKUP(IF(LEFT(C373,2)="13",DATE(RIGHT(C373,4),12,31),C373),IPCA!$A:$D,4,FALSE),1)*D373))</f>
        <v/>
      </c>
      <c r="F373" s="4" t="str">
        <f ca="1">IF(C373="","",IFERROR(AVERAGEIF(E$5:$E373,"&gt;="&amp;_xlfn.PERCENTILE.EXC(E$5:$E373,0.2)),0))</f>
        <v/>
      </c>
      <c r="G373" s="4" t="str">
        <f ca="1">IF(C373="","",IFERROR(AVERAGEIF($E$5:E373,"&gt;"&amp;0,$E$5:E373),0))</f>
        <v/>
      </c>
    </row>
    <row r="374" spans="2:7" x14ac:dyDescent="0.3">
      <c r="B374" s="18">
        <v>370</v>
      </c>
      <c r="C374" s="21" t="str">
        <f ca="1">IFERROR(IF(LEFT(C373,2)="13",DATE(RIGHT(C373,4),12,31),IF(EOMONTH(C373,1)&gt;PREMISSAS!$C$3,"",IF(MONTH(C373)=11,"13º "&amp;YEAR(C373),EOMONTH(C373,1)))),"")</f>
        <v/>
      </c>
      <c r="D374" s="22">
        <f ca="1">VLOOKUP(C374,Preencher_Salários!$D$7:$E$656,2,FALSE)</f>
        <v>0</v>
      </c>
      <c r="E374" s="4" t="str">
        <f ca="1">IF(D374=0,"",IF(IF(ISTEXT(C374),DATE(RIGHT(C374,4),12,31),C374)&lt;PREMISSAS!$D$7,"",IFERROR(VLOOKUP(IF(LEFT(C374,2)="13",DATE(RIGHT(C374,4),12,31),C374),IPCA!$A:$D,4,FALSE),1)*D374))</f>
        <v/>
      </c>
      <c r="F374" s="4" t="str">
        <f ca="1">IF(C374="","",IFERROR(AVERAGEIF(E$5:$E374,"&gt;="&amp;_xlfn.PERCENTILE.EXC(E$5:$E374,0.2)),0))</f>
        <v/>
      </c>
      <c r="G374" s="4" t="str">
        <f ca="1">IF(C374="","",IFERROR(AVERAGEIF($E$5:E374,"&gt;"&amp;0,$E$5:E374),0))</f>
        <v/>
      </c>
    </row>
    <row r="375" spans="2:7" x14ac:dyDescent="0.3">
      <c r="B375" s="18">
        <v>371</v>
      </c>
      <c r="C375" s="21" t="str">
        <f ca="1">IFERROR(IF(LEFT(C374,2)="13",DATE(RIGHT(C374,4),12,31),IF(EOMONTH(C374,1)&gt;PREMISSAS!$C$3,"",IF(MONTH(C374)=11,"13º "&amp;YEAR(C374),EOMONTH(C374,1)))),"")</f>
        <v/>
      </c>
      <c r="D375" s="22">
        <f ca="1">VLOOKUP(C375,Preencher_Salários!$D$7:$E$656,2,FALSE)</f>
        <v>0</v>
      </c>
      <c r="E375" s="4" t="str">
        <f ca="1">IF(D375=0,"",IF(IF(ISTEXT(C375),DATE(RIGHT(C375,4),12,31),C375)&lt;PREMISSAS!$D$7,"",IFERROR(VLOOKUP(IF(LEFT(C375,2)="13",DATE(RIGHT(C375,4),12,31),C375),IPCA!$A:$D,4,FALSE),1)*D375))</f>
        <v/>
      </c>
      <c r="F375" s="4" t="str">
        <f ca="1">IF(C375="","",IFERROR(AVERAGEIF(E$5:$E375,"&gt;="&amp;_xlfn.PERCENTILE.EXC(E$5:$E375,0.2)),0))</f>
        <v/>
      </c>
      <c r="G375" s="4" t="str">
        <f ca="1">IF(C375="","",IFERROR(AVERAGEIF($E$5:E375,"&gt;"&amp;0,$E$5:E375),0))</f>
        <v/>
      </c>
    </row>
    <row r="376" spans="2:7" x14ac:dyDescent="0.3">
      <c r="B376" s="18">
        <v>372</v>
      </c>
      <c r="C376" s="21" t="str">
        <f ca="1">IFERROR(IF(LEFT(C375,2)="13",DATE(RIGHT(C375,4),12,31),IF(EOMONTH(C375,1)&gt;PREMISSAS!$C$3,"",IF(MONTH(C375)=11,"13º "&amp;YEAR(C375),EOMONTH(C375,1)))),"")</f>
        <v/>
      </c>
      <c r="D376" s="22">
        <f ca="1">VLOOKUP(C376,Preencher_Salários!$D$7:$E$656,2,FALSE)</f>
        <v>0</v>
      </c>
      <c r="E376" s="4" t="str">
        <f ca="1">IF(D376=0,"",IF(IF(ISTEXT(C376),DATE(RIGHT(C376,4),12,31),C376)&lt;PREMISSAS!$D$7,"",IFERROR(VLOOKUP(IF(LEFT(C376,2)="13",DATE(RIGHT(C376,4),12,31),C376),IPCA!$A:$D,4,FALSE),1)*D376))</f>
        <v/>
      </c>
      <c r="F376" s="4" t="str">
        <f ca="1">IF(C376="","",IFERROR(AVERAGEIF(E$5:$E376,"&gt;="&amp;_xlfn.PERCENTILE.EXC(E$5:$E376,0.2)),0))</f>
        <v/>
      </c>
      <c r="G376" s="4" t="str">
        <f ca="1">IF(C376="","",IFERROR(AVERAGEIF($E$5:E376,"&gt;"&amp;0,$E$5:E376),0))</f>
        <v/>
      </c>
    </row>
    <row r="377" spans="2:7" x14ac:dyDescent="0.3">
      <c r="B377" s="18">
        <v>373</v>
      </c>
      <c r="C377" s="21" t="str">
        <f ca="1">IFERROR(IF(LEFT(C376,2)="13",DATE(RIGHT(C376,4),12,31),IF(EOMONTH(C376,1)&gt;PREMISSAS!$C$3,"",IF(MONTH(C376)=11,"13º "&amp;YEAR(C376),EOMONTH(C376,1)))),"")</f>
        <v/>
      </c>
      <c r="D377" s="22">
        <f ca="1">VLOOKUP(C377,Preencher_Salários!$D$7:$E$656,2,FALSE)</f>
        <v>0</v>
      </c>
      <c r="E377" s="4" t="str">
        <f ca="1">IF(D377=0,"",IF(IF(ISTEXT(C377),DATE(RIGHT(C377,4),12,31),C377)&lt;PREMISSAS!$D$7,"",IFERROR(VLOOKUP(IF(LEFT(C377,2)="13",DATE(RIGHT(C377,4),12,31),C377),IPCA!$A:$D,4,FALSE),1)*D377))</f>
        <v/>
      </c>
      <c r="F377" s="4" t="str">
        <f ca="1">IF(C377="","",IFERROR(AVERAGEIF(E$5:$E377,"&gt;="&amp;_xlfn.PERCENTILE.EXC(E$5:$E377,0.2)),0))</f>
        <v/>
      </c>
      <c r="G377" s="4" t="str">
        <f ca="1">IF(C377="","",IFERROR(AVERAGEIF($E$5:E377,"&gt;"&amp;0,$E$5:E377),0))</f>
        <v/>
      </c>
    </row>
    <row r="378" spans="2:7" x14ac:dyDescent="0.3">
      <c r="B378" s="18">
        <v>374</v>
      </c>
      <c r="C378" s="21" t="str">
        <f ca="1">IFERROR(IF(LEFT(C377,2)="13",DATE(RIGHT(C377,4),12,31),IF(EOMONTH(C377,1)&gt;PREMISSAS!$C$3,"",IF(MONTH(C377)=11,"13º "&amp;YEAR(C377),EOMONTH(C377,1)))),"")</f>
        <v/>
      </c>
      <c r="D378" s="22">
        <f ca="1">VLOOKUP(C378,Preencher_Salários!$D$7:$E$656,2,FALSE)</f>
        <v>0</v>
      </c>
      <c r="E378" s="4" t="str">
        <f ca="1">IF(D378=0,"",IF(IF(ISTEXT(C378),DATE(RIGHT(C378,4),12,31),C378)&lt;PREMISSAS!$D$7,"",IFERROR(VLOOKUP(IF(LEFT(C378,2)="13",DATE(RIGHT(C378,4),12,31),C378),IPCA!$A:$D,4,FALSE),1)*D378))</f>
        <v/>
      </c>
      <c r="F378" s="4" t="str">
        <f ca="1">IF(C378="","",IFERROR(AVERAGEIF(E$5:$E378,"&gt;="&amp;_xlfn.PERCENTILE.EXC(E$5:$E378,0.2)),0))</f>
        <v/>
      </c>
      <c r="G378" s="4" t="str">
        <f ca="1">IF(C378="","",IFERROR(AVERAGEIF($E$5:E378,"&gt;"&amp;0,$E$5:E378),0))</f>
        <v/>
      </c>
    </row>
    <row r="379" spans="2:7" x14ac:dyDescent="0.3">
      <c r="B379" s="18">
        <v>375</v>
      </c>
      <c r="C379" s="21" t="str">
        <f ca="1">IFERROR(IF(LEFT(C378,2)="13",DATE(RIGHT(C378,4),12,31),IF(EOMONTH(C378,1)&gt;PREMISSAS!$C$3,"",IF(MONTH(C378)=11,"13º "&amp;YEAR(C378),EOMONTH(C378,1)))),"")</f>
        <v/>
      </c>
      <c r="D379" s="22">
        <f ca="1">VLOOKUP(C379,Preencher_Salários!$D$7:$E$656,2,FALSE)</f>
        <v>0</v>
      </c>
      <c r="E379" s="4" t="str">
        <f ca="1">IF(D379=0,"",IF(IF(ISTEXT(C379),DATE(RIGHT(C379,4),12,31),C379)&lt;PREMISSAS!$D$7,"",IFERROR(VLOOKUP(IF(LEFT(C379,2)="13",DATE(RIGHT(C379,4),12,31),C379),IPCA!$A:$D,4,FALSE),1)*D379))</f>
        <v/>
      </c>
      <c r="F379" s="4" t="str">
        <f ca="1">IF(C379="","",IFERROR(AVERAGEIF(E$5:$E379,"&gt;="&amp;_xlfn.PERCENTILE.EXC(E$5:$E379,0.2)),0))</f>
        <v/>
      </c>
      <c r="G379" s="4" t="str">
        <f ca="1">IF(C379="","",IFERROR(AVERAGEIF($E$5:E379,"&gt;"&amp;0,$E$5:E379),0))</f>
        <v/>
      </c>
    </row>
    <row r="380" spans="2:7" x14ac:dyDescent="0.3">
      <c r="B380" s="18">
        <v>376</v>
      </c>
      <c r="C380" s="21" t="str">
        <f ca="1">IFERROR(IF(LEFT(C379,2)="13",DATE(RIGHT(C379,4),12,31),IF(EOMONTH(C379,1)&gt;PREMISSAS!$C$3,"",IF(MONTH(C379)=11,"13º "&amp;YEAR(C379),EOMONTH(C379,1)))),"")</f>
        <v/>
      </c>
      <c r="D380" s="22">
        <f ca="1">VLOOKUP(C380,Preencher_Salários!$D$7:$E$656,2,FALSE)</f>
        <v>0</v>
      </c>
      <c r="E380" s="4" t="str">
        <f ca="1">IF(D380=0,"",IF(IF(ISTEXT(C380),DATE(RIGHT(C380,4),12,31),C380)&lt;PREMISSAS!$D$7,"",IFERROR(VLOOKUP(IF(LEFT(C380,2)="13",DATE(RIGHT(C380,4),12,31),C380),IPCA!$A:$D,4,FALSE),1)*D380))</f>
        <v/>
      </c>
      <c r="F380" s="4" t="str">
        <f ca="1">IF(C380="","",IFERROR(AVERAGEIF(E$5:$E380,"&gt;="&amp;_xlfn.PERCENTILE.EXC(E$5:$E380,0.2)),0))</f>
        <v/>
      </c>
      <c r="G380" s="4" t="str">
        <f ca="1">IF(C380="","",IFERROR(AVERAGEIF($E$5:E380,"&gt;"&amp;0,$E$5:E380),0))</f>
        <v/>
      </c>
    </row>
    <row r="381" spans="2:7" x14ac:dyDescent="0.3">
      <c r="B381" s="18">
        <v>377</v>
      </c>
      <c r="C381" s="21" t="str">
        <f ca="1">IFERROR(IF(LEFT(C380,2)="13",DATE(RIGHT(C380,4),12,31),IF(EOMONTH(C380,1)&gt;PREMISSAS!$C$3,"",IF(MONTH(C380)=11,"13º "&amp;YEAR(C380),EOMONTH(C380,1)))),"")</f>
        <v/>
      </c>
      <c r="D381" s="22">
        <f ca="1">VLOOKUP(C381,Preencher_Salários!$D$7:$E$656,2,FALSE)</f>
        <v>0</v>
      </c>
      <c r="E381" s="4" t="str">
        <f ca="1">IF(D381=0,"",IF(IF(ISTEXT(C381),DATE(RIGHT(C381,4),12,31),C381)&lt;PREMISSAS!$D$7,"",IFERROR(VLOOKUP(IF(LEFT(C381,2)="13",DATE(RIGHT(C381,4),12,31),C381),IPCA!$A:$D,4,FALSE),1)*D381))</f>
        <v/>
      </c>
      <c r="F381" s="4" t="str">
        <f ca="1">IF(C381="","",IFERROR(AVERAGEIF(E$5:$E381,"&gt;="&amp;_xlfn.PERCENTILE.EXC(E$5:$E381,0.2)),0))</f>
        <v/>
      </c>
      <c r="G381" s="4" t="str">
        <f ca="1">IF(C381="","",IFERROR(AVERAGEIF($E$5:E381,"&gt;"&amp;0,$E$5:E381),0))</f>
        <v/>
      </c>
    </row>
    <row r="382" spans="2:7" x14ac:dyDescent="0.3">
      <c r="B382" s="18">
        <v>378</v>
      </c>
      <c r="C382" s="21" t="str">
        <f ca="1">IFERROR(IF(LEFT(C381,2)="13",DATE(RIGHT(C381,4),12,31),IF(EOMONTH(C381,1)&gt;PREMISSAS!$C$3,"",IF(MONTH(C381)=11,"13º "&amp;YEAR(C381),EOMONTH(C381,1)))),"")</f>
        <v/>
      </c>
      <c r="D382" s="22">
        <f ca="1">VLOOKUP(C382,Preencher_Salários!$D$7:$E$656,2,FALSE)</f>
        <v>0</v>
      </c>
      <c r="E382" s="4" t="str">
        <f ca="1">IF(D382=0,"",IF(IF(ISTEXT(C382),DATE(RIGHT(C382,4),12,31),C382)&lt;PREMISSAS!$D$7,"",IFERROR(VLOOKUP(IF(LEFT(C382,2)="13",DATE(RIGHT(C382,4),12,31),C382),IPCA!$A:$D,4,FALSE),1)*D382))</f>
        <v/>
      </c>
      <c r="F382" s="4" t="str">
        <f ca="1">IF(C382="","",IFERROR(AVERAGEIF(E$5:$E382,"&gt;="&amp;_xlfn.PERCENTILE.EXC(E$5:$E382,0.2)),0))</f>
        <v/>
      </c>
      <c r="G382" s="4" t="str">
        <f ca="1">IF(C382="","",IFERROR(AVERAGEIF($E$5:E382,"&gt;"&amp;0,$E$5:E382),0))</f>
        <v/>
      </c>
    </row>
    <row r="383" spans="2:7" x14ac:dyDescent="0.3">
      <c r="B383" s="18">
        <v>379</v>
      </c>
      <c r="C383" s="21" t="str">
        <f ca="1">IFERROR(IF(LEFT(C382,2)="13",DATE(RIGHT(C382,4),12,31),IF(EOMONTH(C382,1)&gt;PREMISSAS!$C$3,"",IF(MONTH(C382)=11,"13º "&amp;YEAR(C382),EOMONTH(C382,1)))),"")</f>
        <v/>
      </c>
      <c r="D383" s="22">
        <f ca="1">VLOOKUP(C383,Preencher_Salários!$D$7:$E$656,2,FALSE)</f>
        <v>0</v>
      </c>
      <c r="E383" s="4" t="str">
        <f ca="1">IF(D383=0,"",IF(IF(ISTEXT(C383),DATE(RIGHT(C383,4),12,31),C383)&lt;PREMISSAS!$D$7,"",IFERROR(VLOOKUP(IF(LEFT(C383,2)="13",DATE(RIGHT(C383,4),12,31),C383),IPCA!$A:$D,4,FALSE),1)*D383))</f>
        <v/>
      </c>
      <c r="F383" s="4" t="str">
        <f ca="1">IF(C383="","",IFERROR(AVERAGEIF(E$5:$E383,"&gt;="&amp;_xlfn.PERCENTILE.EXC(E$5:$E383,0.2)),0))</f>
        <v/>
      </c>
      <c r="G383" s="4" t="str">
        <f ca="1">IF(C383="","",IFERROR(AVERAGEIF($E$5:E383,"&gt;"&amp;0,$E$5:E383),0))</f>
        <v/>
      </c>
    </row>
    <row r="384" spans="2:7" x14ac:dyDescent="0.3">
      <c r="B384" s="18">
        <v>380</v>
      </c>
      <c r="C384" s="21" t="str">
        <f ca="1">IFERROR(IF(LEFT(C383,2)="13",DATE(RIGHT(C383,4),12,31),IF(EOMONTH(C383,1)&gt;PREMISSAS!$C$3,"",IF(MONTH(C383)=11,"13º "&amp;YEAR(C383),EOMONTH(C383,1)))),"")</f>
        <v/>
      </c>
      <c r="D384" s="22">
        <f ca="1">VLOOKUP(C384,Preencher_Salários!$D$7:$E$656,2,FALSE)</f>
        <v>0</v>
      </c>
      <c r="E384" s="4" t="str">
        <f ca="1">IF(D384=0,"",IF(IF(ISTEXT(C384),DATE(RIGHT(C384,4),12,31),C384)&lt;PREMISSAS!$D$7,"",IFERROR(VLOOKUP(IF(LEFT(C384,2)="13",DATE(RIGHT(C384,4),12,31),C384),IPCA!$A:$D,4,FALSE),1)*D384))</f>
        <v/>
      </c>
      <c r="F384" s="4" t="str">
        <f ca="1">IF(C384="","",IFERROR(AVERAGEIF(E$5:$E384,"&gt;="&amp;_xlfn.PERCENTILE.EXC(E$5:$E384,0.2)),0))</f>
        <v/>
      </c>
      <c r="G384" s="4" t="str">
        <f ca="1">IF(C384="","",IFERROR(AVERAGEIF($E$5:E384,"&gt;"&amp;0,$E$5:E384),0))</f>
        <v/>
      </c>
    </row>
    <row r="385" spans="2:7" x14ac:dyDescent="0.3">
      <c r="B385" s="18">
        <v>381</v>
      </c>
      <c r="C385" s="21" t="str">
        <f ca="1">IFERROR(IF(LEFT(C384,2)="13",DATE(RIGHT(C384,4),12,31),IF(EOMONTH(C384,1)&gt;PREMISSAS!$C$3,"",IF(MONTH(C384)=11,"13º "&amp;YEAR(C384),EOMONTH(C384,1)))),"")</f>
        <v/>
      </c>
      <c r="D385" s="22">
        <f ca="1">VLOOKUP(C385,Preencher_Salários!$D$7:$E$656,2,FALSE)</f>
        <v>0</v>
      </c>
      <c r="E385" s="4" t="str">
        <f ca="1">IF(D385=0,"",IF(IF(ISTEXT(C385),DATE(RIGHT(C385,4),12,31),C385)&lt;PREMISSAS!$D$7,"",IFERROR(VLOOKUP(IF(LEFT(C385,2)="13",DATE(RIGHT(C385,4),12,31),C385),IPCA!$A:$D,4,FALSE),1)*D385))</f>
        <v/>
      </c>
      <c r="F385" s="4" t="str">
        <f ca="1">IF(C385="","",IFERROR(AVERAGEIF(E$5:$E385,"&gt;="&amp;_xlfn.PERCENTILE.EXC(E$5:$E385,0.2)),0))</f>
        <v/>
      </c>
      <c r="G385" s="4" t="str">
        <f ca="1">IF(C385="","",IFERROR(AVERAGEIF($E$5:E385,"&gt;"&amp;0,$E$5:E385),0))</f>
        <v/>
      </c>
    </row>
    <row r="386" spans="2:7" x14ac:dyDescent="0.3">
      <c r="B386" s="18">
        <v>382</v>
      </c>
      <c r="C386" s="21" t="str">
        <f ca="1">IFERROR(IF(LEFT(C385,2)="13",DATE(RIGHT(C385,4),12,31),IF(EOMONTH(C385,1)&gt;PREMISSAS!$C$3,"",IF(MONTH(C385)=11,"13º "&amp;YEAR(C385),EOMONTH(C385,1)))),"")</f>
        <v/>
      </c>
      <c r="D386" s="22">
        <f ca="1">VLOOKUP(C386,Preencher_Salários!$D$7:$E$656,2,FALSE)</f>
        <v>0</v>
      </c>
      <c r="E386" s="4" t="str">
        <f ca="1">IF(D386=0,"",IF(IF(ISTEXT(C386),DATE(RIGHT(C386,4),12,31),C386)&lt;PREMISSAS!$D$7,"",IFERROR(VLOOKUP(IF(LEFT(C386,2)="13",DATE(RIGHT(C386,4),12,31),C386),IPCA!$A:$D,4,FALSE),1)*D386))</f>
        <v/>
      </c>
      <c r="F386" s="4" t="str">
        <f ca="1">IF(C386="","",IFERROR(AVERAGEIF(E$5:$E386,"&gt;="&amp;_xlfn.PERCENTILE.EXC(E$5:$E386,0.2)),0))</f>
        <v/>
      </c>
      <c r="G386" s="4" t="str">
        <f ca="1">IF(C386="","",IFERROR(AVERAGEIF($E$5:E386,"&gt;"&amp;0,$E$5:E386),0))</f>
        <v/>
      </c>
    </row>
    <row r="387" spans="2:7" x14ac:dyDescent="0.3">
      <c r="B387" s="18">
        <v>383</v>
      </c>
      <c r="C387" s="21" t="str">
        <f ca="1">IFERROR(IF(LEFT(C386,2)="13",DATE(RIGHT(C386,4),12,31),IF(EOMONTH(C386,1)&gt;PREMISSAS!$C$3,"",IF(MONTH(C386)=11,"13º "&amp;YEAR(C386),EOMONTH(C386,1)))),"")</f>
        <v/>
      </c>
      <c r="D387" s="22">
        <f ca="1">VLOOKUP(C387,Preencher_Salários!$D$7:$E$656,2,FALSE)</f>
        <v>0</v>
      </c>
      <c r="E387" s="4" t="str">
        <f ca="1">IF(D387=0,"",IF(IF(ISTEXT(C387),DATE(RIGHT(C387,4),12,31),C387)&lt;PREMISSAS!$D$7,"",IFERROR(VLOOKUP(IF(LEFT(C387,2)="13",DATE(RIGHT(C387,4),12,31),C387),IPCA!$A:$D,4,FALSE),1)*D387))</f>
        <v/>
      </c>
      <c r="F387" s="4" t="str">
        <f ca="1">IF(C387="","",IFERROR(AVERAGEIF(E$5:$E387,"&gt;="&amp;_xlfn.PERCENTILE.EXC(E$5:$E387,0.2)),0))</f>
        <v/>
      </c>
      <c r="G387" s="4" t="str">
        <f ca="1">IF(C387="","",IFERROR(AVERAGEIF($E$5:E387,"&gt;"&amp;0,$E$5:E387),0))</f>
        <v/>
      </c>
    </row>
    <row r="388" spans="2:7" x14ac:dyDescent="0.3">
      <c r="B388" s="18">
        <v>384</v>
      </c>
      <c r="C388" s="21" t="str">
        <f ca="1">IFERROR(IF(LEFT(C387,2)="13",DATE(RIGHT(C387,4),12,31),IF(EOMONTH(C387,1)&gt;PREMISSAS!$C$3,"",IF(MONTH(C387)=11,"13º "&amp;YEAR(C387),EOMONTH(C387,1)))),"")</f>
        <v/>
      </c>
      <c r="D388" s="22">
        <f ca="1">VLOOKUP(C388,Preencher_Salários!$D$7:$E$656,2,FALSE)</f>
        <v>0</v>
      </c>
      <c r="E388" s="4" t="str">
        <f ca="1">IF(D388=0,"",IF(IF(ISTEXT(C388),DATE(RIGHT(C388,4),12,31),C388)&lt;PREMISSAS!$D$7,"",IFERROR(VLOOKUP(IF(LEFT(C388,2)="13",DATE(RIGHT(C388,4),12,31),C388),IPCA!$A:$D,4,FALSE),1)*D388))</f>
        <v/>
      </c>
      <c r="F388" s="4" t="str">
        <f ca="1">IF(C388="","",IFERROR(AVERAGEIF(E$5:$E388,"&gt;="&amp;_xlfn.PERCENTILE.EXC(E$5:$E388,0.2)),0))</f>
        <v/>
      </c>
      <c r="G388" s="4" t="str">
        <f ca="1">IF(C388="","",IFERROR(AVERAGEIF($E$5:E388,"&gt;"&amp;0,$E$5:E388),0))</f>
        <v/>
      </c>
    </row>
    <row r="389" spans="2:7" x14ac:dyDescent="0.3">
      <c r="B389" s="18">
        <v>385</v>
      </c>
      <c r="C389" s="21" t="str">
        <f ca="1">IFERROR(IF(LEFT(C388,2)="13",DATE(RIGHT(C388,4),12,31),IF(EOMONTH(C388,1)&gt;PREMISSAS!$C$3,"",IF(MONTH(C388)=11,"13º "&amp;YEAR(C388),EOMONTH(C388,1)))),"")</f>
        <v/>
      </c>
      <c r="D389" s="22">
        <f ca="1">VLOOKUP(C389,Preencher_Salários!$D$7:$E$656,2,FALSE)</f>
        <v>0</v>
      </c>
      <c r="E389" s="4" t="str">
        <f ca="1">IF(D389=0,"",IF(IF(ISTEXT(C389),DATE(RIGHT(C389,4),12,31),C389)&lt;PREMISSAS!$D$7,"",IFERROR(VLOOKUP(IF(LEFT(C389,2)="13",DATE(RIGHT(C389,4),12,31),C389),IPCA!$A:$D,4,FALSE),1)*D389))</f>
        <v/>
      </c>
      <c r="F389" s="4" t="str">
        <f ca="1">IF(C389="","",IFERROR(AVERAGEIF(E$5:$E389,"&gt;="&amp;_xlfn.PERCENTILE.EXC(E$5:$E389,0.2)),0))</f>
        <v/>
      </c>
      <c r="G389" s="4" t="str">
        <f ca="1">IF(C389="","",IFERROR(AVERAGEIF($E$5:E389,"&gt;"&amp;0,$E$5:E389),0))</f>
        <v/>
      </c>
    </row>
    <row r="390" spans="2:7" x14ac:dyDescent="0.3">
      <c r="B390" s="18">
        <v>386</v>
      </c>
      <c r="C390" s="21" t="str">
        <f ca="1">IFERROR(IF(LEFT(C389,2)="13",DATE(RIGHT(C389,4),12,31),IF(EOMONTH(C389,1)&gt;PREMISSAS!$C$3,"",IF(MONTH(C389)=11,"13º "&amp;YEAR(C389),EOMONTH(C389,1)))),"")</f>
        <v/>
      </c>
      <c r="D390" s="22">
        <f ca="1">VLOOKUP(C390,Preencher_Salários!$D$7:$E$656,2,FALSE)</f>
        <v>0</v>
      </c>
      <c r="E390" s="4" t="str">
        <f ca="1">IF(D390=0,"",IF(IF(ISTEXT(C390),DATE(RIGHT(C390,4),12,31),C390)&lt;PREMISSAS!$D$7,"",IFERROR(VLOOKUP(IF(LEFT(C390,2)="13",DATE(RIGHT(C390,4),12,31),C390),IPCA!$A:$D,4,FALSE),1)*D390))</f>
        <v/>
      </c>
      <c r="F390" s="4" t="str">
        <f ca="1">IF(C390="","",IFERROR(AVERAGEIF(E$5:$E390,"&gt;="&amp;_xlfn.PERCENTILE.EXC(E$5:$E390,0.2)),0))</f>
        <v/>
      </c>
      <c r="G390" s="4" t="str">
        <f ca="1">IF(C390="","",IFERROR(AVERAGEIF($E$5:E390,"&gt;"&amp;0,$E$5:E390),0))</f>
        <v/>
      </c>
    </row>
    <row r="391" spans="2:7" x14ac:dyDescent="0.3">
      <c r="B391" s="18">
        <v>387</v>
      </c>
      <c r="C391" s="21" t="str">
        <f ca="1">IFERROR(IF(LEFT(C390,2)="13",DATE(RIGHT(C390,4),12,31),IF(EOMONTH(C390,1)&gt;PREMISSAS!$C$3,"",IF(MONTH(C390)=11,"13º "&amp;YEAR(C390),EOMONTH(C390,1)))),"")</f>
        <v/>
      </c>
      <c r="D391" s="22">
        <f ca="1">VLOOKUP(C391,Preencher_Salários!$D$7:$E$656,2,FALSE)</f>
        <v>0</v>
      </c>
      <c r="E391" s="4" t="str">
        <f ca="1">IF(D391=0,"",IF(IF(ISTEXT(C391),DATE(RIGHT(C391,4),12,31),C391)&lt;PREMISSAS!$D$7,"",IFERROR(VLOOKUP(IF(LEFT(C391,2)="13",DATE(RIGHT(C391,4),12,31),C391),IPCA!$A:$D,4,FALSE),1)*D391))</f>
        <v/>
      </c>
      <c r="F391" s="4" t="str">
        <f ca="1">IF(C391="","",IFERROR(AVERAGEIF(E$5:$E391,"&gt;="&amp;_xlfn.PERCENTILE.EXC(E$5:$E391,0.2)),0))</f>
        <v/>
      </c>
      <c r="G391" s="4" t="str">
        <f ca="1">IF(C391="","",IFERROR(AVERAGEIF($E$5:E391,"&gt;"&amp;0,$E$5:E391),0))</f>
        <v/>
      </c>
    </row>
    <row r="392" spans="2:7" x14ac:dyDescent="0.3">
      <c r="B392" s="18">
        <v>388</v>
      </c>
      <c r="C392" s="21" t="str">
        <f ca="1">IFERROR(IF(LEFT(C391,2)="13",DATE(RIGHT(C391,4),12,31),IF(EOMONTH(C391,1)&gt;PREMISSAS!$C$3,"",IF(MONTH(C391)=11,"13º "&amp;YEAR(C391),EOMONTH(C391,1)))),"")</f>
        <v/>
      </c>
      <c r="D392" s="22">
        <f ca="1">VLOOKUP(C392,Preencher_Salários!$D$7:$E$656,2,FALSE)</f>
        <v>0</v>
      </c>
      <c r="E392" s="4" t="str">
        <f ca="1">IF(D392=0,"",IF(IF(ISTEXT(C392),DATE(RIGHT(C392,4),12,31),C392)&lt;PREMISSAS!$D$7,"",IFERROR(VLOOKUP(IF(LEFT(C392,2)="13",DATE(RIGHT(C392,4),12,31),C392),IPCA!$A:$D,4,FALSE),1)*D392))</f>
        <v/>
      </c>
      <c r="F392" s="4" t="str">
        <f ca="1">IF(C392="","",IFERROR(AVERAGEIF(E$5:$E392,"&gt;="&amp;_xlfn.PERCENTILE.EXC(E$5:$E392,0.2)),0))</f>
        <v/>
      </c>
      <c r="G392" s="4" t="str">
        <f ca="1">IF(C392="","",IFERROR(AVERAGEIF($E$5:E392,"&gt;"&amp;0,$E$5:E392),0))</f>
        <v/>
      </c>
    </row>
    <row r="393" spans="2:7" x14ac:dyDescent="0.3">
      <c r="B393" s="18">
        <v>389</v>
      </c>
      <c r="C393" s="21" t="str">
        <f ca="1">IFERROR(IF(LEFT(C392,2)="13",DATE(RIGHT(C392,4),12,31),IF(EOMONTH(C392,1)&gt;PREMISSAS!$C$3,"",IF(MONTH(C392)=11,"13º "&amp;YEAR(C392),EOMONTH(C392,1)))),"")</f>
        <v/>
      </c>
      <c r="D393" s="22">
        <f ca="1">VLOOKUP(C393,Preencher_Salários!$D$7:$E$656,2,FALSE)</f>
        <v>0</v>
      </c>
      <c r="E393" s="4" t="str">
        <f ca="1">IF(D393=0,"",IF(IF(ISTEXT(C393),DATE(RIGHT(C393,4),12,31),C393)&lt;PREMISSAS!$D$7,"",IFERROR(VLOOKUP(IF(LEFT(C393,2)="13",DATE(RIGHT(C393,4),12,31),C393),IPCA!$A:$D,4,FALSE),1)*D393))</f>
        <v/>
      </c>
      <c r="F393" s="4" t="str">
        <f ca="1">IF(C393="","",IFERROR(AVERAGEIF(E$5:$E393,"&gt;="&amp;_xlfn.PERCENTILE.EXC(E$5:$E393,0.2)),0))</f>
        <v/>
      </c>
      <c r="G393" s="4" t="str">
        <f ca="1">IF(C393="","",IFERROR(AVERAGEIF($E$5:E393,"&gt;"&amp;0,$E$5:E393),0))</f>
        <v/>
      </c>
    </row>
    <row r="394" spans="2:7" x14ac:dyDescent="0.3">
      <c r="B394" s="18">
        <v>390</v>
      </c>
      <c r="C394" s="21" t="str">
        <f ca="1">IFERROR(IF(LEFT(C393,2)="13",DATE(RIGHT(C393,4),12,31),IF(EOMONTH(C393,1)&gt;PREMISSAS!$C$3,"",IF(MONTH(C393)=11,"13º "&amp;YEAR(C393),EOMONTH(C393,1)))),"")</f>
        <v/>
      </c>
      <c r="D394" s="22">
        <f ca="1">VLOOKUP(C394,Preencher_Salários!$D$7:$E$656,2,FALSE)</f>
        <v>0</v>
      </c>
      <c r="E394" s="4" t="str">
        <f ca="1">IF(D394=0,"",IF(IF(ISTEXT(C394),DATE(RIGHT(C394,4),12,31),C394)&lt;PREMISSAS!$D$7,"",IFERROR(VLOOKUP(IF(LEFT(C394,2)="13",DATE(RIGHT(C394,4),12,31),C394),IPCA!$A:$D,4,FALSE),1)*D394))</f>
        <v/>
      </c>
      <c r="F394" s="4" t="str">
        <f ca="1">IF(C394="","",IFERROR(AVERAGEIF(E$5:$E394,"&gt;="&amp;_xlfn.PERCENTILE.EXC(E$5:$E394,0.2)),0))</f>
        <v/>
      </c>
      <c r="G394" s="4" t="str">
        <f ca="1">IF(C394="","",IFERROR(AVERAGEIF($E$5:E394,"&gt;"&amp;0,$E$5:E394),0))</f>
        <v/>
      </c>
    </row>
    <row r="395" spans="2:7" x14ac:dyDescent="0.3">
      <c r="B395" s="18">
        <v>391</v>
      </c>
      <c r="C395" s="21" t="str">
        <f ca="1">IFERROR(IF(LEFT(C394,2)="13",DATE(RIGHT(C394,4),12,31),IF(EOMONTH(C394,1)&gt;PREMISSAS!$C$3,"",IF(MONTH(C394)=11,"13º "&amp;YEAR(C394),EOMONTH(C394,1)))),"")</f>
        <v/>
      </c>
      <c r="D395" s="22">
        <f ca="1">VLOOKUP(C395,Preencher_Salários!$D$7:$E$656,2,FALSE)</f>
        <v>0</v>
      </c>
      <c r="E395" s="4" t="str">
        <f ca="1">IF(D395=0,"",IF(IF(ISTEXT(C395),DATE(RIGHT(C395,4),12,31),C395)&lt;PREMISSAS!$D$7,"",IFERROR(VLOOKUP(IF(LEFT(C395,2)="13",DATE(RIGHT(C395,4),12,31),C395),IPCA!$A:$D,4,FALSE),1)*D395))</f>
        <v/>
      </c>
      <c r="F395" s="4" t="str">
        <f ca="1">IF(C395="","",IFERROR(AVERAGEIF(E$5:$E395,"&gt;="&amp;_xlfn.PERCENTILE.EXC(E$5:$E395,0.2)),0))</f>
        <v/>
      </c>
      <c r="G395" s="4" t="str">
        <f ca="1">IF(C395="","",IFERROR(AVERAGEIF($E$5:E395,"&gt;"&amp;0,$E$5:E395),0))</f>
        <v/>
      </c>
    </row>
    <row r="396" spans="2:7" x14ac:dyDescent="0.3">
      <c r="B396" s="18">
        <v>392</v>
      </c>
      <c r="C396" s="21" t="str">
        <f ca="1">IFERROR(IF(LEFT(C395,2)="13",DATE(RIGHT(C395,4),12,31),IF(EOMONTH(C395,1)&gt;PREMISSAS!$C$3,"",IF(MONTH(C395)=11,"13º "&amp;YEAR(C395),EOMONTH(C395,1)))),"")</f>
        <v/>
      </c>
      <c r="D396" s="22">
        <f ca="1">VLOOKUP(C396,Preencher_Salários!$D$7:$E$656,2,FALSE)</f>
        <v>0</v>
      </c>
      <c r="E396" s="4" t="str">
        <f ca="1">IF(D396=0,"",IF(IF(ISTEXT(C396),DATE(RIGHT(C396,4),12,31),C396)&lt;PREMISSAS!$D$7,"",IFERROR(VLOOKUP(IF(LEFT(C396,2)="13",DATE(RIGHT(C396,4),12,31),C396),IPCA!$A:$D,4,FALSE),1)*D396))</f>
        <v/>
      </c>
      <c r="F396" s="4" t="str">
        <f ca="1">IF(C396="","",IFERROR(AVERAGEIF(E$5:$E396,"&gt;="&amp;_xlfn.PERCENTILE.EXC(E$5:$E396,0.2)),0))</f>
        <v/>
      </c>
      <c r="G396" s="4" t="str">
        <f ca="1">IF(C396="","",IFERROR(AVERAGEIF($E$5:E396,"&gt;"&amp;0,$E$5:E396),0))</f>
        <v/>
      </c>
    </row>
    <row r="397" spans="2:7" x14ac:dyDescent="0.3">
      <c r="B397" s="18">
        <v>393</v>
      </c>
      <c r="C397" s="21" t="str">
        <f ca="1">IFERROR(IF(LEFT(C396,2)="13",DATE(RIGHT(C396,4),12,31),IF(EOMONTH(C396,1)&gt;PREMISSAS!$C$3,"",IF(MONTH(C396)=11,"13º "&amp;YEAR(C396),EOMONTH(C396,1)))),"")</f>
        <v/>
      </c>
      <c r="D397" s="22">
        <f ca="1">VLOOKUP(C397,Preencher_Salários!$D$7:$E$656,2,FALSE)</f>
        <v>0</v>
      </c>
      <c r="E397" s="4" t="str">
        <f ca="1">IF(D397=0,"",IF(IF(ISTEXT(C397),DATE(RIGHT(C397,4),12,31),C397)&lt;PREMISSAS!$D$7,"",IFERROR(VLOOKUP(IF(LEFT(C397,2)="13",DATE(RIGHT(C397,4),12,31),C397),IPCA!$A:$D,4,FALSE),1)*D397))</f>
        <v/>
      </c>
      <c r="F397" s="4" t="str">
        <f ca="1">IF(C397="","",IFERROR(AVERAGEIF(E$5:$E397,"&gt;="&amp;_xlfn.PERCENTILE.EXC(E$5:$E397,0.2)),0))</f>
        <v/>
      </c>
      <c r="G397" s="4" t="str">
        <f ca="1">IF(C397="","",IFERROR(AVERAGEIF($E$5:E397,"&gt;"&amp;0,$E$5:E397),0))</f>
        <v/>
      </c>
    </row>
    <row r="398" spans="2:7" x14ac:dyDescent="0.3">
      <c r="B398" s="18">
        <v>394</v>
      </c>
      <c r="C398" s="21" t="str">
        <f ca="1">IFERROR(IF(LEFT(C397,2)="13",DATE(RIGHT(C397,4),12,31),IF(EOMONTH(C397,1)&gt;PREMISSAS!$C$3,"",IF(MONTH(C397)=11,"13º "&amp;YEAR(C397),EOMONTH(C397,1)))),"")</f>
        <v/>
      </c>
      <c r="D398" s="22">
        <f ca="1">VLOOKUP(C398,Preencher_Salários!$D$7:$E$656,2,FALSE)</f>
        <v>0</v>
      </c>
      <c r="E398" s="4" t="str">
        <f ca="1">IF(D398=0,"",IF(IF(ISTEXT(C398),DATE(RIGHT(C398,4),12,31),C398)&lt;PREMISSAS!$D$7,"",IFERROR(VLOOKUP(IF(LEFT(C398,2)="13",DATE(RIGHT(C398,4),12,31),C398),IPCA!$A:$D,4,FALSE),1)*D398))</f>
        <v/>
      </c>
      <c r="F398" s="4" t="str">
        <f ca="1">IF(C398="","",IFERROR(AVERAGEIF(E$5:$E398,"&gt;="&amp;_xlfn.PERCENTILE.EXC(E$5:$E398,0.2)),0))</f>
        <v/>
      </c>
      <c r="G398" s="4" t="str">
        <f ca="1">IF(C398="","",IFERROR(AVERAGEIF($E$5:E398,"&gt;"&amp;0,$E$5:E398),0))</f>
        <v/>
      </c>
    </row>
    <row r="399" spans="2:7" x14ac:dyDescent="0.3">
      <c r="B399" s="18">
        <v>395</v>
      </c>
      <c r="C399" s="21" t="str">
        <f ca="1">IFERROR(IF(LEFT(C398,2)="13",DATE(RIGHT(C398,4),12,31),IF(EOMONTH(C398,1)&gt;PREMISSAS!$C$3,"",IF(MONTH(C398)=11,"13º "&amp;YEAR(C398),EOMONTH(C398,1)))),"")</f>
        <v/>
      </c>
      <c r="D399" s="22">
        <f ca="1">VLOOKUP(C399,Preencher_Salários!$D$7:$E$656,2,FALSE)</f>
        <v>0</v>
      </c>
      <c r="E399" s="4" t="str">
        <f ca="1">IF(D399=0,"",IF(IF(ISTEXT(C399),DATE(RIGHT(C399,4),12,31),C399)&lt;PREMISSAS!$D$7,"",IFERROR(VLOOKUP(IF(LEFT(C399,2)="13",DATE(RIGHT(C399,4),12,31),C399),IPCA!$A:$D,4,FALSE),1)*D399))</f>
        <v/>
      </c>
      <c r="F399" s="4" t="str">
        <f ca="1">IF(C399="","",IFERROR(AVERAGEIF(E$5:$E399,"&gt;="&amp;_xlfn.PERCENTILE.EXC(E$5:$E399,0.2)),0))</f>
        <v/>
      </c>
      <c r="G399" s="4" t="str">
        <f ca="1">IF(C399="","",IFERROR(AVERAGEIF($E$5:E399,"&gt;"&amp;0,$E$5:E399),0))</f>
        <v/>
      </c>
    </row>
    <row r="400" spans="2:7" x14ac:dyDescent="0.3">
      <c r="B400" s="18">
        <v>396</v>
      </c>
      <c r="C400" s="21" t="str">
        <f ca="1">IFERROR(IF(LEFT(C399,2)="13",DATE(RIGHT(C399,4),12,31),IF(EOMONTH(C399,1)&gt;PREMISSAS!$C$3,"",IF(MONTH(C399)=11,"13º "&amp;YEAR(C399),EOMONTH(C399,1)))),"")</f>
        <v/>
      </c>
      <c r="D400" s="22">
        <f ca="1">VLOOKUP(C400,Preencher_Salários!$D$7:$E$656,2,FALSE)</f>
        <v>0</v>
      </c>
      <c r="E400" s="4" t="str">
        <f ca="1">IF(D400=0,"",IF(IF(ISTEXT(C400),DATE(RIGHT(C400,4),12,31),C400)&lt;PREMISSAS!$D$7,"",IFERROR(VLOOKUP(IF(LEFT(C400,2)="13",DATE(RIGHT(C400,4),12,31),C400),IPCA!$A:$D,4,FALSE),1)*D400))</f>
        <v/>
      </c>
      <c r="F400" s="4" t="str">
        <f ca="1">IF(C400="","",IFERROR(AVERAGEIF(E$5:$E400,"&gt;="&amp;_xlfn.PERCENTILE.EXC(E$5:$E400,0.2)),0))</f>
        <v/>
      </c>
      <c r="G400" s="4" t="str">
        <f ca="1">IF(C400="","",IFERROR(AVERAGEIF($E$5:E400,"&gt;"&amp;0,$E$5:E400),0))</f>
        <v/>
      </c>
    </row>
    <row r="401" spans="2:7" x14ac:dyDescent="0.3">
      <c r="B401" s="18">
        <v>397</v>
      </c>
      <c r="C401" s="21" t="str">
        <f ca="1">IFERROR(IF(LEFT(C400,2)="13",DATE(RIGHT(C400,4),12,31),IF(EOMONTH(C400,1)&gt;PREMISSAS!$C$3,"",IF(MONTH(C400)=11,"13º "&amp;YEAR(C400),EOMONTH(C400,1)))),"")</f>
        <v/>
      </c>
      <c r="D401" s="22">
        <f ca="1">VLOOKUP(C401,Preencher_Salários!$D$7:$E$656,2,FALSE)</f>
        <v>0</v>
      </c>
      <c r="E401" s="4" t="str">
        <f ca="1">IF(D401=0,"",IF(IF(ISTEXT(C401),DATE(RIGHT(C401,4),12,31),C401)&lt;PREMISSAS!$D$7,"",IFERROR(VLOOKUP(IF(LEFT(C401,2)="13",DATE(RIGHT(C401,4),12,31),C401),IPCA!$A:$D,4,FALSE),1)*D401))</f>
        <v/>
      </c>
      <c r="F401" s="4" t="str">
        <f ca="1">IF(C401="","",IFERROR(AVERAGEIF(E$5:$E401,"&gt;="&amp;_xlfn.PERCENTILE.EXC(E$5:$E401,0.2)),0))</f>
        <v/>
      </c>
      <c r="G401" s="4" t="str">
        <f ca="1">IF(C401="","",IFERROR(AVERAGEIF($E$5:E401,"&gt;"&amp;0,$E$5:E401),0))</f>
        <v/>
      </c>
    </row>
    <row r="402" spans="2:7" x14ac:dyDescent="0.3">
      <c r="B402" s="18">
        <v>398</v>
      </c>
      <c r="C402" s="21" t="str">
        <f ca="1">IFERROR(IF(LEFT(C401,2)="13",DATE(RIGHT(C401,4),12,31),IF(EOMONTH(C401,1)&gt;PREMISSAS!$C$3,"",IF(MONTH(C401)=11,"13º "&amp;YEAR(C401),EOMONTH(C401,1)))),"")</f>
        <v/>
      </c>
      <c r="D402" s="22">
        <f ca="1">VLOOKUP(C402,Preencher_Salários!$D$7:$E$656,2,FALSE)</f>
        <v>0</v>
      </c>
      <c r="E402" s="4" t="str">
        <f ca="1">IF(D402=0,"",IF(IF(ISTEXT(C402),DATE(RIGHT(C402,4),12,31),C402)&lt;PREMISSAS!$D$7,"",IFERROR(VLOOKUP(IF(LEFT(C402,2)="13",DATE(RIGHT(C402,4),12,31),C402),IPCA!$A:$D,4,FALSE),1)*D402))</f>
        <v/>
      </c>
      <c r="F402" s="4" t="str">
        <f ca="1">IF(C402="","",IFERROR(AVERAGEIF(E$5:$E402,"&gt;="&amp;_xlfn.PERCENTILE.EXC(E$5:$E402,0.2)),0))</f>
        <v/>
      </c>
      <c r="G402" s="4" t="str">
        <f ca="1">IF(C402="","",IFERROR(AVERAGEIF($E$5:E402,"&gt;"&amp;0,$E$5:E402),0))</f>
        <v/>
      </c>
    </row>
    <row r="403" spans="2:7" x14ac:dyDescent="0.3">
      <c r="B403" s="18">
        <v>399</v>
      </c>
      <c r="C403" s="21" t="str">
        <f ca="1">IFERROR(IF(LEFT(C402,2)="13",DATE(RIGHT(C402,4),12,31),IF(EOMONTH(C402,1)&gt;PREMISSAS!$C$3,"",IF(MONTH(C402)=11,"13º "&amp;YEAR(C402),EOMONTH(C402,1)))),"")</f>
        <v/>
      </c>
      <c r="D403" s="22">
        <f ca="1">VLOOKUP(C403,Preencher_Salários!$D$7:$E$656,2,FALSE)</f>
        <v>0</v>
      </c>
      <c r="E403" s="4" t="str">
        <f ca="1">IF(D403=0,"",IF(IF(ISTEXT(C403),DATE(RIGHT(C403,4),12,31),C403)&lt;PREMISSAS!$D$7,"",IFERROR(VLOOKUP(IF(LEFT(C403,2)="13",DATE(RIGHT(C403,4),12,31),C403),IPCA!$A:$D,4,FALSE),1)*D403))</f>
        <v/>
      </c>
      <c r="F403" s="4" t="str">
        <f ca="1">IF(C403="","",IFERROR(AVERAGEIF(E$5:$E403,"&gt;="&amp;_xlfn.PERCENTILE.EXC(E$5:$E403,0.2)),0))</f>
        <v/>
      </c>
      <c r="G403" s="4" t="str">
        <f ca="1">IF(C403="","",IFERROR(AVERAGEIF($E$5:E403,"&gt;"&amp;0,$E$5:E403),0))</f>
        <v/>
      </c>
    </row>
    <row r="404" spans="2:7" x14ac:dyDescent="0.3">
      <c r="B404" s="18">
        <v>400</v>
      </c>
      <c r="C404" s="21" t="str">
        <f ca="1">IFERROR(IF(LEFT(C403,2)="13",DATE(RIGHT(C403,4),12,31),IF(EOMONTH(C403,1)&gt;PREMISSAS!$C$3,"",IF(MONTH(C403)=11,"13º "&amp;YEAR(C403),EOMONTH(C403,1)))),"")</f>
        <v/>
      </c>
      <c r="D404" s="22">
        <f ca="1">VLOOKUP(C404,Preencher_Salários!$D$7:$E$656,2,FALSE)</f>
        <v>0</v>
      </c>
      <c r="E404" s="4" t="str">
        <f ca="1">IF(D404=0,"",IF(IF(ISTEXT(C404),DATE(RIGHT(C404,4),12,31),C404)&lt;PREMISSAS!$D$7,"",IFERROR(VLOOKUP(IF(LEFT(C404,2)="13",DATE(RIGHT(C404,4),12,31),C404),IPCA!$A:$D,4,FALSE),1)*D404))</f>
        <v/>
      </c>
      <c r="F404" s="4" t="str">
        <f ca="1">IF(C404="","",IFERROR(AVERAGEIF(E$5:$E404,"&gt;="&amp;_xlfn.PERCENTILE.EXC(E$5:$E404,0.2)),0))</f>
        <v/>
      </c>
      <c r="G404" s="4" t="str">
        <f ca="1">IF(C404="","",IFERROR(AVERAGEIF($E$5:E404,"&gt;"&amp;0,$E$5:E404),0))</f>
        <v/>
      </c>
    </row>
    <row r="405" spans="2:7" x14ac:dyDescent="0.3">
      <c r="B405" s="18">
        <v>401</v>
      </c>
      <c r="C405" s="21" t="str">
        <f ca="1">IFERROR(IF(LEFT(C404,2)="13",DATE(RIGHT(C404,4),12,31),IF(EOMONTH(C404,1)&gt;PREMISSAS!$C$3,"",IF(MONTH(C404)=11,"13º "&amp;YEAR(C404),EOMONTH(C404,1)))),"")</f>
        <v/>
      </c>
      <c r="D405" s="22">
        <f ca="1">VLOOKUP(C405,Preencher_Salários!$D$7:$E$656,2,FALSE)</f>
        <v>0</v>
      </c>
      <c r="E405" s="4" t="str">
        <f ca="1">IF(D405=0,"",IF(IF(ISTEXT(C405),DATE(RIGHT(C405,4),12,31),C405)&lt;PREMISSAS!$D$7,"",IFERROR(VLOOKUP(IF(LEFT(C405,2)="13",DATE(RIGHT(C405,4),12,31),C405),IPCA!$A:$D,4,FALSE),1)*D405))</f>
        <v/>
      </c>
      <c r="F405" s="4" t="str">
        <f ca="1">IF(C405="","",IFERROR(AVERAGEIF(E$5:$E405,"&gt;="&amp;_xlfn.PERCENTILE.EXC(E$5:$E405,0.2)),0))</f>
        <v/>
      </c>
      <c r="G405" s="4" t="str">
        <f ca="1">IF(C405="","",IFERROR(AVERAGEIF($E$5:E405,"&gt;"&amp;0,$E$5:E405),0))</f>
        <v/>
      </c>
    </row>
    <row r="406" spans="2:7" x14ac:dyDescent="0.3">
      <c r="B406" s="18">
        <v>402</v>
      </c>
      <c r="C406" s="21" t="str">
        <f ca="1">IFERROR(IF(LEFT(C405,2)="13",DATE(RIGHT(C405,4),12,31),IF(EOMONTH(C405,1)&gt;PREMISSAS!$C$3,"",IF(MONTH(C405)=11,"13º "&amp;YEAR(C405),EOMONTH(C405,1)))),"")</f>
        <v/>
      </c>
      <c r="D406" s="22">
        <f ca="1">VLOOKUP(C406,Preencher_Salários!$D$7:$E$656,2,FALSE)</f>
        <v>0</v>
      </c>
      <c r="E406" s="4" t="str">
        <f ca="1">IF(D406=0,"",IF(IF(ISTEXT(C406),DATE(RIGHT(C406,4),12,31),C406)&lt;PREMISSAS!$D$7,"",IFERROR(VLOOKUP(IF(LEFT(C406,2)="13",DATE(RIGHT(C406,4),12,31),C406),IPCA!$A:$D,4,FALSE),1)*D406))</f>
        <v/>
      </c>
      <c r="F406" s="4" t="str">
        <f ca="1">IF(C406="","",IFERROR(AVERAGEIF(E$5:$E406,"&gt;="&amp;_xlfn.PERCENTILE.EXC(E$5:$E406,0.2)),0))</f>
        <v/>
      </c>
      <c r="G406" s="4" t="str">
        <f ca="1">IF(C406="","",IFERROR(AVERAGEIF($E$5:E406,"&gt;"&amp;0,$E$5:E406),0))</f>
        <v/>
      </c>
    </row>
    <row r="407" spans="2:7" x14ac:dyDescent="0.3">
      <c r="B407" s="18">
        <v>403</v>
      </c>
      <c r="C407" s="21" t="str">
        <f ca="1">IFERROR(IF(LEFT(C406,2)="13",DATE(RIGHT(C406,4),12,31),IF(EOMONTH(C406,1)&gt;PREMISSAS!$C$3,"",IF(MONTH(C406)=11,"13º "&amp;YEAR(C406),EOMONTH(C406,1)))),"")</f>
        <v/>
      </c>
      <c r="D407" s="22">
        <f ca="1">VLOOKUP(C407,Preencher_Salários!$D$7:$E$656,2,FALSE)</f>
        <v>0</v>
      </c>
      <c r="E407" s="4" t="str">
        <f ca="1">IF(D407=0,"",IF(IF(ISTEXT(C407),DATE(RIGHT(C407,4),12,31),C407)&lt;PREMISSAS!$D$7,"",IFERROR(VLOOKUP(IF(LEFT(C407,2)="13",DATE(RIGHT(C407,4),12,31),C407),IPCA!$A:$D,4,FALSE),1)*D407))</f>
        <v/>
      </c>
      <c r="F407" s="4" t="str">
        <f ca="1">IF(C407="","",IFERROR(AVERAGEIF(E$5:$E407,"&gt;="&amp;_xlfn.PERCENTILE.EXC(E$5:$E407,0.2)),0))</f>
        <v/>
      </c>
      <c r="G407" s="4" t="str">
        <f ca="1">IF(C407="","",IFERROR(AVERAGEIF($E$5:E407,"&gt;"&amp;0,$E$5:E407),0))</f>
        <v/>
      </c>
    </row>
    <row r="408" spans="2:7" x14ac:dyDescent="0.3">
      <c r="B408" s="18">
        <v>404</v>
      </c>
      <c r="C408" s="21" t="str">
        <f ca="1">IFERROR(IF(LEFT(C407,2)="13",DATE(RIGHT(C407,4),12,31),IF(EOMONTH(C407,1)&gt;PREMISSAS!$C$3,"",IF(MONTH(C407)=11,"13º "&amp;YEAR(C407),EOMONTH(C407,1)))),"")</f>
        <v/>
      </c>
      <c r="D408" s="22">
        <f ca="1">VLOOKUP(C408,Preencher_Salários!$D$7:$E$656,2,FALSE)</f>
        <v>0</v>
      </c>
      <c r="E408" s="4" t="str">
        <f ca="1">IF(D408=0,"",IF(IF(ISTEXT(C408),DATE(RIGHT(C408,4),12,31),C408)&lt;PREMISSAS!$D$7,"",IFERROR(VLOOKUP(IF(LEFT(C408,2)="13",DATE(RIGHT(C408,4),12,31),C408),IPCA!$A:$D,4,FALSE),1)*D408))</f>
        <v/>
      </c>
      <c r="F408" s="4" t="str">
        <f ca="1">IF(C408="","",IFERROR(AVERAGEIF(E$5:$E408,"&gt;="&amp;_xlfn.PERCENTILE.EXC(E$5:$E408,0.2)),0))</f>
        <v/>
      </c>
      <c r="G408" s="4" t="str">
        <f ca="1">IF(C408="","",IFERROR(AVERAGEIF($E$5:E408,"&gt;"&amp;0,$E$5:E408),0))</f>
        <v/>
      </c>
    </row>
    <row r="409" spans="2:7" x14ac:dyDescent="0.3">
      <c r="B409" s="18">
        <v>405</v>
      </c>
      <c r="C409" s="21" t="str">
        <f ca="1">IFERROR(IF(LEFT(C408,2)="13",DATE(RIGHT(C408,4),12,31),IF(EOMONTH(C408,1)&gt;PREMISSAS!$C$3,"",IF(MONTH(C408)=11,"13º "&amp;YEAR(C408),EOMONTH(C408,1)))),"")</f>
        <v/>
      </c>
      <c r="D409" s="22">
        <f ca="1">VLOOKUP(C409,Preencher_Salários!$D$7:$E$656,2,FALSE)</f>
        <v>0</v>
      </c>
      <c r="E409" s="4" t="str">
        <f ca="1">IF(D409=0,"",IF(IF(ISTEXT(C409),DATE(RIGHT(C409,4),12,31),C409)&lt;PREMISSAS!$D$7,"",IFERROR(VLOOKUP(IF(LEFT(C409,2)="13",DATE(RIGHT(C409,4),12,31),C409),IPCA!$A:$D,4,FALSE),1)*D409))</f>
        <v/>
      </c>
      <c r="F409" s="4" t="str">
        <f ca="1">IF(C409="","",IFERROR(AVERAGEIF(E$5:$E409,"&gt;="&amp;_xlfn.PERCENTILE.EXC(E$5:$E409,0.2)),0))</f>
        <v/>
      </c>
      <c r="G409" s="4" t="str">
        <f ca="1">IF(C409="","",IFERROR(AVERAGEIF($E$5:E409,"&gt;"&amp;0,$E$5:E409),0))</f>
        <v/>
      </c>
    </row>
    <row r="410" spans="2:7" x14ac:dyDescent="0.3">
      <c r="B410" s="18">
        <v>406</v>
      </c>
      <c r="C410" s="21" t="str">
        <f ca="1">IFERROR(IF(LEFT(C409,2)="13",DATE(RIGHT(C409,4),12,31),IF(EOMONTH(C409,1)&gt;PREMISSAS!$C$3,"",IF(MONTH(C409)=11,"13º "&amp;YEAR(C409),EOMONTH(C409,1)))),"")</f>
        <v/>
      </c>
      <c r="D410" s="22">
        <f ca="1">VLOOKUP(C410,Preencher_Salários!$D$7:$E$656,2,FALSE)</f>
        <v>0</v>
      </c>
      <c r="E410" s="4" t="str">
        <f ca="1">IF(D410=0,"",IF(IF(ISTEXT(C410),DATE(RIGHT(C410,4),12,31),C410)&lt;PREMISSAS!$D$7,"",IFERROR(VLOOKUP(IF(LEFT(C410,2)="13",DATE(RIGHT(C410,4),12,31),C410),IPCA!$A:$D,4,FALSE),1)*D410))</f>
        <v/>
      </c>
      <c r="F410" s="4" t="str">
        <f ca="1">IF(C410="","",IFERROR(AVERAGEIF(E$5:$E410,"&gt;="&amp;_xlfn.PERCENTILE.EXC(E$5:$E410,0.2)),0))</f>
        <v/>
      </c>
      <c r="G410" s="4" t="str">
        <f ca="1">IF(C410="","",IFERROR(AVERAGEIF($E$5:E410,"&gt;"&amp;0,$E$5:E410),0))</f>
        <v/>
      </c>
    </row>
    <row r="411" spans="2:7" x14ac:dyDescent="0.3">
      <c r="B411" s="18">
        <v>407</v>
      </c>
      <c r="C411" s="21" t="str">
        <f ca="1">IFERROR(IF(LEFT(C410,2)="13",DATE(RIGHT(C410,4),12,31),IF(EOMONTH(C410,1)&gt;PREMISSAS!$C$3,"",IF(MONTH(C410)=11,"13º "&amp;YEAR(C410),EOMONTH(C410,1)))),"")</f>
        <v/>
      </c>
      <c r="D411" s="22">
        <f ca="1">VLOOKUP(C411,Preencher_Salários!$D$7:$E$656,2,FALSE)</f>
        <v>0</v>
      </c>
      <c r="E411" s="4" t="str">
        <f ca="1">IF(D411=0,"",IF(IF(ISTEXT(C411),DATE(RIGHT(C411,4),12,31),C411)&lt;PREMISSAS!$D$7,"",IFERROR(VLOOKUP(IF(LEFT(C411,2)="13",DATE(RIGHT(C411,4),12,31),C411),IPCA!$A:$D,4,FALSE),1)*D411))</f>
        <v/>
      </c>
      <c r="F411" s="4" t="str">
        <f ca="1">IF(C411="","",IFERROR(AVERAGEIF(E$5:$E411,"&gt;="&amp;_xlfn.PERCENTILE.EXC(E$5:$E411,0.2)),0))</f>
        <v/>
      </c>
      <c r="G411" s="4" t="str">
        <f ca="1">IF(C411="","",IFERROR(AVERAGEIF($E$5:E411,"&gt;"&amp;0,$E$5:E411),0))</f>
        <v/>
      </c>
    </row>
    <row r="412" spans="2:7" x14ac:dyDescent="0.3">
      <c r="B412" s="18">
        <v>408</v>
      </c>
      <c r="C412" s="21" t="str">
        <f ca="1">IFERROR(IF(LEFT(C411,2)="13",DATE(RIGHT(C411,4),12,31),IF(EOMONTH(C411,1)&gt;PREMISSAS!$C$3,"",IF(MONTH(C411)=11,"13º "&amp;YEAR(C411),EOMONTH(C411,1)))),"")</f>
        <v/>
      </c>
      <c r="D412" s="22">
        <f ca="1">VLOOKUP(C412,Preencher_Salários!$D$7:$E$656,2,FALSE)</f>
        <v>0</v>
      </c>
      <c r="E412" s="4" t="str">
        <f ca="1">IF(D412=0,"",IF(IF(ISTEXT(C412),DATE(RIGHT(C412,4),12,31),C412)&lt;PREMISSAS!$D$7,"",IFERROR(VLOOKUP(IF(LEFT(C412,2)="13",DATE(RIGHT(C412,4),12,31),C412),IPCA!$A:$D,4,FALSE),1)*D412))</f>
        <v/>
      </c>
      <c r="F412" s="4" t="str">
        <f ca="1">IF(C412="","",IFERROR(AVERAGEIF(E$5:$E412,"&gt;="&amp;_xlfn.PERCENTILE.EXC(E$5:$E412,0.2)),0))</f>
        <v/>
      </c>
      <c r="G412" s="4" t="str">
        <f ca="1">IF(C412="","",IFERROR(AVERAGEIF($E$5:E412,"&gt;"&amp;0,$E$5:E412),0))</f>
        <v/>
      </c>
    </row>
    <row r="413" spans="2:7" x14ac:dyDescent="0.3">
      <c r="B413" s="18">
        <v>409</v>
      </c>
      <c r="C413" s="21" t="str">
        <f ca="1">IFERROR(IF(LEFT(C412,2)="13",DATE(RIGHT(C412,4),12,31),IF(EOMONTH(C412,1)&gt;PREMISSAS!$C$3,"",IF(MONTH(C412)=11,"13º "&amp;YEAR(C412),EOMONTH(C412,1)))),"")</f>
        <v/>
      </c>
      <c r="D413" s="22">
        <f ca="1">VLOOKUP(C413,Preencher_Salários!$D$7:$E$656,2,FALSE)</f>
        <v>0</v>
      </c>
      <c r="E413" s="4" t="str">
        <f ca="1">IF(D413=0,"",IF(IF(ISTEXT(C413),DATE(RIGHT(C413,4),12,31),C413)&lt;PREMISSAS!$D$7,"",IFERROR(VLOOKUP(IF(LEFT(C413,2)="13",DATE(RIGHT(C413,4),12,31),C413),IPCA!$A:$D,4,FALSE),1)*D413))</f>
        <v/>
      </c>
      <c r="F413" s="4" t="str">
        <f ca="1">IF(C413="","",IFERROR(AVERAGEIF(E$5:$E413,"&gt;="&amp;_xlfn.PERCENTILE.EXC(E$5:$E413,0.2)),0))</f>
        <v/>
      </c>
      <c r="G413" s="4" t="str">
        <f ca="1">IF(C413="","",IFERROR(AVERAGEIF($E$5:E413,"&gt;"&amp;0,$E$5:E413),0))</f>
        <v/>
      </c>
    </row>
    <row r="414" spans="2:7" x14ac:dyDescent="0.3">
      <c r="B414" s="18">
        <v>410</v>
      </c>
      <c r="C414" s="21" t="str">
        <f ca="1">IFERROR(IF(LEFT(C413,2)="13",DATE(RIGHT(C413,4),12,31),IF(EOMONTH(C413,1)&gt;PREMISSAS!$C$3,"",IF(MONTH(C413)=11,"13º "&amp;YEAR(C413),EOMONTH(C413,1)))),"")</f>
        <v/>
      </c>
      <c r="D414" s="22">
        <f ca="1">VLOOKUP(C414,Preencher_Salários!$D$7:$E$656,2,FALSE)</f>
        <v>0</v>
      </c>
      <c r="E414" s="4" t="str">
        <f ca="1">IF(D414=0,"",IF(IF(ISTEXT(C414),DATE(RIGHT(C414,4),12,31),C414)&lt;PREMISSAS!$D$7,"",IFERROR(VLOOKUP(IF(LEFT(C414,2)="13",DATE(RIGHT(C414,4),12,31),C414),IPCA!$A:$D,4,FALSE),1)*D414))</f>
        <v/>
      </c>
      <c r="F414" s="4" t="str">
        <f ca="1">IF(C414="","",IFERROR(AVERAGEIF(E$5:$E414,"&gt;="&amp;_xlfn.PERCENTILE.EXC(E$5:$E414,0.2)),0))</f>
        <v/>
      </c>
      <c r="G414" s="4" t="str">
        <f ca="1">IF(C414="","",IFERROR(AVERAGEIF($E$5:E414,"&gt;"&amp;0,$E$5:E414),0))</f>
        <v/>
      </c>
    </row>
    <row r="415" spans="2:7" x14ac:dyDescent="0.3">
      <c r="B415" s="18">
        <v>411</v>
      </c>
      <c r="C415" s="21" t="str">
        <f ca="1">IFERROR(IF(LEFT(C414,2)="13",DATE(RIGHT(C414,4),12,31),IF(EOMONTH(C414,1)&gt;PREMISSAS!$C$3,"",IF(MONTH(C414)=11,"13º "&amp;YEAR(C414),EOMONTH(C414,1)))),"")</f>
        <v/>
      </c>
      <c r="D415" s="22">
        <f ca="1">VLOOKUP(C415,Preencher_Salários!$D$7:$E$656,2,FALSE)</f>
        <v>0</v>
      </c>
      <c r="E415" s="4" t="str">
        <f ca="1">IF(D415=0,"",IF(IF(ISTEXT(C415),DATE(RIGHT(C415,4),12,31),C415)&lt;PREMISSAS!$D$7,"",IFERROR(VLOOKUP(IF(LEFT(C415,2)="13",DATE(RIGHT(C415,4),12,31),C415),IPCA!$A:$D,4,FALSE),1)*D415))</f>
        <v/>
      </c>
      <c r="F415" s="4" t="str">
        <f ca="1">IF(C415="","",IFERROR(AVERAGEIF(E$5:$E415,"&gt;="&amp;_xlfn.PERCENTILE.EXC(E$5:$E415,0.2)),0))</f>
        <v/>
      </c>
      <c r="G415" s="4" t="str">
        <f ca="1">IF(C415="","",IFERROR(AVERAGEIF($E$5:E415,"&gt;"&amp;0,$E$5:E415),0))</f>
        <v/>
      </c>
    </row>
    <row r="416" spans="2:7" x14ac:dyDescent="0.3">
      <c r="B416" s="18">
        <v>412</v>
      </c>
      <c r="C416" s="21" t="str">
        <f ca="1">IFERROR(IF(LEFT(C415,2)="13",DATE(RIGHT(C415,4),12,31),IF(EOMONTH(C415,1)&gt;PREMISSAS!$C$3,"",IF(MONTH(C415)=11,"13º "&amp;YEAR(C415),EOMONTH(C415,1)))),"")</f>
        <v/>
      </c>
      <c r="D416" s="22">
        <f ca="1">VLOOKUP(C416,Preencher_Salários!$D$7:$E$656,2,FALSE)</f>
        <v>0</v>
      </c>
      <c r="E416" s="4" t="str">
        <f ca="1">IF(D416=0,"",IF(IF(ISTEXT(C416),DATE(RIGHT(C416,4),12,31),C416)&lt;PREMISSAS!$D$7,"",IFERROR(VLOOKUP(IF(LEFT(C416,2)="13",DATE(RIGHT(C416,4),12,31),C416),IPCA!$A:$D,4,FALSE),1)*D416))</f>
        <v/>
      </c>
      <c r="F416" s="4" t="str">
        <f ca="1">IF(C416="","",IFERROR(AVERAGEIF(E$5:$E416,"&gt;="&amp;_xlfn.PERCENTILE.EXC(E$5:$E416,0.2)),0))</f>
        <v/>
      </c>
      <c r="G416" s="4" t="str">
        <f ca="1">IF(C416="","",IFERROR(AVERAGEIF($E$5:E416,"&gt;"&amp;0,$E$5:E416),0))</f>
        <v/>
      </c>
    </row>
    <row r="417" spans="2:7" x14ac:dyDescent="0.3">
      <c r="B417" s="18">
        <v>413</v>
      </c>
      <c r="C417" s="21" t="str">
        <f ca="1">IFERROR(IF(LEFT(C416,2)="13",DATE(RIGHT(C416,4),12,31),IF(EOMONTH(C416,1)&gt;PREMISSAS!$C$3,"",IF(MONTH(C416)=11,"13º "&amp;YEAR(C416),EOMONTH(C416,1)))),"")</f>
        <v/>
      </c>
      <c r="D417" s="22">
        <f ca="1">VLOOKUP(C417,Preencher_Salários!$D$7:$E$656,2,FALSE)</f>
        <v>0</v>
      </c>
      <c r="E417" s="4" t="str">
        <f ca="1">IF(D417=0,"",IF(IF(ISTEXT(C417),DATE(RIGHT(C417,4),12,31),C417)&lt;PREMISSAS!$D$7,"",IFERROR(VLOOKUP(IF(LEFT(C417,2)="13",DATE(RIGHT(C417,4),12,31),C417),IPCA!$A:$D,4,FALSE),1)*D417))</f>
        <v/>
      </c>
      <c r="F417" s="4" t="str">
        <f ca="1">IF(C417="","",IFERROR(AVERAGEIF(E$5:$E417,"&gt;="&amp;_xlfn.PERCENTILE.EXC(E$5:$E417,0.2)),0))</f>
        <v/>
      </c>
      <c r="G417" s="4" t="str">
        <f ca="1">IF(C417="","",IFERROR(AVERAGEIF($E$5:E417,"&gt;"&amp;0,$E$5:E417),0))</f>
        <v/>
      </c>
    </row>
    <row r="418" spans="2:7" x14ac:dyDescent="0.3">
      <c r="B418" s="18">
        <v>414</v>
      </c>
      <c r="C418" s="21" t="str">
        <f ca="1">IFERROR(IF(LEFT(C417,2)="13",DATE(RIGHT(C417,4),12,31),IF(EOMONTH(C417,1)&gt;PREMISSAS!$C$3,"",IF(MONTH(C417)=11,"13º "&amp;YEAR(C417),EOMONTH(C417,1)))),"")</f>
        <v/>
      </c>
      <c r="D418" s="22">
        <f ca="1">VLOOKUP(C418,Preencher_Salários!$D$7:$E$656,2,FALSE)</f>
        <v>0</v>
      </c>
      <c r="E418" s="4" t="str">
        <f ca="1">IF(D418=0,"",IF(IF(ISTEXT(C418),DATE(RIGHT(C418,4),12,31),C418)&lt;PREMISSAS!$D$7,"",IFERROR(VLOOKUP(IF(LEFT(C418,2)="13",DATE(RIGHT(C418,4),12,31),C418),IPCA!$A:$D,4,FALSE),1)*D418))</f>
        <v/>
      </c>
      <c r="F418" s="4" t="str">
        <f ca="1">IF(C418="","",IFERROR(AVERAGEIF(E$5:$E418,"&gt;="&amp;_xlfn.PERCENTILE.EXC(E$5:$E418,0.2)),0))</f>
        <v/>
      </c>
      <c r="G418" s="4" t="str">
        <f ca="1">IF(C418="","",IFERROR(AVERAGEIF($E$5:E418,"&gt;"&amp;0,$E$5:E418),0))</f>
        <v/>
      </c>
    </row>
    <row r="419" spans="2:7" x14ac:dyDescent="0.3">
      <c r="B419" s="18">
        <v>415</v>
      </c>
      <c r="C419" s="21" t="str">
        <f ca="1">IFERROR(IF(LEFT(C418,2)="13",DATE(RIGHT(C418,4),12,31),IF(EOMONTH(C418,1)&gt;PREMISSAS!$C$3,"",IF(MONTH(C418)=11,"13º "&amp;YEAR(C418),EOMONTH(C418,1)))),"")</f>
        <v/>
      </c>
      <c r="D419" s="22">
        <f ca="1">VLOOKUP(C419,Preencher_Salários!$D$7:$E$656,2,FALSE)</f>
        <v>0</v>
      </c>
      <c r="E419" s="4" t="str">
        <f ca="1">IF(D419=0,"",IF(IF(ISTEXT(C419),DATE(RIGHT(C419,4),12,31),C419)&lt;PREMISSAS!$D$7,"",IFERROR(VLOOKUP(IF(LEFT(C419,2)="13",DATE(RIGHT(C419,4),12,31),C419),IPCA!$A:$D,4,FALSE),1)*D419))</f>
        <v/>
      </c>
      <c r="F419" s="4" t="str">
        <f ca="1">IF(C419="","",IFERROR(AVERAGEIF(E$5:$E419,"&gt;="&amp;_xlfn.PERCENTILE.EXC(E$5:$E419,0.2)),0))</f>
        <v/>
      </c>
      <c r="G419" s="4" t="str">
        <f ca="1">IF(C419="","",IFERROR(AVERAGEIF($E$5:E419,"&gt;"&amp;0,$E$5:E419),0))</f>
        <v/>
      </c>
    </row>
    <row r="420" spans="2:7" x14ac:dyDescent="0.3">
      <c r="B420" s="18">
        <v>416</v>
      </c>
      <c r="C420" s="21" t="str">
        <f ca="1">IFERROR(IF(LEFT(C419,2)="13",DATE(RIGHT(C419,4),12,31),IF(EOMONTH(C419,1)&gt;PREMISSAS!$C$3,"",IF(MONTH(C419)=11,"13º "&amp;YEAR(C419),EOMONTH(C419,1)))),"")</f>
        <v/>
      </c>
      <c r="D420" s="22">
        <f ca="1">VLOOKUP(C420,Preencher_Salários!$D$7:$E$656,2,FALSE)</f>
        <v>0</v>
      </c>
      <c r="E420" s="4" t="str">
        <f ca="1">IF(D420=0,"",IF(IF(ISTEXT(C420),DATE(RIGHT(C420,4),12,31),C420)&lt;PREMISSAS!$D$7,"",IFERROR(VLOOKUP(IF(LEFT(C420,2)="13",DATE(RIGHT(C420,4),12,31),C420),IPCA!$A:$D,4,FALSE),1)*D420))</f>
        <v/>
      </c>
      <c r="F420" s="4" t="str">
        <f ca="1">IF(C420="","",IFERROR(AVERAGEIF(E$5:$E420,"&gt;="&amp;_xlfn.PERCENTILE.EXC(E$5:$E420,0.2)),0))</f>
        <v/>
      </c>
      <c r="G420" s="4" t="str">
        <f ca="1">IF(C420="","",IFERROR(AVERAGEIF($E$5:E420,"&gt;"&amp;0,$E$5:E420),0))</f>
        <v/>
      </c>
    </row>
    <row r="421" spans="2:7" x14ac:dyDescent="0.3">
      <c r="B421" s="18">
        <v>417</v>
      </c>
      <c r="C421" s="21" t="str">
        <f ca="1">IFERROR(IF(LEFT(C420,2)="13",DATE(RIGHT(C420,4),12,31),IF(EOMONTH(C420,1)&gt;PREMISSAS!$C$3,"",IF(MONTH(C420)=11,"13º "&amp;YEAR(C420),EOMONTH(C420,1)))),"")</f>
        <v/>
      </c>
      <c r="D421" s="22">
        <f ca="1">VLOOKUP(C421,Preencher_Salários!$D$7:$E$656,2,FALSE)</f>
        <v>0</v>
      </c>
      <c r="E421" s="4" t="str">
        <f ca="1">IF(D421=0,"",IF(IF(ISTEXT(C421),DATE(RIGHT(C421,4),12,31),C421)&lt;PREMISSAS!$D$7,"",IFERROR(VLOOKUP(IF(LEFT(C421,2)="13",DATE(RIGHT(C421,4),12,31),C421),IPCA!$A:$D,4,FALSE),1)*D421))</f>
        <v/>
      </c>
      <c r="F421" s="4" t="str">
        <f ca="1">IF(C421="","",IFERROR(AVERAGEIF(E$5:$E421,"&gt;="&amp;_xlfn.PERCENTILE.EXC(E$5:$E421,0.2)),0))</f>
        <v/>
      </c>
      <c r="G421" s="4" t="str">
        <f ca="1">IF(C421="","",IFERROR(AVERAGEIF($E$5:E421,"&gt;"&amp;0,$E$5:E421),0))</f>
        <v/>
      </c>
    </row>
    <row r="422" spans="2:7" x14ac:dyDescent="0.3">
      <c r="B422" s="18">
        <v>418</v>
      </c>
      <c r="C422" s="21" t="str">
        <f ca="1">IFERROR(IF(LEFT(C421,2)="13",DATE(RIGHT(C421,4),12,31),IF(EOMONTH(C421,1)&gt;PREMISSAS!$C$3,"",IF(MONTH(C421)=11,"13º "&amp;YEAR(C421),EOMONTH(C421,1)))),"")</f>
        <v/>
      </c>
      <c r="D422" s="22">
        <f ca="1">VLOOKUP(C422,Preencher_Salários!$D$7:$E$656,2,FALSE)</f>
        <v>0</v>
      </c>
      <c r="E422" s="4" t="str">
        <f ca="1">IF(D422=0,"",IF(IF(ISTEXT(C422),DATE(RIGHT(C422,4),12,31),C422)&lt;PREMISSAS!$D$7,"",IFERROR(VLOOKUP(IF(LEFT(C422,2)="13",DATE(RIGHT(C422,4),12,31),C422),IPCA!$A:$D,4,FALSE),1)*D422))</f>
        <v/>
      </c>
      <c r="F422" s="4" t="str">
        <f ca="1">IF(C422="","",IFERROR(AVERAGEIF(E$5:$E422,"&gt;="&amp;_xlfn.PERCENTILE.EXC(E$5:$E422,0.2)),0))</f>
        <v/>
      </c>
      <c r="G422" s="4" t="str">
        <f ca="1">IF(C422="","",IFERROR(AVERAGEIF($E$5:E422,"&gt;"&amp;0,$E$5:E422),0))</f>
        <v/>
      </c>
    </row>
    <row r="423" spans="2:7" x14ac:dyDescent="0.3">
      <c r="B423" s="18">
        <v>419</v>
      </c>
      <c r="C423" s="21" t="str">
        <f ca="1">IFERROR(IF(LEFT(C422,2)="13",DATE(RIGHT(C422,4),12,31),IF(EOMONTH(C422,1)&gt;PREMISSAS!$C$3,"",IF(MONTH(C422)=11,"13º "&amp;YEAR(C422),EOMONTH(C422,1)))),"")</f>
        <v/>
      </c>
      <c r="D423" s="22">
        <f ca="1">VLOOKUP(C423,Preencher_Salários!$D$7:$E$656,2,FALSE)</f>
        <v>0</v>
      </c>
      <c r="E423" s="4" t="str">
        <f ca="1">IF(D423=0,"",IF(IF(ISTEXT(C423),DATE(RIGHT(C423,4),12,31),C423)&lt;PREMISSAS!$D$7,"",IFERROR(VLOOKUP(IF(LEFT(C423,2)="13",DATE(RIGHT(C423,4),12,31),C423),IPCA!$A:$D,4,FALSE),1)*D423))</f>
        <v/>
      </c>
      <c r="F423" s="4" t="str">
        <f ca="1">IF(C423="","",IFERROR(AVERAGEIF(E$5:$E423,"&gt;="&amp;_xlfn.PERCENTILE.EXC(E$5:$E423,0.2)),0))</f>
        <v/>
      </c>
      <c r="G423" s="4" t="str">
        <f ca="1">IF(C423="","",IFERROR(AVERAGEIF($E$5:E423,"&gt;"&amp;0,$E$5:E423),0))</f>
        <v/>
      </c>
    </row>
    <row r="424" spans="2:7" x14ac:dyDescent="0.3">
      <c r="B424" s="18">
        <v>420</v>
      </c>
      <c r="C424" s="21" t="str">
        <f ca="1">IFERROR(IF(LEFT(C423,2)="13",DATE(RIGHT(C423,4),12,31),IF(EOMONTH(C423,1)&gt;PREMISSAS!$C$3,"",IF(MONTH(C423)=11,"13º "&amp;YEAR(C423),EOMONTH(C423,1)))),"")</f>
        <v/>
      </c>
      <c r="D424" s="22">
        <f ca="1">VLOOKUP(C424,Preencher_Salários!$D$7:$E$656,2,FALSE)</f>
        <v>0</v>
      </c>
      <c r="E424" s="4" t="str">
        <f ca="1">IF(D424=0,"",IF(IF(ISTEXT(C424),DATE(RIGHT(C424,4),12,31),C424)&lt;PREMISSAS!$D$7,"",IFERROR(VLOOKUP(IF(LEFT(C424,2)="13",DATE(RIGHT(C424,4),12,31),C424),IPCA!$A:$D,4,FALSE),1)*D424))</f>
        <v/>
      </c>
      <c r="F424" s="4" t="str">
        <f ca="1">IF(C424="","",IFERROR(AVERAGEIF(E$5:$E424,"&gt;="&amp;_xlfn.PERCENTILE.EXC(E$5:$E424,0.2)),0))</f>
        <v/>
      </c>
      <c r="G424" s="4" t="str">
        <f ca="1">IF(C424="","",IFERROR(AVERAGEIF($E$5:E424,"&gt;"&amp;0,$E$5:E424),0))</f>
        <v/>
      </c>
    </row>
    <row r="425" spans="2:7" x14ac:dyDescent="0.3">
      <c r="B425" s="18">
        <v>421</v>
      </c>
      <c r="C425" s="21" t="str">
        <f ca="1">IFERROR(IF(LEFT(C424,2)="13",DATE(RIGHT(C424,4),12,31),IF(EOMONTH(C424,1)&gt;PREMISSAS!$C$3,"",IF(MONTH(C424)=11,"13º "&amp;YEAR(C424),EOMONTH(C424,1)))),"")</f>
        <v/>
      </c>
      <c r="D425" s="22">
        <f ca="1">VLOOKUP(C425,Preencher_Salários!$D$7:$E$656,2,FALSE)</f>
        <v>0</v>
      </c>
      <c r="E425" s="4" t="str">
        <f ca="1">IF(D425=0,"",IF(IF(ISTEXT(C425),DATE(RIGHT(C425,4),12,31),C425)&lt;PREMISSAS!$D$7,"",IFERROR(VLOOKUP(IF(LEFT(C425,2)="13",DATE(RIGHT(C425,4),12,31),C425),IPCA!$A:$D,4,FALSE),1)*D425))</f>
        <v/>
      </c>
      <c r="F425" s="4" t="str">
        <f ca="1">IF(C425="","",IFERROR(AVERAGEIF(E$5:$E425,"&gt;="&amp;_xlfn.PERCENTILE.EXC(E$5:$E425,0.2)),0))</f>
        <v/>
      </c>
      <c r="G425" s="4" t="str">
        <f ca="1">IF(C425="","",IFERROR(AVERAGEIF($E$5:E425,"&gt;"&amp;0,$E$5:E425),0))</f>
        <v/>
      </c>
    </row>
    <row r="426" spans="2:7" x14ac:dyDescent="0.3">
      <c r="B426" s="18">
        <v>422</v>
      </c>
      <c r="C426" s="21" t="str">
        <f ca="1">IFERROR(IF(LEFT(C425,2)="13",DATE(RIGHT(C425,4),12,31),IF(EOMONTH(C425,1)&gt;PREMISSAS!$C$3,"",IF(MONTH(C425)=11,"13º "&amp;YEAR(C425),EOMONTH(C425,1)))),"")</f>
        <v/>
      </c>
      <c r="D426" s="22">
        <f ca="1">VLOOKUP(C426,Preencher_Salários!$D$7:$E$656,2,FALSE)</f>
        <v>0</v>
      </c>
      <c r="E426" s="4" t="str">
        <f ca="1">IF(D426=0,"",IF(IF(ISTEXT(C426),DATE(RIGHT(C426,4),12,31),C426)&lt;PREMISSAS!$D$7,"",IFERROR(VLOOKUP(IF(LEFT(C426,2)="13",DATE(RIGHT(C426,4),12,31),C426),IPCA!$A:$D,4,FALSE),1)*D426))</f>
        <v/>
      </c>
      <c r="F426" s="4" t="str">
        <f ca="1">IF(C426="","",IFERROR(AVERAGEIF(E$5:$E426,"&gt;="&amp;_xlfn.PERCENTILE.EXC(E$5:$E426,0.2)),0))</f>
        <v/>
      </c>
      <c r="G426" s="4" t="str">
        <f ca="1">IF(C426="","",IFERROR(AVERAGEIF($E$5:E426,"&gt;"&amp;0,$E$5:E426),0))</f>
        <v/>
      </c>
    </row>
    <row r="427" spans="2:7" x14ac:dyDescent="0.3">
      <c r="B427" s="18">
        <v>423</v>
      </c>
      <c r="C427" s="21" t="str">
        <f ca="1">IFERROR(IF(LEFT(C426,2)="13",DATE(RIGHT(C426,4),12,31),IF(EOMONTH(C426,1)&gt;PREMISSAS!$C$3,"",IF(MONTH(C426)=11,"13º "&amp;YEAR(C426),EOMONTH(C426,1)))),"")</f>
        <v/>
      </c>
      <c r="D427" s="22">
        <f ca="1">VLOOKUP(C427,Preencher_Salários!$D$7:$E$656,2,FALSE)</f>
        <v>0</v>
      </c>
      <c r="E427" s="4" t="str">
        <f ca="1">IF(D427=0,"",IF(IF(ISTEXT(C427),DATE(RIGHT(C427,4),12,31),C427)&lt;PREMISSAS!$D$7,"",IFERROR(VLOOKUP(IF(LEFT(C427,2)="13",DATE(RIGHT(C427,4),12,31),C427),IPCA!$A:$D,4,FALSE),1)*D427))</f>
        <v/>
      </c>
      <c r="F427" s="4" t="str">
        <f ca="1">IF(C427="","",IFERROR(AVERAGEIF(E$5:$E427,"&gt;="&amp;_xlfn.PERCENTILE.EXC(E$5:$E427,0.2)),0))</f>
        <v/>
      </c>
      <c r="G427" s="4" t="str">
        <f ca="1">IF(C427="","",IFERROR(AVERAGEIF($E$5:E427,"&gt;"&amp;0,$E$5:E427),0))</f>
        <v/>
      </c>
    </row>
    <row r="428" spans="2:7" x14ac:dyDescent="0.3">
      <c r="B428" s="18">
        <v>424</v>
      </c>
      <c r="C428" s="21" t="str">
        <f ca="1">IFERROR(IF(LEFT(C427,2)="13",DATE(RIGHT(C427,4),12,31),IF(EOMONTH(C427,1)&gt;PREMISSAS!$C$3,"",IF(MONTH(C427)=11,"13º "&amp;YEAR(C427),EOMONTH(C427,1)))),"")</f>
        <v/>
      </c>
      <c r="D428" s="22">
        <f ca="1">VLOOKUP(C428,Preencher_Salários!$D$7:$E$656,2,FALSE)</f>
        <v>0</v>
      </c>
      <c r="E428" s="4" t="str">
        <f ca="1">IF(D428=0,"",IF(IF(ISTEXT(C428),DATE(RIGHT(C428,4),12,31),C428)&lt;PREMISSAS!$D$7,"",IFERROR(VLOOKUP(IF(LEFT(C428,2)="13",DATE(RIGHT(C428,4),12,31),C428),IPCA!$A:$D,4,FALSE),1)*D428))</f>
        <v/>
      </c>
      <c r="F428" s="4" t="str">
        <f ca="1">IF(C428="","",IFERROR(AVERAGEIF(E$5:$E428,"&gt;="&amp;_xlfn.PERCENTILE.EXC(E$5:$E428,0.2)),0))</f>
        <v/>
      </c>
      <c r="G428" s="4" t="str">
        <f ca="1">IF(C428="","",IFERROR(AVERAGEIF($E$5:E428,"&gt;"&amp;0,$E$5:E428),0))</f>
        <v/>
      </c>
    </row>
    <row r="429" spans="2:7" x14ac:dyDescent="0.3">
      <c r="B429" s="18">
        <v>425</v>
      </c>
      <c r="C429" s="21" t="str">
        <f ca="1">IFERROR(IF(LEFT(C428,2)="13",DATE(RIGHT(C428,4),12,31),IF(EOMONTH(C428,1)&gt;PREMISSAS!$C$3,"",IF(MONTH(C428)=11,"13º "&amp;YEAR(C428),EOMONTH(C428,1)))),"")</f>
        <v/>
      </c>
      <c r="D429" s="22">
        <f ca="1">VLOOKUP(C429,Preencher_Salários!$D$7:$E$656,2,FALSE)</f>
        <v>0</v>
      </c>
      <c r="E429" s="4" t="str">
        <f ca="1">IF(D429=0,"",IF(IF(ISTEXT(C429),DATE(RIGHT(C429,4),12,31),C429)&lt;PREMISSAS!$D$7,"",IFERROR(VLOOKUP(IF(LEFT(C429,2)="13",DATE(RIGHT(C429,4),12,31),C429),IPCA!$A:$D,4,FALSE),1)*D429))</f>
        <v/>
      </c>
      <c r="F429" s="4" t="str">
        <f ca="1">IF(C429="","",IFERROR(AVERAGEIF(E$5:$E429,"&gt;="&amp;_xlfn.PERCENTILE.EXC(E$5:$E429,0.2)),0))</f>
        <v/>
      </c>
      <c r="G429" s="4" t="str">
        <f ca="1">IF(C429="","",IFERROR(AVERAGEIF($E$5:E429,"&gt;"&amp;0,$E$5:E429),0))</f>
        <v/>
      </c>
    </row>
    <row r="430" spans="2:7" x14ac:dyDescent="0.3">
      <c r="B430" s="18">
        <v>426</v>
      </c>
      <c r="C430" s="21" t="str">
        <f ca="1">IFERROR(IF(LEFT(C429,2)="13",DATE(RIGHT(C429,4),12,31),IF(EOMONTH(C429,1)&gt;PREMISSAS!$C$3,"",IF(MONTH(C429)=11,"13º "&amp;YEAR(C429),EOMONTH(C429,1)))),"")</f>
        <v/>
      </c>
      <c r="D430" s="22">
        <f ca="1">VLOOKUP(C430,Preencher_Salários!$D$7:$E$656,2,FALSE)</f>
        <v>0</v>
      </c>
      <c r="E430" s="4" t="str">
        <f ca="1">IF(D430=0,"",IF(IF(ISTEXT(C430),DATE(RIGHT(C430,4),12,31),C430)&lt;PREMISSAS!$D$7,"",IFERROR(VLOOKUP(IF(LEFT(C430,2)="13",DATE(RIGHT(C430,4),12,31),C430),IPCA!$A:$D,4,FALSE),1)*D430))</f>
        <v/>
      </c>
      <c r="F430" s="4" t="str">
        <f ca="1">IF(C430="","",IFERROR(AVERAGEIF(E$5:$E430,"&gt;="&amp;_xlfn.PERCENTILE.EXC(E$5:$E430,0.2)),0))</f>
        <v/>
      </c>
      <c r="G430" s="4" t="str">
        <f ca="1">IF(C430="","",IFERROR(AVERAGEIF($E$5:E430,"&gt;"&amp;0,$E$5:E430),0))</f>
        <v/>
      </c>
    </row>
    <row r="431" spans="2:7" x14ac:dyDescent="0.3">
      <c r="B431" s="18">
        <v>427</v>
      </c>
      <c r="C431" s="21" t="str">
        <f ca="1">IFERROR(IF(LEFT(C430,2)="13",DATE(RIGHT(C430,4),12,31),IF(EOMONTH(C430,1)&gt;PREMISSAS!$C$3,"",IF(MONTH(C430)=11,"13º "&amp;YEAR(C430),EOMONTH(C430,1)))),"")</f>
        <v/>
      </c>
      <c r="D431" s="22">
        <f ca="1">VLOOKUP(C431,Preencher_Salários!$D$7:$E$656,2,FALSE)</f>
        <v>0</v>
      </c>
      <c r="E431" s="4" t="str">
        <f ca="1">IF(D431=0,"",IF(IF(ISTEXT(C431),DATE(RIGHT(C431,4),12,31),C431)&lt;PREMISSAS!$D$7,"",IFERROR(VLOOKUP(IF(LEFT(C431,2)="13",DATE(RIGHT(C431,4),12,31),C431),IPCA!$A:$D,4,FALSE),1)*D431))</f>
        <v/>
      </c>
      <c r="F431" s="4" t="str">
        <f ca="1">IF(C431="","",IFERROR(AVERAGEIF(E$5:$E431,"&gt;="&amp;_xlfn.PERCENTILE.EXC(E$5:$E431,0.2)),0))</f>
        <v/>
      </c>
      <c r="G431" s="4" t="str">
        <f ca="1">IF(C431="","",IFERROR(AVERAGEIF($E$5:E431,"&gt;"&amp;0,$E$5:E431),0))</f>
        <v/>
      </c>
    </row>
    <row r="432" spans="2:7" x14ac:dyDescent="0.3">
      <c r="B432" s="18">
        <v>428</v>
      </c>
      <c r="C432" s="21" t="str">
        <f ca="1">IFERROR(IF(LEFT(C431,2)="13",DATE(RIGHT(C431,4),12,31),IF(EOMONTH(C431,1)&gt;PREMISSAS!$C$3,"",IF(MONTH(C431)=11,"13º "&amp;YEAR(C431),EOMONTH(C431,1)))),"")</f>
        <v/>
      </c>
      <c r="D432" s="22">
        <f ca="1">VLOOKUP(C432,Preencher_Salários!$D$7:$E$656,2,FALSE)</f>
        <v>0</v>
      </c>
      <c r="E432" s="4" t="str">
        <f ca="1">IF(D432=0,"",IF(IF(ISTEXT(C432),DATE(RIGHT(C432,4),12,31),C432)&lt;PREMISSAS!$D$7,"",IFERROR(VLOOKUP(IF(LEFT(C432,2)="13",DATE(RIGHT(C432,4),12,31),C432),IPCA!$A:$D,4,FALSE),1)*D432))</f>
        <v/>
      </c>
      <c r="F432" s="4" t="str">
        <f ca="1">IF(C432="","",IFERROR(AVERAGEIF(E$5:$E432,"&gt;="&amp;_xlfn.PERCENTILE.EXC(E$5:$E432,0.2)),0))</f>
        <v/>
      </c>
      <c r="G432" s="4" t="str">
        <f ca="1">IF(C432="","",IFERROR(AVERAGEIF($E$5:E432,"&gt;"&amp;0,$E$5:E432),0))</f>
        <v/>
      </c>
    </row>
    <row r="433" spans="2:7" x14ac:dyDescent="0.3">
      <c r="B433" s="18">
        <v>429</v>
      </c>
      <c r="C433" s="21" t="str">
        <f ca="1">IFERROR(IF(LEFT(C432,2)="13",DATE(RIGHT(C432,4),12,31),IF(EOMONTH(C432,1)&gt;PREMISSAS!$C$3,"",IF(MONTH(C432)=11,"13º "&amp;YEAR(C432),EOMONTH(C432,1)))),"")</f>
        <v/>
      </c>
      <c r="D433" s="22">
        <f ca="1">VLOOKUP(C433,Preencher_Salários!$D$7:$E$656,2,FALSE)</f>
        <v>0</v>
      </c>
      <c r="E433" s="4" t="str">
        <f ca="1">IF(D433=0,"",IF(IF(ISTEXT(C433),DATE(RIGHT(C433,4),12,31),C433)&lt;PREMISSAS!$D$7,"",IFERROR(VLOOKUP(IF(LEFT(C433,2)="13",DATE(RIGHT(C433,4),12,31),C433),IPCA!$A:$D,4,FALSE),1)*D433))</f>
        <v/>
      </c>
      <c r="F433" s="4" t="str">
        <f ca="1">IF(C433="","",IFERROR(AVERAGEIF(E$5:$E433,"&gt;="&amp;_xlfn.PERCENTILE.EXC(E$5:$E433,0.2)),0))</f>
        <v/>
      </c>
      <c r="G433" s="4" t="str">
        <f ca="1">IF(C433="","",IFERROR(AVERAGEIF($E$5:E433,"&gt;"&amp;0,$E$5:E433),0))</f>
        <v/>
      </c>
    </row>
    <row r="434" spans="2:7" x14ac:dyDescent="0.3">
      <c r="B434" s="18">
        <v>430</v>
      </c>
      <c r="C434" s="21" t="str">
        <f ca="1">IFERROR(IF(LEFT(C433,2)="13",DATE(RIGHT(C433,4),12,31),IF(EOMONTH(C433,1)&gt;PREMISSAS!$C$3,"",IF(MONTH(C433)=11,"13º "&amp;YEAR(C433),EOMONTH(C433,1)))),"")</f>
        <v/>
      </c>
      <c r="D434" s="22">
        <f ca="1">VLOOKUP(C434,Preencher_Salários!$D$7:$E$656,2,FALSE)</f>
        <v>0</v>
      </c>
      <c r="E434" s="4" t="str">
        <f ca="1">IF(D434=0,"",IF(IF(ISTEXT(C434),DATE(RIGHT(C434,4),12,31),C434)&lt;PREMISSAS!$D$7,"",IFERROR(VLOOKUP(IF(LEFT(C434,2)="13",DATE(RIGHT(C434,4),12,31),C434),IPCA!$A:$D,4,FALSE),1)*D434))</f>
        <v/>
      </c>
      <c r="F434" s="4" t="str">
        <f ca="1">IF(C434="","",IFERROR(AVERAGEIF(E$5:$E434,"&gt;="&amp;_xlfn.PERCENTILE.EXC(E$5:$E434,0.2)),0))</f>
        <v/>
      </c>
      <c r="G434" s="4" t="str">
        <f ca="1">IF(C434="","",IFERROR(AVERAGEIF($E$5:E434,"&gt;"&amp;0,$E$5:E434),0))</f>
        <v/>
      </c>
    </row>
    <row r="435" spans="2:7" x14ac:dyDescent="0.3">
      <c r="B435" s="18">
        <v>431</v>
      </c>
      <c r="C435" s="21" t="str">
        <f ca="1">IFERROR(IF(LEFT(C434,2)="13",DATE(RIGHT(C434,4),12,31),IF(EOMONTH(C434,1)&gt;PREMISSAS!$C$3,"",IF(MONTH(C434)=11,"13º "&amp;YEAR(C434),EOMONTH(C434,1)))),"")</f>
        <v/>
      </c>
      <c r="D435" s="22">
        <f ca="1">VLOOKUP(C435,Preencher_Salários!$D$7:$E$656,2,FALSE)</f>
        <v>0</v>
      </c>
      <c r="E435" s="4" t="str">
        <f ca="1">IF(D435=0,"",IF(IF(ISTEXT(C435),DATE(RIGHT(C435,4),12,31),C435)&lt;PREMISSAS!$D$7,"",IFERROR(VLOOKUP(IF(LEFT(C435,2)="13",DATE(RIGHT(C435,4),12,31),C435),IPCA!$A:$D,4,FALSE),1)*D435))</f>
        <v/>
      </c>
      <c r="F435" s="4" t="str">
        <f ca="1">IF(C435="","",IFERROR(AVERAGEIF(E$5:$E435,"&gt;="&amp;_xlfn.PERCENTILE.EXC(E$5:$E435,0.2)),0))</f>
        <v/>
      </c>
      <c r="G435" s="4" t="str">
        <f ca="1">IF(C435="","",IFERROR(AVERAGEIF($E$5:E435,"&gt;"&amp;0,$E$5:E435),0))</f>
        <v/>
      </c>
    </row>
    <row r="436" spans="2:7" x14ac:dyDescent="0.3">
      <c r="B436" s="18">
        <v>432</v>
      </c>
      <c r="C436" s="21" t="str">
        <f ca="1">IFERROR(IF(LEFT(C435,2)="13",DATE(RIGHT(C435,4),12,31),IF(EOMONTH(C435,1)&gt;PREMISSAS!$C$3,"",IF(MONTH(C435)=11,"13º "&amp;YEAR(C435),EOMONTH(C435,1)))),"")</f>
        <v/>
      </c>
      <c r="D436" s="22">
        <f ca="1">VLOOKUP(C436,Preencher_Salários!$D$7:$E$656,2,FALSE)</f>
        <v>0</v>
      </c>
      <c r="E436" s="4" t="str">
        <f ca="1">IF(D436=0,"",IF(IF(ISTEXT(C436),DATE(RIGHT(C436,4),12,31),C436)&lt;PREMISSAS!$D$7,"",IFERROR(VLOOKUP(IF(LEFT(C436,2)="13",DATE(RIGHT(C436,4),12,31),C436),IPCA!$A:$D,4,FALSE),1)*D436))</f>
        <v/>
      </c>
      <c r="F436" s="4" t="str">
        <f ca="1">IF(C436="","",IFERROR(AVERAGEIF(E$5:$E436,"&gt;="&amp;_xlfn.PERCENTILE.EXC(E$5:$E436,0.2)),0))</f>
        <v/>
      </c>
      <c r="G436" s="4" t="str">
        <f ca="1">IF(C436="","",IFERROR(AVERAGEIF($E$5:E436,"&gt;"&amp;0,$E$5:E436),0))</f>
        <v/>
      </c>
    </row>
    <row r="437" spans="2:7" x14ac:dyDescent="0.3">
      <c r="B437" s="18">
        <v>433</v>
      </c>
      <c r="C437" s="21" t="str">
        <f ca="1">IFERROR(IF(LEFT(C436,2)="13",DATE(RIGHT(C436,4),12,31),IF(EOMONTH(C436,1)&gt;PREMISSAS!$C$3,"",IF(MONTH(C436)=11,"13º "&amp;YEAR(C436),EOMONTH(C436,1)))),"")</f>
        <v/>
      </c>
      <c r="D437" s="22">
        <f ca="1">VLOOKUP(C437,Preencher_Salários!$D$7:$E$656,2,FALSE)</f>
        <v>0</v>
      </c>
      <c r="E437" s="4" t="str">
        <f ca="1">IF(D437=0,"",IF(IF(ISTEXT(C437),DATE(RIGHT(C437,4),12,31),C437)&lt;PREMISSAS!$D$7,"",IFERROR(VLOOKUP(IF(LEFT(C437,2)="13",DATE(RIGHT(C437,4),12,31),C437),IPCA!$A:$D,4,FALSE),1)*D437))</f>
        <v/>
      </c>
      <c r="F437" s="4" t="str">
        <f ca="1">IF(C437="","",IFERROR(AVERAGEIF(E$5:$E437,"&gt;="&amp;_xlfn.PERCENTILE.EXC(E$5:$E437,0.2)),0))</f>
        <v/>
      </c>
      <c r="G437" s="4" t="str">
        <f ca="1">IF(C437="","",IFERROR(AVERAGEIF($E$5:E437,"&gt;"&amp;0,$E$5:E437),0))</f>
        <v/>
      </c>
    </row>
    <row r="438" spans="2:7" x14ac:dyDescent="0.3">
      <c r="B438" s="18">
        <v>434</v>
      </c>
      <c r="C438" s="21" t="str">
        <f ca="1">IFERROR(IF(LEFT(C437,2)="13",DATE(RIGHT(C437,4),12,31),IF(EOMONTH(C437,1)&gt;PREMISSAS!$C$3,"",IF(MONTH(C437)=11,"13º "&amp;YEAR(C437),EOMONTH(C437,1)))),"")</f>
        <v/>
      </c>
      <c r="D438" s="22">
        <f ca="1">VLOOKUP(C438,Preencher_Salários!$D$7:$E$656,2,FALSE)</f>
        <v>0</v>
      </c>
      <c r="E438" s="4" t="str">
        <f ca="1">IF(D438=0,"",IF(IF(ISTEXT(C438),DATE(RIGHT(C438,4),12,31),C438)&lt;PREMISSAS!$D$7,"",IFERROR(VLOOKUP(IF(LEFT(C438,2)="13",DATE(RIGHT(C438,4),12,31),C438),IPCA!$A:$D,4,FALSE),1)*D438))</f>
        <v/>
      </c>
      <c r="F438" s="4" t="str">
        <f ca="1">IF(C438="","",IFERROR(AVERAGEIF(E$5:$E438,"&gt;="&amp;_xlfn.PERCENTILE.EXC(E$5:$E438,0.2)),0))</f>
        <v/>
      </c>
      <c r="G438" s="4" t="str">
        <f ca="1">IF(C438="","",IFERROR(AVERAGEIF($E$5:E438,"&gt;"&amp;0,$E$5:E438),0))</f>
        <v/>
      </c>
    </row>
    <row r="439" spans="2:7" x14ac:dyDescent="0.3">
      <c r="B439" s="18">
        <v>435</v>
      </c>
      <c r="C439" s="21" t="str">
        <f ca="1">IFERROR(IF(LEFT(C438,2)="13",DATE(RIGHT(C438,4),12,31),IF(EOMONTH(C438,1)&gt;PREMISSAS!$C$3,"",IF(MONTH(C438)=11,"13º "&amp;YEAR(C438),EOMONTH(C438,1)))),"")</f>
        <v/>
      </c>
      <c r="D439" s="22">
        <f ca="1">VLOOKUP(C439,Preencher_Salários!$D$7:$E$656,2,FALSE)</f>
        <v>0</v>
      </c>
      <c r="E439" s="4" t="str">
        <f ca="1">IF(D439=0,"",IF(IF(ISTEXT(C439),DATE(RIGHT(C439,4),12,31),C439)&lt;PREMISSAS!$D$7,"",IFERROR(VLOOKUP(IF(LEFT(C439,2)="13",DATE(RIGHT(C439,4),12,31),C439),IPCA!$A:$D,4,FALSE),1)*D439))</f>
        <v/>
      </c>
      <c r="F439" s="4" t="str">
        <f ca="1">IF(C439="","",IFERROR(AVERAGEIF(E$5:$E439,"&gt;="&amp;_xlfn.PERCENTILE.EXC(E$5:$E439,0.2)),0))</f>
        <v/>
      </c>
      <c r="G439" s="4" t="str">
        <f ca="1">IF(C439="","",IFERROR(AVERAGEIF($E$5:E439,"&gt;"&amp;0,$E$5:E439),0))</f>
        <v/>
      </c>
    </row>
    <row r="440" spans="2:7" x14ac:dyDescent="0.3">
      <c r="B440" s="18">
        <v>436</v>
      </c>
      <c r="C440" s="21" t="str">
        <f ca="1">IFERROR(IF(LEFT(C439,2)="13",DATE(RIGHT(C439,4),12,31),IF(EOMONTH(C439,1)&gt;PREMISSAS!$C$3,"",IF(MONTH(C439)=11,"13º "&amp;YEAR(C439),EOMONTH(C439,1)))),"")</f>
        <v/>
      </c>
      <c r="D440" s="22">
        <f ca="1">VLOOKUP(C440,Preencher_Salários!$D$7:$E$656,2,FALSE)</f>
        <v>0</v>
      </c>
      <c r="E440" s="4" t="str">
        <f ca="1">IF(D440=0,"",IF(IF(ISTEXT(C440),DATE(RIGHT(C440,4),12,31),C440)&lt;PREMISSAS!$D$7,"",IFERROR(VLOOKUP(IF(LEFT(C440,2)="13",DATE(RIGHT(C440,4),12,31),C440),IPCA!$A:$D,4,FALSE),1)*D440))</f>
        <v/>
      </c>
      <c r="F440" s="4" t="str">
        <f ca="1">IF(C440="","",IFERROR(AVERAGEIF(E$5:$E440,"&gt;="&amp;_xlfn.PERCENTILE.EXC(E$5:$E440,0.2)),0))</f>
        <v/>
      </c>
      <c r="G440" s="4" t="str">
        <f ca="1">IF(C440="","",IFERROR(AVERAGEIF($E$5:E440,"&gt;"&amp;0,$E$5:E440),0))</f>
        <v/>
      </c>
    </row>
    <row r="441" spans="2:7" x14ac:dyDescent="0.3">
      <c r="B441" s="18">
        <v>437</v>
      </c>
      <c r="C441" s="21" t="str">
        <f ca="1">IFERROR(IF(LEFT(C440,2)="13",DATE(RIGHT(C440,4),12,31),IF(EOMONTH(C440,1)&gt;PREMISSAS!$C$3,"",IF(MONTH(C440)=11,"13º "&amp;YEAR(C440),EOMONTH(C440,1)))),"")</f>
        <v/>
      </c>
      <c r="D441" s="22">
        <f ca="1">VLOOKUP(C441,Preencher_Salários!$D$7:$E$656,2,FALSE)</f>
        <v>0</v>
      </c>
      <c r="E441" s="4" t="str">
        <f ca="1">IF(D441=0,"",IF(IF(ISTEXT(C441),DATE(RIGHT(C441,4),12,31),C441)&lt;PREMISSAS!$D$7,"",IFERROR(VLOOKUP(IF(LEFT(C441,2)="13",DATE(RIGHT(C441,4),12,31),C441),IPCA!$A:$D,4,FALSE),1)*D441))</f>
        <v/>
      </c>
      <c r="F441" s="4" t="str">
        <f ca="1">IF(C441="","",IFERROR(AVERAGEIF(E$5:$E441,"&gt;="&amp;_xlfn.PERCENTILE.EXC(E$5:$E441,0.2)),0))</f>
        <v/>
      </c>
      <c r="G441" s="4" t="str">
        <f ca="1">IF(C441="","",IFERROR(AVERAGEIF($E$5:E441,"&gt;"&amp;0,$E$5:E441),0))</f>
        <v/>
      </c>
    </row>
    <row r="442" spans="2:7" x14ac:dyDescent="0.3">
      <c r="B442" s="18">
        <v>438</v>
      </c>
      <c r="C442" s="21" t="str">
        <f ca="1">IFERROR(IF(LEFT(C441,2)="13",DATE(RIGHT(C441,4),12,31),IF(EOMONTH(C441,1)&gt;PREMISSAS!$C$3,"",IF(MONTH(C441)=11,"13º "&amp;YEAR(C441),EOMONTH(C441,1)))),"")</f>
        <v/>
      </c>
      <c r="D442" s="22">
        <f ca="1">VLOOKUP(C442,Preencher_Salários!$D$7:$E$656,2,FALSE)</f>
        <v>0</v>
      </c>
      <c r="E442" s="4" t="str">
        <f ca="1">IF(D442=0,"",IF(IF(ISTEXT(C442),DATE(RIGHT(C442,4),12,31),C442)&lt;PREMISSAS!$D$7,"",IFERROR(VLOOKUP(IF(LEFT(C442,2)="13",DATE(RIGHT(C442,4),12,31),C442),IPCA!$A:$D,4,FALSE),1)*D442))</f>
        <v/>
      </c>
      <c r="F442" s="4" t="str">
        <f ca="1">IF(C442="","",IFERROR(AVERAGEIF(E$5:$E442,"&gt;="&amp;_xlfn.PERCENTILE.EXC(E$5:$E442,0.2)),0))</f>
        <v/>
      </c>
      <c r="G442" s="4" t="str">
        <f ca="1">IF(C442="","",IFERROR(AVERAGEIF($E$5:E442,"&gt;"&amp;0,$E$5:E442),0))</f>
        <v/>
      </c>
    </row>
    <row r="443" spans="2:7" x14ac:dyDescent="0.3">
      <c r="B443" s="18">
        <v>439</v>
      </c>
      <c r="C443" s="21" t="str">
        <f ca="1">IFERROR(IF(LEFT(C442,2)="13",DATE(RIGHT(C442,4),12,31),IF(EOMONTH(C442,1)&gt;PREMISSAS!$C$3,"",IF(MONTH(C442)=11,"13º "&amp;YEAR(C442),EOMONTH(C442,1)))),"")</f>
        <v/>
      </c>
      <c r="D443" s="22">
        <f ca="1">VLOOKUP(C443,Preencher_Salários!$D$7:$E$656,2,FALSE)</f>
        <v>0</v>
      </c>
      <c r="E443" s="4" t="str">
        <f ca="1">IF(D443=0,"",IF(IF(ISTEXT(C443),DATE(RIGHT(C443,4),12,31),C443)&lt;PREMISSAS!$D$7,"",IFERROR(VLOOKUP(IF(LEFT(C443,2)="13",DATE(RIGHT(C443,4),12,31),C443),IPCA!$A:$D,4,FALSE),1)*D443))</f>
        <v/>
      </c>
      <c r="F443" s="4" t="str">
        <f ca="1">IF(C443="","",IFERROR(AVERAGEIF(E$5:$E443,"&gt;="&amp;_xlfn.PERCENTILE.EXC(E$5:$E443,0.2)),0))</f>
        <v/>
      </c>
      <c r="G443" s="4" t="str">
        <f ca="1">IF(C443="","",IFERROR(AVERAGEIF($E$5:E443,"&gt;"&amp;0,$E$5:E443),0))</f>
        <v/>
      </c>
    </row>
    <row r="444" spans="2:7" x14ac:dyDescent="0.3">
      <c r="B444" s="18">
        <v>440</v>
      </c>
      <c r="C444" s="21" t="str">
        <f ca="1">IFERROR(IF(LEFT(C443,2)="13",DATE(RIGHT(C443,4),12,31),IF(EOMONTH(C443,1)&gt;PREMISSAS!$C$3,"",IF(MONTH(C443)=11,"13º "&amp;YEAR(C443),EOMONTH(C443,1)))),"")</f>
        <v/>
      </c>
      <c r="D444" s="22">
        <f ca="1">VLOOKUP(C444,Preencher_Salários!$D$7:$E$656,2,FALSE)</f>
        <v>0</v>
      </c>
      <c r="E444" s="4" t="str">
        <f ca="1">IF(D444=0,"",IF(IF(ISTEXT(C444),DATE(RIGHT(C444,4),12,31),C444)&lt;PREMISSAS!$D$7,"",IFERROR(VLOOKUP(IF(LEFT(C444,2)="13",DATE(RIGHT(C444,4),12,31),C444),IPCA!$A:$D,4,FALSE),1)*D444))</f>
        <v/>
      </c>
      <c r="F444" s="4" t="str">
        <f ca="1">IF(C444="","",IFERROR(AVERAGEIF(E$5:$E444,"&gt;="&amp;_xlfn.PERCENTILE.EXC(E$5:$E444,0.2)),0))</f>
        <v/>
      </c>
      <c r="G444" s="4" t="str">
        <f ca="1">IF(C444="","",IFERROR(AVERAGEIF($E$5:E444,"&gt;"&amp;0,$E$5:E444),0))</f>
        <v/>
      </c>
    </row>
    <row r="445" spans="2:7" x14ac:dyDescent="0.3">
      <c r="B445" s="18">
        <v>441</v>
      </c>
      <c r="C445" s="21" t="str">
        <f ca="1">IFERROR(IF(LEFT(C444,2)="13",DATE(RIGHT(C444,4),12,31),IF(EOMONTH(C444,1)&gt;PREMISSAS!$C$3,"",IF(MONTH(C444)=11,"13º "&amp;YEAR(C444),EOMONTH(C444,1)))),"")</f>
        <v/>
      </c>
      <c r="D445" s="22">
        <f ca="1">VLOOKUP(C445,Preencher_Salários!$D$7:$E$656,2,FALSE)</f>
        <v>0</v>
      </c>
      <c r="E445" s="4" t="str">
        <f ca="1">IF(D445=0,"",IF(IF(ISTEXT(C445),DATE(RIGHT(C445,4),12,31),C445)&lt;PREMISSAS!$D$7,"",IFERROR(VLOOKUP(IF(LEFT(C445,2)="13",DATE(RIGHT(C445,4),12,31),C445),IPCA!$A:$D,4,FALSE),1)*D445))</f>
        <v/>
      </c>
      <c r="F445" s="4" t="str">
        <f ca="1">IF(C445="","",IFERROR(AVERAGEIF(E$5:$E445,"&gt;="&amp;_xlfn.PERCENTILE.EXC(E$5:$E445,0.2)),0))</f>
        <v/>
      </c>
      <c r="G445" s="4" t="str">
        <f ca="1">IF(C445="","",IFERROR(AVERAGEIF($E$5:E445,"&gt;"&amp;0,$E$5:E445),0))</f>
        <v/>
      </c>
    </row>
    <row r="446" spans="2:7" x14ac:dyDescent="0.3">
      <c r="B446" s="18">
        <v>442</v>
      </c>
      <c r="C446" s="21" t="str">
        <f ca="1">IFERROR(IF(LEFT(C445,2)="13",DATE(RIGHT(C445,4),12,31),IF(EOMONTH(C445,1)&gt;PREMISSAS!$C$3,"",IF(MONTH(C445)=11,"13º "&amp;YEAR(C445),EOMONTH(C445,1)))),"")</f>
        <v/>
      </c>
      <c r="D446" s="22">
        <f ca="1">VLOOKUP(C446,Preencher_Salários!$D$7:$E$656,2,FALSE)</f>
        <v>0</v>
      </c>
      <c r="E446" s="4" t="str">
        <f ca="1">IF(D446=0,"",IF(IF(ISTEXT(C446),DATE(RIGHT(C446,4),12,31),C446)&lt;PREMISSAS!$D$7,"",IFERROR(VLOOKUP(IF(LEFT(C446,2)="13",DATE(RIGHT(C446,4),12,31),C446),IPCA!$A:$D,4,FALSE),1)*D446))</f>
        <v/>
      </c>
      <c r="F446" s="4" t="str">
        <f ca="1">IF(C446="","",IFERROR(AVERAGEIF(E$5:$E446,"&gt;="&amp;_xlfn.PERCENTILE.EXC(E$5:$E446,0.2)),0))</f>
        <v/>
      </c>
      <c r="G446" s="4" t="str">
        <f ca="1">IF(C446="","",IFERROR(AVERAGEIF($E$5:E446,"&gt;"&amp;0,$E$5:E446),0))</f>
        <v/>
      </c>
    </row>
    <row r="447" spans="2:7" x14ac:dyDescent="0.3">
      <c r="B447" s="18">
        <v>443</v>
      </c>
      <c r="C447" s="21" t="str">
        <f ca="1">IFERROR(IF(LEFT(C446,2)="13",DATE(RIGHT(C446,4),12,31),IF(EOMONTH(C446,1)&gt;PREMISSAS!$C$3,"",IF(MONTH(C446)=11,"13º "&amp;YEAR(C446),EOMONTH(C446,1)))),"")</f>
        <v/>
      </c>
      <c r="D447" s="22">
        <f ca="1">VLOOKUP(C447,Preencher_Salários!$D$7:$E$656,2,FALSE)</f>
        <v>0</v>
      </c>
      <c r="E447" s="4" t="str">
        <f ca="1">IF(D447=0,"",IF(IF(ISTEXT(C447),DATE(RIGHT(C447,4),12,31),C447)&lt;PREMISSAS!$D$7,"",IFERROR(VLOOKUP(IF(LEFT(C447,2)="13",DATE(RIGHT(C447,4),12,31),C447),IPCA!$A:$D,4,FALSE),1)*D447))</f>
        <v/>
      </c>
      <c r="F447" s="4" t="str">
        <f ca="1">IF(C447="","",IFERROR(AVERAGEIF(E$5:$E447,"&gt;="&amp;_xlfn.PERCENTILE.EXC(E$5:$E447,0.2)),0))</f>
        <v/>
      </c>
      <c r="G447" s="4" t="str">
        <f ca="1">IF(C447="","",IFERROR(AVERAGEIF($E$5:E447,"&gt;"&amp;0,$E$5:E447),0))</f>
        <v/>
      </c>
    </row>
    <row r="448" spans="2:7" x14ac:dyDescent="0.3">
      <c r="B448" s="18">
        <v>444</v>
      </c>
      <c r="C448" s="21" t="str">
        <f ca="1">IFERROR(IF(LEFT(C447,2)="13",DATE(RIGHT(C447,4),12,31),IF(EOMONTH(C447,1)&gt;PREMISSAS!$C$3,"",IF(MONTH(C447)=11,"13º "&amp;YEAR(C447),EOMONTH(C447,1)))),"")</f>
        <v/>
      </c>
      <c r="D448" s="22">
        <f ca="1">VLOOKUP(C448,Preencher_Salários!$D$7:$E$656,2,FALSE)</f>
        <v>0</v>
      </c>
      <c r="E448" s="4" t="str">
        <f ca="1">IF(D448=0,"",IF(IF(ISTEXT(C448),DATE(RIGHT(C448,4),12,31),C448)&lt;PREMISSAS!$D$7,"",IFERROR(VLOOKUP(IF(LEFT(C448,2)="13",DATE(RIGHT(C448,4),12,31),C448),IPCA!$A:$D,4,FALSE),1)*D448))</f>
        <v/>
      </c>
      <c r="F448" s="4" t="str">
        <f ca="1">IF(C448="","",IFERROR(AVERAGEIF(E$5:$E448,"&gt;="&amp;_xlfn.PERCENTILE.EXC(E$5:$E448,0.2)),0))</f>
        <v/>
      </c>
      <c r="G448" s="4" t="str">
        <f ca="1">IF(C448="","",IFERROR(AVERAGEIF($E$5:E448,"&gt;"&amp;0,$E$5:E448),0))</f>
        <v/>
      </c>
    </row>
    <row r="449" spans="2:7" x14ac:dyDescent="0.3">
      <c r="B449" s="18">
        <v>445</v>
      </c>
      <c r="C449" s="21" t="str">
        <f ca="1">IFERROR(IF(LEFT(C448,2)="13",DATE(RIGHT(C448,4),12,31),IF(EOMONTH(C448,1)&gt;PREMISSAS!$C$3,"",IF(MONTH(C448)=11,"13º "&amp;YEAR(C448),EOMONTH(C448,1)))),"")</f>
        <v/>
      </c>
      <c r="D449" s="22">
        <f ca="1">VLOOKUP(C449,Preencher_Salários!$D$7:$E$656,2,FALSE)</f>
        <v>0</v>
      </c>
      <c r="E449" s="4" t="str">
        <f ca="1">IF(D449=0,"",IF(IF(ISTEXT(C449),DATE(RIGHT(C449,4),12,31),C449)&lt;PREMISSAS!$D$7,"",IFERROR(VLOOKUP(IF(LEFT(C449,2)="13",DATE(RIGHT(C449,4),12,31),C449),IPCA!$A:$D,4,FALSE),1)*D449))</f>
        <v/>
      </c>
      <c r="F449" s="4" t="str">
        <f ca="1">IF(C449="","",IFERROR(AVERAGEIF(E$5:$E449,"&gt;="&amp;_xlfn.PERCENTILE.EXC(E$5:$E449,0.2)),0))</f>
        <v/>
      </c>
      <c r="G449" s="4" t="str">
        <f ca="1">IF(C449="","",IFERROR(AVERAGEIF($E$5:E449,"&gt;"&amp;0,$E$5:E449),0))</f>
        <v/>
      </c>
    </row>
    <row r="450" spans="2:7" x14ac:dyDescent="0.3">
      <c r="B450" s="18">
        <v>446</v>
      </c>
      <c r="C450" s="21" t="str">
        <f ca="1">IFERROR(IF(LEFT(C449,2)="13",DATE(RIGHT(C449,4),12,31),IF(EOMONTH(C449,1)&gt;PREMISSAS!$C$3,"",IF(MONTH(C449)=11,"13º "&amp;YEAR(C449),EOMONTH(C449,1)))),"")</f>
        <v/>
      </c>
      <c r="D450" s="22">
        <f ca="1">VLOOKUP(C450,Preencher_Salários!$D$7:$E$656,2,FALSE)</f>
        <v>0</v>
      </c>
      <c r="E450" s="4" t="str">
        <f ca="1">IF(D450=0,"",IF(IF(ISTEXT(C450),DATE(RIGHT(C450,4),12,31),C450)&lt;PREMISSAS!$D$7,"",IFERROR(VLOOKUP(IF(LEFT(C450,2)="13",DATE(RIGHT(C450,4),12,31),C450),IPCA!$A:$D,4,FALSE),1)*D450))</f>
        <v/>
      </c>
      <c r="F450" s="4" t="str">
        <f ca="1">IF(C450="","",IFERROR(AVERAGEIF(E$5:$E450,"&gt;="&amp;_xlfn.PERCENTILE.EXC(E$5:$E450,0.2)),0))</f>
        <v/>
      </c>
      <c r="G450" s="4" t="str">
        <f ca="1">IF(C450="","",IFERROR(AVERAGEIF($E$5:E450,"&gt;"&amp;0,$E$5:E450),0))</f>
        <v/>
      </c>
    </row>
    <row r="451" spans="2:7" x14ac:dyDescent="0.3">
      <c r="B451" s="18">
        <v>447</v>
      </c>
      <c r="C451" s="21" t="str">
        <f ca="1">IFERROR(IF(LEFT(C450,2)="13",DATE(RIGHT(C450,4),12,31),IF(EOMONTH(C450,1)&gt;PREMISSAS!$C$3,"",IF(MONTH(C450)=11,"13º "&amp;YEAR(C450),EOMONTH(C450,1)))),"")</f>
        <v/>
      </c>
      <c r="D451" s="22">
        <f ca="1">VLOOKUP(C451,Preencher_Salários!$D$7:$E$656,2,FALSE)</f>
        <v>0</v>
      </c>
      <c r="E451" s="4" t="str">
        <f ca="1">IF(D451=0,"",IF(IF(ISTEXT(C451),DATE(RIGHT(C451,4),12,31),C451)&lt;PREMISSAS!$D$7,"",IFERROR(VLOOKUP(IF(LEFT(C451,2)="13",DATE(RIGHT(C451,4),12,31),C451),IPCA!$A:$D,4,FALSE),1)*D451))</f>
        <v/>
      </c>
      <c r="F451" s="4" t="str">
        <f ca="1">IF(C451="","",IFERROR(AVERAGEIF(E$5:$E451,"&gt;="&amp;_xlfn.PERCENTILE.EXC(E$5:$E451,0.2)),0))</f>
        <v/>
      </c>
      <c r="G451" s="4" t="str">
        <f ca="1">IF(C451="","",IFERROR(AVERAGEIF($E$5:E451,"&gt;"&amp;0,$E$5:E451),0))</f>
        <v/>
      </c>
    </row>
    <row r="452" spans="2:7" x14ac:dyDescent="0.3">
      <c r="B452" s="18">
        <v>448</v>
      </c>
      <c r="C452" s="21" t="str">
        <f ca="1">IFERROR(IF(LEFT(C451,2)="13",DATE(RIGHT(C451,4),12,31),IF(EOMONTH(C451,1)&gt;PREMISSAS!$C$3,"",IF(MONTH(C451)=11,"13º "&amp;YEAR(C451),EOMONTH(C451,1)))),"")</f>
        <v/>
      </c>
      <c r="D452" s="22">
        <f ca="1">VLOOKUP(C452,Preencher_Salários!$D$7:$E$656,2,FALSE)</f>
        <v>0</v>
      </c>
      <c r="E452" s="4" t="str">
        <f ca="1">IF(D452=0,"",IF(IF(ISTEXT(C452),DATE(RIGHT(C452,4),12,31),C452)&lt;PREMISSAS!$D$7,"",IFERROR(VLOOKUP(IF(LEFT(C452,2)="13",DATE(RIGHT(C452,4),12,31),C452),IPCA!$A:$D,4,FALSE),1)*D452))</f>
        <v/>
      </c>
      <c r="F452" s="4" t="str">
        <f ca="1">IF(C452="","",IFERROR(AVERAGEIF(E$5:$E452,"&gt;="&amp;_xlfn.PERCENTILE.EXC(E$5:$E452,0.2)),0))</f>
        <v/>
      </c>
      <c r="G452" s="4" t="str">
        <f ca="1">IF(C452="","",IFERROR(AVERAGEIF($E$5:E452,"&gt;"&amp;0,$E$5:E452),0))</f>
        <v/>
      </c>
    </row>
    <row r="453" spans="2:7" x14ac:dyDescent="0.3">
      <c r="B453" s="18">
        <v>449</v>
      </c>
      <c r="C453" s="21" t="str">
        <f ca="1">IFERROR(IF(LEFT(C452,2)="13",DATE(RIGHT(C452,4),12,31),IF(EOMONTH(C452,1)&gt;PREMISSAS!$C$3,"",IF(MONTH(C452)=11,"13º "&amp;YEAR(C452),EOMONTH(C452,1)))),"")</f>
        <v/>
      </c>
      <c r="D453" s="22">
        <f ca="1">VLOOKUP(C453,Preencher_Salários!$D$7:$E$656,2,FALSE)</f>
        <v>0</v>
      </c>
      <c r="E453" s="4" t="str">
        <f ca="1">IF(D453=0,"",IF(IF(ISTEXT(C453),DATE(RIGHT(C453,4),12,31),C453)&lt;PREMISSAS!$D$7,"",IFERROR(VLOOKUP(IF(LEFT(C453,2)="13",DATE(RIGHT(C453,4),12,31),C453),IPCA!$A:$D,4,FALSE),1)*D453))</f>
        <v/>
      </c>
      <c r="F453" s="4" t="str">
        <f ca="1">IF(C453="","",IFERROR(AVERAGEIF(E$5:$E453,"&gt;="&amp;_xlfn.PERCENTILE.EXC(E$5:$E453,0.2)),0))</f>
        <v/>
      </c>
      <c r="G453" s="4" t="str">
        <f ca="1">IF(C453="","",IFERROR(AVERAGEIF($E$5:E453,"&gt;"&amp;0,$E$5:E453),0))</f>
        <v/>
      </c>
    </row>
    <row r="454" spans="2:7" x14ac:dyDescent="0.3">
      <c r="B454" s="18">
        <v>450</v>
      </c>
      <c r="C454" s="21" t="str">
        <f ca="1">IFERROR(IF(LEFT(C453,2)="13",DATE(RIGHT(C453,4),12,31),IF(EOMONTH(C453,1)&gt;PREMISSAS!$C$3,"",IF(MONTH(C453)=11,"13º "&amp;YEAR(C453),EOMONTH(C453,1)))),"")</f>
        <v/>
      </c>
      <c r="D454" s="22">
        <f ca="1">VLOOKUP(C454,Preencher_Salários!$D$7:$E$656,2,FALSE)</f>
        <v>0</v>
      </c>
      <c r="E454" s="4" t="str">
        <f ca="1">IF(D454=0,"",IF(IF(ISTEXT(C454),DATE(RIGHT(C454,4),12,31),C454)&lt;PREMISSAS!$D$7,"",IFERROR(VLOOKUP(IF(LEFT(C454,2)="13",DATE(RIGHT(C454,4),12,31),C454),IPCA!$A:$D,4,FALSE),1)*D454))</f>
        <v/>
      </c>
      <c r="F454" s="4" t="str">
        <f ca="1">IF(C454="","",IFERROR(AVERAGEIF(E$5:$E454,"&gt;="&amp;_xlfn.PERCENTILE.EXC(E$5:$E454,0.2)),0))</f>
        <v/>
      </c>
      <c r="G454" s="4" t="str">
        <f ca="1">IF(C454="","",IFERROR(AVERAGEIF($E$5:E454,"&gt;"&amp;0,$E$5:E454),0))</f>
        <v/>
      </c>
    </row>
    <row r="455" spans="2:7" x14ac:dyDescent="0.3">
      <c r="B455" s="18">
        <v>451</v>
      </c>
      <c r="C455" s="21" t="str">
        <f ca="1">IFERROR(IF(LEFT(C454,2)="13",DATE(RIGHT(C454,4),12,31),IF(EOMONTH(C454,1)&gt;PREMISSAS!$C$3,"",IF(MONTH(C454)=11,"13º "&amp;YEAR(C454),EOMONTH(C454,1)))),"")</f>
        <v/>
      </c>
      <c r="D455" s="22">
        <f ca="1">VLOOKUP(C455,Preencher_Salários!$D$7:$E$656,2,FALSE)</f>
        <v>0</v>
      </c>
      <c r="E455" s="4" t="str">
        <f ca="1">IF(D455=0,"",IF(IF(ISTEXT(C455),DATE(RIGHT(C455,4),12,31),C455)&lt;PREMISSAS!$D$7,"",IFERROR(VLOOKUP(IF(LEFT(C455,2)="13",DATE(RIGHT(C455,4),12,31),C455),IPCA!$A:$D,4,FALSE),1)*D455))</f>
        <v/>
      </c>
      <c r="F455" s="4" t="str">
        <f ca="1">IF(C455="","",IFERROR(AVERAGEIF(E$5:$E455,"&gt;="&amp;_xlfn.PERCENTILE.EXC(E$5:$E455,0.2)),0))</f>
        <v/>
      </c>
      <c r="G455" s="4" t="str">
        <f ca="1">IF(C455="","",IFERROR(AVERAGEIF($E$5:E455,"&gt;"&amp;0,$E$5:E455),0))</f>
        <v/>
      </c>
    </row>
    <row r="456" spans="2:7" x14ac:dyDescent="0.3">
      <c r="B456" s="18">
        <v>452</v>
      </c>
      <c r="C456" s="21" t="str">
        <f ca="1">IFERROR(IF(LEFT(C455,2)="13",DATE(RIGHT(C455,4),12,31),IF(EOMONTH(C455,1)&gt;PREMISSAS!$C$3,"",IF(MONTH(C455)=11,"13º "&amp;YEAR(C455),EOMONTH(C455,1)))),"")</f>
        <v/>
      </c>
      <c r="D456" s="22">
        <f ca="1">VLOOKUP(C456,Preencher_Salários!$D$7:$E$656,2,FALSE)</f>
        <v>0</v>
      </c>
      <c r="E456" s="4" t="str">
        <f ca="1">IF(D456=0,"",IF(IF(ISTEXT(C456),DATE(RIGHT(C456,4),12,31),C456)&lt;PREMISSAS!$D$7,"",IFERROR(VLOOKUP(IF(LEFT(C456,2)="13",DATE(RIGHT(C456,4),12,31),C456),IPCA!$A:$D,4,FALSE),1)*D456))</f>
        <v/>
      </c>
      <c r="F456" s="4" t="str">
        <f ca="1">IF(C456="","",IFERROR(AVERAGEIF(E$5:$E456,"&gt;="&amp;_xlfn.PERCENTILE.EXC(E$5:$E456,0.2)),0))</f>
        <v/>
      </c>
      <c r="G456" s="4" t="str">
        <f ca="1">IF(C456="","",IFERROR(AVERAGEIF($E$5:E456,"&gt;"&amp;0,$E$5:E456),0))</f>
        <v/>
      </c>
    </row>
    <row r="457" spans="2:7" x14ac:dyDescent="0.3">
      <c r="B457" s="18">
        <v>453</v>
      </c>
      <c r="C457" s="21" t="str">
        <f ca="1">IFERROR(IF(LEFT(C456,2)="13",DATE(RIGHT(C456,4),12,31),IF(EOMONTH(C456,1)&gt;PREMISSAS!$C$3,"",IF(MONTH(C456)=11,"13º "&amp;YEAR(C456),EOMONTH(C456,1)))),"")</f>
        <v/>
      </c>
      <c r="D457" s="22">
        <f ca="1">VLOOKUP(C457,Preencher_Salários!$D$7:$E$656,2,FALSE)</f>
        <v>0</v>
      </c>
      <c r="E457" s="4" t="str">
        <f ca="1">IF(D457=0,"",IF(IF(ISTEXT(C457),DATE(RIGHT(C457,4),12,31),C457)&lt;PREMISSAS!$D$7,"",IFERROR(VLOOKUP(IF(LEFT(C457,2)="13",DATE(RIGHT(C457,4),12,31),C457),IPCA!$A:$D,4,FALSE),1)*D457))</f>
        <v/>
      </c>
      <c r="F457" s="4" t="str">
        <f ca="1">IF(C457="","",IFERROR(AVERAGEIF(E$5:$E457,"&gt;="&amp;_xlfn.PERCENTILE.EXC(E$5:$E457,0.2)),0))</f>
        <v/>
      </c>
      <c r="G457" s="4" t="str">
        <f ca="1">IF(C457="","",IFERROR(AVERAGEIF($E$5:E457,"&gt;"&amp;0,$E$5:E457),0))</f>
        <v/>
      </c>
    </row>
    <row r="458" spans="2:7" x14ac:dyDescent="0.3">
      <c r="B458" s="18">
        <v>454</v>
      </c>
      <c r="C458" s="21" t="str">
        <f ca="1">IFERROR(IF(LEFT(C457,2)="13",DATE(RIGHT(C457,4),12,31),IF(EOMONTH(C457,1)&gt;PREMISSAS!$C$3,"",IF(MONTH(C457)=11,"13º "&amp;YEAR(C457),EOMONTH(C457,1)))),"")</f>
        <v/>
      </c>
      <c r="D458" s="22">
        <f ca="1">VLOOKUP(C458,Preencher_Salários!$D$7:$E$656,2,FALSE)</f>
        <v>0</v>
      </c>
      <c r="E458" s="4" t="str">
        <f ca="1">IF(D458=0,"",IF(IF(ISTEXT(C458),DATE(RIGHT(C458,4),12,31),C458)&lt;PREMISSAS!$D$7,"",IFERROR(VLOOKUP(IF(LEFT(C458,2)="13",DATE(RIGHT(C458,4),12,31),C458),IPCA!$A:$D,4,FALSE),1)*D458))</f>
        <v/>
      </c>
      <c r="F458" s="4" t="str">
        <f ca="1">IF(C458="","",IFERROR(AVERAGEIF(E$5:$E458,"&gt;="&amp;_xlfn.PERCENTILE.EXC(E$5:$E458,0.2)),0))</f>
        <v/>
      </c>
      <c r="G458" s="4" t="str">
        <f ca="1">IF(C458="","",IFERROR(AVERAGEIF($E$5:E458,"&gt;"&amp;0,$E$5:E458),0))</f>
        <v/>
      </c>
    </row>
    <row r="459" spans="2:7" x14ac:dyDescent="0.3">
      <c r="B459" s="18">
        <v>455</v>
      </c>
      <c r="C459" s="21" t="str">
        <f ca="1">IFERROR(IF(LEFT(C458,2)="13",DATE(RIGHT(C458,4),12,31),IF(EOMONTH(C458,1)&gt;PREMISSAS!$C$3,"",IF(MONTH(C458)=11,"13º "&amp;YEAR(C458),EOMONTH(C458,1)))),"")</f>
        <v/>
      </c>
      <c r="D459" s="22">
        <f ca="1">VLOOKUP(C459,Preencher_Salários!$D$7:$E$656,2,FALSE)</f>
        <v>0</v>
      </c>
      <c r="E459" s="4" t="str">
        <f ca="1">IF(D459=0,"",IF(IF(ISTEXT(C459),DATE(RIGHT(C459,4),12,31),C459)&lt;PREMISSAS!$D$7,"",IFERROR(VLOOKUP(IF(LEFT(C459,2)="13",DATE(RIGHT(C459,4),12,31),C459),IPCA!$A:$D,4,FALSE),1)*D459))</f>
        <v/>
      </c>
      <c r="F459" s="4" t="str">
        <f ca="1">IF(C459="","",IFERROR(AVERAGEIF(E$5:$E459,"&gt;="&amp;_xlfn.PERCENTILE.EXC(E$5:$E459,0.2)),0))</f>
        <v/>
      </c>
      <c r="G459" s="4" t="str">
        <f ca="1">IF(C459="","",IFERROR(AVERAGEIF($E$5:E459,"&gt;"&amp;0,$E$5:E459),0))</f>
        <v/>
      </c>
    </row>
    <row r="460" spans="2:7" x14ac:dyDescent="0.3">
      <c r="B460" s="18">
        <v>456</v>
      </c>
      <c r="C460" s="21" t="str">
        <f ca="1">IFERROR(IF(LEFT(C459,2)="13",DATE(RIGHT(C459,4),12,31),IF(EOMONTH(C459,1)&gt;PREMISSAS!$C$3,"",IF(MONTH(C459)=11,"13º "&amp;YEAR(C459),EOMONTH(C459,1)))),"")</f>
        <v/>
      </c>
      <c r="D460" s="22">
        <f ca="1">VLOOKUP(C460,Preencher_Salários!$D$7:$E$656,2,FALSE)</f>
        <v>0</v>
      </c>
      <c r="E460" s="4" t="str">
        <f ca="1">IF(D460=0,"",IF(IF(ISTEXT(C460),DATE(RIGHT(C460,4),12,31),C460)&lt;PREMISSAS!$D$7,"",IFERROR(VLOOKUP(IF(LEFT(C460,2)="13",DATE(RIGHT(C460,4),12,31),C460),IPCA!$A:$D,4,FALSE),1)*D460))</f>
        <v/>
      </c>
      <c r="F460" s="4" t="str">
        <f ca="1">IF(C460="","",IFERROR(AVERAGEIF(E$5:$E460,"&gt;="&amp;_xlfn.PERCENTILE.EXC(E$5:$E460,0.2)),0))</f>
        <v/>
      </c>
      <c r="G460" s="4" t="str">
        <f ca="1">IF(C460="","",IFERROR(AVERAGEIF($E$5:E460,"&gt;"&amp;0,$E$5:E460),0))</f>
        <v/>
      </c>
    </row>
    <row r="461" spans="2:7" x14ac:dyDescent="0.3">
      <c r="B461" s="18">
        <v>457</v>
      </c>
      <c r="C461" s="21" t="str">
        <f ca="1">IFERROR(IF(LEFT(C460,2)="13",DATE(RIGHT(C460,4),12,31),IF(EOMONTH(C460,1)&gt;PREMISSAS!$C$3,"",IF(MONTH(C460)=11,"13º "&amp;YEAR(C460),EOMONTH(C460,1)))),"")</f>
        <v/>
      </c>
      <c r="D461" s="22">
        <f ca="1">VLOOKUP(C461,Preencher_Salários!$D$7:$E$656,2,FALSE)</f>
        <v>0</v>
      </c>
      <c r="E461" s="4" t="str">
        <f ca="1">IF(D461=0,"",IF(IF(ISTEXT(C461),DATE(RIGHT(C461,4),12,31),C461)&lt;PREMISSAS!$D$7,"",IFERROR(VLOOKUP(IF(LEFT(C461,2)="13",DATE(RIGHT(C461,4),12,31),C461),IPCA!$A:$D,4,FALSE),1)*D461))</f>
        <v/>
      </c>
      <c r="F461" s="4" t="str">
        <f ca="1">IF(C461="","",IFERROR(AVERAGEIF(E$5:$E461,"&gt;="&amp;_xlfn.PERCENTILE.EXC(E$5:$E461,0.2)),0))</f>
        <v/>
      </c>
      <c r="G461" s="4" t="str">
        <f ca="1">IF(C461="","",IFERROR(AVERAGEIF($E$5:E461,"&gt;"&amp;0,$E$5:E461),0))</f>
        <v/>
      </c>
    </row>
    <row r="462" spans="2:7" x14ac:dyDescent="0.3">
      <c r="B462" s="18">
        <v>458</v>
      </c>
      <c r="C462" s="21" t="str">
        <f ca="1">IFERROR(IF(LEFT(C461,2)="13",DATE(RIGHT(C461,4),12,31),IF(EOMONTH(C461,1)&gt;PREMISSAS!$C$3,"",IF(MONTH(C461)=11,"13º "&amp;YEAR(C461),EOMONTH(C461,1)))),"")</f>
        <v/>
      </c>
      <c r="D462" s="22">
        <f ca="1">VLOOKUP(C462,Preencher_Salários!$D$7:$E$656,2,FALSE)</f>
        <v>0</v>
      </c>
      <c r="E462" s="4" t="str">
        <f ca="1">IF(D462=0,"",IF(IF(ISTEXT(C462),DATE(RIGHT(C462,4),12,31),C462)&lt;PREMISSAS!$D$7,"",IFERROR(VLOOKUP(IF(LEFT(C462,2)="13",DATE(RIGHT(C462,4),12,31),C462),IPCA!$A:$D,4,FALSE),1)*D462))</f>
        <v/>
      </c>
      <c r="F462" s="4" t="str">
        <f ca="1">IF(C462="","",IFERROR(AVERAGEIF(E$5:$E462,"&gt;="&amp;_xlfn.PERCENTILE.EXC(E$5:$E462,0.2)),0))</f>
        <v/>
      </c>
      <c r="G462" s="4" t="str">
        <f ca="1">IF(C462="","",IFERROR(AVERAGEIF($E$5:E462,"&gt;"&amp;0,$E$5:E462),0))</f>
        <v/>
      </c>
    </row>
    <row r="463" spans="2:7" x14ac:dyDescent="0.3">
      <c r="B463" s="18">
        <v>459</v>
      </c>
      <c r="C463" s="21" t="str">
        <f ca="1">IFERROR(IF(LEFT(C462,2)="13",DATE(RIGHT(C462,4),12,31),IF(EOMONTH(C462,1)&gt;PREMISSAS!$C$3,"",IF(MONTH(C462)=11,"13º "&amp;YEAR(C462),EOMONTH(C462,1)))),"")</f>
        <v/>
      </c>
      <c r="D463" s="22">
        <f ca="1">VLOOKUP(C463,Preencher_Salários!$D$7:$E$656,2,FALSE)</f>
        <v>0</v>
      </c>
      <c r="E463" s="4" t="str">
        <f ca="1">IF(D463=0,"",IF(IF(ISTEXT(C463),DATE(RIGHT(C463,4),12,31),C463)&lt;PREMISSAS!$D$7,"",IFERROR(VLOOKUP(IF(LEFT(C463,2)="13",DATE(RIGHT(C463,4),12,31),C463),IPCA!$A:$D,4,FALSE),1)*D463))</f>
        <v/>
      </c>
      <c r="F463" s="4" t="str">
        <f ca="1">IF(C463="","",IFERROR(AVERAGEIF(E$5:$E463,"&gt;="&amp;_xlfn.PERCENTILE.EXC(E$5:$E463,0.2)),0))</f>
        <v/>
      </c>
      <c r="G463" s="4" t="str">
        <f ca="1">IF(C463="","",IFERROR(AVERAGEIF($E$5:E463,"&gt;"&amp;0,$E$5:E463),0))</f>
        <v/>
      </c>
    </row>
    <row r="464" spans="2:7" x14ac:dyDescent="0.3">
      <c r="B464" s="18">
        <v>460</v>
      </c>
      <c r="C464" s="21" t="str">
        <f ca="1">IFERROR(IF(LEFT(C463,2)="13",DATE(RIGHT(C463,4),12,31),IF(EOMONTH(C463,1)&gt;PREMISSAS!$C$3,"",IF(MONTH(C463)=11,"13º "&amp;YEAR(C463),EOMONTH(C463,1)))),"")</f>
        <v/>
      </c>
      <c r="D464" s="22">
        <f ca="1">VLOOKUP(C464,Preencher_Salários!$D$7:$E$656,2,FALSE)</f>
        <v>0</v>
      </c>
      <c r="E464" s="4" t="str">
        <f ca="1">IF(D464=0,"",IF(IF(ISTEXT(C464),DATE(RIGHT(C464,4),12,31),C464)&lt;PREMISSAS!$D$7,"",IFERROR(VLOOKUP(IF(LEFT(C464,2)="13",DATE(RIGHT(C464,4),12,31),C464),IPCA!$A:$D,4,FALSE),1)*D464))</f>
        <v/>
      </c>
      <c r="F464" s="4" t="str">
        <f ca="1">IF(C464="","",IFERROR(AVERAGEIF(E$5:$E464,"&gt;="&amp;_xlfn.PERCENTILE.EXC(E$5:$E464,0.2)),0))</f>
        <v/>
      </c>
      <c r="G464" s="4" t="str">
        <f ca="1">IF(C464="","",IFERROR(AVERAGEIF($E$5:E464,"&gt;"&amp;0,$E$5:E464),0))</f>
        <v/>
      </c>
    </row>
    <row r="465" spans="2:7" x14ac:dyDescent="0.3">
      <c r="B465" s="18">
        <v>461</v>
      </c>
      <c r="C465" s="21" t="str">
        <f ca="1">IFERROR(IF(LEFT(C464,2)="13",DATE(RIGHT(C464,4),12,31),IF(EOMONTH(C464,1)&gt;PREMISSAS!$C$3,"",IF(MONTH(C464)=11,"13º "&amp;YEAR(C464),EOMONTH(C464,1)))),"")</f>
        <v/>
      </c>
      <c r="D465" s="22">
        <f ca="1">VLOOKUP(C465,Preencher_Salários!$D$7:$E$656,2,FALSE)</f>
        <v>0</v>
      </c>
      <c r="E465" s="4" t="str">
        <f ca="1">IF(D465=0,"",IF(IF(ISTEXT(C465),DATE(RIGHT(C465,4),12,31),C465)&lt;PREMISSAS!$D$7,"",IFERROR(VLOOKUP(IF(LEFT(C465,2)="13",DATE(RIGHT(C465,4),12,31),C465),IPCA!$A:$D,4,FALSE),1)*D465))</f>
        <v/>
      </c>
      <c r="F465" s="4" t="str">
        <f ca="1">IF(C465="","",IFERROR(AVERAGEIF(E$5:$E465,"&gt;="&amp;_xlfn.PERCENTILE.EXC(E$5:$E465,0.2)),0))</f>
        <v/>
      </c>
      <c r="G465" s="4" t="str">
        <f ca="1">IF(C465="","",IFERROR(AVERAGEIF($E$5:E465,"&gt;"&amp;0,$E$5:E465),0))</f>
        <v/>
      </c>
    </row>
    <row r="466" spans="2:7" x14ac:dyDescent="0.3">
      <c r="B466" s="18">
        <v>462</v>
      </c>
      <c r="C466" s="21" t="str">
        <f ca="1">IFERROR(IF(LEFT(C465,2)="13",DATE(RIGHT(C465,4),12,31),IF(EOMONTH(C465,1)&gt;PREMISSAS!$C$3,"",IF(MONTH(C465)=11,"13º "&amp;YEAR(C465),EOMONTH(C465,1)))),"")</f>
        <v/>
      </c>
      <c r="D466" s="22">
        <f ca="1">VLOOKUP(C466,Preencher_Salários!$D$7:$E$656,2,FALSE)</f>
        <v>0</v>
      </c>
      <c r="E466" s="4" t="str">
        <f ca="1">IF(D466=0,"",IF(IF(ISTEXT(C466),DATE(RIGHT(C466,4),12,31),C466)&lt;PREMISSAS!$D$7,"",IFERROR(VLOOKUP(IF(LEFT(C466,2)="13",DATE(RIGHT(C466,4),12,31),C466),IPCA!$A:$D,4,FALSE),1)*D466))</f>
        <v/>
      </c>
      <c r="F466" s="4" t="str">
        <f ca="1">IF(C466="","",IFERROR(AVERAGEIF(E$5:$E466,"&gt;="&amp;_xlfn.PERCENTILE.EXC(E$5:$E466,0.2)),0))</f>
        <v/>
      </c>
      <c r="G466" s="4" t="str">
        <f ca="1">IF(C466="","",IFERROR(AVERAGEIF($E$5:E466,"&gt;"&amp;0,$E$5:E466),0))</f>
        <v/>
      </c>
    </row>
    <row r="467" spans="2:7" x14ac:dyDescent="0.3">
      <c r="B467" s="18">
        <v>463</v>
      </c>
      <c r="C467" s="21" t="str">
        <f ca="1">IFERROR(IF(LEFT(C466,2)="13",DATE(RIGHT(C466,4),12,31),IF(EOMONTH(C466,1)&gt;PREMISSAS!$C$3,"",IF(MONTH(C466)=11,"13º "&amp;YEAR(C466),EOMONTH(C466,1)))),"")</f>
        <v/>
      </c>
      <c r="D467" s="22">
        <f ca="1">VLOOKUP(C467,Preencher_Salários!$D$7:$E$656,2,FALSE)</f>
        <v>0</v>
      </c>
      <c r="E467" s="4" t="str">
        <f ca="1">IF(D467=0,"",IF(IF(ISTEXT(C467),DATE(RIGHT(C467,4),12,31),C467)&lt;PREMISSAS!$D$7,"",IFERROR(VLOOKUP(IF(LEFT(C467,2)="13",DATE(RIGHT(C467,4),12,31),C467),IPCA!$A:$D,4,FALSE),1)*D467))</f>
        <v/>
      </c>
      <c r="F467" s="4" t="str">
        <f ca="1">IF(C467="","",IFERROR(AVERAGEIF(E$5:$E467,"&gt;="&amp;_xlfn.PERCENTILE.EXC(E$5:$E467,0.2)),0))</f>
        <v/>
      </c>
      <c r="G467" s="4" t="str">
        <f ca="1">IF(C467="","",IFERROR(AVERAGEIF($E$5:E467,"&gt;"&amp;0,$E$5:E467),0))</f>
        <v/>
      </c>
    </row>
    <row r="468" spans="2:7" x14ac:dyDescent="0.3">
      <c r="B468" s="18">
        <v>464</v>
      </c>
      <c r="C468" s="21" t="str">
        <f ca="1">IFERROR(IF(LEFT(C467,2)="13",DATE(RIGHT(C467,4),12,31),IF(EOMONTH(C467,1)&gt;PREMISSAS!$C$3,"",IF(MONTH(C467)=11,"13º "&amp;YEAR(C467),EOMONTH(C467,1)))),"")</f>
        <v/>
      </c>
      <c r="D468" s="22">
        <f ca="1">VLOOKUP(C468,Preencher_Salários!$D$7:$E$656,2,FALSE)</f>
        <v>0</v>
      </c>
      <c r="E468" s="4" t="str">
        <f ca="1">IF(D468=0,"",IF(IF(ISTEXT(C468),DATE(RIGHT(C468,4),12,31),C468)&lt;PREMISSAS!$D$7,"",IFERROR(VLOOKUP(IF(LEFT(C468,2)="13",DATE(RIGHT(C468,4),12,31),C468),IPCA!$A:$D,4,FALSE),1)*D468))</f>
        <v/>
      </c>
      <c r="F468" s="4" t="str">
        <f ca="1">IF(C468="","",IFERROR(AVERAGEIF(E$5:$E468,"&gt;="&amp;_xlfn.PERCENTILE.EXC(E$5:$E468,0.2)),0))</f>
        <v/>
      </c>
      <c r="G468" s="4" t="str">
        <f ca="1">IF(C468="","",IFERROR(AVERAGEIF($E$5:E468,"&gt;"&amp;0,$E$5:E468),0))</f>
        <v/>
      </c>
    </row>
    <row r="469" spans="2:7" x14ac:dyDescent="0.3">
      <c r="B469" s="18">
        <v>465</v>
      </c>
      <c r="C469" s="21" t="str">
        <f ca="1">IFERROR(IF(LEFT(C468,2)="13",DATE(RIGHT(C468,4),12,31),IF(EOMONTH(C468,1)&gt;PREMISSAS!$C$3,"",IF(MONTH(C468)=11,"13º "&amp;YEAR(C468),EOMONTH(C468,1)))),"")</f>
        <v/>
      </c>
      <c r="D469" s="22">
        <f ca="1">VLOOKUP(C469,Preencher_Salários!$D$7:$E$656,2,FALSE)</f>
        <v>0</v>
      </c>
      <c r="E469" s="4" t="str">
        <f ca="1">IF(D469=0,"",IF(IF(ISTEXT(C469),DATE(RIGHT(C469,4),12,31),C469)&lt;PREMISSAS!$D$7,"",IFERROR(VLOOKUP(IF(LEFT(C469,2)="13",DATE(RIGHT(C469,4),12,31),C469),IPCA!$A:$D,4,FALSE),1)*D469))</f>
        <v/>
      </c>
      <c r="F469" s="4" t="str">
        <f ca="1">IF(C469="","",IFERROR(AVERAGEIF(E$5:$E469,"&gt;="&amp;_xlfn.PERCENTILE.EXC(E$5:$E469,0.2)),0))</f>
        <v/>
      </c>
      <c r="G469" s="4" t="str">
        <f ca="1">IF(C469="","",IFERROR(AVERAGEIF($E$5:E469,"&gt;"&amp;0,$E$5:E469),0))</f>
        <v/>
      </c>
    </row>
    <row r="470" spans="2:7" x14ac:dyDescent="0.3">
      <c r="B470" s="18">
        <v>466</v>
      </c>
      <c r="C470" s="21" t="str">
        <f ca="1">IFERROR(IF(LEFT(C469,2)="13",DATE(RIGHT(C469,4),12,31),IF(EOMONTH(C469,1)&gt;PREMISSAS!$C$3,"",IF(MONTH(C469)=11,"13º "&amp;YEAR(C469),EOMONTH(C469,1)))),"")</f>
        <v/>
      </c>
      <c r="D470" s="22">
        <f ca="1">VLOOKUP(C470,Preencher_Salários!$D$7:$E$656,2,FALSE)</f>
        <v>0</v>
      </c>
      <c r="E470" s="4" t="str">
        <f ca="1">IF(D470=0,"",IF(IF(ISTEXT(C470),DATE(RIGHT(C470,4),12,31),C470)&lt;PREMISSAS!$D$7,"",IFERROR(VLOOKUP(IF(LEFT(C470,2)="13",DATE(RIGHT(C470,4),12,31),C470),IPCA!$A:$D,4,FALSE),1)*D470))</f>
        <v/>
      </c>
      <c r="F470" s="4" t="str">
        <f ca="1">IF(C470="","",IFERROR(AVERAGEIF(E$5:$E470,"&gt;="&amp;_xlfn.PERCENTILE.EXC(E$5:$E470,0.2)),0))</f>
        <v/>
      </c>
      <c r="G470" s="4" t="str">
        <f ca="1">IF(C470="","",IFERROR(AVERAGEIF($E$5:E470,"&gt;"&amp;0,$E$5:E470),0))</f>
        <v/>
      </c>
    </row>
    <row r="471" spans="2:7" x14ac:dyDescent="0.3">
      <c r="B471" s="18">
        <v>467</v>
      </c>
      <c r="C471" s="21" t="str">
        <f ca="1">IFERROR(IF(LEFT(C470,2)="13",DATE(RIGHT(C470,4),12,31),IF(EOMONTH(C470,1)&gt;PREMISSAS!$C$3,"",IF(MONTH(C470)=11,"13º "&amp;YEAR(C470),EOMONTH(C470,1)))),"")</f>
        <v/>
      </c>
      <c r="D471" s="22">
        <f ca="1">VLOOKUP(C471,Preencher_Salários!$D$7:$E$656,2,FALSE)</f>
        <v>0</v>
      </c>
      <c r="E471" s="4" t="str">
        <f ca="1">IF(D471=0,"",IF(IF(ISTEXT(C471),DATE(RIGHT(C471,4),12,31),C471)&lt;PREMISSAS!$D$7,"",IFERROR(VLOOKUP(IF(LEFT(C471,2)="13",DATE(RIGHT(C471,4),12,31),C471),IPCA!$A:$D,4,FALSE),1)*D471))</f>
        <v/>
      </c>
      <c r="F471" s="4" t="str">
        <f ca="1">IF(C471="","",IFERROR(AVERAGEIF(E$5:$E471,"&gt;="&amp;_xlfn.PERCENTILE.EXC(E$5:$E471,0.2)),0))</f>
        <v/>
      </c>
      <c r="G471" s="4" t="str">
        <f ca="1">IF(C471="","",IFERROR(AVERAGEIF($E$5:E471,"&gt;"&amp;0,$E$5:E471),0))</f>
        <v/>
      </c>
    </row>
    <row r="472" spans="2:7" x14ac:dyDescent="0.3">
      <c r="B472" s="18">
        <v>468</v>
      </c>
      <c r="C472" s="21" t="str">
        <f ca="1">IFERROR(IF(LEFT(C471,2)="13",DATE(RIGHT(C471,4),12,31),IF(EOMONTH(C471,1)&gt;PREMISSAS!$C$3,"",IF(MONTH(C471)=11,"13º "&amp;YEAR(C471),EOMONTH(C471,1)))),"")</f>
        <v/>
      </c>
      <c r="D472" s="22">
        <f ca="1">VLOOKUP(C472,Preencher_Salários!$D$7:$E$656,2,FALSE)</f>
        <v>0</v>
      </c>
      <c r="E472" s="4" t="str">
        <f ca="1">IF(D472=0,"",IF(IF(ISTEXT(C472),DATE(RIGHT(C472,4),12,31),C472)&lt;PREMISSAS!$D$7,"",IFERROR(VLOOKUP(IF(LEFT(C472,2)="13",DATE(RIGHT(C472,4),12,31),C472),IPCA!$A:$D,4,FALSE),1)*D472))</f>
        <v/>
      </c>
      <c r="F472" s="4" t="str">
        <f ca="1">IF(C472="","",IFERROR(AVERAGEIF(E$5:$E472,"&gt;="&amp;_xlfn.PERCENTILE.EXC(E$5:$E472,0.2)),0))</f>
        <v/>
      </c>
      <c r="G472" s="4" t="str">
        <f ca="1">IF(C472="","",IFERROR(AVERAGEIF($E$5:E472,"&gt;"&amp;0,$E$5:E472),0))</f>
        <v/>
      </c>
    </row>
    <row r="473" spans="2:7" x14ac:dyDescent="0.3">
      <c r="B473" s="18">
        <v>469</v>
      </c>
      <c r="C473" s="21" t="str">
        <f ca="1">IFERROR(IF(LEFT(C472,2)="13",DATE(RIGHT(C472,4),12,31),IF(EOMONTH(C472,1)&gt;PREMISSAS!$C$3,"",IF(MONTH(C472)=11,"13º "&amp;YEAR(C472),EOMONTH(C472,1)))),"")</f>
        <v/>
      </c>
      <c r="D473" s="22">
        <f ca="1">VLOOKUP(C473,Preencher_Salários!$D$7:$E$656,2,FALSE)</f>
        <v>0</v>
      </c>
      <c r="E473" s="4" t="str">
        <f ca="1">IF(D473=0,"",IF(IF(ISTEXT(C473),DATE(RIGHT(C473,4),12,31),C473)&lt;PREMISSAS!$D$7,"",IFERROR(VLOOKUP(IF(LEFT(C473,2)="13",DATE(RIGHT(C473,4),12,31),C473),IPCA!$A:$D,4,FALSE),1)*D473))</f>
        <v/>
      </c>
      <c r="F473" s="4" t="str">
        <f ca="1">IF(C473="","",IFERROR(AVERAGEIF(E$5:$E473,"&gt;="&amp;_xlfn.PERCENTILE.EXC(E$5:$E473,0.2)),0))</f>
        <v/>
      </c>
      <c r="G473" s="4" t="str">
        <f ca="1">IF(C473="","",IFERROR(AVERAGEIF($E$5:E473,"&gt;"&amp;0,$E$5:E473),0))</f>
        <v/>
      </c>
    </row>
    <row r="474" spans="2:7" x14ac:dyDescent="0.3">
      <c r="B474" s="18">
        <v>470</v>
      </c>
      <c r="C474" s="21" t="str">
        <f ca="1">IFERROR(IF(LEFT(C473,2)="13",DATE(RIGHT(C473,4),12,31),IF(EOMONTH(C473,1)&gt;PREMISSAS!$C$3,"",IF(MONTH(C473)=11,"13º "&amp;YEAR(C473),EOMONTH(C473,1)))),"")</f>
        <v/>
      </c>
      <c r="D474" s="22">
        <f ca="1">VLOOKUP(C474,Preencher_Salários!$D$7:$E$656,2,FALSE)</f>
        <v>0</v>
      </c>
      <c r="E474" s="4" t="str">
        <f ca="1">IF(D474=0,"",IF(IF(ISTEXT(C474),DATE(RIGHT(C474,4),12,31),C474)&lt;PREMISSAS!$D$7,"",IFERROR(VLOOKUP(IF(LEFT(C474,2)="13",DATE(RIGHT(C474,4),12,31),C474),IPCA!$A:$D,4,FALSE),1)*D474))</f>
        <v/>
      </c>
      <c r="F474" s="4" t="str">
        <f ca="1">IF(C474="","",IFERROR(AVERAGEIF(E$5:$E474,"&gt;="&amp;_xlfn.PERCENTILE.EXC(E$5:$E474,0.2)),0))</f>
        <v/>
      </c>
      <c r="G474" s="4" t="str">
        <f ca="1">IF(C474="","",IFERROR(AVERAGEIF($E$5:E474,"&gt;"&amp;0,$E$5:E474),0))</f>
        <v/>
      </c>
    </row>
    <row r="475" spans="2:7" x14ac:dyDescent="0.3">
      <c r="B475" s="18">
        <v>471</v>
      </c>
      <c r="C475" s="21" t="str">
        <f ca="1">IFERROR(IF(LEFT(C474,2)="13",DATE(RIGHT(C474,4),12,31),IF(EOMONTH(C474,1)&gt;PREMISSAS!$C$3,"",IF(MONTH(C474)=11,"13º "&amp;YEAR(C474),EOMONTH(C474,1)))),"")</f>
        <v/>
      </c>
      <c r="D475" s="22">
        <f ca="1">VLOOKUP(C475,Preencher_Salários!$D$7:$E$656,2,FALSE)</f>
        <v>0</v>
      </c>
      <c r="E475" s="4" t="str">
        <f ca="1">IF(D475=0,"",IF(IF(ISTEXT(C475),DATE(RIGHT(C475,4),12,31),C475)&lt;PREMISSAS!$D$7,"",IFERROR(VLOOKUP(IF(LEFT(C475,2)="13",DATE(RIGHT(C475,4),12,31),C475),IPCA!$A:$D,4,FALSE),1)*D475))</f>
        <v/>
      </c>
      <c r="F475" s="4" t="str">
        <f ca="1">IF(C475="","",IFERROR(AVERAGEIF(E$5:$E475,"&gt;="&amp;_xlfn.PERCENTILE.EXC(E$5:$E475,0.2)),0))</f>
        <v/>
      </c>
      <c r="G475" s="4" t="str">
        <f ca="1">IF(C475="","",IFERROR(AVERAGEIF($E$5:E475,"&gt;"&amp;0,$E$5:E475),0))</f>
        <v/>
      </c>
    </row>
    <row r="476" spans="2:7" x14ac:dyDescent="0.3">
      <c r="B476" s="18">
        <v>472</v>
      </c>
      <c r="C476" s="21" t="str">
        <f ca="1">IFERROR(IF(LEFT(C475,2)="13",DATE(RIGHT(C475,4),12,31),IF(EOMONTH(C475,1)&gt;PREMISSAS!$C$3,"",IF(MONTH(C475)=11,"13º "&amp;YEAR(C475),EOMONTH(C475,1)))),"")</f>
        <v/>
      </c>
      <c r="D476" s="22">
        <f ca="1">VLOOKUP(C476,Preencher_Salários!$D$7:$E$656,2,FALSE)</f>
        <v>0</v>
      </c>
      <c r="E476" s="4" t="str">
        <f ca="1">IF(D476=0,"",IF(IF(ISTEXT(C476),DATE(RIGHT(C476,4),12,31),C476)&lt;PREMISSAS!$D$7,"",IFERROR(VLOOKUP(IF(LEFT(C476,2)="13",DATE(RIGHT(C476,4),12,31),C476),IPCA!$A:$D,4,FALSE),1)*D476))</f>
        <v/>
      </c>
      <c r="F476" s="4" t="str">
        <f ca="1">IF(C476="","",IFERROR(AVERAGEIF(E$5:$E476,"&gt;="&amp;_xlfn.PERCENTILE.EXC(E$5:$E476,0.2)),0))</f>
        <v/>
      </c>
      <c r="G476" s="4" t="str">
        <f ca="1">IF(C476="","",IFERROR(AVERAGEIF($E$5:E476,"&gt;"&amp;0,$E$5:E476),0))</f>
        <v/>
      </c>
    </row>
    <row r="477" spans="2:7" x14ac:dyDescent="0.3">
      <c r="B477" s="18">
        <v>473</v>
      </c>
      <c r="C477" s="21" t="str">
        <f ca="1">IFERROR(IF(LEFT(C476,2)="13",DATE(RIGHT(C476,4),12,31),IF(EOMONTH(C476,1)&gt;PREMISSAS!$C$3,"",IF(MONTH(C476)=11,"13º "&amp;YEAR(C476),EOMONTH(C476,1)))),"")</f>
        <v/>
      </c>
      <c r="D477" s="22">
        <f ca="1">VLOOKUP(C477,Preencher_Salários!$D$7:$E$656,2,FALSE)</f>
        <v>0</v>
      </c>
      <c r="E477" s="4" t="str">
        <f ca="1">IF(D477=0,"",IF(IF(ISTEXT(C477),DATE(RIGHT(C477,4),12,31),C477)&lt;PREMISSAS!$D$7,"",IFERROR(VLOOKUP(IF(LEFT(C477,2)="13",DATE(RIGHT(C477,4),12,31),C477),IPCA!$A:$D,4,FALSE),1)*D477))</f>
        <v/>
      </c>
      <c r="F477" s="4" t="str">
        <f ca="1">IF(C477="","",IFERROR(AVERAGEIF(E$5:$E477,"&gt;="&amp;_xlfn.PERCENTILE.EXC(E$5:$E477,0.2)),0))</f>
        <v/>
      </c>
      <c r="G477" s="4" t="str">
        <f ca="1">IF(C477="","",IFERROR(AVERAGEIF($E$5:E477,"&gt;"&amp;0,$E$5:E477),0))</f>
        <v/>
      </c>
    </row>
    <row r="478" spans="2:7" x14ac:dyDescent="0.3">
      <c r="B478" s="18">
        <v>474</v>
      </c>
      <c r="C478" s="21" t="str">
        <f ca="1">IFERROR(IF(LEFT(C477,2)="13",DATE(RIGHT(C477,4),12,31),IF(EOMONTH(C477,1)&gt;PREMISSAS!$C$3,"",IF(MONTH(C477)=11,"13º "&amp;YEAR(C477),EOMONTH(C477,1)))),"")</f>
        <v/>
      </c>
      <c r="D478" s="22">
        <f ca="1">VLOOKUP(C478,Preencher_Salários!$D$7:$E$656,2,FALSE)</f>
        <v>0</v>
      </c>
      <c r="E478" s="4" t="str">
        <f ca="1">IF(D478=0,"",IF(IF(ISTEXT(C478),DATE(RIGHT(C478,4),12,31),C478)&lt;PREMISSAS!$D$7,"",IFERROR(VLOOKUP(IF(LEFT(C478,2)="13",DATE(RIGHT(C478,4),12,31),C478),IPCA!$A:$D,4,FALSE),1)*D478))</f>
        <v/>
      </c>
      <c r="F478" s="4" t="str">
        <f ca="1">IF(C478="","",IFERROR(AVERAGEIF(E$5:$E478,"&gt;="&amp;_xlfn.PERCENTILE.EXC(E$5:$E478,0.2)),0))</f>
        <v/>
      </c>
      <c r="G478" s="4" t="str">
        <f ca="1">IF(C478="","",IFERROR(AVERAGEIF($E$5:E478,"&gt;"&amp;0,$E$5:E478),0))</f>
        <v/>
      </c>
    </row>
    <row r="479" spans="2:7" x14ac:dyDescent="0.3">
      <c r="B479" s="18">
        <v>475</v>
      </c>
      <c r="C479" s="21" t="str">
        <f ca="1">IFERROR(IF(LEFT(C478,2)="13",DATE(RIGHT(C478,4),12,31),IF(EOMONTH(C478,1)&gt;PREMISSAS!$C$3,"",IF(MONTH(C478)=11,"13º "&amp;YEAR(C478),EOMONTH(C478,1)))),"")</f>
        <v/>
      </c>
      <c r="D479" s="22">
        <f ca="1">VLOOKUP(C479,Preencher_Salários!$D$7:$E$656,2,FALSE)</f>
        <v>0</v>
      </c>
      <c r="E479" s="4" t="str">
        <f ca="1">IF(D479=0,"",IF(IF(ISTEXT(C479),DATE(RIGHT(C479,4),12,31),C479)&lt;PREMISSAS!$D$7,"",IFERROR(VLOOKUP(IF(LEFT(C479,2)="13",DATE(RIGHT(C479,4),12,31),C479),IPCA!$A:$D,4,FALSE),1)*D479))</f>
        <v/>
      </c>
      <c r="F479" s="4" t="str">
        <f ca="1">IF(C479="","",IFERROR(AVERAGEIF(E$5:$E479,"&gt;="&amp;_xlfn.PERCENTILE.EXC(E$5:$E479,0.2)),0))</f>
        <v/>
      </c>
      <c r="G479" s="4" t="str">
        <f ca="1">IF(C479="","",IFERROR(AVERAGEIF($E$5:E479,"&gt;"&amp;0,$E$5:E479),0))</f>
        <v/>
      </c>
    </row>
    <row r="480" spans="2:7" x14ac:dyDescent="0.3">
      <c r="B480" s="18">
        <v>476</v>
      </c>
      <c r="C480" s="21" t="str">
        <f ca="1">IFERROR(IF(LEFT(C479,2)="13",DATE(RIGHT(C479,4),12,31),IF(EOMONTH(C479,1)&gt;PREMISSAS!$C$3,"",IF(MONTH(C479)=11,"13º "&amp;YEAR(C479),EOMONTH(C479,1)))),"")</f>
        <v/>
      </c>
      <c r="D480" s="22">
        <f ca="1">VLOOKUP(C480,Preencher_Salários!$D$7:$E$656,2,FALSE)</f>
        <v>0</v>
      </c>
      <c r="E480" s="4" t="str">
        <f ca="1">IF(D480=0,"",IF(IF(ISTEXT(C480),DATE(RIGHT(C480,4),12,31),C480)&lt;PREMISSAS!$D$7,"",IFERROR(VLOOKUP(IF(LEFT(C480,2)="13",DATE(RIGHT(C480,4),12,31),C480),IPCA!$A:$D,4,FALSE),1)*D480))</f>
        <v/>
      </c>
      <c r="F480" s="4" t="str">
        <f ca="1">IF(C480="","",IFERROR(AVERAGEIF(E$5:$E480,"&gt;="&amp;_xlfn.PERCENTILE.EXC(E$5:$E480,0.2)),0))</f>
        <v/>
      </c>
      <c r="G480" s="4" t="str">
        <f ca="1">IF(C480="","",IFERROR(AVERAGEIF($E$5:E480,"&gt;"&amp;0,$E$5:E480),0))</f>
        <v/>
      </c>
    </row>
    <row r="481" spans="2:7" x14ac:dyDescent="0.3">
      <c r="B481" s="18">
        <v>477</v>
      </c>
      <c r="C481" s="21" t="str">
        <f ca="1">IFERROR(IF(LEFT(C480,2)="13",DATE(RIGHT(C480,4),12,31),IF(EOMONTH(C480,1)&gt;PREMISSAS!$C$3,"",IF(MONTH(C480)=11,"13º "&amp;YEAR(C480),EOMONTH(C480,1)))),"")</f>
        <v/>
      </c>
      <c r="D481" s="22">
        <f ca="1">VLOOKUP(C481,Preencher_Salários!$D$7:$E$656,2,FALSE)</f>
        <v>0</v>
      </c>
      <c r="E481" s="4" t="str">
        <f ca="1">IF(D481=0,"",IF(IF(ISTEXT(C481),DATE(RIGHT(C481,4),12,31),C481)&lt;PREMISSAS!$D$7,"",IFERROR(VLOOKUP(IF(LEFT(C481,2)="13",DATE(RIGHT(C481,4),12,31),C481),IPCA!$A:$D,4,FALSE),1)*D481))</f>
        <v/>
      </c>
      <c r="F481" s="4" t="str">
        <f ca="1">IF(C481="","",IFERROR(AVERAGEIF(E$5:$E481,"&gt;="&amp;_xlfn.PERCENTILE.EXC(E$5:$E481,0.2)),0))</f>
        <v/>
      </c>
      <c r="G481" s="4" t="str">
        <f ca="1">IF(C481="","",IFERROR(AVERAGEIF($E$5:E481,"&gt;"&amp;0,$E$5:E481),0))</f>
        <v/>
      </c>
    </row>
    <row r="482" spans="2:7" x14ac:dyDescent="0.3">
      <c r="B482" s="18">
        <v>478</v>
      </c>
      <c r="C482" s="21" t="str">
        <f ca="1">IFERROR(IF(LEFT(C481,2)="13",DATE(RIGHT(C481,4),12,31),IF(EOMONTH(C481,1)&gt;PREMISSAS!$C$3,"",IF(MONTH(C481)=11,"13º "&amp;YEAR(C481),EOMONTH(C481,1)))),"")</f>
        <v/>
      </c>
      <c r="D482" s="22">
        <f ca="1">VLOOKUP(C482,Preencher_Salários!$D$7:$E$656,2,FALSE)</f>
        <v>0</v>
      </c>
      <c r="E482" s="4" t="str">
        <f ca="1">IF(D482=0,"",IF(IF(ISTEXT(C482),DATE(RIGHT(C482,4),12,31),C482)&lt;PREMISSAS!$D$7,"",IFERROR(VLOOKUP(IF(LEFT(C482,2)="13",DATE(RIGHT(C482,4),12,31),C482),IPCA!$A:$D,4,FALSE),1)*D482))</f>
        <v/>
      </c>
      <c r="F482" s="4" t="str">
        <f ca="1">IF(C482="","",IFERROR(AVERAGEIF(E$5:$E482,"&gt;="&amp;_xlfn.PERCENTILE.EXC(E$5:$E482,0.2)),0))</f>
        <v/>
      </c>
      <c r="G482" s="4" t="str">
        <f ca="1">IF(C482="","",IFERROR(AVERAGEIF($E$5:E482,"&gt;"&amp;0,$E$5:E482),0))</f>
        <v/>
      </c>
    </row>
    <row r="483" spans="2:7" x14ac:dyDescent="0.3">
      <c r="B483" s="18">
        <v>479</v>
      </c>
      <c r="C483" s="21" t="str">
        <f ca="1">IFERROR(IF(LEFT(C482,2)="13",DATE(RIGHT(C482,4),12,31),IF(EOMONTH(C482,1)&gt;PREMISSAS!$C$3,"",IF(MONTH(C482)=11,"13º "&amp;YEAR(C482),EOMONTH(C482,1)))),"")</f>
        <v/>
      </c>
      <c r="D483" s="22">
        <f ca="1">VLOOKUP(C483,Preencher_Salários!$D$7:$E$656,2,FALSE)</f>
        <v>0</v>
      </c>
      <c r="E483" s="4" t="str">
        <f ca="1">IF(D483=0,"",IF(IF(ISTEXT(C483),DATE(RIGHT(C483,4),12,31),C483)&lt;PREMISSAS!$D$7,"",IFERROR(VLOOKUP(IF(LEFT(C483,2)="13",DATE(RIGHT(C483,4),12,31),C483),IPCA!$A:$D,4,FALSE),1)*D483))</f>
        <v/>
      </c>
      <c r="F483" s="4" t="str">
        <f ca="1">IF(C483="","",IFERROR(AVERAGEIF(E$5:$E483,"&gt;="&amp;_xlfn.PERCENTILE.EXC(E$5:$E483,0.2)),0))</f>
        <v/>
      </c>
      <c r="G483" s="4" t="str">
        <f ca="1">IF(C483="","",IFERROR(AVERAGEIF($E$5:E483,"&gt;"&amp;0,$E$5:E483),0))</f>
        <v/>
      </c>
    </row>
    <row r="484" spans="2:7" x14ac:dyDescent="0.3">
      <c r="B484" s="18">
        <v>480</v>
      </c>
      <c r="C484" s="21" t="str">
        <f ca="1">IFERROR(IF(LEFT(C483,2)="13",DATE(RIGHT(C483,4),12,31),IF(EOMONTH(C483,1)&gt;PREMISSAS!$C$3,"",IF(MONTH(C483)=11,"13º "&amp;YEAR(C483),EOMONTH(C483,1)))),"")</f>
        <v/>
      </c>
      <c r="D484" s="22">
        <f ca="1">VLOOKUP(C484,Preencher_Salários!$D$7:$E$656,2,FALSE)</f>
        <v>0</v>
      </c>
      <c r="E484" s="4" t="str">
        <f ca="1">IF(D484=0,"",IF(IF(ISTEXT(C484),DATE(RIGHT(C484,4),12,31),C484)&lt;PREMISSAS!$D$7,"",IFERROR(VLOOKUP(IF(LEFT(C484,2)="13",DATE(RIGHT(C484,4),12,31),C484),IPCA!$A:$D,4,FALSE),1)*D484))</f>
        <v/>
      </c>
      <c r="F484" s="4" t="str">
        <f ca="1">IF(C484="","",IFERROR(AVERAGEIF(E$5:$E484,"&gt;="&amp;_xlfn.PERCENTILE.EXC(E$5:$E484,0.2)),0))</f>
        <v/>
      </c>
      <c r="G484" s="4" t="str">
        <f ca="1">IF(C484="","",IFERROR(AVERAGEIF($E$5:E484,"&gt;"&amp;0,$E$5:E484),0))</f>
        <v/>
      </c>
    </row>
    <row r="485" spans="2:7" x14ac:dyDescent="0.3">
      <c r="B485" s="18">
        <v>481</v>
      </c>
      <c r="C485" s="21" t="str">
        <f ca="1">IFERROR(IF(LEFT(C484,2)="13",DATE(RIGHT(C484,4),12,31),IF(EOMONTH(C484,1)&gt;PREMISSAS!$C$3,"",IF(MONTH(C484)=11,"13º "&amp;YEAR(C484),EOMONTH(C484,1)))),"")</f>
        <v/>
      </c>
      <c r="D485" s="22">
        <f ca="1">VLOOKUP(C485,Preencher_Salários!$D$7:$E$656,2,FALSE)</f>
        <v>0</v>
      </c>
      <c r="E485" s="4" t="str">
        <f ca="1">IF(D485=0,"",IF(IF(ISTEXT(C485),DATE(RIGHT(C485,4),12,31),C485)&lt;PREMISSAS!$D$7,"",IFERROR(VLOOKUP(IF(LEFT(C485,2)="13",DATE(RIGHT(C485,4),12,31),C485),IPCA!$A:$D,4,FALSE),1)*D485))</f>
        <v/>
      </c>
      <c r="F485" s="4" t="str">
        <f ca="1">IF(C485="","",IFERROR(AVERAGEIF(E$5:$E485,"&gt;="&amp;_xlfn.PERCENTILE.EXC(E$5:$E485,0.2)),0))</f>
        <v/>
      </c>
      <c r="G485" s="4" t="str">
        <f ca="1">IF(C485="","",IFERROR(AVERAGEIF($E$5:E485,"&gt;"&amp;0,$E$5:E485),0))</f>
        <v/>
      </c>
    </row>
    <row r="486" spans="2:7" x14ac:dyDescent="0.3">
      <c r="B486" s="18">
        <v>482</v>
      </c>
      <c r="C486" s="21" t="str">
        <f ca="1">IFERROR(IF(LEFT(C485,2)="13",DATE(RIGHT(C485,4),12,31),IF(EOMONTH(C485,1)&gt;PREMISSAS!$C$3,"",IF(MONTH(C485)=11,"13º "&amp;YEAR(C485),EOMONTH(C485,1)))),"")</f>
        <v/>
      </c>
      <c r="D486" s="22">
        <f ca="1">VLOOKUP(C486,Preencher_Salários!$D$7:$E$656,2,FALSE)</f>
        <v>0</v>
      </c>
      <c r="E486" s="4" t="str">
        <f ca="1">IF(D486=0,"",IF(IF(ISTEXT(C486),DATE(RIGHT(C486,4),12,31),C486)&lt;PREMISSAS!$D$7,"",IFERROR(VLOOKUP(IF(LEFT(C486,2)="13",DATE(RIGHT(C486,4),12,31),C486),IPCA!$A:$D,4,FALSE),1)*D486))</f>
        <v/>
      </c>
      <c r="F486" s="4" t="str">
        <f ca="1">IF(C486="","",IFERROR(AVERAGEIF(E$5:$E486,"&gt;="&amp;_xlfn.PERCENTILE.EXC(E$5:$E486,0.2)),0))</f>
        <v/>
      </c>
      <c r="G486" s="4" t="str">
        <f ca="1">IF(C486="","",IFERROR(AVERAGEIF($E$5:E486,"&gt;"&amp;0,$E$5:E486),0))</f>
        <v/>
      </c>
    </row>
    <row r="487" spans="2:7" x14ac:dyDescent="0.3">
      <c r="B487" s="18">
        <v>483</v>
      </c>
      <c r="C487" s="21" t="str">
        <f ca="1">IFERROR(IF(LEFT(C486,2)="13",DATE(RIGHT(C486,4),12,31),IF(EOMONTH(C486,1)&gt;PREMISSAS!$C$3,"",IF(MONTH(C486)=11,"13º "&amp;YEAR(C486),EOMONTH(C486,1)))),"")</f>
        <v/>
      </c>
      <c r="D487" s="22">
        <f ca="1">VLOOKUP(C487,Preencher_Salários!$D$7:$E$656,2,FALSE)</f>
        <v>0</v>
      </c>
      <c r="E487" s="4" t="str">
        <f ca="1">IF(D487=0,"",IF(IF(ISTEXT(C487),DATE(RIGHT(C487,4),12,31),C487)&lt;PREMISSAS!$D$7,"",IFERROR(VLOOKUP(IF(LEFT(C487,2)="13",DATE(RIGHT(C487,4),12,31),C487),IPCA!$A:$D,4,FALSE),1)*D487))</f>
        <v/>
      </c>
      <c r="F487" s="4" t="str">
        <f ca="1">IF(C487="","",IFERROR(AVERAGEIF(E$5:$E487,"&gt;="&amp;_xlfn.PERCENTILE.EXC(E$5:$E487,0.2)),0))</f>
        <v/>
      </c>
      <c r="G487" s="4" t="str">
        <f ca="1">IF(C487="","",IFERROR(AVERAGEIF($E$5:E487,"&gt;"&amp;0,$E$5:E487),0))</f>
        <v/>
      </c>
    </row>
    <row r="488" spans="2:7" x14ac:dyDescent="0.3">
      <c r="B488" s="18">
        <v>484</v>
      </c>
      <c r="C488" s="21" t="str">
        <f ca="1">IFERROR(IF(LEFT(C487,2)="13",DATE(RIGHT(C487,4),12,31),IF(EOMONTH(C487,1)&gt;PREMISSAS!$C$3,"",IF(MONTH(C487)=11,"13º "&amp;YEAR(C487),EOMONTH(C487,1)))),"")</f>
        <v/>
      </c>
      <c r="D488" s="22">
        <f ca="1">VLOOKUP(C488,Preencher_Salários!$D$7:$E$656,2,FALSE)</f>
        <v>0</v>
      </c>
      <c r="E488" s="4" t="str">
        <f ca="1">IF(D488=0,"",IF(IF(ISTEXT(C488),DATE(RIGHT(C488,4),12,31),C488)&lt;PREMISSAS!$D$7,"",IFERROR(VLOOKUP(IF(LEFT(C488,2)="13",DATE(RIGHT(C488,4),12,31),C488),IPCA!$A:$D,4,FALSE),1)*D488))</f>
        <v/>
      </c>
      <c r="F488" s="4" t="str">
        <f ca="1">IF(C488="","",IFERROR(AVERAGEIF(E$5:$E488,"&gt;="&amp;_xlfn.PERCENTILE.EXC(E$5:$E488,0.2)),0))</f>
        <v/>
      </c>
      <c r="G488" s="4" t="str">
        <f ca="1">IF(C488="","",IFERROR(AVERAGEIF($E$5:E488,"&gt;"&amp;0,$E$5:E488),0))</f>
        <v/>
      </c>
    </row>
    <row r="489" spans="2:7" x14ac:dyDescent="0.3">
      <c r="B489" s="18">
        <v>485</v>
      </c>
      <c r="C489" s="21" t="str">
        <f ca="1">IFERROR(IF(LEFT(C488,2)="13",DATE(RIGHT(C488,4),12,31),IF(EOMONTH(C488,1)&gt;PREMISSAS!$C$3,"",IF(MONTH(C488)=11,"13º "&amp;YEAR(C488),EOMONTH(C488,1)))),"")</f>
        <v/>
      </c>
      <c r="D489" s="22">
        <f ca="1">VLOOKUP(C489,Preencher_Salários!$D$7:$E$656,2,FALSE)</f>
        <v>0</v>
      </c>
      <c r="E489" s="4" t="str">
        <f ca="1">IF(D489=0,"",IF(IF(ISTEXT(C489),DATE(RIGHT(C489,4),12,31),C489)&lt;PREMISSAS!$D$7,"",IFERROR(VLOOKUP(IF(LEFT(C489,2)="13",DATE(RIGHT(C489,4),12,31),C489),IPCA!$A:$D,4,FALSE),1)*D489))</f>
        <v/>
      </c>
      <c r="F489" s="4" t="str">
        <f ca="1">IF(C489="","",IFERROR(AVERAGEIF(E$5:$E489,"&gt;="&amp;_xlfn.PERCENTILE.EXC(E$5:$E489,0.2)),0))</f>
        <v/>
      </c>
      <c r="G489" s="4" t="str">
        <f ca="1">IF(C489="","",IFERROR(AVERAGEIF($E$5:E489,"&gt;"&amp;0,$E$5:E489),0))</f>
        <v/>
      </c>
    </row>
    <row r="490" spans="2:7" x14ac:dyDescent="0.3">
      <c r="B490" s="18">
        <v>486</v>
      </c>
      <c r="C490" s="21" t="str">
        <f ca="1">IFERROR(IF(LEFT(C489,2)="13",DATE(RIGHT(C489,4),12,31),IF(EOMONTH(C489,1)&gt;PREMISSAS!$C$3,"",IF(MONTH(C489)=11,"13º "&amp;YEAR(C489),EOMONTH(C489,1)))),"")</f>
        <v/>
      </c>
      <c r="D490" s="22">
        <f ca="1">VLOOKUP(C490,Preencher_Salários!$D$7:$E$656,2,FALSE)</f>
        <v>0</v>
      </c>
      <c r="E490" s="4" t="str">
        <f ca="1">IF(D490=0,"",IF(IF(ISTEXT(C490),DATE(RIGHT(C490,4),12,31),C490)&lt;PREMISSAS!$D$7,"",IFERROR(VLOOKUP(IF(LEFT(C490,2)="13",DATE(RIGHT(C490,4),12,31),C490),IPCA!$A:$D,4,FALSE),1)*D490))</f>
        <v/>
      </c>
      <c r="F490" s="4" t="str">
        <f ca="1">IF(C490="","",IFERROR(AVERAGEIF(E$5:$E490,"&gt;="&amp;_xlfn.PERCENTILE.EXC(E$5:$E490,0.2)),0))</f>
        <v/>
      </c>
      <c r="G490" s="4" t="str">
        <f ca="1">IF(C490="","",IFERROR(AVERAGEIF($E$5:E490,"&gt;"&amp;0,$E$5:E490),0))</f>
        <v/>
      </c>
    </row>
    <row r="491" spans="2:7" x14ac:dyDescent="0.3">
      <c r="B491" s="18">
        <v>487</v>
      </c>
      <c r="C491" s="21" t="str">
        <f ca="1">IFERROR(IF(LEFT(C490,2)="13",DATE(RIGHT(C490,4),12,31),IF(EOMONTH(C490,1)&gt;PREMISSAS!$C$3,"",IF(MONTH(C490)=11,"13º "&amp;YEAR(C490),EOMONTH(C490,1)))),"")</f>
        <v/>
      </c>
      <c r="D491" s="22">
        <f ca="1">VLOOKUP(C491,Preencher_Salários!$D$7:$E$656,2,FALSE)</f>
        <v>0</v>
      </c>
      <c r="E491" s="4" t="str">
        <f ca="1">IF(D491=0,"",IF(IF(ISTEXT(C491),DATE(RIGHT(C491,4),12,31),C491)&lt;PREMISSAS!$D$7,"",IFERROR(VLOOKUP(IF(LEFT(C491,2)="13",DATE(RIGHT(C491,4),12,31),C491),IPCA!$A:$D,4,FALSE),1)*D491))</f>
        <v/>
      </c>
      <c r="F491" s="4" t="str">
        <f ca="1">IF(C491="","",IFERROR(AVERAGEIF(E$5:$E491,"&gt;="&amp;_xlfn.PERCENTILE.EXC(E$5:$E491,0.2)),0))</f>
        <v/>
      </c>
      <c r="G491" s="4" t="str">
        <f ca="1">IF(C491="","",IFERROR(AVERAGEIF($E$5:E491,"&gt;"&amp;0,$E$5:E491),0))</f>
        <v/>
      </c>
    </row>
    <row r="492" spans="2:7" x14ac:dyDescent="0.3">
      <c r="B492" s="18">
        <v>488</v>
      </c>
      <c r="C492" s="21" t="str">
        <f ca="1">IFERROR(IF(LEFT(C491,2)="13",DATE(RIGHT(C491,4),12,31),IF(EOMONTH(C491,1)&gt;PREMISSAS!$C$3,"",IF(MONTH(C491)=11,"13º "&amp;YEAR(C491),EOMONTH(C491,1)))),"")</f>
        <v/>
      </c>
      <c r="D492" s="22">
        <f ca="1">VLOOKUP(C492,Preencher_Salários!$D$7:$E$656,2,FALSE)</f>
        <v>0</v>
      </c>
      <c r="E492" s="4" t="str">
        <f ca="1">IF(D492=0,"",IF(IF(ISTEXT(C492),DATE(RIGHT(C492,4),12,31),C492)&lt;PREMISSAS!$D$7,"",IFERROR(VLOOKUP(IF(LEFT(C492,2)="13",DATE(RIGHT(C492,4),12,31),C492),IPCA!$A:$D,4,FALSE),1)*D492))</f>
        <v/>
      </c>
      <c r="F492" s="4" t="str">
        <f ca="1">IF(C492="","",IFERROR(AVERAGEIF(E$5:$E492,"&gt;="&amp;_xlfn.PERCENTILE.EXC(E$5:$E492,0.2)),0))</f>
        <v/>
      </c>
      <c r="G492" s="4" t="str">
        <f ca="1">IF(C492="","",IFERROR(AVERAGEIF($E$5:E492,"&gt;"&amp;0,$E$5:E492),0))</f>
        <v/>
      </c>
    </row>
    <row r="493" spans="2:7" x14ac:dyDescent="0.3">
      <c r="B493" s="18">
        <v>489</v>
      </c>
      <c r="C493" s="21" t="str">
        <f ca="1">IFERROR(IF(LEFT(C492,2)="13",DATE(RIGHT(C492,4),12,31),IF(EOMONTH(C492,1)&gt;PREMISSAS!$C$3,"",IF(MONTH(C492)=11,"13º "&amp;YEAR(C492),EOMONTH(C492,1)))),"")</f>
        <v/>
      </c>
      <c r="D493" s="22">
        <f ca="1">VLOOKUP(C493,Preencher_Salários!$D$7:$E$656,2,FALSE)</f>
        <v>0</v>
      </c>
      <c r="E493" s="4" t="str">
        <f ca="1">IF(D493=0,"",IF(IF(ISTEXT(C493),DATE(RIGHT(C493,4),12,31),C493)&lt;PREMISSAS!$D$7,"",IFERROR(VLOOKUP(IF(LEFT(C493,2)="13",DATE(RIGHT(C493,4),12,31),C493),IPCA!$A:$D,4,FALSE),1)*D493))</f>
        <v/>
      </c>
      <c r="F493" s="4" t="str">
        <f ca="1">IF(C493="","",IFERROR(AVERAGEIF(E$5:$E493,"&gt;="&amp;_xlfn.PERCENTILE.EXC(E$5:$E493,0.2)),0))</f>
        <v/>
      </c>
      <c r="G493" s="4" t="str">
        <f ca="1">IF(C493="","",IFERROR(AVERAGEIF($E$5:E493,"&gt;"&amp;0,$E$5:E493),0))</f>
        <v/>
      </c>
    </row>
    <row r="494" spans="2:7" x14ac:dyDescent="0.3">
      <c r="B494" s="18">
        <v>490</v>
      </c>
      <c r="C494" s="21" t="str">
        <f ca="1">IFERROR(IF(LEFT(C493,2)="13",DATE(RIGHT(C493,4),12,31),IF(EOMONTH(C493,1)&gt;PREMISSAS!$C$3,"",IF(MONTH(C493)=11,"13º "&amp;YEAR(C493),EOMONTH(C493,1)))),"")</f>
        <v/>
      </c>
      <c r="D494" s="22">
        <f ca="1">VLOOKUP(C494,Preencher_Salários!$D$7:$E$656,2,FALSE)</f>
        <v>0</v>
      </c>
      <c r="E494" s="4" t="str">
        <f ca="1">IF(D494=0,"",IF(IF(ISTEXT(C494),DATE(RIGHT(C494,4),12,31),C494)&lt;PREMISSAS!$D$7,"",IFERROR(VLOOKUP(IF(LEFT(C494,2)="13",DATE(RIGHT(C494,4),12,31),C494),IPCA!$A:$D,4,FALSE),1)*D494))</f>
        <v/>
      </c>
      <c r="F494" s="4" t="str">
        <f ca="1">IF(C494="","",IFERROR(AVERAGEIF(E$5:$E494,"&gt;="&amp;_xlfn.PERCENTILE.EXC(E$5:$E494,0.2)),0))</f>
        <v/>
      </c>
      <c r="G494" s="4" t="str">
        <f ca="1">IF(C494="","",IFERROR(AVERAGEIF($E$5:E494,"&gt;"&amp;0,$E$5:E494),0))</f>
        <v/>
      </c>
    </row>
    <row r="495" spans="2:7" x14ac:dyDescent="0.3">
      <c r="B495" s="18">
        <v>491</v>
      </c>
      <c r="C495" s="21" t="str">
        <f ca="1">IFERROR(IF(LEFT(C494,2)="13",DATE(RIGHT(C494,4),12,31),IF(EOMONTH(C494,1)&gt;PREMISSAS!$C$3,"",IF(MONTH(C494)=11,"13º "&amp;YEAR(C494),EOMONTH(C494,1)))),"")</f>
        <v/>
      </c>
      <c r="D495" s="22">
        <f ca="1">VLOOKUP(C495,Preencher_Salários!$D$7:$E$656,2,FALSE)</f>
        <v>0</v>
      </c>
      <c r="E495" s="4" t="str">
        <f ca="1">IF(D495=0,"",IF(IF(ISTEXT(C495),DATE(RIGHT(C495,4),12,31),C495)&lt;PREMISSAS!$D$7,"",IFERROR(VLOOKUP(IF(LEFT(C495,2)="13",DATE(RIGHT(C495,4),12,31),C495),IPCA!$A:$D,4,FALSE),1)*D495))</f>
        <v/>
      </c>
      <c r="F495" s="4" t="str">
        <f ca="1">IF(C495="","",IFERROR(AVERAGEIF(E$5:$E495,"&gt;="&amp;_xlfn.PERCENTILE.EXC(E$5:$E495,0.2)),0))</f>
        <v/>
      </c>
      <c r="G495" s="4" t="str">
        <f ca="1">IF(C495="","",IFERROR(AVERAGEIF($E$5:E495,"&gt;"&amp;0,$E$5:E495),0))</f>
        <v/>
      </c>
    </row>
    <row r="496" spans="2:7" x14ac:dyDescent="0.3">
      <c r="B496" s="18">
        <v>492</v>
      </c>
      <c r="C496" s="21" t="str">
        <f ca="1">IFERROR(IF(LEFT(C495,2)="13",DATE(RIGHT(C495,4),12,31),IF(EOMONTH(C495,1)&gt;PREMISSAS!$C$3,"",IF(MONTH(C495)=11,"13º "&amp;YEAR(C495),EOMONTH(C495,1)))),"")</f>
        <v/>
      </c>
      <c r="D496" s="22">
        <f ca="1">VLOOKUP(C496,Preencher_Salários!$D$7:$E$656,2,FALSE)</f>
        <v>0</v>
      </c>
      <c r="E496" s="4" t="str">
        <f ca="1">IF(D496=0,"",IF(IF(ISTEXT(C496),DATE(RIGHT(C496,4),12,31),C496)&lt;PREMISSAS!$D$7,"",IFERROR(VLOOKUP(IF(LEFT(C496,2)="13",DATE(RIGHT(C496,4),12,31),C496),IPCA!$A:$D,4,FALSE),1)*D496))</f>
        <v/>
      </c>
      <c r="F496" s="4" t="str">
        <f ca="1">IF(C496="","",IFERROR(AVERAGEIF(E$5:$E496,"&gt;="&amp;_xlfn.PERCENTILE.EXC(E$5:$E496,0.2)),0))</f>
        <v/>
      </c>
      <c r="G496" s="4" t="str">
        <f ca="1">IF(C496="","",IFERROR(AVERAGEIF($E$5:E496,"&gt;"&amp;0,$E$5:E496),0))</f>
        <v/>
      </c>
    </row>
    <row r="497" spans="2:7" x14ac:dyDescent="0.3">
      <c r="B497" s="18">
        <v>493</v>
      </c>
      <c r="C497" s="21" t="str">
        <f ca="1">IFERROR(IF(LEFT(C496,2)="13",DATE(RIGHT(C496,4),12,31),IF(EOMONTH(C496,1)&gt;PREMISSAS!$C$3,"",IF(MONTH(C496)=11,"13º "&amp;YEAR(C496),EOMONTH(C496,1)))),"")</f>
        <v/>
      </c>
      <c r="D497" s="22">
        <f ca="1">VLOOKUP(C497,Preencher_Salários!$D$7:$E$656,2,FALSE)</f>
        <v>0</v>
      </c>
      <c r="E497" s="4" t="str">
        <f ca="1">IF(D497=0,"",IF(IF(ISTEXT(C497),DATE(RIGHT(C497,4),12,31),C497)&lt;PREMISSAS!$D$7,"",IFERROR(VLOOKUP(IF(LEFT(C497,2)="13",DATE(RIGHT(C497,4),12,31),C497),IPCA!$A:$D,4,FALSE),1)*D497))</f>
        <v/>
      </c>
      <c r="F497" s="4" t="str">
        <f ca="1">IF(C497="","",IFERROR(AVERAGEIF(E$5:$E497,"&gt;="&amp;_xlfn.PERCENTILE.EXC(E$5:$E497,0.2)),0))</f>
        <v/>
      </c>
      <c r="G497" s="4" t="str">
        <f ca="1">IF(C497="","",IFERROR(AVERAGEIF($E$5:E497,"&gt;"&amp;0,$E$5:E497),0))</f>
        <v/>
      </c>
    </row>
    <row r="498" spans="2:7" x14ac:dyDescent="0.3">
      <c r="B498" s="18">
        <v>494</v>
      </c>
      <c r="C498" s="21" t="str">
        <f ca="1">IFERROR(IF(LEFT(C497,2)="13",DATE(RIGHT(C497,4),12,31),IF(EOMONTH(C497,1)&gt;PREMISSAS!$C$3,"",IF(MONTH(C497)=11,"13º "&amp;YEAR(C497),EOMONTH(C497,1)))),"")</f>
        <v/>
      </c>
      <c r="D498" s="22">
        <f ca="1">VLOOKUP(C498,Preencher_Salários!$D$7:$E$656,2,FALSE)</f>
        <v>0</v>
      </c>
      <c r="E498" s="4" t="str">
        <f ca="1">IF(D498=0,"",IF(IF(ISTEXT(C498),DATE(RIGHT(C498,4),12,31),C498)&lt;PREMISSAS!$D$7,"",IFERROR(VLOOKUP(IF(LEFT(C498,2)="13",DATE(RIGHT(C498,4),12,31),C498),IPCA!$A:$D,4,FALSE),1)*D498))</f>
        <v/>
      </c>
      <c r="F498" s="4" t="str">
        <f ca="1">IF(C498="","",IFERROR(AVERAGEIF(E$5:$E498,"&gt;="&amp;_xlfn.PERCENTILE.EXC(E$5:$E498,0.2)),0))</f>
        <v/>
      </c>
      <c r="G498" s="4" t="str">
        <f ca="1">IF(C498="","",IFERROR(AVERAGEIF($E$5:E498,"&gt;"&amp;0,$E$5:E498),0))</f>
        <v/>
      </c>
    </row>
    <row r="499" spans="2:7" x14ac:dyDescent="0.3">
      <c r="B499" s="18">
        <v>495</v>
      </c>
      <c r="C499" s="21" t="str">
        <f ca="1">IFERROR(IF(LEFT(C498,2)="13",DATE(RIGHT(C498,4),12,31),IF(EOMONTH(C498,1)&gt;PREMISSAS!$C$3,"",IF(MONTH(C498)=11,"13º "&amp;YEAR(C498),EOMONTH(C498,1)))),"")</f>
        <v/>
      </c>
      <c r="D499" s="22">
        <f ca="1">VLOOKUP(C499,Preencher_Salários!$D$7:$E$656,2,FALSE)</f>
        <v>0</v>
      </c>
      <c r="E499" s="4" t="str">
        <f ca="1">IF(D499=0,"",IF(IF(ISTEXT(C499),DATE(RIGHT(C499,4),12,31),C499)&lt;PREMISSAS!$D$7,"",IFERROR(VLOOKUP(IF(LEFT(C499,2)="13",DATE(RIGHT(C499,4),12,31),C499),IPCA!$A:$D,4,FALSE),1)*D499))</f>
        <v/>
      </c>
      <c r="F499" s="4" t="str">
        <f ca="1">IF(C499="","",IFERROR(AVERAGEIF(E$5:$E499,"&gt;="&amp;_xlfn.PERCENTILE.EXC(E$5:$E499,0.2)),0))</f>
        <v/>
      </c>
      <c r="G499" s="4" t="str">
        <f ca="1">IF(C499="","",IFERROR(AVERAGEIF($E$5:E499,"&gt;"&amp;0,$E$5:E499),0))</f>
        <v/>
      </c>
    </row>
    <row r="500" spans="2:7" x14ac:dyDescent="0.3">
      <c r="B500" s="18">
        <v>496</v>
      </c>
      <c r="C500" s="21" t="str">
        <f ca="1">IFERROR(IF(LEFT(C499,2)="13",DATE(RIGHT(C499,4),12,31),IF(EOMONTH(C499,1)&gt;PREMISSAS!$C$3,"",IF(MONTH(C499)=11,"13º "&amp;YEAR(C499),EOMONTH(C499,1)))),"")</f>
        <v/>
      </c>
      <c r="D500" s="22">
        <f ca="1">VLOOKUP(C500,Preencher_Salários!$D$7:$E$656,2,FALSE)</f>
        <v>0</v>
      </c>
      <c r="E500" s="4" t="str">
        <f ca="1">IF(D500=0,"",IF(IF(ISTEXT(C500),DATE(RIGHT(C500,4),12,31),C500)&lt;PREMISSAS!$D$7,"",IFERROR(VLOOKUP(IF(LEFT(C500,2)="13",DATE(RIGHT(C500,4),12,31),C500),IPCA!$A:$D,4,FALSE),1)*D500))</f>
        <v/>
      </c>
      <c r="F500" s="4" t="str">
        <f ca="1">IF(C500="","",IFERROR(AVERAGEIF(E$5:$E500,"&gt;="&amp;_xlfn.PERCENTILE.EXC(E$5:$E500,0.2)),0))</f>
        <v/>
      </c>
      <c r="G500" s="4" t="str">
        <f ca="1">IF(C500="","",IFERROR(AVERAGEIF($E$5:E500,"&gt;"&amp;0,$E$5:E500),0))</f>
        <v/>
      </c>
    </row>
    <row r="501" spans="2:7" x14ac:dyDescent="0.3">
      <c r="B501" s="18">
        <v>497</v>
      </c>
      <c r="C501" s="21" t="str">
        <f ca="1">IFERROR(IF(LEFT(C500,2)="13",DATE(RIGHT(C500,4),12,31),IF(EOMONTH(C500,1)&gt;PREMISSAS!$C$3,"",IF(MONTH(C500)=11,"13º "&amp;YEAR(C500),EOMONTH(C500,1)))),"")</f>
        <v/>
      </c>
      <c r="D501" s="22">
        <f ca="1">VLOOKUP(C501,Preencher_Salários!$D$7:$E$656,2,FALSE)</f>
        <v>0</v>
      </c>
      <c r="E501" s="4" t="str">
        <f ca="1">IF(D501=0,"",IF(IF(ISTEXT(C501),DATE(RIGHT(C501,4),12,31),C501)&lt;PREMISSAS!$D$7,"",IFERROR(VLOOKUP(IF(LEFT(C501,2)="13",DATE(RIGHT(C501,4),12,31),C501),IPCA!$A:$D,4,FALSE),1)*D501))</f>
        <v/>
      </c>
      <c r="F501" s="4" t="str">
        <f ca="1">IF(C501="","",IFERROR(AVERAGEIF(E$5:$E501,"&gt;="&amp;_xlfn.PERCENTILE.EXC(E$5:$E501,0.2)),0))</f>
        <v/>
      </c>
      <c r="G501" s="4" t="str">
        <f ca="1">IF(C501="","",IFERROR(AVERAGEIF($E$5:E501,"&gt;"&amp;0,$E$5:E501),0))</f>
        <v/>
      </c>
    </row>
    <row r="502" spans="2:7" x14ac:dyDescent="0.3">
      <c r="B502" s="18">
        <v>498</v>
      </c>
      <c r="C502" s="21" t="str">
        <f ca="1">IFERROR(IF(LEFT(C501,2)="13",DATE(RIGHT(C501,4),12,31),IF(EOMONTH(C501,1)&gt;PREMISSAS!$C$3,"",IF(MONTH(C501)=11,"13º "&amp;YEAR(C501),EOMONTH(C501,1)))),"")</f>
        <v/>
      </c>
      <c r="D502" s="22">
        <f ca="1">VLOOKUP(C502,Preencher_Salários!$D$7:$E$656,2,FALSE)</f>
        <v>0</v>
      </c>
      <c r="E502" s="4" t="str">
        <f ca="1">IF(D502=0,"",IF(IF(ISTEXT(C502),DATE(RIGHT(C502,4),12,31),C502)&lt;PREMISSAS!$D$7,"",IFERROR(VLOOKUP(IF(LEFT(C502,2)="13",DATE(RIGHT(C502,4),12,31),C502),IPCA!$A:$D,4,FALSE),1)*D502))</f>
        <v/>
      </c>
      <c r="F502" s="4" t="str">
        <f ca="1">IF(C502="","",IFERROR(AVERAGEIF(E$5:$E502,"&gt;="&amp;_xlfn.PERCENTILE.EXC(E$5:$E502,0.2)),0))</f>
        <v/>
      </c>
      <c r="G502" s="4" t="str">
        <f ca="1">IF(C502="","",IFERROR(AVERAGEIF($E$5:E502,"&gt;"&amp;0,$E$5:E502),0))</f>
        <v/>
      </c>
    </row>
    <row r="503" spans="2:7" x14ac:dyDescent="0.3">
      <c r="B503" s="18">
        <v>499</v>
      </c>
      <c r="C503" s="21" t="str">
        <f ca="1">IFERROR(IF(LEFT(C502,2)="13",DATE(RIGHT(C502,4),12,31),IF(EOMONTH(C502,1)&gt;PREMISSAS!$C$3,"",IF(MONTH(C502)=11,"13º "&amp;YEAR(C502),EOMONTH(C502,1)))),"")</f>
        <v/>
      </c>
      <c r="D503" s="22">
        <f ca="1">VLOOKUP(C503,Preencher_Salários!$D$7:$E$656,2,FALSE)</f>
        <v>0</v>
      </c>
      <c r="E503" s="4" t="str">
        <f ca="1">IF(D503=0,"",IF(IF(ISTEXT(C503),DATE(RIGHT(C503,4),12,31),C503)&lt;PREMISSAS!$D$7,"",IFERROR(VLOOKUP(IF(LEFT(C503,2)="13",DATE(RIGHT(C503,4),12,31),C503),IPCA!$A:$D,4,FALSE),1)*D503))</f>
        <v/>
      </c>
      <c r="F503" s="4" t="str">
        <f ca="1">IF(C503="","",IFERROR(AVERAGEIF(E$5:$E503,"&gt;="&amp;_xlfn.PERCENTILE.EXC(E$5:$E503,0.2)),0))</f>
        <v/>
      </c>
      <c r="G503" s="4" t="str">
        <f ca="1">IF(C503="","",IFERROR(AVERAGEIF($E$5:E503,"&gt;"&amp;0,$E$5:E503),0))</f>
        <v/>
      </c>
    </row>
    <row r="504" spans="2:7" x14ac:dyDescent="0.3">
      <c r="B504" s="18">
        <v>500</v>
      </c>
      <c r="C504" s="21" t="str">
        <f ca="1">IFERROR(IF(LEFT(C503,2)="13",DATE(RIGHT(C503,4),12,31),IF(EOMONTH(C503,1)&gt;PREMISSAS!$C$3,"",IF(MONTH(C503)=11,"13º "&amp;YEAR(C503),EOMONTH(C503,1)))),"")</f>
        <v/>
      </c>
      <c r="D504" s="22">
        <f ca="1">VLOOKUP(C504,Preencher_Salários!$D$7:$E$656,2,FALSE)</f>
        <v>0</v>
      </c>
      <c r="E504" s="4" t="str">
        <f ca="1">IF(D504=0,"",IF(IF(ISTEXT(C504),DATE(RIGHT(C504,4),12,31),C504)&lt;PREMISSAS!$D$7,"",IFERROR(VLOOKUP(IF(LEFT(C504,2)="13",DATE(RIGHT(C504,4),12,31),C504),IPCA!$A:$D,4,FALSE),1)*D504))</f>
        <v/>
      </c>
      <c r="F504" s="4" t="str">
        <f ca="1">IF(C504="","",IFERROR(AVERAGEIF(E$5:$E504,"&gt;="&amp;_xlfn.PERCENTILE.EXC(E$5:$E504,0.2)),0))</f>
        <v/>
      </c>
      <c r="G504" s="4" t="str">
        <f ca="1">IF(C504="","",IFERROR(AVERAGEIF($E$5:E504,"&gt;"&amp;0,$E$5:E504),0))</f>
        <v/>
      </c>
    </row>
    <row r="505" spans="2:7" x14ac:dyDescent="0.3">
      <c r="B505" s="18">
        <v>501</v>
      </c>
      <c r="C505" s="21" t="str">
        <f ca="1">IFERROR(IF(LEFT(C504,2)="13",DATE(RIGHT(C504,4),12,31),IF(EOMONTH(C504,1)&gt;PREMISSAS!$C$3,"",IF(MONTH(C504)=11,"13º "&amp;YEAR(C504),EOMONTH(C504,1)))),"")</f>
        <v/>
      </c>
      <c r="D505" s="22">
        <f ca="1">VLOOKUP(C505,Preencher_Salários!$D$7:$E$656,2,FALSE)</f>
        <v>0</v>
      </c>
      <c r="E505" s="4" t="str">
        <f ca="1">IF(D505=0,"",IF(IF(ISTEXT(C505),DATE(RIGHT(C505,4),12,31),C505)&lt;PREMISSAS!$D$7,"",IFERROR(VLOOKUP(IF(LEFT(C505,2)="13",DATE(RIGHT(C505,4),12,31),C505),IPCA!$A:$D,4,FALSE),1)*D505))</f>
        <v/>
      </c>
      <c r="F505" s="4" t="str">
        <f ca="1">IF(C505="","",IFERROR(AVERAGEIF(E$5:$E505,"&gt;="&amp;_xlfn.PERCENTILE.EXC(E$5:$E505,0.2)),0))</f>
        <v/>
      </c>
      <c r="G505" s="4" t="str">
        <f ca="1">IF(C505="","",IFERROR(AVERAGEIF($E$5:E505,"&gt;"&amp;0,$E$5:E505),0))</f>
        <v/>
      </c>
    </row>
    <row r="506" spans="2:7" x14ac:dyDescent="0.3">
      <c r="B506" s="18">
        <v>502</v>
      </c>
      <c r="C506" s="21" t="str">
        <f ca="1">IFERROR(IF(LEFT(C505,2)="13",DATE(RIGHT(C505,4),12,31),IF(EOMONTH(C505,1)&gt;PREMISSAS!$C$3,"",IF(MONTH(C505)=11,"13º "&amp;YEAR(C505),EOMONTH(C505,1)))),"")</f>
        <v/>
      </c>
      <c r="D506" s="22">
        <f ca="1">VLOOKUP(C506,Preencher_Salários!$D$7:$E$656,2,FALSE)</f>
        <v>0</v>
      </c>
      <c r="E506" s="4" t="str">
        <f ca="1">IF(D506=0,"",IF(IF(ISTEXT(C506),DATE(RIGHT(C506,4),12,31),C506)&lt;PREMISSAS!$D$7,"",IFERROR(VLOOKUP(IF(LEFT(C506,2)="13",DATE(RIGHT(C506,4),12,31),C506),IPCA!$A:$D,4,FALSE),1)*D506))</f>
        <v/>
      </c>
      <c r="F506" s="4" t="str">
        <f ca="1">IF(C506="","",IFERROR(AVERAGEIF(E$5:$E506,"&gt;="&amp;_xlfn.PERCENTILE.EXC(E$5:$E506,0.2)),0))</f>
        <v/>
      </c>
      <c r="G506" s="4" t="str">
        <f ca="1">IF(C506="","",IFERROR(AVERAGEIF($E$5:E506,"&gt;"&amp;0,$E$5:E506),0))</f>
        <v/>
      </c>
    </row>
    <row r="507" spans="2:7" x14ac:dyDescent="0.3">
      <c r="B507" s="18">
        <v>503</v>
      </c>
      <c r="C507" s="21" t="str">
        <f ca="1">IFERROR(IF(LEFT(C506,2)="13",DATE(RIGHT(C506,4),12,31),IF(EOMONTH(C506,1)&gt;PREMISSAS!$C$3,"",IF(MONTH(C506)=11,"13º "&amp;YEAR(C506),EOMONTH(C506,1)))),"")</f>
        <v/>
      </c>
      <c r="D507" s="22">
        <f ca="1">VLOOKUP(C507,Preencher_Salários!$D$7:$E$656,2,FALSE)</f>
        <v>0</v>
      </c>
      <c r="E507" s="4" t="str">
        <f ca="1">IF(D507=0,"",IF(IF(ISTEXT(C507),DATE(RIGHT(C507,4),12,31),C507)&lt;PREMISSAS!$D$7,"",IFERROR(VLOOKUP(IF(LEFT(C507,2)="13",DATE(RIGHT(C507,4),12,31),C507),IPCA!$A:$D,4,FALSE),1)*D507))</f>
        <v/>
      </c>
      <c r="F507" s="4" t="str">
        <f ca="1">IF(C507="","",IFERROR(AVERAGEIF(E$5:$E507,"&gt;="&amp;_xlfn.PERCENTILE.EXC(E$5:$E507,0.2)),0))</f>
        <v/>
      </c>
      <c r="G507" s="4" t="str">
        <f ca="1">IF(C507="","",IFERROR(AVERAGEIF($E$5:E507,"&gt;"&amp;0,$E$5:E507),0))</f>
        <v/>
      </c>
    </row>
    <row r="508" spans="2:7" x14ac:dyDescent="0.3">
      <c r="B508" s="18">
        <v>504</v>
      </c>
      <c r="C508" s="21" t="str">
        <f ca="1">IFERROR(IF(LEFT(C507,2)="13",DATE(RIGHT(C507,4),12,31),IF(EOMONTH(C507,1)&gt;PREMISSAS!$C$3,"",IF(MONTH(C507)=11,"13º "&amp;YEAR(C507),EOMONTH(C507,1)))),"")</f>
        <v/>
      </c>
      <c r="D508" s="22">
        <f ca="1">VLOOKUP(C508,Preencher_Salários!$D$7:$E$656,2,FALSE)</f>
        <v>0</v>
      </c>
      <c r="E508" s="4" t="str">
        <f ca="1">IF(D508=0,"",IF(IF(ISTEXT(C508),DATE(RIGHT(C508,4),12,31),C508)&lt;PREMISSAS!$D$7,"",IFERROR(VLOOKUP(IF(LEFT(C508,2)="13",DATE(RIGHT(C508,4),12,31),C508),IPCA!$A:$D,4,FALSE),1)*D508))</f>
        <v/>
      </c>
      <c r="F508" s="4" t="str">
        <f ca="1">IF(C508="","",IFERROR(AVERAGEIF(E$5:$E508,"&gt;="&amp;_xlfn.PERCENTILE.EXC(E$5:$E508,0.2)),0))</f>
        <v/>
      </c>
      <c r="G508" s="4" t="str">
        <f ca="1">IF(C508="","",IFERROR(AVERAGEIF($E$5:E508,"&gt;"&amp;0,$E$5:E508),0))</f>
        <v/>
      </c>
    </row>
    <row r="509" spans="2:7" x14ac:dyDescent="0.3">
      <c r="B509" s="18">
        <v>505</v>
      </c>
      <c r="C509" s="21" t="str">
        <f ca="1">IFERROR(IF(LEFT(C508,2)="13",DATE(RIGHT(C508,4),12,31),IF(EOMONTH(C508,1)&gt;PREMISSAS!$C$3,"",IF(MONTH(C508)=11,"13º "&amp;YEAR(C508),EOMONTH(C508,1)))),"")</f>
        <v/>
      </c>
      <c r="D509" s="22">
        <f ca="1">VLOOKUP(C509,Preencher_Salários!$D$7:$E$656,2,FALSE)</f>
        <v>0</v>
      </c>
      <c r="E509" s="4" t="str">
        <f ca="1">IF(D509=0,"",IF(IF(ISTEXT(C509),DATE(RIGHT(C509,4),12,31),C509)&lt;PREMISSAS!$D$7,"",IFERROR(VLOOKUP(IF(LEFT(C509,2)="13",DATE(RIGHT(C509,4),12,31),C509),IPCA!$A:$D,4,FALSE),1)*D509))</f>
        <v/>
      </c>
      <c r="F509" s="4" t="str">
        <f ca="1">IF(C509="","",IFERROR(AVERAGEIF(E$5:$E509,"&gt;="&amp;_xlfn.PERCENTILE.EXC(E$5:$E509,0.2)),0))</f>
        <v/>
      </c>
      <c r="G509" s="4" t="str">
        <f ca="1">IF(C509="","",IFERROR(AVERAGEIF($E$5:E509,"&gt;"&amp;0,$E$5:E509),0))</f>
        <v/>
      </c>
    </row>
    <row r="510" spans="2:7" x14ac:dyDescent="0.3">
      <c r="B510" s="18">
        <v>506</v>
      </c>
      <c r="C510" s="21" t="str">
        <f ca="1">IFERROR(IF(LEFT(C509,2)="13",DATE(RIGHT(C509,4),12,31),IF(EOMONTH(C509,1)&gt;PREMISSAS!$C$3,"",IF(MONTH(C509)=11,"13º "&amp;YEAR(C509),EOMONTH(C509,1)))),"")</f>
        <v/>
      </c>
      <c r="D510" s="22">
        <f ca="1">VLOOKUP(C510,Preencher_Salários!$D$7:$E$656,2,FALSE)</f>
        <v>0</v>
      </c>
      <c r="E510" s="4" t="str">
        <f ca="1">IF(D510=0,"",IF(IF(ISTEXT(C510),DATE(RIGHT(C510,4),12,31),C510)&lt;PREMISSAS!$D$7,"",IFERROR(VLOOKUP(IF(LEFT(C510,2)="13",DATE(RIGHT(C510,4),12,31),C510),IPCA!$A:$D,4,FALSE),1)*D510))</f>
        <v/>
      </c>
      <c r="F510" s="4" t="str">
        <f ca="1">IF(C510="","",IFERROR(AVERAGEIF(E$5:$E510,"&gt;="&amp;_xlfn.PERCENTILE.EXC(E$5:$E510,0.2)),0))</f>
        <v/>
      </c>
      <c r="G510" s="4" t="str">
        <f ca="1">IF(C510="","",IFERROR(AVERAGEIF($E$5:E510,"&gt;"&amp;0,$E$5:E510),0))</f>
        <v/>
      </c>
    </row>
    <row r="511" spans="2:7" x14ac:dyDescent="0.3">
      <c r="B511" s="18">
        <v>507</v>
      </c>
      <c r="C511" s="21" t="str">
        <f ca="1">IFERROR(IF(LEFT(C510,2)="13",DATE(RIGHT(C510,4),12,31),IF(EOMONTH(C510,1)&gt;PREMISSAS!$C$3,"",IF(MONTH(C510)=11,"13º "&amp;YEAR(C510),EOMONTH(C510,1)))),"")</f>
        <v/>
      </c>
      <c r="D511" s="22">
        <f ca="1">VLOOKUP(C511,Preencher_Salários!$D$7:$E$656,2,FALSE)</f>
        <v>0</v>
      </c>
      <c r="E511" s="4" t="str">
        <f ca="1">IF(D511=0,"",IF(IF(ISTEXT(C511),DATE(RIGHT(C511,4),12,31),C511)&lt;PREMISSAS!$D$7,"",IFERROR(VLOOKUP(IF(LEFT(C511,2)="13",DATE(RIGHT(C511,4),12,31),C511),IPCA!$A:$D,4,FALSE),1)*D511))</f>
        <v/>
      </c>
      <c r="F511" s="4" t="str">
        <f ca="1">IF(C511="","",IFERROR(AVERAGEIF(E$5:$E511,"&gt;="&amp;_xlfn.PERCENTILE.EXC(E$5:$E511,0.2)),0))</f>
        <v/>
      </c>
      <c r="G511" s="4" t="str">
        <f ca="1">IF(C511="","",IFERROR(AVERAGEIF($E$5:E511,"&gt;"&amp;0,$E$5:E511),0))</f>
        <v/>
      </c>
    </row>
    <row r="512" spans="2:7" x14ac:dyDescent="0.3">
      <c r="B512" s="18">
        <v>508</v>
      </c>
      <c r="C512" s="21" t="str">
        <f ca="1">IFERROR(IF(LEFT(C511,2)="13",DATE(RIGHT(C511,4),12,31),IF(EOMONTH(C511,1)&gt;PREMISSAS!$C$3,"",IF(MONTH(C511)=11,"13º "&amp;YEAR(C511),EOMONTH(C511,1)))),"")</f>
        <v/>
      </c>
      <c r="D512" s="22">
        <f ca="1">VLOOKUP(C512,Preencher_Salários!$D$7:$E$656,2,FALSE)</f>
        <v>0</v>
      </c>
      <c r="E512" s="4" t="str">
        <f ca="1">IF(D512=0,"",IF(IF(ISTEXT(C512),DATE(RIGHT(C512,4),12,31),C512)&lt;PREMISSAS!$D$7,"",IFERROR(VLOOKUP(IF(LEFT(C512,2)="13",DATE(RIGHT(C512,4),12,31),C512),IPCA!$A:$D,4,FALSE),1)*D512))</f>
        <v/>
      </c>
      <c r="F512" s="4" t="str">
        <f ca="1">IF(C512="","",IFERROR(AVERAGEIF(E$5:$E512,"&gt;="&amp;_xlfn.PERCENTILE.EXC(E$5:$E512,0.2)),0))</f>
        <v/>
      </c>
      <c r="G512" s="4" t="str">
        <f ca="1">IF(C512="","",IFERROR(AVERAGEIF($E$5:E512,"&gt;"&amp;0,$E$5:E512),0))</f>
        <v/>
      </c>
    </row>
    <row r="513" spans="2:7" x14ac:dyDescent="0.3">
      <c r="B513" s="18">
        <v>509</v>
      </c>
      <c r="C513" s="21" t="str">
        <f ca="1">IFERROR(IF(LEFT(C512,2)="13",DATE(RIGHT(C512,4),12,31),IF(EOMONTH(C512,1)&gt;PREMISSAS!$C$3,"",IF(MONTH(C512)=11,"13º "&amp;YEAR(C512),EOMONTH(C512,1)))),"")</f>
        <v/>
      </c>
      <c r="D513" s="22">
        <f ca="1">VLOOKUP(C513,Preencher_Salários!$D$7:$E$656,2,FALSE)</f>
        <v>0</v>
      </c>
      <c r="E513" s="4" t="str">
        <f ca="1">IF(D513=0,"",IF(IF(ISTEXT(C513),DATE(RIGHT(C513,4),12,31),C513)&lt;PREMISSAS!$D$7,"",IFERROR(VLOOKUP(IF(LEFT(C513,2)="13",DATE(RIGHT(C513,4),12,31),C513),IPCA!$A:$D,4,FALSE),1)*D513))</f>
        <v/>
      </c>
      <c r="F513" s="4" t="str">
        <f ca="1">IF(C513="","",IFERROR(AVERAGEIF(E$5:$E513,"&gt;="&amp;_xlfn.PERCENTILE.EXC(E$5:$E513,0.2)),0))</f>
        <v/>
      </c>
      <c r="G513" s="4" t="str">
        <f ca="1">IF(C513="","",IFERROR(AVERAGEIF($E$5:E513,"&gt;"&amp;0,$E$5:E513),0))</f>
        <v/>
      </c>
    </row>
    <row r="514" spans="2:7" x14ac:dyDescent="0.3">
      <c r="B514" s="18">
        <v>510</v>
      </c>
      <c r="C514" s="21" t="str">
        <f ca="1">IFERROR(IF(LEFT(C513,2)="13",DATE(RIGHT(C513,4),12,31),IF(EOMONTH(C513,1)&gt;PREMISSAS!$C$3,"",IF(MONTH(C513)=11,"13º "&amp;YEAR(C513),EOMONTH(C513,1)))),"")</f>
        <v/>
      </c>
      <c r="D514" s="22">
        <f ca="1">VLOOKUP(C514,Preencher_Salários!$D$7:$E$656,2,FALSE)</f>
        <v>0</v>
      </c>
      <c r="E514" s="4" t="str">
        <f ca="1">IF(D514=0,"",IF(IF(ISTEXT(C514),DATE(RIGHT(C514,4),12,31),C514)&lt;PREMISSAS!$D$7,"",IFERROR(VLOOKUP(IF(LEFT(C514,2)="13",DATE(RIGHT(C514,4),12,31),C514),IPCA!$A:$D,4,FALSE),1)*D514))</f>
        <v/>
      </c>
      <c r="F514" s="4" t="str">
        <f ca="1">IF(C514="","",IFERROR(AVERAGEIF(E$5:$E514,"&gt;="&amp;_xlfn.PERCENTILE.EXC(E$5:$E514,0.2)),0))</f>
        <v/>
      </c>
      <c r="G514" s="4" t="str">
        <f ca="1">IF(C514="","",IFERROR(AVERAGEIF($E$5:E514,"&gt;"&amp;0,$E$5:E514),0))</f>
        <v/>
      </c>
    </row>
    <row r="515" spans="2:7" x14ac:dyDescent="0.3">
      <c r="B515" s="18">
        <v>511</v>
      </c>
      <c r="C515" s="21" t="str">
        <f ca="1">IFERROR(IF(LEFT(C514,2)="13",DATE(RIGHT(C514,4),12,31),IF(EOMONTH(C514,1)&gt;PREMISSAS!$C$3,"",IF(MONTH(C514)=11,"13º "&amp;YEAR(C514),EOMONTH(C514,1)))),"")</f>
        <v/>
      </c>
      <c r="D515" s="22">
        <f ca="1">VLOOKUP(C515,Preencher_Salários!$D$7:$E$656,2,FALSE)</f>
        <v>0</v>
      </c>
      <c r="E515" s="4" t="str">
        <f ca="1">IF(D515=0,"",IF(IF(ISTEXT(C515),DATE(RIGHT(C515,4),12,31),C515)&lt;PREMISSAS!$D$7,"",IFERROR(VLOOKUP(IF(LEFT(C515,2)="13",DATE(RIGHT(C515,4),12,31),C515),IPCA!$A:$D,4,FALSE),1)*D515))</f>
        <v/>
      </c>
      <c r="F515" s="4" t="str">
        <f ca="1">IF(C515="","",IFERROR(AVERAGEIF(E$5:$E515,"&gt;="&amp;_xlfn.PERCENTILE.EXC(E$5:$E515,0.2)),0))</f>
        <v/>
      </c>
      <c r="G515" s="4" t="str">
        <f ca="1">IF(C515="","",IFERROR(AVERAGEIF($E$5:E515,"&gt;"&amp;0,$E$5:E515),0))</f>
        <v/>
      </c>
    </row>
    <row r="516" spans="2:7" x14ac:dyDescent="0.3">
      <c r="B516" s="18">
        <v>512</v>
      </c>
      <c r="C516" s="21" t="str">
        <f ca="1">IFERROR(IF(LEFT(C515,2)="13",DATE(RIGHT(C515,4),12,31),IF(EOMONTH(C515,1)&gt;PREMISSAS!$C$3,"",IF(MONTH(C515)=11,"13º "&amp;YEAR(C515),EOMONTH(C515,1)))),"")</f>
        <v/>
      </c>
      <c r="D516" s="22">
        <f ca="1">VLOOKUP(C516,Preencher_Salários!$D$7:$E$656,2,FALSE)</f>
        <v>0</v>
      </c>
      <c r="E516" s="4" t="str">
        <f ca="1">IF(D516=0,"",IF(IF(ISTEXT(C516),DATE(RIGHT(C516,4),12,31),C516)&lt;PREMISSAS!$D$7,"",IFERROR(VLOOKUP(IF(LEFT(C516,2)="13",DATE(RIGHT(C516,4),12,31),C516),IPCA!$A:$D,4,FALSE),1)*D516))</f>
        <v/>
      </c>
      <c r="F516" s="4" t="str">
        <f ca="1">IF(C516="","",IFERROR(AVERAGEIF(E$5:$E516,"&gt;="&amp;_xlfn.PERCENTILE.EXC(E$5:$E516,0.2)),0))</f>
        <v/>
      </c>
      <c r="G516" s="4" t="str">
        <f ca="1">IF(C516="","",IFERROR(AVERAGEIF($E$5:E516,"&gt;"&amp;0,$E$5:E516),0))</f>
        <v/>
      </c>
    </row>
    <row r="517" spans="2:7" x14ac:dyDescent="0.3">
      <c r="B517" s="18">
        <v>513</v>
      </c>
      <c r="C517" s="21" t="str">
        <f ca="1">IFERROR(IF(LEFT(C516,2)="13",DATE(RIGHT(C516,4),12,31),IF(EOMONTH(C516,1)&gt;PREMISSAS!$C$3,"",IF(MONTH(C516)=11,"13º "&amp;YEAR(C516),EOMONTH(C516,1)))),"")</f>
        <v/>
      </c>
      <c r="D517" s="22">
        <f ca="1">VLOOKUP(C517,Preencher_Salários!$D$7:$E$656,2,FALSE)</f>
        <v>0</v>
      </c>
      <c r="E517" s="4" t="str">
        <f ca="1">IF(D517=0,"",IF(IF(ISTEXT(C517),DATE(RIGHT(C517,4),12,31),C517)&lt;PREMISSAS!$D$7,"",IFERROR(VLOOKUP(IF(LEFT(C517,2)="13",DATE(RIGHT(C517,4),12,31),C517),IPCA!$A:$D,4,FALSE),1)*D517))</f>
        <v/>
      </c>
      <c r="F517" s="4" t="str">
        <f ca="1">IF(C517="","",IFERROR(AVERAGEIF(E$5:$E517,"&gt;="&amp;_xlfn.PERCENTILE.EXC(E$5:$E517,0.2)),0))</f>
        <v/>
      </c>
      <c r="G517" s="4" t="str">
        <f ca="1">IF(C517="","",IFERROR(AVERAGEIF($E$5:E517,"&gt;"&amp;0,$E$5:E517),0))</f>
        <v/>
      </c>
    </row>
    <row r="518" spans="2:7" x14ac:dyDescent="0.3">
      <c r="B518" s="18">
        <v>514</v>
      </c>
      <c r="C518" s="21" t="str">
        <f ca="1">IFERROR(IF(LEFT(C517,2)="13",DATE(RIGHT(C517,4),12,31),IF(EOMONTH(C517,1)&gt;PREMISSAS!$C$3,"",IF(MONTH(C517)=11,"13º "&amp;YEAR(C517),EOMONTH(C517,1)))),"")</f>
        <v/>
      </c>
      <c r="D518" s="22">
        <f ca="1">VLOOKUP(C518,Preencher_Salários!$D$7:$E$656,2,FALSE)</f>
        <v>0</v>
      </c>
      <c r="E518" s="4" t="str">
        <f ca="1">IF(D518=0,"",IF(IF(ISTEXT(C518),DATE(RIGHT(C518,4),12,31),C518)&lt;PREMISSAS!$D$7,"",IFERROR(VLOOKUP(IF(LEFT(C518,2)="13",DATE(RIGHT(C518,4),12,31),C518),IPCA!$A:$D,4,FALSE),1)*D518))</f>
        <v/>
      </c>
      <c r="F518" s="4" t="str">
        <f ca="1">IF(C518="","",IFERROR(AVERAGEIF(E$5:$E518,"&gt;="&amp;_xlfn.PERCENTILE.EXC(E$5:$E518,0.2)),0))</f>
        <v/>
      </c>
      <c r="G518" s="4" t="str">
        <f ca="1">IF(C518="","",IFERROR(AVERAGEIF($E$5:E518,"&gt;"&amp;0,$E$5:E518),0))</f>
        <v/>
      </c>
    </row>
    <row r="519" spans="2:7" x14ac:dyDescent="0.3">
      <c r="B519" s="18">
        <v>515</v>
      </c>
      <c r="C519" s="21" t="str">
        <f ca="1">IFERROR(IF(LEFT(C518,2)="13",DATE(RIGHT(C518,4),12,31),IF(EOMONTH(C518,1)&gt;PREMISSAS!$C$3,"",IF(MONTH(C518)=11,"13º "&amp;YEAR(C518),EOMONTH(C518,1)))),"")</f>
        <v/>
      </c>
      <c r="D519" s="22">
        <f ca="1">VLOOKUP(C519,Preencher_Salários!$D$7:$E$656,2,FALSE)</f>
        <v>0</v>
      </c>
      <c r="E519" s="4" t="str">
        <f ca="1">IF(D519=0,"",IF(IF(ISTEXT(C519),DATE(RIGHT(C519,4),12,31),C519)&lt;PREMISSAS!$D$7,"",IFERROR(VLOOKUP(IF(LEFT(C519,2)="13",DATE(RIGHT(C519,4),12,31),C519),IPCA!$A:$D,4,FALSE),1)*D519))</f>
        <v/>
      </c>
      <c r="F519" s="4" t="str">
        <f ca="1">IF(C519="","",IFERROR(AVERAGEIF(E$5:$E519,"&gt;="&amp;_xlfn.PERCENTILE.EXC(E$5:$E519,0.2)),0))</f>
        <v/>
      </c>
      <c r="G519" s="4" t="str">
        <f ca="1">IF(C519="","",IFERROR(AVERAGEIF($E$5:E519,"&gt;"&amp;0,$E$5:E519),0))</f>
        <v/>
      </c>
    </row>
    <row r="520" spans="2:7" x14ac:dyDescent="0.3">
      <c r="B520" s="18">
        <v>516</v>
      </c>
      <c r="C520" s="21" t="str">
        <f ca="1">IFERROR(IF(LEFT(C519,2)="13",DATE(RIGHT(C519,4),12,31),IF(EOMONTH(C519,1)&gt;PREMISSAS!$C$3,"",IF(MONTH(C519)=11,"13º "&amp;YEAR(C519),EOMONTH(C519,1)))),"")</f>
        <v/>
      </c>
      <c r="D520" s="22">
        <f ca="1">VLOOKUP(C520,Preencher_Salários!$D$7:$E$656,2,FALSE)</f>
        <v>0</v>
      </c>
      <c r="E520" s="4" t="str">
        <f ca="1">IF(D520=0,"",IF(IF(ISTEXT(C520),DATE(RIGHT(C520,4),12,31),C520)&lt;PREMISSAS!$D$7,"",IFERROR(VLOOKUP(IF(LEFT(C520,2)="13",DATE(RIGHT(C520,4),12,31),C520),IPCA!$A:$D,4,FALSE),1)*D520))</f>
        <v/>
      </c>
      <c r="F520" s="4" t="str">
        <f ca="1">IF(C520="","",IFERROR(AVERAGEIF(E$5:$E520,"&gt;="&amp;_xlfn.PERCENTILE.EXC(E$5:$E520,0.2)),0))</f>
        <v/>
      </c>
      <c r="G520" s="4" t="str">
        <f ca="1">IF(C520="","",IFERROR(AVERAGEIF($E$5:E520,"&gt;"&amp;0,$E$5:E520),0))</f>
        <v/>
      </c>
    </row>
    <row r="521" spans="2:7" x14ac:dyDescent="0.3">
      <c r="B521" s="18">
        <v>517</v>
      </c>
      <c r="C521" s="21" t="str">
        <f ca="1">IFERROR(IF(LEFT(C520,2)="13",DATE(RIGHT(C520,4),12,31),IF(EOMONTH(C520,1)&gt;PREMISSAS!$C$3,"",IF(MONTH(C520)=11,"13º "&amp;YEAR(C520),EOMONTH(C520,1)))),"")</f>
        <v/>
      </c>
      <c r="D521" s="22">
        <f ca="1">VLOOKUP(C521,Preencher_Salários!$D$7:$E$656,2,FALSE)</f>
        <v>0</v>
      </c>
      <c r="E521" s="4" t="str">
        <f ca="1">IF(D521=0,"",IF(IF(ISTEXT(C521),DATE(RIGHT(C521,4),12,31),C521)&lt;PREMISSAS!$D$7,"",IFERROR(VLOOKUP(IF(LEFT(C521,2)="13",DATE(RIGHT(C521,4),12,31),C521),IPCA!$A:$D,4,FALSE),1)*D521))</f>
        <v/>
      </c>
      <c r="F521" s="4" t="str">
        <f ca="1">IF(C521="","",IFERROR(AVERAGEIF(E$5:$E521,"&gt;="&amp;_xlfn.PERCENTILE.EXC(E$5:$E521,0.2)),0))</f>
        <v/>
      </c>
      <c r="G521" s="4" t="str">
        <f ca="1">IF(C521="","",IFERROR(AVERAGEIF($E$5:E521,"&gt;"&amp;0,$E$5:E521),0))</f>
        <v/>
      </c>
    </row>
    <row r="522" spans="2:7" x14ac:dyDescent="0.3">
      <c r="B522" s="18">
        <v>518</v>
      </c>
      <c r="C522" s="21" t="str">
        <f ca="1">IFERROR(IF(LEFT(C521,2)="13",DATE(RIGHT(C521,4),12,31),IF(EOMONTH(C521,1)&gt;PREMISSAS!$C$3,"",IF(MONTH(C521)=11,"13º "&amp;YEAR(C521),EOMONTH(C521,1)))),"")</f>
        <v/>
      </c>
      <c r="D522" s="22">
        <f ca="1">VLOOKUP(C522,Preencher_Salários!$D$7:$E$656,2,FALSE)</f>
        <v>0</v>
      </c>
      <c r="E522" s="4" t="str">
        <f ca="1">IF(D522=0,"",IF(IF(ISTEXT(C522),DATE(RIGHT(C522,4),12,31),C522)&lt;PREMISSAS!$D$7,"",IFERROR(VLOOKUP(IF(LEFT(C522,2)="13",DATE(RIGHT(C522,4),12,31),C522),IPCA!$A:$D,4,FALSE),1)*D522))</f>
        <v/>
      </c>
      <c r="F522" s="4" t="str">
        <f ca="1">IF(C522="","",IFERROR(AVERAGEIF(E$5:$E522,"&gt;="&amp;_xlfn.PERCENTILE.EXC(E$5:$E522,0.2)),0))</f>
        <v/>
      </c>
      <c r="G522" s="4" t="str">
        <f ca="1">IF(C522="","",IFERROR(AVERAGEIF($E$5:E522,"&gt;"&amp;0,$E$5:E522),0))</f>
        <v/>
      </c>
    </row>
    <row r="523" spans="2:7" x14ac:dyDescent="0.3">
      <c r="B523" s="18">
        <v>519</v>
      </c>
      <c r="C523" s="21" t="str">
        <f ca="1">IFERROR(IF(LEFT(C522,2)="13",DATE(RIGHT(C522,4),12,31),IF(EOMONTH(C522,1)&gt;PREMISSAS!$C$3,"",IF(MONTH(C522)=11,"13º "&amp;YEAR(C522),EOMONTH(C522,1)))),"")</f>
        <v/>
      </c>
      <c r="D523" s="22">
        <f ca="1">VLOOKUP(C523,Preencher_Salários!$D$7:$E$656,2,FALSE)</f>
        <v>0</v>
      </c>
      <c r="E523" s="4" t="str">
        <f ca="1">IF(D523=0,"",IF(IF(ISTEXT(C523),DATE(RIGHT(C523,4),12,31),C523)&lt;PREMISSAS!$D$7,"",IFERROR(VLOOKUP(IF(LEFT(C523,2)="13",DATE(RIGHT(C523,4),12,31),C523),IPCA!$A:$D,4,FALSE),1)*D523))</f>
        <v/>
      </c>
      <c r="F523" s="4" t="str">
        <f ca="1">IF(C523="","",IFERROR(AVERAGEIF(E$5:$E523,"&gt;="&amp;_xlfn.PERCENTILE.EXC(E$5:$E523,0.2)),0))</f>
        <v/>
      </c>
      <c r="G523" s="4" t="str">
        <f ca="1">IF(C523="","",IFERROR(AVERAGEIF($E$5:E523,"&gt;"&amp;0,$E$5:E523),0))</f>
        <v/>
      </c>
    </row>
    <row r="524" spans="2:7" x14ac:dyDescent="0.3">
      <c r="B524" s="18">
        <v>520</v>
      </c>
      <c r="C524" s="21" t="str">
        <f ca="1">IFERROR(IF(LEFT(C523,2)="13",DATE(RIGHT(C523,4),12,31),IF(EOMONTH(C523,1)&gt;PREMISSAS!$C$3,"",IF(MONTH(C523)=11,"13º "&amp;YEAR(C523),EOMONTH(C523,1)))),"")</f>
        <v/>
      </c>
      <c r="D524" s="22">
        <f ca="1">VLOOKUP(C524,Preencher_Salários!$D$7:$E$656,2,FALSE)</f>
        <v>0</v>
      </c>
      <c r="E524" s="4" t="str">
        <f ca="1">IF(D524=0,"",IF(IF(ISTEXT(C524),DATE(RIGHT(C524,4),12,31),C524)&lt;PREMISSAS!$D$7,"",IFERROR(VLOOKUP(IF(LEFT(C524,2)="13",DATE(RIGHT(C524,4),12,31),C524),IPCA!$A:$D,4,FALSE),1)*D524))</f>
        <v/>
      </c>
      <c r="F524" s="4" t="str">
        <f ca="1">IF(C524="","",IFERROR(AVERAGEIF(E$5:$E524,"&gt;="&amp;_xlfn.PERCENTILE.EXC(E$5:$E524,0.2)),0))</f>
        <v/>
      </c>
      <c r="G524" s="4" t="str">
        <f ca="1">IF(C524="","",IFERROR(AVERAGEIF($E$5:E524,"&gt;"&amp;0,$E$5:E524),0))</f>
        <v/>
      </c>
    </row>
    <row r="525" spans="2:7" x14ac:dyDescent="0.3">
      <c r="B525" s="18">
        <v>521</v>
      </c>
      <c r="C525" s="21" t="str">
        <f ca="1">IFERROR(IF(LEFT(C524,2)="13",DATE(RIGHT(C524,4),12,31),IF(EOMONTH(C524,1)&gt;PREMISSAS!$C$3,"",IF(MONTH(C524)=11,"13º "&amp;YEAR(C524),EOMONTH(C524,1)))),"")</f>
        <v/>
      </c>
      <c r="D525" s="22">
        <f ca="1">VLOOKUP(C525,Preencher_Salários!$D$7:$E$656,2,FALSE)</f>
        <v>0</v>
      </c>
      <c r="E525" s="4" t="str">
        <f ca="1">IF(D525=0,"",IF(IF(ISTEXT(C525),DATE(RIGHT(C525,4),12,31),C525)&lt;PREMISSAS!$D$7,"",IFERROR(VLOOKUP(IF(LEFT(C525,2)="13",DATE(RIGHT(C525,4),12,31),C525),IPCA!$A:$D,4,FALSE),1)*D525))</f>
        <v/>
      </c>
      <c r="F525" s="4" t="str">
        <f ca="1">IF(C525="","",IFERROR(AVERAGEIF(E$5:$E525,"&gt;="&amp;_xlfn.PERCENTILE.EXC(E$5:$E525,0.2)),0))</f>
        <v/>
      </c>
      <c r="G525" s="4" t="str">
        <f ca="1">IF(C525="","",IFERROR(AVERAGEIF($E$5:E525,"&gt;"&amp;0,$E$5:E525),0))</f>
        <v/>
      </c>
    </row>
    <row r="526" spans="2:7" x14ac:dyDescent="0.3">
      <c r="B526" s="18">
        <v>522</v>
      </c>
      <c r="C526" s="21" t="str">
        <f ca="1">IFERROR(IF(LEFT(C525,2)="13",DATE(RIGHT(C525,4),12,31),IF(EOMONTH(C525,1)&gt;PREMISSAS!$C$3,"",IF(MONTH(C525)=11,"13º "&amp;YEAR(C525),EOMONTH(C525,1)))),"")</f>
        <v/>
      </c>
      <c r="D526" s="22">
        <f ca="1">VLOOKUP(C526,Preencher_Salários!$D$7:$E$656,2,FALSE)</f>
        <v>0</v>
      </c>
      <c r="E526" s="4" t="str">
        <f ca="1">IF(D526=0,"",IF(IF(ISTEXT(C526),DATE(RIGHT(C526,4),12,31),C526)&lt;PREMISSAS!$D$7,"",IFERROR(VLOOKUP(IF(LEFT(C526,2)="13",DATE(RIGHT(C526,4),12,31),C526),IPCA!$A:$D,4,FALSE),1)*D526))</f>
        <v/>
      </c>
      <c r="F526" s="4" t="str">
        <f ca="1">IF(C526="","",IFERROR(AVERAGEIF(E$5:$E526,"&gt;="&amp;_xlfn.PERCENTILE.EXC(E$5:$E526,0.2)),0))</f>
        <v/>
      </c>
      <c r="G526" s="4" t="str">
        <f ca="1">IF(C526="","",IFERROR(AVERAGEIF($E$5:E526,"&gt;"&amp;0,$E$5:E526),0))</f>
        <v/>
      </c>
    </row>
    <row r="527" spans="2:7" x14ac:dyDescent="0.3">
      <c r="B527" s="18">
        <v>523</v>
      </c>
      <c r="C527" s="21" t="str">
        <f ca="1">IFERROR(IF(LEFT(C526,2)="13",DATE(RIGHT(C526,4),12,31),IF(EOMONTH(C526,1)&gt;PREMISSAS!$C$3,"",IF(MONTH(C526)=11,"13º "&amp;YEAR(C526),EOMONTH(C526,1)))),"")</f>
        <v/>
      </c>
      <c r="D527" s="22">
        <f ca="1">VLOOKUP(C527,Preencher_Salários!$D$7:$E$656,2,FALSE)</f>
        <v>0</v>
      </c>
      <c r="E527" s="4" t="str">
        <f ca="1">IF(D527=0,"",IF(IF(ISTEXT(C527),DATE(RIGHT(C527,4),12,31),C527)&lt;PREMISSAS!$D$7,"",IFERROR(VLOOKUP(IF(LEFT(C527,2)="13",DATE(RIGHT(C527,4),12,31),C527),IPCA!$A:$D,4,FALSE),1)*D527))</f>
        <v/>
      </c>
      <c r="F527" s="4" t="str">
        <f ca="1">IF(C527="","",IFERROR(AVERAGEIF(E$5:$E527,"&gt;="&amp;_xlfn.PERCENTILE.EXC(E$5:$E527,0.2)),0))</f>
        <v/>
      </c>
      <c r="G527" s="4" t="str">
        <f ca="1">IF(C527="","",IFERROR(AVERAGEIF($E$5:E527,"&gt;"&amp;0,$E$5:E527),0))</f>
        <v/>
      </c>
    </row>
    <row r="528" spans="2:7" x14ac:dyDescent="0.3">
      <c r="B528" s="18">
        <v>524</v>
      </c>
      <c r="C528" s="21" t="str">
        <f ca="1">IFERROR(IF(LEFT(C527,2)="13",DATE(RIGHT(C527,4),12,31),IF(EOMONTH(C527,1)&gt;PREMISSAS!$C$3,"",IF(MONTH(C527)=11,"13º "&amp;YEAR(C527),EOMONTH(C527,1)))),"")</f>
        <v/>
      </c>
      <c r="D528" s="22">
        <f ca="1">VLOOKUP(C528,Preencher_Salários!$D$7:$E$656,2,FALSE)</f>
        <v>0</v>
      </c>
      <c r="E528" s="4" t="str">
        <f ca="1">IF(D528=0,"",IF(IF(ISTEXT(C528),DATE(RIGHT(C528,4),12,31),C528)&lt;PREMISSAS!$D$7,"",IFERROR(VLOOKUP(IF(LEFT(C528,2)="13",DATE(RIGHT(C528,4),12,31),C528),IPCA!$A:$D,4,FALSE),1)*D528))</f>
        <v/>
      </c>
      <c r="F528" s="4" t="str">
        <f ca="1">IF(C528="","",IFERROR(AVERAGEIF(E$5:$E528,"&gt;="&amp;_xlfn.PERCENTILE.EXC(E$5:$E528,0.2)),0))</f>
        <v/>
      </c>
      <c r="G528" s="4" t="str">
        <f ca="1">IF(C528="","",IFERROR(AVERAGEIF($E$5:E528,"&gt;"&amp;0,$E$5:E528),0))</f>
        <v/>
      </c>
    </row>
    <row r="529" spans="2:7" x14ac:dyDescent="0.3">
      <c r="B529" s="18">
        <v>525</v>
      </c>
      <c r="C529" s="21" t="str">
        <f ca="1">IFERROR(IF(LEFT(C528,2)="13",DATE(RIGHT(C528,4),12,31),IF(EOMONTH(C528,1)&gt;PREMISSAS!$C$3,"",IF(MONTH(C528)=11,"13º "&amp;YEAR(C528),EOMONTH(C528,1)))),"")</f>
        <v/>
      </c>
      <c r="D529" s="22">
        <f ca="1">VLOOKUP(C529,Preencher_Salários!$D$7:$E$656,2,FALSE)</f>
        <v>0</v>
      </c>
      <c r="E529" s="4" t="str">
        <f ca="1">IF(D529=0,"",IF(IF(ISTEXT(C529),DATE(RIGHT(C529,4),12,31),C529)&lt;PREMISSAS!$D$7,"",IFERROR(VLOOKUP(IF(LEFT(C529,2)="13",DATE(RIGHT(C529,4),12,31),C529),IPCA!$A:$D,4,FALSE),1)*D529))</f>
        <v/>
      </c>
      <c r="F529" s="4" t="str">
        <f ca="1">IF(C529="","",IFERROR(AVERAGEIF(E$5:$E529,"&gt;="&amp;_xlfn.PERCENTILE.EXC(E$5:$E529,0.2)),0))</f>
        <v/>
      </c>
      <c r="G529" s="4" t="str">
        <f ca="1">IF(C529="","",IFERROR(AVERAGEIF($E$5:E529,"&gt;"&amp;0,$E$5:E529),0))</f>
        <v/>
      </c>
    </row>
    <row r="530" spans="2:7" x14ac:dyDescent="0.3">
      <c r="B530" s="18">
        <v>526</v>
      </c>
      <c r="C530" s="21" t="str">
        <f ca="1">IFERROR(IF(LEFT(C529,2)="13",DATE(RIGHT(C529,4),12,31),IF(EOMONTH(C529,1)&gt;PREMISSAS!$C$3,"",IF(MONTH(C529)=11,"13º "&amp;YEAR(C529),EOMONTH(C529,1)))),"")</f>
        <v/>
      </c>
      <c r="D530" s="22">
        <f ca="1">VLOOKUP(C530,Preencher_Salários!$D$7:$E$656,2,FALSE)</f>
        <v>0</v>
      </c>
      <c r="E530" s="4" t="str">
        <f ca="1">IF(D530=0,"",IF(IF(ISTEXT(C530),DATE(RIGHT(C530,4),12,31),C530)&lt;PREMISSAS!$D$7,"",IFERROR(VLOOKUP(IF(LEFT(C530,2)="13",DATE(RIGHT(C530,4),12,31),C530),IPCA!$A:$D,4,FALSE),1)*D530))</f>
        <v/>
      </c>
      <c r="F530" s="4" t="str">
        <f ca="1">IF(C530="","",IFERROR(AVERAGEIF(E$5:$E530,"&gt;="&amp;_xlfn.PERCENTILE.EXC(E$5:$E530,0.2)),0))</f>
        <v/>
      </c>
      <c r="G530" s="4" t="str">
        <f ca="1">IF(C530="","",IFERROR(AVERAGEIF($E$5:E530,"&gt;"&amp;0,$E$5:E530),0))</f>
        <v/>
      </c>
    </row>
    <row r="531" spans="2:7" x14ac:dyDescent="0.3">
      <c r="B531" s="18">
        <v>527</v>
      </c>
      <c r="C531" s="21" t="str">
        <f ca="1">IFERROR(IF(LEFT(C530,2)="13",DATE(RIGHT(C530,4),12,31),IF(EOMONTH(C530,1)&gt;PREMISSAS!$C$3,"",IF(MONTH(C530)=11,"13º "&amp;YEAR(C530),EOMONTH(C530,1)))),"")</f>
        <v/>
      </c>
      <c r="D531" s="22">
        <f ca="1">VLOOKUP(C531,Preencher_Salários!$D$7:$E$656,2,FALSE)</f>
        <v>0</v>
      </c>
      <c r="E531" s="4" t="str">
        <f ca="1">IF(D531=0,"",IF(IF(ISTEXT(C531),DATE(RIGHT(C531,4),12,31),C531)&lt;PREMISSAS!$D$7,"",IFERROR(VLOOKUP(IF(LEFT(C531,2)="13",DATE(RIGHT(C531,4),12,31),C531),IPCA!$A:$D,4,FALSE),1)*D531))</f>
        <v/>
      </c>
      <c r="F531" s="4" t="str">
        <f ca="1">IF(C531="","",IFERROR(AVERAGEIF(E$5:$E531,"&gt;="&amp;_xlfn.PERCENTILE.EXC(E$5:$E531,0.2)),0))</f>
        <v/>
      </c>
      <c r="G531" s="4" t="str">
        <f ca="1">IF(C531="","",IFERROR(AVERAGEIF($E$5:E531,"&gt;"&amp;0,$E$5:E531),0))</f>
        <v/>
      </c>
    </row>
    <row r="532" spans="2:7" x14ac:dyDescent="0.3">
      <c r="B532" s="18">
        <v>528</v>
      </c>
      <c r="C532" s="21" t="str">
        <f ca="1">IFERROR(IF(LEFT(C531,2)="13",DATE(RIGHT(C531,4),12,31),IF(EOMONTH(C531,1)&gt;PREMISSAS!$C$3,"",IF(MONTH(C531)=11,"13º "&amp;YEAR(C531),EOMONTH(C531,1)))),"")</f>
        <v/>
      </c>
      <c r="D532" s="22">
        <f ca="1">VLOOKUP(C532,Preencher_Salários!$D$7:$E$656,2,FALSE)</f>
        <v>0</v>
      </c>
      <c r="E532" s="4" t="str">
        <f ca="1">IF(D532=0,"",IF(IF(ISTEXT(C532),DATE(RIGHT(C532,4),12,31),C532)&lt;PREMISSAS!$D$7,"",IFERROR(VLOOKUP(IF(LEFT(C532,2)="13",DATE(RIGHT(C532,4),12,31),C532),IPCA!$A:$D,4,FALSE),1)*D532))</f>
        <v/>
      </c>
      <c r="F532" s="4" t="str">
        <f ca="1">IF(C532="","",IFERROR(AVERAGEIF(E$5:$E532,"&gt;="&amp;_xlfn.PERCENTILE.EXC(E$5:$E532,0.2)),0))</f>
        <v/>
      </c>
      <c r="G532" s="4" t="str">
        <f ca="1">IF(C532="","",IFERROR(AVERAGEIF($E$5:E532,"&gt;"&amp;0,$E$5:E532),0))</f>
        <v/>
      </c>
    </row>
    <row r="533" spans="2:7" x14ac:dyDescent="0.3">
      <c r="B533" s="18">
        <v>529</v>
      </c>
      <c r="C533" s="21" t="str">
        <f ca="1">IFERROR(IF(LEFT(C532,2)="13",DATE(RIGHT(C532,4),12,31),IF(EOMONTH(C532,1)&gt;PREMISSAS!$C$3,"",IF(MONTH(C532)=11,"13º "&amp;YEAR(C532),EOMONTH(C532,1)))),"")</f>
        <v/>
      </c>
      <c r="D533" s="22">
        <f ca="1">VLOOKUP(C533,Preencher_Salários!$D$7:$E$656,2,FALSE)</f>
        <v>0</v>
      </c>
      <c r="E533" s="4" t="str">
        <f ca="1">IF(D533=0,"",IF(IF(ISTEXT(C533),DATE(RIGHT(C533,4),12,31),C533)&lt;PREMISSAS!$D$7,"",IFERROR(VLOOKUP(IF(LEFT(C533,2)="13",DATE(RIGHT(C533,4),12,31),C533),IPCA!$A:$D,4,FALSE),1)*D533))</f>
        <v/>
      </c>
      <c r="F533" s="4" t="str">
        <f ca="1">IF(C533="","",IFERROR(AVERAGEIF(E$5:$E533,"&gt;="&amp;_xlfn.PERCENTILE.EXC(E$5:$E533,0.2)),0))</f>
        <v/>
      </c>
      <c r="G533" s="4" t="str">
        <f ca="1">IF(C533="","",IFERROR(AVERAGEIF($E$5:E533,"&gt;"&amp;0,$E$5:E533),0))</f>
        <v/>
      </c>
    </row>
    <row r="534" spans="2:7" x14ac:dyDescent="0.3">
      <c r="B534" s="18">
        <v>530</v>
      </c>
      <c r="C534" s="21" t="str">
        <f ca="1">IFERROR(IF(LEFT(C533,2)="13",DATE(RIGHT(C533,4),12,31),IF(EOMONTH(C533,1)&gt;PREMISSAS!$C$3,"",IF(MONTH(C533)=11,"13º "&amp;YEAR(C533),EOMONTH(C533,1)))),"")</f>
        <v/>
      </c>
      <c r="D534" s="22">
        <f ca="1">VLOOKUP(C534,Preencher_Salários!$D$7:$E$656,2,FALSE)</f>
        <v>0</v>
      </c>
      <c r="E534" s="4" t="str">
        <f ca="1">IF(D534=0,"",IF(IF(ISTEXT(C534),DATE(RIGHT(C534,4),12,31),C534)&lt;PREMISSAS!$D$7,"",IFERROR(VLOOKUP(IF(LEFT(C534,2)="13",DATE(RIGHT(C534,4),12,31),C534),IPCA!$A:$D,4,FALSE),1)*D534))</f>
        <v/>
      </c>
      <c r="F534" s="4" t="str">
        <f ca="1">IF(C534="","",IFERROR(AVERAGEIF(E$5:$E534,"&gt;="&amp;_xlfn.PERCENTILE.EXC(E$5:$E534,0.2)),0))</f>
        <v/>
      </c>
      <c r="G534" s="4" t="str">
        <f ca="1">IF(C534="","",IFERROR(AVERAGEIF($E$5:E534,"&gt;"&amp;0,$E$5:E534),0))</f>
        <v/>
      </c>
    </row>
    <row r="535" spans="2:7" x14ac:dyDescent="0.3">
      <c r="B535" s="18">
        <v>531</v>
      </c>
      <c r="C535" s="21" t="str">
        <f ca="1">IFERROR(IF(LEFT(C534,2)="13",DATE(RIGHT(C534,4),12,31),IF(EOMONTH(C534,1)&gt;PREMISSAS!$C$3,"",IF(MONTH(C534)=11,"13º "&amp;YEAR(C534),EOMONTH(C534,1)))),"")</f>
        <v/>
      </c>
      <c r="D535" s="22">
        <f ca="1">VLOOKUP(C535,Preencher_Salários!$D$7:$E$656,2,FALSE)</f>
        <v>0</v>
      </c>
      <c r="E535" s="4" t="str">
        <f ca="1">IF(D535=0,"",IF(IF(ISTEXT(C535),DATE(RIGHT(C535,4),12,31),C535)&lt;PREMISSAS!$D$7,"",IFERROR(VLOOKUP(IF(LEFT(C535,2)="13",DATE(RIGHT(C535,4),12,31),C535),IPCA!$A:$D,4,FALSE),1)*D535))</f>
        <v/>
      </c>
      <c r="F535" s="4" t="str">
        <f ca="1">IF(C535="","",IFERROR(AVERAGEIF(E$5:$E535,"&gt;="&amp;_xlfn.PERCENTILE.EXC(E$5:$E535,0.2)),0))</f>
        <v/>
      </c>
      <c r="G535" s="4" t="str">
        <f ca="1">IF(C535="","",IFERROR(AVERAGEIF($E$5:E535,"&gt;"&amp;0,$E$5:E535),0))</f>
        <v/>
      </c>
    </row>
    <row r="536" spans="2:7" x14ac:dyDescent="0.3">
      <c r="B536" s="18">
        <v>532</v>
      </c>
      <c r="C536" s="21" t="str">
        <f ca="1">IFERROR(IF(LEFT(C535,2)="13",DATE(RIGHT(C535,4),12,31),IF(EOMONTH(C535,1)&gt;PREMISSAS!$C$3,"",IF(MONTH(C535)=11,"13º "&amp;YEAR(C535),EOMONTH(C535,1)))),"")</f>
        <v/>
      </c>
      <c r="D536" s="22">
        <f ca="1">VLOOKUP(C536,Preencher_Salários!$D$7:$E$656,2,FALSE)</f>
        <v>0</v>
      </c>
      <c r="E536" s="4" t="str">
        <f ca="1">IF(D536=0,"",IF(IF(ISTEXT(C536),DATE(RIGHT(C536,4),12,31),C536)&lt;PREMISSAS!$D$7,"",IFERROR(VLOOKUP(IF(LEFT(C536,2)="13",DATE(RIGHT(C536,4),12,31),C536),IPCA!$A:$D,4,FALSE),1)*D536))</f>
        <v/>
      </c>
      <c r="F536" s="4" t="str">
        <f ca="1">IF(C536="","",IFERROR(AVERAGEIF(E$5:$E536,"&gt;="&amp;_xlfn.PERCENTILE.EXC(E$5:$E536,0.2)),0))</f>
        <v/>
      </c>
      <c r="G536" s="4" t="str">
        <f ca="1">IF(C536="","",IFERROR(AVERAGEIF($E$5:E536,"&gt;"&amp;0,$E$5:E536),0))</f>
        <v/>
      </c>
    </row>
    <row r="537" spans="2:7" x14ac:dyDescent="0.3">
      <c r="B537" s="18">
        <v>533</v>
      </c>
      <c r="C537" s="21" t="str">
        <f ca="1">IFERROR(IF(LEFT(C536,2)="13",DATE(RIGHT(C536,4),12,31),IF(EOMONTH(C536,1)&gt;PREMISSAS!$C$3,"",IF(MONTH(C536)=11,"13º "&amp;YEAR(C536),EOMONTH(C536,1)))),"")</f>
        <v/>
      </c>
      <c r="D537" s="22">
        <f ca="1">VLOOKUP(C537,Preencher_Salários!$D$7:$E$656,2,FALSE)</f>
        <v>0</v>
      </c>
      <c r="E537" s="4" t="str">
        <f ca="1">IF(D537=0,"",IF(IF(ISTEXT(C537),DATE(RIGHT(C537,4),12,31),C537)&lt;PREMISSAS!$D$7,"",IFERROR(VLOOKUP(IF(LEFT(C537,2)="13",DATE(RIGHT(C537,4),12,31),C537),IPCA!$A:$D,4,FALSE),1)*D537))</f>
        <v/>
      </c>
      <c r="F537" s="4" t="str">
        <f ca="1">IF(C537="","",IFERROR(AVERAGEIF(E$5:$E537,"&gt;="&amp;_xlfn.PERCENTILE.EXC(E$5:$E537,0.2)),0))</f>
        <v/>
      </c>
      <c r="G537" s="4" t="str">
        <f ca="1">IF(C537="","",IFERROR(AVERAGEIF($E$5:E537,"&gt;"&amp;0,$E$5:E537),0))</f>
        <v/>
      </c>
    </row>
    <row r="538" spans="2:7" x14ac:dyDescent="0.3">
      <c r="B538" s="18">
        <v>534</v>
      </c>
      <c r="C538" s="21" t="str">
        <f ca="1">IFERROR(IF(LEFT(C537,2)="13",DATE(RIGHT(C537,4),12,31),IF(EOMONTH(C537,1)&gt;PREMISSAS!$C$3,"",IF(MONTH(C537)=11,"13º "&amp;YEAR(C537),EOMONTH(C537,1)))),"")</f>
        <v/>
      </c>
      <c r="D538" s="22">
        <f ca="1">VLOOKUP(C538,Preencher_Salários!$D$7:$E$656,2,FALSE)</f>
        <v>0</v>
      </c>
      <c r="E538" s="4" t="str">
        <f ca="1">IF(D538=0,"",IF(IF(ISTEXT(C538),DATE(RIGHT(C538,4),12,31),C538)&lt;PREMISSAS!$D$7,"",IFERROR(VLOOKUP(IF(LEFT(C538,2)="13",DATE(RIGHT(C538,4),12,31),C538),IPCA!$A:$D,4,FALSE),1)*D538))</f>
        <v/>
      </c>
      <c r="F538" s="4" t="str">
        <f ca="1">IF(C538="","",IFERROR(AVERAGEIF(E$5:$E538,"&gt;="&amp;_xlfn.PERCENTILE.EXC(E$5:$E538,0.2)),0))</f>
        <v/>
      </c>
      <c r="G538" s="4" t="str">
        <f ca="1">IF(C538="","",IFERROR(AVERAGEIF($E$5:E538,"&gt;"&amp;0,$E$5:E538),0))</f>
        <v/>
      </c>
    </row>
    <row r="539" spans="2:7" x14ac:dyDescent="0.3">
      <c r="B539" s="18">
        <v>535</v>
      </c>
      <c r="C539" s="21" t="str">
        <f ca="1">IFERROR(IF(LEFT(C538,2)="13",DATE(RIGHT(C538,4),12,31),IF(EOMONTH(C538,1)&gt;PREMISSAS!$C$3,"",IF(MONTH(C538)=11,"13º "&amp;YEAR(C538),EOMONTH(C538,1)))),"")</f>
        <v/>
      </c>
      <c r="D539" s="22">
        <f ca="1">VLOOKUP(C539,Preencher_Salários!$D$7:$E$656,2,FALSE)</f>
        <v>0</v>
      </c>
      <c r="E539" s="4" t="str">
        <f ca="1">IF(D539=0,"",IF(IF(ISTEXT(C539),DATE(RIGHT(C539,4),12,31),C539)&lt;PREMISSAS!$D$7,"",IFERROR(VLOOKUP(IF(LEFT(C539,2)="13",DATE(RIGHT(C539,4),12,31),C539),IPCA!$A:$D,4,FALSE),1)*D539))</f>
        <v/>
      </c>
      <c r="F539" s="4" t="str">
        <f ca="1">IF(C539="","",IFERROR(AVERAGEIF(E$5:$E539,"&gt;="&amp;_xlfn.PERCENTILE.EXC(E$5:$E539,0.2)),0))</f>
        <v/>
      </c>
      <c r="G539" s="4" t="str">
        <f ca="1">IF(C539="","",IFERROR(AVERAGEIF($E$5:E539,"&gt;"&amp;0,$E$5:E539),0))</f>
        <v/>
      </c>
    </row>
    <row r="540" spans="2:7" x14ac:dyDescent="0.3">
      <c r="B540" s="18">
        <v>536</v>
      </c>
      <c r="C540" s="21" t="str">
        <f ca="1">IFERROR(IF(LEFT(C539,2)="13",DATE(RIGHT(C539,4),12,31),IF(EOMONTH(C539,1)&gt;PREMISSAS!$C$3,"",IF(MONTH(C539)=11,"13º "&amp;YEAR(C539),EOMONTH(C539,1)))),"")</f>
        <v/>
      </c>
      <c r="D540" s="22">
        <f ca="1">VLOOKUP(C540,Preencher_Salários!$D$7:$E$656,2,FALSE)</f>
        <v>0</v>
      </c>
      <c r="E540" s="4" t="str">
        <f ca="1">IF(D540=0,"",IF(IF(ISTEXT(C540),DATE(RIGHT(C540,4),12,31),C540)&lt;PREMISSAS!$D$7,"",IFERROR(VLOOKUP(IF(LEFT(C540,2)="13",DATE(RIGHT(C540,4),12,31),C540),IPCA!$A:$D,4,FALSE),1)*D540))</f>
        <v/>
      </c>
      <c r="F540" s="4" t="str">
        <f ca="1">IF(C540="","",IFERROR(AVERAGEIF(E$5:$E540,"&gt;="&amp;_xlfn.PERCENTILE.EXC(E$5:$E540,0.2)),0))</f>
        <v/>
      </c>
      <c r="G540" s="4" t="str">
        <f ca="1">IF(C540="","",IFERROR(AVERAGEIF($E$5:E540,"&gt;"&amp;0,$E$5:E540),0))</f>
        <v/>
      </c>
    </row>
    <row r="541" spans="2:7" x14ac:dyDescent="0.3">
      <c r="B541" s="18">
        <v>537</v>
      </c>
      <c r="C541" s="21" t="str">
        <f ca="1">IFERROR(IF(LEFT(C540,2)="13",DATE(RIGHT(C540,4),12,31),IF(EOMONTH(C540,1)&gt;PREMISSAS!$C$3,"",IF(MONTH(C540)=11,"13º "&amp;YEAR(C540),EOMONTH(C540,1)))),"")</f>
        <v/>
      </c>
      <c r="D541" s="22">
        <f ca="1">VLOOKUP(C541,Preencher_Salários!$D$7:$E$656,2,FALSE)</f>
        <v>0</v>
      </c>
      <c r="E541" s="4" t="str">
        <f ca="1">IF(D541=0,"",IF(IF(ISTEXT(C541),DATE(RIGHT(C541,4),12,31),C541)&lt;PREMISSAS!$D$7,"",IFERROR(VLOOKUP(IF(LEFT(C541,2)="13",DATE(RIGHT(C541,4),12,31),C541),IPCA!$A:$D,4,FALSE),1)*D541))</f>
        <v/>
      </c>
      <c r="F541" s="4" t="str">
        <f ca="1">IF(C541="","",IFERROR(AVERAGEIF(E$5:$E541,"&gt;="&amp;_xlfn.PERCENTILE.EXC(E$5:$E541,0.2)),0))</f>
        <v/>
      </c>
      <c r="G541" s="4" t="str">
        <f ca="1">IF(C541="","",IFERROR(AVERAGEIF($E$5:E541,"&gt;"&amp;0,$E$5:E541),0))</f>
        <v/>
      </c>
    </row>
    <row r="542" spans="2:7" x14ac:dyDescent="0.3">
      <c r="B542" s="18">
        <v>538</v>
      </c>
      <c r="C542" s="21" t="str">
        <f ca="1">IFERROR(IF(LEFT(C541,2)="13",DATE(RIGHT(C541,4),12,31),IF(EOMONTH(C541,1)&gt;PREMISSAS!$C$3,"",IF(MONTH(C541)=11,"13º "&amp;YEAR(C541),EOMONTH(C541,1)))),"")</f>
        <v/>
      </c>
      <c r="D542" s="22">
        <f ca="1">VLOOKUP(C542,Preencher_Salários!$D$7:$E$656,2,FALSE)</f>
        <v>0</v>
      </c>
      <c r="E542" s="4" t="str">
        <f ca="1">IF(D542=0,"",IF(IF(ISTEXT(C542),DATE(RIGHT(C542,4),12,31),C542)&lt;PREMISSAS!$D$7,"",IFERROR(VLOOKUP(IF(LEFT(C542,2)="13",DATE(RIGHT(C542,4),12,31),C542),IPCA!$A:$D,4,FALSE),1)*D542))</f>
        <v/>
      </c>
      <c r="F542" s="4" t="str">
        <f ca="1">IF(C542="","",IFERROR(AVERAGEIF(E$5:$E542,"&gt;="&amp;_xlfn.PERCENTILE.EXC(E$5:$E542,0.2)),0))</f>
        <v/>
      </c>
      <c r="G542" s="4" t="str">
        <f ca="1">IF(C542="","",IFERROR(AVERAGEIF($E$5:E542,"&gt;"&amp;0,$E$5:E542),0))</f>
        <v/>
      </c>
    </row>
    <row r="543" spans="2:7" x14ac:dyDescent="0.3">
      <c r="B543" s="18">
        <v>539</v>
      </c>
      <c r="C543" s="21" t="str">
        <f ca="1">IFERROR(IF(LEFT(C542,2)="13",DATE(RIGHT(C542,4),12,31),IF(EOMONTH(C542,1)&gt;PREMISSAS!$C$3,"",IF(MONTH(C542)=11,"13º "&amp;YEAR(C542),EOMONTH(C542,1)))),"")</f>
        <v/>
      </c>
      <c r="D543" s="22">
        <f ca="1">VLOOKUP(C543,Preencher_Salários!$D$7:$E$656,2,FALSE)</f>
        <v>0</v>
      </c>
      <c r="E543" s="4" t="str">
        <f ca="1">IF(D543=0,"",IF(IF(ISTEXT(C543),DATE(RIGHT(C543,4),12,31),C543)&lt;PREMISSAS!$D$7,"",IFERROR(VLOOKUP(IF(LEFT(C543,2)="13",DATE(RIGHT(C543,4),12,31),C543),IPCA!$A:$D,4,FALSE),1)*D543))</f>
        <v/>
      </c>
      <c r="F543" s="4" t="str">
        <f ca="1">IF(C543="","",IFERROR(AVERAGEIF(E$5:$E543,"&gt;="&amp;_xlfn.PERCENTILE.EXC(E$5:$E543,0.2)),0))</f>
        <v/>
      </c>
      <c r="G543" s="4" t="str">
        <f ca="1">IF(C543="","",IFERROR(AVERAGEIF($E$5:E543,"&gt;"&amp;0,$E$5:E543),0))</f>
        <v/>
      </c>
    </row>
    <row r="544" spans="2:7" x14ac:dyDescent="0.3">
      <c r="B544" s="18">
        <v>540</v>
      </c>
      <c r="C544" s="21" t="str">
        <f ca="1">IFERROR(IF(LEFT(C543,2)="13",DATE(RIGHT(C543,4),12,31),IF(EOMONTH(C543,1)&gt;PREMISSAS!$C$3,"",IF(MONTH(C543)=11,"13º "&amp;YEAR(C543),EOMONTH(C543,1)))),"")</f>
        <v/>
      </c>
      <c r="D544" s="22">
        <f ca="1">VLOOKUP(C544,Preencher_Salários!$D$7:$E$656,2,FALSE)</f>
        <v>0</v>
      </c>
      <c r="E544" s="4" t="str">
        <f ca="1">IF(D544=0,"",IF(IF(ISTEXT(C544),DATE(RIGHT(C544,4),12,31),C544)&lt;PREMISSAS!$D$7,"",IFERROR(VLOOKUP(IF(LEFT(C544,2)="13",DATE(RIGHT(C544,4),12,31),C544),IPCA!$A:$D,4,FALSE),1)*D544))</f>
        <v/>
      </c>
      <c r="F544" s="4" t="str">
        <f ca="1">IF(C544="","",IFERROR(AVERAGEIF(E$5:$E544,"&gt;="&amp;_xlfn.PERCENTILE.EXC(E$5:$E544,0.2)),0))</f>
        <v/>
      </c>
      <c r="G544" s="4" t="str">
        <f ca="1">IF(C544="","",IFERROR(AVERAGEIF($E$5:E544,"&gt;"&amp;0,$E$5:E544),0))</f>
        <v/>
      </c>
    </row>
    <row r="545" spans="2:7" x14ac:dyDescent="0.3">
      <c r="B545" s="18">
        <v>541</v>
      </c>
      <c r="C545" s="21" t="str">
        <f ca="1">IFERROR(IF(LEFT(C544,2)="13",DATE(RIGHT(C544,4),12,31),IF(EOMONTH(C544,1)&gt;PREMISSAS!$C$3,"",IF(MONTH(C544)=11,"13º "&amp;YEAR(C544),EOMONTH(C544,1)))),"")</f>
        <v/>
      </c>
      <c r="D545" s="22">
        <f ca="1">VLOOKUP(C545,Preencher_Salários!$D$7:$E$656,2,FALSE)</f>
        <v>0</v>
      </c>
      <c r="E545" s="4" t="str">
        <f ca="1">IF(D545=0,"",IF(IF(ISTEXT(C545),DATE(RIGHT(C545,4),12,31),C545)&lt;PREMISSAS!$D$7,"",IFERROR(VLOOKUP(IF(LEFT(C545,2)="13",DATE(RIGHT(C545,4),12,31),C545),IPCA!$A:$D,4,FALSE),1)*D545))</f>
        <v/>
      </c>
      <c r="F545" s="4" t="str">
        <f ca="1">IF(C545="","",IFERROR(AVERAGEIF(E$5:$E545,"&gt;="&amp;_xlfn.PERCENTILE.EXC(E$5:$E545,0.2)),0))</f>
        <v/>
      </c>
      <c r="G545" s="4" t="str">
        <f ca="1">IF(C545="","",IFERROR(AVERAGEIF($E$5:E545,"&gt;"&amp;0,$E$5:E545),0))</f>
        <v/>
      </c>
    </row>
    <row r="546" spans="2:7" x14ac:dyDescent="0.3">
      <c r="B546" s="18">
        <v>542</v>
      </c>
      <c r="C546" s="21" t="str">
        <f ca="1">IFERROR(IF(LEFT(C545,2)="13",DATE(RIGHT(C545,4),12,31),IF(EOMONTH(C545,1)&gt;PREMISSAS!$C$3,"",IF(MONTH(C545)=11,"13º "&amp;YEAR(C545),EOMONTH(C545,1)))),"")</f>
        <v/>
      </c>
      <c r="D546" s="22">
        <f ca="1">VLOOKUP(C546,Preencher_Salários!$D$7:$E$656,2,FALSE)</f>
        <v>0</v>
      </c>
      <c r="E546" s="4" t="str">
        <f ca="1">IF(D546=0,"",IF(IF(ISTEXT(C546),DATE(RIGHT(C546,4),12,31),C546)&lt;PREMISSAS!$D$7,"",IFERROR(VLOOKUP(IF(LEFT(C546,2)="13",DATE(RIGHT(C546,4),12,31),C546),IPCA!$A:$D,4,FALSE),1)*D546))</f>
        <v/>
      </c>
      <c r="F546" s="4" t="str">
        <f ca="1">IF(C546="","",IFERROR(AVERAGEIF(E$5:$E546,"&gt;="&amp;_xlfn.PERCENTILE.EXC(E$5:$E546,0.2)),0))</f>
        <v/>
      </c>
      <c r="G546" s="4" t="str">
        <f ca="1">IF(C546="","",IFERROR(AVERAGEIF($E$5:E546,"&gt;"&amp;0,$E$5:E546),0))</f>
        <v/>
      </c>
    </row>
    <row r="547" spans="2:7" x14ac:dyDescent="0.3">
      <c r="B547" s="18">
        <v>543</v>
      </c>
      <c r="C547" s="21" t="str">
        <f ca="1">IFERROR(IF(LEFT(C546,2)="13",DATE(RIGHT(C546,4),12,31),IF(EOMONTH(C546,1)&gt;PREMISSAS!$C$3,"",IF(MONTH(C546)=11,"13º "&amp;YEAR(C546),EOMONTH(C546,1)))),"")</f>
        <v/>
      </c>
      <c r="D547" s="22">
        <f ca="1">VLOOKUP(C547,Preencher_Salários!$D$7:$E$656,2,FALSE)</f>
        <v>0</v>
      </c>
      <c r="E547" s="4" t="str">
        <f ca="1">IF(D547=0,"",IF(IF(ISTEXT(C547),DATE(RIGHT(C547,4),12,31),C547)&lt;PREMISSAS!$D$7,"",IFERROR(VLOOKUP(IF(LEFT(C547,2)="13",DATE(RIGHT(C547,4),12,31),C547),IPCA!$A:$D,4,FALSE),1)*D547))</f>
        <v/>
      </c>
      <c r="F547" s="4" t="str">
        <f ca="1">IF(C547="","",IFERROR(AVERAGEIF(E$5:$E547,"&gt;="&amp;_xlfn.PERCENTILE.EXC(E$5:$E547,0.2)),0))</f>
        <v/>
      </c>
      <c r="G547" s="4" t="str">
        <f ca="1">IF(C547="","",IFERROR(AVERAGEIF($E$5:E547,"&gt;"&amp;0,$E$5:E547),0))</f>
        <v/>
      </c>
    </row>
    <row r="548" spans="2:7" x14ac:dyDescent="0.3">
      <c r="B548" s="18">
        <v>544</v>
      </c>
      <c r="C548" s="21" t="str">
        <f ca="1">IFERROR(IF(LEFT(C547,2)="13",DATE(RIGHT(C547,4),12,31),IF(EOMONTH(C547,1)&gt;PREMISSAS!$C$3,"",IF(MONTH(C547)=11,"13º "&amp;YEAR(C547),EOMONTH(C547,1)))),"")</f>
        <v/>
      </c>
      <c r="D548" s="22">
        <f ca="1">VLOOKUP(C548,Preencher_Salários!$D$7:$E$656,2,FALSE)</f>
        <v>0</v>
      </c>
      <c r="E548" s="4" t="str">
        <f ca="1">IF(D548=0,"",IF(IF(ISTEXT(C548),DATE(RIGHT(C548,4),12,31),C548)&lt;PREMISSAS!$D$7,"",IFERROR(VLOOKUP(IF(LEFT(C548,2)="13",DATE(RIGHT(C548,4),12,31),C548),IPCA!$A:$D,4,FALSE),1)*D548))</f>
        <v/>
      </c>
      <c r="F548" s="4" t="str">
        <f ca="1">IF(C548="","",IFERROR(AVERAGEIF(E$5:$E548,"&gt;="&amp;_xlfn.PERCENTILE.EXC(E$5:$E548,0.2)),0))</f>
        <v/>
      </c>
      <c r="G548" s="4" t="str">
        <f ca="1">IF(C548="","",IFERROR(AVERAGEIF($E$5:E548,"&gt;"&amp;0,$E$5:E548),0))</f>
        <v/>
      </c>
    </row>
    <row r="549" spans="2:7" x14ac:dyDescent="0.3">
      <c r="B549" s="18">
        <v>545</v>
      </c>
      <c r="C549" s="21" t="str">
        <f ca="1">IFERROR(IF(LEFT(C548,2)="13",DATE(RIGHT(C548,4),12,31),IF(EOMONTH(C548,1)&gt;PREMISSAS!$C$3,"",IF(MONTH(C548)=11,"13º "&amp;YEAR(C548),EOMONTH(C548,1)))),"")</f>
        <v/>
      </c>
      <c r="D549" s="22">
        <f ca="1">VLOOKUP(C549,Preencher_Salários!$D$7:$E$656,2,FALSE)</f>
        <v>0</v>
      </c>
      <c r="E549" s="4" t="str">
        <f ca="1">IF(D549=0,"",IF(IF(ISTEXT(C549),DATE(RIGHT(C549,4),12,31),C549)&lt;PREMISSAS!$D$7,"",IFERROR(VLOOKUP(IF(LEFT(C549,2)="13",DATE(RIGHT(C549,4),12,31),C549),IPCA!$A:$D,4,FALSE),1)*D549))</f>
        <v/>
      </c>
      <c r="F549" s="4" t="str">
        <f ca="1">IF(C549="","",IFERROR(AVERAGEIF(E$5:$E549,"&gt;="&amp;_xlfn.PERCENTILE.EXC(E$5:$E549,0.2)),0))</f>
        <v/>
      </c>
      <c r="G549" s="4" t="str">
        <f ca="1">IF(C549="","",IFERROR(AVERAGEIF($E$5:E549,"&gt;"&amp;0,$E$5:E549),0))</f>
        <v/>
      </c>
    </row>
    <row r="550" spans="2:7" x14ac:dyDescent="0.3">
      <c r="B550" s="18">
        <v>546</v>
      </c>
      <c r="C550" s="21" t="str">
        <f ca="1">IFERROR(IF(LEFT(C549,2)="13",DATE(RIGHT(C549,4),12,31),IF(EOMONTH(C549,1)&gt;PREMISSAS!$C$3,"",IF(MONTH(C549)=11,"13º "&amp;YEAR(C549),EOMONTH(C549,1)))),"")</f>
        <v/>
      </c>
      <c r="D550" s="22">
        <f ca="1">VLOOKUP(C550,Preencher_Salários!$D$7:$E$656,2,FALSE)</f>
        <v>0</v>
      </c>
      <c r="E550" s="4" t="str">
        <f ca="1">IF(D550=0,"",IF(IF(ISTEXT(C550),DATE(RIGHT(C550,4),12,31),C550)&lt;PREMISSAS!$D$7,"",IFERROR(VLOOKUP(IF(LEFT(C550,2)="13",DATE(RIGHT(C550,4),12,31),C550),IPCA!$A:$D,4,FALSE),1)*D550))</f>
        <v/>
      </c>
      <c r="F550" s="4" t="str">
        <f ca="1">IF(C550="","",IFERROR(AVERAGEIF(E$5:$E550,"&gt;="&amp;_xlfn.PERCENTILE.EXC(E$5:$E550,0.2)),0))</f>
        <v/>
      </c>
      <c r="G550" s="4" t="str">
        <f ca="1">IF(C550="","",IFERROR(AVERAGEIF($E$5:E550,"&gt;"&amp;0,$E$5:E550),0))</f>
        <v/>
      </c>
    </row>
    <row r="551" spans="2:7" x14ac:dyDescent="0.3">
      <c r="B551" s="18">
        <v>547</v>
      </c>
      <c r="C551" s="21" t="str">
        <f ca="1">IFERROR(IF(LEFT(C550,2)="13",DATE(RIGHT(C550,4),12,31),IF(EOMONTH(C550,1)&gt;PREMISSAS!$C$3,"",IF(MONTH(C550)=11,"13º "&amp;YEAR(C550),EOMONTH(C550,1)))),"")</f>
        <v/>
      </c>
      <c r="D551" s="22">
        <f ca="1">VLOOKUP(C551,Preencher_Salários!$D$7:$E$656,2,FALSE)</f>
        <v>0</v>
      </c>
      <c r="E551" s="4" t="str">
        <f ca="1">IF(D551=0,"",IF(IF(ISTEXT(C551),DATE(RIGHT(C551,4),12,31),C551)&lt;PREMISSAS!$D$7,"",IFERROR(VLOOKUP(IF(LEFT(C551,2)="13",DATE(RIGHT(C551,4),12,31),C551),IPCA!$A:$D,4,FALSE),1)*D551))</f>
        <v/>
      </c>
      <c r="F551" s="4" t="str">
        <f ca="1">IF(C551="","",IFERROR(AVERAGEIF(E$5:$E551,"&gt;="&amp;_xlfn.PERCENTILE.EXC(E$5:$E551,0.2)),0))</f>
        <v/>
      </c>
      <c r="G551" s="4" t="str">
        <f ca="1">IF(C551="","",IFERROR(AVERAGEIF($E$5:E551,"&gt;"&amp;0,$E$5:E551),0))</f>
        <v/>
      </c>
    </row>
    <row r="552" spans="2:7" x14ac:dyDescent="0.3">
      <c r="B552" s="18">
        <v>548</v>
      </c>
      <c r="C552" s="21" t="str">
        <f ca="1">IFERROR(IF(LEFT(C551,2)="13",DATE(RIGHT(C551,4),12,31),IF(EOMONTH(C551,1)&gt;PREMISSAS!$C$3,"",IF(MONTH(C551)=11,"13º "&amp;YEAR(C551),EOMONTH(C551,1)))),"")</f>
        <v/>
      </c>
      <c r="D552" s="22">
        <f ca="1">VLOOKUP(C552,Preencher_Salários!$D$7:$E$656,2,FALSE)</f>
        <v>0</v>
      </c>
      <c r="E552" s="4" t="str">
        <f ca="1">IF(D552=0,"",IF(IF(ISTEXT(C552),DATE(RIGHT(C552,4),12,31),C552)&lt;PREMISSAS!$D$7,"",IFERROR(VLOOKUP(IF(LEFT(C552,2)="13",DATE(RIGHT(C552,4),12,31),C552),IPCA!$A:$D,4,FALSE),1)*D552))</f>
        <v/>
      </c>
      <c r="F552" s="4" t="str">
        <f ca="1">IF(C552="","",IFERROR(AVERAGEIF(E$5:$E552,"&gt;="&amp;_xlfn.PERCENTILE.EXC(E$5:$E552,0.2)),0))</f>
        <v/>
      </c>
      <c r="G552" s="4" t="str">
        <f ca="1">IF(C552="","",IFERROR(AVERAGEIF($E$5:E552,"&gt;"&amp;0,$E$5:E552),0))</f>
        <v/>
      </c>
    </row>
    <row r="553" spans="2:7" x14ac:dyDescent="0.3">
      <c r="B553" s="18">
        <v>549</v>
      </c>
      <c r="C553" s="21" t="str">
        <f ca="1">IFERROR(IF(LEFT(C552,2)="13",DATE(RIGHT(C552,4),12,31),IF(EOMONTH(C552,1)&gt;PREMISSAS!$C$3,"",IF(MONTH(C552)=11,"13º "&amp;YEAR(C552),EOMONTH(C552,1)))),"")</f>
        <v/>
      </c>
      <c r="D553" s="22">
        <f ca="1">VLOOKUP(C553,Preencher_Salários!$D$7:$E$656,2,FALSE)</f>
        <v>0</v>
      </c>
      <c r="E553" s="4" t="str">
        <f ca="1">IF(D553=0,"",IF(IF(ISTEXT(C553),DATE(RIGHT(C553,4),12,31),C553)&lt;PREMISSAS!$D$7,"",IFERROR(VLOOKUP(IF(LEFT(C553,2)="13",DATE(RIGHT(C553,4),12,31),C553),IPCA!$A:$D,4,FALSE),1)*D553))</f>
        <v/>
      </c>
      <c r="F553" s="4" t="str">
        <f ca="1">IF(C553="","",IFERROR(AVERAGEIF(E$5:$E553,"&gt;="&amp;_xlfn.PERCENTILE.EXC(E$5:$E553,0.2)),0))</f>
        <v/>
      </c>
      <c r="G553" s="4" t="str">
        <f ca="1">IF(C553="","",IFERROR(AVERAGEIF($E$5:E553,"&gt;"&amp;0,$E$5:E553),0))</f>
        <v/>
      </c>
    </row>
    <row r="554" spans="2:7" x14ac:dyDescent="0.3">
      <c r="B554" s="18">
        <v>550</v>
      </c>
      <c r="C554" s="21" t="str">
        <f ca="1">IFERROR(IF(LEFT(C553,2)="13",DATE(RIGHT(C553,4),12,31),IF(EOMONTH(C553,1)&gt;PREMISSAS!$C$3,"",IF(MONTH(C553)=11,"13º "&amp;YEAR(C553),EOMONTH(C553,1)))),"")</f>
        <v/>
      </c>
      <c r="D554" s="22">
        <f ca="1">VLOOKUP(C554,Preencher_Salários!$D$7:$E$656,2,FALSE)</f>
        <v>0</v>
      </c>
      <c r="E554" s="4" t="str">
        <f ca="1">IF(D554=0,"",IF(IF(ISTEXT(C554),DATE(RIGHT(C554,4),12,31),C554)&lt;PREMISSAS!$D$7,"",IFERROR(VLOOKUP(IF(LEFT(C554,2)="13",DATE(RIGHT(C554,4),12,31),C554),IPCA!$A:$D,4,FALSE),1)*D554))</f>
        <v/>
      </c>
      <c r="F554" s="4" t="str">
        <f ca="1">IF(C554="","",IFERROR(AVERAGEIF(E$5:$E554,"&gt;="&amp;_xlfn.PERCENTILE.EXC(E$5:$E554,0.2)),0))</f>
        <v/>
      </c>
      <c r="G554" s="4" t="str">
        <f ca="1">IF(C554="","",IFERROR(AVERAGEIF($E$5:E554,"&gt;"&amp;0,$E$5:E554),0))</f>
        <v/>
      </c>
    </row>
    <row r="555" spans="2:7" x14ac:dyDescent="0.3">
      <c r="B555" s="18">
        <v>551</v>
      </c>
      <c r="C555" s="21" t="str">
        <f ca="1">IFERROR(IF(LEFT(C554,2)="13",DATE(RIGHT(C554,4),12,31),IF(EOMONTH(C554,1)&gt;PREMISSAS!$C$3,"",IF(MONTH(C554)=11,"13º "&amp;YEAR(C554),EOMONTH(C554,1)))),"")</f>
        <v/>
      </c>
      <c r="D555" s="22">
        <f ca="1">VLOOKUP(C555,Preencher_Salários!$D$7:$E$656,2,FALSE)</f>
        <v>0</v>
      </c>
      <c r="E555" s="4" t="str">
        <f ca="1">IF(D555=0,"",IF(IF(ISTEXT(C555),DATE(RIGHT(C555,4),12,31),C555)&lt;PREMISSAS!$D$7,"",IFERROR(VLOOKUP(IF(LEFT(C555,2)="13",DATE(RIGHT(C555,4),12,31),C555),IPCA!$A:$D,4,FALSE),1)*D555))</f>
        <v/>
      </c>
      <c r="F555" s="4" t="str">
        <f ca="1">IF(C555="","",IFERROR(AVERAGEIF(E$5:$E555,"&gt;="&amp;_xlfn.PERCENTILE.EXC(E$5:$E555,0.2)),0))</f>
        <v/>
      </c>
      <c r="G555" s="4" t="str">
        <f ca="1">IF(C555="","",IFERROR(AVERAGEIF($E$5:E555,"&gt;"&amp;0,$E$5:E555),0))</f>
        <v/>
      </c>
    </row>
    <row r="556" spans="2:7" x14ac:dyDescent="0.3">
      <c r="B556" s="18">
        <v>552</v>
      </c>
      <c r="C556" s="21" t="str">
        <f ca="1">IFERROR(IF(LEFT(C555,2)="13",DATE(RIGHT(C555,4),12,31),IF(EOMONTH(C555,1)&gt;PREMISSAS!$C$3,"",IF(MONTH(C555)=11,"13º "&amp;YEAR(C555),EOMONTH(C555,1)))),"")</f>
        <v/>
      </c>
      <c r="D556" s="22">
        <f ca="1">VLOOKUP(C556,Preencher_Salários!$D$7:$E$656,2,FALSE)</f>
        <v>0</v>
      </c>
      <c r="E556" s="4" t="str">
        <f ca="1">IF(D556=0,"",IF(IF(ISTEXT(C556),DATE(RIGHT(C556,4),12,31),C556)&lt;PREMISSAS!$D$7,"",IFERROR(VLOOKUP(IF(LEFT(C556,2)="13",DATE(RIGHT(C556,4),12,31),C556),IPCA!$A:$D,4,FALSE),1)*D556))</f>
        <v/>
      </c>
      <c r="F556" s="4" t="str">
        <f ca="1">IF(C556="","",IFERROR(AVERAGEIF(E$5:$E556,"&gt;="&amp;_xlfn.PERCENTILE.EXC(E$5:$E556,0.2)),0))</f>
        <v/>
      </c>
      <c r="G556" s="4" t="str">
        <f ca="1">IF(C556="","",IFERROR(AVERAGEIF($E$5:E556,"&gt;"&amp;0,$E$5:E556),0))</f>
        <v/>
      </c>
    </row>
    <row r="557" spans="2:7" x14ac:dyDescent="0.3">
      <c r="B557" s="18">
        <v>553</v>
      </c>
      <c r="C557" s="21" t="str">
        <f ca="1">IFERROR(IF(LEFT(C556,2)="13",DATE(RIGHT(C556,4),12,31),IF(EOMONTH(C556,1)&gt;PREMISSAS!$C$3,"",IF(MONTH(C556)=11,"13º "&amp;YEAR(C556),EOMONTH(C556,1)))),"")</f>
        <v/>
      </c>
      <c r="D557" s="22">
        <f ca="1">VLOOKUP(C557,Preencher_Salários!$D$7:$E$656,2,FALSE)</f>
        <v>0</v>
      </c>
      <c r="E557" s="4" t="str">
        <f ca="1">IF(D557=0,"",IF(IF(ISTEXT(C557),DATE(RIGHT(C557,4),12,31),C557)&lt;PREMISSAS!$D$7,"",IFERROR(VLOOKUP(IF(LEFT(C557,2)="13",DATE(RIGHT(C557,4),12,31),C557),IPCA!$A:$D,4,FALSE),1)*D557))</f>
        <v/>
      </c>
      <c r="F557" s="4" t="str">
        <f ca="1">IF(C557="","",IFERROR(AVERAGEIF(E$5:$E557,"&gt;="&amp;_xlfn.PERCENTILE.EXC(E$5:$E557,0.2)),0))</f>
        <v/>
      </c>
      <c r="G557" s="4" t="str">
        <f ca="1">IF(C557="","",IFERROR(AVERAGEIF($E$5:E557,"&gt;"&amp;0,$E$5:E557),0))</f>
        <v/>
      </c>
    </row>
    <row r="558" spans="2:7" x14ac:dyDescent="0.3">
      <c r="B558" s="18">
        <v>554</v>
      </c>
      <c r="C558" s="21" t="str">
        <f ca="1">IFERROR(IF(LEFT(C557,2)="13",DATE(RIGHT(C557,4),12,31),IF(EOMONTH(C557,1)&gt;PREMISSAS!$C$3,"",IF(MONTH(C557)=11,"13º "&amp;YEAR(C557),EOMONTH(C557,1)))),"")</f>
        <v/>
      </c>
      <c r="D558" s="22">
        <f ca="1">VLOOKUP(C558,Preencher_Salários!$D$7:$E$656,2,FALSE)</f>
        <v>0</v>
      </c>
      <c r="E558" s="4" t="str">
        <f ca="1">IF(D558=0,"",IF(IF(ISTEXT(C558),DATE(RIGHT(C558,4),12,31),C558)&lt;PREMISSAS!$D$7,"",IFERROR(VLOOKUP(IF(LEFT(C558,2)="13",DATE(RIGHT(C558,4),12,31),C558),IPCA!$A:$D,4,FALSE),1)*D558))</f>
        <v/>
      </c>
      <c r="F558" s="4" t="str">
        <f ca="1">IF(C558="","",IFERROR(AVERAGEIF(E$5:$E558,"&gt;="&amp;_xlfn.PERCENTILE.EXC(E$5:$E558,0.2)),0))</f>
        <v/>
      </c>
      <c r="G558" s="4" t="str">
        <f ca="1">IF(C558="","",IFERROR(AVERAGEIF($E$5:E558,"&gt;"&amp;0,$E$5:E558),0))</f>
        <v/>
      </c>
    </row>
    <row r="559" spans="2:7" x14ac:dyDescent="0.3">
      <c r="B559" s="18">
        <v>555</v>
      </c>
      <c r="C559" s="21" t="str">
        <f ca="1">IFERROR(IF(LEFT(C558,2)="13",DATE(RIGHT(C558,4),12,31),IF(EOMONTH(C558,1)&gt;PREMISSAS!$C$3,"",IF(MONTH(C558)=11,"13º "&amp;YEAR(C558),EOMONTH(C558,1)))),"")</f>
        <v/>
      </c>
      <c r="D559" s="22">
        <f ca="1">VLOOKUP(C559,Preencher_Salários!$D$7:$E$656,2,FALSE)</f>
        <v>0</v>
      </c>
      <c r="E559" s="4" t="str">
        <f ca="1">IF(D559=0,"",IF(IF(ISTEXT(C559),DATE(RIGHT(C559,4),12,31),C559)&lt;PREMISSAS!$D$7,"",IFERROR(VLOOKUP(IF(LEFT(C559,2)="13",DATE(RIGHT(C559,4),12,31),C559),IPCA!$A:$D,4,FALSE),1)*D559))</f>
        <v/>
      </c>
      <c r="F559" s="4" t="str">
        <f ca="1">IF(C559="","",IFERROR(AVERAGEIF(E$5:$E559,"&gt;="&amp;_xlfn.PERCENTILE.EXC(E$5:$E559,0.2)),0))</f>
        <v/>
      </c>
      <c r="G559" s="4" t="str">
        <f ca="1">IF(C559="","",IFERROR(AVERAGEIF($E$5:E559,"&gt;"&amp;0,$E$5:E559),0))</f>
        <v/>
      </c>
    </row>
    <row r="560" spans="2:7" x14ac:dyDescent="0.3">
      <c r="B560" s="18">
        <v>556</v>
      </c>
      <c r="C560" s="21" t="str">
        <f ca="1">IFERROR(IF(LEFT(C559,2)="13",DATE(RIGHT(C559,4),12,31),IF(EOMONTH(C559,1)&gt;PREMISSAS!$C$3,"",IF(MONTH(C559)=11,"13º "&amp;YEAR(C559),EOMONTH(C559,1)))),"")</f>
        <v/>
      </c>
      <c r="D560" s="22">
        <f ca="1">VLOOKUP(C560,Preencher_Salários!$D$7:$E$656,2,FALSE)</f>
        <v>0</v>
      </c>
      <c r="E560" s="4" t="str">
        <f ca="1">IF(D560=0,"",IF(IF(ISTEXT(C560),DATE(RIGHT(C560,4),12,31),C560)&lt;PREMISSAS!$D$7,"",IFERROR(VLOOKUP(IF(LEFT(C560,2)="13",DATE(RIGHT(C560,4),12,31),C560),IPCA!$A:$D,4,FALSE),1)*D560))</f>
        <v/>
      </c>
      <c r="F560" s="4" t="str">
        <f ca="1">IF(C560="","",IFERROR(AVERAGEIF(E$5:$E560,"&gt;="&amp;_xlfn.PERCENTILE.EXC(E$5:$E560,0.2)),0))</f>
        <v/>
      </c>
      <c r="G560" s="4" t="str">
        <f ca="1">IF(C560="","",IFERROR(AVERAGEIF($E$5:E560,"&gt;"&amp;0,$E$5:E560),0))</f>
        <v/>
      </c>
    </row>
    <row r="561" spans="2:7" x14ac:dyDescent="0.3">
      <c r="B561" s="18">
        <v>557</v>
      </c>
      <c r="C561" s="21" t="str">
        <f ca="1">IFERROR(IF(LEFT(C560,2)="13",DATE(RIGHT(C560,4),12,31),IF(EOMONTH(C560,1)&gt;PREMISSAS!$C$3,"",IF(MONTH(C560)=11,"13º "&amp;YEAR(C560),EOMONTH(C560,1)))),"")</f>
        <v/>
      </c>
      <c r="D561" s="22">
        <f ca="1">VLOOKUP(C561,Preencher_Salários!$D$7:$E$656,2,FALSE)</f>
        <v>0</v>
      </c>
      <c r="E561" s="4" t="str">
        <f ca="1">IF(D561=0,"",IF(IF(ISTEXT(C561),DATE(RIGHT(C561,4),12,31),C561)&lt;PREMISSAS!$D$7,"",IFERROR(VLOOKUP(IF(LEFT(C561,2)="13",DATE(RIGHT(C561,4),12,31),C561),IPCA!$A:$D,4,FALSE),1)*D561))</f>
        <v/>
      </c>
      <c r="F561" s="4" t="str">
        <f ca="1">IF(C561="","",IFERROR(AVERAGEIF(E$5:$E561,"&gt;="&amp;_xlfn.PERCENTILE.EXC(E$5:$E561,0.2)),0))</f>
        <v/>
      </c>
      <c r="G561" s="4" t="str">
        <f ca="1">IF(C561="","",IFERROR(AVERAGEIF($E$5:E561,"&gt;"&amp;0,$E$5:E561),0))</f>
        <v/>
      </c>
    </row>
    <row r="562" spans="2:7" x14ac:dyDescent="0.3">
      <c r="B562" s="18">
        <v>558</v>
      </c>
      <c r="C562" s="21" t="str">
        <f ca="1">IFERROR(IF(LEFT(C561,2)="13",DATE(RIGHT(C561,4),12,31),IF(EOMONTH(C561,1)&gt;PREMISSAS!$C$3,"",IF(MONTH(C561)=11,"13º "&amp;YEAR(C561),EOMONTH(C561,1)))),"")</f>
        <v/>
      </c>
      <c r="D562" s="22">
        <f ca="1">VLOOKUP(C562,Preencher_Salários!$D$7:$E$656,2,FALSE)</f>
        <v>0</v>
      </c>
      <c r="E562" s="4" t="str">
        <f ca="1">IF(D562=0,"",IF(IF(ISTEXT(C562),DATE(RIGHT(C562,4),12,31),C562)&lt;PREMISSAS!$D$7,"",IFERROR(VLOOKUP(IF(LEFT(C562,2)="13",DATE(RIGHT(C562,4),12,31),C562),IPCA!$A:$D,4,FALSE),1)*D562))</f>
        <v/>
      </c>
      <c r="F562" s="4" t="str">
        <f ca="1">IF(C562="","",IFERROR(AVERAGEIF(E$5:$E562,"&gt;="&amp;_xlfn.PERCENTILE.EXC(E$5:$E562,0.2)),0))</f>
        <v/>
      </c>
      <c r="G562" s="4" t="str">
        <f ca="1">IF(C562="","",IFERROR(AVERAGEIF($E$5:E562,"&gt;"&amp;0,$E$5:E562),0))</f>
        <v/>
      </c>
    </row>
    <row r="563" spans="2:7" x14ac:dyDescent="0.3">
      <c r="B563" s="18">
        <v>559</v>
      </c>
      <c r="C563" s="21" t="str">
        <f ca="1">IFERROR(IF(LEFT(C562,2)="13",DATE(RIGHT(C562,4),12,31),IF(EOMONTH(C562,1)&gt;PREMISSAS!$C$3,"",IF(MONTH(C562)=11,"13º "&amp;YEAR(C562),EOMONTH(C562,1)))),"")</f>
        <v/>
      </c>
      <c r="D563" s="22">
        <f ca="1">VLOOKUP(C563,Preencher_Salários!$D$7:$E$656,2,FALSE)</f>
        <v>0</v>
      </c>
      <c r="E563" s="4" t="str">
        <f ca="1">IF(D563=0,"",IF(IF(ISTEXT(C563),DATE(RIGHT(C563,4),12,31),C563)&lt;PREMISSAS!$D$7,"",IFERROR(VLOOKUP(IF(LEFT(C563,2)="13",DATE(RIGHT(C563,4),12,31),C563),IPCA!$A:$D,4,FALSE),1)*D563))</f>
        <v/>
      </c>
      <c r="F563" s="4" t="str">
        <f ca="1">IF(C563="","",IFERROR(AVERAGEIF(E$5:$E563,"&gt;="&amp;_xlfn.PERCENTILE.EXC(E$5:$E563,0.2)),0))</f>
        <v/>
      </c>
      <c r="G563" s="4" t="str">
        <f ca="1">IF(C563="","",IFERROR(AVERAGEIF($E$5:E563,"&gt;"&amp;0,$E$5:E563),0))</f>
        <v/>
      </c>
    </row>
    <row r="564" spans="2:7" x14ac:dyDescent="0.3">
      <c r="B564" s="18">
        <v>560</v>
      </c>
      <c r="C564" s="21" t="str">
        <f ca="1">IFERROR(IF(LEFT(C563,2)="13",DATE(RIGHT(C563,4),12,31),IF(EOMONTH(C563,1)&gt;PREMISSAS!$C$3,"",IF(MONTH(C563)=11,"13º "&amp;YEAR(C563),EOMONTH(C563,1)))),"")</f>
        <v/>
      </c>
      <c r="D564" s="22">
        <f ca="1">VLOOKUP(C564,Preencher_Salários!$D$7:$E$656,2,FALSE)</f>
        <v>0</v>
      </c>
      <c r="E564" s="4" t="str">
        <f ca="1">IF(D564=0,"",IF(IF(ISTEXT(C564),DATE(RIGHT(C564,4),12,31),C564)&lt;PREMISSAS!$D$7,"",IFERROR(VLOOKUP(IF(LEFT(C564,2)="13",DATE(RIGHT(C564,4),12,31),C564),IPCA!$A:$D,4,FALSE),1)*D564))</f>
        <v/>
      </c>
      <c r="F564" s="4" t="str">
        <f ca="1">IF(C564="","",IFERROR(AVERAGEIF(E$5:$E564,"&gt;="&amp;_xlfn.PERCENTILE.EXC(E$5:$E564,0.2)),0))</f>
        <v/>
      </c>
      <c r="G564" s="4" t="str">
        <f ca="1">IF(C564="","",IFERROR(AVERAGEIF($E$5:E564,"&gt;"&amp;0,$E$5:E564),0))</f>
        <v/>
      </c>
    </row>
    <row r="565" spans="2:7" x14ac:dyDescent="0.3">
      <c r="B565" s="18">
        <v>561</v>
      </c>
      <c r="C565" s="21" t="str">
        <f ca="1">IFERROR(IF(LEFT(C564,2)="13",DATE(RIGHT(C564,4),12,31),IF(EOMONTH(C564,1)&gt;PREMISSAS!$C$3,"",IF(MONTH(C564)=11,"13º "&amp;YEAR(C564),EOMONTH(C564,1)))),"")</f>
        <v/>
      </c>
      <c r="D565" s="22">
        <f ca="1">VLOOKUP(C565,Preencher_Salários!$D$7:$E$656,2,FALSE)</f>
        <v>0</v>
      </c>
      <c r="E565" s="4" t="str">
        <f ca="1">IF(D565=0,"",IF(IF(ISTEXT(C565),DATE(RIGHT(C565,4),12,31),C565)&lt;PREMISSAS!$D$7,"",IFERROR(VLOOKUP(IF(LEFT(C565,2)="13",DATE(RIGHT(C565,4),12,31),C565),IPCA!$A:$D,4,FALSE),1)*D565))</f>
        <v/>
      </c>
      <c r="F565" s="4" t="str">
        <f ca="1">IF(C565="","",IFERROR(AVERAGEIF(E$5:$E565,"&gt;="&amp;_xlfn.PERCENTILE.EXC(E$5:$E565,0.2)),0))</f>
        <v/>
      </c>
      <c r="G565" s="4" t="str">
        <f ca="1">IF(C565="","",IFERROR(AVERAGEIF($E$5:E565,"&gt;"&amp;0,$E$5:E565),0))</f>
        <v/>
      </c>
    </row>
    <row r="566" spans="2:7" x14ac:dyDescent="0.3">
      <c r="B566" s="18">
        <v>562</v>
      </c>
      <c r="C566" s="21" t="str">
        <f ca="1">IFERROR(IF(LEFT(C565,2)="13",DATE(RIGHT(C565,4),12,31),IF(EOMONTH(C565,1)&gt;PREMISSAS!$C$3,"",IF(MONTH(C565)=11,"13º "&amp;YEAR(C565),EOMONTH(C565,1)))),"")</f>
        <v/>
      </c>
      <c r="D566" s="22">
        <f ca="1">VLOOKUP(C566,Preencher_Salários!$D$7:$E$656,2,FALSE)</f>
        <v>0</v>
      </c>
      <c r="E566" s="4" t="str">
        <f ca="1">IF(D566=0,"",IF(IF(ISTEXT(C566),DATE(RIGHT(C566,4),12,31),C566)&lt;PREMISSAS!$D$7,"",IFERROR(VLOOKUP(IF(LEFT(C566,2)="13",DATE(RIGHT(C566,4),12,31),C566),IPCA!$A:$D,4,FALSE),1)*D566))</f>
        <v/>
      </c>
      <c r="F566" s="4" t="str">
        <f ca="1">IF(C566="","",IFERROR(AVERAGEIF(E$5:$E566,"&gt;="&amp;_xlfn.PERCENTILE.EXC(E$5:$E566,0.2)),0))</f>
        <v/>
      </c>
      <c r="G566" s="4" t="str">
        <f ca="1">IF(C566="","",IFERROR(AVERAGEIF($E$5:E566,"&gt;"&amp;0,$E$5:E566),0))</f>
        <v/>
      </c>
    </row>
    <row r="567" spans="2:7" x14ac:dyDescent="0.3">
      <c r="B567" s="18">
        <v>563</v>
      </c>
      <c r="C567" s="21" t="str">
        <f ca="1">IFERROR(IF(LEFT(C566,2)="13",DATE(RIGHT(C566,4),12,31),IF(EOMONTH(C566,1)&gt;PREMISSAS!$C$3,"",IF(MONTH(C566)=11,"13º "&amp;YEAR(C566),EOMONTH(C566,1)))),"")</f>
        <v/>
      </c>
      <c r="D567" s="22">
        <f ca="1">VLOOKUP(C567,Preencher_Salários!$D$7:$E$656,2,FALSE)</f>
        <v>0</v>
      </c>
      <c r="E567" s="4" t="str">
        <f ca="1">IF(D567=0,"",IF(IF(ISTEXT(C567),DATE(RIGHT(C567,4),12,31),C567)&lt;PREMISSAS!$D$7,"",IFERROR(VLOOKUP(IF(LEFT(C567,2)="13",DATE(RIGHT(C567,4),12,31),C567),IPCA!$A:$D,4,FALSE),1)*D567))</f>
        <v/>
      </c>
      <c r="F567" s="4" t="str">
        <f ca="1">IF(C567="","",IFERROR(AVERAGEIF(E$5:$E567,"&gt;="&amp;_xlfn.PERCENTILE.EXC(E$5:$E567,0.2)),0))</f>
        <v/>
      </c>
      <c r="G567" s="4" t="str">
        <f ca="1">IF(C567="","",IFERROR(AVERAGEIF($E$5:E567,"&gt;"&amp;0,$E$5:E567),0))</f>
        <v/>
      </c>
    </row>
    <row r="568" spans="2:7" x14ac:dyDescent="0.3">
      <c r="B568" s="18">
        <v>564</v>
      </c>
      <c r="C568" s="21" t="str">
        <f ca="1">IFERROR(IF(LEFT(C567,2)="13",DATE(RIGHT(C567,4),12,31),IF(EOMONTH(C567,1)&gt;PREMISSAS!$C$3,"",IF(MONTH(C567)=11,"13º "&amp;YEAR(C567),EOMONTH(C567,1)))),"")</f>
        <v/>
      </c>
      <c r="D568" s="22">
        <f ca="1">VLOOKUP(C568,Preencher_Salários!$D$7:$E$656,2,FALSE)</f>
        <v>0</v>
      </c>
      <c r="E568" s="4" t="str">
        <f ca="1">IF(D568=0,"",IF(IF(ISTEXT(C568),DATE(RIGHT(C568,4),12,31),C568)&lt;PREMISSAS!$D$7,"",IFERROR(VLOOKUP(IF(LEFT(C568,2)="13",DATE(RIGHT(C568,4),12,31),C568),IPCA!$A:$D,4,FALSE),1)*D568))</f>
        <v/>
      </c>
      <c r="F568" s="4" t="str">
        <f ca="1">IF(C568="","",IFERROR(AVERAGEIF(E$5:$E568,"&gt;="&amp;_xlfn.PERCENTILE.EXC(E$5:$E568,0.2)),0))</f>
        <v/>
      </c>
      <c r="G568" s="4" t="str">
        <f ca="1">IF(C568="","",IFERROR(AVERAGEIF($E$5:E568,"&gt;"&amp;0,$E$5:E568),0))</f>
        <v/>
      </c>
    </row>
    <row r="569" spans="2:7" x14ac:dyDescent="0.3">
      <c r="B569" s="18">
        <v>565</v>
      </c>
      <c r="C569" s="21" t="str">
        <f ca="1">IFERROR(IF(LEFT(C568,2)="13",DATE(RIGHT(C568,4),12,31),IF(EOMONTH(C568,1)&gt;PREMISSAS!$C$3,"",IF(MONTH(C568)=11,"13º "&amp;YEAR(C568),EOMONTH(C568,1)))),"")</f>
        <v/>
      </c>
      <c r="D569" s="22">
        <f ca="1">VLOOKUP(C569,Preencher_Salários!$D$7:$E$656,2,FALSE)</f>
        <v>0</v>
      </c>
      <c r="E569" s="4" t="str">
        <f ca="1">IF(D569=0,"",IF(IF(ISTEXT(C569),DATE(RIGHT(C569,4),12,31),C569)&lt;PREMISSAS!$D$7,"",IFERROR(VLOOKUP(IF(LEFT(C569,2)="13",DATE(RIGHT(C569,4),12,31),C569),IPCA!$A:$D,4,FALSE),1)*D569))</f>
        <v/>
      </c>
      <c r="F569" s="4" t="str">
        <f ca="1">IF(C569="","",IFERROR(AVERAGEIF(E$5:$E569,"&gt;="&amp;_xlfn.PERCENTILE.EXC(E$5:$E569,0.2)),0))</f>
        <v/>
      </c>
      <c r="G569" s="4" t="str">
        <f ca="1">IF(C569="","",IFERROR(AVERAGEIF($E$5:E569,"&gt;"&amp;0,$E$5:E569),0))</f>
        <v/>
      </c>
    </row>
    <row r="570" spans="2:7" x14ac:dyDescent="0.3">
      <c r="B570" s="18">
        <v>566</v>
      </c>
      <c r="C570" s="21" t="str">
        <f ca="1">IFERROR(IF(LEFT(C569,2)="13",DATE(RIGHT(C569,4),12,31),IF(EOMONTH(C569,1)&gt;PREMISSAS!$C$3,"",IF(MONTH(C569)=11,"13º "&amp;YEAR(C569),EOMONTH(C569,1)))),"")</f>
        <v/>
      </c>
      <c r="D570" s="22">
        <f ca="1">VLOOKUP(C570,Preencher_Salários!$D$7:$E$656,2,FALSE)</f>
        <v>0</v>
      </c>
      <c r="E570" s="4" t="str">
        <f ca="1">IF(D570=0,"",IF(IF(ISTEXT(C570),DATE(RIGHT(C570,4),12,31),C570)&lt;PREMISSAS!$D$7,"",IFERROR(VLOOKUP(IF(LEFT(C570,2)="13",DATE(RIGHT(C570,4),12,31),C570),IPCA!$A:$D,4,FALSE),1)*D570))</f>
        <v/>
      </c>
      <c r="F570" s="4" t="str">
        <f ca="1">IF(C570="","",IFERROR(AVERAGEIF(E$5:$E570,"&gt;="&amp;_xlfn.PERCENTILE.EXC(E$5:$E570,0.2)),0))</f>
        <v/>
      </c>
      <c r="G570" s="4" t="str">
        <f ca="1">IF(C570="","",IFERROR(AVERAGEIF($E$5:E570,"&gt;"&amp;0,$E$5:E570),0))</f>
        <v/>
      </c>
    </row>
    <row r="571" spans="2:7" x14ac:dyDescent="0.3">
      <c r="B571" s="18">
        <v>567</v>
      </c>
      <c r="C571" s="21" t="str">
        <f ca="1">IFERROR(IF(LEFT(C570,2)="13",DATE(RIGHT(C570,4),12,31),IF(EOMONTH(C570,1)&gt;PREMISSAS!$C$3,"",IF(MONTH(C570)=11,"13º "&amp;YEAR(C570),EOMONTH(C570,1)))),"")</f>
        <v/>
      </c>
      <c r="D571" s="22">
        <f ca="1">VLOOKUP(C571,Preencher_Salários!$D$7:$E$656,2,FALSE)</f>
        <v>0</v>
      </c>
      <c r="E571" s="4" t="str">
        <f ca="1">IF(D571=0,"",IF(IF(ISTEXT(C571),DATE(RIGHT(C571,4),12,31),C571)&lt;PREMISSAS!$D$7,"",IFERROR(VLOOKUP(IF(LEFT(C571,2)="13",DATE(RIGHT(C571,4),12,31),C571),IPCA!$A:$D,4,FALSE),1)*D571))</f>
        <v/>
      </c>
      <c r="F571" s="4" t="str">
        <f ca="1">IF(C571="","",IFERROR(AVERAGEIF(E$5:$E571,"&gt;="&amp;_xlfn.PERCENTILE.EXC(E$5:$E571,0.2)),0))</f>
        <v/>
      </c>
      <c r="G571" s="4" t="str">
        <f ca="1">IF(C571="","",IFERROR(AVERAGEIF($E$5:E571,"&gt;"&amp;0,$E$5:E571),0))</f>
        <v/>
      </c>
    </row>
    <row r="572" spans="2:7" x14ac:dyDescent="0.3">
      <c r="B572" s="18">
        <v>568</v>
      </c>
      <c r="C572" s="21" t="str">
        <f ca="1">IFERROR(IF(LEFT(C571,2)="13",DATE(RIGHT(C571,4),12,31),IF(EOMONTH(C571,1)&gt;PREMISSAS!$C$3,"",IF(MONTH(C571)=11,"13º "&amp;YEAR(C571),EOMONTH(C571,1)))),"")</f>
        <v/>
      </c>
      <c r="D572" s="22">
        <f ca="1">VLOOKUP(C572,Preencher_Salários!$D$7:$E$656,2,FALSE)</f>
        <v>0</v>
      </c>
      <c r="E572" s="4" t="str">
        <f ca="1">IF(D572=0,"",IF(IF(ISTEXT(C572),DATE(RIGHT(C572,4),12,31),C572)&lt;PREMISSAS!$D$7,"",IFERROR(VLOOKUP(IF(LEFT(C572,2)="13",DATE(RIGHT(C572,4),12,31),C572),IPCA!$A:$D,4,FALSE),1)*D572))</f>
        <v/>
      </c>
      <c r="F572" s="4" t="str">
        <f ca="1">IF(C572="","",IFERROR(AVERAGEIF(E$5:$E572,"&gt;="&amp;_xlfn.PERCENTILE.EXC(E$5:$E572,0.2)),0))</f>
        <v/>
      </c>
      <c r="G572" s="4" t="str">
        <f ca="1">IF(C572="","",IFERROR(AVERAGEIF($E$5:E572,"&gt;"&amp;0,$E$5:E572),0))</f>
        <v/>
      </c>
    </row>
    <row r="573" spans="2:7" x14ac:dyDescent="0.3">
      <c r="B573" s="18">
        <v>569</v>
      </c>
      <c r="C573" s="21" t="str">
        <f ca="1">IFERROR(IF(LEFT(C572,2)="13",DATE(RIGHT(C572,4),12,31),IF(EOMONTH(C572,1)&gt;PREMISSAS!$C$3,"",IF(MONTH(C572)=11,"13º "&amp;YEAR(C572),EOMONTH(C572,1)))),"")</f>
        <v/>
      </c>
      <c r="D573" s="22">
        <f ca="1">VLOOKUP(C573,Preencher_Salários!$D$7:$E$656,2,FALSE)</f>
        <v>0</v>
      </c>
      <c r="E573" s="4" t="str">
        <f ca="1">IF(D573=0,"",IF(IF(ISTEXT(C573),DATE(RIGHT(C573,4),12,31),C573)&lt;PREMISSAS!$D$7,"",IFERROR(VLOOKUP(IF(LEFT(C573,2)="13",DATE(RIGHT(C573,4),12,31),C573),IPCA!$A:$D,4,FALSE),1)*D573))</f>
        <v/>
      </c>
      <c r="F573" s="4" t="str">
        <f ca="1">IF(C573="","",IFERROR(AVERAGEIF(E$5:$E573,"&gt;="&amp;_xlfn.PERCENTILE.EXC(E$5:$E573,0.2)),0))</f>
        <v/>
      </c>
      <c r="G573" s="4" t="str">
        <f ca="1">IF(C573="","",IFERROR(AVERAGEIF($E$5:E573,"&gt;"&amp;0,$E$5:E573),0))</f>
        <v/>
      </c>
    </row>
    <row r="574" spans="2:7" x14ac:dyDescent="0.3">
      <c r="B574" s="18">
        <v>570</v>
      </c>
      <c r="C574" s="21" t="str">
        <f ca="1">IFERROR(IF(LEFT(C573,2)="13",DATE(RIGHT(C573,4),12,31),IF(EOMONTH(C573,1)&gt;PREMISSAS!$C$3,"",IF(MONTH(C573)=11,"13º "&amp;YEAR(C573),EOMONTH(C573,1)))),"")</f>
        <v/>
      </c>
      <c r="D574" s="22">
        <f ca="1">VLOOKUP(C574,Preencher_Salários!$D$7:$E$656,2,FALSE)</f>
        <v>0</v>
      </c>
      <c r="E574" s="4" t="str">
        <f ca="1">IF(D574=0,"",IF(IF(ISTEXT(C574),DATE(RIGHT(C574,4),12,31),C574)&lt;PREMISSAS!$D$7,"",IFERROR(VLOOKUP(IF(LEFT(C574,2)="13",DATE(RIGHT(C574,4),12,31),C574),IPCA!$A:$D,4,FALSE),1)*D574))</f>
        <v/>
      </c>
      <c r="F574" s="4" t="str">
        <f ca="1">IF(C574="","",IFERROR(AVERAGEIF(E$5:$E574,"&gt;="&amp;_xlfn.PERCENTILE.EXC(E$5:$E574,0.2)),0))</f>
        <v/>
      </c>
      <c r="G574" s="4" t="str">
        <f ca="1">IF(C574="","",IFERROR(AVERAGEIF($E$5:E574,"&gt;"&amp;0,$E$5:E574),0))</f>
        <v/>
      </c>
    </row>
    <row r="575" spans="2:7" x14ac:dyDescent="0.3">
      <c r="B575" s="18">
        <v>571</v>
      </c>
      <c r="C575" s="21" t="str">
        <f ca="1">IFERROR(IF(LEFT(C574,2)="13",DATE(RIGHT(C574,4),12,31),IF(EOMONTH(C574,1)&gt;PREMISSAS!$C$3,"",IF(MONTH(C574)=11,"13º "&amp;YEAR(C574),EOMONTH(C574,1)))),"")</f>
        <v/>
      </c>
      <c r="D575" s="22">
        <f ca="1">VLOOKUP(C575,Preencher_Salários!$D$7:$E$656,2,FALSE)</f>
        <v>0</v>
      </c>
      <c r="E575" s="4" t="str">
        <f ca="1">IF(D575=0,"",IF(IF(ISTEXT(C575),DATE(RIGHT(C575,4),12,31),C575)&lt;PREMISSAS!$D$7,"",IFERROR(VLOOKUP(IF(LEFT(C575,2)="13",DATE(RIGHT(C575,4),12,31),C575),IPCA!$A:$D,4,FALSE),1)*D575))</f>
        <v/>
      </c>
      <c r="F575" s="4" t="str">
        <f ca="1">IF(C575="","",IFERROR(AVERAGEIF(E$5:$E575,"&gt;="&amp;_xlfn.PERCENTILE.EXC(E$5:$E575,0.2)),0))</f>
        <v/>
      </c>
      <c r="G575" s="4" t="str">
        <f ca="1">IF(C575="","",IFERROR(AVERAGEIF($E$5:E575,"&gt;"&amp;0,$E$5:E575),0))</f>
        <v/>
      </c>
    </row>
    <row r="576" spans="2:7" x14ac:dyDescent="0.3">
      <c r="B576" s="18">
        <v>572</v>
      </c>
      <c r="C576" s="21" t="str">
        <f ca="1">IFERROR(IF(LEFT(C575,2)="13",DATE(RIGHT(C575,4),12,31),IF(EOMONTH(C575,1)&gt;PREMISSAS!$C$3,"",IF(MONTH(C575)=11,"13º "&amp;YEAR(C575),EOMONTH(C575,1)))),"")</f>
        <v/>
      </c>
      <c r="D576" s="22">
        <f ca="1">VLOOKUP(C576,Preencher_Salários!$D$7:$E$656,2,FALSE)</f>
        <v>0</v>
      </c>
      <c r="E576" s="4" t="str">
        <f ca="1">IF(D576=0,"",IF(IF(ISTEXT(C576),DATE(RIGHT(C576,4),12,31),C576)&lt;PREMISSAS!$D$7,"",IFERROR(VLOOKUP(IF(LEFT(C576,2)="13",DATE(RIGHT(C576,4),12,31),C576),IPCA!$A:$D,4,FALSE),1)*D576))</f>
        <v/>
      </c>
      <c r="F576" s="4" t="str">
        <f ca="1">IF(C576="","",IFERROR(AVERAGEIF(E$5:$E576,"&gt;="&amp;_xlfn.PERCENTILE.EXC(E$5:$E576,0.2)),0))</f>
        <v/>
      </c>
      <c r="G576" s="4" t="str">
        <f ca="1">IF(C576="","",IFERROR(AVERAGEIF($E$5:E576,"&gt;"&amp;0,$E$5:E576),0))</f>
        <v/>
      </c>
    </row>
    <row r="577" spans="2:7" x14ac:dyDescent="0.3">
      <c r="B577" s="18">
        <v>573</v>
      </c>
      <c r="C577" s="21" t="str">
        <f ca="1">IFERROR(IF(LEFT(C576,2)="13",DATE(RIGHT(C576,4),12,31),IF(EOMONTH(C576,1)&gt;PREMISSAS!$C$3,"",IF(MONTH(C576)=11,"13º "&amp;YEAR(C576),EOMONTH(C576,1)))),"")</f>
        <v/>
      </c>
      <c r="D577" s="22">
        <f ca="1">VLOOKUP(C577,Preencher_Salários!$D$7:$E$656,2,FALSE)</f>
        <v>0</v>
      </c>
      <c r="E577" s="4" t="str">
        <f ca="1">IF(D577=0,"",IF(IF(ISTEXT(C577),DATE(RIGHT(C577,4),12,31),C577)&lt;PREMISSAS!$D$7,"",IFERROR(VLOOKUP(IF(LEFT(C577,2)="13",DATE(RIGHT(C577,4),12,31),C577),IPCA!$A:$D,4,FALSE),1)*D577))</f>
        <v/>
      </c>
      <c r="F577" s="4" t="str">
        <f ca="1">IF(C577="","",IFERROR(AVERAGEIF(E$5:$E577,"&gt;="&amp;_xlfn.PERCENTILE.EXC(E$5:$E577,0.2)),0))</f>
        <v/>
      </c>
      <c r="G577" s="4" t="str">
        <f ca="1">IF(C577="","",IFERROR(AVERAGEIF($E$5:E577,"&gt;"&amp;0,$E$5:E577),0))</f>
        <v/>
      </c>
    </row>
    <row r="578" spans="2:7" x14ac:dyDescent="0.3">
      <c r="B578" s="18">
        <v>574</v>
      </c>
      <c r="C578" s="21" t="str">
        <f ca="1">IFERROR(IF(LEFT(C577,2)="13",DATE(RIGHT(C577,4),12,31),IF(EOMONTH(C577,1)&gt;PREMISSAS!$C$3,"",IF(MONTH(C577)=11,"13º "&amp;YEAR(C577),EOMONTH(C577,1)))),"")</f>
        <v/>
      </c>
      <c r="D578" s="22">
        <f ca="1">VLOOKUP(C578,Preencher_Salários!$D$7:$E$656,2,FALSE)</f>
        <v>0</v>
      </c>
      <c r="E578" s="4" t="str">
        <f ca="1">IF(D578=0,"",IF(IF(ISTEXT(C578),DATE(RIGHT(C578,4),12,31),C578)&lt;PREMISSAS!$D$7,"",IFERROR(VLOOKUP(IF(LEFT(C578,2)="13",DATE(RIGHT(C578,4),12,31),C578),IPCA!$A:$D,4,FALSE),1)*D578))</f>
        <v/>
      </c>
      <c r="F578" s="4" t="str">
        <f ca="1">IF(C578="","",IFERROR(AVERAGEIF(E$5:$E578,"&gt;="&amp;_xlfn.PERCENTILE.EXC(E$5:$E578,0.2)),0))</f>
        <v/>
      </c>
      <c r="G578" s="4" t="str">
        <f ca="1">IF(C578="","",IFERROR(AVERAGEIF($E$5:E578,"&gt;"&amp;0,$E$5:E578),0))</f>
        <v/>
      </c>
    </row>
    <row r="579" spans="2:7" x14ac:dyDescent="0.3">
      <c r="B579" s="18">
        <v>575</v>
      </c>
      <c r="C579" s="21" t="str">
        <f ca="1">IFERROR(IF(LEFT(C578,2)="13",DATE(RIGHT(C578,4),12,31),IF(EOMONTH(C578,1)&gt;PREMISSAS!$C$3,"",IF(MONTH(C578)=11,"13º "&amp;YEAR(C578),EOMONTH(C578,1)))),"")</f>
        <v/>
      </c>
      <c r="D579" s="22">
        <f ca="1">VLOOKUP(C579,Preencher_Salários!$D$7:$E$656,2,FALSE)</f>
        <v>0</v>
      </c>
      <c r="E579" s="4" t="str">
        <f ca="1">IF(D579=0,"",IF(IF(ISTEXT(C579),DATE(RIGHT(C579,4),12,31),C579)&lt;PREMISSAS!$D$7,"",IFERROR(VLOOKUP(IF(LEFT(C579,2)="13",DATE(RIGHT(C579,4),12,31),C579),IPCA!$A:$D,4,FALSE),1)*D579))</f>
        <v/>
      </c>
      <c r="F579" s="4" t="str">
        <f ca="1">IF(C579="","",IFERROR(AVERAGEIF(E$5:$E579,"&gt;="&amp;_xlfn.PERCENTILE.EXC(E$5:$E579,0.2)),0))</f>
        <v/>
      </c>
      <c r="G579" s="4" t="str">
        <f ca="1">IF(C579="","",IFERROR(AVERAGEIF($E$5:E579,"&gt;"&amp;0,$E$5:E579),0))</f>
        <v/>
      </c>
    </row>
    <row r="580" spans="2:7" x14ac:dyDescent="0.3">
      <c r="B580" s="18">
        <v>576</v>
      </c>
      <c r="C580" s="21" t="str">
        <f ca="1">IFERROR(IF(LEFT(C579,2)="13",DATE(RIGHT(C579,4),12,31),IF(EOMONTH(C579,1)&gt;PREMISSAS!$C$3,"",IF(MONTH(C579)=11,"13º "&amp;YEAR(C579),EOMONTH(C579,1)))),"")</f>
        <v/>
      </c>
      <c r="D580" s="22">
        <f ca="1">VLOOKUP(C580,Preencher_Salários!$D$7:$E$656,2,FALSE)</f>
        <v>0</v>
      </c>
      <c r="E580" s="4" t="str">
        <f ca="1">IF(D580=0,"",IF(IF(ISTEXT(C580),DATE(RIGHT(C580,4),12,31),C580)&lt;PREMISSAS!$D$7,"",IFERROR(VLOOKUP(IF(LEFT(C580,2)="13",DATE(RIGHT(C580,4),12,31),C580),IPCA!$A:$D,4,FALSE),1)*D580))</f>
        <v/>
      </c>
      <c r="F580" s="4" t="str">
        <f ca="1">IF(C580="","",IFERROR(AVERAGEIF(E$5:$E580,"&gt;="&amp;_xlfn.PERCENTILE.EXC(E$5:$E580,0.2)),0))</f>
        <v/>
      </c>
      <c r="G580" s="4" t="str">
        <f ca="1">IF(C580="","",IFERROR(AVERAGEIF($E$5:E580,"&gt;"&amp;0,$E$5:E580),0))</f>
        <v/>
      </c>
    </row>
    <row r="581" spans="2:7" x14ac:dyDescent="0.3">
      <c r="B581" s="18">
        <v>577</v>
      </c>
      <c r="C581" s="21" t="str">
        <f ca="1">IFERROR(IF(LEFT(C580,2)="13",DATE(RIGHT(C580,4),12,31),IF(EOMONTH(C580,1)&gt;PREMISSAS!$C$3,"",IF(MONTH(C580)=11,"13º "&amp;YEAR(C580),EOMONTH(C580,1)))),"")</f>
        <v/>
      </c>
      <c r="D581" s="22">
        <f ca="1">VLOOKUP(C581,Preencher_Salários!$D$7:$E$656,2,FALSE)</f>
        <v>0</v>
      </c>
      <c r="E581" s="4" t="str">
        <f ca="1">IF(D581=0,"",IF(IF(ISTEXT(C581),DATE(RIGHT(C581,4),12,31),C581)&lt;PREMISSAS!$D$7,"",IFERROR(VLOOKUP(IF(LEFT(C581,2)="13",DATE(RIGHT(C581,4),12,31),C581),IPCA!$A:$D,4,FALSE),1)*D581))</f>
        <v/>
      </c>
      <c r="F581" s="4" t="str">
        <f ca="1">IF(C581="","",IFERROR(AVERAGEIF(E$5:$E581,"&gt;="&amp;_xlfn.PERCENTILE.EXC(E$5:$E581,0.2)),0))</f>
        <v/>
      </c>
      <c r="G581" s="4" t="str">
        <f ca="1">IF(C581="","",IFERROR(AVERAGEIF($E$5:E581,"&gt;"&amp;0,$E$5:E581),0))</f>
        <v/>
      </c>
    </row>
    <row r="582" spans="2:7" x14ac:dyDescent="0.3">
      <c r="B582" s="18">
        <v>578</v>
      </c>
      <c r="C582" s="21" t="str">
        <f ca="1">IFERROR(IF(LEFT(C581,2)="13",DATE(RIGHT(C581,4),12,31),IF(EOMONTH(C581,1)&gt;PREMISSAS!$C$3,"",IF(MONTH(C581)=11,"13º "&amp;YEAR(C581),EOMONTH(C581,1)))),"")</f>
        <v/>
      </c>
      <c r="D582" s="22">
        <f ca="1">VLOOKUP(C582,Preencher_Salários!$D$7:$E$656,2,FALSE)</f>
        <v>0</v>
      </c>
      <c r="E582" s="4" t="str">
        <f ca="1">IF(D582=0,"",IF(IF(ISTEXT(C582),DATE(RIGHT(C582,4),12,31),C582)&lt;PREMISSAS!$D$7,"",IFERROR(VLOOKUP(IF(LEFT(C582,2)="13",DATE(RIGHT(C582,4),12,31),C582),IPCA!$A:$D,4,FALSE),1)*D582))</f>
        <v/>
      </c>
      <c r="F582" s="4" t="str">
        <f ca="1">IF(C582="","",IFERROR(AVERAGEIF(E$5:$E582,"&gt;="&amp;_xlfn.PERCENTILE.EXC(E$5:$E582,0.2)),0))</f>
        <v/>
      </c>
      <c r="G582" s="4" t="str">
        <f ca="1">IF(C582="","",IFERROR(AVERAGEIF($E$5:E582,"&gt;"&amp;0,$E$5:E582),0))</f>
        <v/>
      </c>
    </row>
    <row r="583" spans="2:7" x14ac:dyDescent="0.3">
      <c r="B583" s="18">
        <v>579</v>
      </c>
      <c r="C583" s="21" t="str">
        <f ca="1">IFERROR(IF(LEFT(C582,2)="13",DATE(RIGHT(C582,4),12,31),IF(EOMONTH(C582,1)&gt;PREMISSAS!$C$3,"",IF(MONTH(C582)=11,"13º "&amp;YEAR(C582),EOMONTH(C582,1)))),"")</f>
        <v/>
      </c>
      <c r="D583" s="22">
        <f ca="1">VLOOKUP(C583,Preencher_Salários!$D$7:$E$656,2,FALSE)</f>
        <v>0</v>
      </c>
      <c r="E583" s="4" t="str">
        <f ca="1">IF(D583=0,"",IF(IF(ISTEXT(C583),DATE(RIGHT(C583,4),12,31),C583)&lt;PREMISSAS!$D$7,"",IFERROR(VLOOKUP(IF(LEFT(C583,2)="13",DATE(RIGHT(C583,4),12,31),C583),IPCA!$A:$D,4,FALSE),1)*D583))</f>
        <v/>
      </c>
      <c r="F583" s="4" t="str">
        <f ca="1">IF(C583="","",IFERROR(AVERAGEIF(E$5:$E583,"&gt;="&amp;_xlfn.PERCENTILE.EXC(E$5:$E583,0.2)),0))</f>
        <v/>
      </c>
      <c r="G583" s="4" t="str">
        <f ca="1">IF(C583="","",IFERROR(AVERAGEIF($E$5:E583,"&gt;"&amp;0,$E$5:E583),0))</f>
        <v/>
      </c>
    </row>
    <row r="584" spans="2:7" x14ac:dyDescent="0.3">
      <c r="B584" s="18">
        <v>580</v>
      </c>
      <c r="C584" s="21" t="str">
        <f ca="1">IFERROR(IF(LEFT(C583,2)="13",DATE(RIGHT(C583,4),12,31),IF(EOMONTH(C583,1)&gt;PREMISSAS!$C$3,"",IF(MONTH(C583)=11,"13º "&amp;YEAR(C583),EOMONTH(C583,1)))),"")</f>
        <v/>
      </c>
      <c r="D584" s="22">
        <f ca="1">VLOOKUP(C584,Preencher_Salários!$D$7:$E$656,2,FALSE)</f>
        <v>0</v>
      </c>
      <c r="E584" s="4" t="str">
        <f ca="1">IF(D584=0,"",IF(IF(ISTEXT(C584),DATE(RIGHT(C584,4),12,31),C584)&lt;PREMISSAS!$D$7,"",IFERROR(VLOOKUP(IF(LEFT(C584,2)="13",DATE(RIGHT(C584,4),12,31),C584),IPCA!$A:$D,4,FALSE),1)*D584))</f>
        <v/>
      </c>
      <c r="F584" s="4" t="str">
        <f ca="1">IF(C584="","",IFERROR(AVERAGEIF(E$5:$E584,"&gt;="&amp;_xlfn.PERCENTILE.EXC(E$5:$E584,0.2)),0))</f>
        <v/>
      </c>
      <c r="G584" s="4" t="str">
        <f ca="1">IF(C584="","",IFERROR(AVERAGEIF($E$5:E584,"&gt;"&amp;0,$E$5:E584),0))</f>
        <v/>
      </c>
    </row>
    <row r="585" spans="2:7" x14ac:dyDescent="0.3">
      <c r="B585" s="18">
        <v>581</v>
      </c>
      <c r="C585" s="21" t="str">
        <f ca="1">IFERROR(IF(LEFT(C584,2)="13",DATE(RIGHT(C584,4),12,31),IF(EOMONTH(C584,1)&gt;PREMISSAS!$C$3,"",IF(MONTH(C584)=11,"13º "&amp;YEAR(C584),EOMONTH(C584,1)))),"")</f>
        <v/>
      </c>
      <c r="D585" s="22">
        <f ca="1">VLOOKUP(C585,Preencher_Salários!$D$7:$E$656,2,FALSE)</f>
        <v>0</v>
      </c>
      <c r="E585" s="4" t="str">
        <f ca="1">IF(D585=0,"",IF(IF(ISTEXT(C585),DATE(RIGHT(C585,4),12,31),C585)&lt;PREMISSAS!$D$7,"",IFERROR(VLOOKUP(IF(LEFT(C585,2)="13",DATE(RIGHT(C585,4),12,31),C585),IPCA!$A:$D,4,FALSE),1)*D585))</f>
        <v/>
      </c>
      <c r="F585" s="4" t="str">
        <f ca="1">IF(C585="","",IFERROR(AVERAGEIF(E$5:$E585,"&gt;="&amp;_xlfn.PERCENTILE.EXC(E$5:$E585,0.2)),0))</f>
        <v/>
      </c>
      <c r="G585" s="4" t="str">
        <f ca="1">IF(C585="","",IFERROR(AVERAGEIF($E$5:E585,"&gt;"&amp;0,$E$5:E585),0))</f>
        <v/>
      </c>
    </row>
    <row r="586" spans="2:7" x14ac:dyDescent="0.3">
      <c r="B586" s="18">
        <v>582</v>
      </c>
      <c r="C586" s="21" t="str">
        <f ca="1">IFERROR(IF(LEFT(C585,2)="13",DATE(RIGHT(C585,4),12,31),IF(EOMONTH(C585,1)&gt;PREMISSAS!$C$3,"",IF(MONTH(C585)=11,"13º "&amp;YEAR(C585),EOMONTH(C585,1)))),"")</f>
        <v/>
      </c>
      <c r="D586" s="22">
        <f ca="1">VLOOKUP(C586,Preencher_Salários!$D$7:$E$656,2,FALSE)</f>
        <v>0</v>
      </c>
      <c r="E586" s="4" t="str">
        <f ca="1">IF(D586=0,"",IF(IF(ISTEXT(C586),DATE(RIGHT(C586,4),12,31),C586)&lt;PREMISSAS!$D$7,"",IFERROR(VLOOKUP(IF(LEFT(C586,2)="13",DATE(RIGHT(C586,4),12,31),C586),IPCA!$A:$D,4,FALSE),1)*D586))</f>
        <v/>
      </c>
      <c r="F586" s="4" t="str">
        <f ca="1">IF(C586="","",IFERROR(AVERAGEIF(E$5:$E586,"&gt;="&amp;_xlfn.PERCENTILE.EXC(E$5:$E586,0.2)),0))</f>
        <v/>
      </c>
      <c r="G586" s="4" t="str">
        <f ca="1">IF(C586="","",IFERROR(AVERAGEIF($E$5:E586,"&gt;"&amp;0,$E$5:E586),0))</f>
        <v/>
      </c>
    </row>
    <row r="587" spans="2:7" x14ac:dyDescent="0.3">
      <c r="B587" s="18">
        <v>583</v>
      </c>
      <c r="C587" s="21" t="str">
        <f ca="1">IFERROR(IF(LEFT(C586,2)="13",DATE(RIGHT(C586,4),12,31),IF(EOMONTH(C586,1)&gt;PREMISSAS!$C$3,"",IF(MONTH(C586)=11,"13º "&amp;YEAR(C586),EOMONTH(C586,1)))),"")</f>
        <v/>
      </c>
      <c r="D587" s="22">
        <f ca="1">VLOOKUP(C587,Preencher_Salários!$D$7:$E$656,2,FALSE)</f>
        <v>0</v>
      </c>
      <c r="E587" s="4" t="str">
        <f ca="1">IF(D587=0,"",IF(IF(ISTEXT(C587),DATE(RIGHT(C587,4),12,31),C587)&lt;PREMISSAS!$D$7,"",IFERROR(VLOOKUP(IF(LEFT(C587,2)="13",DATE(RIGHT(C587,4),12,31),C587),IPCA!$A:$D,4,FALSE),1)*D587))</f>
        <v/>
      </c>
      <c r="F587" s="4" t="str">
        <f ca="1">IF(C587="","",IFERROR(AVERAGEIF(E$5:$E587,"&gt;="&amp;_xlfn.PERCENTILE.EXC(E$5:$E587,0.2)),0))</f>
        <v/>
      </c>
      <c r="G587" s="4" t="str">
        <f ca="1">IF(C587="","",IFERROR(AVERAGEIF($E$5:E587,"&gt;"&amp;0,$E$5:E587),0))</f>
        <v/>
      </c>
    </row>
    <row r="588" spans="2:7" x14ac:dyDescent="0.3">
      <c r="B588" s="18">
        <v>584</v>
      </c>
      <c r="C588" s="21" t="str">
        <f ca="1">IFERROR(IF(LEFT(C587,2)="13",DATE(RIGHT(C587,4),12,31),IF(EOMONTH(C587,1)&gt;PREMISSAS!$C$3,"",IF(MONTH(C587)=11,"13º "&amp;YEAR(C587),EOMONTH(C587,1)))),"")</f>
        <v/>
      </c>
      <c r="D588" s="22">
        <f ca="1">VLOOKUP(C588,Preencher_Salários!$D$7:$E$656,2,FALSE)</f>
        <v>0</v>
      </c>
      <c r="E588" s="4" t="str">
        <f ca="1">IF(D588=0,"",IF(IF(ISTEXT(C588),DATE(RIGHT(C588,4),12,31),C588)&lt;PREMISSAS!$D$7,"",IFERROR(VLOOKUP(IF(LEFT(C588,2)="13",DATE(RIGHT(C588,4),12,31),C588),IPCA!$A:$D,4,FALSE),1)*D588))</f>
        <v/>
      </c>
      <c r="F588" s="4" t="str">
        <f ca="1">IF(C588="","",IFERROR(AVERAGEIF(E$5:$E588,"&gt;="&amp;_xlfn.PERCENTILE.EXC(E$5:$E588,0.2)),0))</f>
        <v/>
      </c>
      <c r="G588" s="4" t="str">
        <f ca="1">IF(C588="","",IFERROR(AVERAGEIF($E$5:E588,"&gt;"&amp;0,$E$5:E588),0))</f>
        <v/>
      </c>
    </row>
    <row r="589" spans="2:7" x14ac:dyDescent="0.3">
      <c r="B589" s="18">
        <v>585</v>
      </c>
      <c r="C589" s="21" t="str">
        <f ca="1">IFERROR(IF(LEFT(C588,2)="13",DATE(RIGHT(C588,4),12,31),IF(EOMONTH(C588,1)&gt;PREMISSAS!$C$3,"",IF(MONTH(C588)=11,"13º "&amp;YEAR(C588),EOMONTH(C588,1)))),"")</f>
        <v/>
      </c>
      <c r="D589" s="22">
        <f ca="1">VLOOKUP(C589,Preencher_Salários!$D$7:$E$656,2,FALSE)</f>
        <v>0</v>
      </c>
      <c r="E589" s="4" t="str">
        <f ca="1">IF(D589=0,"",IF(IF(ISTEXT(C589),DATE(RIGHT(C589,4),12,31),C589)&lt;PREMISSAS!$D$7,"",IFERROR(VLOOKUP(IF(LEFT(C589,2)="13",DATE(RIGHT(C589,4),12,31),C589),IPCA!$A:$D,4,FALSE),1)*D589))</f>
        <v/>
      </c>
      <c r="F589" s="4" t="str">
        <f ca="1">IF(C589="","",IFERROR(AVERAGEIF(E$5:$E589,"&gt;="&amp;_xlfn.PERCENTILE.EXC(E$5:$E589,0.2)),0))</f>
        <v/>
      </c>
      <c r="G589" s="4" t="str">
        <f ca="1">IF(C589="","",IFERROR(AVERAGEIF($E$5:E589,"&gt;"&amp;0,$E$5:E589),0))</f>
        <v/>
      </c>
    </row>
    <row r="590" spans="2:7" x14ac:dyDescent="0.3">
      <c r="B590" s="18">
        <v>586</v>
      </c>
      <c r="C590" s="21" t="str">
        <f ca="1">IFERROR(IF(LEFT(C589,2)="13",DATE(RIGHT(C589,4),12,31),IF(EOMONTH(C589,1)&gt;PREMISSAS!$C$3,"",IF(MONTH(C589)=11,"13º "&amp;YEAR(C589),EOMONTH(C589,1)))),"")</f>
        <v/>
      </c>
      <c r="D590" s="22">
        <f ca="1">VLOOKUP(C590,Preencher_Salários!$D$7:$E$656,2,FALSE)</f>
        <v>0</v>
      </c>
      <c r="E590" s="4" t="str">
        <f ca="1">IF(D590=0,"",IF(IF(ISTEXT(C590),DATE(RIGHT(C590,4),12,31),C590)&lt;PREMISSAS!$D$7,"",IFERROR(VLOOKUP(IF(LEFT(C590,2)="13",DATE(RIGHT(C590,4),12,31),C590),IPCA!$A:$D,4,FALSE),1)*D590))</f>
        <v/>
      </c>
      <c r="F590" s="4" t="str">
        <f ca="1">IF(C590="","",IFERROR(AVERAGEIF(E$5:$E590,"&gt;="&amp;_xlfn.PERCENTILE.EXC(E$5:$E590,0.2)),0))</f>
        <v/>
      </c>
      <c r="G590" s="4" t="str">
        <f ca="1">IF(C590="","",IFERROR(AVERAGEIF($E$5:E590,"&gt;"&amp;0,$E$5:E590),0))</f>
        <v/>
      </c>
    </row>
    <row r="591" spans="2:7" x14ac:dyDescent="0.3">
      <c r="B591" s="18">
        <v>587</v>
      </c>
      <c r="C591" s="21" t="str">
        <f ca="1">IFERROR(IF(LEFT(C590,2)="13",DATE(RIGHT(C590,4),12,31),IF(EOMONTH(C590,1)&gt;PREMISSAS!$C$3,"",IF(MONTH(C590)=11,"13º "&amp;YEAR(C590),EOMONTH(C590,1)))),"")</f>
        <v/>
      </c>
      <c r="D591" s="22">
        <f ca="1">VLOOKUP(C591,Preencher_Salários!$D$7:$E$656,2,FALSE)</f>
        <v>0</v>
      </c>
      <c r="E591" s="4" t="str">
        <f ca="1">IF(D591=0,"",IF(IF(ISTEXT(C591),DATE(RIGHT(C591,4),12,31),C591)&lt;PREMISSAS!$D$7,"",IFERROR(VLOOKUP(IF(LEFT(C591,2)="13",DATE(RIGHT(C591,4),12,31),C591),IPCA!$A:$D,4,FALSE),1)*D591))</f>
        <v/>
      </c>
      <c r="F591" s="4" t="str">
        <f ca="1">IF(C591="","",IFERROR(AVERAGEIF(E$5:$E591,"&gt;="&amp;_xlfn.PERCENTILE.EXC(E$5:$E591,0.2)),0))</f>
        <v/>
      </c>
      <c r="G591" s="4" t="str">
        <f ca="1">IF(C591="","",IFERROR(AVERAGEIF($E$5:E591,"&gt;"&amp;0,$E$5:E591),0))</f>
        <v/>
      </c>
    </row>
    <row r="592" spans="2:7" x14ac:dyDescent="0.3">
      <c r="B592" s="18">
        <v>588</v>
      </c>
      <c r="C592" s="21" t="str">
        <f ca="1">IFERROR(IF(LEFT(C591,2)="13",DATE(RIGHT(C591,4),12,31),IF(EOMONTH(C591,1)&gt;PREMISSAS!$C$3,"",IF(MONTH(C591)=11,"13º "&amp;YEAR(C591),EOMONTH(C591,1)))),"")</f>
        <v/>
      </c>
      <c r="D592" s="22">
        <f ca="1">VLOOKUP(C592,Preencher_Salários!$D$7:$E$656,2,FALSE)</f>
        <v>0</v>
      </c>
      <c r="E592" s="4" t="str">
        <f ca="1">IF(D592=0,"",IF(IF(ISTEXT(C592),DATE(RIGHT(C592,4),12,31),C592)&lt;PREMISSAS!$D$7,"",IFERROR(VLOOKUP(IF(LEFT(C592,2)="13",DATE(RIGHT(C592,4),12,31),C592),IPCA!$A:$D,4,FALSE),1)*D592))</f>
        <v/>
      </c>
      <c r="F592" s="4" t="str">
        <f ca="1">IF(C592="","",IFERROR(AVERAGEIF(E$5:$E592,"&gt;="&amp;_xlfn.PERCENTILE.EXC(E$5:$E592,0.2)),0))</f>
        <v/>
      </c>
      <c r="G592" s="4" t="str">
        <f ca="1">IF(C592="","",IFERROR(AVERAGEIF($E$5:E592,"&gt;"&amp;0,$E$5:E592),0))</f>
        <v/>
      </c>
    </row>
    <row r="593" spans="2:7" x14ac:dyDescent="0.3">
      <c r="B593" s="18">
        <v>589</v>
      </c>
      <c r="C593" s="21" t="str">
        <f ca="1">IFERROR(IF(LEFT(C592,2)="13",DATE(RIGHT(C592,4),12,31),IF(EOMONTH(C592,1)&gt;PREMISSAS!$C$3,"",IF(MONTH(C592)=11,"13º "&amp;YEAR(C592),EOMONTH(C592,1)))),"")</f>
        <v/>
      </c>
      <c r="D593" s="22">
        <f ca="1">VLOOKUP(C593,Preencher_Salários!$D$7:$E$656,2,FALSE)</f>
        <v>0</v>
      </c>
      <c r="E593" s="4" t="str">
        <f ca="1">IF(D593=0,"",IF(IF(ISTEXT(C593),DATE(RIGHT(C593,4),12,31),C593)&lt;PREMISSAS!$D$7,"",IFERROR(VLOOKUP(IF(LEFT(C593,2)="13",DATE(RIGHT(C593,4),12,31),C593),IPCA!$A:$D,4,FALSE),1)*D593))</f>
        <v/>
      </c>
      <c r="F593" s="4" t="str">
        <f ca="1">IF(C593="","",IFERROR(AVERAGEIF(E$5:$E593,"&gt;="&amp;_xlfn.PERCENTILE.EXC(E$5:$E593,0.2)),0))</f>
        <v/>
      </c>
      <c r="G593" s="4" t="str">
        <f ca="1">IF(C593="","",IFERROR(AVERAGEIF($E$5:E593,"&gt;"&amp;0,$E$5:E593),0))</f>
        <v/>
      </c>
    </row>
    <row r="594" spans="2:7" x14ac:dyDescent="0.3">
      <c r="B594" s="18">
        <v>590</v>
      </c>
      <c r="C594" s="21" t="str">
        <f ca="1">IFERROR(IF(LEFT(C593,2)="13",DATE(RIGHT(C593,4),12,31),IF(EOMONTH(C593,1)&gt;PREMISSAS!$C$3,"",IF(MONTH(C593)=11,"13º "&amp;YEAR(C593),EOMONTH(C593,1)))),"")</f>
        <v/>
      </c>
      <c r="D594" s="22">
        <f ca="1">VLOOKUP(C594,Preencher_Salários!$D$7:$E$656,2,FALSE)</f>
        <v>0</v>
      </c>
      <c r="E594" s="4" t="str">
        <f ca="1">IF(D594=0,"",IF(IF(ISTEXT(C594),DATE(RIGHT(C594,4),12,31),C594)&lt;PREMISSAS!$D$7,"",IFERROR(VLOOKUP(IF(LEFT(C594,2)="13",DATE(RIGHT(C594,4),12,31),C594),IPCA!$A:$D,4,FALSE),1)*D594))</f>
        <v/>
      </c>
      <c r="F594" s="4" t="str">
        <f ca="1">IF(C594="","",IFERROR(AVERAGEIF(E$5:$E594,"&gt;="&amp;_xlfn.PERCENTILE.EXC(E$5:$E594,0.2)),0))</f>
        <v/>
      </c>
      <c r="G594" s="4" t="str">
        <f ca="1">IF(C594="","",IFERROR(AVERAGEIF($E$5:E594,"&gt;"&amp;0,$E$5:E594),0))</f>
        <v/>
      </c>
    </row>
    <row r="595" spans="2:7" x14ac:dyDescent="0.3">
      <c r="B595" s="18">
        <v>591</v>
      </c>
      <c r="C595" s="21" t="str">
        <f ca="1">IFERROR(IF(LEFT(C594,2)="13",DATE(RIGHT(C594,4),12,31),IF(EOMONTH(C594,1)&gt;PREMISSAS!$C$3,"",IF(MONTH(C594)=11,"13º "&amp;YEAR(C594),EOMONTH(C594,1)))),"")</f>
        <v/>
      </c>
      <c r="D595" s="22">
        <f ca="1">VLOOKUP(C595,Preencher_Salários!$D$7:$E$656,2,FALSE)</f>
        <v>0</v>
      </c>
      <c r="E595" s="4" t="str">
        <f ca="1">IF(D595=0,"",IF(IF(ISTEXT(C595),DATE(RIGHT(C595,4),12,31),C595)&lt;PREMISSAS!$D$7,"",IFERROR(VLOOKUP(IF(LEFT(C595,2)="13",DATE(RIGHT(C595,4),12,31),C595),IPCA!$A:$D,4,FALSE),1)*D595))</f>
        <v/>
      </c>
      <c r="F595" s="4" t="str">
        <f ca="1">IF(C595="","",IFERROR(AVERAGEIF(E$5:$E595,"&gt;="&amp;_xlfn.PERCENTILE.EXC(E$5:$E595,0.2)),0))</f>
        <v/>
      </c>
      <c r="G595" s="4" t="str">
        <f ca="1">IF(C595="","",IFERROR(AVERAGEIF($E$5:E595,"&gt;"&amp;0,$E$5:E595),0))</f>
        <v/>
      </c>
    </row>
    <row r="596" spans="2:7" x14ac:dyDescent="0.3">
      <c r="B596" s="18">
        <v>592</v>
      </c>
      <c r="C596" s="21" t="str">
        <f ca="1">IFERROR(IF(LEFT(C595,2)="13",DATE(RIGHT(C595,4),12,31),IF(EOMONTH(C595,1)&gt;PREMISSAS!$C$3,"",IF(MONTH(C595)=11,"13º "&amp;YEAR(C595),EOMONTH(C595,1)))),"")</f>
        <v/>
      </c>
      <c r="D596" s="22">
        <f ca="1">VLOOKUP(C596,Preencher_Salários!$D$7:$E$656,2,FALSE)</f>
        <v>0</v>
      </c>
      <c r="E596" s="4" t="str">
        <f ca="1">IF(D596=0,"",IF(IF(ISTEXT(C596),DATE(RIGHT(C596,4),12,31),C596)&lt;PREMISSAS!$D$7,"",IFERROR(VLOOKUP(IF(LEFT(C596,2)="13",DATE(RIGHT(C596,4),12,31),C596),IPCA!$A:$D,4,FALSE),1)*D596))</f>
        <v/>
      </c>
      <c r="F596" s="4" t="str">
        <f ca="1">IF(C596="","",IFERROR(AVERAGEIF(E$5:$E596,"&gt;="&amp;_xlfn.PERCENTILE.EXC(E$5:$E596,0.2)),0))</f>
        <v/>
      </c>
      <c r="G596" s="4" t="str">
        <f ca="1">IF(C596="","",IFERROR(AVERAGEIF($E$5:E596,"&gt;"&amp;0,$E$5:E596),0))</f>
        <v/>
      </c>
    </row>
    <row r="597" spans="2:7" x14ac:dyDescent="0.3">
      <c r="B597" s="18">
        <v>593</v>
      </c>
      <c r="C597" s="21" t="str">
        <f ca="1">IFERROR(IF(LEFT(C596,2)="13",DATE(RIGHT(C596,4),12,31),IF(EOMONTH(C596,1)&gt;PREMISSAS!$C$3,"",IF(MONTH(C596)=11,"13º "&amp;YEAR(C596),EOMONTH(C596,1)))),"")</f>
        <v/>
      </c>
      <c r="D597" s="22">
        <f ca="1">VLOOKUP(C597,Preencher_Salários!$D$7:$E$656,2,FALSE)</f>
        <v>0</v>
      </c>
      <c r="E597" s="4" t="str">
        <f ca="1">IF(D597=0,"",IF(IF(ISTEXT(C597),DATE(RIGHT(C597,4),12,31),C597)&lt;PREMISSAS!$D$7,"",IFERROR(VLOOKUP(IF(LEFT(C597,2)="13",DATE(RIGHT(C597,4),12,31),C597),IPCA!$A:$D,4,FALSE),1)*D597))</f>
        <v/>
      </c>
      <c r="F597" s="4" t="str">
        <f ca="1">IF(C597="","",IFERROR(AVERAGEIF(E$5:$E597,"&gt;="&amp;_xlfn.PERCENTILE.EXC(E$5:$E597,0.2)),0))</f>
        <v/>
      </c>
      <c r="G597" s="4" t="str">
        <f ca="1">IF(C597="","",IFERROR(AVERAGEIF($E$5:E597,"&gt;"&amp;0,$E$5:E597),0))</f>
        <v/>
      </c>
    </row>
    <row r="598" spans="2:7" x14ac:dyDescent="0.3">
      <c r="B598" s="18">
        <v>594</v>
      </c>
      <c r="C598" s="21" t="str">
        <f ca="1">IFERROR(IF(LEFT(C597,2)="13",DATE(RIGHT(C597,4),12,31),IF(EOMONTH(C597,1)&gt;PREMISSAS!$C$3,"",IF(MONTH(C597)=11,"13º "&amp;YEAR(C597),EOMONTH(C597,1)))),"")</f>
        <v/>
      </c>
      <c r="D598" s="22">
        <f ca="1">VLOOKUP(C598,Preencher_Salários!$D$7:$E$656,2,FALSE)</f>
        <v>0</v>
      </c>
      <c r="E598" s="4" t="str">
        <f ca="1">IF(D598=0,"",IF(IF(ISTEXT(C598),DATE(RIGHT(C598,4),12,31),C598)&lt;PREMISSAS!$D$7,"",IFERROR(VLOOKUP(IF(LEFT(C598,2)="13",DATE(RIGHT(C598,4),12,31),C598),IPCA!$A:$D,4,FALSE),1)*D598))</f>
        <v/>
      </c>
      <c r="F598" s="4" t="str">
        <f ca="1">IF(C598="","",IFERROR(AVERAGEIF(E$5:$E598,"&gt;="&amp;_xlfn.PERCENTILE.EXC(E$5:$E598,0.2)),0))</f>
        <v/>
      </c>
      <c r="G598" s="4" t="str">
        <f ca="1">IF(C598="","",IFERROR(AVERAGEIF($E$5:E598,"&gt;"&amp;0,$E$5:E598),0))</f>
        <v/>
      </c>
    </row>
    <row r="599" spans="2:7" x14ac:dyDescent="0.3">
      <c r="B599" s="18">
        <v>595</v>
      </c>
      <c r="C599" s="21" t="str">
        <f ca="1">IFERROR(IF(LEFT(C598,2)="13",DATE(RIGHT(C598,4),12,31),IF(EOMONTH(C598,1)&gt;PREMISSAS!$C$3,"",IF(MONTH(C598)=11,"13º "&amp;YEAR(C598),EOMONTH(C598,1)))),"")</f>
        <v/>
      </c>
      <c r="D599" s="22">
        <f ca="1">VLOOKUP(C599,Preencher_Salários!$D$7:$E$656,2,FALSE)</f>
        <v>0</v>
      </c>
      <c r="E599" s="4" t="str">
        <f ca="1">IF(D599=0,"",IF(IF(ISTEXT(C599),DATE(RIGHT(C599,4),12,31),C599)&lt;PREMISSAS!$D$7,"",IFERROR(VLOOKUP(IF(LEFT(C599,2)="13",DATE(RIGHT(C599,4),12,31),C599),IPCA!$A:$D,4,FALSE),1)*D599))</f>
        <v/>
      </c>
      <c r="F599" s="4" t="str">
        <f ca="1">IF(C599="","",IFERROR(AVERAGEIF(E$5:$E599,"&gt;="&amp;_xlfn.PERCENTILE.EXC(E$5:$E599,0.2)),0))</f>
        <v/>
      </c>
      <c r="G599" s="4" t="str">
        <f ca="1">IF(C599="","",IFERROR(AVERAGEIF($E$5:E599,"&gt;"&amp;0,$E$5:E599),0))</f>
        <v/>
      </c>
    </row>
    <row r="600" spans="2:7" x14ac:dyDescent="0.3">
      <c r="B600" s="18">
        <v>596</v>
      </c>
      <c r="C600" s="21" t="str">
        <f ca="1">IFERROR(IF(LEFT(C599,2)="13",DATE(RIGHT(C599,4),12,31),IF(EOMONTH(C599,1)&gt;PREMISSAS!$C$3,"",IF(MONTH(C599)=11,"13º "&amp;YEAR(C599),EOMONTH(C599,1)))),"")</f>
        <v/>
      </c>
      <c r="D600" s="22">
        <f ca="1">VLOOKUP(C600,Preencher_Salários!$D$7:$E$656,2,FALSE)</f>
        <v>0</v>
      </c>
      <c r="E600" s="4" t="str">
        <f ca="1">IF(D600=0,"",IF(IF(ISTEXT(C600),DATE(RIGHT(C600,4),12,31),C600)&lt;PREMISSAS!$D$7,"",IFERROR(VLOOKUP(IF(LEFT(C600,2)="13",DATE(RIGHT(C600,4),12,31),C600),IPCA!$A:$D,4,FALSE),1)*D600))</f>
        <v/>
      </c>
      <c r="F600" s="4" t="str">
        <f ca="1">IF(C600="","",IFERROR(AVERAGEIF(E$5:$E600,"&gt;="&amp;_xlfn.PERCENTILE.EXC(E$5:$E600,0.2)),0))</f>
        <v/>
      </c>
      <c r="G600" s="4" t="str">
        <f ca="1">IF(C600="","",IFERROR(AVERAGEIF($E$5:E600,"&gt;"&amp;0,$E$5:E600),0))</f>
        <v/>
      </c>
    </row>
    <row r="601" spans="2:7" x14ac:dyDescent="0.3">
      <c r="B601" s="18">
        <v>597</v>
      </c>
      <c r="C601" s="21" t="str">
        <f ca="1">IFERROR(IF(LEFT(C600,2)="13",DATE(RIGHT(C600,4),12,31),IF(EOMONTH(C600,1)&gt;PREMISSAS!$C$3,"",IF(MONTH(C600)=11,"13º "&amp;YEAR(C600),EOMONTH(C600,1)))),"")</f>
        <v/>
      </c>
      <c r="D601" s="22">
        <f ca="1">VLOOKUP(C601,Preencher_Salários!$D$7:$E$656,2,FALSE)</f>
        <v>0</v>
      </c>
      <c r="E601" s="4" t="str">
        <f ca="1">IF(D601=0,"",IF(IF(ISTEXT(C601),DATE(RIGHT(C601,4),12,31),C601)&lt;PREMISSAS!$D$7,"",IFERROR(VLOOKUP(IF(LEFT(C601,2)="13",DATE(RIGHT(C601,4),12,31),C601),IPCA!$A:$D,4,FALSE),1)*D601))</f>
        <v/>
      </c>
      <c r="F601" s="4" t="str">
        <f ca="1">IF(C601="","",IFERROR(AVERAGEIF(E$5:$E601,"&gt;="&amp;_xlfn.PERCENTILE.EXC(E$5:$E601,0.2)),0))</f>
        <v/>
      </c>
      <c r="G601" s="4" t="str">
        <f ca="1">IF(C601="","",IFERROR(AVERAGEIF($E$5:E601,"&gt;"&amp;0,$E$5:E601),0))</f>
        <v/>
      </c>
    </row>
    <row r="602" spans="2:7" x14ac:dyDescent="0.3">
      <c r="B602" s="18">
        <v>598</v>
      </c>
      <c r="C602" s="21" t="str">
        <f ca="1">IFERROR(IF(LEFT(C601,2)="13",DATE(RIGHT(C601,4),12,31),IF(EOMONTH(C601,1)&gt;PREMISSAS!$C$3,"",IF(MONTH(C601)=11,"13º "&amp;YEAR(C601),EOMONTH(C601,1)))),"")</f>
        <v/>
      </c>
      <c r="D602" s="22">
        <f ca="1">VLOOKUP(C602,Preencher_Salários!$D$7:$E$656,2,FALSE)</f>
        <v>0</v>
      </c>
      <c r="E602" s="4" t="str">
        <f ca="1">IF(D602=0,"",IF(IF(ISTEXT(C602),DATE(RIGHT(C602,4),12,31),C602)&lt;PREMISSAS!$D$7,"",IFERROR(VLOOKUP(IF(LEFT(C602,2)="13",DATE(RIGHT(C602,4),12,31),C602),IPCA!$A:$D,4,FALSE),1)*D602))</f>
        <v/>
      </c>
      <c r="F602" s="4" t="str">
        <f ca="1">IF(C602="","",IFERROR(AVERAGEIF(E$5:$E602,"&gt;="&amp;_xlfn.PERCENTILE.EXC(E$5:$E602,0.2)),0))</f>
        <v/>
      </c>
      <c r="G602" s="4" t="str">
        <f ca="1">IF(C602="","",IFERROR(AVERAGEIF($E$5:E602,"&gt;"&amp;0,$E$5:E602),0))</f>
        <v/>
      </c>
    </row>
    <row r="603" spans="2:7" x14ac:dyDescent="0.3">
      <c r="B603" s="18">
        <v>599</v>
      </c>
      <c r="C603" s="21" t="str">
        <f ca="1">IFERROR(IF(LEFT(C602,2)="13",DATE(RIGHT(C602,4),12,31),IF(EOMONTH(C602,1)&gt;PREMISSAS!$C$3,"",IF(MONTH(C602)=11,"13º "&amp;YEAR(C602),EOMONTH(C602,1)))),"")</f>
        <v/>
      </c>
      <c r="D603" s="22">
        <f ca="1">VLOOKUP(C603,Preencher_Salários!$D$7:$E$656,2,FALSE)</f>
        <v>0</v>
      </c>
      <c r="E603" s="4" t="str">
        <f ca="1">IF(D603=0,"",IF(IF(ISTEXT(C603),DATE(RIGHT(C603,4),12,31),C603)&lt;PREMISSAS!$D$7,"",IFERROR(VLOOKUP(IF(LEFT(C603,2)="13",DATE(RIGHT(C603,4),12,31),C603),IPCA!$A:$D,4,FALSE),1)*D603))</f>
        <v/>
      </c>
      <c r="F603" s="4" t="str">
        <f ca="1">IF(C603="","",IFERROR(AVERAGEIF(E$5:$E603,"&gt;="&amp;_xlfn.PERCENTILE.EXC(E$5:$E603,0.2)),0))</f>
        <v/>
      </c>
      <c r="G603" s="4" t="str">
        <f ca="1">IF(C603="","",IFERROR(AVERAGEIF($E$5:E603,"&gt;"&amp;0,$E$5:E603),0))</f>
        <v/>
      </c>
    </row>
    <row r="604" spans="2:7" x14ac:dyDescent="0.3">
      <c r="B604" s="18">
        <v>600</v>
      </c>
      <c r="C604" s="21" t="str">
        <f ca="1">IFERROR(IF(LEFT(C603,2)="13",DATE(RIGHT(C603,4),12,31),IF(EOMONTH(C603,1)&gt;PREMISSAS!$C$3,"",IF(MONTH(C603)=11,"13º "&amp;YEAR(C603),EOMONTH(C603,1)))),"")</f>
        <v/>
      </c>
      <c r="D604" s="22">
        <f ca="1">VLOOKUP(C604,Preencher_Salários!$D$7:$E$656,2,FALSE)</f>
        <v>0</v>
      </c>
      <c r="E604" s="4" t="str">
        <f ca="1">IF(D604=0,"",IF(IF(ISTEXT(C604),DATE(RIGHT(C604,4),12,31),C604)&lt;PREMISSAS!$D$7,"",IFERROR(VLOOKUP(IF(LEFT(C604,2)="13",DATE(RIGHT(C604,4),12,31),C604),IPCA!$A:$D,4,FALSE),1)*D604))</f>
        <v/>
      </c>
      <c r="F604" s="4" t="str">
        <f ca="1">IF(C604="","",IFERROR(AVERAGEIF(E$5:$E604,"&gt;="&amp;_xlfn.PERCENTILE.EXC(E$5:$E604,0.2)),0))</f>
        <v/>
      </c>
      <c r="G604" s="4" t="str">
        <f ca="1">IF(C604="","",IFERROR(AVERAGEIF($E$5:E604,"&gt;"&amp;0,$E$5:E604),0))</f>
        <v/>
      </c>
    </row>
    <row r="605" spans="2:7" x14ac:dyDescent="0.3">
      <c r="B605" s="18">
        <v>601</v>
      </c>
      <c r="C605" s="21" t="str">
        <f ca="1">IFERROR(IF(LEFT(C604,2)="13",DATE(RIGHT(C604,4),12,31),IF(EOMONTH(C604,1)&gt;PREMISSAS!$C$3,"",IF(MONTH(C604)=11,"13º "&amp;YEAR(C604),EOMONTH(C604,1)))),"")</f>
        <v/>
      </c>
      <c r="D605" s="22">
        <f ca="1">VLOOKUP(C605,Preencher_Salários!$D$7:$E$656,2,FALSE)</f>
        <v>0</v>
      </c>
      <c r="E605" s="4" t="str">
        <f ca="1">IF(D605=0,"",IF(IF(ISTEXT(C605),DATE(RIGHT(C605,4),12,31),C605)&lt;PREMISSAS!$D$7,"",IFERROR(VLOOKUP(IF(LEFT(C605,2)="13",DATE(RIGHT(C605,4),12,31),C605),IPCA!$A:$D,4,FALSE),1)*D605))</f>
        <v/>
      </c>
      <c r="F605" s="4" t="str">
        <f ca="1">IF(C605="","",IFERROR(AVERAGEIF(E$5:$E605,"&gt;="&amp;_xlfn.PERCENTILE.EXC(E$5:$E605,0.2)),0))</f>
        <v/>
      </c>
      <c r="G605" s="4" t="str">
        <f ca="1">IF(C605="","",IFERROR(AVERAGEIF($E$5:E605,"&gt;"&amp;0,$E$5:E605),0))</f>
        <v/>
      </c>
    </row>
    <row r="606" spans="2:7" x14ac:dyDescent="0.3">
      <c r="B606" s="18">
        <v>602</v>
      </c>
      <c r="C606" s="21" t="str">
        <f ca="1">IFERROR(IF(LEFT(C605,2)="13",DATE(RIGHT(C605,4),12,31),IF(EOMONTH(C605,1)&gt;PREMISSAS!$C$3,"",IF(MONTH(C605)=11,"13º "&amp;YEAR(C605),EOMONTH(C605,1)))),"")</f>
        <v/>
      </c>
      <c r="D606" s="22">
        <f ca="1">VLOOKUP(C606,Preencher_Salários!$D$7:$E$656,2,FALSE)</f>
        <v>0</v>
      </c>
      <c r="E606" s="4" t="str">
        <f ca="1">IF(D606=0,"",IF(IF(ISTEXT(C606),DATE(RIGHT(C606,4),12,31),C606)&lt;PREMISSAS!$D$7,"",IFERROR(VLOOKUP(IF(LEFT(C606,2)="13",DATE(RIGHT(C606,4),12,31),C606),IPCA!$A:$D,4,FALSE),1)*D606))</f>
        <v/>
      </c>
      <c r="F606" s="4" t="str">
        <f ca="1">IF(C606="","",IFERROR(AVERAGEIF(E$5:$E606,"&gt;="&amp;_xlfn.PERCENTILE.EXC(E$5:$E606,0.2)),0))</f>
        <v/>
      </c>
      <c r="G606" s="4" t="str">
        <f ca="1">IF(C606="","",IFERROR(AVERAGEIF($E$5:E606,"&gt;"&amp;0,$E$5:E606),0))</f>
        <v/>
      </c>
    </row>
    <row r="607" spans="2:7" x14ac:dyDescent="0.3">
      <c r="B607" s="18">
        <v>603</v>
      </c>
      <c r="C607" s="21" t="str">
        <f ca="1">IFERROR(IF(LEFT(C606,2)="13",DATE(RIGHT(C606,4),12,31),IF(EOMONTH(C606,1)&gt;PREMISSAS!$C$3,"",IF(MONTH(C606)=11,"13º "&amp;YEAR(C606),EOMONTH(C606,1)))),"")</f>
        <v/>
      </c>
      <c r="D607" s="22">
        <f ca="1">VLOOKUP(C607,Preencher_Salários!$D$7:$E$656,2,FALSE)</f>
        <v>0</v>
      </c>
      <c r="E607" s="4" t="str">
        <f ca="1">IF(D607=0,"",IF(IF(ISTEXT(C607),DATE(RIGHT(C607,4),12,31),C607)&lt;PREMISSAS!$D$7,"",IFERROR(VLOOKUP(IF(LEFT(C607,2)="13",DATE(RIGHT(C607,4),12,31),C607),IPCA!$A:$D,4,FALSE),1)*D607))</f>
        <v/>
      </c>
      <c r="F607" s="4" t="str">
        <f ca="1">IF(C607="","",IFERROR(AVERAGEIF(E$5:$E607,"&gt;="&amp;_xlfn.PERCENTILE.EXC(E$5:$E607,0.2)),0))</f>
        <v/>
      </c>
      <c r="G607" s="4" t="str">
        <f ca="1">IF(C607="","",IFERROR(AVERAGEIF($E$5:E607,"&gt;"&amp;0,$E$5:E607),0))</f>
        <v/>
      </c>
    </row>
    <row r="608" spans="2:7" x14ac:dyDescent="0.3">
      <c r="B608" s="18">
        <v>604</v>
      </c>
      <c r="C608" s="21" t="str">
        <f ca="1">IFERROR(IF(LEFT(C607,2)="13",DATE(RIGHT(C607,4),12,31),IF(EOMONTH(C607,1)&gt;PREMISSAS!$C$3,"",IF(MONTH(C607)=11,"13º "&amp;YEAR(C607),EOMONTH(C607,1)))),"")</f>
        <v/>
      </c>
      <c r="D608" s="22">
        <f ca="1">VLOOKUP(C608,Preencher_Salários!$D$7:$E$656,2,FALSE)</f>
        <v>0</v>
      </c>
      <c r="E608" s="4" t="str">
        <f ca="1">IF(D608=0,"",IF(IF(ISTEXT(C608),DATE(RIGHT(C608,4),12,31),C608)&lt;PREMISSAS!$D$7,"",IFERROR(VLOOKUP(IF(LEFT(C608,2)="13",DATE(RIGHT(C608,4),12,31),C608),IPCA!$A:$D,4,FALSE),1)*D608))</f>
        <v/>
      </c>
      <c r="F608" s="4" t="str">
        <f ca="1">IF(C608="","",IFERROR(AVERAGEIF(E$5:$E608,"&gt;="&amp;_xlfn.PERCENTILE.EXC(E$5:$E608,0.2)),0))</f>
        <v/>
      </c>
      <c r="G608" s="4" t="str">
        <f ca="1">IF(C608="","",IFERROR(AVERAGEIF($E$5:E608,"&gt;"&amp;0,$E$5:E608),0))</f>
        <v/>
      </c>
    </row>
    <row r="609" spans="2:7" x14ac:dyDescent="0.3">
      <c r="B609" s="18">
        <v>605</v>
      </c>
      <c r="C609" s="21" t="str">
        <f ca="1">IFERROR(IF(LEFT(C608,2)="13",DATE(RIGHT(C608,4),12,31),IF(EOMONTH(C608,1)&gt;PREMISSAS!$C$3,"",IF(MONTH(C608)=11,"13º "&amp;YEAR(C608),EOMONTH(C608,1)))),"")</f>
        <v/>
      </c>
      <c r="D609" s="22">
        <f ca="1">VLOOKUP(C609,Preencher_Salários!$D$7:$E$656,2,FALSE)</f>
        <v>0</v>
      </c>
      <c r="E609" s="4" t="str">
        <f ca="1">IF(D609=0,"",IF(IF(ISTEXT(C609),DATE(RIGHT(C609,4),12,31),C609)&lt;PREMISSAS!$D$7,"",IFERROR(VLOOKUP(IF(LEFT(C609,2)="13",DATE(RIGHT(C609,4),12,31),C609),IPCA!$A:$D,4,FALSE),1)*D609))</f>
        <v/>
      </c>
      <c r="F609" s="4" t="str">
        <f ca="1">IF(C609="","",IFERROR(AVERAGEIF(E$5:$E609,"&gt;="&amp;_xlfn.PERCENTILE.EXC(E$5:$E609,0.2)),0))</f>
        <v/>
      </c>
      <c r="G609" s="4" t="str">
        <f ca="1">IF(C609="","",IFERROR(AVERAGEIF($E$5:E609,"&gt;"&amp;0,$E$5:E609),0))</f>
        <v/>
      </c>
    </row>
    <row r="610" spans="2:7" x14ac:dyDescent="0.3">
      <c r="B610" s="18">
        <v>606</v>
      </c>
      <c r="C610" s="21" t="str">
        <f ca="1">IFERROR(IF(LEFT(C609,2)="13",DATE(RIGHT(C609,4),12,31),IF(EOMONTH(C609,1)&gt;PREMISSAS!$C$3,"",IF(MONTH(C609)=11,"13º "&amp;YEAR(C609),EOMONTH(C609,1)))),"")</f>
        <v/>
      </c>
      <c r="D610" s="22">
        <f ca="1">VLOOKUP(C610,Preencher_Salários!$D$7:$E$656,2,FALSE)</f>
        <v>0</v>
      </c>
      <c r="E610" s="4" t="str">
        <f ca="1">IF(D610=0,"",IF(IF(ISTEXT(C610),DATE(RIGHT(C610,4),12,31),C610)&lt;PREMISSAS!$D$7,"",IFERROR(VLOOKUP(IF(LEFT(C610,2)="13",DATE(RIGHT(C610,4),12,31),C610),IPCA!$A:$D,4,FALSE),1)*D610))</f>
        <v/>
      </c>
      <c r="F610" s="4" t="str">
        <f ca="1">IF(C610="","",IFERROR(AVERAGEIF(E$5:$E610,"&gt;="&amp;_xlfn.PERCENTILE.EXC(E$5:$E610,0.2)),0))</f>
        <v/>
      </c>
      <c r="G610" s="4" t="str">
        <f ca="1">IF(C610="","",IFERROR(AVERAGEIF($E$5:E610,"&gt;"&amp;0,$E$5:E610),0))</f>
        <v/>
      </c>
    </row>
    <row r="611" spans="2:7" x14ac:dyDescent="0.3">
      <c r="B611" s="18">
        <v>607</v>
      </c>
      <c r="C611" s="21" t="str">
        <f ca="1">IFERROR(IF(LEFT(C610,2)="13",DATE(RIGHT(C610,4),12,31),IF(EOMONTH(C610,1)&gt;PREMISSAS!$C$3,"",IF(MONTH(C610)=11,"13º "&amp;YEAR(C610),EOMONTH(C610,1)))),"")</f>
        <v/>
      </c>
      <c r="D611" s="22">
        <f ca="1">VLOOKUP(C611,Preencher_Salários!$D$7:$E$656,2,FALSE)</f>
        <v>0</v>
      </c>
      <c r="E611" s="4" t="str">
        <f ca="1">IF(D611=0,"",IF(IF(ISTEXT(C611),DATE(RIGHT(C611,4),12,31),C611)&lt;PREMISSAS!$D$7,"",IFERROR(VLOOKUP(IF(LEFT(C611,2)="13",DATE(RIGHT(C611,4),12,31),C611),IPCA!$A:$D,4,FALSE),1)*D611))</f>
        <v/>
      </c>
      <c r="F611" s="4" t="str">
        <f ca="1">IF(C611="","",IFERROR(AVERAGEIF(E$5:$E611,"&gt;="&amp;_xlfn.PERCENTILE.EXC(E$5:$E611,0.2)),0))</f>
        <v/>
      </c>
      <c r="G611" s="4" t="str">
        <f ca="1">IF(C611="","",IFERROR(AVERAGEIF($E$5:E611,"&gt;"&amp;0,$E$5:E611),0))</f>
        <v/>
      </c>
    </row>
    <row r="612" spans="2:7" x14ac:dyDescent="0.3">
      <c r="B612" s="18">
        <v>608</v>
      </c>
      <c r="C612" s="21" t="str">
        <f ca="1">IFERROR(IF(LEFT(C611,2)="13",DATE(RIGHT(C611,4),12,31),IF(EOMONTH(C611,1)&gt;PREMISSAS!$C$3,"",IF(MONTH(C611)=11,"13º "&amp;YEAR(C611),EOMONTH(C611,1)))),"")</f>
        <v/>
      </c>
      <c r="D612" s="22">
        <f ca="1">VLOOKUP(C612,Preencher_Salários!$D$7:$E$656,2,FALSE)</f>
        <v>0</v>
      </c>
      <c r="E612" s="4" t="str">
        <f ca="1">IF(D612=0,"",IF(IF(ISTEXT(C612),DATE(RIGHT(C612,4),12,31),C612)&lt;PREMISSAS!$D$7,"",IFERROR(VLOOKUP(IF(LEFT(C612,2)="13",DATE(RIGHT(C612,4),12,31),C612),IPCA!$A:$D,4,FALSE),1)*D612))</f>
        <v/>
      </c>
      <c r="F612" s="4" t="str">
        <f ca="1">IF(C612="","",IFERROR(AVERAGEIF(E$5:$E612,"&gt;="&amp;_xlfn.PERCENTILE.EXC(E$5:$E612,0.2)),0))</f>
        <v/>
      </c>
      <c r="G612" s="4" t="str">
        <f ca="1">IF(C612="","",IFERROR(AVERAGEIF($E$5:E612,"&gt;"&amp;0,$E$5:E612),0))</f>
        <v/>
      </c>
    </row>
    <row r="613" spans="2:7" x14ac:dyDescent="0.3">
      <c r="B613" s="18">
        <v>609</v>
      </c>
      <c r="C613" s="21" t="str">
        <f ca="1">IFERROR(IF(LEFT(C612,2)="13",DATE(RIGHT(C612,4),12,31),IF(EOMONTH(C612,1)&gt;PREMISSAS!$C$3,"",IF(MONTH(C612)=11,"13º "&amp;YEAR(C612),EOMONTH(C612,1)))),"")</f>
        <v/>
      </c>
      <c r="D613" s="22">
        <f ca="1">VLOOKUP(C613,Preencher_Salários!$D$7:$E$656,2,FALSE)</f>
        <v>0</v>
      </c>
      <c r="E613" s="4" t="str">
        <f ca="1">IF(D613=0,"",IF(IF(ISTEXT(C613),DATE(RIGHT(C613,4),12,31),C613)&lt;PREMISSAS!$D$7,"",IFERROR(VLOOKUP(IF(LEFT(C613,2)="13",DATE(RIGHT(C613,4),12,31),C613),IPCA!$A:$D,4,FALSE),1)*D613))</f>
        <v/>
      </c>
      <c r="F613" s="4" t="str">
        <f ca="1">IF(C613="","",IFERROR(AVERAGEIF(E$5:$E613,"&gt;="&amp;_xlfn.PERCENTILE.EXC(E$5:$E613,0.2)),0))</f>
        <v/>
      </c>
      <c r="G613" s="4" t="str">
        <f ca="1">IF(C613="","",IFERROR(AVERAGEIF($E$5:E613,"&gt;"&amp;0,$E$5:E613),0))</f>
        <v/>
      </c>
    </row>
    <row r="614" spans="2:7" x14ac:dyDescent="0.3">
      <c r="B614" s="18">
        <v>610</v>
      </c>
      <c r="C614" s="21" t="str">
        <f ca="1">IFERROR(IF(LEFT(C613,2)="13",DATE(RIGHT(C613,4),12,31),IF(EOMONTH(C613,1)&gt;PREMISSAS!$C$3,"",IF(MONTH(C613)=11,"13º "&amp;YEAR(C613),EOMONTH(C613,1)))),"")</f>
        <v/>
      </c>
      <c r="D614" s="22">
        <f ca="1">VLOOKUP(C614,Preencher_Salários!$D$7:$E$656,2,FALSE)</f>
        <v>0</v>
      </c>
      <c r="E614" s="4" t="str">
        <f ca="1">IF(D614=0,"",IF(IF(ISTEXT(C614),DATE(RIGHT(C614,4),12,31),C614)&lt;PREMISSAS!$D$7,"",IFERROR(VLOOKUP(IF(LEFT(C614,2)="13",DATE(RIGHT(C614,4),12,31),C614),IPCA!$A:$D,4,FALSE),1)*D614))</f>
        <v/>
      </c>
      <c r="F614" s="4" t="str">
        <f ca="1">IF(C614="","",IFERROR(AVERAGEIF(E$5:$E614,"&gt;="&amp;_xlfn.PERCENTILE.EXC(E$5:$E614,0.2)),0))</f>
        <v/>
      </c>
      <c r="G614" s="4" t="str">
        <f ca="1">IF(C614="","",IFERROR(AVERAGEIF($E$5:E614,"&gt;"&amp;0,$E$5:E614),0))</f>
        <v/>
      </c>
    </row>
    <row r="615" spans="2:7" x14ac:dyDescent="0.3">
      <c r="B615" s="18">
        <v>611</v>
      </c>
      <c r="C615" s="21" t="str">
        <f ca="1">IFERROR(IF(LEFT(C614,2)="13",DATE(RIGHT(C614,4),12,31),IF(EOMONTH(C614,1)&gt;PREMISSAS!$C$3,"",IF(MONTH(C614)=11,"13º "&amp;YEAR(C614),EOMONTH(C614,1)))),"")</f>
        <v/>
      </c>
      <c r="D615" s="22">
        <f ca="1">VLOOKUP(C615,Preencher_Salários!$D$7:$E$656,2,FALSE)</f>
        <v>0</v>
      </c>
      <c r="E615" s="4" t="str">
        <f ca="1">IF(D615=0,"",IF(IF(ISTEXT(C615),DATE(RIGHT(C615,4),12,31),C615)&lt;PREMISSAS!$D$7,"",IFERROR(VLOOKUP(IF(LEFT(C615,2)="13",DATE(RIGHT(C615,4),12,31),C615),IPCA!$A:$D,4,FALSE),1)*D615))</f>
        <v/>
      </c>
      <c r="F615" s="4" t="str">
        <f ca="1">IF(C615="","",IFERROR(AVERAGEIF(E$5:$E615,"&gt;="&amp;_xlfn.PERCENTILE.EXC(E$5:$E615,0.2)),0))</f>
        <v/>
      </c>
      <c r="G615" s="4" t="str">
        <f ca="1">IF(C615="","",IFERROR(AVERAGEIF($E$5:E615,"&gt;"&amp;0,$E$5:E615),0))</f>
        <v/>
      </c>
    </row>
    <row r="616" spans="2:7" x14ac:dyDescent="0.3">
      <c r="B616" s="18">
        <v>612</v>
      </c>
      <c r="C616" s="21" t="str">
        <f ca="1">IFERROR(IF(LEFT(C615,2)="13",DATE(RIGHT(C615,4),12,31),IF(EOMONTH(C615,1)&gt;PREMISSAS!$C$3,"",IF(MONTH(C615)=11,"13º "&amp;YEAR(C615),EOMONTH(C615,1)))),"")</f>
        <v/>
      </c>
      <c r="D616" s="22">
        <f ca="1">VLOOKUP(C616,Preencher_Salários!$D$7:$E$656,2,FALSE)</f>
        <v>0</v>
      </c>
      <c r="E616" s="4" t="str">
        <f ca="1">IF(D616=0,"",IF(IF(ISTEXT(C616),DATE(RIGHT(C616,4),12,31),C616)&lt;PREMISSAS!$D$7,"",IFERROR(VLOOKUP(IF(LEFT(C616,2)="13",DATE(RIGHT(C616,4),12,31),C616),IPCA!$A:$D,4,FALSE),1)*D616))</f>
        <v/>
      </c>
      <c r="F616" s="4" t="str">
        <f ca="1">IF(C616="","",IFERROR(AVERAGEIF(E$5:$E616,"&gt;="&amp;_xlfn.PERCENTILE.EXC(E$5:$E616,0.2)),0))</f>
        <v/>
      </c>
      <c r="G616" s="4" t="str">
        <f ca="1">IF(C616="","",IFERROR(AVERAGEIF($E$5:E616,"&gt;"&amp;0,$E$5:E616),0))</f>
        <v/>
      </c>
    </row>
    <row r="617" spans="2:7" x14ac:dyDescent="0.3">
      <c r="B617" s="18">
        <v>613</v>
      </c>
      <c r="C617" s="21" t="str">
        <f ca="1">IFERROR(IF(LEFT(C616,2)="13",DATE(RIGHT(C616,4),12,31),IF(EOMONTH(C616,1)&gt;PREMISSAS!$C$3,"",IF(MONTH(C616)=11,"13º "&amp;YEAR(C616),EOMONTH(C616,1)))),"")</f>
        <v/>
      </c>
      <c r="D617" s="22">
        <f ca="1">VLOOKUP(C617,Preencher_Salários!$D$7:$E$656,2,FALSE)</f>
        <v>0</v>
      </c>
      <c r="E617" s="4" t="str">
        <f ca="1">IF(D617=0,"",IF(IF(ISTEXT(C617),DATE(RIGHT(C617,4),12,31),C617)&lt;PREMISSAS!$D$7,"",IFERROR(VLOOKUP(IF(LEFT(C617,2)="13",DATE(RIGHT(C617,4),12,31),C617),IPCA!$A:$D,4,FALSE),1)*D617))</f>
        <v/>
      </c>
      <c r="F617" s="4" t="str">
        <f ca="1">IF(C617="","",IFERROR(AVERAGEIF(E$5:$E617,"&gt;="&amp;_xlfn.PERCENTILE.EXC(E$5:$E617,0.2)),0))</f>
        <v/>
      </c>
      <c r="G617" s="4" t="str">
        <f ca="1">IF(C617="","",IFERROR(AVERAGEIF($E$5:E617,"&gt;"&amp;0,$E$5:E617),0))</f>
        <v/>
      </c>
    </row>
    <row r="618" spans="2:7" x14ac:dyDescent="0.3">
      <c r="B618" s="18">
        <v>614</v>
      </c>
      <c r="C618" s="21" t="str">
        <f ca="1">IFERROR(IF(LEFT(C617,2)="13",DATE(RIGHT(C617,4),12,31),IF(EOMONTH(C617,1)&gt;PREMISSAS!$C$3,"",IF(MONTH(C617)=11,"13º "&amp;YEAR(C617),EOMONTH(C617,1)))),"")</f>
        <v/>
      </c>
      <c r="D618" s="22">
        <f ca="1">VLOOKUP(C618,Preencher_Salários!$D$7:$E$656,2,FALSE)</f>
        <v>0</v>
      </c>
      <c r="E618" s="4" t="str">
        <f ca="1">IF(D618=0,"",IF(IF(ISTEXT(C618),DATE(RIGHT(C618,4),12,31),C618)&lt;PREMISSAS!$D$7,"",IFERROR(VLOOKUP(IF(LEFT(C618,2)="13",DATE(RIGHT(C618,4),12,31),C618),IPCA!$A:$D,4,FALSE),1)*D618))</f>
        <v/>
      </c>
      <c r="F618" s="4" t="str">
        <f ca="1">IF(C618="","",IFERROR(AVERAGEIF(E$5:$E618,"&gt;="&amp;_xlfn.PERCENTILE.EXC(E$5:$E618,0.2)),0))</f>
        <v/>
      </c>
      <c r="G618" s="4" t="str">
        <f ca="1">IF(C618="","",IFERROR(AVERAGEIF($E$5:E618,"&gt;"&amp;0,$E$5:E618),0))</f>
        <v/>
      </c>
    </row>
    <row r="619" spans="2:7" x14ac:dyDescent="0.3">
      <c r="B619" s="18">
        <v>615</v>
      </c>
      <c r="C619" s="21" t="str">
        <f ca="1">IFERROR(IF(LEFT(C618,2)="13",DATE(RIGHT(C618,4),12,31),IF(EOMONTH(C618,1)&gt;PREMISSAS!$C$3,"",IF(MONTH(C618)=11,"13º "&amp;YEAR(C618),EOMONTH(C618,1)))),"")</f>
        <v/>
      </c>
      <c r="D619" s="22">
        <f ca="1">VLOOKUP(C619,Preencher_Salários!$D$7:$E$656,2,FALSE)</f>
        <v>0</v>
      </c>
      <c r="E619" s="4" t="str">
        <f ca="1">IF(D619=0,"",IF(IF(ISTEXT(C619),DATE(RIGHT(C619,4),12,31),C619)&lt;PREMISSAS!$D$7,"",IFERROR(VLOOKUP(IF(LEFT(C619,2)="13",DATE(RIGHT(C619,4),12,31),C619),IPCA!$A:$D,4,FALSE),1)*D619))</f>
        <v/>
      </c>
      <c r="F619" s="4" t="str">
        <f ca="1">IF(C619="","",IFERROR(AVERAGEIF(E$5:$E619,"&gt;="&amp;_xlfn.PERCENTILE.EXC(E$5:$E619,0.2)),0))</f>
        <v/>
      </c>
      <c r="G619" s="4" t="str">
        <f ca="1">IF(C619="","",IFERROR(AVERAGEIF($E$5:E619,"&gt;"&amp;0,$E$5:E619),0))</f>
        <v/>
      </c>
    </row>
    <row r="620" spans="2:7" x14ac:dyDescent="0.3">
      <c r="B620" s="18">
        <v>616</v>
      </c>
      <c r="C620" s="21" t="str">
        <f ca="1">IFERROR(IF(LEFT(C619,2)="13",DATE(RIGHT(C619,4),12,31),IF(EOMONTH(C619,1)&gt;PREMISSAS!$C$3,"",IF(MONTH(C619)=11,"13º "&amp;YEAR(C619),EOMONTH(C619,1)))),"")</f>
        <v/>
      </c>
      <c r="D620" s="22">
        <f ca="1">VLOOKUP(C620,Preencher_Salários!$D$7:$E$656,2,FALSE)</f>
        <v>0</v>
      </c>
      <c r="E620" s="4" t="str">
        <f ca="1">IF(D620=0,"",IF(IF(ISTEXT(C620),DATE(RIGHT(C620,4),12,31),C620)&lt;PREMISSAS!$D$7,"",IFERROR(VLOOKUP(IF(LEFT(C620,2)="13",DATE(RIGHT(C620,4),12,31),C620),IPCA!$A:$D,4,FALSE),1)*D620))</f>
        <v/>
      </c>
      <c r="F620" s="4" t="str">
        <f ca="1">IF(C620="","",IFERROR(AVERAGEIF(E$5:$E620,"&gt;="&amp;_xlfn.PERCENTILE.EXC(E$5:$E620,0.2)),0))</f>
        <v/>
      </c>
      <c r="G620" s="4" t="str">
        <f ca="1">IF(C620="","",IFERROR(AVERAGEIF($E$5:E620,"&gt;"&amp;0,$E$5:E620),0))</f>
        <v/>
      </c>
    </row>
    <row r="621" spans="2:7" x14ac:dyDescent="0.3">
      <c r="B621" s="18">
        <v>617</v>
      </c>
      <c r="C621" s="21" t="str">
        <f ca="1">IFERROR(IF(LEFT(C620,2)="13",DATE(RIGHT(C620,4),12,31),IF(EOMONTH(C620,1)&gt;PREMISSAS!$C$3,"",IF(MONTH(C620)=11,"13º "&amp;YEAR(C620),EOMONTH(C620,1)))),"")</f>
        <v/>
      </c>
      <c r="D621" s="22">
        <f ca="1">VLOOKUP(C621,Preencher_Salários!$D$7:$E$656,2,FALSE)</f>
        <v>0</v>
      </c>
      <c r="E621" s="4" t="str">
        <f ca="1">IF(D621=0,"",IF(IF(ISTEXT(C621),DATE(RIGHT(C621,4),12,31),C621)&lt;PREMISSAS!$D$7,"",IFERROR(VLOOKUP(IF(LEFT(C621,2)="13",DATE(RIGHT(C621,4),12,31),C621),IPCA!$A:$D,4,FALSE),1)*D621))</f>
        <v/>
      </c>
      <c r="F621" s="4" t="str">
        <f ca="1">IF(C621="","",IFERROR(AVERAGEIF(E$5:$E621,"&gt;="&amp;_xlfn.PERCENTILE.EXC(E$5:$E621,0.2)),0))</f>
        <v/>
      </c>
      <c r="G621" s="4" t="str">
        <f ca="1">IF(C621="","",IFERROR(AVERAGEIF($E$5:E621,"&gt;"&amp;0,$E$5:E621),0))</f>
        <v/>
      </c>
    </row>
    <row r="622" spans="2:7" x14ac:dyDescent="0.3">
      <c r="B622" s="18">
        <v>618</v>
      </c>
      <c r="C622" s="21" t="str">
        <f ca="1">IFERROR(IF(LEFT(C621,2)="13",DATE(RIGHT(C621,4),12,31),IF(EOMONTH(C621,1)&gt;PREMISSAS!$C$3,"",IF(MONTH(C621)=11,"13º "&amp;YEAR(C621),EOMONTH(C621,1)))),"")</f>
        <v/>
      </c>
      <c r="D622" s="22">
        <f ca="1">VLOOKUP(C622,Preencher_Salários!$D$7:$E$656,2,FALSE)</f>
        <v>0</v>
      </c>
      <c r="E622" s="4" t="str">
        <f ca="1">IF(D622=0,"",IF(IF(ISTEXT(C622),DATE(RIGHT(C622,4),12,31),C622)&lt;PREMISSAS!$D$7,"",IFERROR(VLOOKUP(IF(LEFT(C622,2)="13",DATE(RIGHT(C622,4),12,31),C622),IPCA!$A:$D,4,FALSE),1)*D622))</f>
        <v/>
      </c>
      <c r="F622" s="4" t="str">
        <f ca="1">IF(C622="","",IFERROR(AVERAGEIF(E$5:$E622,"&gt;="&amp;_xlfn.PERCENTILE.EXC(E$5:$E622,0.2)),0))</f>
        <v/>
      </c>
      <c r="G622" s="4" t="str">
        <f ca="1">IF(C622="","",IFERROR(AVERAGEIF($E$5:E622,"&gt;"&amp;0,$E$5:E622),0))</f>
        <v/>
      </c>
    </row>
    <row r="623" spans="2:7" x14ac:dyDescent="0.3">
      <c r="B623" s="18">
        <v>619</v>
      </c>
      <c r="C623" s="21" t="str">
        <f ca="1">IFERROR(IF(LEFT(C622,2)="13",DATE(RIGHT(C622,4),12,31),IF(EOMONTH(C622,1)&gt;PREMISSAS!$C$3,"",IF(MONTH(C622)=11,"13º "&amp;YEAR(C622),EOMONTH(C622,1)))),"")</f>
        <v/>
      </c>
      <c r="D623" s="22">
        <f ca="1">VLOOKUP(C623,Preencher_Salários!$D$7:$E$656,2,FALSE)</f>
        <v>0</v>
      </c>
      <c r="E623" s="4" t="str">
        <f ca="1">IF(D623=0,"",IF(IF(ISTEXT(C623),DATE(RIGHT(C623,4),12,31),C623)&lt;PREMISSAS!$D$7,"",IFERROR(VLOOKUP(IF(LEFT(C623,2)="13",DATE(RIGHT(C623,4),12,31),C623),IPCA!$A:$D,4,FALSE),1)*D623))</f>
        <v/>
      </c>
      <c r="F623" s="4" t="str">
        <f ca="1">IF(C623="","",IFERROR(AVERAGEIF(E$5:$E623,"&gt;="&amp;_xlfn.PERCENTILE.EXC(E$5:$E623,0.2)),0))</f>
        <v/>
      </c>
      <c r="G623" s="4" t="str">
        <f ca="1">IF(C623="","",IFERROR(AVERAGEIF($E$5:E623,"&gt;"&amp;0,$E$5:E623),0))</f>
        <v/>
      </c>
    </row>
    <row r="624" spans="2:7" x14ac:dyDescent="0.3">
      <c r="B624" s="18">
        <v>620</v>
      </c>
      <c r="C624" s="21" t="str">
        <f ca="1">IFERROR(IF(LEFT(C623,2)="13",DATE(RIGHT(C623,4),12,31),IF(EOMONTH(C623,1)&gt;PREMISSAS!$C$3,"",IF(MONTH(C623)=11,"13º "&amp;YEAR(C623),EOMONTH(C623,1)))),"")</f>
        <v/>
      </c>
      <c r="D624" s="22">
        <f ca="1">VLOOKUP(C624,Preencher_Salários!$D$7:$E$656,2,FALSE)</f>
        <v>0</v>
      </c>
      <c r="E624" s="4" t="str">
        <f ca="1">IF(D624=0,"",IF(IF(ISTEXT(C624),DATE(RIGHT(C624,4),12,31),C624)&lt;PREMISSAS!$D$7,"",IFERROR(VLOOKUP(IF(LEFT(C624,2)="13",DATE(RIGHT(C624,4),12,31),C624),IPCA!$A:$D,4,FALSE),1)*D624))</f>
        <v/>
      </c>
      <c r="F624" s="4" t="str">
        <f ca="1">IF(C624="","",IFERROR(AVERAGEIF(E$5:$E624,"&gt;="&amp;_xlfn.PERCENTILE.EXC(E$5:$E624,0.2)),0))</f>
        <v/>
      </c>
      <c r="G624" s="4" t="str">
        <f ca="1">IF(C624="","",IFERROR(AVERAGEIF($E$5:E624,"&gt;"&amp;0,$E$5:E624),0))</f>
        <v/>
      </c>
    </row>
    <row r="625" spans="2:7" x14ac:dyDescent="0.3">
      <c r="B625" s="18">
        <v>621</v>
      </c>
      <c r="C625" s="21" t="str">
        <f ca="1">IFERROR(IF(LEFT(C624,2)="13",DATE(RIGHT(C624,4),12,31),IF(EOMONTH(C624,1)&gt;PREMISSAS!$C$3,"",IF(MONTH(C624)=11,"13º "&amp;YEAR(C624),EOMONTH(C624,1)))),"")</f>
        <v/>
      </c>
      <c r="D625" s="22">
        <f ca="1">VLOOKUP(C625,Preencher_Salários!$D$7:$E$656,2,FALSE)</f>
        <v>0</v>
      </c>
      <c r="E625" s="4" t="str">
        <f ca="1">IF(D625=0,"",IF(IF(ISTEXT(C625),DATE(RIGHT(C625,4),12,31),C625)&lt;PREMISSAS!$D$7,"",IFERROR(VLOOKUP(IF(LEFT(C625,2)="13",DATE(RIGHT(C625,4),12,31),C625),IPCA!$A:$D,4,FALSE),1)*D625))</f>
        <v/>
      </c>
      <c r="F625" s="4" t="str">
        <f ca="1">IF(C625="","",IFERROR(AVERAGEIF(E$5:$E625,"&gt;="&amp;_xlfn.PERCENTILE.EXC(E$5:$E625,0.2)),0))</f>
        <v/>
      </c>
      <c r="G625" s="4" t="str">
        <f ca="1">IF(C625="","",IFERROR(AVERAGEIF($E$5:E625,"&gt;"&amp;0,$E$5:E625),0))</f>
        <v/>
      </c>
    </row>
    <row r="626" spans="2:7" x14ac:dyDescent="0.3">
      <c r="B626" s="18">
        <v>622</v>
      </c>
      <c r="C626" s="21" t="str">
        <f ca="1">IFERROR(IF(LEFT(C625,2)="13",DATE(RIGHT(C625,4),12,31),IF(EOMONTH(C625,1)&gt;PREMISSAS!$C$3,"",IF(MONTH(C625)=11,"13º "&amp;YEAR(C625),EOMONTH(C625,1)))),"")</f>
        <v/>
      </c>
      <c r="D626" s="22">
        <f ca="1">VLOOKUP(C626,Preencher_Salários!$D$7:$E$656,2,FALSE)</f>
        <v>0</v>
      </c>
      <c r="E626" s="4" t="str">
        <f ca="1">IF(D626=0,"",IF(IF(ISTEXT(C626),DATE(RIGHT(C626,4),12,31),C626)&lt;PREMISSAS!$D$7,"",IFERROR(VLOOKUP(IF(LEFT(C626,2)="13",DATE(RIGHT(C626,4),12,31),C626),IPCA!$A:$D,4,FALSE),1)*D626))</f>
        <v/>
      </c>
      <c r="F626" s="4" t="str">
        <f ca="1">IF(C626="","",IFERROR(AVERAGEIF(E$5:$E626,"&gt;="&amp;_xlfn.PERCENTILE.EXC(E$5:$E626,0.2)),0))</f>
        <v/>
      </c>
      <c r="G626" s="4" t="str">
        <f ca="1">IF(C626="","",IFERROR(AVERAGEIF($E$5:E626,"&gt;"&amp;0,$E$5:E626),0))</f>
        <v/>
      </c>
    </row>
    <row r="627" spans="2:7" x14ac:dyDescent="0.3">
      <c r="B627" s="18">
        <v>623</v>
      </c>
      <c r="C627" s="21" t="str">
        <f ca="1">IFERROR(IF(LEFT(C626,2)="13",DATE(RIGHT(C626,4),12,31),IF(EOMONTH(C626,1)&gt;PREMISSAS!$C$3,"",IF(MONTH(C626)=11,"13º "&amp;YEAR(C626),EOMONTH(C626,1)))),"")</f>
        <v/>
      </c>
      <c r="D627" s="22">
        <f ca="1">VLOOKUP(C627,Preencher_Salários!$D$7:$E$656,2,FALSE)</f>
        <v>0</v>
      </c>
      <c r="E627" s="4" t="str">
        <f ca="1">IF(D627=0,"",IF(IF(ISTEXT(C627),DATE(RIGHT(C627,4),12,31),C627)&lt;PREMISSAS!$D$7,"",IFERROR(VLOOKUP(IF(LEFT(C627,2)="13",DATE(RIGHT(C627,4),12,31),C627),IPCA!$A:$D,4,FALSE),1)*D627))</f>
        <v/>
      </c>
      <c r="F627" s="4" t="str">
        <f ca="1">IF(C627="","",IFERROR(AVERAGEIF(E$5:$E627,"&gt;="&amp;_xlfn.PERCENTILE.EXC(E$5:$E627,0.2)),0))</f>
        <v/>
      </c>
      <c r="G627" s="4" t="str">
        <f ca="1">IF(C627="","",IFERROR(AVERAGEIF($E$5:E627,"&gt;"&amp;0,$E$5:E627),0))</f>
        <v/>
      </c>
    </row>
    <row r="628" spans="2:7" x14ac:dyDescent="0.3">
      <c r="B628" s="18">
        <v>624</v>
      </c>
      <c r="C628" s="21" t="str">
        <f ca="1">IFERROR(IF(LEFT(C627,2)="13",DATE(RIGHT(C627,4),12,31),IF(EOMONTH(C627,1)&gt;PREMISSAS!$C$3,"",IF(MONTH(C627)=11,"13º "&amp;YEAR(C627),EOMONTH(C627,1)))),"")</f>
        <v/>
      </c>
      <c r="D628" s="22">
        <f ca="1">VLOOKUP(C628,Preencher_Salários!$D$7:$E$656,2,FALSE)</f>
        <v>0</v>
      </c>
      <c r="E628" s="4" t="str">
        <f ca="1">IF(D628=0,"",IF(IF(ISTEXT(C628),DATE(RIGHT(C628,4),12,31),C628)&lt;PREMISSAS!$D$7,"",IFERROR(VLOOKUP(IF(LEFT(C628,2)="13",DATE(RIGHT(C628,4),12,31),C628),IPCA!$A:$D,4,FALSE),1)*D628))</f>
        <v/>
      </c>
      <c r="F628" s="4" t="str">
        <f ca="1">IF(C628="","",IFERROR(AVERAGEIF(E$5:$E628,"&gt;="&amp;_xlfn.PERCENTILE.EXC(E$5:$E628,0.2)),0))</f>
        <v/>
      </c>
      <c r="G628" s="4" t="str">
        <f ca="1">IF(C628="","",IFERROR(AVERAGEIF($E$5:E628,"&gt;"&amp;0,$E$5:E628),0))</f>
        <v/>
      </c>
    </row>
    <row r="629" spans="2:7" x14ac:dyDescent="0.3">
      <c r="B629" s="18">
        <v>625</v>
      </c>
      <c r="C629" s="21" t="str">
        <f ca="1">IFERROR(IF(LEFT(C628,2)="13",DATE(RIGHT(C628,4),12,31),IF(EOMONTH(C628,1)&gt;PREMISSAS!$C$3,"",IF(MONTH(C628)=11,"13º "&amp;YEAR(C628),EOMONTH(C628,1)))),"")</f>
        <v/>
      </c>
      <c r="D629" s="22">
        <f ca="1">VLOOKUP(C629,Preencher_Salários!$D$7:$E$656,2,FALSE)</f>
        <v>0</v>
      </c>
      <c r="E629" s="4" t="str">
        <f ca="1">IF(D629=0,"",IF(IF(ISTEXT(C629),DATE(RIGHT(C629,4),12,31),C629)&lt;PREMISSAS!$D$7,"",IFERROR(VLOOKUP(IF(LEFT(C629,2)="13",DATE(RIGHT(C629,4),12,31),C629),IPCA!$A:$D,4,FALSE),1)*D629))</f>
        <v/>
      </c>
      <c r="F629" s="4" t="str">
        <f ca="1">IF(C629="","",IFERROR(AVERAGEIF(E$5:$E629,"&gt;="&amp;_xlfn.PERCENTILE.EXC(E$5:$E629,0.2)),0))</f>
        <v/>
      </c>
      <c r="G629" s="4" t="str">
        <f ca="1">IF(C629="","",IFERROR(AVERAGEIF($E$5:E629,"&gt;"&amp;0,$E$5:E629),0))</f>
        <v/>
      </c>
    </row>
    <row r="630" spans="2:7" x14ac:dyDescent="0.3">
      <c r="B630" s="18">
        <v>626</v>
      </c>
      <c r="C630" s="21" t="str">
        <f ca="1">IFERROR(IF(LEFT(C629,2)="13",DATE(RIGHT(C629,4),12,31),IF(EOMONTH(C629,1)&gt;PREMISSAS!$C$3,"",IF(MONTH(C629)=11,"13º "&amp;YEAR(C629),EOMONTH(C629,1)))),"")</f>
        <v/>
      </c>
      <c r="D630" s="22">
        <f ca="1">VLOOKUP(C630,Preencher_Salários!$D$7:$E$656,2,FALSE)</f>
        <v>0</v>
      </c>
      <c r="E630" s="4" t="str">
        <f ca="1">IF(D630=0,"",IF(IF(ISTEXT(C630),DATE(RIGHT(C630,4),12,31),C630)&lt;PREMISSAS!$D$7,"",IFERROR(VLOOKUP(IF(LEFT(C630,2)="13",DATE(RIGHT(C630,4),12,31),C630),IPCA!$A:$D,4,FALSE),1)*D630))</f>
        <v/>
      </c>
      <c r="F630" s="4" t="str">
        <f ca="1">IF(C630="","",IFERROR(AVERAGEIF(E$5:$E630,"&gt;="&amp;_xlfn.PERCENTILE.EXC(E$5:$E630,0.2)),0))</f>
        <v/>
      </c>
      <c r="G630" s="4" t="str">
        <f ca="1">IF(C630="","",IFERROR(AVERAGEIF($E$5:E630,"&gt;"&amp;0,$E$5:E630),0))</f>
        <v/>
      </c>
    </row>
    <row r="631" spans="2:7" x14ac:dyDescent="0.3">
      <c r="B631" s="18">
        <v>627</v>
      </c>
      <c r="C631" s="21" t="str">
        <f ca="1">IFERROR(IF(LEFT(C630,2)="13",DATE(RIGHT(C630,4),12,31),IF(EOMONTH(C630,1)&gt;PREMISSAS!$C$3,"",IF(MONTH(C630)=11,"13º "&amp;YEAR(C630),EOMONTH(C630,1)))),"")</f>
        <v/>
      </c>
      <c r="D631" s="22">
        <f ca="1">VLOOKUP(C631,Preencher_Salários!$D$7:$E$656,2,FALSE)</f>
        <v>0</v>
      </c>
      <c r="E631" s="4" t="str">
        <f ca="1">IF(D631=0,"",IF(IF(ISTEXT(C631),DATE(RIGHT(C631,4),12,31),C631)&lt;PREMISSAS!$D$7,"",IFERROR(VLOOKUP(IF(LEFT(C631,2)="13",DATE(RIGHT(C631,4),12,31),C631),IPCA!$A:$D,4,FALSE),1)*D631))</f>
        <v/>
      </c>
      <c r="F631" s="4" t="str">
        <f ca="1">IF(C631="","",IFERROR(AVERAGEIF(E$5:$E631,"&gt;="&amp;_xlfn.PERCENTILE.EXC(E$5:$E631,0.2)),0))</f>
        <v/>
      </c>
      <c r="G631" s="4" t="str">
        <f ca="1">IF(C631="","",IFERROR(AVERAGEIF($E$5:E631,"&gt;"&amp;0,$E$5:E631),0))</f>
        <v/>
      </c>
    </row>
    <row r="632" spans="2:7" x14ac:dyDescent="0.3">
      <c r="B632" s="18">
        <v>628</v>
      </c>
      <c r="C632" s="21" t="str">
        <f ca="1">IFERROR(IF(LEFT(C631,2)="13",DATE(RIGHT(C631,4),12,31),IF(EOMONTH(C631,1)&gt;PREMISSAS!$C$3,"",IF(MONTH(C631)=11,"13º "&amp;YEAR(C631),EOMONTH(C631,1)))),"")</f>
        <v/>
      </c>
      <c r="D632" s="22">
        <f ca="1">VLOOKUP(C632,Preencher_Salários!$D$7:$E$656,2,FALSE)</f>
        <v>0</v>
      </c>
      <c r="E632" s="4" t="str">
        <f ca="1">IF(D632=0,"",IF(IF(ISTEXT(C632),DATE(RIGHT(C632,4),12,31),C632)&lt;PREMISSAS!$D$7,"",IFERROR(VLOOKUP(IF(LEFT(C632,2)="13",DATE(RIGHT(C632,4),12,31),C632),IPCA!$A:$D,4,FALSE),1)*D632))</f>
        <v/>
      </c>
      <c r="F632" s="4" t="str">
        <f ca="1">IF(C632="","",IFERROR(AVERAGEIF(E$5:$E632,"&gt;="&amp;_xlfn.PERCENTILE.EXC(E$5:$E632,0.2)),0))</f>
        <v/>
      </c>
      <c r="G632" s="4" t="str">
        <f ca="1">IF(C632="","",IFERROR(AVERAGEIF($E$5:E632,"&gt;"&amp;0,$E$5:E632),0))</f>
        <v/>
      </c>
    </row>
    <row r="633" spans="2:7" x14ac:dyDescent="0.3">
      <c r="B633" s="18">
        <v>629</v>
      </c>
      <c r="C633" s="21" t="str">
        <f ca="1">IFERROR(IF(LEFT(C632,2)="13",DATE(RIGHT(C632,4),12,31),IF(EOMONTH(C632,1)&gt;PREMISSAS!$C$3,"",IF(MONTH(C632)=11,"13º "&amp;YEAR(C632),EOMONTH(C632,1)))),"")</f>
        <v/>
      </c>
      <c r="D633" s="22">
        <f ca="1">VLOOKUP(C633,Preencher_Salários!$D$7:$E$656,2,FALSE)</f>
        <v>0</v>
      </c>
      <c r="E633" s="4" t="str">
        <f ca="1">IF(D633=0,"",IF(IF(ISTEXT(C633),DATE(RIGHT(C633,4),12,31),C633)&lt;PREMISSAS!$D$7,"",IFERROR(VLOOKUP(IF(LEFT(C633,2)="13",DATE(RIGHT(C633,4),12,31),C633),IPCA!$A:$D,4,FALSE),1)*D633))</f>
        <v/>
      </c>
      <c r="F633" s="4" t="str">
        <f ca="1">IF(C633="","",IFERROR(AVERAGEIF(E$5:$E633,"&gt;="&amp;_xlfn.PERCENTILE.EXC(E$5:$E633,0.2)),0))</f>
        <v/>
      </c>
      <c r="G633" s="4" t="str">
        <f ca="1">IF(C633="","",IFERROR(AVERAGEIF($E$5:E633,"&gt;"&amp;0,$E$5:E633),0))</f>
        <v/>
      </c>
    </row>
    <row r="634" spans="2:7" x14ac:dyDescent="0.3">
      <c r="B634" s="18">
        <v>630</v>
      </c>
      <c r="C634" s="21" t="str">
        <f ca="1">IFERROR(IF(LEFT(C633,2)="13",DATE(RIGHT(C633,4),12,31),IF(EOMONTH(C633,1)&gt;PREMISSAS!$C$3,"",IF(MONTH(C633)=11,"13º "&amp;YEAR(C633),EOMONTH(C633,1)))),"")</f>
        <v/>
      </c>
      <c r="D634" s="22">
        <f ca="1">VLOOKUP(C634,Preencher_Salários!$D$7:$E$656,2,FALSE)</f>
        <v>0</v>
      </c>
      <c r="E634" s="4" t="str">
        <f ca="1">IF(D634=0,"",IF(IF(ISTEXT(C634),DATE(RIGHT(C634,4),12,31),C634)&lt;PREMISSAS!$D$7,"",IFERROR(VLOOKUP(IF(LEFT(C634,2)="13",DATE(RIGHT(C634,4),12,31),C634),IPCA!$A:$D,4,FALSE),1)*D634))</f>
        <v/>
      </c>
      <c r="F634" s="4" t="str">
        <f ca="1">IF(C634="","",IFERROR(AVERAGEIF(E$5:$E634,"&gt;="&amp;_xlfn.PERCENTILE.EXC(E$5:$E634,0.2)),0))</f>
        <v/>
      </c>
      <c r="G634" s="4" t="str">
        <f ca="1">IF(C634="","",IFERROR(AVERAGEIF($E$5:E634,"&gt;"&amp;0,$E$5:E634),0))</f>
        <v/>
      </c>
    </row>
    <row r="635" spans="2:7" x14ac:dyDescent="0.3">
      <c r="B635" s="18">
        <v>631</v>
      </c>
      <c r="C635" s="21" t="str">
        <f ca="1">IFERROR(IF(LEFT(C634,2)="13",DATE(RIGHT(C634,4),12,31),IF(EOMONTH(C634,1)&gt;PREMISSAS!$C$3,"",IF(MONTH(C634)=11,"13º "&amp;YEAR(C634),EOMONTH(C634,1)))),"")</f>
        <v/>
      </c>
      <c r="D635" s="22">
        <f ca="1">VLOOKUP(C635,Preencher_Salários!$D$7:$E$656,2,FALSE)</f>
        <v>0</v>
      </c>
      <c r="E635" s="4" t="str">
        <f ca="1">IF(D635=0,"",IF(IF(ISTEXT(C635),DATE(RIGHT(C635,4),12,31),C635)&lt;PREMISSAS!$D$7,"",IFERROR(VLOOKUP(IF(LEFT(C635,2)="13",DATE(RIGHT(C635,4),12,31),C635),IPCA!$A:$D,4,FALSE),1)*D635))</f>
        <v/>
      </c>
      <c r="F635" s="4" t="str">
        <f ca="1">IF(C635="","",IFERROR(AVERAGEIF(E$5:$E635,"&gt;="&amp;_xlfn.PERCENTILE.EXC(E$5:$E635,0.2)),0))</f>
        <v/>
      </c>
      <c r="G635" s="4" t="str">
        <f ca="1">IF(C635="","",IFERROR(AVERAGEIF($E$5:E635,"&gt;"&amp;0,$E$5:E635),0))</f>
        <v/>
      </c>
    </row>
    <row r="636" spans="2:7" x14ac:dyDescent="0.3">
      <c r="B636" s="18">
        <v>632</v>
      </c>
      <c r="C636" s="21" t="str">
        <f ca="1">IFERROR(IF(LEFT(C635,2)="13",DATE(RIGHT(C635,4),12,31),IF(EOMONTH(C635,1)&gt;PREMISSAS!$C$3,"",IF(MONTH(C635)=11,"13º "&amp;YEAR(C635),EOMONTH(C635,1)))),"")</f>
        <v/>
      </c>
      <c r="D636" s="22">
        <f ca="1">VLOOKUP(C636,Preencher_Salários!$D$7:$E$656,2,FALSE)</f>
        <v>0</v>
      </c>
      <c r="E636" s="4" t="str">
        <f ca="1">IF(D636=0,"",IF(IF(ISTEXT(C636),DATE(RIGHT(C636,4),12,31),C636)&lt;PREMISSAS!$D$7,"",IFERROR(VLOOKUP(IF(LEFT(C636,2)="13",DATE(RIGHT(C636,4),12,31),C636),IPCA!$A:$D,4,FALSE),1)*D636))</f>
        <v/>
      </c>
      <c r="F636" s="4" t="str">
        <f ca="1">IF(C636="","",IFERROR(AVERAGEIF(E$5:$E636,"&gt;="&amp;_xlfn.PERCENTILE.EXC(E$5:$E636,0.2)),0))</f>
        <v/>
      </c>
      <c r="G636" s="4" t="str">
        <f ca="1">IF(C636="","",IFERROR(AVERAGEIF($E$5:E636,"&gt;"&amp;0,$E$5:E636),0))</f>
        <v/>
      </c>
    </row>
    <row r="637" spans="2:7" x14ac:dyDescent="0.3">
      <c r="B637" s="18">
        <v>633</v>
      </c>
      <c r="C637" s="21" t="str">
        <f ca="1">IFERROR(IF(LEFT(C636,2)="13",DATE(RIGHT(C636,4),12,31),IF(EOMONTH(C636,1)&gt;PREMISSAS!$C$3,"",IF(MONTH(C636)=11,"13º "&amp;YEAR(C636),EOMONTH(C636,1)))),"")</f>
        <v/>
      </c>
      <c r="D637" s="22">
        <f ca="1">VLOOKUP(C637,Preencher_Salários!$D$7:$E$656,2,FALSE)</f>
        <v>0</v>
      </c>
      <c r="E637" s="4" t="str">
        <f ca="1">IF(D637=0,"",IF(IF(ISTEXT(C637),DATE(RIGHT(C637,4),12,31),C637)&lt;PREMISSAS!$D$7,"",IFERROR(VLOOKUP(IF(LEFT(C637,2)="13",DATE(RIGHT(C637,4),12,31),C637),IPCA!$A:$D,4,FALSE),1)*D637))</f>
        <v/>
      </c>
      <c r="F637" s="4" t="str">
        <f ca="1">IF(C637="","",IFERROR(AVERAGEIF(E$5:$E637,"&gt;="&amp;_xlfn.PERCENTILE.EXC(E$5:$E637,0.2)),0))</f>
        <v/>
      </c>
      <c r="G637" s="4" t="str">
        <f ca="1">IF(C637="","",IFERROR(AVERAGEIF($E$5:E637,"&gt;"&amp;0,$E$5:E637),0))</f>
        <v/>
      </c>
    </row>
    <row r="638" spans="2:7" x14ac:dyDescent="0.3">
      <c r="B638" s="18">
        <v>634</v>
      </c>
      <c r="C638" s="21" t="str">
        <f ca="1">IFERROR(IF(LEFT(C637,2)="13",DATE(RIGHT(C637,4),12,31),IF(EOMONTH(C637,1)&gt;PREMISSAS!$C$3,"",IF(MONTH(C637)=11,"13º "&amp;YEAR(C637),EOMONTH(C637,1)))),"")</f>
        <v/>
      </c>
      <c r="D638" s="22">
        <f ca="1">VLOOKUP(C638,Preencher_Salários!$D$7:$E$656,2,FALSE)</f>
        <v>0</v>
      </c>
      <c r="E638" s="4" t="str">
        <f ca="1">IF(D638=0,"",IF(IF(ISTEXT(C638),DATE(RIGHT(C638,4),12,31),C638)&lt;PREMISSAS!$D$7,"",IFERROR(VLOOKUP(IF(LEFT(C638,2)="13",DATE(RIGHT(C638,4),12,31),C638),IPCA!$A:$D,4,FALSE),1)*D638))</f>
        <v/>
      </c>
      <c r="F638" s="4" t="str">
        <f ca="1">IF(C638="","",IFERROR(AVERAGEIF(E$5:$E638,"&gt;="&amp;_xlfn.PERCENTILE.EXC(E$5:$E638,0.2)),0))</f>
        <v/>
      </c>
      <c r="G638" s="4" t="str">
        <f ca="1">IF(C638="","",IFERROR(AVERAGEIF($E$5:E638,"&gt;"&amp;0,$E$5:E638),0))</f>
        <v/>
      </c>
    </row>
    <row r="639" spans="2:7" x14ac:dyDescent="0.3">
      <c r="B639" s="18">
        <v>635</v>
      </c>
      <c r="C639" s="21" t="str">
        <f ca="1">IFERROR(IF(LEFT(C638,2)="13",DATE(RIGHT(C638,4),12,31),IF(EOMONTH(C638,1)&gt;PREMISSAS!$C$3,"",IF(MONTH(C638)=11,"13º "&amp;YEAR(C638),EOMONTH(C638,1)))),"")</f>
        <v/>
      </c>
      <c r="D639" s="22">
        <f ca="1">VLOOKUP(C639,Preencher_Salários!$D$7:$E$656,2,FALSE)</f>
        <v>0</v>
      </c>
      <c r="E639" s="4" t="str">
        <f ca="1">IF(D639=0,"",IF(IF(ISTEXT(C639),DATE(RIGHT(C639,4),12,31),C639)&lt;PREMISSAS!$D$7,"",IFERROR(VLOOKUP(IF(LEFT(C639,2)="13",DATE(RIGHT(C639,4),12,31),C639),IPCA!$A:$D,4,FALSE),1)*D639))</f>
        <v/>
      </c>
      <c r="F639" s="4" t="str">
        <f ca="1">IF(C639="","",IFERROR(AVERAGEIF(E$5:$E639,"&gt;="&amp;_xlfn.PERCENTILE.EXC(E$5:$E639,0.2)),0))</f>
        <v/>
      </c>
      <c r="G639" s="4" t="str">
        <f ca="1">IF(C639="","",IFERROR(AVERAGEIF($E$5:E639,"&gt;"&amp;0,$E$5:E639),0))</f>
        <v/>
      </c>
    </row>
    <row r="640" spans="2:7" x14ac:dyDescent="0.3">
      <c r="B640" s="18">
        <v>636</v>
      </c>
      <c r="C640" s="21" t="str">
        <f ca="1">IFERROR(IF(LEFT(C639,2)="13",DATE(RIGHT(C639,4),12,31),IF(EOMONTH(C639,1)&gt;PREMISSAS!$C$3,"",IF(MONTH(C639)=11,"13º "&amp;YEAR(C639),EOMONTH(C639,1)))),"")</f>
        <v/>
      </c>
      <c r="D640" s="22">
        <f ca="1">VLOOKUP(C640,Preencher_Salários!$D$7:$E$656,2,FALSE)</f>
        <v>0</v>
      </c>
      <c r="E640" s="4" t="str">
        <f ca="1">IF(D640=0,"",IF(IF(ISTEXT(C640),DATE(RIGHT(C640,4),12,31),C640)&lt;PREMISSAS!$D$7,"",IFERROR(VLOOKUP(IF(LEFT(C640,2)="13",DATE(RIGHT(C640,4),12,31),C640),IPCA!$A:$D,4,FALSE),1)*D640))</f>
        <v/>
      </c>
      <c r="F640" s="4" t="str">
        <f ca="1">IF(C640="","",IFERROR(AVERAGEIF(E$5:$E640,"&gt;="&amp;_xlfn.PERCENTILE.EXC(E$5:$E640,0.2)),0))</f>
        <v/>
      </c>
      <c r="G640" s="4" t="str">
        <f ca="1">IF(C640="","",IFERROR(AVERAGEIF($E$5:E640,"&gt;"&amp;0,$E$5:E640),0))</f>
        <v/>
      </c>
    </row>
    <row r="641" spans="2:7" x14ac:dyDescent="0.3">
      <c r="B641" s="18">
        <v>637</v>
      </c>
      <c r="C641" s="21" t="str">
        <f ca="1">IFERROR(IF(LEFT(C640,2)="13",DATE(RIGHT(C640,4),12,31),IF(EOMONTH(C640,1)&gt;PREMISSAS!$C$3,"",IF(MONTH(C640)=11,"13º "&amp;YEAR(C640),EOMONTH(C640,1)))),"")</f>
        <v/>
      </c>
      <c r="D641" s="22">
        <f ca="1">VLOOKUP(C641,Preencher_Salários!$D$7:$E$656,2,FALSE)</f>
        <v>0</v>
      </c>
      <c r="E641" s="4" t="str">
        <f ca="1">IF(D641=0,"",IF(IF(ISTEXT(C641),DATE(RIGHT(C641,4),12,31),C641)&lt;PREMISSAS!$D$7,"",IFERROR(VLOOKUP(IF(LEFT(C641,2)="13",DATE(RIGHT(C641,4),12,31),C641),IPCA!$A:$D,4,FALSE),1)*D641))</f>
        <v/>
      </c>
      <c r="F641" s="4" t="str">
        <f ca="1">IF(C641="","",IFERROR(AVERAGEIF(E$5:$E641,"&gt;="&amp;_xlfn.PERCENTILE.EXC(E$5:$E641,0.2)),0))</f>
        <v/>
      </c>
      <c r="G641" s="4" t="str">
        <f ca="1">IF(C641="","",IFERROR(AVERAGEIF($E$5:E641,"&gt;"&amp;0,$E$5:E641),0))</f>
        <v/>
      </c>
    </row>
    <row r="642" spans="2:7" x14ac:dyDescent="0.3">
      <c r="B642" s="18">
        <v>638</v>
      </c>
      <c r="C642" s="21" t="str">
        <f ca="1">IFERROR(IF(LEFT(C641,2)="13",DATE(RIGHT(C641,4),12,31),IF(EOMONTH(C641,1)&gt;PREMISSAS!$C$3,"",IF(MONTH(C641)=11,"13º "&amp;YEAR(C641),EOMONTH(C641,1)))),"")</f>
        <v/>
      </c>
      <c r="D642" s="22">
        <f ca="1">VLOOKUP(C642,Preencher_Salários!$D$7:$E$656,2,FALSE)</f>
        <v>0</v>
      </c>
      <c r="E642" s="4" t="str">
        <f ca="1">IF(D642=0,"",IF(IF(ISTEXT(C642),DATE(RIGHT(C642,4),12,31),C642)&lt;PREMISSAS!$D$7,"",IFERROR(VLOOKUP(IF(LEFT(C642,2)="13",DATE(RIGHT(C642,4),12,31),C642),IPCA!$A:$D,4,FALSE),1)*D642))</f>
        <v/>
      </c>
      <c r="F642" s="4" t="str">
        <f ca="1">IF(C642="","",IFERROR(AVERAGEIF(E$5:$E642,"&gt;="&amp;_xlfn.PERCENTILE.EXC(E$5:$E642,0.2)),0))</f>
        <v/>
      </c>
      <c r="G642" s="4" t="str">
        <f ca="1">IF(C642="","",IFERROR(AVERAGEIF($E$5:E642,"&gt;"&amp;0,$E$5:E642),0))</f>
        <v/>
      </c>
    </row>
    <row r="643" spans="2:7" x14ac:dyDescent="0.3">
      <c r="B643" s="18">
        <v>639</v>
      </c>
      <c r="C643" s="21" t="str">
        <f ca="1">IFERROR(IF(LEFT(C642,2)="13",DATE(RIGHT(C642,4),12,31),IF(EOMONTH(C642,1)&gt;PREMISSAS!$C$3,"",IF(MONTH(C642)=11,"13º "&amp;YEAR(C642),EOMONTH(C642,1)))),"")</f>
        <v/>
      </c>
      <c r="D643" s="22">
        <f ca="1">VLOOKUP(C643,Preencher_Salários!$D$7:$E$656,2,FALSE)</f>
        <v>0</v>
      </c>
      <c r="E643" s="4" t="str">
        <f ca="1">IF(D643=0,"",IF(IF(ISTEXT(C643),DATE(RIGHT(C643,4),12,31),C643)&lt;PREMISSAS!$D$7,"",IFERROR(VLOOKUP(IF(LEFT(C643,2)="13",DATE(RIGHT(C643,4),12,31),C643),IPCA!$A:$D,4,FALSE),1)*D643))</f>
        <v/>
      </c>
      <c r="F643" s="4" t="str">
        <f ca="1">IF(C643="","",IFERROR(AVERAGEIF(E$5:$E643,"&gt;="&amp;_xlfn.PERCENTILE.EXC(E$5:$E643,0.2)),0))</f>
        <v/>
      </c>
      <c r="G643" s="4" t="str">
        <f ca="1">IF(C643="","",IFERROR(AVERAGEIF($E$5:E643,"&gt;"&amp;0,$E$5:E643),0))</f>
        <v/>
      </c>
    </row>
    <row r="644" spans="2:7" x14ac:dyDescent="0.3">
      <c r="B644" s="18">
        <v>640</v>
      </c>
      <c r="C644" s="21" t="str">
        <f ca="1">IFERROR(IF(LEFT(C643,2)="13",DATE(RIGHT(C643,4),12,31),IF(EOMONTH(C643,1)&gt;PREMISSAS!$C$3,"",IF(MONTH(C643)=11,"13º "&amp;YEAR(C643),EOMONTH(C643,1)))),"")</f>
        <v/>
      </c>
      <c r="D644" s="22">
        <f ca="1">VLOOKUP(C644,Preencher_Salários!$D$7:$E$656,2,FALSE)</f>
        <v>0</v>
      </c>
      <c r="E644" s="4" t="str">
        <f ca="1">IF(D644=0,"",IF(IF(ISTEXT(C644),DATE(RIGHT(C644,4),12,31),C644)&lt;PREMISSAS!$D$7,"",IFERROR(VLOOKUP(IF(LEFT(C644,2)="13",DATE(RIGHT(C644,4),12,31),C644),IPCA!$A:$D,4,FALSE),1)*D644))</f>
        <v/>
      </c>
      <c r="F644" s="4" t="str">
        <f ca="1">IF(C644="","",IFERROR(AVERAGEIF(E$5:$E644,"&gt;="&amp;_xlfn.PERCENTILE.EXC(E$5:$E644,0.2)),0))</f>
        <v/>
      </c>
      <c r="G644" s="4" t="str">
        <f ca="1">IF(C644="","",IFERROR(AVERAGEIF($E$5:E644,"&gt;"&amp;0,$E$5:E644),0))</f>
        <v/>
      </c>
    </row>
    <row r="645" spans="2:7" x14ac:dyDescent="0.3">
      <c r="B645" s="18">
        <v>641</v>
      </c>
      <c r="C645" s="21" t="str">
        <f ca="1">IFERROR(IF(LEFT(C644,2)="13",DATE(RIGHT(C644,4),12,31),IF(EOMONTH(C644,1)&gt;PREMISSAS!$C$3,"",IF(MONTH(C644)=11,"13º "&amp;YEAR(C644),EOMONTH(C644,1)))),"")</f>
        <v/>
      </c>
      <c r="D645" s="22">
        <f ca="1">VLOOKUP(C645,Preencher_Salários!$D$7:$E$656,2,FALSE)</f>
        <v>0</v>
      </c>
      <c r="E645" s="4" t="str">
        <f ca="1">IF(D645=0,"",IF(IF(ISTEXT(C645),DATE(RIGHT(C645,4),12,31),C645)&lt;PREMISSAS!$D$7,"",IFERROR(VLOOKUP(IF(LEFT(C645,2)="13",DATE(RIGHT(C645,4),12,31),C645),IPCA!$A:$D,4,FALSE),1)*D645))</f>
        <v/>
      </c>
      <c r="F645" s="4" t="str">
        <f ca="1">IF(C645="","",IFERROR(AVERAGEIF(E$5:$E645,"&gt;="&amp;_xlfn.PERCENTILE.EXC(E$5:$E645,0.2)),0))</f>
        <v/>
      </c>
      <c r="G645" s="4" t="str">
        <f ca="1">IF(C645="","",IFERROR(AVERAGEIF($E$5:E645,"&gt;"&amp;0,$E$5:E645),0))</f>
        <v/>
      </c>
    </row>
    <row r="646" spans="2:7" x14ac:dyDescent="0.3">
      <c r="B646" s="18">
        <v>642</v>
      </c>
      <c r="C646" s="21" t="str">
        <f ca="1">IFERROR(IF(LEFT(C645,2)="13",DATE(RIGHT(C645,4),12,31),IF(EOMONTH(C645,1)&gt;PREMISSAS!$C$3,"",IF(MONTH(C645)=11,"13º "&amp;YEAR(C645),EOMONTH(C645,1)))),"")</f>
        <v/>
      </c>
      <c r="D646" s="22">
        <f ca="1">VLOOKUP(C646,Preencher_Salários!$D$7:$E$656,2,FALSE)</f>
        <v>0</v>
      </c>
      <c r="E646" s="4" t="str">
        <f ca="1">IF(D646=0,"",IF(IF(ISTEXT(C646),DATE(RIGHT(C646,4),12,31),C646)&lt;PREMISSAS!$D$7,"",IFERROR(VLOOKUP(IF(LEFT(C646,2)="13",DATE(RIGHT(C646,4),12,31),C646),IPCA!$A:$D,4,FALSE),1)*D646))</f>
        <v/>
      </c>
      <c r="F646" s="4" t="str">
        <f ca="1">IF(C646="","",IFERROR(AVERAGEIF(E$5:$E646,"&gt;="&amp;_xlfn.PERCENTILE.EXC(E$5:$E646,0.2)),0))</f>
        <v/>
      </c>
      <c r="G646" s="4" t="str">
        <f ca="1">IF(C646="","",IFERROR(AVERAGEIF($E$5:E646,"&gt;"&amp;0,$E$5:E646),0))</f>
        <v/>
      </c>
    </row>
    <row r="647" spans="2:7" x14ac:dyDescent="0.3">
      <c r="B647" s="18">
        <v>643</v>
      </c>
      <c r="C647" s="21" t="str">
        <f ca="1">IFERROR(IF(LEFT(C646,2)="13",DATE(RIGHT(C646,4),12,31),IF(EOMONTH(C646,1)&gt;PREMISSAS!$C$3,"",IF(MONTH(C646)=11,"13º "&amp;YEAR(C646),EOMONTH(C646,1)))),"")</f>
        <v/>
      </c>
      <c r="D647" s="22">
        <f ca="1">VLOOKUP(C647,Preencher_Salários!$D$7:$E$656,2,FALSE)</f>
        <v>0</v>
      </c>
      <c r="E647" s="4" t="str">
        <f ca="1">IF(D647=0,"",IF(IF(ISTEXT(C647),DATE(RIGHT(C647,4),12,31),C647)&lt;PREMISSAS!$D$7,"",IFERROR(VLOOKUP(IF(LEFT(C647,2)="13",DATE(RIGHT(C647,4),12,31),C647),IPCA!$A:$D,4,FALSE),1)*D647))</f>
        <v/>
      </c>
      <c r="F647" s="4" t="str">
        <f ca="1">IF(C647="","",IFERROR(AVERAGEIF(E$5:$E647,"&gt;="&amp;_xlfn.PERCENTILE.EXC(E$5:$E647,0.2)),0))</f>
        <v/>
      </c>
      <c r="G647" s="4" t="str">
        <f ca="1">IF(C647="","",IFERROR(AVERAGEIF($E$5:E647,"&gt;"&amp;0,$E$5:E647),0))</f>
        <v/>
      </c>
    </row>
    <row r="648" spans="2:7" x14ac:dyDescent="0.3">
      <c r="B648" s="18">
        <v>644</v>
      </c>
      <c r="C648" s="21" t="str">
        <f ca="1">IFERROR(IF(LEFT(C647,2)="13",DATE(RIGHT(C647,4),12,31),IF(EOMONTH(C647,1)&gt;PREMISSAS!$C$3,"",IF(MONTH(C647)=11,"13º "&amp;YEAR(C647),EOMONTH(C647,1)))),"")</f>
        <v/>
      </c>
      <c r="D648" s="22">
        <f ca="1">VLOOKUP(C648,Preencher_Salários!$D$7:$E$656,2,FALSE)</f>
        <v>0</v>
      </c>
      <c r="E648" s="4" t="str">
        <f ca="1">IF(D648=0,"",IF(IF(ISTEXT(C648),DATE(RIGHT(C648,4),12,31),C648)&lt;PREMISSAS!$D$7,"",IFERROR(VLOOKUP(IF(LEFT(C648,2)="13",DATE(RIGHT(C648,4),12,31),C648),IPCA!$A:$D,4,FALSE),1)*D648))</f>
        <v/>
      </c>
      <c r="F648" s="4" t="str">
        <f ca="1">IF(C648="","",IFERROR(AVERAGEIF(E$5:$E648,"&gt;="&amp;_xlfn.PERCENTILE.EXC(E$5:$E648,0.2)),0))</f>
        <v/>
      </c>
      <c r="G648" s="4" t="str">
        <f ca="1">IF(C648="","",IFERROR(AVERAGEIF($E$5:E648,"&gt;"&amp;0,$E$5:E648),0))</f>
        <v/>
      </c>
    </row>
    <row r="649" spans="2:7" x14ac:dyDescent="0.3">
      <c r="B649" s="18">
        <v>645</v>
      </c>
      <c r="C649" s="21" t="str">
        <f ca="1">IFERROR(IF(LEFT(C648,2)="13",DATE(RIGHT(C648,4),12,31),IF(EOMONTH(C648,1)&gt;PREMISSAS!$C$3,"",IF(MONTH(C648)=11,"13º "&amp;YEAR(C648),EOMONTH(C648,1)))),"")</f>
        <v/>
      </c>
      <c r="D649" s="22">
        <f ca="1">VLOOKUP(C649,Preencher_Salários!$D$7:$E$656,2,FALSE)</f>
        <v>0</v>
      </c>
      <c r="E649" s="4" t="str">
        <f ca="1">IF(D649=0,"",IF(IF(ISTEXT(C649),DATE(RIGHT(C649,4),12,31),C649)&lt;PREMISSAS!$D$7,"",IFERROR(VLOOKUP(IF(LEFT(C649,2)="13",DATE(RIGHT(C649,4),12,31),C649),IPCA!$A:$D,4,FALSE),1)*D649))</f>
        <v/>
      </c>
      <c r="F649" s="4" t="str">
        <f ca="1">IF(C649="","",IFERROR(AVERAGEIF(E$5:$E649,"&gt;="&amp;_xlfn.PERCENTILE.EXC(E$5:$E649,0.2)),0))</f>
        <v/>
      </c>
      <c r="G649" s="4" t="str">
        <f ca="1">IF(C649="","",IFERROR(AVERAGEIF($E$5:E649,"&gt;"&amp;0,$E$5:E649),0))</f>
        <v/>
      </c>
    </row>
    <row r="650" spans="2:7" x14ac:dyDescent="0.3">
      <c r="B650" s="18">
        <v>646</v>
      </c>
      <c r="C650" s="21" t="str">
        <f ca="1">IFERROR(IF(LEFT(C649,2)="13",DATE(RIGHT(C649,4),12,31),IF(EOMONTH(C649,1)&gt;PREMISSAS!$C$3,"",IF(MONTH(C649)=11,"13º "&amp;YEAR(C649),EOMONTH(C649,1)))),"")</f>
        <v/>
      </c>
      <c r="D650" s="22">
        <f ca="1">VLOOKUP(C650,Preencher_Salários!$D$7:$E$656,2,FALSE)</f>
        <v>0</v>
      </c>
      <c r="E650" s="4" t="str">
        <f ca="1">IF(D650=0,"",IF(IF(ISTEXT(C650),DATE(RIGHT(C650,4),12,31),C650)&lt;PREMISSAS!$D$7,"",IFERROR(VLOOKUP(IF(LEFT(C650,2)="13",DATE(RIGHT(C650,4),12,31),C650),IPCA!$A:$D,4,FALSE),1)*D650))</f>
        <v/>
      </c>
      <c r="F650" s="4" t="str">
        <f ca="1">IF(C650="","",IFERROR(AVERAGEIF(E$5:$E650,"&gt;="&amp;_xlfn.PERCENTILE.EXC(E$5:$E650,0.2)),0))</f>
        <v/>
      </c>
      <c r="G650" s="4" t="str">
        <f ca="1">IF(C650="","",IFERROR(AVERAGEIF($E$5:E650,"&gt;"&amp;0,$E$5:E650),0))</f>
        <v/>
      </c>
    </row>
    <row r="651" spans="2:7" x14ac:dyDescent="0.3">
      <c r="B651" s="18">
        <v>647</v>
      </c>
      <c r="C651" s="21" t="str">
        <f ca="1">IFERROR(IF(LEFT(C650,2)="13",DATE(RIGHT(C650,4),12,31),IF(EOMONTH(C650,1)&gt;PREMISSAS!$C$3,"",IF(MONTH(C650)=11,"13º "&amp;YEAR(C650),EOMONTH(C650,1)))),"")</f>
        <v/>
      </c>
      <c r="D651" s="22">
        <f ca="1">VLOOKUP(C651,Preencher_Salários!$D$7:$E$656,2,FALSE)</f>
        <v>0</v>
      </c>
      <c r="E651" s="4" t="str">
        <f ca="1">IF(D651=0,"",IF(IF(ISTEXT(C651),DATE(RIGHT(C651,4),12,31),C651)&lt;PREMISSAS!$D$7,"",IFERROR(VLOOKUP(IF(LEFT(C651,2)="13",DATE(RIGHT(C651,4),12,31),C651),IPCA!$A:$D,4,FALSE),1)*D651))</f>
        <v/>
      </c>
      <c r="F651" s="4" t="str">
        <f ca="1">IF(C651="","",IFERROR(AVERAGEIF(E$5:$E651,"&gt;="&amp;_xlfn.PERCENTILE.EXC(E$5:$E651,0.2)),0))</f>
        <v/>
      </c>
      <c r="G651" s="4" t="str">
        <f ca="1">IF(C651="","",IFERROR(AVERAGEIF($E$5:E651,"&gt;"&amp;0,$E$5:E651),0))</f>
        <v/>
      </c>
    </row>
    <row r="652" spans="2:7" x14ac:dyDescent="0.3">
      <c r="B652" s="18">
        <v>648</v>
      </c>
      <c r="C652" s="21" t="str">
        <f ca="1">IFERROR(IF(LEFT(C651,2)="13",DATE(RIGHT(C651,4),12,31),IF(EOMONTH(C651,1)&gt;PREMISSAS!$C$3,"",IF(MONTH(C651)=11,"13º "&amp;YEAR(C651),EOMONTH(C651,1)))),"")</f>
        <v/>
      </c>
      <c r="D652" s="22">
        <f ca="1">VLOOKUP(C652,Preencher_Salários!$D$7:$E$656,2,FALSE)</f>
        <v>0</v>
      </c>
      <c r="E652" s="4" t="str">
        <f ca="1">IF(D652=0,"",IF(IF(ISTEXT(C652),DATE(RIGHT(C652,4),12,31),C652)&lt;PREMISSAS!$D$7,"",IFERROR(VLOOKUP(IF(LEFT(C652,2)="13",DATE(RIGHT(C652,4),12,31),C652),IPCA!$A:$D,4,FALSE),1)*D652))</f>
        <v/>
      </c>
      <c r="F652" s="4" t="str">
        <f ca="1">IF(C652="","",IFERROR(AVERAGEIF(E$5:$E652,"&gt;="&amp;_xlfn.PERCENTILE.EXC(E$5:$E652,0.2)),0))</f>
        <v/>
      </c>
      <c r="G652" s="4" t="str">
        <f ca="1">IF(C652="","",IFERROR(AVERAGEIF($E$5:E652,"&gt;"&amp;0,$E$5:E652),0))</f>
        <v/>
      </c>
    </row>
    <row r="653" spans="2:7" x14ac:dyDescent="0.3">
      <c r="B653" s="18">
        <v>649</v>
      </c>
      <c r="C653" s="21" t="str">
        <f ca="1">IFERROR(IF(LEFT(C652,2)="13",DATE(RIGHT(C652,4),12,31),IF(EOMONTH(C652,1)&gt;PREMISSAS!$C$3,"",IF(MONTH(C652)=11,"13º "&amp;YEAR(C652),EOMONTH(C652,1)))),"")</f>
        <v/>
      </c>
      <c r="D653" s="22">
        <f ca="1">VLOOKUP(C653,Preencher_Salários!$D$7:$E$656,2,FALSE)</f>
        <v>0</v>
      </c>
      <c r="E653" s="4" t="str">
        <f ca="1">IF(D653=0,"",IF(IF(ISTEXT(C653),DATE(RIGHT(C653,4),12,31),C653)&lt;PREMISSAS!$D$7,"",IFERROR(VLOOKUP(IF(LEFT(C653,2)="13",DATE(RIGHT(C653,4),12,31),C653),IPCA!$A:$D,4,FALSE),1)*D653))</f>
        <v/>
      </c>
      <c r="F653" s="4" t="str">
        <f ca="1">IF(C653="","",IFERROR(AVERAGEIF(E$5:$E653,"&gt;="&amp;_xlfn.PERCENTILE.EXC(E$5:$E653,0.2)),0))</f>
        <v/>
      </c>
      <c r="G653" s="4" t="str">
        <f ca="1">IF(C653="","",IFERROR(AVERAGEIF($E$5:E653,"&gt;"&amp;0,$E$5:E653),0))</f>
        <v/>
      </c>
    </row>
    <row r="654" spans="2:7" x14ac:dyDescent="0.3">
      <c r="B654" s="18">
        <v>650</v>
      </c>
      <c r="C654" s="21" t="str">
        <f ca="1">IFERROR(IF(LEFT(C653,2)="13",DATE(RIGHT(C653,4),12,31),IF(EOMONTH(C653,1)&gt;PREMISSAS!$C$3,"",IF(MONTH(C653)=11,"13º "&amp;YEAR(C653),EOMONTH(C653,1)))),"")</f>
        <v/>
      </c>
      <c r="D654" s="22">
        <f ca="1">VLOOKUP(C654,Preencher_Salários!$D$7:$E$656,2,FALSE)</f>
        <v>0</v>
      </c>
      <c r="E654" s="4" t="str">
        <f ca="1">IF(D654=0,"",IF(IF(ISTEXT(C654),DATE(RIGHT(C654,4),12,31),C654)&lt;PREMISSAS!$D$7,"",IFERROR(VLOOKUP(IF(LEFT(C654,2)="13",DATE(RIGHT(C654,4),12,31),C654),IPCA!$A:$D,4,FALSE),1)*D654))</f>
        <v/>
      </c>
      <c r="F654" s="4" t="str">
        <f ca="1">IF(C654="","",IFERROR(AVERAGEIF(E$5:$E654,"&gt;="&amp;_xlfn.PERCENTILE.EXC(E$5:$E654,0.2)),0))</f>
        <v/>
      </c>
      <c r="G654" s="4" t="str">
        <f ca="1">IF(C654="","",IFERROR(AVERAGEIF($E$5:E654,"&gt;"&amp;0,$E$5:E654),0))</f>
        <v/>
      </c>
    </row>
  </sheetData>
  <mergeCells count="1">
    <mergeCell ref="B3:G3"/>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5"/>
  <dimension ref="B2:AA700"/>
  <sheetViews>
    <sheetView zoomScaleNormal="100" workbookViewId="0">
      <selection activeCell="B2" sqref="B2"/>
    </sheetView>
  </sheetViews>
  <sheetFormatPr defaultRowHeight="14.4" x14ac:dyDescent="0.3"/>
  <cols>
    <col min="2" max="2" width="12.44140625" customWidth="1"/>
    <col min="3" max="3" width="17.5546875" customWidth="1"/>
    <col min="4" max="4" width="15.6640625" customWidth="1"/>
    <col min="5" max="5" width="16.44140625" bestFit="1" customWidth="1"/>
    <col min="6" max="6" width="22.44140625" bestFit="1" customWidth="1"/>
    <col min="7" max="7" width="22.44140625" customWidth="1"/>
    <col min="8" max="8" width="18.109375" customWidth="1"/>
    <col min="9" max="9" width="13.33203125" bestFit="1" customWidth="1"/>
    <col min="10" max="10" width="13.109375" bestFit="1" customWidth="1"/>
    <col min="11" max="11" width="13.33203125" bestFit="1" customWidth="1"/>
    <col min="12" max="12" width="11.5546875" bestFit="1" customWidth="1"/>
    <col min="13" max="13" width="2.33203125" customWidth="1"/>
    <col min="14" max="14" width="14.33203125" bestFit="1" customWidth="1"/>
    <col min="16" max="16" width="10.6640625" bestFit="1" customWidth="1"/>
    <col min="17" max="19" width="19.5546875" customWidth="1"/>
    <col min="21" max="21" width="10.6640625" bestFit="1" customWidth="1"/>
    <col min="22" max="22" width="17.88671875" bestFit="1" customWidth="1"/>
    <col min="23" max="23" width="13.33203125" bestFit="1" customWidth="1"/>
    <col min="24" max="24" width="11.5546875" bestFit="1" customWidth="1"/>
    <col min="25" max="25" width="13.33203125" bestFit="1" customWidth="1"/>
    <col min="26" max="27" width="15.109375" customWidth="1"/>
  </cols>
  <sheetData>
    <row r="2" spans="2:27" x14ac:dyDescent="0.3">
      <c r="P2" s="392" t="s">
        <v>207</v>
      </c>
      <c r="Q2" s="392"/>
      <c r="R2" s="392"/>
      <c r="S2" s="392"/>
      <c r="U2" s="393" t="s">
        <v>208</v>
      </c>
      <c r="V2" s="393"/>
      <c r="W2" s="393"/>
      <c r="X2" s="393"/>
      <c r="Y2" s="393"/>
      <c r="Z2" s="393"/>
      <c r="AA2" s="393"/>
    </row>
    <row r="3" spans="2:27" x14ac:dyDescent="0.3">
      <c r="B3" s="382" t="s">
        <v>37</v>
      </c>
      <c r="C3" s="382"/>
      <c r="D3" s="388" t="s">
        <v>115</v>
      </c>
      <c r="E3" s="389" t="s">
        <v>119</v>
      </c>
      <c r="F3" s="390"/>
      <c r="G3" s="391"/>
      <c r="H3" s="63" t="s">
        <v>120</v>
      </c>
      <c r="AA3" s="135">
        <f ca="1">NPV(PREMISSAS!C17,'CÁLCULO FUNPRESP'!AA5:AA700)</f>
        <v>0</v>
      </c>
    </row>
    <row r="4" spans="2:27" ht="28.8" x14ac:dyDescent="0.3">
      <c r="B4" s="27" t="s">
        <v>21</v>
      </c>
      <c r="C4" s="27" t="s">
        <v>3</v>
      </c>
      <c r="D4" s="388"/>
      <c r="E4" s="27" t="s">
        <v>118</v>
      </c>
      <c r="F4" s="27" t="s">
        <v>121</v>
      </c>
      <c r="G4" s="27" t="s">
        <v>162</v>
      </c>
      <c r="H4" s="27" t="s">
        <v>118</v>
      </c>
      <c r="I4" s="27" t="s">
        <v>127</v>
      </c>
      <c r="J4" s="27" t="s">
        <v>128</v>
      </c>
      <c r="K4" s="27" t="s">
        <v>125</v>
      </c>
      <c r="L4" s="27" t="s">
        <v>126</v>
      </c>
      <c r="N4" s="280" t="s">
        <v>148</v>
      </c>
      <c r="P4" s="132" t="s">
        <v>21</v>
      </c>
      <c r="Q4" s="129" t="s">
        <v>206</v>
      </c>
      <c r="R4" s="129" t="s">
        <v>205</v>
      </c>
      <c r="S4" s="129" t="s">
        <v>204</v>
      </c>
      <c r="U4" s="132" t="s">
        <v>21</v>
      </c>
      <c r="V4" s="132" t="s">
        <v>212</v>
      </c>
      <c r="W4" s="132" t="s">
        <v>125</v>
      </c>
      <c r="X4" s="132" t="s">
        <v>126</v>
      </c>
      <c r="Y4" s="133" t="s">
        <v>209</v>
      </c>
      <c r="Z4" s="133" t="s">
        <v>210</v>
      </c>
      <c r="AA4" s="133" t="s">
        <v>211</v>
      </c>
    </row>
    <row r="5" spans="2:27" x14ac:dyDescent="0.3">
      <c r="B5" s="21">
        <f ca="1">EOMONTH(PREMISSAS!C3,0)</f>
        <v>44895</v>
      </c>
      <c r="C5" s="22">
        <f ca="1">RESULTADOS!C7</f>
        <v>0</v>
      </c>
      <c r="D5" s="22">
        <f ca="1">IF(RESULTADOS!$C$17="Normal",
IFERROR(MAX(C5-PREMISSAS!$C$14,0),0),
IF(PREMISSAS!$H$117=0,0,MAX(10*PREMISSAS!$C$39,RESULTADOS!$F$17)))</f>
        <v>0</v>
      </c>
      <c r="E5" s="4">
        <f ca="1">D5*IF(RESULTADOS!$C$17="Normal",RESULTADOS!$C$16,0)</f>
        <v>0</v>
      </c>
      <c r="F5" s="4">
        <f ca="1">IF(D5&lt;&gt;0,PREMISSAS!$N$83,0)</f>
        <v>0</v>
      </c>
      <c r="G5" s="4">
        <f ca="1">IFERROR(IF(RESULTADOS!$C$17="Normal",0,D5)*IF(RESULTADOS!$C$17="Normal",RESULTADOS!$C$18,RESULTADOS!$C$16),0)</f>
        <v>0</v>
      </c>
      <c r="H5" s="4">
        <f ca="1">IF(RESULTADOS!$C$17="Normal",E5,0)</f>
        <v>0</v>
      </c>
      <c r="I5" s="4">
        <f ca="1">(E5+H5+G5)*IFERROR(VLOOKUP(INT(COUNT($B$5:B5)/12),PREMISSAS!$B$62:$C$69,2,FALSE),PREMISSAS!$C$69)</f>
        <v>0</v>
      </c>
      <c r="J5" s="4">
        <f ca="1">D5*IF(RESULTADOS!$C$17="Normal",PREMISSAS!$C$71,0)</f>
        <v>0</v>
      </c>
      <c r="K5" s="87">
        <f ca="1">(E5+H5-IF(RESULTADOS!$C$17="Normal",I5,0)-J5)*IF(MONTH(B5)=12,2,1)</f>
        <v>0</v>
      </c>
      <c r="L5" s="87">
        <f ca="1">F5+(G5-IF(RESULTADOS!$C$17="Normal",0,I5))*IF(MONTH(B5)=12,2,1)</f>
        <v>0</v>
      </c>
      <c r="N5" s="58">
        <f ca="1">IFERROR((E5+F5+G5)/C5,0)</f>
        <v>0</v>
      </c>
      <c r="O5" s="223"/>
      <c r="P5" s="131">
        <f ca="1">IF(C5="","",B5)</f>
        <v>44895</v>
      </c>
      <c r="Q5" s="111">
        <f ca="1">IF(C5="","",(E5+H5-IF(RESULTADOS!$C$17="Normal",I5,0)-J5)/2+(F5+G5-IF(RESULTADOS!$C$17="Normal",0,I5)))</f>
        <v>0</v>
      </c>
      <c r="R5" s="111">
        <f ca="1">IF(C5="","",(E5+H5-IF(RESULTADOS!$C$17="Normal",I5,0)-J5)/2)</f>
        <v>0</v>
      </c>
      <c r="S5" s="111">
        <f ca="1">SUM(K5:L5)-SUM(Q5:R5)</f>
        <v>0</v>
      </c>
      <c r="U5" s="131">
        <f ca="1">EOMONTH(MAX($P$5:$P$700),0)</f>
        <v>52200</v>
      </c>
      <c r="V5" s="131">
        <f ca="1">IF(AA5&lt;&gt;"",U5,"")</f>
        <v>52200</v>
      </c>
      <c r="W5" s="111">
        <f ca="1">VLOOKUP(U5,$B$5:$L$700,10,FALSE)</f>
        <v>0</v>
      </c>
      <c r="X5" s="111">
        <f ca="1">VLOOKUP(U5,$B$5:$L$700,11,FALSE)</f>
        <v>0</v>
      </c>
      <c r="Y5" s="111">
        <f ca="1">SUM(W5:X5)</f>
        <v>0</v>
      </c>
      <c r="Z5" s="134">
        <f ca="1">RESULTADOS!L32</f>
        <v>0</v>
      </c>
      <c r="AA5" s="111">
        <f ca="1">IF(COUNTA($U$5:U5)/12&lt;=RESULTADOS!$C$19,RESULTADOS!$L$35,"")</f>
        <v>0</v>
      </c>
    </row>
    <row r="6" spans="2:27" x14ac:dyDescent="0.3">
      <c r="B6" s="21">
        <f ca="1">IF(B5="","",IF(EOMONTH(B5,1)&gt;EOMONTH(ELEGIBILIDADE!$E$5,0),"",EOMONTH(B5,1)))</f>
        <v>44926</v>
      </c>
      <c r="C6" s="22">
        <f ca="1">IF(B6="","",IF(MONTH(B6)=1,C5*(1+PREMISSAS!$C$58),C5))</f>
        <v>0</v>
      </c>
      <c r="D6" s="22">
        <f ca="1">IF(RESULTADOS!$C$17="Normal",IFERROR(MAX(C6-PREMISSAS!$C$14,0),0),IF(PREMISSAS!$H$117=0,0,MAX(10*PREMISSAS!$C$39,RESULTADOS!$F$17)))</f>
        <v>0</v>
      </c>
      <c r="E6" s="4">
        <f ca="1">D6*IF(RESULTADOS!$C$17="Normal",RESULTADOS!$C$16,0)</f>
        <v>0</v>
      </c>
      <c r="F6" s="4">
        <f ca="1">IF(D6&lt;&gt;0,PREMISSAS!$N$83,0)</f>
        <v>0</v>
      </c>
      <c r="G6" s="4">
        <f ca="1">IFERROR(IF(RESULTADOS!$C$17="Normal",0,D6)*IF(RESULTADOS!$C$17="Normal",RESULTADOS!$C$18,RESULTADOS!$C$16),0)</f>
        <v>0</v>
      </c>
      <c r="H6" s="4">
        <f ca="1">IF(RESULTADOS!$C$17="Normal",E6,0)</f>
        <v>0</v>
      </c>
      <c r="I6" s="4">
        <f ca="1">(E6+H6+G6)*IFERROR(VLOOKUP(INT(COUNT($B$5:B6)/12),PREMISSAS!$B$62:$C$69,2,FALSE),PREMISSAS!$C$69)</f>
        <v>0</v>
      </c>
      <c r="J6" s="4">
        <f ca="1">D6*IF(RESULTADOS!$C$17="Normal",PREMISSAS!$C$71,0)</f>
        <v>0</v>
      </c>
      <c r="K6" s="87">
        <f ca="1">IFERROR(K5*(1+PREMISSAS!$C$19)+(E6+H6-IF(RESULTADOS!$C$17="Normal",I6,0)-J6)*IF(MONTH(B6)=12,2,1),0)</f>
        <v>0</v>
      </c>
      <c r="L6" s="87">
        <f ca="1">IFERROR((L5+G6-IF(RESULTADOS!$C$17="Normal",0,I6))*(1+PREMISSAS!$C$19)+F6,0)</f>
        <v>0</v>
      </c>
      <c r="N6" s="58">
        <f t="shared" ref="N6:N69" ca="1" si="0">IFERROR((E6+F6+G6)/C6,0)</f>
        <v>0</v>
      </c>
      <c r="O6" s="223"/>
      <c r="P6" s="131">
        <f t="shared" ref="P6:P69" ca="1" si="1">IF(C6="","",B6)</f>
        <v>44926</v>
      </c>
      <c r="Q6" s="111">
        <f ca="1">IF(C6="","",Q5+(E6+H6-IF(RESULTADOS!$C$17="Normal",I6,0)-J6)/2+(F6+G6-IF(RESULTADOS!$C$17="Normal",0,I6)))</f>
        <v>0</v>
      </c>
      <c r="R6" s="111">
        <f ca="1">IF(C6="","",R5+(E6+H6-IF(RESULTADOS!$C$17="Normal",I6,0)-J6)/2)</f>
        <v>0</v>
      </c>
      <c r="S6" s="111">
        <f ca="1">SUM(K6:L6)-SUM(Q6:R6)</f>
        <v>0</v>
      </c>
      <c r="U6" s="131" t="str">
        <f ca="1">IF(Y6=0,"",EOMONTH(U5,1))</f>
        <v/>
      </c>
      <c r="V6" s="131" t="str">
        <f t="shared" ref="V6:V69" ca="1" si="2">IF(AA6&lt;&gt;"",U6,"")</f>
        <v/>
      </c>
      <c r="W6" s="111">
        <f ca="1">IF(OR((W5-13/12*Z5)*(1+PREMISSAS!$C$17)&lt;0,W5=""),0,(W5-13/12*Z5)*(1+PREMISSAS!$C$17))</f>
        <v>0</v>
      </c>
      <c r="X6" s="111">
        <f ca="1">IF(OR((X5-13/12*AA5)*(1+PREMISSAS!$C$17)&lt;0,X5=""),0,(X5-13/12*AA5)*(1+PREMISSAS!$C$17))</f>
        <v>0</v>
      </c>
      <c r="Y6" s="111">
        <f t="shared" ref="Y6:Y69" ca="1" si="3">SUM(W6:X6)</f>
        <v>0</v>
      </c>
      <c r="Z6" s="134">
        <f ca="1">IF(W6&lt;&gt;0,Z5,0)</f>
        <v>0</v>
      </c>
      <c r="AA6" s="134">
        <f ca="1">IF(X6&lt;&gt;0,AA5,0)</f>
        <v>0</v>
      </c>
    </row>
    <row r="7" spans="2:27" x14ac:dyDescent="0.3">
      <c r="B7" s="21">
        <f ca="1">IF(B6="","",IF(EOMONTH(B6,1)&gt;EOMONTH(ELEGIBILIDADE!$E$5,0),"",EOMONTH(B6,1)))</f>
        <v>44957</v>
      </c>
      <c r="C7" s="22">
        <f ca="1">IF(B7="","",IF(MONTH(B7)=1,C6*(1+PREMISSAS!$C$58),C6))</f>
        <v>0</v>
      </c>
      <c r="D7" s="22">
        <f ca="1">IF(RESULTADOS!$C$17="Normal",IFERROR(MAX(C7-PREMISSAS!$C$14,0),0),IF(PREMISSAS!$H$117=0,0,MAX(10*PREMISSAS!$C$39,RESULTADOS!$F$17)))</f>
        <v>0</v>
      </c>
      <c r="E7" s="4">
        <f ca="1">D7*IF(RESULTADOS!$C$17="Normal",RESULTADOS!$C$16,0)</f>
        <v>0</v>
      </c>
      <c r="F7" s="4">
        <f ca="1">IF(D7&lt;&gt;0,PREMISSAS!$N$83,0)</f>
        <v>0</v>
      </c>
      <c r="G7" s="4">
        <f ca="1">IFERROR(IF(RESULTADOS!$C$17="Normal",0,D7)*IF(RESULTADOS!$C$17="Normal",RESULTADOS!$C$18,RESULTADOS!$C$16),0)</f>
        <v>0</v>
      </c>
      <c r="H7" s="4">
        <f ca="1">IF(RESULTADOS!$C$17="Normal",E7,0)</f>
        <v>0</v>
      </c>
      <c r="I7" s="4">
        <f ca="1">(E7+H7+G7)*IFERROR(VLOOKUP(INT(COUNT($B$5:B7)/12),PREMISSAS!$B$62:$C$69,2,FALSE),PREMISSAS!$C$69)</f>
        <v>0</v>
      </c>
      <c r="J7" s="4">
        <f ca="1">D7*IF(RESULTADOS!$C$17="Normal",PREMISSAS!$C$71,0)</f>
        <v>0</v>
      </c>
      <c r="K7" s="87">
        <f ca="1">IFERROR(K6*(1+PREMISSAS!$C$19)+(E7+H7-IF(RESULTADOS!$C$17="Normal",I7,0)-J7)*IF(MONTH(B7)=12,2,1),0)</f>
        <v>0</v>
      </c>
      <c r="L7" s="87">
        <f ca="1">IFERROR((L6+G7-IF(RESULTADOS!$C$17="Normal",0,I7))*(1+PREMISSAS!$C$19)+F7,0)</f>
        <v>0</v>
      </c>
      <c r="N7" s="58">
        <f t="shared" ca="1" si="0"/>
        <v>0</v>
      </c>
      <c r="O7" s="223"/>
      <c r="P7" s="131">
        <f t="shared" ca="1" si="1"/>
        <v>44957</v>
      </c>
      <c r="Q7" s="111">
        <f ca="1">IF(C7="","",Q6+(E7+H7-IF(RESULTADOS!$C$17="Normal",I7,0)-J7)/2+(F7+G7-IF(RESULTADOS!$C$17="Normal",0,I7)))</f>
        <v>0</v>
      </c>
      <c r="R7" s="111">
        <f ca="1">IF(C7="","",R6+(E7+H7-IF(RESULTADOS!$C$17="Normal",I7,0)-J7)/2)</f>
        <v>0</v>
      </c>
      <c r="S7" s="111">
        <f t="shared" ref="S7:S70" ca="1" si="4">SUM(K7:L7)-SUM(Q7:R7)</f>
        <v>0</v>
      </c>
      <c r="U7" s="131" t="str">
        <f t="shared" ref="U7:U70" ca="1" si="5">IF(Y7=0,"",EOMONTH(U6,1))</f>
        <v/>
      </c>
      <c r="V7" s="131" t="str">
        <f t="shared" ca="1" si="2"/>
        <v/>
      </c>
      <c r="W7" s="111">
        <f ca="1">IF(OR((W6-13/12*Z6)*(1+PREMISSAS!$C$17)&lt;0,W6=""),0,(W6-13/12*Z6)*(1+PREMISSAS!$C$17))</f>
        <v>0</v>
      </c>
      <c r="X7" s="111">
        <f ca="1">IF(OR((X6-13/12*AA6)*(1+PREMISSAS!$C$17)&lt;0,X6=""),0,(X6-13/12*AA6)*(1+PREMISSAS!$C$17))</f>
        <v>0</v>
      </c>
      <c r="Y7" s="111">
        <f t="shared" ca="1" si="3"/>
        <v>0</v>
      </c>
      <c r="Z7" s="134">
        <f t="shared" ref="Z7:Z70" ca="1" si="6">IF(W7&lt;&gt;0,Z6,0)</f>
        <v>0</v>
      </c>
      <c r="AA7" s="134">
        <f t="shared" ref="AA7:AA70" ca="1" si="7">IF(X7&lt;&gt;0,AA6,0)</f>
        <v>0</v>
      </c>
    </row>
    <row r="8" spans="2:27" x14ac:dyDescent="0.3">
      <c r="B8" s="21">
        <f ca="1">IF(B7="","",IF(EOMONTH(B7,1)&gt;EOMONTH(ELEGIBILIDADE!$E$5,0),"",EOMONTH(B7,1)))</f>
        <v>44985</v>
      </c>
      <c r="C8" s="22">
        <f ca="1">IF(B8="","",IF(MONTH(B8)=1,C7*(1+PREMISSAS!$C$58),C7))</f>
        <v>0</v>
      </c>
      <c r="D8" s="22">
        <f ca="1">IF(RESULTADOS!$C$17="Normal",IFERROR(MAX(C8-PREMISSAS!$C$14,0),0),IF(PREMISSAS!$H$117=0,0,MAX(10*PREMISSAS!$C$39,RESULTADOS!$F$17)))</f>
        <v>0</v>
      </c>
      <c r="E8" s="4">
        <f ca="1">D8*IF(RESULTADOS!$C$17="Normal",RESULTADOS!$C$16,0)</f>
        <v>0</v>
      </c>
      <c r="F8" s="4">
        <f ca="1">IF(D8&lt;&gt;0,PREMISSAS!$N$83,0)</f>
        <v>0</v>
      </c>
      <c r="G8" s="4">
        <f ca="1">IFERROR(IF(RESULTADOS!$C$17="Normal",0,D8)*IF(RESULTADOS!$C$17="Normal",RESULTADOS!$C$18,RESULTADOS!$C$16),0)</f>
        <v>0</v>
      </c>
      <c r="H8" s="4">
        <f ca="1">IF(RESULTADOS!$C$17="Normal",E8,0)</f>
        <v>0</v>
      </c>
      <c r="I8" s="4">
        <f ca="1">(E8+H8+G8)*IFERROR(VLOOKUP(INT(COUNT($B$5:B8)/12),PREMISSAS!$B$62:$C$69,2,FALSE),PREMISSAS!$C$69)</f>
        <v>0</v>
      </c>
      <c r="J8" s="4">
        <f ca="1">D8*IF(RESULTADOS!$C$17="Normal",PREMISSAS!$C$71,0)</f>
        <v>0</v>
      </c>
      <c r="K8" s="87">
        <f ca="1">IFERROR(K7*(1+PREMISSAS!$C$19)+(E8+H8-IF(RESULTADOS!$C$17="Normal",I8,0)-J8)*IF(MONTH(B8)=12,2,1),0)</f>
        <v>0</v>
      </c>
      <c r="L8" s="87">
        <f ca="1">IFERROR((L7+G8-IF(RESULTADOS!$C$17="Normal",0,I8))*(1+PREMISSAS!$C$19)+F8,0)</f>
        <v>0</v>
      </c>
      <c r="N8" s="58">
        <f t="shared" ca="1" si="0"/>
        <v>0</v>
      </c>
      <c r="O8" s="223"/>
      <c r="P8" s="131">
        <f t="shared" ca="1" si="1"/>
        <v>44985</v>
      </c>
      <c r="Q8" s="111">
        <f ca="1">IF(C8="","",Q7+(E8+H8-IF(RESULTADOS!$C$17="Normal",I8,0)-J8)/2+(F8+G8-IF(RESULTADOS!$C$17="Normal",0,I8)))</f>
        <v>0</v>
      </c>
      <c r="R8" s="111">
        <f ca="1">IF(C8="","",R7+(E8+H8-IF(RESULTADOS!$C$17="Normal",I8,0)-J8)/2)</f>
        <v>0</v>
      </c>
      <c r="S8" s="111">
        <f t="shared" ca="1" si="4"/>
        <v>0</v>
      </c>
      <c r="U8" s="131" t="str">
        <f t="shared" ca="1" si="5"/>
        <v/>
      </c>
      <c r="V8" s="131" t="str">
        <f t="shared" ca="1" si="2"/>
        <v/>
      </c>
      <c r="W8" s="111">
        <f ca="1">IF(OR((W7-13/12*Z7)*(1+PREMISSAS!$C$17)&lt;0,W7=""),0,(W7-13/12*Z7)*(1+PREMISSAS!$C$17))</f>
        <v>0</v>
      </c>
      <c r="X8" s="111">
        <f ca="1">IF(OR((X7-13/12*AA7)*(1+PREMISSAS!$C$17)&lt;0,X7=""),0,(X7-13/12*AA7)*(1+PREMISSAS!$C$17))</f>
        <v>0</v>
      </c>
      <c r="Y8" s="111">
        <f t="shared" ca="1" si="3"/>
        <v>0</v>
      </c>
      <c r="Z8" s="134">
        <f t="shared" ca="1" si="6"/>
        <v>0</v>
      </c>
      <c r="AA8" s="134">
        <f t="shared" ca="1" si="7"/>
        <v>0</v>
      </c>
    </row>
    <row r="9" spans="2:27" x14ac:dyDescent="0.3">
      <c r="B9" s="21">
        <f ca="1">IF(B8="","",IF(EOMONTH(B8,1)&gt;EOMONTH(ELEGIBILIDADE!$E$5,0),"",EOMONTH(B8,1)))</f>
        <v>45016</v>
      </c>
      <c r="C9" s="22">
        <f ca="1">IF(B9="","",IF(MONTH(B9)=1,C8*(1+PREMISSAS!$C$58),C8))</f>
        <v>0</v>
      </c>
      <c r="D9" s="22">
        <f ca="1">IF(RESULTADOS!$C$17="Normal",IFERROR(MAX(C9-PREMISSAS!$C$14,0),0),IF(PREMISSAS!$H$117=0,0,MAX(10*PREMISSAS!$C$39,RESULTADOS!$F$17)))</f>
        <v>0</v>
      </c>
      <c r="E9" s="4">
        <f ca="1">D9*IF(RESULTADOS!$C$17="Normal",RESULTADOS!$C$16,0)</f>
        <v>0</v>
      </c>
      <c r="F9" s="4">
        <f ca="1">IF(D9&lt;&gt;0,PREMISSAS!$N$83,0)</f>
        <v>0</v>
      </c>
      <c r="G9" s="4">
        <f ca="1">IFERROR(IF(RESULTADOS!$C$17="Normal",0,D9)*IF(RESULTADOS!$C$17="Normal",RESULTADOS!$C$18,RESULTADOS!$C$16),0)</f>
        <v>0</v>
      </c>
      <c r="H9" s="4">
        <f ca="1">IF(RESULTADOS!$C$17="Normal",E9,0)</f>
        <v>0</v>
      </c>
      <c r="I9" s="4">
        <f ca="1">(E9+H9+G9)*IFERROR(VLOOKUP(INT(COUNT($B$5:B9)/12),PREMISSAS!$B$62:$C$69,2,FALSE),PREMISSAS!$C$69)</f>
        <v>0</v>
      </c>
      <c r="J9" s="4">
        <f ca="1">D9*IF(RESULTADOS!$C$17="Normal",PREMISSAS!$C$71,0)</f>
        <v>0</v>
      </c>
      <c r="K9" s="87">
        <f ca="1">IFERROR(K8*(1+PREMISSAS!$C$19)+(E9+H9-IF(RESULTADOS!$C$17="Normal",I9,0)-J9)*IF(MONTH(B9)=12,2,1),0)</f>
        <v>0</v>
      </c>
      <c r="L9" s="87">
        <f ca="1">IFERROR((L8+G9-IF(RESULTADOS!$C$17="Normal",0,I9))*(1+PREMISSAS!$C$19)+F9,0)</f>
        <v>0</v>
      </c>
      <c r="N9" s="58">
        <f t="shared" ca="1" si="0"/>
        <v>0</v>
      </c>
      <c r="O9" s="223"/>
      <c r="P9" s="131">
        <f t="shared" ca="1" si="1"/>
        <v>45016</v>
      </c>
      <c r="Q9" s="111">
        <f ca="1">IF(C9="","",Q8+(E9+H9-IF(RESULTADOS!$C$17="Normal",I9,0)-J9)/2+(F9+G9-IF(RESULTADOS!$C$17="Normal",0,I9)))</f>
        <v>0</v>
      </c>
      <c r="R9" s="111">
        <f ca="1">IF(C9="","",R8+(E9+H9-IF(RESULTADOS!$C$17="Normal",I9,0)-J9)/2)</f>
        <v>0</v>
      </c>
      <c r="S9" s="111">
        <f t="shared" ca="1" si="4"/>
        <v>0</v>
      </c>
      <c r="U9" s="131" t="str">
        <f t="shared" ca="1" si="5"/>
        <v/>
      </c>
      <c r="V9" s="131" t="str">
        <f t="shared" ca="1" si="2"/>
        <v/>
      </c>
      <c r="W9" s="111">
        <f ca="1">IF(OR((W8-13/12*Z8)*(1+PREMISSAS!$C$17)&lt;0,W8=""),0,(W8-13/12*Z8)*(1+PREMISSAS!$C$17))</f>
        <v>0</v>
      </c>
      <c r="X9" s="111">
        <f ca="1">IF(OR((X8-13/12*AA8)*(1+PREMISSAS!$C$17)&lt;0,X8=""),0,(X8-13/12*AA8)*(1+PREMISSAS!$C$17))</f>
        <v>0</v>
      </c>
      <c r="Y9" s="111">
        <f t="shared" ca="1" si="3"/>
        <v>0</v>
      </c>
      <c r="Z9" s="134">
        <f t="shared" ca="1" si="6"/>
        <v>0</v>
      </c>
      <c r="AA9" s="134">
        <f t="shared" ca="1" si="7"/>
        <v>0</v>
      </c>
    </row>
    <row r="10" spans="2:27" x14ac:dyDescent="0.3">
      <c r="B10" s="21">
        <f ca="1">IF(B9="","",IF(EOMONTH(B9,1)&gt;EOMONTH(ELEGIBILIDADE!$E$5,0),"",EOMONTH(B9,1)))</f>
        <v>45046</v>
      </c>
      <c r="C10" s="22">
        <f ca="1">IF(B10="","",IF(MONTH(B10)=1,C9*(1+PREMISSAS!$C$58),C9))</f>
        <v>0</v>
      </c>
      <c r="D10" s="22">
        <f ca="1">IF(RESULTADOS!$C$17="Normal",IFERROR(MAX(C10-PREMISSAS!$C$14,0),0),IF(PREMISSAS!$H$117=0,0,MAX(10*PREMISSAS!$C$39,RESULTADOS!$F$17)))</f>
        <v>0</v>
      </c>
      <c r="E10" s="4">
        <f ca="1">D10*IF(RESULTADOS!$C$17="Normal",RESULTADOS!$C$16,0)</f>
        <v>0</v>
      </c>
      <c r="F10" s="4">
        <f ca="1">IF(D10&lt;&gt;0,PREMISSAS!$N$83,0)</f>
        <v>0</v>
      </c>
      <c r="G10" s="4">
        <f ca="1">IFERROR(IF(RESULTADOS!$C$17="Normal",0,D10)*IF(RESULTADOS!$C$17="Normal",RESULTADOS!$C$18,RESULTADOS!$C$16),0)</f>
        <v>0</v>
      </c>
      <c r="H10" s="4">
        <f ca="1">IF(RESULTADOS!$C$17="Normal",E10,0)</f>
        <v>0</v>
      </c>
      <c r="I10" s="4">
        <f ca="1">(E10+H10+G10)*IFERROR(VLOOKUP(INT(COUNT($B$5:B10)/12),PREMISSAS!$B$62:$C$69,2,FALSE),PREMISSAS!$C$69)</f>
        <v>0</v>
      </c>
      <c r="J10" s="4">
        <f ca="1">D10*IF(RESULTADOS!$C$17="Normal",PREMISSAS!$C$71,0)</f>
        <v>0</v>
      </c>
      <c r="K10" s="87">
        <f ca="1">IFERROR(K9*(1+PREMISSAS!$C$19)+(E10+H10-IF(RESULTADOS!$C$17="Normal",I10,0)-J10)*IF(MONTH(B10)=12,2,1),0)</f>
        <v>0</v>
      </c>
      <c r="L10" s="87">
        <f ca="1">IFERROR((L9+G10-IF(RESULTADOS!$C$17="Normal",0,I10))*(1+PREMISSAS!$C$19)+F10,0)</f>
        <v>0</v>
      </c>
      <c r="N10" s="58">
        <f t="shared" ca="1" si="0"/>
        <v>0</v>
      </c>
      <c r="O10" s="223"/>
      <c r="P10" s="131">
        <f t="shared" ca="1" si="1"/>
        <v>45046</v>
      </c>
      <c r="Q10" s="111">
        <f ca="1">IF(C10="","",Q9+(E10+H10-IF(RESULTADOS!$C$17="Normal",I10,0)-J10)/2+(F10+G10-IF(RESULTADOS!$C$17="Normal",0,I10)))</f>
        <v>0</v>
      </c>
      <c r="R10" s="111">
        <f ca="1">IF(C10="","",R9+(E10+H10-IF(RESULTADOS!$C$17="Normal",I10,0)-J10)/2)</f>
        <v>0</v>
      </c>
      <c r="S10" s="111">
        <f t="shared" ca="1" si="4"/>
        <v>0</v>
      </c>
      <c r="U10" s="131" t="str">
        <f t="shared" ca="1" si="5"/>
        <v/>
      </c>
      <c r="V10" s="131" t="str">
        <f t="shared" ca="1" si="2"/>
        <v/>
      </c>
      <c r="W10" s="111">
        <f ca="1">IF(OR((W9-13/12*Z9)*(1+PREMISSAS!$C$17)&lt;0,W9=""),0,(W9-13/12*Z9)*(1+PREMISSAS!$C$17))</f>
        <v>0</v>
      </c>
      <c r="X10" s="111">
        <f ca="1">IF(OR((X9-13/12*AA9)*(1+PREMISSAS!$C$17)&lt;0,X9=""),0,(X9-13/12*AA9)*(1+PREMISSAS!$C$17))</f>
        <v>0</v>
      </c>
      <c r="Y10" s="111">
        <f t="shared" ca="1" si="3"/>
        <v>0</v>
      </c>
      <c r="Z10" s="134">
        <f t="shared" ca="1" si="6"/>
        <v>0</v>
      </c>
      <c r="AA10" s="134">
        <f t="shared" ca="1" si="7"/>
        <v>0</v>
      </c>
    </row>
    <row r="11" spans="2:27" x14ac:dyDescent="0.3">
      <c r="B11" s="21">
        <f ca="1">IF(B10="","",IF(EOMONTH(B10,1)&gt;EOMONTH(ELEGIBILIDADE!$E$5,0),"",EOMONTH(B10,1)))</f>
        <v>45077</v>
      </c>
      <c r="C11" s="22">
        <f ca="1">IF(B11="","",IF(MONTH(B11)=1,C10*(1+PREMISSAS!$C$58),C10))</f>
        <v>0</v>
      </c>
      <c r="D11" s="22">
        <f ca="1">IF(RESULTADOS!$C$17="Normal",IFERROR(MAX(C11-PREMISSAS!$C$14,0),0),IF(PREMISSAS!$H$117=0,0,MAX(10*PREMISSAS!$C$39,RESULTADOS!$F$17)))</f>
        <v>0</v>
      </c>
      <c r="E11" s="4">
        <f ca="1">D11*IF(RESULTADOS!$C$17="Normal",RESULTADOS!$C$16,0)</f>
        <v>0</v>
      </c>
      <c r="F11" s="4">
        <f ca="1">IF(D11&lt;&gt;0,PREMISSAS!$N$83,0)</f>
        <v>0</v>
      </c>
      <c r="G11" s="4">
        <f ca="1">IFERROR(IF(RESULTADOS!$C$17="Normal",0,D11)*IF(RESULTADOS!$C$17="Normal",RESULTADOS!$C$18,RESULTADOS!$C$16),0)</f>
        <v>0</v>
      </c>
      <c r="H11" s="4">
        <f ca="1">IF(RESULTADOS!$C$17="Normal",E11,0)</f>
        <v>0</v>
      </c>
      <c r="I11" s="4">
        <f ca="1">(E11+H11+G11)*IFERROR(VLOOKUP(INT(COUNT($B$5:B11)/12),PREMISSAS!$B$62:$C$69,2,FALSE),PREMISSAS!$C$69)</f>
        <v>0</v>
      </c>
      <c r="J11" s="4">
        <f ca="1">D11*IF(RESULTADOS!$C$17="Normal",PREMISSAS!$C$71,0)</f>
        <v>0</v>
      </c>
      <c r="K11" s="87">
        <f ca="1">IFERROR(K10*(1+PREMISSAS!$C$19)+(E11+H11-IF(RESULTADOS!$C$17="Normal",I11,0)-J11)*IF(MONTH(B11)=12,2,1),0)</f>
        <v>0</v>
      </c>
      <c r="L11" s="87">
        <f ca="1">IFERROR((L10+G11-IF(RESULTADOS!$C$17="Normal",0,I11))*(1+PREMISSAS!$C$19)+F11,0)</f>
        <v>0</v>
      </c>
      <c r="N11" s="58">
        <f t="shared" ca="1" si="0"/>
        <v>0</v>
      </c>
      <c r="O11" s="223"/>
      <c r="P11" s="131">
        <f t="shared" ca="1" si="1"/>
        <v>45077</v>
      </c>
      <c r="Q11" s="111">
        <f ca="1">IF(C11="","",Q10+(E11+H11-IF(RESULTADOS!$C$17="Normal",I11,0)-J11)/2+(F11+G11-IF(RESULTADOS!$C$17="Normal",0,I11)))</f>
        <v>0</v>
      </c>
      <c r="R11" s="111">
        <f ca="1">IF(C11="","",R10+(E11+H11-IF(RESULTADOS!$C$17="Normal",I11,0)-J11)/2)</f>
        <v>0</v>
      </c>
      <c r="S11" s="111">
        <f t="shared" ca="1" si="4"/>
        <v>0</v>
      </c>
      <c r="U11" s="131" t="str">
        <f t="shared" ca="1" si="5"/>
        <v/>
      </c>
      <c r="V11" s="131" t="str">
        <f t="shared" ca="1" si="2"/>
        <v/>
      </c>
      <c r="W11" s="111">
        <f ca="1">IF(OR((W10-13/12*Z10)*(1+PREMISSAS!$C$17)&lt;0,W10=""),0,(W10-13/12*Z10)*(1+PREMISSAS!$C$17))</f>
        <v>0</v>
      </c>
      <c r="X11" s="111">
        <f ca="1">IF(OR((X10-13/12*AA10)*(1+PREMISSAS!$C$17)&lt;0,X10=""),0,(X10-13/12*AA10)*(1+PREMISSAS!$C$17))</f>
        <v>0</v>
      </c>
      <c r="Y11" s="111">
        <f t="shared" ca="1" si="3"/>
        <v>0</v>
      </c>
      <c r="Z11" s="134">
        <f t="shared" ca="1" si="6"/>
        <v>0</v>
      </c>
      <c r="AA11" s="134">
        <f t="shared" ca="1" si="7"/>
        <v>0</v>
      </c>
    </row>
    <row r="12" spans="2:27" x14ac:dyDescent="0.3">
      <c r="B12" s="21">
        <f ca="1">IF(B11="","",IF(EOMONTH(B11,1)&gt;EOMONTH(ELEGIBILIDADE!$E$5,0),"",EOMONTH(B11,1)))</f>
        <v>45107</v>
      </c>
      <c r="C12" s="22">
        <f ca="1">IF(B12="","",IF(MONTH(B12)=1,C11*(1+PREMISSAS!$C$58),C11))</f>
        <v>0</v>
      </c>
      <c r="D12" s="22">
        <f ca="1">IF(RESULTADOS!$C$17="Normal",IFERROR(MAX(C12-PREMISSAS!$C$14,0),0),IF(PREMISSAS!$H$117=0,0,MAX(10*PREMISSAS!$C$39,RESULTADOS!$F$17)))</f>
        <v>0</v>
      </c>
      <c r="E12" s="4">
        <f ca="1">D12*IF(RESULTADOS!$C$17="Normal",RESULTADOS!$C$16,0)</f>
        <v>0</v>
      </c>
      <c r="F12" s="4">
        <f ca="1">IF(D12&lt;&gt;0,PREMISSAS!$N$83,0)</f>
        <v>0</v>
      </c>
      <c r="G12" s="4">
        <f ca="1">IFERROR(IF(RESULTADOS!$C$17="Normal",0,D12)*IF(RESULTADOS!$C$17="Normal",RESULTADOS!$C$18,RESULTADOS!$C$16),0)</f>
        <v>0</v>
      </c>
      <c r="H12" s="4">
        <f ca="1">IF(RESULTADOS!$C$17="Normal",E12,0)</f>
        <v>0</v>
      </c>
      <c r="I12" s="4">
        <f ca="1">(E12+H12+G12)*IFERROR(VLOOKUP(INT(COUNT($B$5:B12)/12),PREMISSAS!$B$62:$C$69,2,FALSE),PREMISSAS!$C$69)</f>
        <v>0</v>
      </c>
      <c r="J12" s="4">
        <f ca="1">D12*IF(RESULTADOS!$C$17="Normal",PREMISSAS!$C$71,0)</f>
        <v>0</v>
      </c>
      <c r="K12" s="87">
        <f ca="1">IFERROR(K11*(1+PREMISSAS!$C$19)+(E12+H12-IF(RESULTADOS!$C$17="Normal",I12,0)-J12)*IF(MONTH(B12)=12,2,1),0)</f>
        <v>0</v>
      </c>
      <c r="L12" s="87">
        <f ca="1">IFERROR((L11+G12-IF(RESULTADOS!$C$17="Normal",0,I12))*(1+PREMISSAS!$C$19)+F12,0)</f>
        <v>0</v>
      </c>
      <c r="N12" s="58">
        <f t="shared" ca="1" si="0"/>
        <v>0</v>
      </c>
      <c r="O12" s="223"/>
      <c r="P12" s="131">
        <f t="shared" ca="1" si="1"/>
        <v>45107</v>
      </c>
      <c r="Q12" s="111">
        <f ca="1">IF(C12="","",Q11+(E12+H12-IF(RESULTADOS!$C$17="Normal",I12,0)-J12)/2+(F12+G12-IF(RESULTADOS!$C$17="Normal",0,I12)))</f>
        <v>0</v>
      </c>
      <c r="R12" s="111">
        <f ca="1">IF(C12="","",R11+(E12+H12-IF(RESULTADOS!$C$17="Normal",I12,0)-J12)/2)</f>
        <v>0</v>
      </c>
      <c r="S12" s="111">
        <f t="shared" ca="1" si="4"/>
        <v>0</v>
      </c>
      <c r="U12" s="131" t="str">
        <f t="shared" ca="1" si="5"/>
        <v/>
      </c>
      <c r="V12" s="131" t="str">
        <f t="shared" ca="1" si="2"/>
        <v/>
      </c>
      <c r="W12" s="111">
        <f ca="1">IF(OR((W11-13/12*Z11)*(1+PREMISSAS!$C$17)&lt;0,W11=""),0,(W11-13/12*Z11)*(1+PREMISSAS!$C$17))</f>
        <v>0</v>
      </c>
      <c r="X12" s="111">
        <f ca="1">IF(OR((X11-13/12*AA11)*(1+PREMISSAS!$C$17)&lt;0,X11=""),0,(X11-13/12*AA11)*(1+PREMISSAS!$C$17))</f>
        <v>0</v>
      </c>
      <c r="Y12" s="111">
        <f t="shared" ca="1" si="3"/>
        <v>0</v>
      </c>
      <c r="Z12" s="134">
        <f t="shared" ca="1" si="6"/>
        <v>0</v>
      </c>
      <c r="AA12" s="134">
        <f t="shared" ca="1" si="7"/>
        <v>0</v>
      </c>
    </row>
    <row r="13" spans="2:27" x14ac:dyDescent="0.3">
      <c r="B13" s="21">
        <f ca="1">IF(B12="","",IF(EOMONTH(B12,1)&gt;EOMONTH(ELEGIBILIDADE!$E$5,0),"",EOMONTH(B12,1)))</f>
        <v>45138</v>
      </c>
      <c r="C13" s="22">
        <f ca="1">IF(B13="","",IF(MONTH(B13)=1,C12*(1+PREMISSAS!$C$58),C12))</f>
        <v>0</v>
      </c>
      <c r="D13" s="22">
        <f ca="1">IF(RESULTADOS!$C$17="Normal",IFERROR(MAX(C13-PREMISSAS!$C$14,0),0),IF(PREMISSAS!$H$117=0,0,MAX(10*PREMISSAS!$C$39,RESULTADOS!$F$17)))</f>
        <v>0</v>
      </c>
      <c r="E13" s="4">
        <f ca="1">D13*IF(RESULTADOS!$C$17="Normal",RESULTADOS!$C$16,0)</f>
        <v>0</v>
      </c>
      <c r="F13" s="4">
        <f ca="1">IF(D13&lt;&gt;0,PREMISSAS!$N$83,0)</f>
        <v>0</v>
      </c>
      <c r="G13" s="4">
        <f ca="1">IFERROR(IF(RESULTADOS!$C$17="Normal",0,D13)*IF(RESULTADOS!$C$17="Normal",RESULTADOS!$C$18,RESULTADOS!$C$16),0)</f>
        <v>0</v>
      </c>
      <c r="H13" s="4">
        <f ca="1">IF(RESULTADOS!$C$17="Normal",E13,0)</f>
        <v>0</v>
      </c>
      <c r="I13" s="4">
        <f ca="1">(E13+H13+G13)*IFERROR(VLOOKUP(INT(COUNT($B$5:B13)/12),PREMISSAS!$B$62:$C$69,2,FALSE),PREMISSAS!$C$69)</f>
        <v>0</v>
      </c>
      <c r="J13" s="4">
        <f ca="1">D13*IF(RESULTADOS!$C$17="Normal",PREMISSAS!$C$71,0)</f>
        <v>0</v>
      </c>
      <c r="K13" s="87">
        <f ca="1">IFERROR(K12*(1+PREMISSAS!$C$19)+(E13+H13-IF(RESULTADOS!$C$17="Normal",I13,0)-J13)*IF(MONTH(B13)=12,2,1),0)</f>
        <v>0</v>
      </c>
      <c r="L13" s="87">
        <f ca="1">IFERROR((L12+G13-IF(RESULTADOS!$C$17="Normal",0,I13))*(1+PREMISSAS!$C$19)+F13,0)</f>
        <v>0</v>
      </c>
      <c r="N13" s="58">
        <f t="shared" ca="1" si="0"/>
        <v>0</v>
      </c>
      <c r="O13" s="223"/>
      <c r="P13" s="131">
        <f t="shared" ca="1" si="1"/>
        <v>45138</v>
      </c>
      <c r="Q13" s="111">
        <f ca="1">IF(C13="","",Q12+(E13+H13-IF(RESULTADOS!$C$17="Normal",I13,0)-J13)/2+(F13+G13-IF(RESULTADOS!$C$17="Normal",0,I13)))</f>
        <v>0</v>
      </c>
      <c r="R13" s="111">
        <f ca="1">IF(C13="","",R12+(E13+H13-IF(RESULTADOS!$C$17="Normal",I13,0)-J13)/2)</f>
        <v>0</v>
      </c>
      <c r="S13" s="111">
        <f t="shared" ca="1" si="4"/>
        <v>0</v>
      </c>
      <c r="U13" s="131" t="str">
        <f t="shared" ca="1" si="5"/>
        <v/>
      </c>
      <c r="V13" s="131" t="str">
        <f t="shared" ca="1" si="2"/>
        <v/>
      </c>
      <c r="W13" s="111">
        <f ca="1">IF(OR((W12-13/12*Z12)*(1+PREMISSAS!$C$17)&lt;0,W12=""),0,(W12-13/12*Z12)*(1+PREMISSAS!$C$17))</f>
        <v>0</v>
      </c>
      <c r="X13" s="111">
        <f ca="1">IF(OR((X12-13/12*AA12)*(1+PREMISSAS!$C$17)&lt;0,X12=""),0,(X12-13/12*AA12)*(1+PREMISSAS!$C$17))</f>
        <v>0</v>
      </c>
      <c r="Y13" s="111">
        <f t="shared" ca="1" si="3"/>
        <v>0</v>
      </c>
      <c r="Z13" s="134">
        <f t="shared" ca="1" si="6"/>
        <v>0</v>
      </c>
      <c r="AA13" s="134">
        <f t="shared" ca="1" si="7"/>
        <v>0</v>
      </c>
    </row>
    <row r="14" spans="2:27" x14ac:dyDescent="0.3">
      <c r="B14" s="21">
        <f ca="1">IF(B13="","",IF(EOMONTH(B13,1)&gt;EOMONTH(ELEGIBILIDADE!$E$5,0),"",EOMONTH(B13,1)))</f>
        <v>45169</v>
      </c>
      <c r="C14" s="22">
        <f ca="1">IF(B14="","",IF(MONTH(B14)=1,C13*(1+PREMISSAS!$C$58),C13))</f>
        <v>0</v>
      </c>
      <c r="D14" s="22">
        <f ca="1">IF(RESULTADOS!$C$17="Normal",IFERROR(MAX(C14-PREMISSAS!$C$14,0),0),IF(PREMISSAS!$H$117=0,0,MAX(10*PREMISSAS!$C$39,RESULTADOS!$F$17)))</f>
        <v>0</v>
      </c>
      <c r="E14" s="4">
        <f ca="1">D14*IF(RESULTADOS!$C$17="Normal",RESULTADOS!$C$16,0)</f>
        <v>0</v>
      </c>
      <c r="F14" s="4">
        <f ca="1">IF(D14&lt;&gt;0,PREMISSAS!$N$83,0)</f>
        <v>0</v>
      </c>
      <c r="G14" s="4">
        <f ca="1">IFERROR(IF(RESULTADOS!$C$17="Normal",0,D14)*IF(RESULTADOS!$C$17="Normal",RESULTADOS!$C$18,RESULTADOS!$C$16),0)</f>
        <v>0</v>
      </c>
      <c r="H14" s="4">
        <f ca="1">IF(RESULTADOS!$C$17="Normal",E14,0)</f>
        <v>0</v>
      </c>
      <c r="I14" s="4">
        <f ca="1">(E14+H14+G14)*IFERROR(VLOOKUP(INT(COUNT($B$5:B14)/12),PREMISSAS!$B$62:$C$69,2,FALSE),PREMISSAS!$C$69)</f>
        <v>0</v>
      </c>
      <c r="J14" s="4">
        <f ca="1">D14*IF(RESULTADOS!$C$17="Normal",PREMISSAS!$C$71,0)</f>
        <v>0</v>
      </c>
      <c r="K14" s="87">
        <f ca="1">IFERROR(K13*(1+PREMISSAS!$C$19)+(E14+H14-IF(RESULTADOS!$C$17="Normal",I14,0)-J14)*IF(MONTH(B14)=12,2,1),0)</f>
        <v>0</v>
      </c>
      <c r="L14" s="87">
        <f ca="1">IFERROR((L13+G14-IF(RESULTADOS!$C$17="Normal",0,I14))*(1+PREMISSAS!$C$19)+F14,0)</f>
        <v>0</v>
      </c>
      <c r="N14" s="58">
        <f t="shared" ca="1" si="0"/>
        <v>0</v>
      </c>
      <c r="O14" s="223"/>
      <c r="P14" s="131">
        <f t="shared" ca="1" si="1"/>
        <v>45169</v>
      </c>
      <c r="Q14" s="111">
        <f ca="1">IF(C14="","",Q13+(E14+H14-IF(RESULTADOS!$C$17="Normal",I14,0)-J14)/2+(F14+G14-IF(RESULTADOS!$C$17="Normal",0,I14)))</f>
        <v>0</v>
      </c>
      <c r="R14" s="111">
        <f ca="1">IF(C14="","",R13+(E14+H14-IF(RESULTADOS!$C$17="Normal",I14,0)-J14)/2)</f>
        <v>0</v>
      </c>
      <c r="S14" s="111">
        <f t="shared" ca="1" si="4"/>
        <v>0</v>
      </c>
      <c r="U14" s="131" t="str">
        <f t="shared" ca="1" si="5"/>
        <v/>
      </c>
      <c r="V14" s="131" t="str">
        <f t="shared" ca="1" si="2"/>
        <v/>
      </c>
      <c r="W14" s="111">
        <f ca="1">IF(OR((W13-13/12*Z13)*(1+PREMISSAS!$C$17)&lt;0,W13=""),0,(W13-13/12*Z13)*(1+PREMISSAS!$C$17))</f>
        <v>0</v>
      </c>
      <c r="X14" s="111">
        <f ca="1">IF(OR((X13-13/12*AA13)*(1+PREMISSAS!$C$17)&lt;0,X13=""),0,(X13-13/12*AA13)*(1+PREMISSAS!$C$17))</f>
        <v>0</v>
      </c>
      <c r="Y14" s="111">
        <f t="shared" ca="1" si="3"/>
        <v>0</v>
      </c>
      <c r="Z14" s="134">
        <f t="shared" ca="1" si="6"/>
        <v>0</v>
      </c>
      <c r="AA14" s="134">
        <f t="shared" ca="1" si="7"/>
        <v>0</v>
      </c>
    </row>
    <row r="15" spans="2:27" x14ac:dyDescent="0.3">
      <c r="B15" s="21">
        <f ca="1">IF(B14="","",IF(EOMONTH(B14,1)&gt;EOMONTH(ELEGIBILIDADE!$E$5,0),"",EOMONTH(B14,1)))</f>
        <v>45199</v>
      </c>
      <c r="C15" s="22">
        <f ca="1">IF(B15="","",IF(MONTH(B15)=1,C14*(1+PREMISSAS!$C$58),C14))</f>
        <v>0</v>
      </c>
      <c r="D15" s="22">
        <f ca="1">IF(RESULTADOS!$C$17="Normal",IFERROR(MAX(C15-PREMISSAS!$C$14,0),0),IF(PREMISSAS!$H$117=0,0,MAX(10*PREMISSAS!$C$39,RESULTADOS!$F$17)))</f>
        <v>0</v>
      </c>
      <c r="E15" s="4">
        <f ca="1">D15*IF(RESULTADOS!$C$17="Normal",RESULTADOS!$C$16,0)</f>
        <v>0</v>
      </c>
      <c r="F15" s="4">
        <f ca="1">IF(D15&lt;&gt;0,PREMISSAS!$N$83,0)</f>
        <v>0</v>
      </c>
      <c r="G15" s="4">
        <f ca="1">IFERROR(IF(RESULTADOS!$C$17="Normal",0,D15)*IF(RESULTADOS!$C$17="Normal",RESULTADOS!$C$18,RESULTADOS!$C$16),0)</f>
        <v>0</v>
      </c>
      <c r="H15" s="4">
        <f ca="1">IF(RESULTADOS!$C$17="Normal",E15,0)</f>
        <v>0</v>
      </c>
      <c r="I15" s="4">
        <f ca="1">(E15+H15+G15)*IFERROR(VLOOKUP(INT(COUNT($B$5:B15)/12),PREMISSAS!$B$62:$C$69,2,FALSE),PREMISSAS!$C$69)</f>
        <v>0</v>
      </c>
      <c r="J15" s="4">
        <f ca="1">D15*IF(RESULTADOS!$C$17="Normal",PREMISSAS!$C$71,0)</f>
        <v>0</v>
      </c>
      <c r="K15" s="87">
        <f ca="1">IFERROR(K14*(1+PREMISSAS!$C$19)+(E15+H15-IF(RESULTADOS!$C$17="Normal",I15,0)-J15)*IF(MONTH(B15)=12,2,1),0)</f>
        <v>0</v>
      </c>
      <c r="L15" s="87">
        <f ca="1">IFERROR((L14+G15-IF(RESULTADOS!$C$17="Normal",0,I15))*(1+PREMISSAS!$C$19)+F15,0)</f>
        <v>0</v>
      </c>
      <c r="N15" s="58">
        <f t="shared" ca="1" si="0"/>
        <v>0</v>
      </c>
      <c r="O15" s="223"/>
      <c r="P15" s="131">
        <f t="shared" ca="1" si="1"/>
        <v>45199</v>
      </c>
      <c r="Q15" s="111">
        <f ca="1">IF(C15="","",Q14+(E15+H15-IF(RESULTADOS!$C$17="Normal",I15,0)-J15)/2+(F15+G15-IF(RESULTADOS!$C$17="Normal",0,I15)))</f>
        <v>0</v>
      </c>
      <c r="R15" s="111">
        <f ca="1">IF(C15="","",R14+(E15+H15-IF(RESULTADOS!$C$17="Normal",I15,0)-J15)/2)</f>
        <v>0</v>
      </c>
      <c r="S15" s="111">
        <f t="shared" ca="1" si="4"/>
        <v>0</v>
      </c>
      <c r="U15" s="131" t="str">
        <f t="shared" ca="1" si="5"/>
        <v/>
      </c>
      <c r="V15" s="131" t="str">
        <f t="shared" ca="1" si="2"/>
        <v/>
      </c>
      <c r="W15" s="111">
        <f ca="1">IF(OR((W14-13/12*Z14)*(1+PREMISSAS!$C$17)&lt;0,W14=""),0,(W14-13/12*Z14)*(1+PREMISSAS!$C$17))</f>
        <v>0</v>
      </c>
      <c r="X15" s="111">
        <f ca="1">IF(OR((X14-13/12*AA14)*(1+PREMISSAS!$C$17)&lt;0,X14=""),0,(X14-13/12*AA14)*(1+PREMISSAS!$C$17))</f>
        <v>0</v>
      </c>
      <c r="Y15" s="111">
        <f t="shared" ca="1" si="3"/>
        <v>0</v>
      </c>
      <c r="Z15" s="134">
        <f t="shared" ca="1" si="6"/>
        <v>0</v>
      </c>
      <c r="AA15" s="134">
        <f t="shared" ca="1" si="7"/>
        <v>0</v>
      </c>
    </row>
    <row r="16" spans="2:27" x14ac:dyDescent="0.3">
      <c r="B16" s="21">
        <f ca="1">IF(B15="","",IF(EOMONTH(B15,1)&gt;EOMONTH(ELEGIBILIDADE!$E$5,0),"",EOMONTH(B15,1)))</f>
        <v>45230</v>
      </c>
      <c r="C16" s="22">
        <f ca="1">IF(B16="","",IF(MONTH(B16)=1,C15*(1+PREMISSAS!$C$58),C15))</f>
        <v>0</v>
      </c>
      <c r="D16" s="22">
        <f ca="1">IF(RESULTADOS!$C$17="Normal",IFERROR(MAX(C16-PREMISSAS!$C$14,0),0),IF(PREMISSAS!$H$117=0,0,MAX(10*PREMISSAS!$C$39,RESULTADOS!$F$17)))</f>
        <v>0</v>
      </c>
      <c r="E16" s="4">
        <f ca="1">D16*IF(RESULTADOS!$C$17="Normal",RESULTADOS!$C$16,0)</f>
        <v>0</v>
      </c>
      <c r="F16" s="4">
        <f ca="1">IF(D16&lt;&gt;0,PREMISSAS!$N$83,0)</f>
        <v>0</v>
      </c>
      <c r="G16" s="4">
        <f ca="1">IFERROR(IF(RESULTADOS!$C$17="Normal",0,D16)*IF(RESULTADOS!$C$17="Normal",RESULTADOS!$C$18,RESULTADOS!$C$16),0)</f>
        <v>0</v>
      </c>
      <c r="H16" s="4">
        <f ca="1">IF(RESULTADOS!$C$17="Normal",E16,0)</f>
        <v>0</v>
      </c>
      <c r="I16" s="4">
        <f ca="1">(E16+H16+G16)*IFERROR(VLOOKUP(INT(COUNT($B$5:B16)/12),PREMISSAS!$B$62:$C$69,2,FALSE),PREMISSAS!$C$69)</f>
        <v>0</v>
      </c>
      <c r="J16" s="4">
        <f ca="1">D16*IF(RESULTADOS!$C$17="Normal",PREMISSAS!$C$71,0)</f>
        <v>0</v>
      </c>
      <c r="K16" s="87">
        <f ca="1">IFERROR(K15*(1+PREMISSAS!$C$19)+(E16+H16-IF(RESULTADOS!$C$17="Normal",I16,0)-J16)*IF(MONTH(B16)=12,2,1),0)</f>
        <v>0</v>
      </c>
      <c r="L16" s="87">
        <f ca="1">IFERROR((L15+G16-IF(RESULTADOS!$C$17="Normal",0,I16))*(1+PREMISSAS!$C$19)+F16,0)</f>
        <v>0</v>
      </c>
      <c r="N16" s="58">
        <f t="shared" ca="1" si="0"/>
        <v>0</v>
      </c>
      <c r="O16" s="223"/>
      <c r="P16" s="131">
        <f t="shared" ca="1" si="1"/>
        <v>45230</v>
      </c>
      <c r="Q16" s="111">
        <f ca="1">IF(C16="","",Q15+(E16+H16-IF(RESULTADOS!$C$17="Normal",I16,0)-J16)/2+(F16+G16-IF(RESULTADOS!$C$17="Normal",0,I16)))</f>
        <v>0</v>
      </c>
      <c r="R16" s="111">
        <f ca="1">IF(C16="","",R15+(E16+H16-IF(RESULTADOS!$C$17="Normal",I16,0)-J16)/2)</f>
        <v>0</v>
      </c>
      <c r="S16" s="111">
        <f t="shared" ca="1" si="4"/>
        <v>0</v>
      </c>
      <c r="U16" s="131" t="str">
        <f t="shared" ca="1" si="5"/>
        <v/>
      </c>
      <c r="V16" s="131" t="str">
        <f t="shared" ca="1" si="2"/>
        <v/>
      </c>
      <c r="W16" s="111">
        <f ca="1">IF(OR((W15-13/12*Z15)*(1+PREMISSAS!$C$17)&lt;0,W15=""),0,(W15-13/12*Z15)*(1+PREMISSAS!$C$17))</f>
        <v>0</v>
      </c>
      <c r="X16" s="111">
        <f ca="1">IF(OR((X15-13/12*AA15)*(1+PREMISSAS!$C$17)&lt;0,X15=""),0,(X15-13/12*AA15)*(1+PREMISSAS!$C$17))</f>
        <v>0</v>
      </c>
      <c r="Y16" s="111">
        <f t="shared" ca="1" si="3"/>
        <v>0</v>
      </c>
      <c r="Z16" s="134">
        <f t="shared" ca="1" si="6"/>
        <v>0</v>
      </c>
      <c r="AA16" s="134">
        <f t="shared" ca="1" si="7"/>
        <v>0</v>
      </c>
    </row>
    <row r="17" spans="2:27" x14ac:dyDescent="0.3">
      <c r="B17" s="21">
        <f ca="1">IF(B16="","",IF(EOMONTH(B16,1)&gt;EOMONTH(ELEGIBILIDADE!$E$5,0),"",EOMONTH(B16,1)))</f>
        <v>45260</v>
      </c>
      <c r="C17" s="22">
        <f ca="1">IF(B17="","",IF(MONTH(B17)=1,C16*(1+PREMISSAS!$C$58),C16))</f>
        <v>0</v>
      </c>
      <c r="D17" s="22">
        <f ca="1">IF(RESULTADOS!$C$17="Normal",IFERROR(MAX(C17-PREMISSAS!$C$14,0),0),IF(PREMISSAS!$H$117=0,0,MAX(10*PREMISSAS!$C$39,RESULTADOS!$F$17)))</f>
        <v>0</v>
      </c>
      <c r="E17" s="4">
        <f ca="1">D17*IF(RESULTADOS!$C$17="Normal",RESULTADOS!$C$16,0)</f>
        <v>0</v>
      </c>
      <c r="F17" s="4">
        <f ca="1">IF(D17&lt;&gt;0,PREMISSAS!$N$83,0)</f>
        <v>0</v>
      </c>
      <c r="G17" s="4">
        <f ca="1">IFERROR(IF(RESULTADOS!$C$17="Normal",0,D17)*IF(RESULTADOS!$C$17="Normal",RESULTADOS!$C$18,RESULTADOS!$C$16),0)</f>
        <v>0</v>
      </c>
      <c r="H17" s="4">
        <f ca="1">IF(RESULTADOS!$C$17="Normal",E17,0)</f>
        <v>0</v>
      </c>
      <c r="I17" s="4">
        <f ca="1">(E17+H17+G17)*IFERROR(VLOOKUP(INT(COUNT($B$5:B17)/12),PREMISSAS!$B$62:$C$69,2,FALSE),PREMISSAS!$C$69)</f>
        <v>0</v>
      </c>
      <c r="J17" s="4">
        <f ca="1">D17*IF(RESULTADOS!$C$17="Normal",PREMISSAS!$C$71,0)</f>
        <v>0</v>
      </c>
      <c r="K17" s="87">
        <f ca="1">IFERROR(K16*(1+PREMISSAS!$C$19)+(E17+H17-IF(RESULTADOS!$C$17="Normal",I17,0)-J17)*IF(MONTH(B17)=12,2,1),0)</f>
        <v>0</v>
      </c>
      <c r="L17" s="87">
        <f ca="1">IFERROR((L16+G17-IF(RESULTADOS!$C$17="Normal",0,I17))*(1+PREMISSAS!$C$19)+F17,0)</f>
        <v>0</v>
      </c>
      <c r="N17" s="58">
        <f t="shared" ca="1" si="0"/>
        <v>0</v>
      </c>
      <c r="O17" s="223"/>
      <c r="P17" s="131">
        <f t="shared" ca="1" si="1"/>
        <v>45260</v>
      </c>
      <c r="Q17" s="111">
        <f ca="1">IF(C17="","",Q16+(E17+H17-IF(RESULTADOS!$C$17="Normal",I17,0)-J17)/2+(F17+G17-IF(RESULTADOS!$C$17="Normal",0,I17)))</f>
        <v>0</v>
      </c>
      <c r="R17" s="111">
        <f ca="1">IF(C17="","",R16+(E17+H17-IF(RESULTADOS!$C$17="Normal",I17,0)-J17)/2)</f>
        <v>0</v>
      </c>
      <c r="S17" s="111">
        <f t="shared" ca="1" si="4"/>
        <v>0</v>
      </c>
      <c r="U17" s="131" t="str">
        <f t="shared" ca="1" si="5"/>
        <v/>
      </c>
      <c r="V17" s="131" t="str">
        <f t="shared" ca="1" si="2"/>
        <v/>
      </c>
      <c r="W17" s="111">
        <f ca="1">IF(OR((W16-13/12*Z16)*(1+PREMISSAS!$C$17)&lt;0,W16=""),0,(W16-13/12*Z16)*(1+PREMISSAS!$C$17))</f>
        <v>0</v>
      </c>
      <c r="X17" s="111">
        <f ca="1">IF(OR((X16-13/12*AA16)*(1+PREMISSAS!$C$17)&lt;0,X16=""),0,(X16-13/12*AA16)*(1+PREMISSAS!$C$17))</f>
        <v>0</v>
      </c>
      <c r="Y17" s="111">
        <f t="shared" ca="1" si="3"/>
        <v>0</v>
      </c>
      <c r="Z17" s="134">
        <f t="shared" ca="1" si="6"/>
        <v>0</v>
      </c>
      <c r="AA17" s="134">
        <f t="shared" ca="1" si="7"/>
        <v>0</v>
      </c>
    </row>
    <row r="18" spans="2:27" x14ac:dyDescent="0.3">
      <c r="B18" s="21">
        <f ca="1">IF(B17="","",IF(EOMONTH(B17,1)&gt;EOMONTH(ELEGIBILIDADE!$E$5,0),"",EOMONTH(B17,1)))</f>
        <v>45291</v>
      </c>
      <c r="C18" s="22">
        <f ca="1">IF(B18="","",IF(MONTH(B18)=1,C17*(1+PREMISSAS!$C$58),C17))</f>
        <v>0</v>
      </c>
      <c r="D18" s="22">
        <f ca="1">IF(RESULTADOS!$C$17="Normal",IFERROR(MAX(C18-PREMISSAS!$C$14,0),0),IF(PREMISSAS!$H$117=0,0,MAX(10*PREMISSAS!$C$39,RESULTADOS!$F$17)))</f>
        <v>0</v>
      </c>
      <c r="E18" s="4">
        <f ca="1">D18*IF(RESULTADOS!$C$17="Normal",RESULTADOS!$C$16,0)</f>
        <v>0</v>
      </c>
      <c r="F18" s="4">
        <f ca="1">IF(D18&lt;&gt;0,PREMISSAS!$N$83,0)</f>
        <v>0</v>
      </c>
      <c r="G18" s="4">
        <f ca="1">IFERROR(IF(RESULTADOS!$C$17="Normal",0,D18)*IF(RESULTADOS!$C$17="Normal",RESULTADOS!$C$18,RESULTADOS!$C$16),0)</f>
        <v>0</v>
      </c>
      <c r="H18" s="4">
        <f ca="1">IF(RESULTADOS!$C$17="Normal",E18,0)</f>
        <v>0</v>
      </c>
      <c r="I18" s="4">
        <f ca="1">(E18+H18+G18)*IFERROR(VLOOKUP(INT(COUNT($B$5:B18)/12),PREMISSAS!$B$62:$C$69,2,FALSE),PREMISSAS!$C$69)</f>
        <v>0</v>
      </c>
      <c r="J18" s="4">
        <f ca="1">D18*IF(RESULTADOS!$C$17="Normal",PREMISSAS!$C$71,0)</f>
        <v>0</v>
      </c>
      <c r="K18" s="87">
        <f ca="1">IFERROR(K17*(1+PREMISSAS!$C$19)+(E18+H18-IF(RESULTADOS!$C$17="Normal",I18,0)-J18)*IF(MONTH(B18)=12,2,1),0)</f>
        <v>0</v>
      </c>
      <c r="L18" s="87">
        <f ca="1">IFERROR((L17+G18-IF(RESULTADOS!$C$17="Normal",0,I18))*(1+PREMISSAS!$C$19)+F18,0)</f>
        <v>0</v>
      </c>
      <c r="N18" s="58">
        <f t="shared" ca="1" si="0"/>
        <v>0</v>
      </c>
      <c r="O18" s="223"/>
      <c r="P18" s="131">
        <f t="shared" ca="1" si="1"/>
        <v>45291</v>
      </c>
      <c r="Q18" s="111">
        <f ca="1">IF(C18="","",Q17+(E18+H18-IF(RESULTADOS!$C$17="Normal",I18,0)-J18)/2+(F18+G18-IF(RESULTADOS!$C$17="Normal",0,I18)))</f>
        <v>0</v>
      </c>
      <c r="R18" s="111">
        <f ca="1">IF(C18="","",R17+(E18+H18-IF(RESULTADOS!$C$17="Normal",I18,0)-J18)/2)</f>
        <v>0</v>
      </c>
      <c r="S18" s="111">
        <f t="shared" ca="1" si="4"/>
        <v>0</v>
      </c>
      <c r="U18" s="131" t="str">
        <f t="shared" ca="1" si="5"/>
        <v/>
      </c>
      <c r="V18" s="131" t="str">
        <f t="shared" ca="1" si="2"/>
        <v/>
      </c>
      <c r="W18" s="111">
        <f ca="1">IF(OR((W17-13/12*Z17)*(1+PREMISSAS!$C$17)&lt;0,W17=""),0,(W17-13/12*Z17)*(1+PREMISSAS!$C$17))</f>
        <v>0</v>
      </c>
      <c r="X18" s="111">
        <f ca="1">IF(OR((X17-13/12*AA17)*(1+PREMISSAS!$C$17)&lt;0,X17=""),0,(X17-13/12*AA17)*(1+PREMISSAS!$C$17))</f>
        <v>0</v>
      </c>
      <c r="Y18" s="111">
        <f t="shared" ca="1" si="3"/>
        <v>0</v>
      </c>
      <c r="Z18" s="134">
        <f t="shared" ca="1" si="6"/>
        <v>0</v>
      </c>
      <c r="AA18" s="134">
        <f t="shared" ca="1" si="7"/>
        <v>0</v>
      </c>
    </row>
    <row r="19" spans="2:27" x14ac:dyDescent="0.3">
      <c r="B19" s="21">
        <f ca="1">IF(B18="","",IF(EOMONTH(B18,1)&gt;EOMONTH(ELEGIBILIDADE!$E$5,0),"",EOMONTH(B18,1)))</f>
        <v>45322</v>
      </c>
      <c r="C19" s="22">
        <f ca="1">IF(B19="","",IF(MONTH(B19)=1,C18*(1+PREMISSAS!$C$58),C18))</f>
        <v>0</v>
      </c>
      <c r="D19" s="22">
        <f ca="1">IF(RESULTADOS!$C$17="Normal",IFERROR(MAX(C19-PREMISSAS!$C$14,0),0),IF(PREMISSAS!$H$117=0,0,MAX(10*PREMISSAS!$C$39,RESULTADOS!$F$17)))</f>
        <v>0</v>
      </c>
      <c r="E19" s="4">
        <f ca="1">D19*IF(RESULTADOS!$C$17="Normal",RESULTADOS!$C$16,0)</f>
        <v>0</v>
      </c>
      <c r="F19" s="4">
        <f ca="1">IF(D19&lt;&gt;0,PREMISSAS!$N$83,0)</f>
        <v>0</v>
      </c>
      <c r="G19" s="4">
        <f ca="1">IFERROR(IF(RESULTADOS!$C$17="Normal",0,D19)*IF(RESULTADOS!$C$17="Normal",RESULTADOS!$C$18,RESULTADOS!$C$16),0)</f>
        <v>0</v>
      </c>
      <c r="H19" s="4">
        <f ca="1">IF(RESULTADOS!$C$17="Normal",E19,0)</f>
        <v>0</v>
      </c>
      <c r="I19" s="4">
        <f ca="1">(E19+H19+G19)*IFERROR(VLOOKUP(INT(COUNT($B$5:B19)/12),PREMISSAS!$B$62:$C$69,2,FALSE),PREMISSAS!$C$69)</f>
        <v>0</v>
      </c>
      <c r="J19" s="4">
        <f ca="1">D19*IF(RESULTADOS!$C$17="Normal",PREMISSAS!$C$71,0)</f>
        <v>0</v>
      </c>
      <c r="K19" s="87">
        <f ca="1">IFERROR(K18*(1+PREMISSAS!$C$19)+(E19+H19-IF(RESULTADOS!$C$17="Normal",I19,0)-J19)*IF(MONTH(B19)=12,2,1),0)</f>
        <v>0</v>
      </c>
      <c r="L19" s="87">
        <f ca="1">IFERROR((L18+G19-IF(RESULTADOS!$C$17="Normal",0,I19))*(1+PREMISSAS!$C$19)+F19,0)</f>
        <v>0</v>
      </c>
      <c r="N19" s="58">
        <f t="shared" ca="1" si="0"/>
        <v>0</v>
      </c>
      <c r="O19" s="223"/>
      <c r="P19" s="131">
        <f t="shared" ca="1" si="1"/>
        <v>45322</v>
      </c>
      <c r="Q19" s="111">
        <f ca="1">IF(C19="","",Q18+(E19+H19-IF(RESULTADOS!$C$17="Normal",I19,0)-J19)/2+(F19+G19-IF(RESULTADOS!$C$17="Normal",0,I19)))</f>
        <v>0</v>
      </c>
      <c r="R19" s="111">
        <f ca="1">IF(C19="","",R18+(E19+H19-IF(RESULTADOS!$C$17="Normal",I19,0)-J19)/2)</f>
        <v>0</v>
      </c>
      <c r="S19" s="111">
        <f t="shared" ca="1" si="4"/>
        <v>0</v>
      </c>
      <c r="U19" s="131" t="str">
        <f t="shared" ca="1" si="5"/>
        <v/>
      </c>
      <c r="V19" s="131" t="str">
        <f t="shared" ca="1" si="2"/>
        <v/>
      </c>
      <c r="W19" s="111">
        <f ca="1">IF(OR((W18-13/12*Z18)*(1+PREMISSAS!$C$17)&lt;0,W18=""),0,(W18-13/12*Z18)*(1+PREMISSAS!$C$17))</f>
        <v>0</v>
      </c>
      <c r="X19" s="111">
        <f ca="1">IF(OR((X18-13/12*AA18)*(1+PREMISSAS!$C$17)&lt;0,X18=""),0,(X18-13/12*AA18)*(1+PREMISSAS!$C$17))</f>
        <v>0</v>
      </c>
      <c r="Y19" s="111">
        <f t="shared" ca="1" si="3"/>
        <v>0</v>
      </c>
      <c r="Z19" s="134">
        <f t="shared" ca="1" si="6"/>
        <v>0</v>
      </c>
      <c r="AA19" s="134">
        <f t="shared" ca="1" si="7"/>
        <v>0</v>
      </c>
    </row>
    <row r="20" spans="2:27" x14ac:dyDescent="0.3">
      <c r="B20" s="21">
        <f ca="1">IF(B19="","",IF(EOMONTH(B19,1)&gt;EOMONTH(ELEGIBILIDADE!$E$5,0),"",EOMONTH(B19,1)))</f>
        <v>45351</v>
      </c>
      <c r="C20" s="22">
        <f ca="1">IF(B20="","",IF(MONTH(B20)=1,C19*(1+PREMISSAS!$C$58),C19))</f>
        <v>0</v>
      </c>
      <c r="D20" s="22">
        <f ca="1">IF(RESULTADOS!$C$17="Normal",IFERROR(MAX(C20-PREMISSAS!$C$14,0),0),IF(PREMISSAS!$H$117=0,0,MAX(10*PREMISSAS!$C$39,RESULTADOS!$F$17)))</f>
        <v>0</v>
      </c>
      <c r="E20" s="4">
        <f ca="1">D20*IF(RESULTADOS!$C$17="Normal",RESULTADOS!$C$16,0)</f>
        <v>0</v>
      </c>
      <c r="F20" s="4">
        <f ca="1">IF(D20&lt;&gt;0,PREMISSAS!$N$83,0)</f>
        <v>0</v>
      </c>
      <c r="G20" s="4">
        <f ca="1">IFERROR(IF(RESULTADOS!$C$17="Normal",0,D20)*IF(RESULTADOS!$C$17="Normal",RESULTADOS!$C$18,RESULTADOS!$C$16),0)</f>
        <v>0</v>
      </c>
      <c r="H20" s="4">
        <f ca="1">IF(RESULTADOS!$C$17="Normal",E20,0)</f>
        <v>0</v>
      </c>
      <c r="I20" s="4">
        <f ca="1">(E20+H20+G20)*IFERROR(VLOOKUP(INT(COUNT($B$5:B20)/12),PREMISSAS!$B$62:$C$69,2,FALSE),PREMISSAS!$C$69)</f>
        <v>0</v>
      </c>
      <c r="J20" s="4">
        <f ca="1">D20*IF(RESULTADOS!$C$17="Normal",PREMISSAS!$C$71,0)</f>
        <v>0</v>
      </c>
      <c r="K20" s="87">
        <f ca="1">IFERROR(K19*(1+PREMISSAS!$C$19)+(E20+H20-IF(RESULTADOS!$C$17="Normal",I20,0)-J20)*IF(MONTH(B20)=12,2,1),0)</f>
        <v>0</v>
      </c>
      <c r="L20" s="87">
        <f ca="1">IFERROR((L19+G20-IF(RESULTADOS!$C$17="Normal",0,I20))*(1+PREMISSAS!$C$19)+F20,0)</f>
        <v>0</v>
      </c>
      <c r="N20" s="58">
        <f t="shared" ca="1" si="0"/>
        <v>0</v>
      </c>
      <c r="O20" s="223"/>
      <c r="P20" s="131">
        <f t="shared" ca="1" si="1"/>
        <v>45351</v>
      </c>
      <c r="Q20" s="111">
        <f ca="1">IF(C20="","",Q19+(E20+H20-IF(RESULTADOS!$C$17="Normal",I20,0)-J20)/2+(F20+G20-IF(RESULTADOS!$C$17="Normal",0,I20)))</f>
        <v>0</v>
      </c>
      <c r="R20" s="111">
        <f ca="1">IF(C20="","",R19+(E20+H20-IF(RESULTADOS!$C$17="Normal",I20,0)-J20)/2)</f>
        <v>0</v>
      </c>
      <c r="S20" s="111">
        <f t="shared" ca="1" si="4"/>
        <v>0</v>
      </c>
      <c r="U20" s="131" t="str">
        <f t="shared" ca="1" si="5"/>
        <v/>
      </c>
      <c r="V20" s="131" t="str">
        <f t="shared" ca="1" si="2"/>
        <v/>
      </c>
      <c r="W20" s="111">
        <f ca="1">IF(OR((W19-13/12*Z19)*(1+PREMISSAS!$C$17)&lt;0,W19=""),0,(W19-13/12*Z19)*(1+PREMISSAS!$C$17))</f>
        <v>0</v>
      </c>
      <c r="X20" s="111">
        <f ca="1">IF(OR((X19-13/12*AA19)*(1+PREMISSAS!$C$17)&lt;0,X19=""),0,(X19-13/12*AA19)*(1+PREMISSAS!$C$17))</f>
        <v>0</v>
      </c>
      <c r="Y20" s="111">
        <f t="shared" ca="1" si="3"/>
        <v>0</v>
      </c>
      <c r="Z20" s="134">
        <f t="shared" ca="1" si="6"/>
        <v>0</v>
      </c>
      <c r="AA20" s="134">
        <f t="shared" ca="1" si="7"/>
        <v>0</v>
      </c>
    </row>
    <row r="21" spans="2:27" x14ac:dyDescent="0.3">
      <c r="B21" s="21">
        <f ca="1">IF(B20="","",IF(EOMONTH(B20,1)&gt;EOMONTH(ELEGIBILIDADE!$E$5,0),"",EOMONTH(B20,1)))</f>
        <v>45382</v>
      </c>
      <c r="C21" s="22">
        <f ca="1">IF(B21="","",IF(MONTH(B21)=1,C20*(1+PREMISSAS!$C$58),C20))</f>
        <v>0</v>
      </c>
      <c r="D21" s="22">
        <f ca="1">IF(RESULTADOS!$C$17="Normal",IFERROR(MAX(C21-PREMISSAS!$C$14,0),0),IF(PREMISSAS!$H$117=0,0,MAX(10*PREMISSAS!$C$39,RESULTADOS!$F$17)))</f>
        <v>0</v>
      </c>
      <c r="E21" s="4">
        <f ca="1">D21*IF(RESULTADOS!$C$17="Normal",RESULTADOS!$C$16,0)</f>
        <v>0</v>
      </c>
      <c r="F21" s="4">
        <f ca="1">IF(D21&lt;&gt;0,PREMISSAS!$N$83,0)</f>
        <v>0</v>
      </c>
      <c r="G21" s="4">
        <f ca="1">IFERROR(IF(RESULTADOS!$C$17="Normal",0,D21)*IF(RESULTADOS!$C$17="Normal",RESULTADOS!$C$18,RESULTADOS!$C$16),0)</f>
        <v>0</v>
      </c>
      <c r="H21" s="4">
        <f ca="1">IF(RESULTADOS!$C$17="Normal",E21,0)</f>
        <v>0</v>
      </c>
      <c r="I21" s="4">
        <f ca="1">(E21+H21+G21)*IFERROR(VLOOKUP(INT(COUNT($B$5:B21)/12),PREMISSAS!$B$62:$C$69,2,FALSE),PREMISSAS!$C$69)</f>
        <v>0</v>
      </c>
      <c r="J21" s="4">
        <f ca="1">D21*IF(RESULTADOS!$C$17="Normal",PREMISSAS!$C$71,0)</f>
        <v>0</v>
      </c>
      <c r="K21" s="87">
        <f ca="1">IFERROR(K20*(1+PREMISSAS!$C$19)+(E21+H21-IF(RESULTADOS!$C$17="Normal",I21,0)-J21)*IF(MONTH(B21)=12,2,1),0)</f>
        <v>0</v>
      </c>
      <c r="L21" s="87">
        <f ca="1">IFERROR((L20+G21-IF(RESULTADOS!$C$17="Normal",0,I21))*(1+PREMISSAS!$C$19)+F21,0)</f>
        <v>0</v>
      </c>
      <c r="N21" s="58">
        <f t="shared" ca="1" si="0"/>
        <v>0</v>
      </c>
      <c r="O21" s="223"/>
      <c r="P21" s="131">
        <f t="shared" ca="1" si="1"/>
        <v>45382</v>
      </c>
      <c r="Q21" s="111">
        <f ca="1">IF(C21="","",Q20+(E21+H21-IF(RESULTADOS!$C$17="Normal",I21,0)-J21)/2+(F21+G21-IF(RESULTADOS!$C$17="Normal",0,I21)))</f>
        <v>0</v>
      </c>
      <c r="R21" s="111">
        <f ca="1">IF(C21="","",R20+(E21+H21-IF(RESULTADOS!$C$17="Normal",I21,0)-J21)/2)</f>
        <v>0</v>
      </c>
      <c r="S21" s="111">
        <f t="shared" ca="1" si="4"/>
        <v>0</v>
      </c>
      <c r="U21" s="131" t="str">
        <f t="shared" ca="1" si="5"/>
        <v/>
      </c>
      <c r="V21" s="131" t="str">
        <f t="shared" ca="1" si="2"/>
        <v/>
      </c>
      <c r="W21" s="111">
        <f ca="1">IF(OR((W20-13/12*Z20)*(1+PREMISSAS!$C$17)&lt;0,W20=""),0,(W20-13/12*Z20)*(1+PREMISSAS!$C$17))</f>
        <v>0</v>
      </c>
      <c r="X21" s="111">
        <f ca="1">IF(OR((X20-13/12*AA20)*(1+PREMISSAS!$C$17)&lt;0,X20=""),0,(X20-13/12*AA20)*(1+PREMISSAS!$C$17))</f>
        <v>0</v>
      </c>
      <c r="Y21" s="111">
        <f t="shared" ca="1" si="3"/>
        <v>0</v>
      </c>
      <c r="Z21" s="134">
        <f t="shared" ca="1" si="6"/>
        <v>0</v>
      </c>
      <c r="AA21" s="134">
        <f t="shared" ca="1" si="7"/>
        <v>0</v>
      </c>
    </row>
    <row r="22" spans="2:27" x14ac:dyDescent="0.3">
      <c r="B22" s="21">
        <f ca="1">IF(B21="","",IF(EOMONTH(B21,1)&gt;EOMONTH(ELEGIBILIDADE!$E$5,0),"",EOMONTH(B21,1)))</f>
        <v>45412</v>
      </c>
      <c r="C22" s="22">
        <f ca="1">IF(B22="","",IF(MONTH(B22)=1,C21*(1+PREMISSAS!$C$58),C21))</f>
        <v>0</v>
      </c>
      <c r="D22" s="22">
        <f ca="1">IF(RESULTADOS!$C$17="Normal",IFERROR(MAX(C22-PREMISSAS!$C$14,0),0),IF(PREMISSAS!$H$117=0,0,MAX(10*PREMISSAS!$C$39,RESULTADOS!$F$17)))</f>
        <v>0</v>
      </c>
      <c r="E22" s="4">
        <f ca="1">D22*IF(RESULTADOS!$C$17="Normal",RESULTADOS!$C$16,0)</f>
        <v>0</v>
      </c>
      <c r="F22" s="4">
        <f ca="1">IF(D22&lt;&gt;0,PREMISSAS!$N$83,0)</f>
        <v>0</v>
      </c>
      <c r="G22" s="4">
        <f ca="1">IFERROR(IF(RESULTADOS!$C$17="Normal",0,D22)*IF(RESULTADOS!$C$17="Normal",RESULTADOS!$C$18,RESULTADOS!$C$16),0)</f>
        <v>0</v>
      </c>
      <c r="H22" s="4">
        <f ca="1">IF(RESULTADOS!$C$17="Normal",E22,0)</f>
        <v>0</v>
      </c>
      <c r="I22" s="4">
        <f ca="1">(E22+H22+G22)*IFERROR(VLOOKUP(INT(COUNT($B$5:B22)/12),PREMISSAS!$B$62:$C$69,2,FALSE),PREMISSAS!$C$69)</f>
        <v>0</v>
      </c>
      <c r="J22" s="4">
        <f ca="1">D22*IF(RESULTADOS!$C$17="Normal",PREMISSAS!$C$71,0)</f>
        <v>0</v>
      </c>
      <c r="K22" s="87">
        <f ca="1">IFERROR(K21*(1+PREMISSAS!$C$19)+(E22+H22-IF(RESULTADOS!$C$17="Normal",I22,0)-J22)*IF(MONTH(B22)=12,2,1),0)</f>
        <v>0</v>
      </c>
      <c r="L22" s="87">
        <f ca="1">IFERROR((L21+G22-IF(RESULTADOS!$C$17="Normal",0,I22))*(1+PREMISSAS!$C$19)+F22,0)</f>
        <v>0</v>
      </c>
      <c r="N22" s="58">
        <f t="shared" ca="1" si="0"/>
        <v>0</v>
      </c>
      <c r="O22" s="223"/>
      <c r="P22" s="131">
        <f t="shared" ca="1" si="1"/>
        <v>45412</v>
      </c>
      <c r="Q22" s="111">
        <f ca="1">IF(C22="","",Q21+(E22+H22-IF(RESULTADOS!$C$17="Normal",I22,0)-J22)/2+(F22+G22-IF(RESULTADOS!$C$17="Normal",0,I22)))</f>
        <v>0</v>
      </c>
      <c r="R22" s="111">
        <f ca="1">IF(C22="","",R21+(E22+H22-IF(RESULTADOS!$C$17="Normal",I22,0)-J22)/2)</f>
        <v>0</v>
      </c>
      <c r="S22" s="111">
        <f t="shared" ca="1" si="4"/>
        <v>0</v>
      </c>
      <c r="U22" s="131" t="str">
        <f t="shared" ca="1" si="5"/>
        <v/>
      </c>
      <c r="V22" s="131" t="str">
        <f t="shared" ca="1" si="2"/>
        <v/>
      </c>
      <c r="W22" s="111">
        <f ca="1">IF(OR((W21-13/12*Z21)*(1+PREMISSAS!$C$17)&lt;0,W21=""),0,(W21-13/12*Z21)*(1+PREMISSAS!$C$17))</f>
        <v>0</v>
      </c>
      <c r="X22" s="111">
        <f ca="1">IF(OR((X21-13/12*AA21)*(1+PREMISSAS!$C$17)&lt;0,X21=""),0,(X21-13/12*AA21)*(1+PREMISSAS!$C$17))</f>
        <v>0</v>
      </c>
      <c r="Y22" s="111">
        <f t="shared" ca="1" si="3"/>
        <v>0</v>
      </c>
      <c r="Z22" s="134">
        <f t="shared" ca="1" si="6"/>
        <v>0</v>
      </c>
      <c r="AA22" s="134">
        <f t="shared" ca="1" si="7"/>
        <v>0</v>
      </c>
    </row>
    <row r="23" spans="2:27" x14ac:dyDescent="0.3">
      <c r="B23" s="21">
        <f ca="1">IF(B22="","",IF(EOMONTH(B22,1)&gt;EOMONTH(ELEGIBILIDADE!$E$5,0),"",EOMONTH(B22,1)))</f>
        <v>45443</v>
      </c>
      <c r="C23" s="22">
        <f ca="1">IF(B23="","",IF(MONTH(B23)=1,C22*(1+PREMISSAS!$C$58),C22))</f>
        <v>0</v>
      </c>
      <c r="D23" s="22">
        <f ca="1">IF(RESULTADOS!$C$17="Normal",IFERROR(MAX(C23-PREMISSAS!$C$14,0),0),IF(PREMISSAS!$H$117=0,0,MAX(10*PREMISSAS!$C$39,RESULTADOS!$F$17)))</f>
        <v>0</v>
      </c>
      <c r="E23" s="4">
        <f ca="1">D23*IF(RESULTADOS!$C$17="Normal",RESULTADOS!$C$16,0)</f>
        <v>0</v>
      </c>
      <c r="F23" s="4">
        <f ca="1">IF(D23&lt;&gt;0,PREMISSAS!$N$83,0)</f>
        <v>0</v>
      </c>
      <c r="G23" s="4">
        <f ca="1">IFERROR(IF(RESULTADOS!$C$17="Normal",0,D23)*IF(RESULTADOS!$C$17="Normal",RESULTADOS!$C$18,RESULTADOS!$C$16),0)</f>
        <v>0</v>
      </c>
      <c r="H23" s="4">
        <f ca="1">IF(RESULTADOS!$C$17="Normal",E23,0)</f>
        <v>0</v>
      </c>
      <c r="I23" s="4">
        <f ca="1">(E23+H23+G23)*IFERROR(VLOOKUP(INT(COUNT($B$5:B23)/12),PREMISSAS!$B$62:$C$69,2,FALSE),PREMISSAS!$C$69)</f>
        <v>0</v>
      </c>
      <c r="J23" s="4">
        <f ca="1">D23*IF(RESULTADOS!$C$17="Normal",PREMISSAS!$C$71,0)</f>
        <v>0</v>
      </c>
      <c r="K23" s="87">
        <f ca="1">IFERROR(K22*(1+PREMISSAS!$C$19)+(E23+H23-IF(RESULTADOS!$C$17="Normal",I23,0)-J23)*IF(MONTH(B23)=12,2,1),0)</f>
        <v>0</v>
      </c>
      <c r="L23" s="87">
        <f ca="1">IFERROR((L22+G23-IF(RESULTADOS!$C$17="Normal",0,I23))*(1+PREMISSAS!$C$19)+F23,0)</f>
        <v>0</v>
      </c>
      <c r="N23" s="58">
        <f t="shared" ca="1" si="0"/>
        <v>0</v>
      </c>
      <c r="O23" s="223"/>
      <c r="P23" s="131">
        <f t="shared" ca="1" si="1"/>
        <v>45443</v>
      </c>
      <c r="Q23" s="111">
        <f ca="1">IF(C23="","",Q22+(E23+H23-IF(RESULTADOS!$C$17="Normal",I23,0)-J23)/2+(F23+G23-IF(RESULTADOS!$C$17="Normal",0,I23)))</f>
        <v>0</v>
      </c>
      <c r="R23" s="111">
        <f ca="1">IF(C23="","",R22+(E23+H23-IF(RESULTADOS!$C$17="Normal",I23,0)-J23)/2)</f>
        <v>0</v>
      </c>
      <c r="S23" s="111">
        <f t="shared" ca="1" si="4"/>
        <v>0</v>
      </c>
      <c r="U23" s="131" t="str">
        <f t="shared" ca="1" si="5"/>
        <v/>
      </c>
      <c r="V23" s="131" t="str">
        <f t="shared" ca="1" si="2"/>
        <v/>
      </c>
      <c r="W23" s="111">
        <f ca="1">IF(OR((W22-13/12*Z22)*(1+PREMISSAS!$C$17)&lt;0,W22=""),0,(W22-13/12*Z22)*(1+PREMISSAS!$C$17))</f>
        <v>0</v>
      </c>
      <c r="X23" s="111">
        <f ca="1">IF(OR((X22-13/12*AA22)*(1+PREMISSAS!$C$17)&lt;0,X22=""),0,(X22-13/12*AA22)*(1+PREMISSAS!$C$17))</f>
        <v>0</v>
      </c>
      <c r="Y23" s="111">
        <f t="shared" ca="1" si="3"/>
        <v>0</v>
      </c>
      <c r="Z23" s="134">
        <f t="shared" ca="1" si="6"/>
        <v>0</v>
      </c>
      <c r="AA23" s="134">
        <f t="shared" ca="1" si="7"/>
        <v>0</v>
      </c>
    </row>
    <row r="24" spans="2:27" x14ac:dyDescent="0.3">
      <c r="B24" s="21">
        <f ca="1">IF(B23="","",IF(EOMONTH(B23,1)&gt;EOMONTH(ELEGIBILIDADE!$E$5,0),"",EOMONTH(B23,1)))</f>
        <v>45473</v>
      </c>
      <c r="C24" s="22">
        <f ca="1">IF(B24="","",IF(MONTH(B24)=1,C23*(1+PREMISSAS!$C$58),C23))</f>
        <v>0</v>
      </c>
      <c r="D24" s="22">
        <f ca="1">IF(RESULTADOS!$C$17="Normal",IFERROR(MAX(C24-PREMISSAS!$C$14,0),0),IF(PREMISSAS!$H$117=0,0,MAX(10*PREMISSAS!$C$39,RESULTADOS!$F$17)))</f>
        <v>0</v>
      </c>
      <c r="E24" s="4">
        <f ca="1">D24*IF(RESULTADOS!$C$17="Normal",RESULTADOS!$C$16,0)</f>
        <v>0</v>
      </c>
      <c r="F24" s="4">
        <f ca="1">IF(D24&lt;&gt;0,PREMISSAS!$N$83,0)</f>
        <v>0</v>
      </c>
      <c r="G24" s="4">
        <f ca="1">IFERROR(IF(RESULTADOS!$C$17="Normal",0,D24)*IF(RESULTADOS!$C$17="Normal",RESULTADOS!$C$18,RESULTADOS!$C$16),0)</f>
        <v>0</v>
      </c>
      <c r="H24" s="4">
        <f ca="1">IF(RESULTADOS!$C$17="Normal",E24,0)</f>
        <v>0</v>
      </c>
      <c r="I24" s="4">
        <f ca="1">(E24+H24+G24)*IFERROR(VLOOKUP(INT(COUNT($B$5:B24)/12),PREMISSAS!$B$62:$C$69,2,FALSE),PREMISSAS!$C$69)</f>
        <v>0</v>
      </c>
      <c r="J24" s="4">
        <f ca="1">D24*IF(RESULTADOS!$C$17="Normal",PREMISSAS!$C$71,0)</f>
        <v>0</v>
      </c>
      <c r="K24" s="87">
        <f ca="1">IFERROR(K23*(1+PREMISSAS!$C$19)+(E24+H24-IF(RESULTADOS!$C$17="Normal",I24,0)-J24)*IF(MONTH(B24)=12,2,1),0)</f>
        <v>0</v>
      </c>
      <c r="L24" s="87">
        <f ca="1">IFERROR((L23+G24-IF(RESULTADOS!$C$17="Normal",0,I24))*(1+PREMISSAS!$C$19)+F24,0)</f>
        <v>0</v>
      </c>
      <c r="N24" s="58">
        <f t="shared" ca="1" si="0"/>
        <v>0</v>
      </c>
      <c r="O24" s="223"/>
      <c r="P24" s="131">
        <f t="shared" ca="1" si="1"/>
        <v>45473</v>
      </c>
      <c r="Q24" s="111">
        <f ca="1">IF(C24="","",Q23+(E24+H24-IF(RESULTADOS!$C$17="Normal",I24,0)-J24)/2+(F24+G24-IF(RESULTADOS!$C$17="Normal",0,I24)))</f>
        <v>0</v>
      </c>
      <c r="R24" s="111">
        <f ca="1">IF(C24="","",R23+(E24+H24-IF(RESULTADOS!$C$17="Normal",I24,0)-J24)/2)</f>
        <v>0</v>
      </c>
      <c r="S24" s="111">
        <f t="shared" ca="1" si="4"/>
        <v>0</v>
      </c>
      <c r="U24" s="131" t="str">
        <f t="shared" ca="1" si="5"/>
        <v/>
      </c>
      <c r="V24" s="131" t="str">
        <f t="shared" ca="1" si="2"/>
        <v/>
      </c>
      <c r="W24" s="111">
        <f ca="1">IF(OR((W23-13/12*Z23)*(1+PREMISSAS!$C$17)&lt;0,W23=""),0,(W23-13/12*Z23)*(1+PREMISSAS!$C$17))</f>
        <v>0</v>
      </c>
      <c r="X24" s="111">
        <f ca="1">IF(OR((X23-13/12*AA23)*(1+PREMISSAS!$C$17)&lt;0,X23=""),0,(X23-13/12*AA23)*(1+PREMISSAS!$C$17))</f>
        <v>0</v>
      </c>
      <c r="Y24" s="111">
        <f t="shared" ca="1" si="3"/>
        <v>0</v>
      </c>
      <c r="Z24" s="134">
        <f t="shared" ca="1" si="6"/>
        <v>0</v>
      </c>
      <c r="AA24" s="134">
        <f t="shared" ca="1" si="7"/>
        <v>0</v>
      </c>
    </row>
    <row r="25" spans="2:27" x14ac:dyDescent="0.3">
      <c r="B25" s="21">
        <f ca="1">IF(B24="","",IF(EOMONTH(B24,1)&gt;EOMONTH(ELEGIBILIDADE!$E$5,0),"",EOMONTH(B24,1)))</f>
        <v>45504</v>
      </c>
      <c r="C25" s="22">
        <f ca="1">IF(B25="","",IF(MONTH(B25)=1,C24*(1+PREMISSAS!$C$58),C24))</f>
        <v>0</v>
      </c>
      <c r="D25" s="22">
        <f ca="1">IF(RESULTADOS!$C$17="Normal",IFERROR(MAX(C25-PREMISSAS!$C$14,0),0),IF(PREMISSAS!$H$117=0,0,MAX(10*PREMISSAS!$C$39,RESULTADOS!$F$17)))</f>
        <v>0</v>
      </c>
      <c r="E25" s="4">
        <f ca="1">D25*IF(RESULTADOS!$C$17="Normal",RESULTADOS!$C$16,0)</f>
        <v>0</v>
      </c>
      <c r="F25" s="4">
        <f ca="1">IF(D25&lt;&gt;0,PREMISSAS!$N$83,0)</f>
        <v>0</v>
      </c>
      <c r="G25" s="4">
        <f ca="1">IFERROR(IF(RESULTADOS!$C$17="Normal",0,D25)*IF(RESULTADOS!$C$17="Normal",RESULTADOS!$C$18,RESULTADOS!$C$16),0)</f>
        <v>0</v>
      </c>
      <c r="H25" s="4">
        <f ca="1">IF(RESULTADOS!$C$17="Normal",E25,0)</f>
        <v>0</v>
      </c>
      <c r="I25" s="4">
        <f ca="1">(E25+H25+G25)*IFERROR(VLOOKUP(INT(COUNT($B$5:B25)/12),PREMISSAS!$B$62:$C$69,2,FALSE),PREMISSAS!$C$69)</f>
        <v>0</v>
      </c>
      <c r="J25" s="4">
        <f ca="1">D25*IF(RESULTADOS!$C$17="Normal",PREMISSAS!$C$71,0)</f>
        <v>0</v>
      </c>
      <c r="K25" s="87">
        <f ca="1">IFERROR(K24*(1+PREMISSAS!$C$19)+(E25+H25-IF(RESULTADOS!$C$17="Normal",I25,0)-J25)*IF(MONTH(B25)=12,2,1),0)</f>
        <v>0</v>
      </c>
      <c r="L25" s="87">
        <f ca="1">IFERROR((L24+G25-IF(RESULTADOS!$C$17="Normal",0,I25))*(1+PREMISSAS!$C$19)+F25,0)</f>
        <v>0</v>
      </c>
      <c r="N25" s="58">
        <f t="shared" ca="1" si="0"/>
        <v>0</v>
      </c>
      <c r="O25" s="223"/>
      <c r="P25" s="131">
        <f t="shared" ca="1" si="1"/>
        <v>45504</v>
      </c>
      <c r="Q25" s="111">
        <f ca="1">IF(C25="","",Q24+(E25+H25-IF(RESULTADOS!$C$17="Normal",I25,0)-J25)/2+(F25+G25-IF(RESULTADOS!$C$17="Normal",0,I25)))</f>
        <v>0</v>
      </c>
      <c r="R25" s="111">
        <f ca="1">IF(C25="","",R24+(E25+H25-IF(RESULTADOS!$C$17="Normal",I25,0)-J25)/2)</f>
        <v>0</v>
      </c>
      <c r="S25" s="111">
        <f t="shared" ca="1" si="4"/>
        <v>0</v>
      </c>
      <c r="U25" s="131" t="str">
        <f t="shared" ca="1" si="5"/>
        <v/>
      </c>
      <c r="V25" s="131" t="str">
        <f t="shared" ca="1" si="2"/>
        <v/>
      </c>
      <c r="W25" s="111">
        <f ca="1">IF(OR((W24-13/12*Z24)*(1+PREMISSAS!$C$17)&lt;0,W24=""),0,(W24-13/12*Z24)*(1+PREMISSAS!$C$17))</f>
        <v>0</v>
      </c>
      <c r="X25" s="111">
        <f ca="1">IF(OR((X24-13/12*AA24)*(1+PREMISSAS!$C$17)&lt;0,X24=""),0,(X24-13/12*AA24)*(1+PREMISSAS!$C$17))</f>
        <v>0</v>
      </c>
      <c r="Y25" s="111">
        <f t="shared" ca="1" si="3"/>
        <v>0</v>
      </c>
      <c r="Z25" s="134">
        <f t="shared" ca="1" si="6"/>
        <v>0</v>
      </c>
      <c r="AA25" s="134">
        <f t="shared" ca="1" si="7"/>
        <v>0</v>
      </c>
    </row>
    <row r="26" spans="2:27" x14ac:dyDescent="0.3">
      <c r="B26" s="21">
        <f ca="1">IF(B25="","",IF(EOMONTH(B25,1)&gt;EOMONTH(ELEGIBILIDADE!$E$5,0),"",EOMONTH(B25,1)))</f>
        <v>45535</v>
      </c>
      <c r="C26" s="22">
        <f ca="1">IF(B26="","",IF(MONTH(B26)=1,C25*(1+PREMISSAS!$C$58),C25))</f>
        <v>0</v>
      </c>
      <c r="D26" s="22">
        <f ca="1">IF(RESULTADOS!$C$17="Normal",IFERROR(MAX(C26-PREMISSAS!$C$14,0),0),IF(PREMISSAS!$H$117=0,0,MAX(10*PREMISSAS!$C$39,RESULTADOS!$F$17)))</f>
        <v>0</v>
      </c>
      <c r="E26" s="4">
        <f ca="1">D26*IF(RESULTADOS!$C$17="Normal",RESULTADOS!$C$16,0)</f>
        <v>0</v>
      </c>
      <c r="F26" s="4">
        <f ca="1">IF(D26&lt;&gt;0,PREMISSAS!$N$83,0)</f>
        <v>0</v>
      </c>
      <c r="G26" s="4">
        <f ca="1">IFERROR(IF(RESULTADOS!$C$17="Normal",0,D26)*IF(RESULTADOS!$C$17="Normal",RESULTADOS!$C$18,RESULTADOS!$C$16),0)</f>
        <v>0</v>
      </c>
      <c r="H26" s="4">
        <f ca="1">IF(RESULTADOS!$C$17="Normal",E26,0)</f>
        <v>0</v>
      </c>
      <c r="I26" s="4">
        <f ca="1">(E26+H26+G26)*IFERROR(VLOOKUP(INT(COUNT($B$5:B26)/12),PREMISSAS!$B$62:$C$69,2,FALSE),PREMISSAS!$C$69)</f>
        <v>0</v>
      </c>
      <c r="J26" s="4">
        <f ca="1">D26*IF(RESULTADOS!$C$17="Normal",PREMISSAS!$C$71,0)</f>
        <v>0</v>
      </c>
      <c r="K26" s="87">
        <f ca="1">IFERROR(K25*(1+PREMISSAS!$C$19)+(E26+H26-IF(RESULTADOS!$C$17="Normal",I26,0)-J26)*IF(MONTH(B26)=12,2,1),0)</f>
        <v>0</v>
      </c>
      <c r="L26" s="87">
        <f ca="1">IFERROR((L25+G26-IF(RESULTADOS!$C$17="Normal",0,I26))*(1+PREMISSAS!$C$19)+F26,0)</f>
        <v>0</v>
      </c>
      <c r="N26" s="58">
        <f t="shared" ca="1" si="0"/>
        <v>0</v>
      </c>
      <c r="O26" s="223"/>
      <c r="P26" s="131">
        <f t="shared" ca="1" si="1"/>
        <v>45535</v>
      </c>
      <c r="Q26" s="111">
        <f ca="1">IF(C26="","",Q25+(E26+H26-IF(RESULTADOS!$C$17="Normal",I26,0)-J26)/2+(F26+G26-IF(RESULTADOS!$C$17="Normal",0,I26)))</f>
        <v>0</v>
      </c>
      <c r="R26" s="111">
        <f ca="1">IF(C26="","",R25+(E26+H26-IF(RESULTADOS!$C$17="Normal",I26,0)-J26)/2)</f>
        <v>0</v>
      </c>
      <c r="S26" s="111">
        <f t="shared" ca="1" si="4"/>
        <v>0</v>
      </c>
      <c r="U26" s="131" t="str">
        <f t="shared" ca="1" si="5"/>
        <v/>
      </c>
      <c r="V26" s="131" t="str">
        <f t="shared" ca="1" si="2"/>
        <v/>
      </c>
      <c r="W26" s="111">
        <f ca="1">IF(OR((W25-13/12*Z25)*(1+PREMISSAS!$C$17)&lt;0,W25=""),0,(W25-13/12*Z25)*(1+PREMISSAS!$C$17))</f>
        <v>0</v>
      </c>
      <c r="X26" s="111">
        <f ca="1">IF(OR((X25-13/12*AA25)*(1+PREMISSAS!$C$17)&lt;0,X25=""),0,(X25-13/12*AA25)*(1+PREMISSAS!$C$17))</f>
        <v>0</v>
      </c>
      <c r="Y26" s="111">
        <f t="shared" ca="1" si="3"/>
        <v>0</v>
      </c>
      <c r="Z26" s="134">
        <f t="shared" ca="1" si="6"/>
        <v>0</v>
      </c>
      <c r="AA26" s="134">
        <f t="shared" ca="1" si="7"/>
        <v>0</v>
      </c>
    </row>
    <row r="27" spans="2:27" x14ac:dyDescent="0.3">
      <c r="B27" s="21">
        <f ca="1">IF(B26="","",IF(EOMONTH(B26,1)&gt;EOMONTH(ELEGIBILIDADE!$E$5,0),"",EOMONTH(B26,1)))</f>
        <v>45565</v>
      </c>
      <c r="C27" s="22">
        <f ca="1">IF(B27="","",IF(MONTH(B27)=1,C26*(1+PREMISSAS!$C$58),C26))</f>
        <v>0</v>
      </c>
      <c r="D27" s="22">
        <f ca="1">IF(RESULTADOS!$C$17="Normal",IFERROR(MAX(C27-PREMISSAS!$C$14,0),0),IF(PREMISSAS!$H$117=0,0,MAX(10*PREMISSAS!$C$39,RESULTADOS!$F$17)))</f>
        <v>0</v>
      </c>
      <c r="E27" s="4">
        <f ca="1">D27*IF(RESULTADOS!$C$17="Normal",RESULTADOS!$C$16,0)</f>
        <v>0</v>
      </c>
      <c r="F27" s="4">
        <f ca="1">IF(D27&lt;&gt;0,PREMISSAS!$N$83,0)</f>
        <v>0</v>
      </c>
      <c r="G27" s="4">
        <f ca="1">IFERROR(IF(RESULTADOS!$C$17="Normal",0,D27)*IF(RESULTADOS!$C$17="Normal",RESULTADOS!$C$18,RESULTADOS!$C$16),0)</f>
        <v>0</v>
      </c>
      <c r="H27" s="4">
        <f ca="1">IF(RESULTADOS!$C$17="Normal",E27,0)</f>
        <v>0</v>
      </c>
      <c r="I27" s="4">
        <f ca="1">(E27+H27+G27)*IFERROR(VLOOKUP(INT(COUNT($B$5:B27)/12),PREMISSAS!$B$62:$C$69,2,FALSE),PREMISSAS!$C$69)</f>
        <v>0</v>
      </c>
      <c r="J27" s="4">
        <f ca="1">D27*IF(RESULTADOS!$C$17="Normal",PREMISSAS!$C$71,0)</f>
        <v>0</v>
      </c>
      <c r="K27" s="87">
        <f ca="1">IFERROR(K26*(1+PREMISSAS!$C$19)+(E27+H27-IF(RESULTADOS!$C$17="Normal",I27,0)-J27)*IF(MONTH(B27)=12,2,1),0)</f>
        <v>0</v>
      </c>
      <c r="L27" s="87">
        <f ca="1">IFERROR((L26+G27-IF(RESULTADOS!$C$17="Normal",0,I27))*(1+PREMISSAS!$C$19)+F27,0)</f>
        <v>0</v>
      </c>
      <c r="N27" s="58">
        <f t="shared" ca="1" si="0"/>
        <v>0</v>
      </c>
      <c r="O27" s="223"/>
      <c r="P27" s="131">
        <f t="shared" ca="1" si="1"/>
        <v>45565</v>
      </c>
      <c r="Q27" s="111">
        <f ca="1">IF(C27="","",Q26+(E27+H27-IF(RESULTADOS!$C$17="Normal",I27,0)-J27)/2+(F27+G27-IF(RESULTADOS!$C$17="Normal",0,I27)))</f>
        <v>0</v>
      </c>
      <c r="R27" s="111">
        <f ca="1">IF(C27="","",R26+(E27+H27-IF(RESULTADOS!$C$17="Normal",I27,0)-J27)/2)</f>
        <v>0</v>
      </c>
      <c r="S27" s="111">
        <f t="shared" ca="1" si="4"/>
        <v>0</v>
      </c>
      <c r="U27" s="131" t="str">
        <f t="shared" ca="1" si="5"/>
        <v/>
      </c>
      <c r="V27" s="131" t="str">
        <f t="shared" ca="1" si="2"/>
        <v/>
      </c>
      <c r="W27" s="111">
        <f ca="1">IF(OR((W26-13/12*Z26)*(1+PREMISSAS!$C$17)&lt;0,W26=""),0,(W26-13/12*Z26)*(1+PREMISSAS!$C$17))</f>
        <v>0</v>
      </c>
      <c r="X27" s="111">
        <f ca="1">IF(OR((X26-13/12*AA26)*(1+PREMISSAS!$C$17)&lt;0,X26=""),0,(X26-13/12*AA26)*(1+PREMISSAS!$C$17))</f>
        <v>0</v>
      </c>
      <c r="Y27" s="111">
        <f t="shared" ca="1" si="3"/>
        <v>0</v>
      </c>
      <c r="Z27" s="134">
        <f t="shared" ca="1" si="6"/>
        <v>0</v>
      </c>
      <c r="AA27" s="134">
        <f t="shared" ca="1" si="7"/>
        <v>0</v>
      </c>
    </row>
    <row r="28" spans="2:27" x14ac:dyDescent="0.3">
      <c r="B28" s="21">
        <f ca="1">IF(B27="","",IF(EOMONTH(B27,1)&gt;EOMONTH(ELEGIBILIDADE!$E$5,0),"",EOMONTH(B27,1)))</f>
        <v>45596</v>
      </c>
      <c r="C28" s="22">
        <f ca="1">IF(B28="","",IF(MONTH(B28)=1,C27*(1+PREMISSAS!$C$58),C27))</f>
        <v>0</v>
      </c>
      <c r="D28" s="22">
        <f ca="1">IF(RESULTADOS!$C$17="Normal",IFERROR(MAX(C28-PREMISSAS!$C$14,0),0),IF(PREMISSAS!$H$117=0,0,MAX(10*PREMISSAS!$C$39,RESULTADOS!$F$17)))</f>
        <v>0</v>
      </c>
      <c r="E28" s="4">
        <f ca="1">D28*IF(RESULTADOS!$C$17="Normal",RESULTADOS!$C$16,0)</f>
        <v>0</v>
      </c>
      <c r="F28" s="4">
        <f ca="1">IF(D28&lt;&gt;0,PREMISSAS!$N$83,0)</f>
        <v>0</v>
      </c>
      <c r="G28" s="4">
        <f ca="1">IFERROR(IF(RESULTADOS!$C$17="Normal",0,D28)*IF(RESULTADOS!$C$17="Normal",RESULTADOS!$C$18,RESULTADOS!$C$16),0)</f>
        <v>0</v>
      </c>
      <c r="H28" s="4">
        <f ca="1">IF(RESULTADOS!$C$17="Normal",E28,0)</f>
        <v>0</v>
      </c>
      <c r="I28" s="4">
        <f ca="1">(E28+H28+G28)*IFERROR(VLOOKUP(INT(COUNT($B$5:B28)/12),PREMISSAS!$B$62:$C$69,2,FALSE),PREMISSAS!$C$69)</f>
        <v>0</v>
      </c>
      <c r="J28" s="4">
        <f ca="1">D28*IF(RESULTADOS!$C$17="Normal",PREMISSAS!$C$71,0)</f>
        <v>0</v>
      </c>
      <c r="K28" s="87">
        <f ca="1">IFERROR(K27*(1+PREMISSAS!$C$19)+(E28+H28-IF(RESULTADOS!$C$17="Normal",I28,0)-J28)*IF(MONTH(B28)=12,2,1),0)</f>
        <v>0</v>
      </c>
      <c r="L28" s="87">
        <f ca="1">IFERROR((L27+G28-IF(RESULTADOS!$C$17="Normal",0,I28))*(1+PREMISSAS!$C$19)+F28,0)</f>
        <v>0</v>
      </c>
      <c r="N28" s="58">
        <f t="shared" ca="1" si="0"/>
        <v>0</v>
      </c>
      <c r="O28" s="223"/>
      <c r="P28" s="131">
        <f t="shared" ca="1" si="1"/>
        <v>45596</v>
      </c>
      <c r="Q28" s="111">
        <f ca="1">IF(C28="","",Q27+(E28+H28-IF(RESULTADOS!$C$17="Normal",I28,0)-J28)/2+(F28+G28-IF(RESULTADOS!$C$17="Normal",0,I28)))</f>
        <v>0</v>
      </c>
      <c r="R28" s="111">
        <f ca="1">IF(C28="","",R27+(E28+H28-IF(RESULTADOS!$C$17="Normal",I28,0)-J28)/2)</f>
        <v>0</v>
      </c>
      <c r="S28" s="111">
        <f t="shared" ca="1" si="4"/>
        <v>0</v>
      </c>
      <c r="U28" s="131" t="str">
        <f t="shared" ca="1" si="5"/>
        <v/>
      </c>
      <c r="V28" s="131" t="str">
        <f t="shared" ca="1" si="2"/>
        <v/>
      </c>
      <c r="W28" s="111">
        <f ca="1">IF(OR((W27-13/12*Z27)*(1+PREMISSAS!$C$17)&lt;0,W27=""),0,(W27-13/12*Z27)*(1+PREMISSAS!$C$17))</f>
        <v>0</v>
      </c>
      <c r="X28" s="111">
        <f ca="1">IF(OR((X27-13/12*AA27)*(1+PREMISSAS!$C$17)&lt;0,X27=""),0,(X27-13/12*AA27)*(1+PREMISSAS!$C$17))</f>
        <v>0</v>
      </c>
      <c r="Y28" s="111">
        <f t="shared" ca="1" si="3"/>
        <v>0</v>
      </c>
      <c r="Z28" s="134">
        <f t="shared" ca="1" si="6"/>
        <v>0</v>
      </c>
      <c r="AA28" s="134">
        <f t="shared" ca="1" si="7"/>
        <v>0</v>
      </c>
    </row>
    <row r="29" spans="2:27" x14ac:dyDescent="0.3">
      <c r="B29" s="21">
        <f ca="1">IF(B28="","",IF(EOMONTH(B28,1)&gt;EOMONTH(ELEGIBILIDADE!$E$5,0),"",EOMONTH(B28,1)))</f>
        <v>45626</v>
      </c>
      <c r="C29" s="22">
        <f ca="1">IF(B29="","",IF(MONTH(B29)=1,C28*(1+PREMISSAS!$C$58),C28))</f>
        <v>0</v>
      </c>
      <c r="D29" s="22">
        <f ca="1">IF(RESULTADOS!$C$17="Normal",IFERROR(MAX(C29-PREMISSAS!$C$14,0),0),IF(PREMISSAS!$H$117=0,0,MAX(10*PREMISSAS!$C$39,RESULTADOS!$F$17)))</f>
        <v>0</v>
      </c>
      <c r="E29" s="4">
        <f ca="1">D29*IF(RESULTADOS!$C$17="Normal",RESULTADOS!$C$16,0)</f>
        <v>0</v>
      </c>
      <c r="F29" s="4">
        <f ca="1">IF(D29&lt;&gt;0,PREMISSAS!$N$83,0)</f>
        <v>0</v>
      </c>
      <c r="G29" s="4">
        <f ca="1">IFERROR(IF(RESULTADOS!$C$17="Normal",0,D29)*IF(RESULTADOS!$C$17="Normal",RESULTADOS!$C$18,RESULTADOS!$C$16),0)</f>
        <v>0</v>
      </c>
      <c r="H29" s="4">
        <f ca="1">IF(RESULTADOS!$C$17="Normal",E29,0)</f>
        <v>0</v>
      </c>
      <c r="I29" s="4">
        <f ca="1">(E29+H29+G29)*IFERROR(VLOOKUP(INT(COUNT($B$5:B29)/12),PREMISSAS!$B$62:$C$69,2,FALSE),PREMISSAS!$C$69)</f>
        <v>0</v>
      </c>
      <c r="J29" s="4">
        <f ca="1">D29*IF(RESULTADOS!$C$17="Normal",PREMISSAS!$C$71,0)</f>
        <v>0</v>
      </c>
      <c r="K29" s="87">
        <f ca="1">IFERROR(K28*(1+PREMISSAS!$C$19)+(E29+H29-IF(RESULTADOS!$C$17="Normal",I29,0)-J29)*IF(MONTH(B29)=12,2,1),0)</f>
        <v>0</v>
      </c>
      <c r="L29" s="87">
        <f ca="1">IFERROR((L28+G29-IF(RESULTADOS!$C$17="Normal",0,I29))*(1+PREMISSAS!$C$19)+F29,0)</f>
        <v>0</v>
      </c>
      <c r="N29" s="58">
        <f t="shared" ca="1" si="0"/>
        <v>0</v>
      </c>
      <c r="O29" s="223"/>
      <c r="P29" s="131">
        <f t="shared" ca="1" si="1"/>
        <v>45626</v>
      </c>
      <c r="Q29" s="111">
        <f ca="1">IF(C29="","",Q28+(E29+H29-IF(RESULTADOS!$C$17="Normal",I29,0)-J29)/2+(F29+G29-IF(RESULTADOS!$C$17="Normal",0,I29)))</f>
        <v>0</v>
      </c>
      <c r="R29" s="111">
        <f ca="1">IF(C29="","",R28+(E29+H29-IF(RESULTADOS!$C$17="Normal",I29,0)-J29)/2)</f>
        <v>0</v>
      </c>
      <c r="S29" s="111">
        <f t="shared" ca="1" si="4"/>
        <v>0</v>
      </c>
      <c r="U29" s="131" t="str">
        <f t="shared" ca="1" si="5"/>
        <v/>
      </c>
      <c r="V29" s="131" t="str">
        <f t="shared" ca="1" si="2"/>
        <v/>
      </c>
      <c r="W29" s="111">
        <f ca="1">IF(OR((W28-13/12*Z28)*(1+PREMISSAS!$C$17)&lt;0,W28=""),0,(W28-13/12*Z28)*(1+PREMISSAS!$C$17))</f>
        <v>0</v>
      </c>
      <c r="X29" s="111">
        <f ca="1">IF(OR((X28-13/12*AA28)*(1+PREMISSAS!$C$17)&lt;0,X28=""),0,(X28-13/12*AA28)*(1+PREMISSAS!$C$17))</f>
        <v>0</v>
      </c>
      <c r="Y29" s="111">
        <f t="shared" ca="1" si="3"/>
        <v>0</v>
      </c>
      <c r="Z29" s="134">
        <f t="shared" ca="1" si="6"/>
        <v>0</v>
      </c>
      <c r="AA29" s="134">
        <f t="shared" ca="1" si="7"/>
        <v>0</v>
      </c>
    </row>
    <row r="30" spans="2:27" x14ac:dyDescent="0.3">
      <c r="B30" s="21">
        <f ca="1">IF(B29="","",IF(EOMONTH(B29,1)&gt;EOMONTH(ELEGIBILIDADE!$E$5,0),"",EOMONTH(B29,1)))</f>
        <v>45657</v>
      </c>
      <c r="C30" s="22">
        <f ca="1">IF(B30="","",IF(MONTH(B30)=1,C29*(1+PREMISSAS!$C$58),C29))</f>
        <v>0</v>
      </c>
      <c r="D30" s="22">
        <f ca="1">IF(RESULTADOS!$C$17="Normal",IFERROR(MAX(C30-PREMISSAS!$C$14,0),0),IF(PREMISSAS!$H$117=0,0,MAX(10*PREMISSAS!$C$39,RESULTADOS!$F$17)))</f>
        <v>0</v>
      </c>
      <c r="E30" s="4">
        <f ca="1">D30*IF(RESULTADOS!$C$17="Normal",RESULTADOS!$C$16,0)</f>
        <v>0</v>
      </c>
      <c r="F30" s="4">
        <f ca="1">IF(D30&lt;&gt;0,PREMISSAS!$N$83,0)</f>
        <v>0</v>
      </c>
      <c r="G30" s="4">
        <f ca="1">IFERROR(IF(RESULTADOS!$C$17="Normal",0,D30)*IF(RESULTADOS!$C$17="Normal",RESULTADOS!$C$18,RESULTADOS!$C$16),0)</f>
        <v>0</v>
      </c>
      <c r="H30" s="4">
        <f ca="1">IF(RESULTADOS!$C$17="Normal",E30,0)</f>
        <v>0</v>
      </c>
      <c r="I30" s="4">
        <f ca="1">(E30+H30+G30)*IFERROR(VLOOKUP(INT(COUNT($B$5:B30)/12),PREMISSAS!$B$62:$C$69,2,FALSE),PREMISSAS!$C$69)</f>
        <v>0</v>
      </c>
      <c r="J30" s="4">
        <f ca="1">D30*IF(RESULTADOS!$C$17="Normal",PREMISSAS!$C$71,0)</f>
        <v>0</v>
      </c>
      <c r="K30" s="87">
        <f ca="1">IFERROR(K29*(1+PREMISSAS!$C$19)+(E30+H30-IF(RESULTADOS!$C$17="Normal",I30,0)-J30)*IF(MONTH(B30)=12,2,1),0)</f>
        <v>0</v>
      </c>
      <c r="L30" s="87">
        <f ca="1">IFERROR((L29+G30-IF(RESULTADOS!$C$17="Normal",0,I30))*(1+PREMISSAS!$C$19)+F30,0)</f>
        <v>0</v>
      </c>
      <c r="N30" s="58">
        <f t="shared" ca="1" si="0"/>
        <v>0</v>
      </c>
      <c r="O30" s="223"/>
      <c r="P30" s="131">
        <f t="shared" ca="1" si="1"/>
        <v>45657</v>
      </c>
      <c r="Q30" s="111">
        <f ca="1">IF(C30="","",Q29+(E30+H30-IF(RESULTADOS!$C$17="Normal",I30,0)-J30)/2+(F30+G30-IF(RESULTADOS!$C$17="Normal",0,I30)))</f>
        <v>0</v>
      </c>
      <c r="R30" s="111">
        <f ca="1">IF(C30="","",R29+(E30+H30-IF(RESULTADOS!$C$17="Normal",I30,0)-J30)/2)</f>
        <v>0</v>
      </c>
      <c r="S30" s="111">
        <f t="shared" ca="1" si="4"/>
        <v>0</v>
      </c>
      <c r="U30" s="131" t="str">
        <f t="shared" ca="1" si="5"/>
        <v/>
      </c>
      <c r="V30" s="131" t="str">
        <f t="shared" ca="1" si="2"/>
        <v/>
      </c>
      <c r="W30" s="111">
        <f ca="1">IF(OR((W29-13/12*Z29)*(1+PREMISSAS!$C$17)&lt;0,W29=""),0,(W29-13/12*Z29)*(1+PREMISSAS!$C$17))</f>
        <v>0</v>
      </c>
      <c r="X30" s="111">
        <f ca="1">IF(OR((X29-13/12*AA29)*(1+PREMISSAS!$C$17)&lt;0,X29=""),0,(X29-13/12*AA29)*(1+PREMISSAS!$C$17))</f>
        <v>0</v>
      </c>
      <c r="Y30" s="111">
        <f t="shared" ca="1" si="3"/>
        <v>0</v>
      </c>
      <c r="Z30" s="134">
        <f t="shared" ca="1" si="6"/>
        <v>0</v>
      </c>
      <c r="AA30" s="134">
        <f t="shared" ca="1" si="7"/>
        <v>0</v>
      </c>
    </row>
    <row r="31" spans="2:27" x14ac:dyDescent="0.3">
      <c r="B31" s="21">
        <f ca="1">IF(B30="","",IF(EOMONTH(B30,1)&gt;EOMONTH(ELEGIBILIDADE!$E$5,0),"",EOMONTH(B30,1)))</f>
        <v>45688</v>
      </c>
      <c r="C31" s="22">
        <f ca="1">IF(B31="","",IF(MONTH(B31)=1,C30*(1+PREMISSAS!$C$58),C30))</f>
        <v>0</v>
      </c>
      <c r="D31" s="22">
        <f ca="1">IF(RESULTADOS!$C$17="Normal",IFERROR(MAX(C31-PREMISSAS!$C$14,0),0),IF(PREMISSAS!$H$117=0,0,MAX(10*PREMISSAS!$C$39,RESULTADOS!$F$17)))</f>
        <v>0</v>
      </c>
      <c r="E31" s="4">
        <f ca="1">D31*IF(RESULTADOS!$C$17="Normal",RESULTADOS!$C$16,0)</f>
        <v>0</v>
      </c>
      <c r="F31" s="4">
        <f ca="1">IF(D31&lt;&gt;0,PREMISSAS!$N$83,0)</f>
        <v>0</v>
      </c>
      <c r="G31" s="4">
        <f ca="1">IFERROR(IF(RESULTADOS!$C$17="Normal",0,D31)*IF(RESULTADOS!$C$17="Normal",RESULTADOS!$C$18,RESULTADOS!$C$16),0)</f>
        <v>0</v>
      </c>
      <c r="H31" s="4">
        <f ca="1">IF(RESULTADOS!$C$17="Normal",E31,0)</f>
        <v>0</v>
      </c>
      <c r="I31" s="4">
        <f ca="1">(E31+H31+G31)*IFERROR(VLOOKUP(INT(COUNT($B$5:B31)/12),PREMISSAS!$B$62:$C$69,2,FALSE),PREMISSAS!$C$69)</f>
        <v>0</v>
      </c>
      <c r="J31" s="4">
        <f ca="1">D31*IF(RESULTADOS!$C$17="Normal",PREMISSAS!$C$71,0)</f>
        <v>0</v>
      </c>
      <c r="K31" s="87">
        <f ca="1">IFERROR(K30*(1+PREMISSAS!$C$19)+(E31+H31-IF(RESULTADOS!$C$17="Normal",I31,0)-J31)*IF(MONTH(B31)=12,2,1),0)</f>
        <v>0</v>
      </c>
      <c r="L31" s="87">
        <f ca="1">IFERROR((L30+G31-IF(RESULTADOS!$C$17="Normal",0,I31))*(1+PREMISSAS!$C$19)+F31,0)</f>
        <v>0</v>
      </c>
      <c r="N31" s="58">
        <f t="shared" ca="1" si="0"/>
        <v>0</v>
      </c>
      <c r="O31" s="223"/>
      <c r="P31" s="131">
        <f t="shared" ca="1" si="1"/>
        <v>45688</v>
      </c>
      <c r="Q31" s="111">
        <f ca="1">IF(C31="","",Q30+(E31+H31-IF(RESULTADOS!$C$17="Normal",I31,0)-J31)/2+(F31+G31-IF(RESULTADOS!$C$17="Normal",0,I31)))</f>
        <v>0</v>
      </c>
      <c r="R31" s="111">
        <f ca="1">IF(C31="","",R30+(E31+H31-IF(RESULTADOS!$C$17="Normal",I31,0)-J31)/2)</f>
        <v>0</v>
      </c>
      <c r="S31" s="111">
        <f t="shared" ca="1" si="4"/>
        <v>0</v>
      </c>
      <c r="U31" s="131" t="str">
        <f t="shared" ca="1" si="5"/>
        <v/>
      </c>
      <c r="V31" s="131" t="str">
        <f t="shared" ca="1" si="2"/>
        <v/>
      </c>
      <c r="W31" s="111">
        <f ca="1">IF(OR((W30-13/12*Z30)*(1+PREMISSAS!$C$17)&lt;0,W30=""),0,(W30-13/12*Z30)*(1+PREMISSAS!$C$17))</f>
        <v>0</v>
      </c>
      <c r="X31" s="111">
        <f ca="1">IF(OR((X30-13/12*AA30)*(1+PREMISSAS!$C$17)&lt;0,X30=""),0,(X30-13/12*AA30)*(1+PREMISSAS!$C$17))</f>
        <v>0</v>
      </c>
      <c r="Y31" s="111">
        <f t="shared" ca="1" si="3"/>
        <v>0</v>
      </c>
      <c r="Z31" s="134">
        <f t="shared" ca="1" si="6"/>
        <v>0</v>
      </c>
      <c r="AA31" s="134">
        <f t="shared" ca="1" si="7"/>
        <v>0</v>
      </c>
    </row>
    <row r="32" spans="2:27" x14ac:dyDescent="0.3">
      <c r="B32" s="21">
        <f ca="1">IF(B31="","",IF(EOMONTH(B31,1)&gt;EOMONTH(ELEGIBILIDADE!$E$5,0),"",EOMONTH(B31,1)))</f>
        <v>45716</v>
      </c>
      <c r="C32" s="22">
        <f ca="1">IF(B32="","",IF(MONTH(B32)=1,C31*(1+PREMISSAS!$C$58),C31))</f>
        <v>0</v>
      </c>
      <c r="D32" s="22">
        <f ca="1">IF(RESULTADOS!$C$17="Normal",IFERROR(MAX(C32-PREMISSAS!$C$14,0),0),IF(PREMISSAS!$H$117=0,0,MAX(10*PREMISSAS!$C$39,RESULTADOS!$F$17)))</f>
        <v>0</v>
      </c>
      <c r="E32" s="4">
        <f ca="1">D32*IF(RESULTADOS!$C$17="Normal",RESULTADOS!$C$16,0)</f>
        <v>0</v>
      </c>
      <c r="F32" s="4">
        <f ca="1">IF(D32&lt;&gt;0,PREMISSAS!$N$83,0)</f>
        <v>0</v>
      </c>
      <c r="G32" s="4">
        <f ca="1">IFERROR(IF(RESULTADOS!$C$17="Normal",0,D32)*IF(RESULTADOS!$C$17="Normal",RESULTADOS!$C$18,RESULTADOS!$C$16),0)</f>
        <v>0</v>
      </c>
      <c r="H32" s="4">
        <f ca="1">IF(RESULTADOS!$C$17="Normal",E32,0)</f>
        <v>0</v>
      </c>
      <c r="I32" s="4">
        <f ca="1">(E32+H32+G32)*IFERROR(VLOOKUP(INT(COUNT($B$5:B32)/12),PREMISSAS!$B$62:$C$69,2,FALSE),PREMISSAS!$C$69)</f>
        <v>0</v>
      </c>
      <c r="J32" s="4">
        <f ca="1">D32*IF(RESULTADOS!$C$17="Normal",PREMISSAS!$C$71,0)</f>
        <v>0</v>
      </c>
      <c r="K32" s="87">
        <f ca="1">IFERROR(K31*(1+PREMISSAS!$C$19)+(E32+H32-IF(RESULTADOS!$C$17="Normal",I32,0)-J32)*IF(MONTH(B32)=12,2,1),0)</f>
        <v>0</v>
      </c>
      <c r="L32" s="87">
        <f ca="1">IFERROR((L31+G32-IF(RESULTADOS!$C$17="Normal",0,I32))*(1+PREMISSAS!$C$19)+F32,0)</f>
        <v>0</v>
      </c>
      <c r="N32" s="58">
        <f t="shared" ca="1" si="0"/>
        <v>0</v>
      </c>
      <c r="O32" s="223"/>
      <c r="P32" s="131">
        <f t="shared" ca="1" si="1"/>
        <v>45716</v>
      </c>
      <c r="Q32" s="111">
        <f ca="1">IF(C32="","",Q31+(E32+H32-IF(RESULTADOS!$C$17="Normal",I32,0)-J32)/2+(F32+G32-IF(RESULTADOS!$C$17="Normal",0,I32)))</f>
        <v>0</v>
      </c>
      <c r="R32" s="111">
        <f ca="1">IF(C32="","",R31+(E32+H32-IF(RESULTADOS!$C$17="Normal",I32,0)-J32)/2)</f>
        <v>0</v>
      </c>
      <c r="S32" s="111">
        <f t="shared" ca="1" si="4"/>
        <v>0</v>
      </c>
      <c r="U32" s="131" t="str">
        <f t="shared" ca="1" si="5"/>
        <v/>
      </c>
      <c r="V32" s="131" t="str">
        <f t="shared" ca="1" si="2"/>
        <v/>
      </c>
      <c r="W32" s="111">
        <f ca="1">IF(OR((W31-13/12*Z31)*(1+PREMISSAS!$C$17)&lt;0,W31=""),0,(W31-13/12*Z31)*(1+PREMISSAS!$C$17))</f>
        <v>0</v>
      </c>
      <c r="X32" s="111">
        <f ca="1">IF(OR((X31-13/12*AA31)*(1+PREMISSAS!$C$17)&lt;0,X31=""),0,(X31-13/12*AA31)*(1+PREMISSAS!$C$17))</f>
        <v>0</v>
      </c>
      <c r="Y32" s="111">
        <f t="shared" ca="1" si="3"/>
        <v>0</v>
      </c>
      <c r="Z32" s="134">
        <f t="shared" ca="1" si="6"/>
        <v>0</v>
      </c>
      <c r="AA32" s="134">
        <f t="shared" ca="1" si="7"/>
        <v>0</v>
      </c>
    </row>
    <row r="33" spans="2:27" x14ac:dyDescent="0.3">
      <c r="B33" s="21">
        <f ca="1">IF(B32="","",IF(EOMONTH(B32,1)&gt;EOMONTH(ELEGIBILIDADE!$E$5,0),"",EOMONTH(B32,1)))</f>
        <v>45747</v>
      </c>
      <c r="C33" s="22">
        <f ca="1">IF(B33="","",IF(MONTH(B33)=1,C32*(1+PREMISSAS!$C$58),C32))</f>
        <v>0</v>
      </c>
      <c r="D33" s="22">
        <f ca="1">IF(RESULTADOS!$C$17="Normal",IFERROR(MAX(C33-PREMISSAS!$C$14,0),0),IF(PREMISSAS!$H$117=0,0,MAX(10*PREMISSAS!$C$39,RESULTADOS!$F$17)))</f>
        <v>0</v>
      </c>
      <c r="E33" s="4">
        <f ca="1">D33*IF(RESULTADOS!$C$17="Normal",RESULTADOS!$C$16,0)</f>
        <v>0</v>
      </c>
      <c r="F33" s="4">
        <f ca="1">IF(D33&lt;&gt;0,PREMISSAS!$N$83,0)</f>
        <v>0</v>
      </c>
      <c r="G33" s="4">
        <f ca="1">IFERROR(IF(RESULTADOS!$C$17="Normal",0,D33)*IF(RESULTADOS!$C$17="Normal",RESULTADOS!$C$18,RESULTADOS!$C$16),0)</f>
        <v>0</v>
      </c>
      <c r="H33" s="4">
        <f ca="1">IF(RESULTADOS!$C$17="Normal",E33,0)</f>
        <v>0</v>
      </c>
      <c r="I33" s="4">
        <f ca="1">(E33+H33+G33)*IFERROR(VLOOKUP(INT(COUNT($B$5:B33)/12),PREMISSAS!$B$62:$C$69,2,FALSE),PREMISSAS!$C$69)</f>
        <v>0</v>
      </c>
      <c r="J33" s="4">
        <f ca="1">D33*IF(RESULTADOS!$C$17="Normal",PREMISSAS!$C$71,0)</f>
        <v>0</v>
      </c>
      <c r="K33" s="87">
        <f ca="1">IFERROR(K32*(1+PREMISSAS!$C$19)+(E33+H33-IF(RESULTADOS!$C$17="Normal",I33,0)-J33)*IF(MONTH(B33)=12,2,1),0)</f>
        <v>0</v>
      </c>
      <c r="L33" s="87">
        <f ca="1">IFERROR((L32+G33-IF(RESULTADOS!$C$17="Normal",0,I33))*(1+PREMISSAS!$C$19)+F33,0)</f>
        <v>0</v>
      </c>
      <c r="N33" s="58">
        <f t="shared" ca="1" si="0"/>
        <v>0</v>
      </c>
      <c r="O33" s="223"/>
      <c r="P33" s="131">
        <f t="shared" ca="1" si="1"/>
        <v>45747</v>
      </c>
      <c r="Q33" s="111">
        <f ca="1">IF(C33="","",Q32+(E33+H33-IF(RESULTADOS!$C$17="Normal",I33,0)-J33)/2+(F33+G33-IF(RESULTADOS!$C$17="Normal",0,I33)))</f>
        <v>0</v>
      </c>
      <c r="R33" s="111">
        <f ca="1">IF(C33="","",R32+(E33+H33-IF(RESULTADOS!$C$17="Normal",I33,0)-J33)/2)</f>
        <v>0</v>
      </c>
      <c r="S33" s="111">
        <f t="shared" ca="1" si="4"/>
        <v>0</v>
      </c>
      <c r="U33" s="131" t="str">
        <f t="shared" ca="1" si="5"/>
        <v/>
      </c>
      <c r="V33" s="131" t="str">
        <f t="shared" ca="1" si="2"/>
        <v/>
      </c>
      <c r="W33" s="111">
        <f ca="1">IF(OR((W32-13/12*Z32)*(1+PREMISSAS!$C$17)&lt;0,W32=""),0,(W32-13/12*Z32)*(1+PREMISSAS!$C$17))</f>
        <v>0</v>
      </c>
      <c r="X33" s="111">
        <f ca="1">IF(OR((X32-13/12*AA32)*(1+PREMISSAS!$C$17)&lt;0,X32=""),0,(X32-13/12*AA32)*(1+PREMISSAS!$C$17))</f>
        <v>0</v>
      </c>
      <c r="Y33" s="111">
        <f t="shared" ca="1" si="3"/>
        <v>0</v>
      </c>
      <c r="Z33" s="134">
        <f t="shared" ca="1" si="6"/>
        <v>0</v>
      </c>
      <c r="AA33" s="134">
        <f t="shared" ca="1" si="7"/>
        <v>0</v>
      </c>
    </row>
    <row r="34" spans="2:27" x14ac:dyDescent="0.3">
      <c r="B34" s="21">
        <f ca="1">IF(B33="","",IF(EOMONTH(B33,1)&gt;EOMONTH(ELEGIBILIDADE!$E$5,0),"",EOMONTH(B33,1)))</f>
        <v>45777</v>
      </c>
      <c r="C34" s="22">
        <f ca="1">IF(B34="","",IF(MONTH(B34)=1,C33*(1+PREMISSAS!$C$58),C33))</f>
        <v>0</v>
      </c>
      <c r="D34" s="22">
        <f ca="1">IF(RESULTADOS!$C$17="Normal",IFERROR(MAX(C34-PREMISSAS!$C$14,0),0),IF(PREMISSAS!$H$117=0,0,MAX(10*PREMISSAS!$C$39,RESULTADOS!$F$17)))</f>
        <v>0</v>
      </c>
      <c r="E34" s="4">
        <f ca="1">D34*IF(RESULTADOS!$C$17="Normal",RESULTADOS!$C$16,0)</f>
        <v>0</v>
      </c>
      <c r="F34" s="4">
        <f ca="1">IF(D34&lt;&gt;0,PREMISSAS!$N$83,0)</f>
        <v>0</v>
      </c>
      <c r="G34" s="4">
        <f ca="1">IFERROR(IF(RESULTADOS!$C$17="Normal",0,D34)*IF(RESULTADOS!$C$17="Normal",RESULTADOS!$C$18,RESULTADOS!$C$16),0)</f>
        <v>0</v>
      </c>
      <c r="H34" s="4">
        <f ca="1">IF(RESULTADOS!$C$17="Normal",E34,0)</f>
        <v>0</v>
      </c>
      <c r="I34" s="4">
        <f ca="1">(E34+H34+G34)*IFERROR(VLOOKUP(INT(COUNT($B$5:B34)/12),PREMISSAS!$B$62:$C$69,2,FALSE),PREMISSAS!$C$69)</f>
        <v>0</v>
      </c>
      <c r="J34" s="4">
        <f ca="1">D34*IF(RESULTADOS!$C$17="Normal",PREMISSAS!$C$71,0)</f>
        <v>0</v>
      </c>
      <c r="K34" s="87">
        <f ca="1">IFERROR(K33*(1+PREMISSAS!$C$19)+(E34+H34-IF(RESULTADOS!$C$17="Normal",I34,0)-J34)*IF(MONTH(B34)=12,2,1),0)</f>
        <v>0</v>
      </c>
      <c r="L34" s="87">
        <f ca="1">IFERROR((L33+G34-IF(RESULTADOS!$C$17="Normal",0,I34))*(1+PREMISSAS!$C$19)+F34,0)</f>
        <v>0</v>
      </c>
      <c r="N34" s="58">
        <f t="shared" ca="1" si="0"/>
        <v>0</v>
      </c>
      <c r="O34" s="223"/>
      <c r="P34" s="131">
        <f t="shared" ca="1" si="1"/>
        <v>45777</v>
      </c>
      <c r="Q34" s="111">
        <f ca="1">IF(C34="","",Q33+(E34+H34-IF(RESULTADOS!$C$17="Normal",I34,0)-J34)/2+(F34+G34-IF(RESULTADOS!$C$17="Normal",0,I34)))</f>
        <v>0</v>
      </c>
      <c r="R34" s="111">
        <f ca="1">IF(C34="","",R33+(E34+H34-IF(RESULTADOS!$C$17="Normal",I34,0)-J34)/2)</f>
        <v>0</v>
      </c>
      <c r="S34" s="111">
        <f t="shared" ca="1" si="4"/>
        <v>0</v>
      </c>
      <c r="U34" s="131" t="str">
        <f t="shared" ca="1" si="5"/>
        <v/>
      </c>
      <c r="V34" s="131" t="str">
        <f t="shared" ca="1" si="2"/>
        <v/>
      </c>
      <c r="W34" s="111">
        <f ca="1">IF(OR((W33-13/12*Z33)*(1+PREMISSAS!$C$17)&lt;0,W33=""),0,(W33-13/12*Z33)*(1+PREMISSAS!$C$17))</f>
        <v>0</v>
      </c>
      <c r="X34" s="111">
        <f ca="1">IF(OR((X33-13/12*AA33)*(1+PREMISSAS!$C$17)&lt;0,X33=""),0,(X33-13/12*AA33)*(1+PREMISSAS!$C$17))</f>
        <v>0</v>
      </c>
      <c r="Y34" s="111">
        <f t="shared" ca="1" si="3"/>
        <v>0</v>
      </c>
      <c r="Z34" s="134">
        <f t="shared" ca="1" si="6"/>
        <v>0</v>
      </c>
      <c r="AA34" s="134">
        <f t="shared" ca="1" si="7"/>
        <v>0</v>
      </c>
    </row>
    <row r="35" spans="2:27" x14ac:dyDescent="0.3">
      <c r="B35" s="21">
        <f ca="1">IF(B34="","",IF(EOMONTH(B34,1)&gt;EOMONTH(ELEGIBILIDADE!$E$5,0),"",EOMONTH(B34,1)))</f>
        <v>45808</v>
      </c>
      <c r="C35" s="22">
        <f ca="1">IF(B35="","",IF(MONTH(B35)=1,C34*(1+PREMISSAS!$C$58),C34))</f>
        <v>0</v>
      </c>
      <c r="D35" s="22">
        <f ca="1">IF(RESULTADOS!$C$17="Normal",IFERROR(MAX(C35-PREMISSAS!$C$14,0),0),IF(PREMISSAS!$H$117=0,0,MAX(10*PREMISSAS!$C$39,RESULTADOS!$F$17)))</f>
        <v>0</v>
      </c>
      <c r="E35" s="4">
        <f ca="1">D35*IF(RESULTADOS!$C$17="Normal",RESULTADOS!$C$16,0)</f>
        <v>0</v>
      </c>
      <c r="F35" s="4">
        <f ca="1">IF(D35&lt;&gt;0,PREMISSAS!$N$83,0)</f>
        <v>0</v>
      </c>
      <c r="G35" s="4">
        <f ca="1">IFERROR(IF(RESULTADOS!$C$17="Normal",0,D35)*IF(RESULTADOS!$C$17="Normal",RESULTADOS!$C$18,RESULTADOS!$C$16),0)</f>
        <v>0</v>
      </c>
      <c r="H35" s="4">
        <f ca="1">IF(RESULTADOS!$C$17="Normal",E35,0)</f>
        <v>0</v>
      </c>
      <c r="I35" s="4">
        <f ca="1">(E35+H35+G35)*IFERROR(VLOOKUP(INT(COUNT($B$5:B35)/12),PREMISSAS!$B$62:$C$69,2,FALSE),PREMISSAS!$C$69)</f>
        <v>0</v>
      </c>
      <c r="J35" s="4">
        <f ca="1">D35*IF(RESULTADOS!$C$17="Normal",PREMISSAS!$C$71,0)</f>
        <v>0</v>
      </c>
      <c r="K35" s="87">
        <f ca="1">IFERROR(K34*(1+PREMISSAS!$C$19)+(E35+H35-IF(RESULTADOS!$C$17="Normal",I35,0)-J35)*IF(MONTH(B35)=12,2,1),0)</f>
        <v>0</v>
      </c>
      <c r="L35" s="87">
        <f ca="1">IFERROR((L34+G35-IF(RESULTADOS!$C$17="Normal",0,I35))*(1+PREMISSAS!$C$19)+F35,0)</f>
        <v>0</v>
      </c>
      <c r="N35" s="58">
        <f t="shared" ca="1" si="0"/>
        <v>0</v>
      </c>
      <c r="O35" s="223"/>
      <c r="P35" s="131">
        <f t="shared" ca="1" si="1"/>
        <v>45808</v>
      </c>
      <c r="Q35" s="111">
        <f ca="1">IF(C35="","",Q34+(E35+H35-IF(RESULTADOS!$C$17="Normal",I35,0)-J35)/2+(F35+G35-IF(RESULTADOS!$C$17="Normal",0,I35)))</f>
        <v>0</v>
      </c>
      <c r="R35" s="111">
        <f ca="1">IF(C35="","",R34+(E35+H35-IF(RESULTADOS!$C$17="Normal",I35,0)-J35)/2)</f>
        <v>0</v>
      </c>
      <c r="S35" s="111">
        <f t="shared" ca="1" si="4"/>
        <v>0</v>
      </c>
      <c r="U35" s="131" t="str">
        <f t="shared" ca="1" si="5"/>
        <v/>
      </c>
      <c r="V35" s="131" t="str">
        <f t="shared" ca="1" si="2"/>
        <v/>
      </c>
      <c r="W35" s="111">
        <f ca="1">IF(OR((W34-13/12*Z34)*(1+PREMISSAS!$C$17)&lt;0,W34=""),0,(W34-13/12*Z34)*(1+PREMISSAS!$C$17))</f>
        <v>0</v>
      </c>
      <c r="X35" s="111">
        <f ca="1">IF(OR((X34-13/12*AA34)*(1+PREMISSAS!$C$17)&lt;0,X34=""),0,(X34-13/12*AA34)*(1+PREMISSAS!$C$17))</f>
        <v>0</v>
      </c>
      <c r="Y35" s="111">
        <f t="shared" ca="1" si="3"/>
        <v>0</v>
      </c>
      <c r="Z35" s="134">
        <f t="shared" ca="1" si="6"/>
        <v>0</v>
      </c>
      <c r="AA35" s="134">
        <f t="shared" ca="1" si="7"/>
        <v>0</v>
      </c>
    </row>
    <row r="36" spans="2:27" x14ac:dyDescent="0.3">
      <c r="B36" s="21">
        <f ca="1">IF(B35="","",IF(EOMONTH(B35,1)&gt;EOMONTH(ELEGIBILIDADE!$E$5,0),"",EOMONTH(B35,1)))</f>
        <v>45838</v>
      </c>
      <c r="C36" s="22">
        <f ca="1">IF(B36="","",IF(MONTH(B36)=1,C35*(1+PREMISSAS!$C$58),C35))</f>
        <v>0</v>
      </c>
      <c r="D36" s="22">
        <f ca="1">IF(RESULTADOS!$C$17="Normal",IFERROR(MAX(C36-PREMISSAS!$C$14,0),0),IF(PREMISSAS!$H$117=0,0,MAX(10*PREMISSAS!$C$39,RESULTADOS!$F$17)))</f>
        <v>0</v>
      </c>
      <c r="E36" s="4">
        <f ca="1">D36*IF(RESULTADOS!$C$17="Normal",RESULTADOS!$C$16,0)</f>
        <v>0</v>
      </c>
      <c r="F36" s="4">
        <f ca="1">IF(D36&lt;&gt;0,PREMISSAS!$N$83,0)</f>
        <v>0</v>
      </c>
      <c r="G36" s="4">
        <f ca="1">IFERROR(IF(RESULTADOS!$C$17="Normal",0,D36)*IF(RESULTADOS!$C$17="Normal",RESULTADOS!$C$18,RESULTADOS!$C$16),0)</f>
        <v>0</v>
      </c>
      <c r="H36" s="4">
        <f ca="1">IF(RESULTADOS!$C$17="Normal",E36,0)</f>
        <v>0</v>
      </c>
      <c r="I36" s="4">
        <f ca="1">(E36+H36+G36)*IFERROR(VLOOKUP(INT(COUNT($B$5:B36)/12),PREMISSAS!$B$62:$C$69,2,FALSE),PREMISSAS!$C$69)</f>
        <v>0</v>
      </c>
      <c r="J36" s="4">
        <f ca="1">D36*IF(RESULTADOS!$C$17="Normal",PREMISSAS!$C$71,0)</f>
        <v>0</v>
      </c>
      <c r="K36" s="87">
        <f ca="1">IFERROR(K35*(1+PREMISSAS!$C$19)+(E36+H36-IF(RESULTADOS!$C$17="Normal",I36,0)-J36)*IF(MONTH(B36)=12,2,1),0)</f>
        <v>0</v>
      </c>
      <c r="L36" s="87">
        <f ca="1">IFERROR((L35+G36-IF(RESULTADOS!$C$17="Normal",0,I36))*(1+PREMISSAS!$C$19)+F36,0)</f>
        <v>0</v>
      </c>
      <c r="N36" s="58">
        <f t="shared" ca="1" si="0"/>
        <v>0</v>
      </c>
      <c r="O36" s="223"/>
      <c r="P36" s="131">
        <f t="shared" ca="1" si="1"/>
        <v>45838</v>
      </c>
      <c r="Q36" s="111">
        <f ca="1">IF(C36="","",Q35+(E36+H36-IF(RESULTADOS!$C$17="Normal",I36,0)-J36)/2+(F36+G36-IF(RESULTADOS!$C$17="Normal",0,I36)))</f>
        <v>0</v>
      </c>
      <c r="R36" s="111">
        <f ca="1">IF(C36="","",R35+(E36+H36-IF(RESULTADOS!$C$17="Normal",I36,0)-J36)/2)</f>
        <v>0</v>
      </c>
      <c r="S36" s="111">
        <f t="shared" ca="1" si="4"/>
        <v>0</v>
      </c>
      <c r="U36" s="131" t="str">
        <f t="shared" ca="1" si="5"/>
        <v/>
      </c>
      <c r="V36" s="131" t="str">
        <f t="shared" ca="1" si="2"/>
        <v/>
      </c>
      <c r="W36" s="111">
        <f ca="1">IF(OR((W35-13/12*Z35)*(1+PREMISSAS!$C$17)&lt;0,W35=""),0,(W35-13/12*Z35)*(1+PREMISSAS!$C$17))</f>
        <v>0</v>
      </c>
      <c r="X36" s="111">
        <f ca="1">IF(OR((X35-13/12*AA35)*(1+PREMISSAS!$C$17)&lt;0,X35=""),0,(X35-13/12*AA35)*(1+PREMISSAS!$C$17))</f>
        <v>0</v>
      </c>
      <c r="Y36" s="111">
        <f t="shared" ca="1" si="3"/>
        <v>0</v>
      </c>
      <c r="Z36" s="134">
        <f t="shared" ca="1" si="6"/>
        <v>0</v>
      </c>
      <c r="AA36" s="134">
        <f t="shared" ca="1" si="7"/>
        <v>0</v>
      </c>
    </row>
    <row r="37" spans="2:27" x14ac:dyDescent="0.3">
      <c r="B37" s="21">
        <f ca="1">IF(B36="","",IF(EOMONTH(B36,1)&gt;EOMONTH(ELEGIBILIDADE!$E$5,0),"",EOMONTH(B36,1)))</f>
        <v>45869</v>
      </c>
      <c r="C37" s="22">
        <f ca="1">IF(B37="","",IF(MONTH(B37)=1,C36*(1+PREMISSAS!$C$58),C36))</f>
        <v>0</v>
      </c>
      <c r="D37" s="22">
        <f ca="1">IF(RESULTADOS!$C$17="Normal",IFERROR(MAX(C37-PREMISSAS!$C$14,0),0),IF(PREMISSAS!$H$117=0,0,MAX(10*PREMISSAS!$C$39,RESULTADOS!$F$17)))</f>
        <v>0</v>
      </c>
      <c r="E37" s="4">
        <f ca="1">D37*IF(RESULTADOS!$C$17="Normal",RESULTADOS!$C$16,0)</f>
        <v>0</v>
      </c>
      <c r="F37" s="4">
        <f ca="1">IF(D37&lt;&gt;0,PREMISSAS!$N$83,0)</f>
        <v>0</v>
      </c>
      <c r="G37" s="4">
        <f ca="1">IFERROR(IF(RESULTADOS!$C$17="Normal",0,D37)*IF(RESULTADOS!$C$17="Normal",RESULTADOS!$C$18,RESULTADOS!$C$16),0)</f>
        <v>0</v>
      </c>
      <c r="H37" s="4">
        <f ca="1">IF(RESULTADOS!$C$17="Normal",E37,0)</f>
        <v>0</v>
      </c>
      <c r="I37" s="4">
        <f ca="1">(E37+H37+G37)*IFERROR(VLOOKUP(INT(COUNT($B$5:B37)/12),PREMISSAS!$B$62:$C$69,2,FALSE),PREMISSAS!$C$69)</f>
        <v>0</v>
      </c>
      <c r="J37" s="4">
        <f ca="1">D37*IF(RESULTADOS!$C$17="Normal",PREMISSAS!$C$71,0)</f>
        <v>0</v>
      </c>
      <c r="K37" s="87">
        <f ca="1">IFERROR(K36*(1+PREMISSAS!$C$19)+(E37+H37-IF(RESULTADOS!$C$17="Normal",I37,0)-J37)*IF(MONTH(B37)=12,2,1),0)</f>
        <v>0</v>
      </c>
      <c r="L37" s="87">
        <f ca="1">IFERROR((L36+G37-IF(RESULTADOS!$C$17="Normal",0,I37))*(1+PREMISSAS!$C$19)+F37,0)</f>
        <v>0</v>
      </c>
      <c r="N37" s="58">
        <f t="shared" ca="1" si="0"/>
        <v>0</v>
      </c>
      <c r="O37" s="223"/>
      <c r="P37" s="131">
        <f t="shared" ca="1" si="1"/>
        <v>45869</v>
      </c>
      <c r="Q37" s="111">
        <f ca="1">IF(C37="","",Q36+(E37+H37-IF(RESULTADOS!$C$17="Normal",I37,0)-J37)/2+(F37+G37-IF(RESULTADOS!$C$17="Normal",0,I37)))</f>
        <v>0</v>
      </c>
      <c r="R37" s="111">
        <f ca="1">IF(C37="","",R36+(E37+H37-IF(RESULTADOS!$C$17="Normal",I37,0)-J37)/2)</f>
        <v>0</v>
      </c>
      <c r="S37" s="111">
        <f t="shared" ca="1" si="4"/>
        <v>0</v>
      </c>
      <c r="U37" s="131" t="str">
        <f t="shared" ca="1" si="5"/>
        <v/>
      </c>
      <c r="V37" s="131" t="str">
        <f t="shared" ca="1" si="2"/>
        <v/>
      </c>
      <c r="W37" s="111">
        <f ca="1">IF(OR((W36-13/12*Z36)*(1+PREMISSAS!$C$17)&lt;0,W36=""),0,(W36-13/12*Z36)*(1+PREMISSAS!$C$17))</f>
        <v>0</v>
      </c>
      <c r="X37" s="111">
        <f ca="1">IF(OR((X36-13/12*AA36)*(1+PREMISSAS!$C$17)&lt;0,X36=""),0,(X36-13/12*AA36)*(1+PREMISSAS!$C$17))</f>
        <v>0</v>
      </c>
      <c r="Y37" s="111">
        <f t="shared" ca="1" si="3"/>
        <v>0</v>
      </c>
      <c r="Z37" s="134">
        <f t="shared" ca="1" si="6"/>
        <v>0</v>
      </c>
      <c r="AA37" s="134">
        <f t="shared" ca="1" si="7"/>
        <v>0</v>
      </c>
    </row>
    <row r="38" spans="2:27" x14ac:dyDescent="0.3">
      <c r="B38" s="21">
        <f ca="1">IF(B37="","",IF(EOMONTH(B37,1)&gt;EOMONTH(ELEGIBILIDADE!$E$5,0),"",EOMONTH(B37,1)))</f>
        <v>45900</v>
      </c>
      <c r="C38" s="22">
        <f ca="1">IF(B38="","",IF(MONTH(B38)=1,C37*(1+PREMISSAS!$C$58),C37))</f>
        <v>0</v>
      </c>
      <c r="D38" s="22">
        <f ca="1">IF(RESULTADOS!$C$17="Normal",IFERROR(MAX(C38-PREMISSAS!$C$14,0),0),IF(PREMISSAS!$H$117=0,0,MAX(10*PREMISSAS!$C$39,RESULTADOS!$F$17)))</f>
        <v>0</v>
      </c>
      <c r="E38" s="4">
        <f ca="1">D38*IF(RESULTADOS!$C$17="Normal",RESULTADOS!$C$16,0)</f>
        <v>0</v>
      </c>
      <c r="F38" s="4">
        <f ca="1">IF(D38&lt;&gt;0,PREMISSAS!$N$83,0)</f>
        <v>0</v>
      </c>
      <c r="G38" s="4">
        <f ca="1">IFERROR(IF(RESULTADOS!$C$17="Normal",0,D38)*IF(RESULTADOS!$C$17="Normal",RESULTADOS!$C$18,RESULTADOS!$C$16),0)</f>
        <v>0</v>
      </c>
      <c r="H38" s="4">
        <f ca="1">IF(RESULTADOS!$C$17="Normal",E38,0)</f>
        <v>0</v>
      </c>
      <c r="I38" s="4">
        <f ca="1">(E38+H38+G38)*IFERROR(VLOOKUP(INT(COUNT($B$5:B38)/12),PREMISSAS!$B$62:$C$69,2,FALSE),PREMISSAS!$C$69)</f>
        <v>0</v>
      </c>
      <c r="J38" s="4">
        <f ca="1">D38*IF(RESULTADOS!$C$17="Normal",PREMISSAS!$C$71,0)</f>
        <v>0</v>
      </c>
      <c r="K38" s="87">
        <f ca="1">IFERROR(K37*(1+PREMISSAS!$C$19)+(E38+H38-IF(RESULTADOS!$C$17="Normal",I38,0)-J38)*IF(MONTH(B38)=12,2,1),0)</f>
        <v>0</v>
      </c>
      <c r="L38" s="87">
        <f ca="1">IFERROR((L37+G38-IF(RESULTADOS!$C$17="Normal",0,I38))*(1+PREMISSAS!$C$19)+F38,0)</f>
        <v>0</v>
      </c>
      <c r="N38" s="58">
        <f t="shared" ca="1" si="0"/>
        <v>0</v>
      </c>
      <c r="O38" s="223"/>
      <c r="P38" s="131">
        <f t="shared" ca="1" si="1"/>
        <v>45900</v>
      </c>
      <c r="Q38" s="111">
        <f ca="1">IF(C38="","",Q37+(E38+H38-IF(RESULTADOS!$C$17="Normal",I38,0)-J38)/2+(F38+G38-IF(RESULTADOS!$C$17="Normal",0,I38)))</f>
        <v>0</v>
      </c>
      <c r="R38" s="111">
        <f ca="1">IF(C38="","",R37+(E38+H38-IF(RESULTADOS!$C$17="Normal",I38,0)-J38)/2)</f>
        <v>0</v>
      </c>
      <c r="S38" s="111">
        <f t="shared" ca="1" si="4"/>
        <v>0</v>
      </c>
      <c r="U38" s="131" t="str">
        <f t="shared" ca="1" si="5"/>
        <v/>
      </c>
      <c r="V38" s="131" t="str">
        <f t="shared" ca="1" si="2"/>
        <v/>
      </c>
      <c r="W38" s="111">
        <f ca="1">IF(OR((W37-13/12*Z37)*(1+PREMISSAS!$C$17)&lt;0,W37=""),0,(W37-13/12*Z37)*(1+PREMISSAS!$C$17))</f>
        <v>0</v>
      </c>
      <c r="X38" s="111">
        <f ca="1">IF(OR((X37-13/12*AA37)*(1+PREMISSAS!$C$17)&lt;0,X37=""),0,(X37-13/12*AA37)*(1+PREMISSAS!$C$17))</f>
        <v>0</v>
      </c>
      <c r="Y38" s="111">
        <f t="shared" ca="1" si="3"/>
        <v>0</v>
      </c>
      <c r="Z38" s="134">
        <f t="shared" ca="1" si="6"/>
        <v>0</v>
      </c>
      <c r="AA38" s="134">
        <f t="shared" ca="1" si="7"/>
        <v>0</v>
      </c>
    </row>
    <row r="39" spans="2:27" x14ac:dyDescent="0.3">
      <c r="B39" s="21">
        <f ca="1">IF(B38="","",IF(EOMONTH(B38,1)&gt;EOMONTH(ELEGIBILIDADE!$E$5,0),"",EOMONTH(B38,1)))</f>
        <v>45930</v>
      </c>
      <c r="C39" s="22">
        <f ca="1">IF(B39="","",IF(MONTH(B39)=1,C38*(1+PREMISSAS!$C$58),C38))</f>
        <v>0</v>
      </c>
      <c r="D39" s="22">
        <f ca="1">IF(RESULTADOS!$C$17="Normal",IFERROR(MAX(C39-PREMISSAS!$C$14,0),0),IF(PREMISSAS!$H$117=0,0,MAX(10*PREMISSAS!$C$39,RESULTADOS!$F$17)))</f>
        <v>0</v>
      </c>
      <c r="E39" s="4">
        <f ca="1">D39*IF(RESULTADOS!$C$17="Normal",RESULTADOS!$C$16,0)</f>
        <v>0</v>
      </c>
      <c r="F39" s="4">
        <f ca="1">IF(D39&lt;&gt;0,PREMISSAS!$N$83,0)</f>
        <v>0</v>
      </c>
      <c r="G39" s="4">
        <f ca="1">IFERROR(IF(RESULTADOS!$C$17="Normal",0,D39)*IF(RESULTADOS!$C$17="Normal",RESULTADOS!$C$18,RESULTADOS!$C$16),0)</f>
        <v>0</v>
      </c>
      <c r="H39" s="4">
        <f ca="1">IF(RESULTADOS!$C$17="Normal",E39,0)</f>
        <v>0</v>
      </c>
      <c r="I39" s="4">
        <f ca="1">(E39+H39+G39)*IFERROR(VLOOKUP(INT(COUNT($B$5:B39)/12),PREMISSAS!$B$62:$C$69,2,FALSE),PREMISSAS!$C$69)</f>
        <v>0</v>
      </c>
      <c r="J39" s="4">
        <f ca="1">D39*IF(RESULTADOS!$C$17="Normal",PREMISSAS!$C$71,0)</f>
        <v>0</v>
      </c>
      <c r="K39" s="87">
        <f ca="1">IFERROR(K38*(1+PREMISSAS!$C$19)+(E39+H39-IF(RESULTADOS!$C$17="Normal",I39,0)-J39)*IF(MONTH(B39)=12,2,1),0)</f>
        <v>0</v>
      </c>
      <c r="L39" s="87">
        <f ca="1">IFERROR((L38+G39-IF(RESULTADOS!$C$17="Normal",0,I39))*(1+PREMISSAS!$C$19)+F39,0)</f>
        <v>0</v>
      </c>
      <c r="N39" s="58">
        <f t="shared" ca="1" si="0"/>
        <v>0</v>
      </c>
      <c r="O39" s="223"/>
      <c r="P39" s="131">
        <f t="shared" ca="1" si="1"/>
        <v>45930</v>
      </c>
      <c r="Q39" s="111">
        <f ca="1">IF(C39="","",Q38+(E39+H39-IF(RESULTADOS!$C$17="Normal",I39,0)-J39)/2+(F39+G39-IF(RESULTADOS!$C$17="Normal",0,I39)))</f>
        <v>0</v>
      </c>
      <c r="R39" s="111">
        <f ca="1">IF(C39="","",R38+(E39+H39-IF(RESULTADOS!$C$17="Normal",I39,0)-J39)/2)</f>
        <v>0</v>
      </c>
      <c r="S39" s="111">
        <f t="shared" ca="1" si="4"/>
        <v>0</v>
      </c>
      <c r="U39" s="131" t="str">
        <f t="shared" ca="1" si="5"/>
        <v/>
      </c>
      <c r="V39" s="131" t="str">
        <f t="shared" ca="1" si="2"/>
        <v/>
      </c>
      <c r="W39" s="111">
        <f ca="1">IF(OR((W38-13/12*Z38)*(1+PREMISSAS!$C$17)&lt;0,W38=""),0,(W38-13/12*Z38)*(1+PREMISSAS!$C$17))</f>
        <v>0</v>
      </c>
      <c r="X39" s="111">
        <f ca="1">IF(OR((X38-13/12*AA38)*(1+PREMISSAS!$C$17)&lt;0,X38=""),0,(X38-13/12*AA38)*(1+PREMISSAS!$C$17))</f>
        <v>0</v>
      </c>
      <c r="Y39" s="111">
        <f t="shared" ca="1" si="3"/>
        <v>0</v>
      </c>
      <c r="Z39" s="134">
        <f t="shared" ca="1" si="6"/>
        <v>0</v>
      </c>
      <c r="AA39" s="134">
        <f t="shared" ca="1" si="7"/>
        <v>0</v>
      </c>
    </row>
    <row r="40" spans="2:27" x14ac:dyDescent="0.3">
      <c r="B40" s="21">
        <f ca="1">IF(B39="","",IF(EOMONTH(B39,1)&gt;EOMONTH(ELEGIBILIDADE!$E$5,0),"",EOMONTH(B39,1)))</f>
        <v>45961</v>
      </c>
      <c r="C40" s="22">
        <f ca="1">IF(B40="","",IF(MONTH(B40)=1,C39*(1+PREMISSAS!$C$58),C39))</f>
        <v>0</v>
      </c>
      <c r="D40" s="22">
        <f ca="1">IF(RESULTADOS!$C$17="Normal",IFERROR(MAX(C40-PREMISSAS!$C$14,0),0),IF(PREMISSAS!$H$117=0,0,MAX(10*PREMISSAS!$C$39,RESULTADOS!$F$17)))</f>
        <v>0</v>
      </c>
      <c r="E40" s="4">
        <f ca="1">D40*IF(RESULTADOS!$C$17="Normal",RESULTADOS!$C$16,0)</f>
        <v>0</v>
      </c>
      <c r="F40" s="4">
        <f ca="1">IF(D40&lt;&gt;0,PREMISSAS!$N$83,0)</f>
        <v>0</v>
      </c>
      <c r="G40" s="4">
        <f ca="1">IFERROR(IF(RESULTADOS!$C$17="Normal",0,D40)*IF(RESULTADOS!$C$17="Normal",RESULTADOS!$C$18,RESULTADOS!$C$16),0)</f>
        <v>0</v>
      </c>
      <c r="H40" s="4">
        <f ca="1">IF(RESULTADOS!$C$17="Normal",E40,0)</f>
        <v>0</v>
      </c>
      <c r="I40" s="4">
        <f ca="1">(E40+H40+G40)*IFERROR(VLOOKUP(INT(COUNT($B$5:B40)/12),PREMISSAS!$B$62:$C$69,2,FALSE),PREMISSAS!$C$69)</f>
        <v>0</v>
      </c>
      <c r="J40" s="4">
        <f ca="1">D40*IF(RESULTADOS!$C$17="Normal",PREMISSAS!$C$71,0)</f>
        <v>0</v>
      </c>
      <c r="K40" s="87">
        <f ca="1">IFERROR(K39*(1+PREMISSAS!$C$19)+(E40+H40-IF(RESULTADOS!$C$17="Normal",I40,0)-J40)*IF(MONTH(B40)=12,2,1),0)</f>
        <v>0</v>
      </c>
      <c r="L40" s="87">
        <f ca="1">IFERROR((L39+G40-IF(RESULTADOS!$C$17="Normal",0,I40))*(1+PREMISSAS!$C$19)+F40,0)</f>
        <v>0</v>
      </c>
      <c r="N40" s="58">
        <f t="shared" ca="1" si="0"/>
        <v>0</v>
      </c>
      <c r="O40" s="223"/>
      <c r="P40" s="131">
        <f t="shared" ca="1" si="1"/>
        <v>45961</v>
      </c>
      <c r="Q40" s="111">
        <f ca="1">IF(C40="","",Q39+(E40+H40-IF(RESULTADOS!$C$17="Normal",I40,0)-J40)/2+(F40+G40-IF(RESULTADOS!$C$17="Normal",0,I40)))</f>
        <v>0</v>
      </c>
      <c r="R40" s="111">
        <f ca="1">IF(C40="","",R39+(E40+H40-IF(RESULTADOS!$C$17="Normal",I40,0)-J40)/2)</f>
        <v>0</v>
      </c>
      <c r="S40" s="111">
        <f t="shared" ca="1" si="4"/>
        <v>0</v>
      </c>
      <c r="U40" s="131" t="str">
        <f t="shared" ca="1" si="5"/>
        <v/>
      </c>
      <c r="V40" s="131" t="str">
        <f t="shared" ca="1" si="2"/>
        <v/>
      </c>
      <c r="W40" s="111">
        <f ca="1">IF(OR((W39-13/12*Z39)*(1+PREMISSAS!$C$17)&lt;0,W39=""),0,(W39-13/12*Z39)*(1+PREMISSAS!$C$17))</f>
        <v>0</v>
      </c>
      <c r="X40" s="111">
        <f ca="1">IF(OR((X39-13/12*AA39)*(1+PREMISSAS!$C$17)&lt;0,X39=""),0,(X39-13/12*AA39)*(1+PREMISSAS!$C$17))</f>
        <v>0</v>
      </c>
      <c r="Y40" s="111">
        <f t="shared" ca="1" si="3"/>
        <v>0</v>
      </c>
      <c r="Z40" s="134">
        <f t="shared" ca="1" si="6"/>
        <v>0</v>
      </c>
      <c r="AA40" s="134">
        <f t="shared" ca="1" si="7"/>
        <v>0</v>
      </c>
    </row>
    <row r="41" spans="2:27" x14ac:dyDescent="0.3">
      <c r="B41" s="21">
        <f ca="1">IF(B40="","",IF(EOMONTH(B40,1)&gt;EOMONTH(ELEGIBILIDADE!$E$5,0),"",EOMONTH(B40,1)))</f>
        <v>45991</v>
      </c>
      <c r="C41" s="22">
        <f ca="1">IF(B41="","",IF(MONTH(B41)=1,C40*(1+PREMISSAS!$C$58),C40))</f>
        <v>0</v>
      </c>
      <c r="D41" s="22">
        <f ca="1">IF(RESULTADOS!$C$17="Normal",IFERROR(MAX(C41-PREMISSAS!$C$14,0),0),IF(PREMISSAS!$H$117=0,0,MAX(10*PREMISSAS!$C$39,RESULTADOS!$F$17)))</f>
        <v>0</v>
      </c>
      <c r="E41" s="4">
        <f ca="1">D41*IF(RESULTADOS!$C$17="Normal",RESULTADOS!$C$16,0)</f>
        <v>0</v>
      </c>
      <c r="F41" s="4">
        <f ca="1">IF(D41&lt;&gt;0,PREMISSAS!$N$83,0)</f>
        <v>0</v>
      </c>
      <c r="G41" s="4">
        <f ca="1">IFERROR(IF(RESULTADOS!$C$17="Normal",0,D41)*IF(RESULTADOS!$C$17="Normal",RESULTADOS!$C$18,RESULTADOS!$C$16),0)</f>
        <v>0</v>
      </c>
      <c r="H41" s="4">
        <f ca="1">IF(RESULTADOS!$C$17="Normal",E41,0)</f>
        <v>0</v>
      </c>
      <c r="I41" s="4">
        <f ca="1">(E41+H41+G41)*IFERROR(VLOOKUP(INT(COUNT($B$5:B41)/12),PREMISSAS!$B$62:$C$69,2,FALSE),PREMISSAS!$C$69)</f>
        <v>0</v>
      </c>
      <c r="J41" s="4">
        <f ca="1">D41*IF(RESULTADOS!$C$17="Normal",PREMISSAS!$C$71,0)</f>
        <v>0</v>
      </c>
      <c r="K41" s="87">
        <f ca="1">IFERROR(K40*(1+PREMISSAS!$C$19)+(E41+H41-IF(RESULTADOS!$C$17="Normal",I41,0)-J41)*IF(MONTH(B41)=12,2,1),0)</f>
        <v>0</v>
      </c>
      <c r="L41" s="87">
        <f ca="1">IFERROR((L40+G41-IF(RESULTADOS!$C$17="Normal",0,I41))*(1+PREMISSAS!$C$19)+F41,0)</f>
        <v>0</v>
      </c>
      <c r="N41" s="58">
        <f t="shared" ca="1" si="0"/>
        <v>0</v>
      </c>
      <c r="O41" s="223"/>
      <c r="P41" s="131">
        <f t="shared" ca="1" si="1"/>
        <v>45991</v>
      </c>
      <c r="Q41" s="111">
        <f ca="1">IF(C41="","",Q40+(E41+H41-IF(RESULTADOS!$C$17="Normal",I41,0)-J41)/2+(F41+G41-IF(RESULTADOS!$C$17="Normal",0,I41)))</f>
        <v>0</v>
      </c>
      <c r="R41" s="111">
        <f ca="1">IF(C41="","",R40+(E41+H41-IF(RESULTADOS!$C$17="Normal",I41,0)-J41)/2)</f>
        <v>0</v>
      </c>
      <c r="S41" s="111">
        <f t="shared" ca="1" si="4"/>
        <v>0</v>
      </c>
      <c r="U41" s="131" t="str">
        <f t="shared" ca="1" si="5"/>
        <v/>
      </c>
      <c r="V41" s="131" t="str">
        <f t="shared" ca="1" si="2"/>
        <v/>
      </c>
      <c r="W41" s="111">
        <f ca="1">IF(OR((W40-13/12*Z40)*(1+PREMISSAS!$C$17)&lt;0,W40=""),0,(W40-13/12*Z40)*(1+PREMISSAS!$C$17))</f>
        <v>0</v>
      </c>
      <c r="X41" s="111">
        <f ca="1">IF(OR((X40-13/12*AA40)*(1+PREMISSAS!$C$17)&lt;0,X40=""),0,(X40-13/12*AA40)*(1+PREMISSAS!$C$17))</f>
        <v>0</v>
      </c>
      <c r="Y41" s="111">
        <f t="shared" ca="1" si="3"/>
        <v>0</v>
      </c>
      <c r="Z41" s="134">
        <f t="shared" ca="1" si="6"/>
        <v>0</v>
      </c>
      <c r="AA41" s="134">
        <f t="shared" ca="1" si="7"/>
        <v>0</v>
      </c>
    </row>
    <row r="42" spans="2:27" x14ac:dyDescent="0.3">
      <c r="B42" s="21">
        <f ca="1">IF(B41="","",IF(EOMONTH(B41,1)&gt;EOMONTH(ELEGIBILIDADE!$E$5,0),"",EOMONTH(B41,1)))</f>
        <v>46022</v>
      </c>
      <c r="C42" s="22">
        <f ca="1">IF(B42="","",IF(MONTH(B42)=1,C41*(1+PREMISSAS!$C$58),C41))</f>
        <v>0</v>
      </c>
      <c r="D42" s="22">
        <f ca="1">IF(RESULTADOS!$C$17="Normal",IFERROR(MAX(C42-PREMISSAS!$C$14,0),0),IF(PREMISSAS!$H$117=0,0,MAX(10*PREMISSAS!$C$39,RESULTADOS!$F$17)))</f>
        <v>0</v>
      </c>
      <c r="E42" s="4">
        <f ca="1">D42*IF(RESULTADOS!$C$17="Normal",RESULTADOS!$C$16,0)</f>
        <v>0</v>
      </c>
      <c r="F42" s="4">
        <f ca="1">IF(D42&lt;&gt;0,PREMISSAS!$N$83,0)</f>
        <v>0</v>
      </c>
      <c r="G42" s="4">
        <f ca="1">IFERROR(IF(RESULTADOS!$C$17="Normal",0,D42)*IF(RESULTADOS!$C$17="Normal",RESULTADOS!$C$18,RESULTADOS!$C$16),0)</f>
        <v>0</v>
      </c>
      <c r="H42" s="4">
        <f ca="1">IF(RESULTADOS!$C$17="Normal",E42,0)</f>
        <v>0</v>
      </c>
      <c r="I42" s="4">
        <f ca="1">(E42+H42+G42)*IFERROR(VLOOKUP(INT(COUNT($B$5:B42)/12),PREMISSAS!$B$62:$C$69,2,FALSE),PREMISSAS!$C$69)</f>
        <v>0</v>
      </c>
      <c r="J42" s="4">
        <f ca="1">D42*IF(RESULTADOS!$C$17="Normal",PREMISSAS!$C$71,0)</f>
        <v>0</v>
      </c>
      <c r="K42" s="87">
        <f ca="1">IFERROR(K41*(1+PREMISSAS!$C$19)+(E42+H42-IF(RESULTADOS!$C$17="Normal",I42,0)-J42)*IF(MONTH(B42)=12,2,1),0)</f>
        <v>0</v>
      </c>
      <c r="L42" s="87">
        <f ca="1">IFERROR((L41+G42-IF(RESULTADOS!$C$17="Normal",0,I42))*(1+PREMISSAS!$C$19)+F42,0)</f>
        <v>0</v>
      </c>
      <c r="N42" s="58">
        <f t="shared" ca="1" si="0"/>
        <v>0</v>
      </c>
      <c r="O42" s="223"/>
      <c r="P42" s="131">
        <f t="shared" ca="1" si="1"/>
        <v>46022</v>
      </c>
      <c r="Q42" s="111">
        <f ca="1">IF(C42="","",Q41+(E42+H42-IF(RESULTADOS!$C$17="Normal",I42,0)-J42)/2+(F42+G42-IF(RESULTADOS!$C$17="Normal",0,I42)))</f>
        <v>0</v>
      </c>
      <c r="R42" s="111">
        <f ca="1">IF(C42="","",R41+(E42+H42-IF(RESULTADOS!$C$17="Normal",I42,0)-J42)/2)</f>
        <v>0</v>
      </c>
      <c r="S42" s="111">
        <f t="shared" ca="1" si="4"/>
        <v>0</v>
      </c>
      <c r="U42" s="131" t="str">
        <f t="shared" ca="1" si="5"/>
        <v/>
      </c>
      <c r="V42" s="131" t="str">
        <f t="shared" ca="1" si="2"/>
        <v/>
      </c>
      <c r="W42" s="111">
        <f ca="1">IF(OR((W41-13/12*Z41)*(1+PREMISSAS!$C$17)&lt;0,W41=""),0,(W41-13/12*Z41)*(1+PREMISSAS!$C$17))</f>
        <v>0</v>
      </c>
      <c r="X42" s="111">
        <f ca="1">IF(OR((X41-13/12*AA41)*(1+PREMISSAS!$C$17)&lt;0,X41=""),0,(X41-13/12*AA41)*(1+PREMISSAS!$C$17))</f>
        <v>0</v>
      </c>
      <c r="Y42" s="111">
        <f t="shared" ca="1" si="3"/>
        <v>0</v>
      </c>
      <c r="Z42" s="134">
        <f t="shared" ca="1" si="6"/>
        <v>0</v>
      </c>
      <c r="AA42" s="134">
        <f t="shared" ca="1" si="7"/>
        <v>0</v>
      </c>
    </row>
    <row r="43" spans="2:27" x14ac:dyDescent="0.3">
      <c r="B43" s="21">
        <f ca="1">IF(B42="","",IF(EOMONTH(B42,1)&gt;EOMONTH(ELEGIBILIDADE!$E$5,0),"",EOMONTH(B42,1)))</f>
        <v>46053</v>
      </c>
      <c r="C43" s="22">
        <f ca="1">IF(B43="","",IF(MONTH(B43)=1,C42*(1+PREMISSAS!$C$58),C42))</f>
        <v>0</v>
      </c>
      <c r="D43" s="22">
        <f ca="1">IF(RESULTADOS!$C$17="Normal",IFERROR(MAX(C43-PREMISSAS!$C$14,0),0),IF(PREMISSAS!$H$117=0,0,MAX(10*PREMISSAS!$C$39,RESULTADOS!$F$17)))</f>
        <v>0</v>
      </c>
      <c r="E43" s="4">
        <f ca="1">D43*IF(RESULTADOS!$C$17="Normal",RESULTADOS!$C$16,0)</f>
        <v>0</v>
      </c>
      <c r="F43" s="4">
        <f ca="1">IF(D43&lt;&gt;0,PREMISSAS!$N$83,0)</f>
        <v>0</v>
      </c>
      <c r="G43" s="4">
        <f ca="1">IFERROR(IF(RESULTADOS!$C$17="Normal",0,D43)*IF(RESULTADOS!$C$17="Normal",RESULTADOS!$C$18,RESULTADOS!$C$16),0)</f>
        <v>0</v>
      </c>
      <c r="H43" s="4">
        <f ca="1">IF(RESULTADOS!$C$17="Normal",E43,0)</f>
        <v>0</v>
      </c>
      <c r="I43" s="4">
        <f ca="1">(E43+H43+G43)*IFERROR(VLOOKUP(INT(COUNT($B$5:B43)/12),PREMISSAS!$B$62:$C$69,2,FALSE),PREMISSAS!$C$69)</f>
        <v>0</v>
      </c>
      <c r="J43" s="4">
        <f ca="1">D43*IF(RESULTADOS!$C$17="Normal",PREMISSAS!$C$71,0)</f>
        <v>0</v>
      </c>
      <c r="K43" s="87">
        <f ca="1">IFERROR(K42*(1+PREMISSAS!$C$19)+(E43+H43-IF(RESULTADOS!$C$17="Normal",I43,0)-J43)*IF(MONTH(B43)=12,2,1),0)</f>
        <v>0</v>
      </c>
      <c r="L43" s="87">
        <f ca="1">IFERROR((L42+G43-IF(RESULTADOS!$C$17="Normal",0,I43))*(1+PREMISSAS!$C$19)+F43,0)</f>
        <v>0</v>
      </c>
      <c r="N43" s="58">
        <f t="shared" ca="1" si="0"/>
        <v>0</v>
      </c>
      <c r="O43" s="223"/>
      <c r="P43" s="131">
        <f t="shared" ca="1" si="1"/>
        <v>46053</v>
      </c>
      <c r="Q43" s="111">
        <f ca="1">IF(C43="","",Q42+(E43+H43-IF(RESULTADOS!$C$17="Normal",I43,0)-J43)/2+(F43+G43-IF(RESULTADOS!$C$17="Normal",0,I43)))</f>
        <v>0</v>
      </c>
      <c r="R43" s="111">
        <f ca="1">IF(C43="","",R42+(E43+H43-IF(RESULTADOS!$C$17="Normal",I43,0)-J43)/2)</f>
        <v>0</v>
      </c>
      <c r="S43" s="111">
        <f t="shared" ca="1" si="4"/>
        <v>0</v>
      </c>
      <c r="U43" s="131" t="str">
        <f t="shared" ca="1" si="5"/>
        <v/>
      </c>
      <c r="V43" s="131" t="str">
        <f t="shared" ca="1" si="2"/>
        <v/>
      </c>
      <c r="W43" s="111">
        <f ca="1">IF(OR((W42-13/12*Z42)*(1+PREMISSAS!$C$17)&lt;0,W42=""),0,(W42-13/12*Z42)*(1+PREMISSAS!$C$17))</f>
        <v>0</v>
      </c>
      <c r="X43" s="111">
        <f ca="1">IF(OR((X42-13/12*AA42)*(1+PREMISSAS!$C$17)&lt;0,X42=""),0,(X42-13/12*AA42)*(1+PREMISSAS!$C$17))</f>
        <v>0</v>
      </c>
      <c r="Y43" s="111">
        <f t="shared" ca="1" si="3"/>
        <v>0</v>
      </c>
      <c r="Z43" s="134">
        <f t="shared" ca="1" si="6"/>
        <v>0</v>
      </c>
      <c r="AA43" s="134">
        <f t="shared" ca="1" si="7"/>
        <v>0</v>
      </c>
    </row>
    <row r="44" spans="2:27" x14ac:dyDescent="0.3">
      <c r="B44" s="21">
        <f ca="1">IF(B43="","",IF(EOMONTH(B43,1)&gt;EOMONTH(ELEGIBILIDADE!$E$5,0),"",EOMONTH(B43,1)))</f>
        <v>46081</v>
      </c>
      <c r="C44" s="22">
        <f ca="1">IF(B44="","",IF(MONTH(B44)=1,C43*(1+PREMISSAS!$C$58),C43))</f>
        <v>0</v>
      </c>
      <c r="D44" s="22">
        <f ca="1">IF(RESULTADOS!$C$17="Normal",IFERROR(MAX(C44-PREMISSAS!$C$14,0),0),IF(PREMISSAS!$H$117=0,0,MAX(10*PREMISSAS!$C$39,RESULTADOS!$F$17)))</f>
        <v>0</v>
      </c>
      <c r="E44" s="4">
        <f ca="1">D44*IF(RESULTADOS!$C$17="Normal",RESULTADOS!$C$16,0)</f>
        <v>0</v>
      </c>
      <c r="F44" s="4">
        <f ca="1">IF(D44&lt;&gt;0,PREMISSAS!$N$83,0)</f>
        <v>0</v>
      </c>
      <c r="G44" s="4">
        <f ca="1">IFERROR(IF(RESULTADOS!$C$17="Normal",0,D44)*IF(RESULTADOS!$C$17="Normal",RESULTADOS!$C$18,RESULTADOS!$C$16),0)</f>
        <v>0</v>
      </c>
      <c r="H44" s="4">
        <f ca="1">IF(RESULTADOS!$C$17="Normal",E44,0)</f>
        <v>0</v>
      </c>
      <c r="I44" s="4">
        <f ca="1">(E44+H44+G44)*IFERROR(VLOOKUP(INT(COUNT($B$5:B44)/12),PREMISSAS!$B$62:$C$69,2,FALSE),PREMISSAS!$C$69)</f>
        <v>0</v>
      </c>
      <c r="J44" s="4">
        <f ca="1">D44*IF(RESULTADOS!$C$17="Normal",PREMISSAS!$C$71,0)</f>
        <v>0</v>
      </c>
      <c r="K44" s="87">
        <f ca="1">IFERROR(K43*(1+PREMISSAS!$C$19)+(E44+H44-IF(RESULTADOS!$C$17="Normal",I44,0)-J44)*IF(MONTH(B44)=12,2,1),0)</f>
        <v>0</v>
      </c>
      <c r="L44" s="87">
        <f ca="1">IFERROR((L43+G44-IF(RESULTADOS!$C$17="Normal",0,I44))*(1+PREMISSAS!$C$19)+F44,0)</f>
        <v>0</v>
      </c>
      <c r="N44" s="58">
        <f t="shared" ca="1" si="0"/>
        <v>0</v>
      </c>
      <c r="O44" s="223"/>
      <c r="P44" s="131">
        <f t="shared" ca="1" si="1"/>
        <v>46081</v>
      </c>
      <c r="Q44" s="111">
        <f ca="1">IF(C44="","",Q43+(E44+H44-IF(RESULTADOS!$C$17="Normal",I44,0)-J44)/2+(F44+G44-IF(RESULTADOS!$C$17="Normal",0,I44)))</f>
        <v>0</v>
      </c>
      <c r="R44" s="111">
        <f ca="1">IF(C44="","",R43+(E44+H44-IF(RESULTADOS!$C$17="Normal",I44,0)-J44)/2)</f>
        <v>0</v>
      </c>
      <c r="S44" s="111">
        <f t="shared" ca="1" si="4"/>
        <v>0</v>
      </c>
      <c r="U44" s="131" t="str">
        <f t="shared" ca="1" si="5"/>
        <v/>
      </c>
      <c r="V44" s="131" t="str">
        <f t="shared" ca="1" si="2"/>
        <v/>
      </c>
      <c r="W44" s="111">
        <f ca="1">IF(OR((W43-13/12*Z43)*(1+PREMISSAS!$C$17)&lt;0,W43=""),0,(W43-13/12*Z43)*(1+PREMISSAS!$C$17))</f>
        <v>0</v>
      </c>
      <c r="X44" s="111">
        <f ca="1">IF(OR((X43-13/12*AA43)*(1+PREMISSAS!$C$17)&lt;0,X43=""),0,(X43-13/12*AA43)*(1+PREMISSAS!$C$17))</f>
        <v>0</v>
      </c>
      <c r="Y44" s="111">
        <f t="shared" ca="1" si="3"/>
        <v>0</v>
      </c>
      <c r="Z44" s="134">
        <f t="shared" ca="1" si="6"/>
        <v>0</v>
      </c>
      <c r="AA44" s="134">
        <f t="shared" ca="1" si="7"/>
        <v>0</v>
      </c>
    </row>
    <row r="45" spans="2:27" x14ac:dyDescent="0.3">
      <c r="B45" s="21">
        <f ca="1">IF(B44="","",IF(EOMONTH(B44,1)&gt;EOMONTH(ELEGIBILIDADE!$E$5,0),"",EOMONTH(B44,1)))</f>
        <v>46112</v>
      </c>
      <c r="C45" s="22">
        <f ca="1">IF(B45="","",IF(MONTH(B45)=1,C44*(1+PREMISSAS!$C$58),C44))</f>
        <v>0</v>
      </c>
      <c r="D45" s="22">
        <f ca="1">IF(RESULTADOS!$C$17="Normal",IFERROR(MAX(C45-PREMISSAS!$C$14,0),0),IF(PREMISSAS!$H$117=0,0,MAX(10*PREMISSAS!$C$39,RESULTADOS!$F$17)))</f>
        <v>0</v>
      </c>
      <c r="E45" s="4">
        <f ca="1">D45*IF(RESULTADOS!$C$17="Normal",RESULTADOS!$C$16,0)</f>
        <v>0</v>
      </c>
      <c r="F45" s="4">
        <f ca="1">IF(D45&lt;&gt;0,PREMISSAS!$N$83,0)</f>
        <v>0</v>
      </c>
      <c r="G45" s="4">
        <f ca="1">IFERROR(IF(RESULTADOS!$C$17="Normal",0,D45)*IF(RESULTADOS!$C$17="Normal",RESULTADOS!$C$18,RESULTADOS!$C$16),0)</f>
        <v>0</v>
      </c>
      <c r="H45" s="4">
        <f ca="1">IF(RESULTADOS!$C$17="Normal",E45,0)</f>
        <v>0</v>
      </c>
      <c r="I45" s="4">
        <f ca="1">(E45+H45+G45)*IFERROR(VLOOKUP(INT(COUNT($B$5:B45)/12),PREMISSAS!$B$62:$C$69,2,FALSE),PREMISSAS!$C$69)</f>
        <v>0</v>
      </c>
      <c r="J45" s="4">
        <f ca="1">D45*IF(RESULTADOS!$C$17="Normal",PREMISSAS!$C$71,0)</f>
        <v>0</v>
      </c>
      <c r="K45" s="87">
        <f ca="1">IFERROR(K44*(1+PREMISSAS!$C$19)+(E45+H45-IF(RESULTADOS!$C$17="Normal",I45,0)-J45)*IF(MONTH(B45)=12,2,1),0)</f>
        <v>0</v>
      </c>
      <c r="L45" s="87">
        <f ca="1">IFERROR((L44+G45-IF(RESULTADOS!$C$17="Normal",0,I45))*(1+PREMISSAS!$C$19)+F45,0)</f>
        <v>0</v>
      </c>
      <c r="N45" s="58">
        <f t="shared" ca="1" si="0"/>
        <v>0</v>
      </c>
      <c r="O45" s="223"/>
      <c r="P45" s="131">
        <f t="shared" ca="1" si="1"/>
        <v>46112</v>
      </c>
      <c r="Q45" s="111">
        <f ca="1">IF(C45="","",Q44+(E45+H45-IF(RESULTADOS!$C$17="Normal",I45,0)-J45)/2+(F45+G45-IF(RESULTADOS!$C$17="Normal",0,I45)))</f>
        <v>0</v>
      </c>
      <c r="R45" s="111">
        <f ca="1">IF(C45="","",R44+(E45+H45-IF(RESULTADOS!$C$17="Normal",I45,0)-J45)/2)</f>
        <v>0</v>
      </c>
      <c r="S45" s="111">
        <f t="shared" ca="1" si="4"/>
        <v>0</v>
      </c>
      <c r="U45" s="131" t="str">
        <f t="shared" ca="1" si="5"/>
        <v/>
      </c>
      <c r="V45" s="131" t="str">
        <f t="shared" ca="1" si="2"/>
        <v/>
      </c>
      <c r="W45" s="111">
        <f ca="1">IF(OR((W44-13/12*Z44)*(1+PREMISSAS!$C$17)&lt;0,W44=""),0,(W44-13/12*Z44)*(1+PREMISSAS!$C$17))</f>
        <v>0</v>
      </c>
      <c r="X45" s="111">
        <f ca="1">IF(OR((X44-13/12*AA44)*(1+PREMISSAS!$C$17)&lt;0,X44=""),0,(X44-13/12*AA44)*(1+PREMISSAS!$C$17))</f>
        <v>0</v>
      </c>
      <c r="Y45" s="111">
        <f t="shared" ca="1" si="3"/>
        <v>0</v>
      </c>
      <c r="Z45" s="134">
        <f t="shared" ca="1" si="6"/>
        <v>0</v>
      </c>
      <c r="AA45" s="134">
        <f t="shared" ca="1" si="7"/>
        <v>0</v>
      </c>
    </row>
    <row r="46" spans="2:27" x14ac:dyDescent="0.3">
      <c r="B46" s="21">
        <f ca="1">IF(B45="","",IF(EOMONTH(B45,1)&gt;EOMONTH(ELEGIBILIDADE!$E$5,0),"",EOMONTH(B45,1)))</f>
        <v>46142</v>
      </c>
      <c r="C46" s="22">
        <f ca="1">IF(B46="","",IF(MONTH(B46)=1,C45*(1+PREMISSAS!$C$58),C45))</f>
        <v>0</v>
      </c>
      <c r="D46" s="22">
        <f ca="1">IF(RESULTADOS!$C$17="Normal",IFERROR(MAX(C46-PREMISSAS!$C$14,0),0),IF(PREMISSAS!$H$117=0,0,MAX(10*PREMISSAS!$C$39,RESULTADOS!$F$17)))</f>
        <v>0</v>
      </c>
      <c r="E46" s="4">
        <f ca="1">D46*IF(RESULTADOS!$C$17="Normal",RESULTADOS!$C$16,0)</f>
        <v>0</v>
      </c>
      <c r="F46" s="4">
        <f ca="1">IF(D46&lt;&gt;0,PREMISSAS!$N$83,0)</f>
        <v>0</v>
      </c>
      <c r="G46" s="4">
        <f ca="1">IFERROR(IF(RESULTADOS!$C$17="Normal",0,D46)*IF(RESULTADOS!$C$17="Normal",RESULTADOS!$C$18,RESULTADOS!$C$16),0)</f>
        <v>0</v>
      </c>
      <c r="H46" s="4">
        <f ca="1">IF(RESULTADOS!$C$17="Normal",E46,0)</f>
        <v>0</v>
      </c>
      <c r="I46" s="4">
        <f ca="1">(E46+H46+G46)*IFERROR(VLOOKUP(INT(COUNT($B$5:B46)/12),PREMISSAS!$B$62:$C$69,2,FALSE),PREMISSAS!$C$69)</f>
        <v>0</v>
      </c>
      <c r="J46" s="4">
        <f ca="1">D46*IF(RESULTADOS!$C$17="Normal",PREMISSAS!$C$71,0)</f>
        <v>0</v>
      </c>
      <c r="K46" s="87">
        <f ca="1">IFERROR(K45*(1+PREMISSAS!$C$19)+(E46+H46-IF(RESULTADOS!$C$17="Normal",I46,0)-J46)*IF(MONTH(B46)=12,2,1),0)</f>
        <v>0</v>
      </c>
      <c r="L46" s="87">
        <f ca="1">IFERROR((L45+G46-IF(RESULTADOS!$C$17="Normal",0,I46))*(1+PREMISSAS!$C$19)+F46,0)</f>
        <v>0</v>
      </c>
      <c r="N46" s="58">
        <f t="shared" ca="1" si="0"/>
        <v>0</v>
      </c>
      <c r="O46" s="223"/>
      <c r="P46" s="131">
        <f t="shared" ca="1" si="1"/>
        <v>46142</v>
      </c>
      <c r="Q46" s="111">
        <f ca="1">IF(C46="","",Q45+(E46+H46-IF(RESULTADOS!$C$17="Normal",I46,0)-J46)/2+(F46+G46-IF(RESULTADOS!$C$17="Normal",0,I46)))</f>
        <v>0</v>
      </c>
      <c r="R46" s="111">
        <f ca="1">IF(C46="","",R45+(E46+H46-IF(RESULTADOS!$C$17="Normal",I46,0)-J46)/2)</f>
        <v>0</v>
      </c>
      <c r="S46" s="111">
        <f t="shared" ca="1" si="4"/>
        <v>0</v>
      </c>
      <c r="U46" s="131" t="str">
        <f t="shared" ca="1" si="5"/>
        <v/>
      </c>
      <c r="V46" s="131" t="str">
        <f t="shared" ca="1" si="2"/>
        <v/>
      </c>
      <c r="W46" s="111">
        <f ca="1">IF(OR((W45-13/12*Z45)*(1+PREMISSAS!$C$17)&lt;0,W45=""),0,(W45-13/12*Z45)*(1+PREMISSAS!$C$17))</f>
        <v>0</v>
      </c>
      <c r="X46" s="111">
        <f ca="1">IF(OR((X45-13/12*AA45)*(1+PREMISSAS!$C$17)&lt;0,X45=""),0,(X45-13/12*AA45)*(1+PREMISSAS!$C$17))</f>
        <v>0</v>
      </c>
      <c r="Y46" s="111">
        <f t="shared" ca="1" si="3"/>
        <v>0</v>
      </c>
      <c r="Z46" s="134">
        <f t="shared" ca="1" si="6"/>
        <v>0</v>
      </c>
      <c r="AA46" s="134">
        <f t="shared" ca="1" si="7"/>
        <v>0</v>
      </c>
    </row>
    <row r="47" spans="2:27" x14ac:dyDescent="0.3">
      <c r="B47" s="21">
        <f ca="1">IF(B46="","",IF(EOMONTH(B46,1)&gt;EOMONTH(ELEGIBILIDADE!$E$5,0),"",EOMONTH(B46,1)))</f>
        <v>46173</v>
      </c>
      <c r="C47" s="22">
        <f ca="1">IF(B47="","",IF(MONTH(B47)=1,C46*(1+PREMISSAS!$C$58),C46))</f>
        <v>0</v>
      </c>
      <c r="D47" s="22">
        <f ca="1">IF(RESULTADOS!$C$17="Normal",IFERROR(MAX(C47-PREMISSAS!$C$14,0),0),IF(PREMISSAS!$H$117=0,0,MAX(10*PREMISSAS!$C$39,RESULTADOS!$F$17)))</f>
        <v>0</v>
      </c>
      <c r="E47" s="4">
        <f ca="1">D47*IF(RESULTADOS!$C$17="Normal",RESULTADOS!$C$16,0)</f>
        <v>0</v>
      </c>
      <c r="F47" s="4">
        <f ca="1">IF(D47&lt;&gt;0,PREMISSAS!$N$83,0)</f>
        <v>0</v>
      </c>
      <c r="G47" s="4">
        <f ca="1">IFERROR(IF(RESULTADOS!$C$17="Normal",0,D47)*IF(RESULTADOS!$C$17="Normal",RESULTADOS!$C$18,RESULTADOS!$C$16),0)</f>
        <v>0</v>
      </c>
      <c r="H47" s="4">
        <f ca="1">IF(RESULTADOS!$C$17="Normal",E47,0)</f>
        <v>0</v>
      </c>
      <c r="I47" s="4">
        <f ca="1">(E47+H47+G47)*IFERROR(VLOOKUP(INT(COUNT($B$5:B47)/12),PREMISSAS!$B$62:$C$69,2,FALSE),PREMISSAS!$C$69)</f>
        <v>0</v>
      </c>
      <c r="J47" s="4">
        <f ca="1">D47*IF(RESULTADOS!$C$17="Normal",PREMISSAS!$C$71,0)</f>
        <v>0</v>
      </c>
      <c r="K47" s="87">
        <f ca="1">IFERROR(K46*(1+PREMISSAS!$C$19)+(E47+H47-IF(RESULTADOS!$C$17="Normal",I47,0)-J47)*IF(MONTH(B47)=12,2,1),0)</f>
        <v>0</v>
      </c>
      <c r="L47" s="87">
        <f ca="1">IFERROR((L46+G47-IF(RESULTADOS!$C$17="Normal",0,I47))*(1+PREMISSAS!$C$19)+F47,0)</f>
        <v>0</v>
      </c>
      <c r="N47" s="58">
        <f t="shared" ca="1" si="0"/>
        <v>0</v>
      </c>
      <c r="O47" s="223"/>
      <c r="P47" s="131">
        <f t="shared" ca="1" si="1"/>
        <v>46173</v>
      </c>
      <c r="Q47" s="111">
        <f ca="1">IF(C47="","",Q46+(E47+H47-IF(RESULTADOS!$C$17="Normal",I47,0)-J47)/2+(F47+G47-IF(RESULTADOS!$C$17="Normal",0,I47)))</f>
        <v>0</v>
      </c>
      <c r="R47" s="111">
        <f ca="1">IF(C47="","",R46+(E47+H47-IF(RESULTADOS!$C$17="Normal",I47,0)-J47)/2)</f>
        <v>0</v>
      </c>
      <c r="S47" s="111">
        <f t="shared" ca="1" si="4"/>
        <v>0</v>
      </c>
      <c r="U47" s="131" t="str">
        <f t="shared" ca="1" si="5"/>
        <v/>
      </c>
      <c r="V47" s="131" t="str">
        <f t="shared" ca="1" si="2"/>
        <v/>
      </c>
      <c r="W47" s="111">
        <f ca="1">IF(OR((W46-13/12*Z46)*(1+PREMISSAS!$C$17)&lt;0,W46=""),0,(W46-13/12*Z46)*(1+PREMISSAS!$C$17))</f>
        <v>0</v>
      </c>
      <c r="X47" s="111">
        <f ca="1">IF(OR((X46-13/12*AA46)*(1+PREMISSAS!$C$17)&lt;0,X46=""),0,(X46-13/12*AA46)*(1+PREMISSAS!$C$17))</f>
        <v>0</v>
      </c>
      <c r="Y47" s="111">
        <f t="shared" ca="1" si="3"/>
        <v>0</v>
      </c>
      <c r="Z47" s="134">
        <f t="shared" ca="1" si="6"/>
        <v>0</v>
      </c>
      <c r="AA47" s="134">
        <f t="shared" ca="1" si="7"/>
        <v>0</v>
      </c>
    </row>
    <row r="48" spans="2:27" x14ac:dyDescent="0.3">
      <c r="B48" s="21">
        <f ca="1">IF(B47="","",IF(EOMONTH(B47,1)&gt;EOMONTH(ELEGIBILIDADE!$E$5,0),"",EOMONTH(B47,1)))</f>
        <v>46203</v>
      </c>
      <c r="C48" s="22">
        <f ca="1">IF(B48="","",IF(MONTH(B48)=1,C47*(1+PREMISSAS!$C$58),C47))</f>
        <v>0</v>
      </c>
      <c r="D48" s="22">
        <f ca="1">IF(RESULTADOS!$C$17="Normal",IFERROR(MAX(C48-PREMISSAS!$C$14,0),0),IF(PREMISSAS!$H$117=0,0,MAX(10*PREMISSAS!$C$39,RESULTADOS!$F$17)))</f>
        <v>0</v>
      </c>
      <c r="E48" s="4">
        <f ca="1">D48*IF(RESULTADOS!$C$17="Normal",RESULTADOS!$C$16,0)</f>
        <v>0</v>
      </c>
      <c r="F48" s="4">
        <f ca="1">IF(D48&lt;&gt;0,PREMISSAS!$N$83,0)</f>
        <v>0</v>
      </c>
      <c r="G48" s="4">
        <f ca="1">IFERROR(IF(RESULTADOS!$C$17="Normal",0,D48)*IF(RESULTADOS!$C$17="Normal",RESULTADOS!$C$18,RESULTADOS!$C$16),0)</f>
        <v>0</v>
      </c>
      <c r="H48" s="4">
        <f ca="1">IF(RESULTADOS!$C$17="Normal",E48,0)</f>
        <v>0</v>
      </c>
      <c r="I48" s="4">
        <f ca="1">(E48+H48+G48)*IFERROR(VLOOKUP(INT(COUNT($B$5:B48)/12),PREMISSAS!$B$62:$C$69,2,FALSE),PREMISSAS!$C$69)</f>
        <v>0</v>
      </c>
      <c r="J48" s="4">
        <f ca="1">D48*IF(RESULTADOS!$C$17="Normal",PREMISSAS!$C$71,0)</f>
        <v>0</v>
      </c>
      <c r="K48" s="87">
        <f ca="1">IFERROR(K47*(1+PREMISSAS!$C$19)+(E48+H48-IF(RESULTADOS!$C$17="Normal",I48,0)-J48)*IF(MONTH(B48)=12,2,1),0)</f>
        <v>0</v>
      </c>
      <c r="L48" s="87">
        <f ca="1">IFERROR((L47+G48-IF(RESULTADOS!$C$17="Normal",0,I48))*(1+PREMISSAS!$C$19)+F48,0)</f>
        <v>0</v>
      </c>
      <c r="N48" s="58">
        <f t="shared" ca="1" si="0"/>
        <v>0</v>
      </c>
      <c r="O48" s="223"/>
      <c r="P48" s="131">
        <f t="shared" ca="1" si="1"/>
        <v>46203</v>
      </c>
      <c r="Q48" s="111">
        <f ca="1">IF(C48="","",Q47+(E48+H48-IF(RESULTADOS!$C$17="Normal",I48,0)-J48)/2+(F48+G48-IF(RESULTADOS!$C$17="Normal",0,I48)))</f>
        <v>0</v>
      </c>
      <c r="R48" s="111">
        <f ca="1">IF(C48="","",R47+(E48+H48-IF(RESULTADOS!$C$17="Normal",I48,0)-J48)/2)</f>
        <v>0</v>
      </c>
      <c r="S48" s="111">
        <f t="shared" ca="1" si="4"/>
        <v>0</v>
      </c>
      <c r="U48" s="131" t="str">
        <f t="shared" ca="1" si="5"/>
        <v/>
      </c>
      <c r="V48" s="131" t="str">
        <f t="shared" ca="1" si="2"/>
        <v/>
      </c>
      <c r="W48" s="111">
        <f ca="1">IF(OR((W47-13/12*Z47)*(1+PREMISSAS!$C$17)&lt;0,W47=""),0,(W47-13/12*Z47)*(1+PREMISSAS!$C$17))</f>
        <v>0</v>
      </c>
      <c r="X48" s="111">
        <f ca="1">IF(OR((X47-13/12*AA47)*(1+PREMISSAS!$C$17)&lt;0,X47=""),0,(X47-13/12*AA47)*(1+PREMISSAS!$C$17))</f>
        <v>0</v>
      </c>
      <c r="Y48" s="111">
        <f t="shared" ca="1" si="3"/>
        <v>0</v>
      </c>
      <c r="Z48" s="134">
        <f t="shared" ca="1" si="6"/>
        <v>0</v>
      </c>
      <c r="AA48" s="134">
        <f t="shared" ca="1" si="7"/>
        <v>0</v>
      </c>
    </row>
    <row r="49" spans="2:27" x14ac:dyDescent="0.3">
      <c r="B49" s="21">
        <f ca="1">IF(B48="","",IF(EOMONTH(B48,1)&gt;EOMONTH(ELEGIBILIDADE!$E$5,0),"",EOMONTH(B48,1)))</f>
        <v>46234</v>
      </c>
      <c r="C49" s="22">
        <f ca="1">IF(B49="","",IF(MONTH(B49)=1,C48*(1+PREMISSAS!$C$58),C48))</f>
        <v>0</v>
      </c>
      <c r="D49" s="22">
        <f ca="1">IF(RESULTADOS!$C$17="Normal",IFERROR(MAX(C49-PREMISSAS!$C$14,0),0),IF(PREMISSAS!$H$117=0,0,MAX(10*PREMISSAS!$C$39,RESULTADOS!$F$17)))</f>
        <v>0</v>
      </c>
      <c r="E49" s="4">
        <f ca="1">D49*IF(RESULTADOS!$C$17="Normal",RESULTADOS!$C$16,0)</f>
        <v>0</v>
      </c>
      <c r="F49" s="4">
        <f ca="1">IF(D49&lt;&gt;0,PREMISSAS!$N$83,0)</f>
        <v>0</v>
      </c>
      <c r="G49" s="4">
        <f ca="1">IFERROR(IF(RESULTADOS!$C$17="Normal",0,D49)*IF(RESULTADOS!$C$17="Normal",RESULTADOS!$C$18,RESULTADOS!$C$16),0)</f>
        <v>0</v>
      </c>
      <c r="H49" s="4">
        <f ca="1">IF(RESULTADOS!$C$17="Normal",E49,0)</f>
        <v>0</v>
      </c>
      <c r="I49" s="4">
        <f ca="1">(E49+H49+G49)*IFERROR(VLOOKUP(INT(COUNT($B$5:B49)/12),PREMISSAS!$B$62:$C$69,2,FALSE),PREMISSAS!$C$69)</f>
        <v>0</v>
      </c>
      <c r="J49" s="4">
        <f ca="1">D49*IF(RESULTADOS!$C$17="Normal",PREMISSAS!$C$71,0)</f>
        <v>0</v>
      </c>
      <c r="K49" s="87">
        <f ca="1">IFERROR(K48*(1+PREMISSAS!$C$19)+(E49+H49-IF(RESULTADOS!$C$17="Normal",I49,0)-J49)*IF(MONTH(B49)=12,2,1),0)</f>
        <v>0</v>
      </c>
      <c r="L49" s="87">
        <f ca="1">IFERROR((L48+G49-IF(RESULTADOS!$C$17="Normal",0,I49))*(1+PREMISSAS!$C$19)+F49,0)</f>
        <v>0</v>
      </c>
      <c r="N49" s="58">
        <f t="shared" ca="1" si="0"/>
        <v>0</v>
      </c>
      <c r="O49" s="223"/>
      <c r="P49" s="131">
        <f t="shared" ca="1" si="1"/>
        <v>46234</v>
      </c>
      <c r="Q49" s="111">
        <f ca="1">IF(C49="","",Q48+(E49+H49-IF(RESULTADOS!$C$17="Normal",I49,0)-J49)/2+(F49+G49-IF(RESULTADOS!$C$17="Normal",0,I49)))</f>
        <v>0</v>
      </c>
      <c r="R49" s="111">
        <f ca="1">IF(C49="","",R48+(E49+H49-IF(RESULTADOS!$C$17="Normal",I49,0)-J49)/2)</f>
        <v>0</v>
      </c>
      <c r="S49" s="111">
        <f t="shared" ca="1" si="4"/>
        <v>0</v>
      </c>
      <c r="U49" s="131" t="str">
        <f t="shared" ca="1" si="5"/>
        <v/>
      </c>
      <c r="V49" s="131" t="str">
        <f t="shared" ca="1" si="2"/>
        <v/>
      </c>
      <c r="W49" s="111">
        <f ca="1">IF(OR((W48-13/12*Z48)*(1+PREMISSAS!$C$17)&lt;0,W48=""),0,(W48-13/12*Z48)*(1+PREMISSAS!$C$17))</f>
        <v>0</v>
      </c>
      <c r="X49" s="111">
        <f ca="1">IF(OR((X48-13/12*AA48)*(1+PREMISSAS!$C$17)&lt;0,X48=""),0,(X48-13/12*AA48)*(1+PREMISSAS!$C$17))</f>
        <v>0</v>
      </c>
      <c r="Y49" s="111">
        <f t="shared" ca="1" si="3"/>
        <v>0</v>
      </c>
      <c r="Z49" s="134">
        <f t="shared" ca="1" si="6"/>
        <v>0</v>
      </c>
      <c r="AA49" s="134">
        <f t="shared" ca="1" si="7"/>
        <v>0</v>
      </c>
    </row>
    <row r="50" spans="2:27" x14ac:dyDescent="0.3">
      <c r="B50" s="21">
        <f ca="1">IF(B49="","",IF(EOMONTH(B49,1)&gt;EOMONTH(ELEGIBILIDADE!$E$5,0),"",EOMONTH(B49,1)))</f>
        <v>46265</v>
      </c>
      <c r="C50" s="22">
        <f ca="1">IF(B50="","",IF(MONTH(B50)=1,C49*(1+PREMISSAS!$C$58),C49))</f>
        <v>0</v>
      </c>
      <c r="D50" s="22">
        <f ca="1">IF(RESULTADOS!$C$17="Normal",IFERROR(MAX(C50-PREMISSAS!$C$14,0),0),IF(PREMISSAS!$H$117=0,0,MAX(10*PREMISSAS!$C$39,RESULTADOS!$F$17)))</f>
        <v>0</v>
      </c>
      <c r="E50" s="4">
        <f ca="1">D50*IF(RESULTADOS!$C$17="Normal",RESULTADOS!$C$16,0)</f>
        <v>0</v>
      </c>
      <c r="F50" s="4">
        <f ca="1">IF(D50&lt;&gt;0,PREMISSAS!$N$83,0)</f>
        <v>0</v>
      </c>
      <c r="G50" s="4">
        <f ca="1">IFERROR(IF(RESULTADOS!$C$17="Normal",0,D50)*IF(RESULTADOS!$C$17="Normal",RESULTADOS!$C$18,RESULTADOS!$C$16),0)</f>
        <v>0</v>
      </c>
      <c r="H50" s="4">
        <f ca="1">IF(RESULTADOS!$C$17="Normal",E50,0)</f>
        <v>0</v>
      </c>
      <c r="I50" s="4">
        <f ca="1">(E50+H50+G50)*IFERROR(VLOOKUP(INT(COUNT($B$5:B50)/12),PREMISSAS!$B$62:$C$69,2,FALSE),PREMISSAS!$C$69)</f>
        <v>0</v>
      </c>
      <c r="J50" s="4">
        <f ca="1">D50*IF(RESULTADOS!$C$17="Normal",PREMISSAS!$C$71,0)</f>
        <v>0</v>
      </c>
      <c r="K50" s="87">
        <f ca="1">IFERROR(K49*(1+PREMISSAS!$C$19)+(E50+H50-IF(RESULTADOS!$C$17="Normal",I50,0)-J50)*IF(MONTH(B50)=12,2,1),0)</f>
        <v>0</v>
      </c>
      <c r="L50" s="87">
        <f ca="1">IFERROR((L49+G50-IF(RESULTADOS!$C$17="Normal",0,I50))*(1+PREMISSAS!$C$19)+F50,0)</f>
        <v>0</v>
      </c>
      <c r="N50" s="58">
        <f t="shared" ca="1" si="0"/>
        <v>0</v>
      </c>
      <c r="O50" s="223"/>
      <c r="P50" s="131">
        <f t="shared" ca="1" si="1"/>
        <v>46265</v>
      </c>
      <c r="Q50" s="111">
        <f ca="1">IF(C50="","",Q49+(E50+H50-IF(RESULTADOS!$C$17="Normal",I50,0)-J50)/2+(F50+G50-IF(RESULTADOS!$C$17="Normal",0,I50)))</f>
        <v>0</v>
      </c>
      <c r="R50" s="111">
        <f ca="1">IF(C50="","",R49+(E50+H50-IF(RESULTADOS!$C$17="Normal",I50,0)-J50)/2)</f>
        <v>0</v>
      </c>
      <c r="S50" s="111">
        <f t="shared" ca="1" si="4"/>
        <v>0</v>
      </c>
      <c r="U50" s="131" t="str">
        <f t="shared" ca="1" si="5"/>
        <v/>
      </c>
      <c r="V50" s="131" t="str">
        <f t="shared" ca="1" si="2"/>
        <v/>
      </c>
      <c r="W50" s="111">
        <f ca="1">IF(OR((W49-13/12*Z49)*(1+PREMISSAS!$C$17)&lt;0,W49=""),0,(W49-13/12*Z49)*(1+PREMISSAS!$C$17))</f>
        <v>0</v>
      </c>
      <c r="X50" s="111">
        <f ca="1">IF(OR((X49-13/12*AA49)*(1+PREMISSAS!$C$17)&lt;0,X49=""),0,(X49-13/12*AA49)*(1+PREMISSAS!$C$17))</f>
        <v>0</v>
      </c>
      <c r="Y50" s="111">
        <f t="shared" ca="1" si="3"/>
        <v>0</v>
      </c>
      <c r="Z50" s="134">
        <f t="shared" ca="1" si="6"/>
        <v>0</v>
      </c>
      <c r="AA50" s="134">
        <f t="shared" ca="1" si="7"/>
        <v>0</v>
      </c>
    </row>
    <row r="51" spans="2:27" x14ac:dyDescent="0.3">
      <c r="B51" s="21">
        <f ca="1">IF(B50="","",IF(EOMONTH(B50,1)&gt;EOMONTH(ELEGIBILIDADE!$E$5,0),"",EOMONTH(B50,1)))</f>
        <v>46295</v>
      </c>
      <c r="C51" s="22">
        <f ca="1">IF(B51="","",IF(MONTH(B51)=1,C50*(1+PREMISSAS!$C$58),C50))</f>
        <v>0</v>
      </c>
      <c r="D51" s="22">
        <f ca="1">IF(RESULTADOS!$C$17="Normal",IFERROR(MAX(C51-PREMISSAS!$C$14,0),0),IF(PREMISSAS!$H$117=0,0,MAX(10*PREMISSAS!$C$39,RESULTADOS!$F$17)))</f>
        <v>0</v>
      </c>
      <c r="E51" s="4">
        <f ca="1">D51*IF(RESULTADOS!$C$17="Normal",RESULTADOS!$C$16,0)</f>
        <v>0</v>
      </c>
      <c r="F51" s="4">
        <f ca="1">IF(D51&lt;&gt;0,PREMISSAS!$N$83,0)</f>
        <v>0</v>
      </c>
      <c r="G51" s="4">
        <f ca="1">IFERROR(IF(RESULTADOS!$C$17="Normal",0,D51)*IF(RESULTADOS!$C$17="Normal",RESULTADOS!$C$18,RESULTADOS!$C$16),0)</f>
        <v>0</v>
      </c>
      <c r="H51" s="4">
        <f ca="1">IF(RESULTADOS!$C$17="Normal",E51,0)</f>
        <v>0</v>
      </c>
      <c r="I51" s="4">
        <f ca="1">(E51+H51+G51)*IFERROR(VLOOKUP(INT(COUNT($B$5:B51)/12),PREMISSAS!$B$62:$C$69,2,FALSE),PREMISSAS!$C$69)</f>
        <v>0</v>
      </c>
      <c r="J51" s="4">
        <f ca="1">D51*IF(RESULTADOS!$C$17="Normal",PREMISSAS!$C$71,0)</f>
        <v>0</v>
      </c>
      <c r="K51" s="87">
        <f ca="1">IFERROR(K50*(1+PREMISSAS!$C$19)+(E51+H51-IF(RESULTADOS!$C$17="Normal",I51,0)-J51)*IF(MONTH(B51)=12,2,1),0)</f>
        <v>0</v>
      </c>
      <c r="L51" s="87">
        <f ca="1">IFERROR((L50+G51-IF(RESULTADOS!$C$17="Normal",0,I51))*(1+PREMISSAS!$C$19)+F51,0)</f>
        <v>0</v>
      </c>
      <c r="N51" s="58">
        <f t="shared" ca="1" si="0"/>
        <v>0</v>
      </c>
      <c r="O51" s="223"/>
      <c r="P51" s="131">
        <f t="shared" ca="1" si="1"/>
        <v>46295</v>
      </c>
      <c r="Q51" s="111">
        <f ca="1">IF(C51="","",Q50+(E51+H51-IF(RESULTADOS!$C$17="Normal",I51,0)-J51)/2+(F51+G51-IF(RESULTADOS!$C$17="Normal",0,I51)))</f>
        <v>0</v>
      </c>
      <c r="R51" s="111">
        <f ca="1">IF(C51="","",R50+(E51+H51-IF(RESULTADOS!$C$17="Normal",I51,0)-J51)/2)</f>
        <v>0</v>
      </c>
      <c r="S51" s="111">
        <f t="shared" ca="1" si="4"/>
        <v>0</v>
      </c>
      <c r="U51" s="131" t="str">
        <f t="shared" ca="1" si="5"/>
        <v/>
      </c>
      <c r="V51" s="131" t="str">
        <f t="shared" ca="1" si="2"/>
        <v/>
      </c>
      <c r="W51" s="111">
        <f ca="1">IF(OR((W50-13/12*Z50)*(1+PREMISSAS!$C$17)&lt;0,W50=""),0,(W50-13/12*Z50)*(1+PREMISSAS!$C$17))</f>
        <v>0</v>
      </c>
      <c r="X51" s="111">
        <f ca="1">IF(OR((X50-13/12*AA50)*(1+PREMISSAS!$C$17)&lt;0,X50=""),0,(X50-13/12*AA50)*(1+PREMISSAS!$C$17))</f>
        <v>0</v>
      </c>
      <c r="Y51" s="111">
        <f t="shared" ca="1" si="3"/>
        <v>0</v>
      </c>
      <c r="Z51" s="134">
        <f t="shared" ca="1" si="6"/>
        <v>0</v>
      </c>
      <c r="AA51" s="134">
        <f t="shared" ca="1" si="7"/>
        <v>0</v>
      </c>
    </row>
    <row r="52" spans="2:27" x14ac:dyDescent="0.3">
      <c r="B52" s="21">
        <f ca="1">IF(B51="","",IF(EOMONTH(B51,1)&gt;EOMONTH(ELEGIBILIDADE!$E$5,0),"",EOMONTH(B51,1)))</f>
        <v>46326</v>
      </c>
      <c r="C52" s="22">
        <f ca="1">IF(B52="","",IF(MONTH(B52)=1,C51*(1+PREMISSAS!$C$58),C51))</f>
        <v>0</v>
      </c>
      <c r="D52" s="22">
        <f ca="1">IF(RESULTADOS!$C$17="Normal",IFERROR(MAX(C52-PREMISSAS!$C$14,0),0),IF(PREMISSAS!$H$117=0,0,MAX(10*PREMISSAS!$C$39,RESULTADOS!$F$17)))</f>
        <v>0</v>
      </c>
      <c r="E52" s="4">
        <f ca="1">D52*IF(RESULTADOS!$C$17="Normal",RESULTADOS!$C$16,0)</f>
        <v>0</v>
      </c>
      <c r="F52" s="4">
        <f ca="1">IF(D52&lt;&gt;0,PREMISSAS!$N$83,0)</f>
        <v>0</v>
      </c>
      <c r="G52" s="4">
        <f ca="1">IFERROR(IF(RESULTADOS!$C$17="Normal",0,D52)*IF(RESULTADOS!$C$17="Normal",RESULTADOS!$C$18,RESULTADOS!$C$16),0)</f>
        <v>0</v>
      </c>
      <c r="H52" s="4">
        <f ca="1">IF(RESULTADOS!$C$17="Normal",E52,0)</f>
        <v>0</v>
      </c>
      <c r="I52" s="4">
        <f ca="1">(E52+H52+G52)*IFERROR(VLOOKUP(INT(COUNT($B$5:B52)/12),PREMISSAS!$B$62:$C$69,2,FALSE),PREMISSAS!$C$69)</f>
        <v>0</v>
      </c>
      <c r="J52" s="4">
        <f ca="1">D52*IF(RESULTADOS!$C$17="Normal",PREMISSAS!$C$71,0)</f>
        <v>0</v>
      </c>
      <c r="K52" s="87">
        <f ca="1">IFERROR(K51*(1+PREMISSAS!$C$19)+(E52+H52-IF(RESULTADOS!$C$17="Normal",I52,0)-J52)*IF(MONTH(B52)=12,2,1),0)</f>
        <v>0</v>
      </c>
      <c r="L52" s="87">
        <f ca="1">IFERROR((L51+G52-IF(RESULTADOS!$C$17="Normal",0,I52))*(1+PREMISSAS!$C$19)+F52,0)</f>
        <v>0</v>
      </c>
      <c r="N52" s="58">
        <f t="shared" ca="1" si="0"/>
        <v>0</v>
      </c>
      <c r="O52" s="223"/>
      <c r="P52" s="131">
        <f t="shared" ca="1" si="1"/>
        <v>46326</v>
      </c>
      <c r="Q52" s="111">
        <f ca="1">IF(C52="","",Q51+(E52+H52-IF(RESULTADOS!$C$17="Normal",I52,0)-J52)/2+(F52+G52-IF(RESULTADOS!$C$17="Normal",0,I52)))</f>
        <v>0</v>
      </c>
      <c r="R52" s="111">
        <f ca="1">IF(C52="","",R51+(E52+H52-IF(RESULTADOS!$C$17="Normal",I52,0)-J52)/2)</f>
        <v>0</v>
      </c>
      <c r="S52" s="111">
        <f t="shared" ca="1" si="4"/>
        <v>0</v>
      </c>
      <c r="U52" s="131" t="str">
        <f t="shared" ca="1" si="5"/>
        <v/>
      </c>
      <c r="V52" s="131" t="str">
        <f t="shared" ca="1" si="2"/>
        <v/>
      </c>
      <c r="W52" s="111">
        <f ca="1">IF(OR((W51-13/12*Z51)*(1+PREMISSAS!$C$17)&lt;0,W51=""),0,(W51-13/12*Z51)*(1+PREMISSAS!$C$17))</f>
        <v>0</v>
      </c>
      <c r="X52" s="111">
        <f ca="1">IF(OR((X51-13/12*AA51)*(1+PREMISSAS!$C$17)&lt;0,X51=""),0,(X51-13/12*AA51)*(1+PREMISSAS!$C$17))</f>
        <v>0</v>
      </c>
      <c r="Y52" s="111">
        <f t="shared" ca="1" si="3"/>
        <v>0</v>
      </c>
      <c r="Z52" s="134">
        <f t="shared" ca="1" si="6"/>
        <v>0</v>
      </c>
      <c r="AA52" s="134">
        <f t="shared" ca="1" si="7"/>
        <v>0</v>
      </c>
    </row>
    <row r="53" spans="2:27" x14ac:dyDescent="0.3">
      <c r="B53" s="21">
        <f ca="1">IF(B52="","",IF(EOMONTH(B52,1)&gt;EOMONTH(ELEGIBILIDADE!$E$5,0),"",EOMONTH(B52,1)))</f>
        <v>46356</v>
      </c>
      <c r="C53" s="22">
        <f ca="1">IF(B53="","",IF(MONTH(B53)=1,C52*(1+PREMISSAS!$C$58),C52))</f>
        <v>0</v>
      </c>
      <c r="D53" s="22">
        <f ca="1">IF(RESULTADOS!$C$17="Normal",IFERROR(MAX(C53-PREMISSAS!$C$14,0),0),IF(PREMISSAS!$H$117=0,0,MAX(10*PREMISSAS!$C$39,RESULTADOS!$F$17)))</f>
        <v>0</v>
      </c>
      <c r="E53" s="4">
        <f ca="1">D53*IF(RESULTADOS!$C$17="Normal",RESULTADOS!$C$16,0)</f>
        <v>0</v>
      </c>
      <c r="F53" s="4">
        <f ca="1">IF(D53&lt;&gt;0,PREMISSAS!$N$83,0)</f>
        <v>0</v>
      </c>
      <c r="G53" s="4">
        <f ca="1">IFERROR(IF(RESULTADOS!$C$17="Normal",0,D53)*IF(RESULTADOS!$C$17="Normal",RESULTADOS!$C$18,RESULTADOS!$C$16),0)</f>
        <v>0</v>
      </c>
      <c r="H53" s="4">
        <f ca="1">IF(RESULTADOS!$C$17="Normal",E53,0)</f>
        <v>0</v>
      </c>
      <c r="I53" s="4">
        <f ca="1">(E53+H53+G53)*IFERROR(VLOOKUP(INT(COUNT($B$5:B53)/12),PREMISSAS!$B$62:$C$69,2,FALSE),PREMISSAS!$C$69)</f>
        <v>0</v>
      </c>
      <c r="J53" s="4">
        <f ca="1">D53*IF(RESULTADOS!$C$17="Normal",PREMISSAS!$C$71,0)</f>
        <v>0</v>
      </c>
      <c r="K53" s="87">
        <f ca="1">IFERROR(K52*(1+PREMISSAS!$C$19)+(E53+H53-IF(RESULTADOS!$C$17="Normal",I53,0)-J53)*IF(MONTH(B53)=12,2,1),0)</f>
        <v>0</v>
      </c>
      <c r="L53" s="87">
        <f ca="1">IFERROR((L52+G53-IF(RESULTADOS!$C$17="Normal",0,I53))*(1+PREMISSAS!$C$19)+F53,0)</f>
        <v>0</v>
      </c>
      <c r="N53" s="58">
        <f t="shared" ca="1" si="0"/>
        <v>0</v>
      </c>
      <c r="O53" s="223"/>
      <c r="P53" s="131">
        <f t="shared" ca="1" si="1"/>
        <v>46356</v>
      </c>
      <c r="Q53" s="111">
        <f ca="1">IF(C53="","",Q52+(E53+H53-IF(RESULTADOS!$C$17="Normal",I53,0)-J53)/2+(F53+G53-IF(RESULTADOS!$C$17="Normal",0,I53)))</f>
        <v>0</v>
      </c>
      <c r="R53" s="111">
        <f ca="1">IF(C53="","",R52+(E53+H53-IF(RESULTADOS!$C$17="Normal",I53,0)-J53)/2)</f>
        <v>0</v>
      </c>
      <c r="S53" s="111">
        <f t="shared" ca="1" si="4"/>
        <v>0</v>
      </c>
      <c r="U53" s="131" t="str">
        <f t="shared" ca="1" si="5"/>
        <v/>
      </c>
      <c r="V53" s="131" t="str">
        <f t="shared" ca="1" si="2"/>
        <v/>
      </c>
      <c r="W53" s="111">
        <f ca="1">IF(OR((W52-13/12*Z52)*(1+PREMISSAS!$C$17)&lt;0,W52=""),0,(W52-13/12*Z52)*(1+PREMISSAS!$C$17))</f>
        <v>0</v>
      </c>
      <c r="X53" s="111">
        <f ca="1">IF(OR((X52-13/12*AA52)*(1+PREMISSAS!$C$17)&lt;0,X52=""),0,(X52-13/12*AA52)*(1+PREMISSAS!$C$17))</f>
        <v>0</v>
      </c>
      <c r="Y53" s="111">
        <f t="shared" ca="1" si="3"/>
        <v>0</v>
      </c>
      <c r="Z53" s="134">
        <f t="shared" ca="1" si="6"/>
        <v>0</v>
      </c>
      <c r="AA53" s="134">
        <f t="shared" ca="1" si="7"/>
        <v>0</v>
      </c>
    </row>
    <row r="54" spans="2:27" x14ac:dyDescent="0.3">
      <c r="B54" s="21">
        <f ca="1">IF(B53="","",IF(EOMONTH(B53,1)&gt;EOMONTH(ELEGIBILIDADE!$E$5,0),"",EOMONTH(B53,1)))</f>
        <v>46387</v>
      </c>
      <c r="C54" s="22">
        <f ca="1">IF(B54="","",IF(MONTH(B54)=1,C53*(1+PREMISSAS!$C$58),C53))</f>
        <v>0</v>
      </c>
      <c r="D54" s="22">
        <f ca="1">IF(RESULTADOS!$C$17="Normal",IFERROR(MAX(C54-PREMISSAS!$C$14,0),0),IF(PREMISSAS!$H$117=0,0,MAX(10*PREMISSAS!$C$39,RESULTADOS!$F$17)))</f>
        <v>0</v>
      </c>
      <c r="E54" s="4">
        <f ca="1">D54*IF(RESULTADOS!$C$17="Normal",RESULTADOS!$C$16,0)</f>
        <v>0</v>
      </c>
      <c r="F54" s="4">
        <f ca="1">IF(D54&lt;&gt;0,PREMISSAS!$N$83,0)</f>
        <v>0</v>
      </c>
      <c r="G54" s="4">
        <f ca="1">IFERROR(IF(RESULTADOS!$C$17="Normal",0,D54)*IF(RESULTADOS!$C$17="Normal",RESULTADOS!$C$18,RESULTADOS!$C$16),0)</f>
        <v>0</v>
      </c>
      <c r="H54" s="4">
        <f ca="1">IF(RESULTADOS!$C$17="Normal",E54,0)</f>
        <v>0</v>
      </c>
      <c r="I54" s="4">
        <f ca="1">(E54+H54+G54)*IFERROR(VLOOKUP(INT(COUNT($B$5:B54)/12),PREMISSAS!$B$62:$C$69,2,FALSE),PREMISSAS!$C$69)</f>
        <v>0</v>
      </c>
      <c r="J54" s="4">
        <f ca="1">D54*IF(RESULTADOS!$C$17="Normal",PREMISSAS!$C$71,0)</f>
        <v>0</v>
      </c>
      <c r="K54" s="87">
        <f ca="1">IFERROR(K53*(1+PREMISSAS!$C$19)+(E54+H54-IF(RESULTADOS!$C$17="Normal",I54,0)-J54)*IF(MONTH(B54)=12,2,1),0)</f>
        <v>0</v>
      </c>
      <c r="L54" s="87">
        <f ca="1">IFERROR((L53+G54-IF(RESULTADOS!$C$17="Normal",0,I54))*(1+PREMISSAS!$C$19)+F54,0)</f>
        <v>0</v>
      </c>
      <c r="N54" s="58">
        <f t="shared" ca="1" si="0"/>
        <v>0</v>
      </c>
      <c r="O54" s="223"/>
      <c r="P54" s="131">
        <f t="shared" ca="1" si="1"/>
        <v>46387</v>
      </c>
      <c r="Q54" s="111">
        <f ca="1">IF(C54="","",Q53+(E54+H54-IF(RESULTADOS!$C$17="Normal",I54,0)-J54)/2+(F54+G54-IF(RESULTADOS!$C$17="Normal",0,I54)))</f>
        <v>0</v>
      </c>
      <c r="R54" s="111">
        <f ca="1">IF(C54="","",R53+(E54+H54-IF(RESULTADOS!$C$17="Normal",I54,0)-J54)/2)</f>
        <v>0</v>
      </c>
      <c r="S54" s="111">
        <f t="shared" ca="1" si="4"/>
        <v>0</v>
      </c>
      <c r="U54" s="131" t="str">
        <f t="shared" ca="1" si="5"/>
        <v/>
      </c>
      <c r="V54" s="131" t="str">
        <f t="shared" ca="1" si="2"/>
        <v/>
      </c>
      <c r="W54" s="111">
        <f ca="1">IF(OR((W53-13/12*Z53)*(1+PREMISSAS!$C$17)&lt;0,W53=""),0,(W53-13/12*Z53)*(1+PREMISSAS!$C$17))</f>
        <v>0</v>
      </c>
      <c r="X54" s="111">
        <f ca="1">IF(OR((X53-13/12*AA53)*(1+PREMISSAS!$C$17)&lt;0,X53=""),0,(X53-13/12*AA53)*(1+PREMISSAS!$C$17))</f>
        <v>0</v>
      </c>
      <c r="Y54" s="111">
        <f t="shared" ca="1" si="3"/>
        <v>0</v>
      </c>
      <c r="Z54" s="134">
        <f t="shared" ca="1" si="6"/>
        <v>0</v>
      </c>
      <c r="AA54" s="134">
        <f t="shared" ca="1" si="7"/>
        <v>0</v>
      </c>
    </row>
    <row r="55" spans="2:27" x14ac:dyDescent="0.3">
      <c r="B55" s="21">
        <f ca="1">IF(B54="","",IF(EOMONTH(B54,1)&gt;EOMONTH(ELEGIBILIDADE!$E$5,0),"",EOMONTH(B54,1)))</f>
        <v>46418</v>
      </c>
      <c r="C55" s="22">
        <f ca="1">IF(B55="","",IF(MONTH(B55)=1,C54*(1+PREMISSAS!$C$58),C54))</f>
        <v>0</v>
      </c>
      <c r="D55" s="22">
        <f ca="1">IF(RESULTADOS!$C$17="Normal",IFERROR(MAX(C55-PREMISSAS!$C$14,0),0),IF(PREMISSAS!$H$117=0,0,MAX(10*PREMISSAS!$C$39,RESULTADOS!$F$17)))</f>
        <v>0</v>
      </c>
      <c r="E55" s="4">
        <f ca="1">D55*IF(RESULTADOS!$C$17="Normal",RESULTADOS!$C$16,0)</f>
        <v>0</v>
      </c>
      <c r="F55" s="4">
        <f ca="1">IF(D55&lt;&gt;0,PREMISSAS!$N$83,0)</f>
        <v>0</v>
      </c>
      <c r="G55" s="4">
        <f ca="1">IFERROR(IF(RESULTADOS!$C$17="Normal",0,D55)*IF(RESULTADOS!$C$17="Normal",RESULTADOS!$C$18,RESULTADOS!$C$16),0)</f>
        <v>0</v>
      </c>
      <c r="H55" s="4">
        <f ca="1">IF(RESULTADOS!$C$17="Normal",E55,0)</f>
        <v>0</v>
      </c>
      <c r="I55" s="4">
        <f ca="1">(E55+H55+G55)*IFERROR(VLOOKUP(INT(COUNT($B$5:B55)/12),PREMISSAS!$B$62:$C$69,2,FALSE),PREMISSAS!$C$69)</f>
        <v>0</v>
      </c>
      <c r="J55" s="4">
        <f ca="1">D55*IF(RESULTADOS!$C$17="Normal",PREMISSAS!$C$71,0)</f>
        <v>0</v>
      </c>
      <c r="K55" s="87">
        <f ca="1">IFERROR(K54*(1+PREMISSAS!$C$19)+(E55+H55-IF(RESULTADOS!$C$17="Normal",I55,0)-J55)*IF(MONTH(B55)=12,2,1),0)</f>
        <v>0</v>
      </c>
      <c r="L55" s="87">
        <f ca="1">IFERROR((L54+G55-IF(RESULTADOS!$C$17="Normal",0,I55))*(1+PREMISSAS!$C$19)+F55,0)</f>
        <v>0</v>
      </c>
      <c r="N55" s="58">
        <f t="shared" ca="1" si="0"/>
        <v>0</v>
      </c>
      <c r="O55" s="223"/>
      <c r="P55" s="131">
        <f t="shared" ca="1" si="1"/>
        <v>46418</v>
      </c>
      <c r="Q55" s="111">
        <f ca="1">IF(C55="","",Q54+(E55+H55-IF(RESULTADOS!$C$17="Normal",I55,0)-J55)/2+(F55+G55-IF(RESULTADOS!$C$17="Normal",0,I55)))</f>
        <v>0</v>
      </c>
      <c r="R55" s="111">
        <f ca="1">IF(C55="","",R54+(E55+H55-IF(RESULTADOS!$C$17="Normal",I55,0)-J55)/2)</f>
        <v>0</v>
      </c>
      <c r="S55" s="111">
        <f t="shared" ca="1" si="4"/>
        <v>0</v>
      </c>
      <c r="U55" s="131" t="str">
        <f t="shared" ca="1" si="5"/>
        <v/>
      </c>
      <c r="V55" s="131" t="str">
        <f t="shared" ca="1" si="2"/>
        <v/>
      </c>
      <c r="W55" s="111">
        <f ca="1">IF(OR((W54-13/12*Z54)*(1+PREMISSAS!$C$17)&lt;0,W54=""),0,(W54-13/12*Z54)*(1+PREMISSAS!$C$17))</f>
        <v>0</v>
      </c>
      <c r="X55" s="111">
        <f ca="1">IF(OR((X54-13/12*AA54)*(1+PREMISSAS!$C$17)&lt;0,X54=""),0,(X54-13/12*AA54)*(1+PREMISSAS!$C$17))</f>
        <v>0</v>
      </c>
      <c r="Y55" s="111">
        <f t="shared" ca="1" si="3"/>
        <v>0</v>
      </c>
      <c r="Z55" s="134">
        <f t="shared" ca="1" si="6"/>
        <v>0</v>
      </c>
      <c r="AA55" s="134">
        <f t="shared" ca="1" si="7"/>
        <v>0</v>
      </c>
    </row>
    <row r="56" spans="2:27" x14ac:dyDescent="0.3">
      <c r="B56" s="21">
        <f ca="1">IF(B55="","",IF(EOMONTH(B55,1)&gt;EOMONTH(ELEGIBILIDADE!$E$5,0),"",EOMONTH(B55,1)))</f>
        <v>46446</v>
      </c>
      <c r="C56" s="22">
        <f ca="1">IF(B56="","",IF(MONTH(B56)=1,C55*(1+PREMISSAS!$C$58),C55))</f>
        <v>0</v>
      </c>
      <c r="D56" s="22">
        <f ca="1">IF(RESULTADOS!$C$17="Normal",IFERROR(MAX(C56-PREMISSAS!$C$14,0),0),IF(PREMISSAS!$H$117=0,0,MAX(10*PREMISSAS!$C$39,RESULTADOS!$F$17)))</f>
        <v>0</v>
      </c>
      <c r="E56" s="4">
        <f ca="1">D56*IF(RESULTADOS!$C$17="Normal",RESULTADOS!$C$16,0)</f>
        <v>0</v>
      </c>
      <c r="F56" s="4">
        <f ca="1">IF(D56&lt;&gt;0,PREMISSAS!$N$83,0)</f>
        <v>0</v>
      </c>
      <c r="G56" s="4">
        <f ca="1">IFERROR(IF(RESULTADOS!$C$17="Normal",0,D56)*IF(RESULTADOS!$C$17="Normal",RESULTADOS!$C$18,RESULTADOS!$C$16),0)</f>
        <v>0</v>
      </c>
      <c r="H56" s="4">
        <f ca="1">IF(RESULTADOS!$C$17="Normal",E56,0)</f>
        <v>0</v>
      </c>
      <c r="I56" s="4">
        <f ca="1">(E56+H56+G56)*IFERROR(VLOOKUP(INT(COUNT($B$5:B56)/12),PREMISSAS!$B$62:$C$69,2,FALSE),PREMISSAS!$C$69)</f>
        <v>0</v>
      </c>
      <c r="J56" s="4">
        <f ca="1">D56*IF(RESULTADOS!$C$17="Normal",PREMISSAS!$C$71,0)</f>
        <v>0</v>
      </c>
      <c r="K56" s="87">
        <f ca="1">IFERROR(K55*(1+PREMISSAS!$C$19)+(E56+H56-IF(RESULTADOS!$C$17="Normal",I56,0)-J56)*IF(MONTH(B56)=12,2,1),0)</f>
        <v>0</v>
      </c>
      <c r="L56" s="87">
        <f ca="1">IFERROR((L55+G56-IF(RESULTADOS!$C$17="Normal",0,I56))*(1+PREMISSAS!$C$19)+F56,0)</f>
        <v>0</v>
      </c>
      <c r="N56" s="58">
        <f t="shared" ca="1" si="0"/>
        <v>0</v>
      </c>
      <c r="O56" s="223"/>
      <c r="P56" s="131">
        <f t="shared" ca="1" si="1"/>
        <v>46446</v>
      </c>
      <c r="Q56" s="111">
        <f ca="1">IF(C56="","",Q55+(E56+H56-IF(RESULTADOS!$C$17="Normal",I56,0)-J56)/2+(F56+G56-IF(RESULTADOS!$C$17="Normal",0,I56)))</f>
        <v>0</v>
      </c>
      <c r="R56" s="111">
        <f ca="1">IF(C56="","",R55+(E56+H56-IF(RESULTADOS!$C$17="Normal",I56,0)-J56)/2)</f>
        <v>0</v>
      </c>
      <c r="S56" s="111">
        <f t="shared" ca="1" si="4"/>
        <v>0</v>
      </c>
      <c r="U56" s="131" t="str">
        <f t="shared" ca="1" si="5"/>
        <v/>
      </c>
      <c r="V56" s="131" t="str">
        <f t="shared" ca="1" si="2"/>
        <v/>
      </c>
      <c r="W56" s="111">
        <f ca="1">IF(OR((W55-13/12*Z55)*(1+PREMISSAS!$C$17)&lt;0,W55=""),0,(W55-13/12*Z55)*(1+PREMISSAS!$C$17))</f>
        <v>0</v>
      </c>
      <c r="X56" s="111">
        <f ca="1">IF(OR((X55-13/12*AA55)*(1+PREMISSAS!$C$17)&lt;0,X55=""),0,(X55-13/12*AA55)*(1+PREMISSAS!$C$17))</f>
        <v>0</v>
      </c>
      <c r="Y56" s="111">
        <f t="shared" ca="1" si="3"/>
        <v>0</v>
      </c>
      <c r="Z56" s="134">
        <f t="shared" ca="1" si="6"/>
        <v>0</v>
      </c>
      <c r="AA56" s="134">
        <f t="shared" ca="1" si="7"/>
        <v>0</v>
      </c>
    </row>
    <row r="57" spans="2:27" x14ac:dyDescent="0.3">
      <c r="B57" s="21">
        <f ca="1">IF(B56="","",IF(EOMONTH(B56,1)&gt;EOMONTH(ELEGIBILIDADE!$E$5,0),"",EOMONTH(B56,1)))</f>
        <v>46477</v>
      </c>
      <c r="C57" s="22">
        <f ca="1">IF(B57="","",IF(MONTH(B57)=1,C56*(1+PREMISSAS!$C$58),C56))</f>
        <v>0</v>
      </c>
      <c r="D57" s="22">
        <f ca="1">IF(RESULTADOS!$C$17="Normal",IFERROR(MAX(C57-PREMISSAS!$C$14,0),0),IF(PREMISSAS!$H$117=0,0,MAX(10*PREMISSAS!$C$39,RESULTADOS!$F$17)))</f>
        <v>0</v>
      </c>
      <c r="E57" s="4">
        <f ca="1">D57*IF(RESULTADOS!$C$17="Normal",RESULTADOS!$C$16,0)</f>
        <v>0</v>
      </c>
      <c r="F57" s="4">
        <f ca="1">IF(D57&lt;&gt;0,PREMISSAS!$N$83,0)</f>
        <v>0</v>
      </c>
      <c r="G57" s="4">
        <f ca="1">IFERROR(IF(RESULTADOS!$C$17="Normal",0,D57)*IF(RESULTADOS!$C$17="Normal",RESULTADOS!$C$18,RESULTADOS!$C$16),0)</f>
        <v>0</v>
      </c>
      <c r="H57" s="4">
        <f ca="1">IF(RESULTADOS!$C$17="Normal",E57,0)</f>
        <v>0</v>
      </c>
      <c r="I57" s="4">
        <f ca="1">(E57+H57+G57)*IFERROR(VLOOKUP(INT(COUNT($B$5:B57)/12),PREMISSAS!$B$62:$C$69,2,FALSE),PREMISSAS!$C$69)</f>
        <v>0</v>
      </c>
      <c r="J57" s="4">
        <f ca="1">D57*IF(RESULTADOS!$C$17="Normal",PREMISSAS!$C$71,0)</f>
        <v>0</v>
      </c>
      <c r="K57" s="87">
        <f ca="1">IFERROR(K56*(1+PREMISSAS!$C$19)+(E57+H57-IF(RESULTADOS!$C$17="Normal",I57,0)-J57)*IF(MONTH(B57)=12,2,1),0)</f>
        <v>0</v>
      </c>
      <c r="L57" s="87">
        <f ca="1">IFERROR((L56+G57-IF(RESULTADOS!$C$17="Normal",0,I57))*(1+PREMISSAS!$C$19)+F57,0)</f>
        <v>0</v>
      </c>
      <c r="N57" s="58">
        <f t="shared" ca="1" si="0"/>
        <v>0</v>
      </c>
      <c r="O57" s="223"/>
      <c r="P57" s="131">
        <f t="shared" ca="1" si="1"/>
        <v>46477</v>
      </c>
      <c r="Q57" s="111">
        <f ca="1">IF(C57="","",Q56+(E57+H57-IF(RESULTADOS!$C$17="Normal",I57,0)-J57)/2+(F57+G57-IF(RESULTADOS!$C$17="Normal",0,I57)))</f>
        <v>0</v>
      </c>
      <c r="R57" s="111">
        <f ca="1">IF(C57="","",R56+(E57+H57-IF(RESULTADOS!$C$17="Normal",I57,0)-J57)/2)</f>
        <v>0</v>
      </c>
      <c r="S57" s="111">
        <f t="shared" ca="1" si="4"/>
        <v>0</v>
      </c>
      <c r="U57" s="131" t="str">
        <f t="shared" ca="1" si="5"/>
        <v/>
      </c>
      <c r="V57" s="131" t="str">
        <f t="shared" ca="1" si="2"/>
        <v/>
      </c>
      <c r="W57" s="111">
        <f ca="1">IF(OR((W56-13/12*Z56)*(1+PREMISSAS!$C$17)&lt;0,W56=""),0,(W56-13/12*Z56)*(1+PREMISSAS!$C$17))</f>
        <v>0</v>
      </c>
      <c r="X57" s="111">
        <f ca="1">IF(OR((X56-13/12*AA56)*(1+PREMISSAS!$C$17)&lt;0,X56=""),0,(X56-13/12*AA56)*(1+PREMISSAS!$C$17))</f>
        <v>0</v>
      </c>
      <c r="Y57" s="111">
        <f t="shared" ca="1" si="3"/>
        <v>0</v>
      </c>
      <c r="Z57" s="134">
        <f t="shared" ca="1" si="6"/>
        <v>0</v>
      </c>
      <c r="AA57" s="134">
        <f t="shared" ca="1" si="7"/>
        <v>0</v>
      </c>
    </row>
    <row r="58" spans="2:27" x14ac:dyDescent="0.3">
      <c r="B58" s="21">
        <f ca="1">IF(B57="","",IF(EOMONTH(B57,1)&gt;EOMONTH(ELEGIBILIDADE!$E$5,0),"",EOMONTH(B57,1)))</f>
        <v>46507</v>
      </c>
      <c r="C58" s="22">
        <f ca="1">IF(B58="","",IF(MONTH(B58)=1,C57*(1+PREMISSAS!$C$58),C57))</f>
        <v>0</v>
      </c>
      <c r="D58" s="22">
        <f ca="1">IF(RESULTADOS!$C$17="Normal",IFERROR(MAX(C58-PREMISSAS!$C$14,0),0),IF(PREMISSAS!$H$117=0,0,MAX(10*PREMISSAS!$C$39,RESULTADOS!$F$17)))</f>
        <v>0</v>
      </c>
      <c r="E58" s="4">
        <f ca="1">D58*IF(RESULTADOS!$C$17="Normal",RESULTADOS!$C$16,0)</f>
        <v>0</v>
      </c>
      <c r="F58" s="4">
        <f ca="1">IF(D58&lt;&gt;0,PREMISSAS!$N$83,0)</f>
        <v>0</v>
      </c>
      <c r="G58" s="4">
        <f ca="1">IFERROR(IF(RESULTADOS!$C$17="Normal",0,D58)*IF(RESULTADOS!$C$17="Normal",RESULTADOS!$C$18,RESULTADOS!$C$16),0)</f>
        <v>0</v>
      </c>
      <c r="H58" s="4">
        <f ca="1">IF(RESULTADOS!$C$17="Normal",E58,0)</f>
        <v>0</v>
      </c>
      <c r="I58" s="4">
        <f ca="1">(E58+H58+G58)*IFERROR(VLOOKUP(INT(COUNT($B$5:B58)/12),PREMISSAS!$B$62:$C$69,2,FALSE),PREMISSAS!$C$69)</f>
        <v>0</v>
      </c>
      <c r="J58" s="4">
        <f ca="1">D58*IF(RESULTADOS!$C$17="Normal",PREMISSAS!$C$71,0)</f>
        <v>0</v>
      </c>
      <c r="K58" s="87">
        <f ca="1">IFERROR(K57*(1+PREMISSAS!$C$19)+(E58+H58-IF(RESULTADOS!$C$17="Normal",I58,0)-J58)*IF(MONTH(B58)=12,2,1),0)</f>
        <v>0</v>
      </c>
      <c r="L58" s="87">
        <f ca="1">IFERROR((L57+G58-IF(RESULTADOS!$C$17="Normal",0,I58))*(1+PREMISSAS!$C$19)+F58,0)</f>
        <v>0</v>
      </c>
      <c r="N58" s="58">
        <f t="shared" ca="1" si="0"/>
        <v>0</v>
      </c>
      <c r="O58" s="223"/>
      <c r="P58" s="131">
        <f t="shared" ca="1" si="1"/>
        <v>46507</v>
      </c>
      <c r="Q58" s="111">
        <f ca="1">IF(C58="","",Q57+(E58+H58-IF(RESULTADOS!$C$17="Normal",I58,0)-J58)/2+(F58+G58-IF(RESULTADOS!$C$17="Normal",0,I58)))</f>
        <v>0</v>
      </c>
      <c r="R58" s="111">
        <f ca="1">IF(C58="","",R57+(E58+H58-IF(RESULTADOS!$C$17="Normal",I58,0)-J58)/2)</f>
        <v>0</v>
      </c>
      <c r="S58" s="111">
        <f t="shared" ca="1" si="4"/>
        <v>0</v>
      </c>
      <c r="U58" s="131" t="str">
        <f t="shared" ca="1" si="5"/>
        <v/>
      </c>
      <c r="V58" s="131" t="str">
        <f t="shared" ca="1" si="2"/>
        <v/>
      </c>
      <c r="W58" s="111">
        <f ca="1">IF(OR((W57-13/12*Z57)*(1+PREMISSAS!$C$17)&lt;0,W57=""),0,(W57-13/12*Z57)*(1+PREMISSAS!$C$17))</f>
        <v>0</v>
      </c>
      <c r="X58" s="111">
        <f ca="1">IF(OR((X57-13/12*AA57)*(1+PREMISSAS!$C$17)&lt;0,X57=""),0,(X57-13/12*AA57)*(1+PREMISSAS!$C$17))</f>
        <v>0</v>
      </c>
      <c r="Y58" s="111">
        <f t="shared" ca="1" si="3"/>
        <v>0</v>
      </c>
      <c r="Z58" s="134">
        <f t="shared" ca="1" si="6"/>
        <v>0</v>
      </c>
      <c r="AA58" s="134">
        <f t="shared" ca="1" si="7"/>
        <v>0</v>
      </c>
    </row>
    <row r="59" spans="2:27" x14ac:dyDescent="0.3">
      <c r="B59" s="21">
        <f ca="1">IF(B58="","",IF(EOMONTH(B58,1)&gt;EOMONTH(ELEGIBILIDADE!$E$5,0),"",EOMONTH(B58,1)))</f>
        <v>46538</v>
      </c>
      <c r="C59" s="22">
        <f ca="1">IF(B59="","",IF(MONTH(B59)=1,C58*(1+PREMISSAS!$C$58),C58))</f>
        <v>0</v>
      </c>
      <c r="D59" s="22">
        <f ca="1">IF(RESULTADOS!$C$17="Normal",IFERROR(MAX(C59-PREMISSAS!$C$14,0),0),IF(PREMISSAS!$H$117=0,0,MAX(10*PREMISSAS!$C$39,RESULTADOS!$F$17)))</f>
        <v>0</v>
      </c>
      <c r="E59" s="4">
        <f ca="1">D59*IF(RESULTADOS!$C$17="Normal",RESULTADOS!$C$16,0)</f>
        <v>0</v>
      </c>
      <c r="F59" s="4">
        <f ca="1">IF(D59&lt;&gt;0,PREMISSAS!$N$83,0)</f>
        <v>0</v>
      </c>
      <c r="G59" s="4">
        <f ca="1">IFERROR(IF(RESULTADOS!$C$17="Normal",0,D59)*IF(RESULTADOS!$C$17="Normal",RESULTADOS!$C$18,RESULTADOS!$C$16),0)</f>
        <v>0</v>
      </c>
      <c r="H59" s="4">
        <f ca="1">IF(RESULTADOS!$C$17="Normal",E59,0)</f>
        <v>0</v>
      </c>
      <c r="I59" s="4">
        <f ca="1">(E59+H59+G59)*IFERROR(VLOOKUP(INT(COUNT($B$5:B59)/12),PREMISSAS!$B$62:$C$69,2,FALSE),PREMISSAS!$C$69)</f>
        <v>0</v>
      </c>
      <c r="J59" s="4">
        <f ca="1">D59*IF(RESULTADOS!$C$17="Normal",PREMISSAS!$C$71,0)</f>
        <v>0</v>
      </c>
      <c r="K59" s="87">
        <f ca="1">IFERROR(K58*(1+PREMISSAS!$C$19)+(E59+H59-IF(RESULTADOS!$C$17="Normal",I59,0)-J59)*IF(MONTH(B59)=12,2,1),0)</f>
        <v>0</v>
      </c>
      <c r="L59" s="87">
        <f ca="1">IFERROR((L58+G59-IF(RESULTADOS!$C$17="Normal",0,I59))*(1+PREMISSAS!$C$19)+F59,0)</f>
        <v>0</v>
      </c>
      <c r="N59" s="58">
        <f t="shared" ca="1" si="0"/>
        <v>0</v>
      </c>
      <c r="O59" s="223"/>
      <c r="P59" s="131">
        <f t="shared" ca="1" si="1"/>
        <v>46538</v>
      </c>
      <c r="Q59" s="111">
        <f ca="1">IF(C59="","",Q58+(E59+H59-IF(RESULTADOS!$C$17="Normal",I59,0)-J59)/2+(F59+G59-IF(RESULTADOS!$C$17="Normal",0,I59)))</f>
        <v>0</v>
      </c>
      <c r="R59" s="111">
        <f ca="1">IF(C59="","",R58+(E59+H59-IF(RESULTADOS!$C$17="Normal",I59,0)-J59)/2)</f>
        <v>0</v>
      </c>
      <c r="S59" s="111">
        <f t="shared" ca="1" si="4"/>
        <v>0</v>
      </c>
      <c r="U59" s="131" t="str">
        <f t="shared" ca="1" si="5"/>
        <v/>
      </c>
      <c r="V59" s="131" t="str">
        <f t="shared" ca="1" si="2"/>
        <v/>
      </c>
      <c r="W59" s="111">
        <f ca="1">IF(OR((W58-13/12*Z58)*(1+PREMISSAS!$C$17)&lt;0,W58=""),0,(W58-13/12*Z58)*(1+PREMISSAS!$C$17))</f>
        <v>0</v>
      </c>
      <c r="X59" s="111">
        <f ca="1">IF(OR((X58-13/12*AA58)*(1+PREMISSAS!$C$17)&lt;0,X58=""),0,(X58-13/12*AA58)*(1+PREMISSAS!$C$17))</f>
        <v>0</v>
      </c>
      <c r="Y59" s="111">
        <f t="shared" ca="1" si="3"/>
        <v>0</v>
      </c>
      <c r="Z59" s="134">
        <f t="shared" ca="1" si="6"/>
        <v>0</v>
      </c>
      <c r="AA59" s="134">
        <f t="shared" ca="1" si="7"/>
        <v>0</v>
      </c>
    </row>
    <row r="60" spans="2:27" x14ac:dyDescent="0.3">
      <c r="B60" s="21">
        <f ca="1">IF(B59="","",IF(EOMONTH(B59,1)&gt;EOMONTH(ELEGIBILIDADE!$E$5,0),"",EOMONTH(B59,1)))</f>
        <v>46568</v>
      </c>
      <c r="C60" s="22">
        <f ca="1">IF(B60="","",IF(MONTH(B60)=1,C59*(1+PREMISSAS!$C$58),C59))</f>
        <v>0</v>
      </c>
      <c r="D60" s="22">
        <f ca="1">IF(RESULTADOS!$C$17="Normal",IFERROR(MAX(C60-PREMISSAS!$C$14,0),0),IF(PREMISSAS!$H$117=0,0,MAX(10*PREMISSAS!$C$39,RESULTADOS!$F$17)))</f>
        <v>0</v>
      </c>
      <c r="E60" s="4">
        <f ca="1">D60*IF(RESULTADOS!$C$17="Normal",RESULTADOS!$C$16,0)</f>
        <v>0</v>
      </c>
      <c r="F60" s="4">
        <f ca="1">IF(D60&lt;&gt;0,PREMISSAS!$N$83,0)</f>
        <v>0</v>
      </c>
      <c r="G60" s="4">
        <f ca="1">IFERROR(IF(RESULTADOS!$C$17="Normal",0,D60)*IF(RESULTADOS!$C$17="Normal",RESULTADOS!$C$18,RESULTADOS!$C$16),0)</f>
        <v>0</v>
      </c>
      <c r="H60" s="4">
        <f ca="1">IF(RESULTADOS!$C$17="Normal",E60,0)</f>
        <v>0</v>
      </c>
      <c r="I60" s="4">
        <f ca="1">(E60+H60+G60)*IFERROR(VLOOKUP(INT(COUNT($B$5:B60)/12),PREMISSAS!$B$62:$C$69,2,FALSE),PREMISSAS!$C$69)</f>
        <v>0</v>
      </c>
      <c r="J60" s="4">
        <f ca="1">D60*IF(RESULTADOS!$C$17="Normal",PREMISSAS!$C$71,0)</f>
        <v>0</v>
      </c>
      <c r="K60" s="87">
        <f ca="1">IFERROR(K59*(1+PREMISSAS!$C$19)+(E60+H60-IF(RESULTADOS!$C$17="Normal",I60,0)-J60)*IF(MONTH(B60)=12,2,1),0)</f>
        <v>0</v>
      </c>
      <c r="L60" s="87">
        <f ca="1">IFERROR((L59+G60-IF(RESULTADOS!$C$17="Normal",0,I60))*(1+PREMISSAS!$C$19)+F60,0)</f>
        <v>0</v>
      </c>
      <c r="N60" s="58">
        <f t="shared" ca="1" si="0"/>
        <v>0</v>
      </c>
      <c r="O60" s="223"/>
      <c r="P60" s="131">
        <f t="shared" ca="1" si="1"/>
        <v>46568</v>
      </c>
      <c r="Q60" s="111">
        <f ca="1">IF(C60="","",Q59+(E60+H60-IF(RESULTADOS!$C$17="Normal",I60,0)-J60)/2+(F60+G60-IF(RESULTADOS!$C$17="Normal",0,I60)))</f>
        <v>0</v>
      </c>
      <c r="R60" s="111">
        <f ca="1">IF(C60="","",R59+(E60+H60-IF(RESULTADOS!$C$17="Normal",I60,0)-J60)/2)</f>
        <v>0</v>
      </c>
      <c r="S60" s="111">
        <f t="shared" ca="1" si="4"/>
        <v>0</v>
      </c>
      <c r="U60" s="131" t="str">
        <f t="shared" ca="1" si="5"/>
        <v/>
      </c>
      <c r="V60" s="131" t="str">
        <f t="shared" ca="1" si="2"/>
        <v/>
      </c>
      <c r="W60" s="111">
        <f ca="1">IF(OR((W59-13/12*Z59)*(1+PREMISSAS!$C$17)&lt;0,W59=""),0,(W59-13/12*Z59)*(1+PREMISSAS!$C$17))</f>
        <v>0</v>
      </c>
      <c r="X60" s="111">
        <f ca="1">IF(OR((X59-13/12*AA59)*(1+PREMISSAS!$C$17)&lt;0,X59=""),0,(X59-13/12*AA59)*(1+PREMISSAS!$C$17))</f>
        <v>0</v>
      </c>
      <c r="Y60" s="111">
        <f t="shared" ca="1" si="3"/>
        <v>0</v>
      </c>
      <c r="Z60" s="134">
        <f t="shared" ca="1" si="6"/>
        <v>0</v>
      </c>
      <c r="AA60" s="134">
        <f t="shared" ca="1" si="7"/>
        <v>0</v>
      </c>
    </row>
    <row r="61" spans="2:27" x14ac:dyDescent="0.3">
      <c r="B61" s="21">
        <f ca="1">IF(B60="","",IF(EOMONTH(B60,1)&gt;EOMONTH(ELEGIBILIDADE!$E$5,0),"",EOMONTH(B60,1)))</f>
        <v>46599</v>
      </c>
      <c r="C61" s="22">
        <f ca="1">IF(B61="","",IF(MONTH(B61)=1,C60*(1+PREMISSAS!$C$58),C60))</f>
        <v>0</v>
      </c>
      <c r="D61" s="22">
        <f ca="1">IF(RESULTADOS!$C$17="Normal",IFERROR(MAX(C61-PREMISSAS!$C$14,0),0),IF(PREMISSAS!$H$117=0,0,MAX(10*PREMISSAS!$C$39,RESULTADOS!$F$17)))</f>
        <v>0</v>
      </c>
      <c r="E61" s="4">
        <f ca="1">D61*IF(RESULTADOS!$C$17="Normal",RESULTADOS!$C$16,0)</f>
        <v>0</v>
      </c>
      <c r="F61" s="4">
        <f ca="1">IF(D61&lt;&gt;0,PREMISSAS!$N$83,0)</f>
        <v>0</v>
      </c>
      <c r="G61" s="4">
        <f ca="1">IFERROR(IF(RESULTADOS!$C$17="Normal",0,D61)*IF(RESULTADOS!$C$17="Normal",RESULTADOS!$C$18,RESULTADOS!$C$16),0)</f>
        <v>0</v>
      </c>
      <c r="H61" s="4">
        <f ca="1">IF(RESULTADOS!$C$17="Normal",E61,0)</f>
        <v>0</v>
      </c>
      <c r="I61" s="4">
        <f ca="1">(E61+H61+G61)*IFERROR(VLOOKUP(INT(COUNT($B$5:B61)/12),PREMISSAS!$B$62:$C$69,2,FALSE),PREMISSAS!$C$69)</f>
        <v>0</v>
      </c>
      <c r="J61" s="4">
        <f ca="1">D61*IF(RESULTADOS!$C$17="Normal",PREMISSAS!$C$71,0)</f>
        <v>0</v>
      </c>
      <c r="K61" s="87">
        <f ca="1">IFERROR(K60*(1+PREMISSAS!$C$19)+(E61+H61-IF(RESULTADOS!$C$17="Normal",I61,0)-J61)*IF(MONTH(B61)=12,2,1),0)</f>
        <v>0</v>
      </c>
      <c r="L61" s="87">
        <f ca="1">IFERROR((L60+G61-IF(RESULTADOS!$C$17="Normal",0,I61))*(1+PREMISSAS!$C$19)+F61,0)</f>
        <v>0</v>
      </c>
      <c r="N61" s="58">
        <f t="shared" ca="1" si="0"/>
        <v>0</v>
      </c>
      <c r="O61" s="223"/>
      <c r="P61" s="131">
        <f t="shared" ca="1" si="1"/>
        <v>46599</v>
      </c>
      <c r="Q61" s="111">
        <f ca="1">IF(C61="","",Q60+(E61+H61-IF(RESULTADOS!$C$17="Normal",I61,0)-J61)/2+(F61+G61-IF(RESULTADOS!$C$17="Normal",0,I61)))</f>
        <v>0</v>
      </c>
      <c r="R61" s="111">
        <f ca="1">IF(C61="","",R60+(E61+H61-IF(RESULTADOS!$C$17="Normal",I61,0)-J61)/2)</f>
        <v>0</v>
      </c>
      <c r="S61" s="111">
        <f t="shared" ca="1" si="4"/>
        <v>0</v>
      </c>
      <c r="U61" s="131" t="str">
        <f t="shared" ca="1" si="5"/>
        <v/>
      </c>
      <c r="V61" s="131" t="str">
        <f t="shared" ca="1" si="2"/>
        <v/>
      </c>
      <c r="W61" s="111">
        <f ca="1">IF(OR((W60-13/12*Z60)*(1+PREMISSAS!$C$17)&lt;0,W60=""),0,(W60-13/12*Z60)*(1+PREMISSAS!$C$17))</f>
        <v>0</v>
      </c>
      <c r="X61" s="111">
        <f ca="1">IF(OR((X60-13/12*AA60)*(1+PREMISSAS!$C$17)&lt;0,X60=""),0,(X60-13/12*AA60)*(1+PREMISSAS!$C$17))</f>
        <v>0</v>
      </c>
      <c r="Y61" s="111">
        <f t="shared" ca="1" si="3"/>
        <v>0</v>
      </c>
      <c r="Z61" s="134">
        <f t="shared" ca="1" si="6"/>
        <v>0</v>
      </c>
      <c r="AA61" s="134">
        <f t="shared" ca="1" si="7"/>
        <v>0</v>
      </c>
    </row>
    <row r="62" spans="2:27" x14ac:dyDescent="0.3">
      <c r="B62" s="21">
        <f ca="1">IF(B61="","",IF(EOMONTH(B61,1)&gt;EOMONTH(ELEGIBILIDADE!$E$5,0),"",EOMONTH(B61,1)))</f>
        <v>46630</v>
      </c>
      <c r="C62" s="22">
        <f ca="1">IF(B62="","",IF(MONTH(B62)=1,C61*(1+PREMISSAS!$C$58),C61))</f>
        <v>0</v>
      </c>
      <c r="D62" s="22">
        <f ca="1">IF(RESULTADOS!$C$17="Normal",IFERROR(MAX(C62-PREMISSAS!$C$14,0),0),IF(PREMISSAS!$H$117=0,0,MAX(10*PREMISSAS!$C$39,RESULTADOS!$F$17)))</f>
        <v>0</v>
      </c>
      <c r="E62" s="4">
        <f ca="1">D62*IF(RESULTADOS!$C$17="Normal",RESULTADOS!$C$16,0)</f>
        <v>0</v>
      </c>
      <c r="F62" s="4">
        <f ca="1">IF(D62&lt;&gt;0,PREMISSAS!$N$83,0)</f>
        <v>0</v>
      </c>
      <c r="G62" s="4">
        <f ca="1">IFERROR(IF(RESULTADOS!$C$17="Normal",0,D62)*IF(RESULTADOS!$C$17="Normal",RESULTADOS!$C$18,RESULTADOS!$C$16),0)</f>
        <v>0</v>
      </c>
      <c r="H62" s="4">
        <f ca="1">IF(RESULTADOS!$C$17="Normal",E62,0)</f>
        <v>0</v>
      </c>
      <c r="I62" s="4">
        <f ca="1">(E62+H62+G62)*IFERROR(VLOOKUP(INT(COUNT($B$5:B62)/12),PREMISSAS!$B$62:$C$69,2,FALSE),PREMISSAS!$C$69)</f>
        <v>0</v>
      </c>
      <c r="J62" s="4">
        <f ca="1">D62*IF(RESULTADOS!$C$17="Normal",PREMISSAS!$C$71,0)</f>
        <v>0</v>
      </c>
      <c r="K62" s="87">
        <f ca="1">IFERROR(K61*(1+PREMISSAS!$C$19)+(E62+H62-IF(RESULTADOS!$C$17="Normal",I62,0)-J62)*IF(MONTH(B62)=12,2,1),0)</f>
        <v>0</v>
      </c>
      <c r="L62" s="87">
        <f ca="1">IFERROR((L61+G62-IF(RESULTADOS!$C$17="Normal",0,I62))*(1+PREMISSAS!$C$19)+F62,0)</f>
        <v>0</v>
      </c>
      <c r="N62" s="58">
        <f t="shared" ca="1" si="0"/>
        <v>0</v>
      </c>
      <c r="O62" s="223"/>
      <c r="P62" s="131">
        <f t="shared" ca="1" si="1"/>
        <v>46630</v>
      </c>
      <c r="Q62" s="111">
        <f ca="1">IF(C62="","",Q61+(E62+H62-IF(RESULTADOS!$C$17="Normal",I62,0)-J62)/2+(F62+G62-IF(RESULTADOS!$C$17="Normal",0,I62)))</f>
        <v>0</v>
      </c>
      <c r="R62" s="111">
        <f ca="1">IF(C62="","",R61+(E62+H62-IF(RESULTADOS!$C$17="Normal",I62,0)-J62)/2)</f>
        <v>0</v>
      </c>
      <c r="S62" s="111">
        <f t="shared" ca="1" si="4"/>
        <v>0</v>
      </c>
      <c r="U62" s="131" t="str">
        <f t="shared" ca="1" si="5"/>
        <v/>
      </c>
      <c r="V62" s="131" t="str">
        <f t="shared" ca="1" si="2"/>
        <v/>
      </c>
      <c r="W62" s="111">
        <f ca="1">IF(OR((W61-13/12*Z61)*(1+PREMISSAS!$C$17)&lt;0,W61=""),0,(W61-13/12*Z61)*(1+PREMISSAS!$C$17))</f>
        <v>0</v>
      </c>
      <c r="X62" s="111">
        <f ca="1">IF(OR((X61-13/12*AA61)*(1+PREMISSAS!$C$17)&lt;0,X61=""),0,(X61-13/12*AA61)*(1+PREMISSAS!$C$17))</f>
        <v>0</v>
      </c>
      <c r="Y62" s="111">
        <f t="shared" ca="1" si="3"/>
        <v>0</v>
      </c>
      <c r="Z62" s="134">
        <f t="shared" ca="1" si="6"/>
        <v>0</v>
      </c>
      <c r="AA62" s="134">
        <f t="shared" ca="1" si="7"/>
        <v>0</v>
      </c>
    </row>
    <row r="63" spans="2:27" x14ac:dyDescent="0.3">
      <c r="B63" s="21">
        <f ca="1">IF(B62="","",IF(EOMONTH(B62,1)&gt;EOMONTH(ELEGIBILIDADE!$E$5,0),"",EOMONTH(B62,1)))</f>
        <v>46660</v>
      </c>
      <c r="C63" s="22">
        <f ca="1">IF(B63="","",IF(MONTH(B63)=1,C62*(1+PREMISSAS!$C$58),C62))</f>
        <v>0</v>
      </c>
      <c r="D63" s="22">
        <f ca="1">IF(RESULTADOS!$C$17="Normal",IFERROR(MAX(C63-PREMISSAS!$C$14,0),0),IF(PREMISSAS!$H$117=0,0,MAX(10*PREMISSAS!$C$39,RESULTADOS!$F$17)))</f>
        <v>0</v>
      </c>
      <c r="E63" s="4">
        <f ca="1">D63*IF(RESULTADOS!$C$17="Normal",RESULTADOS!$C$16,0)</f>
        <v>0</v>
      </c>
      <c r="F63" s="4">
        <f ca="1">IF(D63&lt;&gt;0,PREMISSAS!$N$83,0)</f>
        <v>0</v>
      </c>
      <c r="G63" s="4">
        <f ca="1">IFERROR(IF(RESULTADOS!$C$17="Normal",0,D63)*IF(RESULTADOS!$C$17="Normal",RESULTADOS!$C$18,RESULTADOS!$C$16),0)</f>
        <v>0</v>
      </c>
      <c r="H63" s="4">
        <f ca="1">IF(RESULTADOS!$C$17="Normal",E63,0)</f>
        <v>0</v>
      </c>
      <c r="I63" s="4">
        <f ca="1">(E63+H63+G63)*IFERROR(VLOOKUP(INT(COUNT($B$5:B63)/12),PREMISSAS!$B$62:$C$69,2,FALSE),PREMISSAS!$C$69)</f>
        <v>0</v>
      </c>
      <c r="J63" s="4">
        <f ca="1">D63*IF(RESULTADOS!$C$17="Normal",PREMISSAS!$C$71,0)</f>
        <v>0</v>
      </c>
      <c r="K63" s="87">
        <f ca="1">IFERROR(K62*(1+PREMISSAS!$C$19)+(E63+H63-IF(RESULTADOS!$C$17="Normal",I63,0)-J63)*IF(MONTH(B63)=12,2,1),0)</f>
        <v>0</v>
      </c>
      <c r="L63" s="87">
        <f ca="1">IFERROR((L62+G63-IF(RESULTADOS!$C$17="Normal",0,I63))*(1+PREMISSAS!$C$19)+F63,0)</f>
        <v>0</v>
      </c>
      <c r="N63" s="58">
        <f t="shared" ca="1" si="0"/>
        <v>0</v>
      </c>
      <c r="O63" s="223"/>
      <c r="P63" s="131">
        <f t="shared" ca="1" si="1"/>
        <v>46660</v>
      </c>
      <c r="Q63" s="111">
        <f ca="1">IF(C63="","",Q62+(E63+H63-IF(RESULTADOS!$C$17="Normal",I63,0)-J63)/2+(F63+G63-IF(RESULTADOS!$C$17="Normal",0,I63)))</f>
        <v>0</v>
      </c>
      <c r="R63" s="111">
        <f ca="1">IF(C63="","",R62+(E63+H63-IF(RESULTADOS!$C$17="Normal",I63,0)-J63)/2)</f>
        <v>0</v>
      </c>
      <c r="S63" s="111">
        <f t="shared" ca="1" si="4"/>
        <v>0</v>
      </c>
      <c r="U63" s="131" t="str">
        <f t="shared" ca="1" si="5"/>
        <v/>
      </c>
      <c r="V63" s="131" t="str">
        <f t="shared" ca="1" si="2"/>
        <v/>
      </c>
      <c r="W63" s="111">
        <f ca="1">IF(OR((W62-13/12*Z62)*(1+PREMISSAS!$C$17)&lt;0,W62=""),0,(W62-13/12*Z62)*(1+PREMISSAS!$C$17))</f>
        <v>0</v>
      </c>
      <c r="X63" s="111">
        <f ca="1">IF(OR((X62-13/12*AA62)*(1+PREMISSAS!$C$17)&lt;0,X62=""),0,(X62-13/12*AA62)*(1+PREMISSAS!$C$17))</f>
        <v>0</v>
      </c>
      <c r="Y63" s="111">
        <f t="shared" ca="1" si="3"/>
        <v>0</v>
      </c>
      <c r="Z63" s="134">
        <f t="shared" ca="1" si="6"/>
        <v>0</v>
      </c>
      <c r="AA63" s="134">
        <f t="shared" ca="1" si="7"/>
        <v>0</v>
      </c>
    </row>
    <row r="64" spans="2:27" x14ac:dyDescent="0.3">
      <c r="B64" s="21">
        <f ca="1">IF(B63="","",IF(EOMONTH(B63,1)&gt;EOMONTH(ELEGIBILIDADE!$E$5,0),"",EOMONTH(B63,1)))</f>
        <v>46691</v>
      </c>
      <c r="C64" s="22">
        <f ca="1">IF(B64="","",IF(MONTH(B64)=1,C63*(1+PREMISSAS!$C$58),C63))</f>
        <v>0</v>
      </c>
      <c r="D64" s="22">
        <f ca="1">IF(RESULTADOS!$C$17="Normal",IFERROR(MAX(C64-PREMISSAS!$C$14,0),0),IF(PREMISSAS!$H$117=0,0,MAX(10*PREMISSAS!$C$39,RESULTADOS!$F$17)))</f>
        <v>0</v>
      </c>
      <c r="E64" s="4">
        <f ca="1">D64*IF(RESULTADOS!$C$17="Normal",RESULTADOS!$C$16,0)</f>
        <v>0</v>
      </c>
      <c r="F64" s="4">
        <f ca="1">IF(D64&lt;&gt;0,PREMISSAS!$N$83,0)</f>
        <v>0</v>
      </c>
      <c r="G64" s="4">
        <f ca="1">IFERROR(IF(RESULTADOS!$C$17="Normal",0,D64)*IF(RESULTADOS!$C$17="Normal",RESULTADOS!$C$18,RESULTADOS!$C$16),0)</f>
        <v>0</v>
      </c>
      <c r="H64" s="4">
        <f ca="1">IF(RESULTADOS!$C$17="Normal",E64,0)</f>
        <v>0</v>
      </c>
      <c r="I64" s="4">
        <f ca="1">(E64+H64+G64)*IFERROR(VLOOKUP(INT(COUNT($B$5:B64)/12),PREMISSAS!$B$62:$C$69,2,FALSE),PREMISSAS!$C$69)</f>
        <v>0</v>
      </c>
      <c r="J64" s="4">
        <f ca="1">D64*IF(RESULTADOS!$C$17="Normal",PREMISSAS!$C$71,0)</f>
        <v>0</v>
      </c>
      <c r="K64" s="87">
        <f ca="1">IFERROR(K63*(1+PREMISSAS!$C$19)+(E64+H64-IF(RESULTADOS!$C$17="Normal",I64,0)-J64)*IF(MONTH(B64)=12,2,1),0)</f>
        <v>0</v>
      </c>
      <c r="L64" s="87">
        <f ca="1">IFERROR((L63+G64-IF(RESULTADOS!$C$17="Normal",0,I64))*(1+PREMISSAS!$C$19)+F64,0)</f>
        <v>0</v>
      </c>
      <c r="N64" s="58">
        <f t="shared" ca="1" si="0"/>
        <v>0</v>
      </c>
      <c r="O64" s="223"/>
      <c r="P64" s="131">
        <f t="shared" ca="1" si="1"/>
        <v>46691</v>
      </c>
      <c r="Q64" s="111">
        <f ca="1">IF(C64="","",Q63+(E64+H64-IF(RESULTADOS!$C$17="Normal",I64,0)-J64)/2+(F64+G64-IF(RESULTADOS!$C$17="Normal",0,I64)))</f>
        <v>0</v>
      </c>
      <c r="R64" s="111">
        <f ca="1">IF(C64="","",R63+(E64+H64-IF(RESULTADOS!$C$17="Normal",I64,0)-J64)/2)</f>
        <v>0</v>
      </c>
      <c r="S64" s="111">
        <f t="shared" ca="1" si="4"/>
        <v>0</v>
      </c>
      <c r="U64" s="131" t="str">
        <f t="shared" ca="1" si="5"/>
        <v/>
      </c>
      <c r="V64" s="131" t="str">
        <f t="shared" ca="1" si="2"/>
        <v/>
      </c>
      <c r="W64" s="111">
        <f ca="1">IF(OR((W63-13/12*Z63)*(1+PREMISSAS!$C$17)&lt;0,W63=""),0,(W63-13/12*Z63)*(1+PREMISSAS!$C$17))</f>
        <v>0</v>
      </c>
      <c r="X64" s="111">
        <f ca="1">IF(OR((X63-13/12*AA63)*(1+PREMISSAS!$C$17)&lt;0,X63=""),0,(X63-13/12*AA63)*(1+PREMISSAS!$C$17))</f>
        <v>0</v>
      </c>
      <c r="Y64" s="111">
        <f t="shared" ca="1" si="3"/>
        <v>0</v>
      </c>
      <c r="Z64" s="134">
        <f t="shared" ca="1" si="6"/>
        <v>0</v>
      </c>
      <c r="AA64" s="134">
        <f t="shared" ca="1" si="7"/>
        <v>0</v>
      </c>
    </row>
    <row r="65" spans="2:27" x14ac:dyDescent="0.3">
      <c r="B65" s="21">
        <f ca="1">IF(B64="","",IF(EOMONTH(B64,1)&gt;EOMONTH(ELEGIBILIDADE!$E$5,0),"",EOMONTH(B64,1)))</f>
        <v>46721</v>
      </c>
      <c r="C65" s="22">
        <f ca="1">IF(B65="","",IF(MONTH(B65)=1,C64*(1+PREMISSAS!$C$58),C64))</f>
        <v>0</v>
      </c>
      <c r="D65" s="22">
        <f ca="1">IF(RESULTADOS!$C$17="Normal",IFERROR(MAX(C65-PREMISSAS!$C$14,0),0),IF(PREMISSAS!$H$117=0,0,MAX(10*PREMISSAS!$C$39,RESULTADOS!$F$17)))</f>
        <v>0</v>
      </c>
      <c r="E65" s="4">
        <f ca="1">D65*IF(RESULTADOS!$C$17="Normal",RESULTADOS!$C$16,0)</f>
        <v>0</v>
      </c>
      <c r="F65" s="4">
        <f ca="1">IF(D65&lt;&gt;0,PREMISSAS!$N$83,0)</f>
        <v>0</v>
      </c>
      <c r="G65" s="4">
        <f ca="1">IFERROR(IF(RESULTADOS!$C$17="Normal",0,D65)*IF(RESULTADOS!$C$17="Normal",RESULTADOS!$C$18,RESULTADOS!$C$16),0)</f>
        <v>0</v>
      </c>
      <c r="H65" s="4">
        <f ca="1">IF(RESULTADOS!$C$17="Normal",E65,0)</f>
        <v>0</v>
      </c>
      <c r="I65" s="4">
        <f ca="1">(E65+H65+G65)*IFERROR(VLOOKUP(INT(COUNT($B$5:B65)/12),PREMISSAS!$B$62:$C$69,2,FALSE),PREMISSAS!$C$69)</f>
        <v>0</v>
      </c>
      <c r="J65" s="4">
        <f ca="1">D65*IF(RESULTADOS!$C$17="Normal",PREMISSAS!$C$71,0)</f>
        <v>0</v>
      </c>
      <c r="K65" s="87">
        <f ca="1">IFERROR(K64*(1+PREMISSAS!$C$19)+(E65+H65-IF(RESULTADOS!$C$17="Normal",I65,0)-J65)*IF(MONTH(B65)=12,2,1),0)</f>
        <v>0</v>
      </c>
      <c r="L65" s="87">
        <f ca="1">IFERROR((L64+G65-IF(RESULTADOS!$C$17="Normal",0,I65))*(1+PREMISSAS!$C$19)+F65,0)</f>
        <v>0</v>
      </c>
      <c r="N65" s="58">
        <f t="shared" ca="1" si="0"/>
        <v>0</v>
      </c>
      <c r="O65" s="223"/>
      <c r="P65" s="131">
        <f t="shared" ca="1" si="1"/>
        <v>46721</v>
      </c>
      <c r="Q65" s="111">
        <f ca="1">IF(C65="","",Q64+(E65+H65-IF(RESULTADOS!$C$17="Normal",I65,0)-J65)/2+(F65+G65-IF(RESULTADOS!$C$17="Normal",0,I65)))</f>
        <v>0</v>
      </c>
      <c r="R65" s="111">
        <f ca="1">IF(C65="","",R64+(E65+H65-IF(RESULTADOS!$C$17="Normal",I65,0)-J65)/2)</f>
        <v>0</v>
      </c>
      <c r="S65" s="111">
        <f t="shared" ca="1" si="4"/>
        <v>0</v>
      </c>
      <c r="U65" s="131" t="str">
        <f t="shared" ca="1" si="5"/>
        <v/>
      </c>
      <c r="V65" s="131" t="str">
        <f t="shared" ca="1" si="2"/>
        <v/>
      </c>
      <c r="W65" s="111">
        <f ca="1">IF(OR((W64-13/12*Z64)*(1+PREMISSAS!$C$17)&lt;0,W64=""),0,(W64-13/12*Z64)*(1+PREMISSAS!$C$17))</f>
        <v>0</v>
      </c>
      <c r="X65" s="111">
        <f ca="1">IF(OR((X64-13/12*AA64)*(1+PREMISSAS!$C$17)&lt;0,X64=""),0,(X64-13/12*AA64)*(1+PREMISSAS!$C$17))</f>
        <v>0</v>
      </c>
      <c r="Y65" s="111">
        <f t="shared" ca="1" si="3"/>
        <v>0</v>
      </c>
      <c r="Z65" s="134">
        <f t="shared" ca="1" si="6"/>
        <v>0</v>
      </c>
      <c r="AA65" s="134">
        <f t="shared" ca="1" si="7"/>
        <v>0</v>
      </c>
    </row>
    <row r="66" spans="2:27" x14ac:dyDescent="0.3">
      <c r="B66" s="21">
        <f ca="1">IF(B65="","",IF(EOMONTH(B65,1)&gt;EOMONTH(ELEGIBILIDADE!$E$5,0),"",EOMONTH(B65,1)))</f>
        <v>46752</v>
      </c>
      <c r="C66" s="22">
        <f ca="1">IF(B66="","",IF(MONTH(B66)=1,C65*(1+PREMISSAS!$C$58),C65))</f>
        <v>0</v>
      </c>
      <c r="D66" s="22">
        <f ca="1">IF(RESULTADOS!$C$17="Normal",IFERROR(MAX(C66-PREMISSAS!$C$14,0),0),IF(PREMISSAS!$H$117=0,0,MAX(10*PREMISSAS!$C$39,RESULTADOS!$F$17)))</f>
        <v>0</v>
      </c>
      <c r="E66" s="4">
        <f ca="1">D66*IF(RESULTADOS!$C$17="Normal",RESULTADOS!$C$16,0)</f>
        <v>0</v>
      </c>
      <c r="F66" s="4">
        <f ca="1">IF(D66&lt;&gt;0,PREMISSAS!$N$83,0)</f>
        <v>0</v>
      </c>
      <c r="G66" s="4">
        <f ca="1">IFERROR(IF(RESULTADOS!$C$17="Normal",0,D66)*IF(RESULTADOS!$C$17="Normal",RESULTADOS!$C$18,RESULTADOS!$C$16),0)</f>
        <v>0</v>
      </c>
      <c r="H66" s="4">
        <f ca="1">IF(RESULTADOS!$C$17="Normal",E66,0)</f>
        <v>0</v>
      </c>
      <c r="I66" s="4">
        <f ca="1">(E66+H66+G66)*IFERROR(VLOOKUP(INT(COUNT($B$5:B66)/12),PREMISSAS!$B$62:$C$69,2,FALSE),PREMISSAS!$C$69)</f>
        <v>0</v>
      </c>
      <c r="J66" s="4">
        <f ca="1">D66*IF(RESULTADOS!$C$17="Normal",PREMISSAS!$C$71,0)</f>
        <v>0</v>
      </c>
      <c r="K66" s="87">
        <f ca="1">IFERROR(K65*(1+PREMISSAS!$C$19)+(E66+H66-IF(RESULTADOS!$C$17="Normal",I66,0)-J66)*IF(MONTH(B66)=12,2,1),0)</f>
        <v>0</v>
      </c>
      <c r="L66" s="87">
        <f ca="1">IFERROR((L65+G66-IF(RESULTADOS!$C$17="Normal",0,I66))*(1+PREMISSAS!$C$19)+F66,0)</f>
        <v>0</v>
      </c>
      <c r="N66" s="58">
        <f t="shared" ca="1" si="0"/>
        <v>0</v>
      </c>
      <c r="O66" s="223"/>
      <c r="P66" s="131">
        <f t="shared" ca="1" si="1"/>
        <v>46752</v>
      </c>
      <c r="Q66" s="111">
        <f ca="1">IF(C66="","",Q65+(E66+H66-IF(RESULTADOS!$C$17="Normal",I66,0)-J66)/2+(F66+G66-IF(RESULTADOS!$C$17="Normal",0,I66)))</f>
        <v>0</v>
      </c>
      <c r="R66" s="111">
        <f ca="1">IF(C66="","",R65+(E66+H66-IF(RESULTADOS!$C$17="Normal",I66,0)-J66)/2)</f>
        <v>0</v>
      </c>
      <c r="S66" s="111">
        <f t="shared" ca="1" si="4"/>
        <v>0</v>
      </c>
      <c r="U66" s="131" t="str">
        <f t="shared" ca="1" si="5"/>
        <v/>
      </c>
      <c r="V66" s="131" t="str">
        <f t="shared" ca="1" si="2"/>
        <v/>
      </c>
      <c r="W66" s="111">
        <f ca="1">IF(OR((W65-13/12*Z65)*(1+PREMISSAS!$C$17)&lt;0,W65=""),0,(W65-13/12*Z65)*(1+PREMISSAS!$C$17))</f>
        <v>0</v>
      </c>
      <c r="X66" s="111">
        <f ca="1">IF(OR((X65-13/12*AA65)*(1+PREMISSAS!$C$17)&lt;0,X65=""),0,(X65-13/12*AA65)*(1+PREMISSAS!$C$17))</f>
        <v>0</v>
      </c>
      <c r="Y66" s="111">
        <f t="shared" ca="1" si="3"/>
        <v>0</v>
      </c>
      <c r="Z66" s="134">
        <f t="shared" ca="1" si="6"/>
        <v>0</v>
      </c>
      <c r="AA66" s="134">
        <f t="shared" ca="1" si="7"/>
        <v>0</v>
      </c>
    </row>
    <row r="67" spans="2:27" x14ac:dyDescent="0.3">
      <c r="B67" s="21">
        <f ca="1">IF(B66="","",IF(EOMONTH(B66,1)&gt;EOMONTH(ELEGIBILIDADE!$E$5,0),"",EOMONTH(B66,1)))</f>
        <v>46783</v>
      </c>
      <c r="C67" s="22">
        <f ca="1">IF(B67="","",IF(MONTH(B67)=1,C66*(1+PREMISSAS!$C$58),C66))</f>
        <v>0</v>
      </c>
      <c r="D67" s="22">
        <f ca="1">IF(RESULTADOS!$C$17="Normal",IFERROR(MAX(C67-PREMISSAS!$C$14,0),0),IF(PREMISSAS!$H$117=0,0,MAX(10*PREMISSAS!$C$39,RESULTADOS!$F$17)))</f>
        <v>0</v>
      </c>
      <c r="E67" s="4">
        <f ca="1">D67*IF(RESULTADOS!$C$17="Normal",RESULTADOS!$C$16,0)</f>
        <v>0</v>
      </c>
      <c r="F67" s="4">
        <f ca="1">IF(D67&lt;&gt;0,PREMISSAS!$N$83,0)</f>
        <v>0</v>
      </c>
      <c r="G67" s="4">
        <f ca="1">IFERROR(IF(RESULTADOS!$C$17="Normal",0,D67)*IF(RESULTADOS!$C$17="Normal",RESULTADOS!$C$18,RESULTADOS!$C$16),0)</f>
        <v>0</v>
      </c>
      <c r="H67" s="4">
        <f ca="1">IF(RESULTADOS!$C$17="Normal",E67,0)</f>
        <v>0</v>
      </c>
      <c r="I67" s="4">
        <f ca="1">(E67+H67+G67)*IFERROR(VLOOKUP(INT(COUNT($B$5:B67)/12),PREMISSAS!$B$62:$C$69,2,FALSE),PREMISSAS!$C$69)</f>
        <v>0</v>
      </c>
      <c r="J67" s="4">
        <f ca="1">D67*IF(RESULTADOS!$C$17="Normal",PREMISSAS!$C$71,0)</f>
        <v>0</v>
      </c>
      <c r="K67" s="87">
        <f ca="1">IFERROR(K66*(1+PREMISSAS!$C$19)+(E67+H67-IF(RESULTADOS!$C$17="Normal",I67,0)-J67)*IF(MONTH(B67)=12,2,1),0)</f>
        <v>0</v>
      </c>
      <c r="L67" s="87">
        <f ca="1">IFERROR((L66+G67-IF(RESULTADOS!$C$17="Normal",0,I67))*(1+PREMISSAS!$C$19)+F67,0)</f>
        <v>0</v>
      </c>
      <c r="N67" s="58">
        <f t="shared" ca="1" si="0"/>
        <v>0</v>
      </c>
      <c r="O67" s="223"/>
      <c r="P67" s="131">
        <f t="shared" ca="1" si="1"/>
        <v>46783</v>
      </c>
      <c r="Q67" s="111">
        <f ca="1">IF(C67="","",Q66+(E67+H67-IF(RESULTADOS!$C$17="Normal",I67,0)-J67)/2+(F67+G67-IF(RESULTADOS!$C$17="Normal",0,I67)))</f>
        <v>0</v>
      </c>
      <c r="R67" s="111">
        <f ca="1">IF(C67="","",R66+(E67+H67-IF(RESULTADOS!$C$17="Normal",I67,0)-J67)/2)</f>
        <v>0</v>
      </c>
      <c r="S67" s="111">
        <f t="shared" ca="1" si="4"/>
        <v>0</v>
      </c>
      <c r="U67" s="131" t="str">
        <f t="shared" ca="1" si="5"/>
        <v/>
      </c>
      <c r="V67" s="131" t="str">
        <f t="shared" ca="1" si="2"/>
        <v/>
      </c>
      <c r="W67" s="111">
        <f ca="1">IF(OR((W66-13/12*Z66)*(1+PREMISSAS!$C$17)&lt;0,W66=""),0,(W66-13/12*Z66)*(1+PREMISSAS!$C$17))</f>
        <v>0</v>
      </c>
      <c r="X67" s="111">
        <f ca="1">IF(OR((X66-13/12*AA66)*(1+PREMISSAS!$C$17)&lt;0,X66=""),0,(X66-13/12*AA66)*(1+PREMISSAS!$C$17))</f>
        <v>0</v>
      </c>
      <c r="Y67" s="111">
        <f t="shared" ca="1" si="3"/>
        <v>0</v>
      </c>
      <c r="Z67" s="134">
        <f t="shared" ca="1" si="6"/>
        <v>0</v>
      </c>
      <c r="AA67" s="134">
        <f t="shared" ca="1" si="7"/>
        <v>0</v>
      </c>
    </row>
    <row r="68" spans="2:27" x14ac:dyDescent="0.3">
      <c r="B68" s="21">
        <f ca="1">IF(B67="","",IF(EOMONTH(B67,1)&gt;EOMONTH(ELEGIBILIDADE!$E$5,0),"",EOMONTH(B67,1)))</f>
        <v>46812</v>
      </c>
      <c r="C68" s="22">
        <f ca="1">IF(B68="","",IF(MONTH(B68)=1,C67*(1+PREMISSAS!$C$58),C67))</f>
        <v>0</v>
      </c>
      <c r="D68" s="22">
        <f ca="1">IF(RESULTADOS!$C$17="Normal",IFERROR(MAX(C68-PREMISSAS!$C$14,0),0),IF(PREMISSAS!$H$117=0,0,MAX(10*PREMISSAS!$C$39,RESULTADOS!$F$17)))</f>
        <v>0</v>
      </c>
      <c r="E68" s="4">
        <f ca="1">D68*IF(RESULTADOS!$C$17="Normal",RESULTADOS!$C$16,0)</f>
        <v>0</v>
      </c>
      <c r="F68" s="4">
        <f ca="1">IF(D68&lt;&gt;0,PREMISSAS!$N$83,0)</f>
        <v>0</v>
      </c>
      <c r="G68" s="4">
        <f ca="1">IFERROR(IF(RESULTADOS!$C$17="Normal",0,D68)*IF(RESULTADOS!$C$17="Normal",RESULTADOS!$C$18,RESULTADOS!$C$16),0)</f>
        <v>0</v>
      </c>
      <c r="H68" s="4">
        <f ca="1">IF(RESULTADOS!$C$17="Normal",E68,0)</f>
        <v>0</v>
      </c>
      <c r="I68" s="4">
        <f ca="1">(E68+H68+G68)*IFERROR(VLOOKUP(INT(COUNT($B$5:B68)/12),PREMISSAS!$B$62:$C$69,2,FALSE),PREMISSAS!$C$69)</f>
        <v>0</v>
      </c>
      <c r="J68" s="4">
        <f ca="1">D68*IF(RESULTADOS!$C$17="Normal",PREMISSAS!$C$71,0)</f>
        <v>0</v>
      </c>
      <c r="K68" s="87">
        <f ca="1">IFERROR(K67*(1+PREMISSAS!$C$19)+(E68+H68-IF(RESULTADOS!$C$17="Normal",I68,0)-J68)*IF(MONTH(B68)=12,2,1),0)</f>
        <v>0</v>
      </c>
      <c r="L68" s="87">
        <f ca="1">IFERROR((L67+G68-IF(RESULTADOS!$C$17="Normal",0,I68))*(1+PREMISSAS!$C$19)+F68,0)</f>
        <v>0</v>
      </c>
      <c r="N68" s="58">
        <f t="shared" ca="1" si="0"/>
        <v>0</v>
      </c>
      <c r="O68" s="223"/>
      <c r="P68" s="131">
        <f t="shared" ca="1" si="1"/>
        <v>46812</v>
      </c>
      <c r="Q68" s="111">
        <f ca="1">IF(C68="","",Q67+(E68+H68-IF(RESULTADOS!$C$17="Normal",I68,0)-J68)/2+(F68+G68-IF(RESULTADOS!$C$17="Normal",0,I68)))</f>
        <v>0</v>
      </c>
      <c r="R68" s="111">
        <f ca="1">IF(C68="","",R67+(E68+H68-IF(RESULTADOS!$C$17="Normal",I68,0)-J68)/2)</f>
        <v>0</v>
      </c>
      <c r="S68" s="111">
        <f t="shared" ca="1" si="4"/>
        <v>0</v>
      </c>
      <c r="U68" s="131" t="str">
        <f t="shared" ca="1" si="5"/>
        <v/>
      </c>
      <c r="V68" s="131" t="str">
        <f t="shared" ca="1" si="2"/>
        <v/>
      </c>
      <c r="W68" s="111">
        <f ca="1">IF(OR((W67-13/12*Z67)*(1+PREMISSAS!$C$17)&lt;0,W67=""),0,(W67-13/12*Z67)*(1+PREMISSAS!$C$17))</f>
        <v>0</v>
      </c>
      <c r="X68" s="111">
        <f ca="1">IF(OR((X67-13/12*AA67)*(1+PREMISSAS!$C$17)&lt;0,X67=""),0,(X67-13/12*AA67)*(1+PREMISSAS!$C$17))</f>
        <v>0</v>
      </c>
      <c r="Y68" s="111">
        <f t="shared" ca="1" si="3"/>
        <v>0</v>
      </c>
      <c r="Z68" s="134">
        <f t="shared" ca="1" si="6"/>
        <v>0</v>
      </c>
      <c r="AA68" s="134">
        <f t="shared" ca="1" si="7"/>
        <v>0</v>
      </c>
    </row>
    <row r="69" spans="2:27" x14ac:dyDescent="0.3">
      <c r="B69" s="21">
        <f ca="1">IF(B68="","",IF(EOMONTH(B68,1)&gt;EOMONTH(ELEGIBILIDADE!$E$5,0),"",EOMONTH(B68,1)))</f>
        <v>46843</v>
      </c>
      <c r="C69" s="22">
        <f ca="1">IF(B69="","",IF(MONTH(B69)=1,C68*(1+PREMISSAS!$C$58),C68))</f>
        <v>0</v>
      </c>
      <c r="D69" s="22">
        <f ca="1">IF(RESULTADOS!$C$17="Normal",IFERROR(MAX(C69-PREMISSAS!$C$14,0),0),IF(PREMISSAS!$H$117=0,0,MAX(10*PREMISSAS!$C$39,RESULTADOS!$F$17)))</f>
        <v>0</v>
      </c>
      <c r="E69" s="4">
        <f ca="1">D69*IF(RESULTADOS!$C$17="Normal",RESULTADOS!$C$16,0)</f>
        <v>0</v>
      </c>
      <c r="F69" s="4">
        <f ca="1">IF(D69&lt;&gt;0,PREMISSAS!$N$83,0)</f>
        <v>0</v>
      </c>
      <c r="G69" s="4">
        <f ca="1">IFERROR(IF(RESULTADOS!$C$17="Normal",0,D69)*IF(RESULTADOS!$C$17="Normal",RESULTADOS!$C$18,RESULTADOS!$C$16),0)</f>
        <v>0</v>
      </c>
      <c r="H69" s="4">
        <f ca="1">IF(RESULTADOS!$C$17="Normal",E69,0)</f>
        <v>0</v>
      </c>
      <c r="I69" s="4">
        <f ca="1">(E69+H69+G69)*IFERROR(VLOOKUP(INT(COUNT($B$5:B69)/12),PREMISSAS!$B$62:$C$69,2,FALSE),PREMISSAS!$C$69)</f>
        <v>0</v>
      </c>
      <c r="J69" s="4">
        <f ca="1">D69*IF(RESULTADOS!$C$17="Normal",PREMISSAS!$C$71,0)</f>
        <v>0</v>
      </c>
      <c r="K69" s="87">
        <f ca="1">IFERROR(K68*(1+PREMISSAS!$C$19)+(E69+H69-IF(RESULTADOS!$C$17="Normal",I69,0)-J69)*IF(MONTH(B69)=12,2,1),0)</f>
        <v>0</v>
      </c>
      <c r="L69" s="87">
        <f ca="1">IFERROR((L68+G69-IF(RESULTADOS!$C$17="Normal",0,I69))*(1+PREMISSAS!$C$19)+F69,0)</f>
        <v>0</v>
      </c>
      <c r="N69" s="58">
        <f t="shared" ca="1" si="0"/>
        <v>0</v>
      </c>
      <c r="O69" s="223"/>
      <c r="P69" s="131">
        <f t="shared" ca="1" si="1"/>
        <v>46843</v>
      </c>
      <c r="Q69" s="111">
        <f ca="1">IF(C69="","",Q68+(E69+H69-IF(RESULTADOS!$C$17="Normal",I69,0)-J69)/2+(F69+G69-IF(RESULTADOS!$C$17="Normal",0,I69)))</f>
        <v>0</v>
      </c>
      <c r="R69" s="111">
        <f ca="1">IF(C69="","",R68+(E69+H69-IF(RESULTADOS!$C$17="Normal",I69,0)-J69)/2)</f>
        <v>0</v>
      </c>
      <c r="S69" s="111">
        <f t="shared" ca="1" si="4"/>
        <v>0</v>
      </c>
      <c r="U69" s="131" t="str">
        <f t="shared" ca="1" si="5"/>
        <v/>
      </c>
      <c r="V69" s="131" t="str">
        <f t="shared" ca="1" si="2"/>
        <v/>
      </c>
      <c r="W69" s="111">
        <f ca="1">IF(OR((W68-13/12*Z68)*(1+PREMISSAS!$C$17)&lt;0,W68=""),0,(W68-13/12*Z68)*(1+PREMISSAS!$C$17))</f>
        <v>0</v>
      </c>
      <c r="X69" s="111">
        <f ca="1">IF(OR((X68-13/12*AA68)*(1+PREMISSAS!$C$17)&lt;0,X68=""),0,(X68-13/12*AA68)*(1+PREMISSAS!$C$17))</f>
        <v>0</v>
      </c>
      <c r="Y69" s="111">
        <f t="shared" ca="1" si="3"/>
        <v>0</v>
      </c>
      <c r="Z69" s="134">
        <f t="shared" ca="1" si="6"/>
        <v>0</v>
      </c>
      <c r="AA69" s="134">
        <f t="shared" ca="1" si="7"/>
        <v>0</v>
      </c>
    </row>
    <row r="70" spans="2:27" x14ac:dyDescent="0.3">
      <c r="B70" s="21">
        <f ca="1">IF(B69="","",IF(EOMONTH(B69,1)&gt;EOMONTH(ELEGIBILIDADE!$E$5,0),"",EOMONTH(B69,1)))</f>
        <v>46873</v>
      </c>
      <c r="C70" s="22">
        <f ca="1">IF(B70="","",IF(MONTH(B70)=1,C69*(1+PREMISSAS!$C$58),C69))</f>
        <v>0</v>
      </c>
      <c r="D70" s="22">
        <f ca="1">IF(RESULTADOS!$C$17="Normal",IFERROR(MAX(C70-PREMISSAS!$C$14,0),0),IF(PREMISSAS!$H$117=0,0,MAX(10*PREMISSAS!$C$39,RESULTADOS!$F$17)))</f>
        <v>0</v>
      </c>
      <c r="E70" s="4">
        <f ca="1">D70*IF(RESULTADOS!$C$17="Normal",RESULTADOS!$C$16,0)</f>
        <v>0</v>
      </c>
      <c r="F70" s="4">
        <f ca="1">IF(D70&lt;&gt;0,PREMISSAS!$N$83,0)</f>
        <v>0</v>
      </c>
      <c r="G70" s="4">
        <f ca="1">IFERROR(IF(RESULTADOS!$C$17="Normal",0,D70)*IF(RESULTADOS!$C$17="Normal",RESULTADOS!$C$18,RESULTADOS!$C$16),0)</f>
        <v>0</v>
      </c>
      <c r="H70" s="4">
        <f ca="1">IF(RESULTADOS!$C$17="Normal",E70,0)</f>
        <v>0</v>
      </c>
      <c r="I70" s="4">
        <f ca="1">(E70+H70+G70)*IFERROR(VLOOKUP(INT(COUNT($B$5:B70)/12),PREMISSAS!$B$62:$C$69,2,FALSE),PREMISSAS!$C$69)</f>
        <v>0</v>
      </c>
      <c r="J70" s="4">
        <f ca="1">D70*IF(RESULTADOS!$C$17="Normal",PREMISSAS!$C$71,0)</f>
        <v>0</v>
      </c>
      <c r="K70" s="87">
        <f ca="1">IFERROR(K69*(1+PREMISSAS!$C$19)+(E70+H70-IF(RESULTADOS!$C$17="Normal",I70,0)-J70)*IF(MONTH(B70)=12,2,1),0)</f>
        <v>0</v>
      </c>
      <c r="L70" s="87">
        <f ca="1">IFERROR((L69+G70-IF(RESULTADOS!$C$17="Normal",0,I70))*(1+PREMISSAS!$C$19)+F70,0)</f>
        <v>0</v>
      </c>
      <c r="N70" s="58">
        <f t="shared" ref="N70:N133" ca="1" si="8">IFERROR((E70+F70+G70)/C70,0)</f>
        <v>0</v>
      </c>
      <c r="O70" s="223"/>
      <c r="P70" s="131">
        <f t="shared" ref="P70:P133" ca="1" si="9">IF(C70="","",B70)</f>
        <v>46873</v>
      </c>
      <c r="Q70" s="111">
        <f ca="1">IF(C70="","",Q69+(E70+H70-IF(RESULTADOS!$C$17="Normal",I70,0)-J70)/2+(F70+G70-IF(RESULTADOS!$C$17="Normal",0,I70)))</f>
        <v>0</v>
      </c>
      <c r="R70" s="111">
        <f ca="1">IF(C70="","",R69+(E70+H70-IF(RESULTADOS!$C$17="Normal",I70,0)-J70)/2)</f>
        <v>0</v>
      </c>
      <c r="S70" s="111">
        <f t="shared" ca="1" si="4"/>
        <v>0</v>
      </c>
      <c r="U70" s="131" t="str">
        <f t="shared" ca="1" si="5"/>
        <v/>
      </c>
      <c r="V70" s="131" t="str">
        <f t="shared" ref="V70:V133" ca="1" si="10">IF(AA70&lt;&gt;"",U70,"")</f>
        <v/>
      </c>
      <c r="W70" s="111">
        <f ca="1">IF(OR((W69-13/12*Z69)*(1+PREMISSAS!$C$17)&lt;0,W69=""),0,(W69-13/12*Z69)*(1+PREMISSAS!$C$17))</f>
        <v>0</v>
      </c>
      <c r="X70" s="111">
        <f ca="1">IF(OR((X69-13/12*AA69)*(1+PREMISSAS!$C$17)&lt;0,X69=""),0,(X69-13/12*AA69)*(1+PREMISSAS!$C$17))</f>
        <v>0</v>
      </c>
      <c r="Y70" s="111">
        <f t="shared" ref="Y70:Y133" ca="1" si="11">SUM(W70:X70)</f>
        <v>0</v>
      </c>
      <c r="Z70" s="134">
        <f t="shared" ca="1" si="6"/>
        <v>0</v>
      </c>
      <c r="AA70" s="134">
        <f t="shared" ca="1" si="7"/>
        <v>0</v>
      </c>
    </row>
    <row r="71" spans="2:27" x14ac:dyDescent="0.3">
      <c r="B71" s="21">
        <f ca="1">IF(B70="","",IF(EOMONTH(B70,1)&gt;EOMONTH(ELEGIBILIDADE!$E$5,0),"",EOMONTH(B70,1)))</f>
        <v>46904</v>
      </c>
      <c r="C71" s="22">
        <f ca="1">IF(B71="","",IF(MONTH(B71)=1,C70*(1+PREMISSAS!$C$58),C70))</f>
        <v>0</v>
      </c>
      <c r="D71" s="22">
        <f ca="1">IF(RESULTADOS!$C$17="Normal",IFERROR(MAX(C71-PREMISSAS!$C$14,0),0),IF(PREMISSAS!$H$117=0,0,MAX(10*PREMISSAS!$C$39,RESULTADOS!$F$17)))</f>
        <v>0</v>
      </c>
      <c r="E71" s="4">
        <f ca="1">D71*IF(RESULTADOS!$C$17="Normal",RESULTADOS!$C$16,0)</f>
        <v>0</v>
      </c>
      <c r="F71" s="4">
        <f ca="1">IF(D71&lt;&gt;0,PREMISSAS!$N$83,0)</f>
        <v>0</v>
      </c>
      <c r="G71" s="4">
        <f ca="1">IFERROR(IF(RESULTADOS!$C$17="Normal",0,D71)*IF(RESULTADOS!$C$17="Normal",RESULTADOS!$C$18,RESULTADOS!$C$16),0)</f>
        <v>0</v>
      </c>
      <c r="H71" s="4">
        <f ca="1">IF(RESULTADOS!$C$17="Normal",E71,0)</f>
        <v>0</v>
      </c>
      <c r="I71" s="4">
        <f ca="1">(E71+H71+G71)*IFERROR(VLOOKUP(INT(COUNT($B$5:B71)/12),PREMISSAS!$B$62:$C$69,2,FALSE),PREMISSAS!$C$69)</f>
        <v>0</v>
      </c>
      <c r="J71" s="4">
        <f ca="1">D71*IF(RESULTADOS!$C$17="Normal",PREMISSAS!$C$71,0)</f>
        <v>0</v>
      </c>
      <c r="K71" s="87">
        <f ca="1">IFERROR(K70*(1+PREMISSAS!$C$19)+(E71+H71-IF(RESULTADOS!$C$17="Normal",I71,0)-J71)*IF(MONTH(B71)=12,2,1),0)</f>
        <v>0</v>
      </c>
      <c r="L71" s="87">
        <f ca="1">IFERROR((L70+G71-IF(RESULTADOS!$C$17="Normal",0,I71))*(1+PREMISSAS!$C$19)+F71,0)</f>
        <v>0</v>
      </c>
      <c r="N71" s="58">
        <f t="shared" ca="1" si="8"/>
        <v>0</v>
      </c>
      <c r="O71" s="223"/>
      <c r="P71" s="131">
        <f t="shared" ca="1" si="9"/>
        <v>46904</v>
      </c>
      <c r="Q71" s="111">
        <f ca="1">IF(C71="","",Q70+(E71+H71-IF(RESULTADOS!$C$17="Normal",I71,0)-J71)/2+(F71+G71-IF(RESULTADOS!$C$17="Normal",0,I71)))</f>
        <v>0</v>
      </c>
      <c r="R71" s="111">
        <f ca="1">IF(C71="","",R70+(E71+H71-IF(RESULTADOS!$C$17="Normal",I71,0)-J71)/2)</f>
        <v>0</v>
      </c>
      <c r="S71" s="111">
        <f t="shared" ref="S71:S134" ca="1" si="12">SUM(K71:L71)-SUM(Q71:R71)</f>
        <v>0</v>
      </c>
      <c r="U71" s="131" t="str">
        <f t="shared" ref="U71:U134" ca="1" si="13">IF(Y71=0,"",EOMONTH(U70,1))</f>
        <v/>
      </c>
      <c r="V71" s="131" t="str">
        <f t="shared" ca="1" si="10"/>
        <v/>
      </c>
      <c r="W71" s="111">
        <f ca="1">IF(OR((W70-13/12*Z70)*(1+PREMISSAS!$C$17)&lt;0,W70=""),0,(W70-13/12*Z70)*(1+PREMISSAS!$C$17))</f>
        <v>0</v>
      </c>
      <c r="X71" s="111">
        <f ca="1">IF(OR((X70-13/12*AA70)*(1+PREMISSAS!$C$17)&lt;0,X70=""),0,(X70-13/12*AA70)*(1+PREMISSAS!$C$17))</f>
        <v>0</v>
      </c>
      <c r="Y71" s="111">
        <f t="shared" ca="1" si="11"/>
        <v>0</v>
      </c>
      <c r="Z71" s="134">
        <f t="shared" ref="Z71:Z134" ca="1" si="14">IF(W71&lt;&gt;0,Z70,0)</f>
        <v>0</v>
      </c>
      <c r="AA71" s="134">
        <f t="shared" ref="AA71:AA134" ca="1" si="15">IF(X71&lt;&gt;0,AA70,0)</f>
        <v>0</v>
      </c>
    </row>
    <row r="72" spans="2:27" x14ac:dyDescent="0.3">
      <c r="B72" s="21">
        <f ca="1">IF(B71="","",IF(EOMONTH(B71,1)&gt;EOMONTH(ELEGIBILIDADE!$E$5,0),"",EOMONTH(B71,1)))</f>
        <v>46934</v>
      </c>
      <c r="C72" s="22">
        <f ca="1">IF(B72="","",IF(MONTH(B72)=1,C71*(1+PREMISSAS!$C$58),C71))</f>
        <v>0</v>
      </c>
      <c r="D72" s="22">
        <f ca="1">IF(RESULTADOS!$C$17="Normal",IFERROR(MAX(C72-PREMISSAS!$C$14,0),0),IF(PREMISSAS!$H$117=0,0,MAX(10*PREMISSAS!$C$39,RESULTADOS!$F$17)))</f>
        <v>0</v>
      </c>
      <c r="E72" s="4">
        <f ca="1">D72*IF(RESULTADOS!$C$17="Normal",RESULTADOS!$C$16,0)</f>
        <v>0</v>
      </c>
      <c r="F72" s="4">
        <f ca="1">IF(D72&lt;&gt;0,PREMISSAS!$N$83,0)</f>
        <v>0</v>
      </c>
      <c r="G72" s="4">
        <f ca="1">IFERROR(IF(RESULTADOS!$C$17="Normal",0,D72)*IF(RESULTADOS!$C$17="Normal",RESULTADOS!$C$18,RESULTADOS!$C$16),0)</f>
        <v>0</v>
      </c>
      <c r="H72" s="4">
        <f ca="1">IF(RESULTADOS!$C$17="Normal",E72,0)</f>
        <v>0</v>
      </c>
      <c r="I72" s="4">
        <f ca="1">(E72+H72+G72)*IFERROR(VLOOKUP(INT(COUNT($B$5:B72)/12),PREMISSAS!$B$62:$C$69,2,FALSE),PREMISSAS!$C$69)</f>
        <v>0</v>
      </c>
      <c r="J72" s="4">
        <f ca="1">D72*IF(RESULTADOS!$C$17="Normal",PREMISSAS!$C$71,0)</f>
        <v>0</v>
      </c>
      <c r="K72" s="87">
        <f ca="1">IFERROR(K71*(1+PREMISSAS!$C$19)+(E72+H72-IF(RESULTADOS!$C$17="Normal",I72,0)-J72)*IF(MONTH(B72)=12,2,1),0)</f>
        <v>0</v>
      </c>
      <c r="L72" s="87">
        <f ca="1">IFERROR((L71+G72-IF(RESULTADOS!$C$17="Normal",0,I72))*(1+PREMISSAS!$C$19)+F72,0)</f>
        <v>0</v>
      </c>
      <c r="N72" s="58">
        <f t="shared" ca="1" si="8"/>
        <v>0</v>
      </c>
      <c r="O72" s="223"/>
      <c r="P72" s="131">
        <f t="shared" ca="1" si="9"/>
        <v>46934</v>
      </c>
      <c r="Q72" s="111">
        <f ca="1">IF(C72="","",Q71+(E72+H72-IF(RESULTADOS!$C$17="Normal",I72,0)-J72)/2+(F72+G72-IF(RESULTADOS!$C$17="Normal",0,I72)))</f>
        <v>0</v>
      </c>
      <c r="R72" s="111">
        <f ca="1">IF(C72="","",R71+(E72+H72-IF(RESULTADOS!$C$17="Normal",I72,0)-J72)/2)</f>
        <v>0</v>
      </c>
      <c r="S72" s="111">
        <f t="shared" ca="1" si="12"/>
        <v>0</v>
      </c>
      <c r="U72" s="131" t="str">
        <f t="shared" ca="1" si="13"/>
        <v/>
      </c>
      <c r="V72" s="131" t="str">
        <f t="shared" ca="1" si="10"/>
        <v/>
      </c>
      <c r="W72" s="111">
        <f ca="1">IF(OR((W71-13/12*Z71)*(1+PREMISSAS!$C$17)&lt;0,W71=""),0,(W71-13/12*Z71)*(1+PREMISSAS!$C$17))</f>
        <v>0</v>
      </c>
      <c r="X72" s="111">
        <f ca="1">IF(OR((X71-13/12*AA71)*(1+PREMISSAS!$C$17)&lt;0,X71=""),0,(X71-13/12*AA71)*(1+PREMISSAS!$C$17))</f>
        <v>0</v>
      </c>
      <c r="Y72" s="111">
        <f t="shared" ca="1" si="11"/>
        <v>0</v>
      </c>
      <c r="Z72" s="134">
        <f t="shared" ca="1" si="14"/>
        <v>0</v>
      </c>
      <c r="AA72" s="134">
        <f t="shared" ca="1" si="15"/>
        <v>0</v>
      </c>
    </row>
    <row r="73" spans="2:27" x14ac:dyDescent="0.3">
      <c r="B73" s="21">
        <f ca="1">IF(B72="","",IF(EOMONTH(B72,1)&gt;EOMONTH(ELEGIBILIDADE!$E$5,0),"",EOMONTH(B72,1)))</f>
        <v>46965</v>
      </c>
      <c r="C73" s="22">
        <f ca="1">IF(B73="","",IF(MONTH(B73)=1,C72*(1+PREMISSAS!$C$58),C72))</f>
        <v>0</v>
      </c>
      <c r="D73" s="22">
        <f ca="1">IF(RESULTADOS!$C$17="Normal",IFERROR(MAX(C73-PREMISSAS!$C$14,0),0),IF(PREMISSAS!$H$117=0,0,MAX(10*PREMISSAS!$C$39,RESULTADOS!$F$17)))</f>
        <v>0</v>
      </c>
      <c r="E73" s="4">
        <f ca="1">D73*IF(RESULTADOS!$C$17="Normal",RESULTADOS!$C$16,0)</f>
        <v>0</v>
      </c>
      <c r="F73" s="4">
        <f ca="1">IF(D73&lt;&gt;0,PREMISSAS!$N$83,0)</f>
        <v>0</v>
      </c>
      <c r="G73" s="4">
        <f ca="1">IFERROR(IF(RESULTADOS!$C$17="Normal",0,D73)*IF(RESULTADOS!$C$17="Normal",RESULTADOS!$C$18,RESULTADOS!$C$16),0)</f>
        <v>0</v>
      </c>
      <c r="H73" s="4">
        <f ca="1">IF(RESULTADOS!$C$17="Normal",E73,0)</f>
        <v>0</v>
      </c>
      <c r="I73" s="4">
        <f ca="1">(E73+H73+G73)*IFERROR(VLOOKUP(INT(COUNT($B$5:B73)/12),PREMISSAS!$B$62:$C$69,2,FALSE),PREMISSAS!$C$69)</f>
        <v>0</v>
      </c>
      <c r="J73" s="4">
        <f ca="1">D73*IF(RESULTADOS!$C$17="Normal",PREMISSAS!$C$71,0)</f>
        <v>0</v>
      </c>
      <c r="K73" s="87">
        <f ca="1">IFERROR(K72*(1+PREMISSAS!$C$19)+(E73+H73-IF(RESULTADOS!$C$17="Normal",I73,0)-J73)*IF(MONTH(B73)=12,2,1),0)</f>
        <v>0</v>
      </c>
      <c r="L73" s="87">
        <f ca="1">IFERROR((L72+G73-IF(RESULTADOS!$C$17="Normal",0,I73))*(1+PREMISSAS!$C$19)+F73,0)</f>
        <v>0</v>
      </c>
      <c r="N73" s="58">
        <f t="shared" ca="1" si="8"/>
        <v>0</v>
      </c>
      <c r="O73" s="223"/>
      <c r="P73" s="131">
        <f t="shared" ca="1" si="9"/>
        <v>46965</v>
      </c>
      <c r="Q73" s="111">
        <f ca="1">IF(C73="","",Q72+(E73+H73-IF(RESULTADOS!$C$17="Normal",I73,0)-J73)/2+(F73+G73-IF(RESULTADOS!$C$17="Normal",0,I73)))</f>
        <v>0</v>
      </c>
      <c r="R73" s="111">
        <f ca="1">IF(C73="","",R72+(E73+H73-IF(RESULTADOS!$C$17="Normal",I73,0)-J73)/2)</f>
        <v>0</v>
      </c>
      <c r="S73" s="111">
        <f t="shared" ca="1" si="12"/>
        <v>0</v>
      </c>
      <c r="U73" s="131" t="str">
        <f t="shared" ca="1" si="13"/>
        <v/>
      </c>
      <c r="V73" s="131" t="str">
        <f t="shared" ca="1" si="10"/>
        <v/>
      </c>
      <c r="W73" s="111">
        <f ca="1">IF(OR((W72-13/12*Z72)*(1+PREMISSAS!$C$17)&lt;0,W72=""),0,(W72-13/12*Z72)*(1+PREMISSAS!$C$17))</f>
        <v>0</v>
      </c>
      <c r="X73" s="111">
        <f ca="1">IF(OR((X72-13/12*AA72)*(1+PREMISSAS!$C$17)&lt;0,X72=""),0,(X72-13/12*AA72)*(1+PREMISSAS!$C$17))</f>
        <v>0</v>
      </c>
      <c r="Y73" s="111">
        <f t="shared" ca="1" si="11"/>
        <v>0</v>
      </c>
      <c r="Z73" s="134">
        <f t="shared" ca="1" si="14"/>
        <v>0</v>
      </c>
      <c r="AA73" s="134">
        <f t="shared" ca="1" si="15"/>
        <v>0</v>
      </c>
    </row>
    <row r="74" spans="2:27" x14ac:dyDescent="0.3">
      <c r="B74" s="21">
        <f ca="1">IF(B73="","",IF(EOMONTH(B73,1)&gt;EOMONTH(ELEGIBILIDADE!$E$5,0),"",EOMONTH(B73,1)))</f>
        <v>46996</v>
      </c>
      <c r="C74" s="22">
        <f ca="1">IF(B74="","",IF(MONTH(B74)=1,C73*(1+PREMISSAS!$C$58),C73))</f>
        <v>0</v>
      </c>
      <c r="D74" s="22">
        <f ca="1">IF(RESULTADOS!$C$17="Normal",IFERROR(MAX(C74-PREMISSAS!$C$14,0),0),IF(PREMISSAS!$H$117=0,0,MAX(10*PREMISSAS!$C$39,RESULTADOS!$F$17)))</f>
        <v>0</v>
      </c>
      <c r="E74" s="4">
        <f ca="1">D74*IF(RESULTADOS!$C$17="Normal",RESULTADOS!$C$16,0)</f>
        <v>0</v>
      </c>
      <c r="F74" s="4">
        <f ca="1">IF(D74&lt;&gt;0,PREMISSAS!$N$83,0)</f>
        <v>0</v>
      </c>
      <c r="G74" s="4">
        <f ca="1">IFERROR(IF(RESULTADOS!$C$17="Normal",0,D74)*IF(RESULTADOS!$C$17="Normal",RESULTADOS!$C$18,RESULTADOS!$C$16),0)</f>
        <v>0</v>
      </c>
      <c r="H74" s="4">
        <f ca="1">IF(RESULTADOS!$C$17="Normal",E74,0)</f>
        <v>0</v>
      </c>
      <c r="I74" s="4">
        <f ca="1">(E74+H74+G74)*IFERROR(VLOOKUP(INT(COUNT($B$5:B74)/12),PREMISSAS!$B$62:$C$69,2,FALSE),PREMISSAS!$C$69)</f>
        <v>0</v>
      </c>
      <c r="J74" s="4">
        <f ca="1">D74*IF(RESULTADOS!$C$17="Normal",PREMISSAS!$C$71,0)</f>
        <v>0</v>
      </c>
      <c r="K74" s="87">
        <f ca="1">IFERROR(K73*(1+PREMISSAS!$C$19)+(E74+H74-IF(RESULTADOS!$C$17="Normal",I74,0)-J74)*IF(MONTH(B74)=12,2,1),0)</f>
        <v>0</v>
      </c>
      <c r="L74" s="87">
        <f ca="1">IFERROR((L73+G74-IF(RESULTADOS!$C$17="Normal",0,I74))*(1+PREMISSAS!$C$19)+F74,0)</f>
        <v>0</v>
      </c>
      <c r="N74" s="58">
        <f t="shared" ca="1" si="8"/>
        <v>0</v>
      </c>
      <c r="O74" s="223"/>
      <c r="P74" s="131">
        <f t="shared" ca="1" si="9"/>
        <v>46996</v>
      </c>
      <c r="Q74" s="111">
        <f ca="1">IF(C74="","",Q73+(E74+H74-IF(RESULTADOS!$C$17="Normal",I74,0)-J74)/2+(F74+G74-IF(RESULTADOS!$C$17="Normal",0,I74)))</f>
        <v>0</v>
      </c>
      <c r="R74" s="111">
        <f ca="1">IF(C74="","",R73+(E74+H74-IF(RESULTADOS!$C$17="Normal",I74,0)-J74)/2)</f>
        <v>0</v>
      </c>
      <c r="S74" s="111">
        <f t="shared" ca="1" si="12"/>
        <v>0</v>
      </c>
      <c r="U74" s="131" t="str">
        <f t="shared" ca="1" si="13"/>
        <v/>
      </c>
      <c r="V74" s="131" t="str">
        <f t="shared" ca="1" si="10"/>
        <v/>
      </c>
      <c r="W74" s="111">
        <f ca="1">IF(OR((W73-13/12*Z73)*(1+PREMISSAS!$C$17)&lt;0,W73=""),0,(W73-13/12*Z73)*(1+PREMISSAS!$C$17))</f>
        <v>0</v>
      </c>
      <c r="X74" s="111">
        <f ca="1">IF(OR((X73-13/12*AA73)*(1+PREMISSAS!$C$17)&lt;0,X73=""),0,(X73-13/12*AA73)*(1+PREMISSAS!$C$17))</f>
        <v>0</v>
      </c>
      <c r="Y74" s="111">
        <f t="shared" ca="1" si="11"/>
        <v>0</v>
      </c>
      <c r="Z74" s="134">
        <f t="shared" ca="1" si="14"/>
        <v>0</v>
      </c>
      <c r="AA74" s="134">
        <f t="shared" ca="1" si="15"/>
        <v>0</v>
      </c>
    </row>
    <row r="75" spans="2:27" x14ac:dyDescent="0.3">
      <c r="B75" s="21">
        <f ca="1">IF(B74="","",IF(EOMONTH(B74,1)&gt;EOMONTH(ELEGIBILIDADE!$E$5,0),"",EOMONTH(B74,1)))</f>
        <v>47026</v>
      </c>
      <c r="C75" s="22">
        <f ca="1">IF(B75="","",IF(MONTH(B75)=1,C74*(1+PREMISSAS!$C$58),C74))</f>
        <v>0</v>
      </c>
      <c r="D75" s="22">
        <f ca="1">IF(RESULTADOS!$C$17="Normal",IFERROR(MAX(C75-PREMISSAS!$C$14,0),0),IF(PREMISSAS!$H$117=0,0,MAX(10*PREMISSAS!$C$39,RESULTADOS!$F$17)))</f>
        <v>0</v>
      </c>
      <c r="E75" s="4">
        <f ca="1">D75*IF(RESULTADOS!$C$17="Normal",RESULTADOS!$C$16,0)</f>
        <v>0</v>
      </c>
      <c r="F75" s="4">
        <f ca="1">IF(D75&lt;&gt;0,PREMISSAS!$N$83,0)</f>
        <v>0</v>
      </c>
      <c r="G75" s="4">
        <f ca="1">IFERROR(IF(RESULTADOS!$C$17="Normal",0,D75)*IF(RESULTADOS!$C$17="Normal",RESULTADOS!$C$18,RESULTADOS!$C$16),0)</f>
        <v>0</v>
      </c>
      <c r="H75" s="4">
        <f ca="1">IF(RESULTADOS!$C$17="Normal",E75,0)</f>
        <v>0</v>
      </c>
      <c r="I75" s="4">
        <f ca="1">(E75+H75+G75)*IFERROR(VLOOKUP(INT(COUNT($B$5:B75)/12),PREMISSAS!$B$62:$C$69,2,FALSE),PREMISSAS!$C$69)</f>
        <v>0</v>
      </c>
      <c r="J75" s="4">
        <f ca="1">D75*IF(RESULTADOS!$C$17="Normal",PREMISSAS!$C$71,0)</f>
        <v>0</v>
      </c>
      <c r="K75" s="87">
        <f ca="1">IFERROR(K74*(1+PREMISSAS!$C$19)+(E75+H75-IF(RESULTADOS!$C$17="Normal",I75,0)-J75)*IF(MONTH(B75)=12,2,1),0)</f>
        <v>0</v>
      </c>
      <c r="L75" s="87">
        <f ca="1">IFERROR((L74+G75-IF(RESULTADOS!$C$17="Normal",0,I75))*(1+PREMISSAS!$C$19)+F75,0)</f>
        <v>0</v>
      </c>
      <c r="N75" s="58">
        <f t="shared" ca="1" si="8"/>
        <v>0</v>
      </c>
      <c r="O75" s="223"/>
      <c r="P75" s="131">
        <f t="shared" ca="1" si="9"/>
        <v>47026</v>
      </c>
      <c r="Q75" s="111">
        <f ca="1">IF(C75="","",Q74+(E75+H75-IF(RESULTADOS!$C$17="Normal",I75,0)-J75)/2+(F75+G75-IF(RESULTADOS!$C$17="Normal",0,I75)))</f>
        <v>0</v>
      </c>
      <c r="R75" s="111">
        <f ca="1">IF(C75="","",R74+(E75+H75-IF(RESULTADOS!$C$17="Normal",I75,0)-J75)/2)</f>
        <v>0</v>
      </c>
      <c r="S75" s="111">
        <f t="shared" ca="1" si="12"/>
        <v>0</v>
      </c>
      <c r="U75" s="131" t="str">
        <f t="shared" ca="1" si="13"/>
        <v/>
      </c>
      <c r="V75" s="131" t="str">
        <f t="shared" ca="1" si="10"/>
        <v/>
      </c>
      <c r="W75" s="111">
        <f ca="1">IF(OR((W74-13/12*Z74)*(1+PREMISSAS!$C$17)&lt;0,W74=""),0,(W74-13/12*Z74)*(1+PREMISSAS!$C$17))</f>
        <v>0</v>
      </c>
      <c r="X75" s="111">
        <f ca="1">IF(OR((X74-13/12*AA74)*(1+PREMISSAS!$C$17)&lt;0,X74=""),0,(X74-13/12*AA74)*(1+PREMISSAS!$C$17))</f>
        <v>0</v>
      </c>
      <c r="Y75" s="111">
        <f t="shared" ca="1" si="11"/>
        <v>0</v>
      </c>
      <c r="Z75" s="134">
        <f t="shared" ca="1" si="14"/>
        <v>0</v>
      </c>
      <c r="AA75" s="134">
        <f t="shared" ca="1" si="15"/>
        <v>0</v>
      </c>
    </row>
    <row r="76" spans="2:27" x14ac:dyDescent="0.3">
      <c r="B76" s="21">
        <f ca="1">IF(B75="","",IF(EOMONTH(B75,1)&gt;EOMONTH(ELEGIBILIDADE!$E$5,0),"",EOMONTH(B75,1)))</f>
        <v>47057</v>
      </c>
      <c r="C76" s="22">
        <f ca="1">IF(B76="","",IF(MONTH(B76)=1,C75*(1+PREMISSAS!$C$58),C75))</f>
        <v>0</v>
      </c>
      <c r="D76" s="22">
        <f ca="1">IF(RESULTADOS!$C$17="Normal",IFERROR(MAX(C76-PREMISSAS!$C$14,0),0),IF(PREMISSAS!$H$117=0,0,MAX(10*PREMISSAS!$C$39,RESULTADOS!$F$17)))</f>
        <v>0</v>
      </c>
      <c r="E76" s="4">
        <f ca="1">D76*IF(RESULTADOS!$C$17="Normal",RESULTADOS!$C$16,0)</f>
        <v>0</v>
      </c>
      <c r="F76" s="4">
        <f ca="1">IF(D76&lt;&gt;0,PREMISSAS!$N$83,0)</f>
        <v>0</v>
      </c>
      <c r="G76" s="4">
        <f ca="1">IFERROR(IF(RESULTADOS!$C$17="Normal",0,D76)*IF(RESULTADOS!$C$17="Normal",RESULTADOS!$C$18,RESULTADOS!$C$16),0)</f>
        <v>0</v>
      </c>
      <c r="H76" s="4">
        <f ca="1">IF(RESULTADOS!$C$17="Normal",E76,0)</f>
        <v>0</v>
      </c>
      <c r="I76" s="4">
        <f ca="1">(E76+H76+G76)*IFERROR(VLOOKUP(INT(COUNT($B$5:B76)/12),PREMISSAS!$B$62:$C$69,2,FALSE),PREMISSAS!$C$69)</f>
        <v>0</v>
      </c>
      <c r="J76" s="4">
        <f ca="1">D76*IF(RESULTADOS!$C$17="Normal",PREMISSAS!$C$71,0)</f>
        <v>0</v>
      </c>
      <c r="K76" s="87">
        <f ca="1">IFERROR(K75*(1+PREMISSAS!$C$19)+(E76+H76-IF(RESULTADOS!$C$17="Normal",I76,0)-J76)*IF(MONTH(B76)=12,2,1),0)</f>
        <v>0</v>
      </c>
      <c r="L76" s="87">
        <f ca="1">IFERROR((L75+G76-IF(RESULTADOS!$C$17="Normal",0,I76))*(1+PREMISSAS!$C$19)+F76,0)</f>
        <v>0</v>
      </c>
      <c r="N76" s="58">
        <f t="shared" ca="1" si="8"/>
        <v>0</v>
      </c>
      <c r="O76" s="223"/>
      <c r="P76" s="131">
        <f t="shared" ca="1" si="9"/>
        <v>47057</v>
      </c>
      <c r="Q76" s="111">
        <f ca="1">IF(C76="","",Q75+(E76+H76-IF(RESULTADOS!$C$17="Normal",I76,0)-J76)/2+(F76+G76-IF(RESULTADOS!$C$17="Normal",0,I76)))</f>
        <v>0</v>
      </c>
      <c r="R76" s="111">
        <f ca="1">IF(C76="","",R75+(E76+H76-IF(RESULTADOS!$C$17="Normal",I76,0)-J76)/2)</f>
        <v>0</v>
      </c>
      <c r="S76" s="111">
        <f t="shared" ca="1" si="12"/>
        <v>0</v>
      </c>
      <c r="U76" s="131" t="str">
        <f t="shared" ca="1" si="13"/>
        <v/>
      </c>
      <c r="V76" s="131" t="str">
        <f t="shared" ca="1" si="10"/>
        <v/>
      </c>
      <c r="W76" s="111">
        <f ca="1">IF(OR((W75-13/12*Z75)*(1+PREMISSAS!$C$17)&lt;0,W75=""),0,(W75-13/12*Z75)*(1+PREMISSAS!$C$17))</f>
        <v>0</v>
      </c>
      <c r="X76" s="111">
        <f ca="1">IF(OR((X75-13/12*AA75)*(1+PREMISSAS!$C$17)&lt;0,X75=""),0,(X75-13/12*AA75)*(1+PREMISSAS!$C$17))</f>
        <v>0</v>
      </c>
      <c r="Y76" s="111">
        <f t="shared" ca="1" si="11"/>
        <v>0</v>
      </c>
      <c r="Z76" s="134">
        <f t="shared" ca="1" si="14"/>
        <v>0</v>
      </c>
      <c r="AA76" s="134">
        <f t="shared" ca="1" si="15"/>
        <v>0</v>
      </c>
    </row>
    <row r="77" spans="2:27" x14ac:dyDescent="0.3">
      <c r="B77" s="21">
        <f ca="1">IF(B76="","",IF(EOMONTH(B76,1)&gt;EOMONTH(ELEGIBILIDADE!$E$5,0),"",EOMONTH(B76,1)))</f>
        <v>47087</v>
      </c>
      <c r="C77" s="22">
        <f ca="1">IF(B77="","",IF(MONTH(B77)=1,C76*(1+PREMISSAS!$C$58),C76))</f>
        <v>0</v>
      </c>
      <c r="D77" s="22">
        <f ca="1">IF(RESULTADOS!$C$17="Normal",IFERROR(MAX(C77-PREMISSAS!$C$14,0),0),IF(PREMISSAS!$H$117=0,0,MAX(10*PREMISSAS!$C$39,RESULTADOS!$F$17)))</f>
        <v>0</v>
      </c>
      <c r="E77" s="4">
        <f ca="1">D77*IF(RESULTADOS!$C$17="Normal",RESULTADOS!$C$16,0)</f>
        <v>0</v>
      </c>
      <c r="F77" s="4">
        <f ca="1">IF(D77&lt;&gt;0,PREMISSAS!$N$83,0)</f>
        <v>0</v>
      </c>
      <c r="G77" s="4">
        <f ca="1">IFERROR(IF(RESULTADOS!$C$17="Normal",0,D77)*IF(RESULTADOS!$C$17="Normal",RESULTADOS!$C$18,RESULTADOS!$C$16),0)</f>
        <v>0</v>
      </c>
      <c r="H77" s="4">
        <f ca="1">IF(RESULTADOS!$C$17="Normal",E77,0)</f>
        <v>0</v>
      </c>
      <c r="I77" s="4">
        <f ca="1">(E77+H77+G77)*IFERROR(VLOOKUP(INT(COUNT($B$5:B77)/12),PREMISSAS!$B$62:$C$69,2,FALSE),PREMISSAS!$C$69)</f>
        <v>0</v>
      </c>
      <c r="J77" s="4">
        <f ca="1">D77*IF(RESULTADOS!$C$17="Normal",PREMISSAS!$C$71,0)</f>
        <v>0</v>
      </c>
      <c r="K77" s="87">
        <f ca="1">IFERROR(K76*(1+PREMISSAS!$C$19)+(E77+H77-IF(RESULTADOS!$C$17="Normal",I77,0)-J77)*IF(MONTH(B77)=12,2,1),0)</f>
        <v>0</v>
      </c>
      <c r="L77" s="87">
        <f ca="1">IFERROR((L76+G77-IF(RESULTADOS!$C$17="Normal",0,I77))*(1+PREMISSAS!$C$19)+F77,0)</f>
        <v>0</v>
      </c>
      <c r="N77" s="58">
        <f t="shared" ca="1" si="8"/>
        <v>0</v>
      </c>
      <c r="O77" s="223"/>
      <c r="P77" s="131">
        <f t="shared" ca="1" si="9"/>
        <v>47087</v>
      </c>
      <c r="Q77" s="111">
        <f ca="1">IF(C77="","",Q76+(E77+H77-IF(RESULTADOS!$C$17="Normal",I77,0)-J77)/2+(F77+G77-IF(RESULTADOS!$C$17="Normal",0,I77)))</f>
        <v>0</v>
      </c>
      <c r="R77" s="111">
        <f ca="1">IF(C77="","",R76+(E77+H77-IF(RESULTADOS!$C$17="Normal",I77,0)-J77)/2)</f>
        <v>0</v>
      </c>
      <c r="S77" s="111">
        <f t="shared" ca="1" si="12"/>
        <v>0</v>
      </c>
      <c r="U77" s="131" t="str">
        <f t="shared" ca="1" si="13"/>
        <v/>
      </c>
      <c r="V77" s="131" t="str">
        <f t="shared" ca="1" si="10"/>
        <v/>
      </c>
      <c r="W77" s="111">
        <f ca="1">IF(OR((W76-13/12*Z76)*(1+PREMISSAS!$C$17)&lt;0,W76=""),0,(W76-13/12*Z76)*(1+PREMISSAS!$C$17))</f>
        <v>0</v>
      </c>
      <c r="X77" s="111">
        <f ca="1">IF(OR((X76-13/12*AA76)*(1+PREMISSAS!$C$17)&lt;0,X76=""),0,(X76-13/12*AA76)*(1+PREMISSAS!$C$17))</f>
        <v>0</v>
      </c>
      <c r="Y77" s="111">
        <f t="shared" ca="1" si="11"/>
        <v>0</v>
      </c>
      <c r="Z77" s="134">
        <f t="shared" ca="1" si="14"/>
        <v>0</v>
      </c>
      <c r="AA77" s="134">
        <f t="shared" ca="1" si="15"/>
        <v>0</v>
      </c>
    </row>
    <row r="78" spans="2:27" x14ac:dyDescent="0.3">
      <c r="B78" s="21">
        <f ca="1">IF(B77="","",IF(EOMONTH(B77,1)&gt;EOMONTH(ELEGIBILIDADE!$E$5,0),"",EOMONTH(B77,1)))</f>
        <v>47118</v>
      </c>
      <c r="C78" s="22">
        <f ca="1">IF(B78="","",IF(MONTH(B78)=1,C77*(1+PREMISSAS!$C$58),C77))</f>
        <v>0</v>
      </c>
      <c r="D78" s="22">
        <f ca="1">IF(RESULTADOS!$C$17="Normal",IFERROR(MAX(C78-PREMISSAS!$C$14,0),0),IF(PREMISSAS!$H$117=0,0,MAX(10*PREMISSAS!$C$39,RESULTADOS!$F$17)))</f>
        <v>0</v>
      </c>
      <c r="E78" s="4">
        <f ca="1">D78*IF(RESULTADOS!$C$17="Normal",RESULTADOS!$C$16,0)</f>
        <v>0</v>
      </c>
      <c r="F78" s="4">
        <f ca="1">IF(D78&lt;&gt;0,PREMISSAS!$N$83,0)</f>
        <v>0</v>
      </c>
      <c r="G78" s="4">
        <f ca="1">IFERROR(IF(RESULTADOS!$C$17="Normal",0,D78)*IF(RESULTADOS!$C$17="Normal",RESULTADOS!$C$18,RESULTADOS!$C$16),0)</f>
        <v>0</v>
      </c>
      <c r="H78" s="4">
        <f ca="1">IF(RESULTADOS!$C$17="Normal",E78,0)</f>
        <v>0</v>
      </c>
      <c r="I78" s="4">
        <f ca="1">(E78+H78+G78)*IFERROR(VLOOKUP(INT(COUNT($B$5:B78)/12),PREMISSAS!$B$62:$C$69,2,FALSE),PREMISSAS!$C$69)</f>
        <v>0</v>
      </c>
      <c r="J78" s="4">
        <f ca="1">D78*IF(RESULTADOS!$C$17="Normal",PREMISSAS!$C$71,0)</f>
        <v>0</v>
      </c>
      <c r="K78" s="87">
        <f ca="1">IFERROR(K77*(1+PREMISSAS!$C$19)+(E78+H78-IF(RESULTADOS!$C$17="Normal",I78,0)-J78)*IF(MONTH(B78)=12,2,1),0)</f>
        <v>0</v>
      </c>
      <c r="L78" s="87">
        <f ca="1">IFERROR((L77+G78-IF(RESULTADOS!$C$17="Normal",0,I78))*(1+PREMISSAS!$C$19)+F78,0)</f>
        <v>0</v>
      </c>
      <c r="N78" s="58">
        <f t="shared" ca="1" si="8"/>
        <v>0</v>
      </c>
      <c r="O78" s="223"/>
      <c r="P78" s="131">
        <f t="shared" ca="1" si="9"/>
        <v>47118</v>
      </c>
      <c r="Q78" s="111">
        <f ca="1">IF(C78="","",Q77+(E78+H78-IF(RESULTADOS!$C$17="Normal",I78,0)-J78)/2+(F78+G78-IF(RESULTADOS!$C$17="Normal",0,I78)))</f>
        <v>0</v>
      </c>
      <c r="R78" s="111">
        <f ca="1">IF(C78="","",R77+(E78+H78-IF(RESULTADOS!$C$17="Normal",I78,0)-J78)/2)</f>
        <v>0</v>
      </c>
      <c r="S78" s="111">
        <f t="shared" ca="1" si="12"/>
        <v>0</v>
      </c>
      <c r="U78" s="131" t="str">
        <f t="shared" ca="1" si="13"/>
        <v/>
      </c>
      <c r="V78" s="131" t="str">
        <f t="shared" ca="1" si="10"/>
        <v/>
      </c>
      <c r="W78" s="111">
        <f ca="1">IF(OR((W77-13/12*Z77)*(1+PREMISSAS!$C$17)&lt;0,W77=""),0,(W77-13/12*Z77)*(1+PREMISSAS!$C$17))</f>
        <v>0</v>
      </c>
      <c r="X78" s="111">
        <f ca="1">IF(OR((X77-13/12*AA77)*(1+PREMISSAS!$C$17)&lt;0,X77=""),0,(X77-13/12*AA77)*(1+PREMISSAS!$C$17))</f>
        <v>0</v>
      </c>
      <c r="Y78" s="111">
        <f t="shared" ca="1" si="11"/>
        <v>0</v>
      </c>
      <c r="Z78" s="134">
        <f t="shared" ca="1" si="14"/>
        <v>0</v>
      </c>
      <c r="AA78" s="134">
        <f t="shared" ca="1" si="15"/>
        <v>0</v>
      </c>
    </row>
    <row r="79" spans="2:27" x14ac:dyDescent="0.3">
      <c r="B79" s="21">
        <f ca="1">IF(B78="","",IF(EOMONTH(B78,1)&gt;EOMONTH(ELEGIBILIDADE!$E$5,0),"",EOMONTH(B78,1)))</f>
        <v>47149</v>
      </c>
      <c r="C79" s="22">
        <f ca="1">IF(B79="","",IF(MONTH(B79)=1,C78*(1+PREMISSAS!$C$58),C78))</f>
        <v>0</v>
      </c>
      <c r="D79" s="22">
        <f ca="1">IF(RESULTADOS!$C$17="Normal",IFERROR(MAX(C79-PREMISSAS!$C$14,0),0),IF(PREMISSAS!$H$117=0,0,MAX(10*PREMISSAS!$C$39,RESULTADOS!$F$17)))</f>
        <v>0</v>
      </c>
      <c r="E79" s="4">
        <f ca="1">D79*IF(RESULTADOS!$C$17="Normal",RESULTADOS!$C$16,0)</f>
        <v>0</v>
      </c>
      <c r="F79" s="4">
        <f ca="1">IF(D79&lt;&gt;0,PREMISSAS!$N$83,0)</f>
        <v>0</v>
      </c>
      <c r="G79" s="4">
        <f ca="1">IFERROR(IF(RESULTADOS!$C$17="Normal",0,D79)*IF(RESULTADOS!$C$17="Normal",RESULTADOS!$C$18,RESULTADOS!$C$16),0)</f>
        <v>0</v>
      </c>
      <c r="H79" s="4">
        <f ca="1">IF(RESULTADOS!$C$17="Normal",E79,0)</f>
        <v>0</v>
      </c>
      <c r="I79" s="4">
        <f ca="1">(E79+H79+G79)*IFERROR(VLOOKUP(INT(COUNT($B$5:B79)/12),PREMISSAS!$B$62:$C$69,2,FALSE),PREMISSAS!$C$69)</f>
        <v>0</v>
      </c>
      <c r="J79" s="4">
        <f ca="1">D79*IF(RESULTADOS!$C$17="Normal",PREMISSAS!$C$71,0)</f>
        <v>0</v>
      </c>
      <c r="K79" s="87">
        <f ca="1">IFERROR(K78*(1+PREMISSAS!$C$19)+(E79+H79-IF(RESULTADOS!$C$17="Normal",I79,0)-J79)*IF(MONTH(B79)=12,2,1),0)</f>
        <v>0</v>
      </c>
      <c r="L79" s="87">
        <f ca="1">IFERROR((L78+G79-IF(RESULTADOS!$C$17="Normal",0,I79))*(1+PREMISSAS!$C$19)+F79,0)</f>
        <v>0</v>
      </c>
      <c r="N79" s="58">
        <f t="shared" ca="1" si="8"/>
        <v>0</v>
      </c>
      <c r="O79" s="223"/>
      <c r="P79" s="131">
        <f t="shared" ca="1" si="9"/>
        <v>47149</v>
      </c>
      <c r="Q79" s="111">
        <f ca="1">IF(C79="","",Q78+(E79+H79-IF(RESULTADOS!$C$17="Normal",I79,0)-J79)/2+(F79+G79-IF(RESULTADOS!$C$17="Normal",0,I79)))</f>
        <v>0</v>
      </c>
      <c r="R79" s="111">
        <f ca="1">IF(C79="","",R78+(E79+H79-IF(RESULTADOS!$C$17="Normal",I79,0)-J79)/2)</f>
        <v>0</v>
      </c>
      <c r="S79" s="111">
        <f t="shared" ca="1" si="12"/>
        <v>0</v>
      </c>
      <c r="U79" s="131" t="str">
        <f t="shared" ca="1" si="13"/>
        <v/>
      </c>
      <c r="V79" s="131" t="str">
        <f t="shared" ca="1" si="10"/>
        <v/>
      </c>
      <c r="W79" s="111">
        <f ca="1">IF(OR((W78-13/12*Z78)*(1+PREMISSAS!$C$17)&lt;0,W78=""),0,(W78-13/12*Z78)*(1+PREMISSAS!$C$17))</f>
        <v>0</v>
      </c>
      <c r="X79" s="111">
        <f ca="1">IF(OR((X78-13/12*AA78)*(1+PREMISSAS!$C$17)&lt;0,X78=""),0,(X78-13/12*AA78)*(1+PREMISSAS!$C$17))</f>
        <v>0</v>
      </c>
      <c r="Y79" s="111">
        <f t="shared" ca="1" si="11"/>
        <v>0</v>
      </c>
      <c r="Z79" s="134">
        <f t="shared" ca="1" si="14"/>
        <v>0</v>
      </c>
      <c r="AA79" s="134">
        <f t="shared" ca="1" si="15"/>
        <v>0</v>
      </c>
    </row>
    <row r="80" spans="2:27" x14ac:dyDescent="0.3">
      <c r="B80" s="21">
        <f ca="1">IF(B79="","",IF(EOMONTH(B79,1)&gt;EOMONTH(ELEGIBILIDADE!$E$5,0),"",EOMONTH(B79,1)))</f>
        <v>47177</v>
      </c>
      <c r="C80" s="22">
        <f ca="1">IF(B80="","",IF(MONTH(B80)=1,C79*(1+PREMISSAS!$C$58),C79))</f>
        <v>0</v>
      </c>
      <c r="D80" s="22">
        <f ca="1">IF(RESULTADOS!$C$17="Normal",IFERROR(MAX(C80-PREMISSAS!$C$14,0),0),IF(PREMISSAS!$H$117=0,0,MAX(10*PREMISSAS!$C$39,RESULTADOS!$F$17)))</f>
        <v>0</v>
      </c>
      <c r="E80" s="4">
        <f ca="1">D80*IF(RESULTADOS!$C$17="Normal",RESULTADOS!$C$16,0)</f>
        <v>0</v>
      </c>
      <c r="F80" s="4">
        <f ca="1">IF(D80&lt;&gt;0,PREMISSAS!$N$83,0)</f>
        <v>0</v>
      </c>
      <c r="G80" s="4">
        <f ca="1">IFERROR(IF(RESULTADOS!$C$17="Normal",0,D80)*IF(RESULTADOS!$C$17="Normal",RESULTADOS!$C$18,RESULTADOS!$C$16),0)</f>
        <v>0</v>
      </c>
      <c r="H80" s="4">
        <f ca="1">IF(RESULTADOS!$C$17="Normal",E80,0)</f>
        <v>0</v>
      </c>
      <c r="I80" s="4">
        <f ca="1">(E80+H80+G80)*IFERROR(VLOOKUP(INT(COUNT($B$5:B80)/12),PREMISSAS!$B$62:$C$69,2,FALSE),PREMISSAS!$C$69)</f>
        <v>0</v>
      </c>
      <c r="J80" s="4">
        <f ca="1">D80*IF(RESULTADOS!$C$17="Normal",PREMISSAS!$C$71,0)</f>
        <v>0</v>
      </c>
      <c r="K80" s="87">
        <f ca="1">IFERROR(K79*(1+PREMISSAS!$C$19)+(E80+H80-IF(RESULTADOS!$C$17="Normal",I80,0)-J80)*IF(MONTH(B80)=12,2,1),0)</f>
        <v>0</v>
      </c>
      <c r="L80" s="87">
        <f ca="1">IFERROR((L79+G80-IF(RESULTADOS!$C$17="Normal",0,I80))*(1+PREMISSAS!$C$19)+F80,0)</f>
        <v>0</v>
      </c>
      <c r="N80" s="58">
        <f t="shared" ca="1" si="8"/>
        <v>0</v>
      </c>
      <c r="O80" s="223"/>
      <c r="P80" s="131">
        <f t="shared" ca="1" si="9"/>
        <v>47177</v>
      </c>
      <c r="Q80" s="111">
        <f ca="1">IF(C80="","",Q79+(E80+H80-IF(RESULTADOS!$C$17="Normal",I80,0)-J80)/2+(F80+G80-IF(RESULTADOS!$C$17="Normal",0,I80)))</f>
        <v>0</v>
      </c>
      <c r="R80" s="111">
        <f ca="1">IF(C80="","",R79+(E80+H80-IF(RESULTADOS!$C$17="Normal",I80,0)-J80)/2)</f>
        <v>0</v>
      </c>
      <c r="S80" s="111">
        <f t="shared" ca="1" si="12"/>
        <v>0</v>
      </c>
      <c r="U80" s="131" t="str">
        <f t="shared" ca="1" si="13"/>
        <v/>
      </c>
      <c r="V80" s="131" t="str">
        <f t="shared" ca="1" si="10"/>
        <v/>
      </c>
      <c r="W80" s="111">
        <f ca="1">IF(OR((W79-13/12*Z79)*(1+PREMISSAS!$C$17)&lt;0,W79=""),0,(W79-13/12*Z79)*(1+PREMISSAS!$C$17))</f>
        <v>0</v>
      </c>
      <c r="X80" s="111">
        <f ca="1">IF(OR((X79-13/12*AA79)*(1+PREMISSAS!$C$17)&lt;0,X79=""),0,(X79-13/12*AA79)*(1+PREMISSAS!$C$17))</f>
        <v>0</v>
      </c>
      <c r="Y80" s="111">
        <f t="shared" ca="1" si="11"/>
        <v>0</v>
      </c>
      <c r="Z80" s="134">
        <f t="shared" ca="1" si="14"/>
        <v>0</v>
      </c>
      <c r="AA80" s="134">
        <f t="shared" ca="1" si="15"/>
        <v>0</v>
      </c>
    </row>
    <row r="81" spans="2:27" x14ac:dyDescent="0.3">
      <c r="B81" s="21">
        <f ca="1">IF(B80="","",IF(EOMONTH(B80,1)&gt;EOMONTH(ELEGIBILIDADE!$E$5,0),"",EOMONTH(B80,1)))</f>
        <v>47208</v>
      </c>
      <c r="C81" s="22">
        <f ca="1">IF(B81="","",IF(MONTH(B81)=1,C80*(1+PREMISSAS!$C$58),C80))</f>
        <v>0</v>
      </c>
      <c r="D81" s="22">
        <f ca="1">IF(RESULTADOS!$C$17="Normal",IFERROR(MAX(C81-PREMISSAS!$C$14,0),0),IF(PREMISSAS!$H$117=0,0,MAX(10*PREMISSAS!$C$39,RESULTADOS!$F$17)))</f>
        <v>0</v>
      </c>
      <c r="E81" s="4">
        <f ca="1">D81*IF(RESULTADOS!$C$17="Normal",RESULTADOS!$C$16,0)</f>
        <v>0</v>
      </c>
      <c r="F81" s="4">
        <f ca="1">IF(D81&lt;&gt;0,PREMISSAS!$N$83,0)</f>
        <v>0</v>
      </c>
      <c r="G81" s="4">
        <f ca="1">IFERROR(IF(RESULTADOS!$C$17="Normal",0,D81)*IF(RESULTADOS!$C$17="Normal",RESULTADOS!$C$18,RESULTADOS!$C$16),0)</f>
        <v>0</v>
      </c>
      <c r="H81" s="4">
        <f ca="1">IF(RESULTADOS!$C$17="Normal",E81,0)</f>
        <v>0</v>
      </c>
      <c r="I81" s="4">
        <f ca="1">(E81+H81+G81)*IFERROR(VLOOKUP(INT(COUNT($B$5:B81)/12),PREMISSAS!$B$62:$C$69,2,FALSE),PREMISSAS!$C$69)</f>
        <v>0</v>
      </c>
      <c r="J81" s="4">
        <f ca="1">D81*IF(RESULTADOS!$C$17="Normal",PREMISSAS!$C$71,0)</f>
        <v>0</v>
      </c>
      <c r="K81" s="87">
        <f ca="1">IFERROR(K80*(1+PREMISSAS!$C$19)+(E81+H81-IF(RESULTADOS!$C$17="Normal",I81,0)-J81)*IF(MONTH(B81)=12,2,1),0)</f>
        <v>0</v>
      </c>
      <c r="L81" s="87">
        <f ca="1">IFERROR((L80+G81-IF(RESULTADOS!$C$17="Normal",0,I81))*(1+PREMISSAS!$C$19)+F81,0)</f>
        <v>0</v>
      </c>
      <c r="N81" s="58">
        <f t="shared" ca="1" si="8"/>
        <v>0</v>
      </c>
      <c r="O81" s="223"/>
      <c r="P81" s="131">
        <f t="shared" ca="1" si="9"/>
        <v>47208</v>
      </c>
      <c r="Q81" s="111">
        <f ca="1">IF(C81="","",Q80+(E81+H81-IF(RESULTADOS!$C$17="Normal",I81,0)-J81)/2+(F81+G81-IF(RESULTADOS!$C$17="Normal",0,I81)))</f>
        <v>0</v>
      </c>
      <c r="R81" s="111">
        <f ca="1">IF(C81="","",R80+(E81+H81-IF(RESULTADOS!$C$17="Normal",I81,0)-J81)/2)</f>
        <v>0</v>
      </c>
      <c r="S81" s="111">
        <f t="shared" ca="1" si="12"/>
        <v>0</v>
      </c>
      <c r="U81" s="131" t="str">
        <f t="shared" ca="1" si="13"/>
        <v/>
      </c>
      <c r="V81" s="131" t="str">
        <f t="shared" ca="1" si="10"/>
        <v/>
      </c>
      <c r="W81" s="111">
        <f ca="1">IF(OR((W80-13/12*Z80)*(1+PREMISSAS!$C$17)&lt;0,W80=""),0,(W80-13/12*Z80)*(1+PREMISSAS!$C$17))</f>
        <v>0</v>
      </c>
      <c r="X81" s="111">
        <f ca="1">IF(OR((X80-13/12*AA80)*(1+PREMISSAS!$C$17)&lt;0,X80=""),0,(X80-13/12*AA80)*(1+PREMISSAS!$C$17))</f>
        <v>0</v>
      </c>
      <c r="Y81" s="111">
        <f t="shared" ca="1" si="11"/>
        <v>0</v>
      </c>
      <c r="Z81" s="134">
        <f t="shared" ca="1" si="14"/>
        <v>0</v>
      </c>
      <c r="AA81" s="134">
        <f t="shared" ca="1" si="15"/>
        <v>0</v>
      </c>
    </row>
    <row r="82" spans="2:27" x14ac:dyDescent="0.3">
      <c r="B82" s="21">
        <f ca="1">IF(B81="","",IF(EOMONTH(B81,1)&gt;EOMONTH(ELEGIBILIDADE!$E$5,0),"",EOMONTH(B81,1)))</f>
        <v>47238</v>
      </c>
      <c r="C82" s="22">
        <f ca="1">IF(B82="","",IF(MONTH(B82)=1,C81*(1+PREMISSAS!$C$58),C81))</f>
        <v>0</v>
      </c>
      <c r="D82" s="22">
        <f ca="1">IF(RESULTADOS!$C$17="Normal",IFERROR(MAX(C82-PREMISSAS!$C$14,0),0),IF(PREMISSAS!$H$117=0,0,MAX(10*PREMISSAS!$C$39,RESULTADOS!$F$17)))</f>
        <v>0</v>
      </c>
      <c r="E82" s="4">
        <f ca="1">D82*IF(RESULTADOS!$C$17="Normal",RESULTADOS!$C$16,0)</f>
        <v>0</v>
      </c>
      <c r="F82" s="4">
        <f ca="1">IF(D82&lt;&gt;0,PREMISSAS!$N$83,0)</f>
        <v>0</v>
      </c>
      <c r="G82" s="4">
        <f ca="1">IFERROR(IF(RESULTADOS!$C$17="Normal",0,D82)*IF(RESULTADOS!$C$17="Normal",RESULTADOS!$C$18,RESULTADOS!$C$16),0)</f>
        <v>0</v>
      </c>
      <c r="H82" s="4">
        <f ca="1">IF(RESULTADOS!$C$17="Normal",E82,0)</f>
        <v>0</v>
      </c>
      <c r="I82" s="4">
        <f ca="1">(E82+H82+G82)*IFERROR(VLOOKUP(INT(COUNT($B$5:B82)/12),PREMISSAS!$B$62:$C$69,2,FALSE),PREMISSAS!$C$69)</f>
        <v>0</v>
      </c>
      <c r="J82" s="4">
        <f ca="1">D82*IF(RESULTADOS!$C$17="Normal",PREMISSAS!$C$71,0)</f>
        <v>0</v>
      </c>
      <c r="K82" s="87">
        <f ca="1">IFERROR(K81*(1+PREMISSAS!$C$19)+(E82+H82-IF(RESULTADOS!$C$17="Normal",I82,0)-J82)*IF(MONTH(B82)=12,2,1),0)</f>
        <v>0</v>
      </c>
      <c r="L82" s="87">
        <f ca="1">IFERROR((L81+G82-IF(RESULTADOS!$C$17="Normal",0,I82))*(1+PREMISSAS!$C$19)+F82,0)</f>
        <v>0</v>
      </c>
      <c r="N82" s="58">
        <f t="shared" ca="1" si="8"/>
        <v>0</v>
      </c>
      <c r="O82" s="223"/>
      <c r="P82" s="131">
        <f t="shared" ca="1" si="9"/>
        <v>47238</v>
      </c>
      <c r="Q82" s="111">
        <f ca="1">IF(C82="","",Q81+(E82+H82-IF(RESULTADOS!$C$17="Normal",I82,0)-J82)/2+(F82+G82-IF(RESULTADOS!$C$17="Normal",0,I82)))</f>
        <v>0</v>
      </c>
      <c r="R82" s="111">
        <f ca="1">IF(C82="","",R81+(E82+H82-IF(RESULTADOS!$C$17="Normal",I82,0)-J82)/2)</f>
        <v>0</v>
      </c>
      <c r="S82" s="111">
        <f t="shared" ca="1" si="12"/>
        <v>0</v>
      </c>
      <c r="U82" s="131" t="str">
        <f t="shared" ca="1" si="13"/>
        <v/>
      </c>
      <c r="V82" s="131" t="str">
        <f t="shared" ca="1" si="10"/>
        <v/>
      </c>
      <c r="W82" s="111">
        <f ca="1">IF(OR((W81-13/12*Z81)*(1+PREMISSAS!$C$17)&lt;0,W81=""),0,(W81-13/12*Z81)*(1+PREMISSAS!$C$17))</f>
        <v>0</v>
      </c>
      <c r="X82" s="111">
        <f ca="1">IF(OR((X81-13/12*AA81)*(1+PREMISSAS!$C$17)&lt;0,X81=""),0,(X81-13/12*AA81)*(1+PREMISSAS!$C$17))</f>
        <v>0</v>
      </c>
      <c r="Y82" s="111">
        <f t="shared" ca="1" si="11"/>
        <v>0</v>
      </c>
      <c r="Z82" s="134">
        <f t="shared" ca="1" si="14"/>
        <v>0</v>
      </c>
      <c r="AA82" s="134">
        <f t="shared" ca="1" si="15"/>
        <v>0</v>
      </c>
    </row>
    <row r="83" spans="2:27" x14ac:dyDescent="0.3">
      <c r="B83" s="21">
        <f ca="1">IF(B82="","",IF(EOMONTH(B82,1)&gt;EOMONTH(ELEGIBILIDADE!$E$5,0),"",EOMONTH(B82,1)))</f>
        <v>47269</v>
      </c>
      <c r="C83" s="22">
        <f ca="1">IF(B83="","",IF(MONTH(B83)=1,C82*(1+PREMISSAS!$C$58),C82))</f>
        <v>0</v>
      </c>
      <c r="D83" s="22">
        <f ca="1">IF(RESULTADOS!$C$17="Normal",IFERROR(MAX(C83-PREMISSAS!$C$14,0),0),IF(PREMISSAS!$H$117=0,0,MAX(10*PREMISSAS!$C$39,RESULTADOS!$F$17)))</f>
        <v>0</v>
      </c>
      <c r="E83" s="4">
        <f ca="1">D83*IF(RESULTADOS!$C$17="Normal",RESULTADOS!$C$16,0)</f>
        <v>0</v>
      </c>
      <c r="F83" s="4">
        <f ca="1">IF(D83&lt;&gt;0,PREMISSAS!$N$83,0)</f>
        <v>0</v>
      </c>
      <c r="G83" s="4">
        <f ca="1">IFERROR(IF(RESULTADOS!$C$17="Normal",0,D83)*IF(RESULTADOS!$C$17="Normal",RESULTADOS!$C$18,RESULTADOS!$C$16),0)</f>
        <v>0</v>
      </c>
      <c r="H83" s="4">
        <f ca="1">IF(RESULTADOS!$C$17="Normal",E83,0)</f>
        <v>0</v>
      </c>
      <c r="I83" s="4">
        <f ca="1">(E83+H83+G83)*IFERROR(VLOOKUP(INT(COUNT($B$5:B83)/12),PREMISSAS!$B$62:$C$69,2,FALSE),PREMISSAS!$C$69)</f>
        <v>0</v>
      </c>
      <c r="J83" s="4">
        <f ca="1">D83*IF(RESULTADOS!$C$17="Normal",PREMISSAS!$C$71,0)</f>
        <v>0</v>
      </c>
      <c r="K83" s="87">
        <f ca="1">IFERROR(K82*(1+PREMISSAS!$C$19)+(E83+H83-IF(RESULTADOS!$C$17="Normal",I83,0)-J83)*IF(MONTH(B83)=12,2,1),0)</f>
        <v>0</v>
      </c>
      <c r="L83" s="87">
        <f ca="1">IFERROR((L82+G83-IF(RESULTADOS!$C$17="Normal",0,I83))*(1+PREMISSAS!$C$19)+F83,0)</f>
        <v>0</v>
      </c>
      <c r="N83" s="58">
        <f t="shared" ca="1" si="8"/>
        <v>0</v>
      </c>
      <c r="O83" s="223"/>
      <c r="P83" s="131">
        <f t="shared" ca="1" si="9"/>
        <v>47269</v>
      </c>
      <c r="Q83" s="111">
        <f ca="1">IF(C83="","",Q82+(E83+H83-IF(RESULTADOS!$C$17="Normal",I83,0)-J83)/2+(F83+G83-IF(RESULTADOS!$C$17="Normal",0,I83)))</f>
        <v>0</v>
      </c>
      <c r="R83" s="111">
        <f ca="1">IF(C83="","",R82+(E83+H83-IF(RESULTADOS!$C$17="Normal",I83,0)-J83)/2)</f>
        <v>0</v>
      </c>
      <c r="S83" s="111">
        <f t="shared" ca="1" si="12"/>
        <v>0</v>
      </c>
      <c r="U83" s="131" t="str">
        <f t="shared" ca="1" si="13"/>
        <v/>
      </c>
      <c r="V83" s="131" t="str">
        <f t="shared" ca="1" si="10"/>
        <v/>
      </c>
      <c r="W83" s="111">
        <f ca="1">IF(OR((W82-13/12*Z82)*(1+PREMISSAS!$C$17)&lt;0,W82=""),0,(W82-13/12*Z82)*(1+PREMISSAS!$C$17))</f>
        <v>0</v>
      </c>
      <c r="X83" s="111">
        <f ca="1">IF(OR((X82-13/12*AA82)*(1+PREMISSAS!$C$17)&lt;0,X82=""),0,(X82-13/12*AA82)*(1+PREMISSAS!$C$17))</f>
        <v>0</v>
      </c>
      <c r="Y83" s="111">
        <f t="shared" ca="1" si="11"/>
        <v>0</v>
      </c>
      <c r="Z83" s="134">
        <f t="shared" ca="1" si="14"/>
        <v>0</v>
      </c>
      <c r="AA83" s="134">
        <f t="shared" ca="1" si="15"/>
        <v>0</v>
      </c>
    </row>
    <row r="84" spans="2:27" x14ac:dyDescent="0.3">
      <c r="B84" s="21">
        <f ca="1">IF(B83="","",IF(EOMONTH(B83,1)&gt;EOMONTH(ELEGIBILIDADE!$E$5,0),"",EOMONTH(B83,1)))</f>
        <v>47299</v>
      </c>
      <c r="C84" s="22">
        <f ca="1">IF(B84="","",IF(MONTH(B84)=1,C83*(1+PREMISSAS!$C$58),C83))</f>
        <v>0</v>
      </c>
      <c r="D84" s="22">
        <f ca="1">IF(RESULTADOS!$C$17="Normal",IFERROR(MAX(C84-PREMISSAS!$C$14,0),0),IF(PREMISSAS!$H$117=0,0,MAX(10*PREMISSAS!$C$39,RESULTADOS!$F$17)))</f>
        <v>0</v>
      </c>
      <c r="E84" s="4">
        <f ca="1">D84*IF(RESULTADOS!$C$17="Normal",RESULTADOS!$C$16,0)</f>
        <v>0</v>
      </c>
      <c r="F84" s="4">
        <f ca="1">IF(D84&lt;&gt;0,PREMISSAS!$N$83,0)</f>
        <v>0</v>
      </c>
      <c r="G84" s="4">
        <f ca="1">IFERROR(IF(RESULTADOS!$C$17="Normal",0,D84)*IF(RESULTADOS!$C$17="Normal",RESULTADOS!$C$18,RESULTADOS!$C$16),0)</f>
        <v>0</v>
      </c>
      <c r="H84" s="4">
        <f ca="1">IF(RESULTADOS!$C$17="Normal",E84,0)</f>
        <v>0</v>
      </c>
      <c r="I84" s="4">
        <f ca="1">(E84+H84+G84)*IFERROR(VLOOKUP(INT(COUNT($B$5:B84)/12),PREMISSAS!$B$62:$C$69,2,FALSE),PREMISSAS!$C$69)</f>
        <v>0</v>
      </c>
      <c r="J84" s="4">
        <f ca="1">D84*IF(RESULTADOS!$C$17="Normal",PREMISSAS!$C$71,0)</f>
        <v>0</v>
      </c>
      <c r="K84" s="87">
        <f ca="1">IFERROR(K83*(1+PREMISSAS!$C$19)+(E84+H84-IF(RESULTADOS!$C$17="Normal",I84,0)-J84)*IF(MONTH(B84)=12,2,1),0)</f>
        <v>0</v>
      </c>
      <c r="L84" s="87">
        <f ca="1">IFERROR((L83+G84-IF(RESULTADOS!$C$17="Normal",0,I84))*(1+PREMISSAS!$C$19)+F84,0)</f>
        <v>0</v>
      </c>
      <c r="N84" s="58">
        <f t="shared" ca="1" si="8"/>
        <v>0</v>
      </c>
      <c r="O84" s="223"/>
      <c r="P84" s="131">
        <f t="shared" ca="1" si="9"/>
        <v>47299</v>
      </c>
      <c r="Q84" s="111">
        <f ca="1">IF(C84="","",Q83+(E84+H84-IF(RESULTADOS!$C$17="Normal",I84,0)-J84)/2+(F84+G84-IF(RESULTADOS!$C$17="Normal",0,I84)))</f>
        <v>0</v>
      </c>
      <c r="R84" s="111">
        <f ca="1">IF(C84="","",R83+(E84+H84-IF(RESULTADOS!$C$17="Normal",I84,0)-J84)/2)</f>
        <v>0</v>
      </c>
      <c r="S84" s="111">
        <f t="shared" ca="1" si="12"/>
        <v>0</v>
      </c>
      <c r="U84" s="131" t="str">
        <f t="shared" ca="1" si="13"/>
        <v/>
      </c>
      <c r="V84" s="131" t="str">
        <f t="shared" ca="1" si="10"/>
        <v/>
      </c>
      <c r="W84" s="111">
        <f ca="1">IF(OR((W83-13/12*Z83)*(1+PREMISSAS!$C$17)&lt;0,W83=""),0,(W83-13/12*Z83)*(1+PREMISSAS!$C$17))</f>
        <v>0</v>
      </c>
      <c r="X84" s="111">
        <f ca="1">IF(OR((X83-13/12*AA83)*(1+PREMISSAS!$C$17)&lt;0,X83=""),0,(X83-13/12*AA83)*(1+PREMISSAS!$C$17))</f>
        <v>0</v>
      </c>
      <c r="Y84" s="111">
        <f t="shared" ca="1" si="11"/>
        <v>0</v>
      </c>
      <c r="Z84" s="134">
        <f t="shared" ca="1" si="14"/>
        <v>0</v>
      </c>
      <c r="AA84" s="134">
        <f t="shared" ca="1" si="15"/>
        <v>0</v>
      </c>
    </row>
    <row r="85" spans="2:27" x14ac:dyDescent="0.3">
      <c r="B85" s="21">
        <f ca="1">IF(B84="","",IF(EOMONTH(B84,1)&gt;EOMONTH(ELEGIBILIDADE!$E$5,0),"",EOMONTH(B84,1)))</f>
        <v>47330</v>
      </c>
      <c r="C85" s="22">
        <f ca="1">IF(B85="","",IF(MONTH(B85)=1,C84*(1+PREMISSAS!$C$58),C84))</f>
        <v>0</v>
      </c>
      <c r="D85" s="22">
        <f ca="1">IF(RESULTADOS!$C$17="Normal",IFERROR(MAX(C85-PREMISSAS!$C$14,0),0),IF(PREMISSAS!$H$117=0,0,MAX(10*PREMISSAS!$C$39,RESULTADOS!$F$17)))</f>
        <v>0</v>
      </c>
      <c r="E85" s="4">
        <f ca="1">D85*IF(RESULTADOS!$C$17="Normal",RESULTADOS!$C$16,0)</f>
        <v>0</v>
      </c>
      <c r="F85" s="4">
        <f ca="1">IF(D85&lt;&gt;0,PREMISSAS!$N$83,0)</f>
        <v>0</v>
      </c>
      <c r="G85" s="4">
        <f ca="1">IFERROR(IF(RESULTADOS!$C$17="Normal",0,D85)*IF(RESULTADOS!$C$17="Normal",RESULTADOS!$C$18,RESULTADOS!$C$16),0)</f>
        <v>0</v>
      </c>
      <c r="H85" s="4">
        <f ca="1">IF(RESULTADOS!$C$17="Normal",E85,0)</f>
        <v>0</v>
      </c>
      <c r="I85" s="4">
        <f ca="1">(E85+H85+G85)*IFERROR(VLOOKUP(INT(COUNT($B$5:B85)/12),PREMISSAS!$B$62:$C$69,2,FALSE),PREMISSAS!$C$69)</f>
        <v>0</v>
      </c>
      <c r="J85" s="4">
        <f ca="1">D85*IF(RESULTADOS!$C$17="Normal",PREMISSAS!$C$71,0)</f>
        <v>0</v>
      </c>
      <c r="K85" s="87">
        <f ca="1">IFERROR(K84*(1+PREMISSAS!$C$19)+(E85+H85-IF(RESULTADOS!$C$17="Normal",I85,0)-J85)*IF(MONTH(B85)=12,2,1),0)</f>
        <v>0</v>
      </c>
      <c r="L85" s="87">
        <f ca="1">IFERROR((L84+G85-IF(RESULTADOS!$C$17="Normal",0,I85))*(1+PREMISSAS!$C$19)+F85,0)</f>
        <v>0</v>
      </c>
      <c r="N85" s="58">
        <f t="shared" ca="1" si="8"/>
        <v>0</v>
      </c>
      <c r="O85" s="223"/>
      <c r="P85" s="131">
        <f t="shared" ca="1" si="9"/>
        <v>47330</v>
      </c>
      <c r="Q85" s="111">
        <f ca="1">IF(C85="","",Q84+(E85+H85-IF(RESULTADOS!$C$17="Normal",I85,0)-J85)/2+(F85+G85-IF(RESULTADOS!$C$17="Normal",0,I85)))</f>
        <v>0</v>
      </c>
      <c r="R85" s="111">
        <f ca="1">IF(C85="","",R84+(E85+H85-IF(RESULTADOS!$C$17="Normal",I85,0)-J85)/2)</f>
        <v>0</v>
      </c>
      <c r="S85" s="111">
        <f t="shared" ca="1" si="12"/>
        <v>0</v>
      </c>
      <c r="U85" s="131" t="str">
        <f t="shared" ca="1" si="13"/>
        <v/>
      </c>
      <c r="V85" s="131" t="str">
        <f t="shared" ca="1" si="10"/>
        <v/>
      </c>
      <c r="W85" s="111">
        <f ca="1">IF(OR((W84-13/12*Z84)*(1+PREMISSAS!$C$17)&lt;0,W84=""),0,(W84-13/12*Z84)*(1+PREMISSAS!$C$17))</f>
        <v>0</v>
      </c>
      <c r="X85" s="111">
        <f ca="1">IF(OR((X84-13/12*AA84)*(1+PREMISSAS!$C$17)&lt;0,X84=""),0,(X84-13/12*AA84)*(1+PREMISSAS!$C$17))</f>
        <v>0</v>
      </c>
      <c r="Y85" s="111">
        <f t="shared" ca="1" si="11"/>
        <v>0</v>
      </c>
      <c r="Z85" s="134">
        <f t="shared" ca="1" si="14"/>
        <v>0</v>
      </c>
      <c r="AA85" s="134">
        <f t="shared" ca="1" si="15"/>
        <v>0</v>
      </c>
    </row>
    <row r="86" spans="2:27" x14ac:dyDescent="0.3">
      <c r="B86" s="21">
        <f ca="1">IF(B85="","",IF(EOMONTH(B85,1)&gt;EOMONTH(ELEGIBILIDADE!$E$5,0),"",EOMONTH(B85,1)))</f>
        <v>47361</v>
      </c>
      <c r="C86" s="22">
        <f ca="1">IF(B86="","",IF(MONTH(B86)=1,C85*(1+PREMISSAS!$C$58),C85))</f>
        <v>0</v>
      </c>
      <c r="D86" s="22">
        <f ca="1">IF(RESULTADOS!$C$17="Normal",IFERROR(MAX(C86-PREMISSAS!$C$14,0),0),IF(PREMISSAS!$H$117=0,0,MAX(10*PREMISSAS!$C$39,RESULTADOS!$F$17)))</f>
        <v>0</v>
      </c>
      <c r="E86" s="4">
        <f ca="1">D86*IF(RESULTADOS!$C$17="Normal",RESULTADOS!$C$16,0)</f>
        <v>0</v>
      </c>
      <c r="F86" s="4">
        <f ca="1">IF(D86&lt;&gt;0,PREMISSAS!$N$83,0)</f>
        <v>0</v>
      </c>
      <c r="G86" s="4">
        <f ca="1">IFERROR(IF(RESULTADOS!$C$17="Normal",0,D86)*IF(RESULTADOS!$C$17="Normal",RESULTADOS!$C$18,RESULTADOS!$C$16),0)</f>
        <v>0</v>
      </c>
      <c r="H86" s="4">
        <f ca="1">IF(RESULTADOS!$C$17="Normal",E86,0)</f>
        <v>0</v>
      </c>
      <c r="I86" s="4">
        <f ca="1">(E86+H86+G86)*IFERROR(VLOOKUP(INT(COUNT($B$5:B86)/12),PREMISSAS!$B$62:$C$69,2,FALSE),PREMISSAS!$C$69)</f>
        <v>0</v>
      </c>
      <c r="J86" s="4">
        <f ca="1">D86*IF(RESULTADOS!$C$17="Normal",PREMISSAS!$C$71,0)</f>
        <v>0</v>
      </c>
      <c r="K86" s="87">
        <f ca="1">IFERROR(K85*(1+PREMISSAS!$C$19)+(E86+H86-IF(RESULTADOS!$C$17="Normal",I86,0)-J86)*IF(MONTH(B86)=12,2,1),0)</f>
        <v>0</v>
      </c>
      <c r="L86" s="87">
        <f ca="1">IFERROR((L85+G86-IF(RESULTADOS!$C$17="Normal",0,I86))*(1+PREMISSAS!$C$19)+F86,0)</f>
        <v>0</v>
      </c>
      <c r="N86" s="58">
        <f t="shared" ca="1" si="8"/>
        <v>0</v>
      </c>
      <c r="O86" s="223"/>
      <c r="P86" s="131">
        <f t="shared" ca="1" si="9"/>
        <v>47361</v>
      </c>
      <c r="Q86" s="111">
        <f ca="1">IF(C86="","",Q85+(E86+H86-IF(RESULTADOS!$C$17="Normal",I86,0)-J86)/2+(F86+G86-IF(RESULTADOS!$C$17="Normal",0,I86)))</f>
        <v>0</v>
      </c>
      <c r="R86" s="111">
        <f ca="1">IF(C86="","",R85+(E86+H86-IF(RESULTADOS!$C$17="Normal",I86,0)-J86)/2)</f>
        <v>0</v>
      </c>
      <c r="S86" s="111">
        <f t="shared" ca="1" si="12"/>
        <v>0</v>
      </c>
      <c r="U86" s="131" t="str">
        <f t="shared" ca="1" si="13"/>
        <v/>
      </c>
      <c r="V86" s="131" t="str">
        <f t="shared" ca="1" si="10"/>
        <v/>
      </c>
      <c r="W86" s="111">
        <f ca="1">IF(OR((W85-13/12*Z85)*(1+PREMISSAS!$C$17)&lt;0,W85=""),0,(W85-13/12*Z85)*(1+PREMISSAS!$C$17))</f>
        <v>0</v>
      </c>
      <c r="X86" s="111">
        <f ca="1">IF(OR((X85-13/12*AA85)*(1+PREMISSAS!$C$17)&lt;0,X85=""),0,(X85-13/12*AA85)*(1+PREMISSAS!$C$17))</f>
        <v>0</v>
      </c>
      <c r="Y86" s="111">
        <f t="shared" ca="1" si="11"/>
        <v>0</v>
      </c>
      <c r="Z86" s="134">
        <f t="shared" ca="1" si="14"/>
        <v>0</v>
      </c>
      <c r="AA86" s="134">
        <f t="shared" ca="1" si="15"/>
        <v>0</v>
      </c>
    </row>
    <row r="87" spans="2:27" x14ac:dyDescent="0.3">
      <c r="B87" s="21">
        <f ca="1">IF(B86="","",IF(EOMONTH(B86,1)&gt;EOMONTH(ELEGIBILIDADE!$E$5,0),"",EOMONTH(B86,1)))</f>
        <v>47391</v>
      </c>
      <c r="C87" s="22">
        <f ca="1">IF(B87="","",IF(MONTH(B87)=1,C86*(1+PREMISSAS!$C$58),C86))</f>
        <v>0</v>
      </c>
      <c r="D87" s="22">
        <f ca="1">IF(RESULTADOS!$C$17="Normal",IFERROR(MAX(C87-PREMISSAS!$C$14,0),0),IF(PREMISSAS!$H$117=0,0,MAX(10*PREMISSAS!$C$39,RESULTADOS!$F$17)))</f>
        <v>0</v>
      </c>
      <c r="E87" s="4">
        <f ca="1">D87*IF(RESULTADOS!$C$17="Normal",RESULTADOS!$C$16,0)</f>
        <v>0</v>
      </c>
      <c r="F87" s="4">
        <f ca="1">IF(D87&lt;&gt;0,PREMISSAS!$N$83,0)</f>
        <v>0</v>
      </c>
      <c r="G87" s="4">
        <f ca="1">IFERROR(IF(RESULTADOS!$C$17="Normal",0,D87)*IF(RESULTADOS!$C$17="Normal",RESULTADOS!$C$18,RESULTADOS!$C$16),0)</f>
        <v>0</v>
      </c>
      <c r="H87" s="4">
        <f ca="1">IF(RESULTADOS!$C$17="Normal",E87,0)</f>
        <v>0</v>
      </c>
      <c r="I87" s="4">
        <f ca="1">(E87+H87+G87)*IFERROR(VLOOKUP(INT(COUNT($B$5:B87)/12),PREMISSAS!$B$62:$C$69,2,FALSE),PREMISSAS!$C$69)</f>
        <v>0</v>
      </c>
      <c r="J87" s="4">
        <f ca="1">D87*IF(RESULTADOS!$C$17="Normal",PREMISSAS!$C$71,0)</f>
        <v>0</v>
      </c>
      <c r="K87" s="87">
        <f ca="1">IFERROR(K86*(1+PREMISSAS!$C$19)+(E87+H87-IF(RESULTADOS!$C$17="Normal",I87,0)-J87)*IF(MONTH(B87)=12,2,1),0)</f>
        <v>0</v>
      </c>
      <c r="L87" s="87">
        <f ca="1">IFERROR((L86+G87-IF(RESULTADOS!$C$17="Normal",0,I87))*(1+PREMISSAS!$C$19)+F87,0)</f>
        <v>0</v>
      </c>
      <c r="N87" s="58">
        <f t="shared" ca="1" si="8"/>
        <v>0</v>
      </c>
      <c r="O87" s="223"/>
      <c r="P87" s="131">
        <f t="shared" ca="1" si="9"/>
        <v>47391</v>
      </c>
      <c r="Q87" s="111">
        <f ca="1">IF(C87="","",Q86+(E87+H87-IF(RESULTADOS!$C$17="Normal",I87,0)-J87)/2+(F87+G87-IF(RESULTADOS!$C$17="Normal",0,I87)))</f>
        <v>0</v>
      </c>
      <c r="R87" s="111">
        <f ca="1">IF(C87="","",R86+(E87+H87-IF(RESULTADOS!$C$17="Normal",I87,0)-J87)/2)</f>
        <v>0</v>
      </c>
      <c r="S87" s="111">
        <f t="shared" ca="1" si="12"/>
        <v>0</v>
      </c>
      <c r="U87" s="131" t="str">
        <f t="shared" ca="1" si="13"/>
        <v/>
      </c>
      <c r="V87" s="131" t="str">
        <f t="shared" ca="1" si="10"/>
        <v/>
      </c>
      <c r="W87" s="111">
        <f ca="1">IF(OR((W86-13/12*Z86)*(1+PREMISSAS!$C$17)&lt;0,W86=""),0,(W86-13/12*Z86)*(1+PREMISSAS!$C$17))</f>
        <v>0</v>
      </c>
      <c r="X87" s="111">
        <f ca="1">IF(OR((X86-13/12*AA86)*(1+PREMISSAS!$C$17)&lt;0,X86=""),0,(X86-13/12*AA86)*(1+PREMISSAS!$C$17))</f>
        <v>0</v>
      </c>
      <c r="Y87" s="111">
        <f t="shared" ca="1" si="11"/>
        <v>0</v>
      </c>
      <c r="Z87" s="134">
        <f t="shared" ca="1" si="14"/>
        <v>0</v>
      </c>
      <c r="AA87" s="134">
        <f t="shared" ca="1" si="15"/>
        <v>0</v>
      </c>
    </row>
    <row r="88" spans="2:27" x14ac:dyDescent="0.3">
      <c r="B88" s="21">
        <f ca="1">IF(B87="","",IF(EOMONTH(B87,1)&gt;EOMONTH(ELEGIBILIDADE!$E$5,0),"",EOMONTH(B87,1)))</f>
        <v>47422</v>
      </c>
      <c r="C88" s="22">
        <f ca="1">IF(B88="","",IF(MONTH(B88)=1,C87*(1+PREMISSAS!$C$58),C87))</f>
        <v>0</v>
      </c>
      <c r="D88" s="22">
        <f ca="1">IF(RESULTADOS!$C$17="Normal",IFERROR(MAX(C88-PREMISSAS!$C$14,0),0),IF(PREMISSAS!$H$117=0,0,MAX(10*PREMISSAS!$C$39,RESULTADOS!$F$17)))</f>
        <v>0</v>
      </c>
      <c r="E88" s="4">
        <f ca="1">D88*IF(RESULTADOS!$C$17="Normal",RESULTADOS!$C$16,0)</f>
        <v>0</v>
      </c>
      <c r="F88" s="4">
        <f ca="1">IF(D88&lt;&gt;0,PREMISSAS!$N$83,0)</f>
        <v>0</v>
      </c>
      <c r="G88" s="4">
        <f ca="1">IFERROR(IF(RESULTADOS!$C$17="Normal",0,D88)*IF(RESULTADOS!$C$17="Normal",RESULTADOS!$C$18,RESULTADOS!$C$16),0)</f>
        <v>0</v>
      </c>
      <c r="H88" s="4">
        <f ca="1">IF(RESULTADOS!$C$17="Normal",E88,0)</f>
        <v>0</v>
      </c>
      <c r="I88" s="4">
        <f ca="1">(E88+H88+G88)*IFERROR(VLOOKUP(INT(COUNT($B$5:B88)/12),PREMISSAS!$B$62:$C$69,2,FALSE),PREMISSAS!$C$69)</f>
        <v>0</v>
      </c>
      <c r="J88" s="4">
        <f ca="1">D88*IF(RESULTADOS!$C$17="Normal",PREMISSAS!$C$71,0)</f>
        <v>0</v>
      </c>
      <c r="K88" s="87">
        <f ca="1">IFERROR(K87*(1+PREMISSAS!$C$19)+(E88+H88-IF(RESULTADOS!$C$17="Normal",I88,0)-J88)*IF(MONTH(B88)=12,2,1),0)</f>
        <v>0</v>
      </c>
      <c r="L88" s="87">
        <f ca="1">IFERROR((L87+G88-IF(RESULTADOS!$C$17="Normal",0,I88))*(1+PREMISSAS!$C$19)+F88,0)</f>
        <v>0</v>
      </c>
      <c r="N88" s="58">
        <f t="shared" ca="1" si="8"/>
        <v>0</v>
      </c>
      <c r="O88" s="223"/>
      <c r="P88" s="131">
        <f t="shared" ca="1" si="9"/>
        <v>47422</v>
      </c>
      <c r="Q88" s="111">
        <f ca="1">IF(C88="","",Q87+(E88+H88-IF(RESULTADOS!$C$17="Normal",I88,0)-J88)/2+(F88+G88-IF(RESULTADOS!$C$17="Normal",0,I88)))</f>
        <v>0</v>
      </c>
      <c r="R88" s="111">
        <f ca="1">IF(C88="","",R87+(E88+H88-IF(RESULTADOS!$C$17="Normal",I88,0)-J88)/2)</f>
        <v>0</v>
      </c>
      <c r="S88" s="111">
        <f t="shared" ca="1" si="12"/>
        <v>0</v>
      </c>
      <c r="U88" s="131" t="str">
        <f t="shared" ca="1" si="13"/>
        <v/>
      </c>
      <c r="V88" s="131" t="str">
        <f t="shared" ca="1" si="10"/>
        <v/>
      </c>
      <c r="W88" s="111">
        <f ca="1">IF(OR((W87-13/12*Z87)*(1+PREMISSAS!$C$17)&lt;0,W87=""),0,(W87-13/12*Z87)*(1+PREMISSAS!$C$17))</f>
        <v>0</v>
      </c>
      <c r="X88" s="111">
        <f ca="1">IF(OR((X87-13/12*AA87)*(1+PREMISSAS!$C$17)&lt;0,X87=""),0,(X87-13/12*AA87)*(1+PREMISSAS!$C$17))</f>
        <v>0</v>
      </c>
      <c r="Y88" s="111">
        <f t="shared" ca="1" si="11"/>
        <v>0</v>
      </c>
      <c r="Z88" s="134">
        <f t="shared" ca="1" si="14"/>
        <v>0</v>
      </c>
      <c r="AA88" s="134">
        <f t="shared" ca="1" si="15"/>
        <v>0</v>
      </c>
    </row>
    <row r="89" spans="2:27" x14ac:dyDescent="0.3">
      <c r="B89" s="21">
        <f ca="1">IF(B88="","",IF(EOMONTH(B88,1)&gt;EOMONTH(ELEGIBILIDADE!$E$5,0),"",EOMONTH(B88,1)))</f>
        <v>47452</v>
      </c>
      <c r="C89" s="22">
        <f ca="1">IF(B89="","",IF(MONTH(B89)=1,C88*(1+PREMISSAS!$C$58),C88))</f>
        <v>0</v>
      </c>
      <c r="D89" s="22">
        <f ca="1">IF(RESULTADOS!$C$17="Normal",IFERROR(MAX(C89-PREMISSAS!$C$14,0),0),IF(PREMISSAS!$H$117=0,0,MAX(10*PREMISSAS!$C$39,RESULTADOS!$F$17)))</f>
        <v>0</v>
      </c>
      <c r="E89" s="4">
        <f ca="1">D89*IF(RESULTADOS!$C$17="Normal",RESULTADOS!$C$16,0)</f>
        <v>0</v>
      </c>
      <c r="F89" s="4">
        <f ca="1">IF(D89&lt;&gt;0,PREMISSAS!$N$83,0)</f>
        <v>0</v>
      </c>
      <c r="G89" s="4">
        <f ca="1">IFERROR(IF(RESULTADOS!$C$17="Normal",0,D89)*IF(RESULTADOS!$C$17="Normal",RESULTADOS!$C$18,RESULTADOS!$C$16),0)</f>
        <v>0</v>
      </c>
      <c r="H89" s="4">
        <f ca="1">IF(RESULTADOS!$C$17="Normal",E89,0)</f>
        <v>0</v>
      </c>
      <c r="I89" s="4">
        <f ca="1">(E89+H89+G89)*IFERROR(VLOOKUP(INT(COUNT($B$5:B89)/12),PREMISSAS!$B$62:$C$69,2,FALSE),PREMISSAS!$C$69)</f>
        <v>0</v>
      </c>
      <c r="J89" s="4">
        <f ca="1">D89*IF(RESULTADOS!$C$17="Normal",PREMISSAS!$C$71,0)</f>
        <v>0</v>
      </c>
      <c r="K89" s="87">
        <f ca="1">IFERROR(K88*(1+PREMISSAS!$C$19)+(E89+H89-IF(RESULTADOS!$C$17="Normal",I89,0)-J89)*IF(MONTH(B89)=12,2,1),0)</f>
        <v>0</v>
      </c>
      <c r="L89" s="87">
        <f ca="1">IFERROR((L88+G89-IF(RESULTADOS!$C$17="Normal",0,I89))*(1+PREMISSAS!$C$19)+F89,0)</f>
        <v>0</v>
      </c>
      <c r="N89" s="58">
        <f t="shared" ca="1" si="8"/>
        <v>0</v>
      </c>
      <c r="O89" s="223"/>
      <c r="P89" s="131">
        <f t="shared" ca="1" si="9"/>
        <v>47452</v>
      </c>
      <c r="Q89" s="111">
        <f ca="1">IF(C89="","",Q88+(E89+H89-IF(RESULTADOS!$C$17="Normal",I89,0)-J89)/2+(F89+G89-IF(RESULTADOS!$C$17="Normal",0,I89)))</f>
        <v>0</v>
      </c>
      <c r="R89" s="111">
        <f ca="1">IF(C89="","",R88+(E89+H89-IF(RESULTADOS!$C$17="Normal",I89,0)-J89)/2)</f>
        <v>0</v>
      </c>
      <c r="S89" s="111">
        <f t="shared" ca="1" si="12"/>
        <v>0</v>
      </c>
      <c r="U89" s="131" t="str">
        <f t="shared" ca="1" si="13"/>
        <v/>
      </c>
      <c r="V89" s="131" t="str">
        <f t="shared" ca="1" si="10"/>
        <v/>
      </c>
      <c r="W89" s="111">
        <f ca="1">IF(OR((W88-13/12*Z88)*(1+PREMISSAS!$C$17)&lt;0,W88=""),0,(W88-13/12*Z88)*(1+PREMISSAS!$C$17))</f>
        <v>0</v>
      </c>
      <c r="X89" s="111">
        <f ca="1">IF(OR((X88-13/12*AA88)*(1+PREMISSAS!$C$17)&lt;0,X88=""),0,(X88-13/12*AA88)*(1+PREMISSAS!$C$17))</f>
        <v>0</v>
      </c>
      <c r="Y89" s="111">
        <f t="shared" ca="1" si="11"/>
        <v>0</v>
      </c>
      <c r="Z89" s="134">
        <f t="shared" ca="1" si="14"/>
        <v>0</v>
      </c>
      <c r="AA89" s="134">
        <f t="shared" ca="1" si="15"/>
        <v>0</v>
      </c>
    </row>
    <row r="90" spans="2:27" x14ac:dyDescent="0.3">
      <c r="B90" s="21">
        <f ca="1">IF(B89="","",IF(EOMONTH(B89,1)&gt;EOMONTH(ELEGIBILIDADE!$E$5,0),"",EOMONTH(B89,1)))</f>
        <v>47483</v>
      </c>
      <c r="C90" s="22">
        <f ca="1">IF(B90="","",IF(MONTH(B90)=1,C89*(1+PREMISSAS!$C$58),C89))</f>
        <v>0</v>
      </c>
      <c r="D90" s="22">
        <f ca="1">IF(RESULTADOS!$C$17="Normal",IFERROR(MAX(C90-PREMISSAS!$C$14,0),0),IF(PREMISSAS!$H$117=0,0,MAX(10*PREMISSAS!$C$39,RESULTADOS!$F$17)))</f>
        <v>0</v>
      </c>
      <c r="E90" s="4">
        <f ca="1">D90*IF(RESULTADOS!$C$17="Normal",RESULTADOS!$C$16,0)</f>
        <v>0</v>
      </c>
      <c r="F90" s="4">
        <f ca="1">IF(D90&lt;&gt;0,PREMISSAS!$N$83,0)</f>
        <v>0</v>
      </c>
      <c r="G90" s="4">
        <f ca="1">IFERROR(IF(RESULTADOS!$C$17="Normal",0,D90)*IF(RESULTADOS!$C$17="Normal",RESULTADOS!$C$18,RESULTADOS!$C$16),0)</f>
        <v>0</v>
      </c>
      <c r="H90" s="4">
        <f ca="1">IF(RESULTADOS!$C$17="Normal",E90,0)</f>
        <v>0</v>
      </c>
      <c r="I90" s="4">
        <f ca="1">(E90+H90+G90)*IFERROR(VLOOKUP(INT(COUNT($B$5:B90)/12),PREMISSAS!$B$62:$C$69,2,FALSE),PREMISSAS!$C$69)</f>
        <v>0</v>
      </c>
      <c r="J90" s="4">
        <f ca="1">D90*IF(RESULTADOS!$C$17="Normal",PREMISSAS!$C$71,0)</f>
        <v>0</v>
      </c>
      <c r="K90" s="87">
        <f ca="1">IFERROR(K89*(1+PREMISSAS!$C$19)+(E90+H90-IF(RESULTADOS!$C$17="Normal",I90,0)-J90)*IF(MONTH(B90)=12,2,1),0)</f>
        <v>0</v>
      </c>
      <c r="L90" s="87">
        <f ca="1">IFERROR((L89+G90-IF(RESULTADOS!$C$17="Normal",0,I90))*(1+PREMISSAS!$C$19)+F90,0)</f>
        <v>0</v>
      </c>
      <c r="N90" s="58">
        <f t="shared" ca="1" si="8"/>
        <v>0</v>
      </c>
      <c r="O90" s="223"/>
      <c r="P90" s="131">
        <f t="shared" ca="1" si="9"/>
        <v>47483</v>
      </c>
      <c r="Q90" s="111">
        <f ca="1">IF(C90="","",Q89+(E90+H90-IF(RESULTADOS!$C$17="Normal",I90,0)-J90)/2+(F90+G90-IF(RESULTADOS!$C$17="Normal",0,I90)))</f>
        <v>0</v>
      </c>
      <c r="R90" s="111">
        <f ca="1">IF(C90="","",R89+(E90+H90-IF(RESULTADOS!$C$17="Normal",I90,0)-J90)/2)</f>
        <v>0</v>
      </c>
      <c r="S90" s="111">
        <f t="shared" ca="1" si="12"/>
        <v>0</v>
      </c>
      <c r="U90" s="131" t="str">
        <f t="shared" ca="1" si="13"/>
        <v/>
      </c>
      <c r="V90" s="131" t="str">
        <f t="shared" ca="1" si="10"/>
        <v/>
      </c>
      <c r="W90" s="111">
        <f ca="1">IF(OR((W89-13/12*Z89)*(1+PREMISSAS!$C$17)&lt;0,W89=""),0,(W89-13/12*Z89)*(1+PREMISSAS!$C$17))</f>
        <v>0</v>
      </c>
      <c r="X90" s="111">
        <f ca="1">IF(OR((X89-13/12*AA89)*(1+PREMISSAS!$C$17)&lt;0,X89=""),0,(X89-13/12*AA89)*(1+PREMISSAS!$C$17))</f>
        <v>0</v>
      </c>
      <c r="Y90" s="111">
        <f t="shared" ca="1" si="11"/>
        <v>0</v>
      </c>
      <c r="Z90" s="134">
        <f t="shared" ca="1" si="14"/>
        <v>0</v>
      </c>
      <c r="AA90" s="134">
        <f t="shared" ca="1" si="15"/>
        <v>0</v>
      </c>
    </row>
    <row r="91" spans="2:27" x14ac:dyDescent="0.3">
      <c r="B91" s="21">
        <f ca="1">IF(B90="","",IF(EOMONTH(B90,1)&gt;EOMONTH(ELEGIBILIDADE!$E$5,0),"",EOMONTH(B90,1)))</f>
        <v>47514</v>
      </c>
      <c r="C91" s="22">
        <f ca="1">IF(B91="","",IF(MONTH(B91)=1,C90*(1+PREMISSAS!$C$58),C90))</f>
        <v>0</v>
      </c>
      <c r="D91" s="22">
        <f ca="1">IF(RESULTADOS!$C$17="Normal",IFERROR(MAX(C91-PREMISSAS!$C$14,0),0),IF(PREMISSAS!$H$117=0,0,MAX(10*PREMISSAS!$C$39,RESULTADOS!$F$17)))</f>
        <v>0</v>
      </c>
      <c r="E91" s="4">
        <f ca="1">D91*IF(RESULTADOS!$C$17="Normal",RESULTADOS!$C$16,0)</f>
        <v>0</v>
      </c>
      <c r="F91" s="4">
        <f ca="1">IF(D91&lt;&gt;0,PREMISSAS!$N$83,0)</f>
        <v>0</v>
      </c>
      <c r="G91" s="4">
        <f ca="1">IFERROR(IF(RESULTADOS!$C$17="Normal",0,D91)*IF(RESULTADOS!$C$17="Normal",RESULTADOS!$C$18,RESULTADOS!$C$16),0)</f>
        <v>0</v>
      </c>
      <c r="H91" s="4">
        <f ca="1">IF(RESULTADOS!$C$17="Normal",E91,0)</f>
        <v>0</v>
      </c>
      <c r="I91" s="4">
        <f ca="1">(E91+H91+G91)*IFERROR(VLOOKUP(INT(COUNT($B$5:B91)/12),PREMISSAS!$B$62:$C$69,2,FALSE),PREMISSAS!$C$69)</f>
        <v>0</v>
      </c>
      <c r="J91" s="4">
        <f ca="1">D91*IF(RESULTADOS!$C$17="Normal",PREMISSAS!$C$71,0)</f>
        <v>0</v>
      </c>
      <c r="K91" s="87">
        <f ca="1">IFERROR(K90*(1+PREMISSAS!$C$19)+(E91+H91-IF(RESULTADOS!$C$17="Normal",I91,0)-J91)*IF(MONTH(B91)=12,2,1),0)</f>
        <v>0</v>
      </c>
      <c r="L91" s="87">
        <f ca="1">IFERROR((L90+G91-IF(RESULTADOS!$C$17="Normal",0,I91))*(1+PREMISSAS!$C$19)+F91,0)</f>
        <v>0</v>
      </c>
      <c r="N91" s="58">
        <f t="shared" ca="1" si="8"/>
        <v>0</v>
      </c>
      <c r="O91" s="223"/>
      <c r="P91" s="131">
        <f t="shared" ca="1" si="9"/>
        <v>47514</v>
      </c>
      <c r="Q91" s="111">
        <f ca="1">IF(C91="","",Q90+(E91+H91-IF(RESULTADOS!$C$17="Normal",I91,0)-J91)/2+(F91+G91-IF(RESULTADOS!$C$17="Normal",0,I91)))</f>
        <v>0</v>
      </c>
      <c r="R91" s="111">
        <f ca="1">IF(C91="","",R90+(E91+H91-IF(RESULTADOS!$C$17="Normal",I91,0)-J91)/2)</f>
        <v>0</v>
      </c>
      <c r="S91" s="111">
        <f t="shared" ca="1" si="12"/>
        <v>0</v>
      </c>
      <c r="U91" s="131" t="str">
        <f t="shared" ca="1" si="13"/>
        <v/>
      </c>
      <c r="V91" s="131" t="str">
        <f t="shared" ca="1" si="10"/>
        <v/>
      </c>
      <c r="W91" s="111">
        <f ca="1">IF(OR((W90-13/12*Z90)*(1+PREMISSAS!$C$17)&lt;0,W90=""),0,(W90-13/12*Z90)*(1+PREMISSAS!$C$17))</f>
        <v>0</v>
      </c>
      <c r="X91" s="111">
        <f ca="1">IF(OR((X90-13/12*AA90)*(1+PREMISSAS!$C$17)&lt;0,X90=""),0,(X90-13/12*AA90)*(1+PREMISSAS!$C$17))</f>
        <v>0</v>
      </c>
      <c r="Y91" s="111">
        <f t="shared" ca="1" si="11"/>
        <v>0</v>
      </c>
      <c r="Z91" s="134">
        <f t="shared" ca="1" si="14"/>
        <v>0</v>
      </c>
      <c r="AA91" s="134">
        <f t="shared" ca="1" si="15"/>
        <v>0</v>
      </c>
    </row>
    <row r="92" spans="2:27" x14ac:dyDescent="0.3">
      <c r="B92" s="21">
        <f ca="1">IF(B91="","",IF(EOMONTH(B91,1)&gt;EOMONTH(ELEGIBILIDADE!$E$5,0),"",EOMONTH(B91,1)))</f>
        <v>47542</v>
      </c>
      <c r="C92" s="22">
        <f ca="1">IF(B92="","",IF(MONTH(B92)=1,C91*(1+PREMISSAS!$C$58),C91))</f>
        <v>0</v>
      </c>
      <c r="D92" s="22">
        <f ca="1">IF(RESULTADOS!$C$17="Normal",IFERROR(MAX(C92-PREMISSAS!$C$14,0),0),IF(PREMISSAS!$H$117=0,0,MAX(10*PREMISSAS!$C$39,RESULTADOS!$F$17)))</f>
        <v>0</v>
      </c>
      <c r="E92" s="4">
        <f ca="1">D92*IF(RESULTADOS!$C$17="Normal",RESULTADOS!$C$16,0)</f>
        <v>0</v>
      </c>
      <c r="F92" s="4">
        <f ca="1">IF(D92&lt;&gt;0,PREMISSAS!$N$83,0)</f>
        <v>0</v>
      </c>
      <c r="G92" s="4">
        <f ca="1">IFERROR(IF(RESULTADOS!$C$17="Normal",0,D92)*IF(RESULTADOS!$C$17="Normal",RESULTADOS!$C$18,RESULTADOS!$C$16),0)</f>
        <v>0</v>
      </c>
      <c r="H92" s="4">
        <f ca="1">IF(RESULTADOS!$C$17="Normal",E92,0)</f>
        <v>0</v>
      </c>
      <c r="I92" s="4">
        <f ca="1">(E92+H92+G92)*IFERROR(VLOOKUP(INT(COUNT($B$5:B92)/12),PREMISSAS!$B$62:$C$69,2,FALSE),PREMISSAS!$C$69)</f>
        <v>0</v>
      </c>
      <c r="J92" s="4">
        <f ca="1">D92*IF(RESULTADOS!$C$17="Normal",PREMISSAS!$C$71,0)</f>
        <v>0</v>
      </c>
      <c r="K92" s="87">
        <f ca="1">IFERROR(K91*(1+PREMISSAS!$C$19)+(E92+H92-IF(RESULTADOS!$C$17="Normal",I92,0)-J92)*IF(MONTH(B92)=12,2,1),0)</f>
        <v>0</v>
      </c>
      <c r="L92" s="87">
        <f ca="1">IFERROR((L91+G92-IF(RESULTADOS!$C$17="Normal",0,I92))*(1+PREMISSAS!$C$19)+F92,0)</f>
        <v>0</v>
      </c>
      <c r="N92" s="58">
        <f t="shared" ca="1" si="8"/>
        <v>0</v>
      </c>
      <c r="O92" s="223"/>
      <c r="P92" s="131">
        <f t="shared" ca="1" si="9"/>
        <v>47542</v>
      </c>
      <c r="Q92" s="111">
        <f ca="1">IF(C92="","",Q91+(E92+H92-IF(RESULTADOS!$C$17="Normal",I92,0)-J92)/2+(F92+G92-IF(RESULTADOS!$C$17="Normal",0,I92)))</f>
        <v>0</v>
      </c>
      <c r="R92" s="111">
        <f ca="1">IF(C92="","",R91+(E92+H92-IF(RESULTADOS!$C$17="Normal",I92,0)-J92)/2)</f>
        <v>0</v>
      </c>
      <c r="S92" s="111">
        <f t="shared" ca="1" si="12"/>
        <v>0</v>
      </c>
      <c r="U92" s="131" t="str">
        <f t="shared" ca="1" si="13"/>
        <v/>
      </c>
      <c r="V92" s="131" t="str">
        <f t="shared" ca="1" si="10"/>
        <v/>
      </c>
      <c r="W92" s="111">
        <f ca="1">IF(OR((W91-13/12*Z91)*(1+PREMISSAS!$C$17)&lt;0,W91=""),0,(W91-13/12*Z91)*(1+PREMISSAS!$C$17))</f>
        <v>0</v>
      </c>
      <c r="X92" s="111">
        <f ca="1">IF(OR((X91-13/12*AA91)*(1+PREMISSAS!$C$17)&lt;0,X91=""),0,(X91-13/12*AA91)*(1+PREMISSAS!$C$17))</f>
        <v>0</v>
      </c>
      <c r="Y92" s="111">
        <f t="shared" ca="1" si="11"/>
        <v>0</v>
      </c>
      <c r="Z92" s="134">
        <f t="shared" ca="1" si="14"/>
        <v>0</v>
      </c>
      <c r="AA92" s="134">
        <f t="shared" ca="1" si="15"/>
        <v>0</v>
      </c>
    </row>
    <row r="93" spans="2:27" x14ac:dyDescent="0.3">
      <c r="B93" s="21">
        <f ca="1">IF(B92="","",IF(EOMONTH(B92,1)&gt;EOMONTH(ELEGIBILIDADE!$E$5,0),"",EOMONTH(B92,1)))</f>
        <v>47573</v>
      </c>
      <c r="C93" s="22">
        <f ca="1">IF(B93="","",IF(MONTH(B93)=1,C92*(1+PREMISSAS!$C$58),C92))</f>
        <v>0</v>
      </c>
      <c r="D93" s="22">
        <f ca="1">IF(RESULTADOS!$C$17="Normal",IFERROR(MAX(C93-PREMISSAS!$C$14,0),0),IF(PREMISSAS!$H$117=0,0,MAX(10*PREMISSAS!$C$39,RESULTADOS!$F$17)))</f>
        <v>0</v>
      </c>
      <c r="E93" s="4">
        <f ca="1">D93*IF(RESULTADOS!$C$17="Normal",RESULTADOS!$C$16,0)</f>
        <v>0</v>
      </c>
      <c r="F93" s="4">
        <f ca="1">IF(D93&lt;&gt;0,PREMISSAS!$N$83,0)</f>
        <v>0</v>
      </c>
      <c r="G93" s="4">
        <f ca="1">IFERROR(IF(RESULTADOS!$C$17="Normal",0,D93)*IF(RESULTADOS!$C$17="Normal",RESULTADOS!$C$18,RESULTADOS!$C$16),0)</f>
        <v>0</v>
      </c>
      <c r="H93" s="4">
        <f ca="1">IF(RESULTADOS!$C$17="Normal",E93,0)</f>
        <v>0</v>
      </c>
      <c r="I93" s="4">
        <f ca="1">(E93+H93+G93)*IFERROR(VLOOKUP(INT(COUNT($B$5:B93)/12),PREMISSAS!$B$62:$C$69,2,FALSE),PREMISSAS!$C$69)</f>
        <v>0</v>
      </c>
      <c r="J93" s="4">
        <f ca="1">D93*IF(RESULTADOS!$C$17="Normal",PREMISSAS!$C$71,0)</f>
        <v>0</v>
      </c>
      <c r="K93" s="87">
        <f ca="1">IFERROR(K92*(1+PREMISSAS!$C$19)+(E93+H93-IF(RESULTADOS!$C$17="Normal",I93,0)-J93)*IF(MONTH(B93)=12,2,1),0)</f>
        <v>0</v>
      </c>
      <c r="L93" s="87">
        <f ca="1">IFERROR((L92+G93-IF(RESULTADOS!$C$17="Normal",0,I93))*(1+PREMISSAS!$C$19)+F93,0)</f>
        <v>0</v>
      </c>
      <c r="N93" s="58">
        <f t="shared" ca="1" si="8"/>
        <v>0</v>
      </c>
      <c r="O93" s="223"/>
      <c r="P93" s="131">
        <f t="shared" ca="1" si="9"/>
        <v>47573</v>
      </c>
      <c r="Q93" s="111">
        <f ca="1">IF(C93="","",Q92+(E93+H93-IF(RESULTADOS!$C$17="Normal",I93,0)-J93)/2+(F93+G93-IF(RESULTADOS!$C$17="Normal",0,I93)))</f>
        <v>0</v>
      </c>
      <c r="R93" s="111">
        <f ca="1">IF(C93="","",R92+(E93+H93-IF(RESULTADOS!$C$17="Normal",I93,0)-J93)/2)</f>
        <v>0</v>
      </c>
      <c r="S93" s="111">
        <f t="shared" ca="1" si="12"/>
        <v>0</v>
      </c>
      <c r="U93" s="131" t="str">
        <f t="shared" ca="1" si="13"/>
        <v/>
      </c>
      <c r="V93" s="131" t="str">
        <f t="shared" ca="1" si="10"/>
        <v/>
      </c>
      <c r="W93" s="111">
        <f ca="1">IF(OR((W92-13/12*Z92)*(1+PREMISSAS!$C$17)&lt;0,W92=""),0,(W92-13/12*Z92)*(1+PREMISSAS!$C$17))</f>
        <v>0</v>
      </c>
      <c r="X93" s="111">
        <f ca="1">IF(OR((X92-13/12*AA92)*(1+PREMISSAS!$C$17)&lt;0,X92=""),0,(X92-13/12*AA92)*(1+PREMISSAS!$C$17))</f>
        <v>0</v>
      </c>
      <c r="Y93" s="111">
        <f t="shared" ca="1" si="11"/>
        <v>0</v>
      </c>
      <c r="Z93" s="134">
        <f t="shared" ca="1" si="14"/>
        <v>0</v>
      </c>
      <c r="AA93" s="134">
        <f t="shared" ca="1" si="15"/>
        <v>0</v>
      </c>
    </row>
    <row r="94" spans="2:27" x14ac:dyDescent="0.3">
      <c r="B94" s="21">
        <f ca="1">IF(B93="","",IF(EOMONTH(B93,1)&gt;EOMONTH(ELEGIBILIDADE!$E$5,0),"",EOMONTH(B93,1)))</f>
        <v>47603</v>
      </c>
      <c r="C94" s="22">
        <f ca="1">IF(B94="","",IF(MONTH(B94)=1,C93*(1+PREMISSAS!$C$58),C93))</f>
        <v>0</v>
      </c>
      <c r="D94" s="22">
        <f ca="1">IF(RESULTADOS!$C$17="Normal",IFERROR(MAX(C94-PREMISSAS!$C$14,0),0),IF(PREMISSAS!$H$117=0,0,MAX(10*PREMISSAS!$C$39,RESULTADOS!$F$17)))</f>
        <v>0</v>
      </c>
      <c r="E94" s="4">
        <f ca="1">D94*IF(RESULTADOS!$C$17="Normal",RESULTADOS!$C$16,0)</f>
        <v>0</v>
      </c>
      <c r="F94" s="4">
        <f ca="1">IF(D94&lt;&gt;0,PREMISSAS!$N$83,0)</f>
        <v>0</v>
      </c>
      <c r="G94" s="4">
        <f ca="1">IFERROR(IF(RESULTADOS!$C$17="Normal",0,D94)*IF(RESULTADOS!$C$17="Normal",RESULTADOS!$C$18,RESULTADOS!$C$16),0)</f>
        <v>0</v>
      </c>
      <c r="H94" s="4">
        <f ca="1">IF(RESULTADOS!$C$17="Normal",E94,0)</f>
        <v>0</v>
      </c>
      <c r="I94" s="4">
        <f ca="1">(E94+H94+G94)*IFERROR(VLOOKUP(INT(COUNT($B$5:B94)/12),PREMISSAS!$B$62:$C$69,2,FALSE),PREMISSAS!$C$69)</f>
        <v>0</v>
      </c>
      <c r="J94" s="4">
        <f ca="1">D94*IF(RESULTADOS!$C$17="Normal",PREMISSAS!$C$71,0)</f>
        <v>0</v>
      </c>
      <c r="K94" s="87">
        <f ca="1">IFERROR(K93*(1+PREMISSAS!$C$19)+(E94+H94-IF(RESULTADOS!$C$17="Normal",I94,0)-J94)*IF(MONTH(B94)=12,2,1),0)</f>
        <v>0</v>
      </c>
      <c r="L94" s="87">
        <f ca="1">IFERROR((L93+G94-IF(RESULTADOS!$C$17="Normal",0,I94))*(1+PREMISSAS!$C$19)+F94,0)</f>
        <v>0</v>
      </c>
      <c r="N94" s="58">
        <f t="shared" ca="1" si="8"/>
        <v>0</v>
      </c>
      <c r="O94" s="223"/>
      <c r="P94" s="131">
        <f t="shared" ca="1" si="9"/>
        <v>47603</v>
      </c>
      <c r="Q94" s="111">
        <f ca="1">IF(C94="","",Q93+(E94+H94-IF(RESULTADOS!$C$17="Normal",I94,0)-J94)/2+(F94+G94-IF(RESULTADOS!$C$17="Normal",0,I94)))</f>
        <v>0</v>
      </c>
      <c r="R94" s="111">
        <f ca="1">IF(C94="","",R93+(E94+H94-IF(RESULTADOS!$C$17="Normal",I94,0)-J94)/2)</f>
        <v>0</v>
      </c>
      <c r="S94" s="111">
        <f t="shared" ca="1" si="12"/>
        <v>0</v>
      </c>
      <c r="U94" s="131" t="str">
        <f t="shared" ca="1" si="13"/>
        <v/>
      </c>
      <c r="V94" s="131" t="str">
        <f t="shared" ca="1" si="10"/>
        <v/>
      </c>
      <c r="W94" s="111">
        <f ca="1">IF(OR((W93-13/12*Z93)*(1+PREMISSAS!$C$17)&lt;0,W93=""),0,(W93-13/12*Z93)*(1+PREMISSAS!$C$17))</f>
        <v>0</v>
      </c>
      <c r="X94" s="111">
        <f ca="1">IF(OR((X93-13/12*AA93)*(1+PREMISSAS!$C$17)&lt;0,X93=""),0,(X93-13/12*AA93)*(1+PREMISSAS!$C$17))</f>
        <v>0</v>
      </c>
      <c r="Y94" s="111">
        <f t="shared" ca="1" si="11"/>
        <v>0</v>
      </c>
      <c r="Z94" s="134">
        <f t="shared" ca="1" si="14"/>
        <v>0</v>
      </c>
      <c r="AA94" s="134">
        <f t="shared" ca="1" si="15"/>
        <v>0</v>
      </c>
    </row>
    <row r="95" spans="2:27" x14ac:dyDescent="0.3">
      <c r="B95" s="21">
        <f ca="1">IF(B94="","",IF(EOMONTH(B94,1)&gt;EOMONTH(ELEGIBILIDADE!$E$5,0),"",EOMONTH(B94,1)))</f>
        <v>47634</v>
      </c>
      <c r="C95" s="22">
        <f ca="1">IF(B95="","",IF(MONTH(B95)=1,C94*(1+PREMISSAS!$C$58),C94))</f>
        <v>0</v>
      </c>
      <c r="D95" s="22">
        <f ca="1">IF(RESULTADOS!$C$17="Normal",IFERROR(MAX(C95-PREMISSAS!$C$14,0),0),IF(PREMISSAS!$H$117=0,0,MAX(10*PREMISSAS!$C$39,RESULTADOS!$F$17)))</f>
        <v>0</v>
      </c>
      <c r="E95" s="4">
        <f ca="1">D95*IF(RESULTADOS!$C$17="Normal",RESULTADOS!$C$16,0)</f>
        <v>0</v>
      </c>
      <c r="F95" s="4">
        <f ca="1">IF(D95&lt;&gt;0,PREMISSAS!$N$83,0)</f>
        <v>0</v>
      </c>
      <c r="G95" s="4">
        <f ca="1">IFERROR(IF(RESULTADOS!$C$17="Normal",0,D95)*IF(RESULTADOS!$C$17="Normal",RESULTADOS!$C$18,RESULTADOS!$C$16),0)</f>
        <v>0</v>
      </c>
      <c r="H95" s="4">
        <f ca="1">IF(RESULTADOS!$C$17="Normal",E95,0)</f>
        <v>0</v>
      </c>
      <c r="I95" s="4">
        <f ca="1">(E95+H95+G95)*IFERROR(VLOOKUP(INT(COUNT($B$5:B95)/12),PREMISSAS!$B$62:$C$69,2,FALSE),PREMISSAS!$C$69)</f>
        <v>0</v>
      </c>
      <c r="J95" s="4">
        <f ca="1">D95*IF(RESULTADOS!$C$17="Normal",PREMISSAS!$C$71,0)</f>
        <v>0</v>
      </c>
      <c r="K95" s="87">
        <f ca="1">IFERROR(K94*(1+PREMISSAS!$C$19)+(E95+H95-IF(RESULTADOS!$C$17="Normal",I95,0)-J95)*IF(MONTH(B95)=12,2,1),0)</f>
        <v>0</v>
      </c>
      <c r="L95" s="87">
        <f ca="1">IFERROR((L94+G95-IF(RESULTADOS!$C$17="Normal",0,I95))*(1+PREMISSAS!$C$19)+F95,0)</f>
        <v>0</v>
      </c>
      <c r="N95" s="58">
        <f t="shared" ca="1" si="8"/>
        <v>0</v>
      </c>
      <c r="O95" s="223"/>
      <c r="P95" s="131">
        <f t="shared" ca="1" si="9"/>
        <v>47634</v>
      </c>
      <c r="Q95" s="111">
        <f ca="1">IF(C95="","",Q94+(E95+H95-IF(RESULTADOS!$C$17="Normal",I95,0)-J95)/2+(F95+G95-IF(RESULTADOS!$C$17="Normal",0,I95)))</f>
        <v>0</v>
      </c>
      <c r="R95" s="111">
        <f ca="1">IF(C95="","",R94+(E95+H95-IF(RESULTADOS!$C$17="Normal",I95,0)-J95)/2)</f>
        <v>0</v>
      </c>
      <c r="S95" s="111">
        <f t="shared" ca="1" si="12"/>
        <v>0</v>
      </c>
      <c r="U95" s="131" t="str">
        <f t="shared" ca="1" si="13"/>
        <v/>
      </c>
      <c r="V95" s="131" t="str">
        <f t="shared" ca="1" si="10"/>
        <v/>
      </c>
      <c r="W95" s="111">
        <f ca="1">IF(OR((W94-13/12*Z94)*(1+PREMISSAS!$C$17)&lt;0,W94=""),0,(W94-13/12*Z94)*(1+PREMISSAS!$C$17))</f>
        <v>0</v>
      </c>
      <c r="X95" s="111">
        <f ca="1">IF(OR((X94-13/12*AA94)*(1+PREMISSAS!$C$17)&lt;0,X94=""),0,(X94-13/12*AA94)*(1+PREMISSAS!$C$17))</f>
        <v>0</v>
      </c>
      <c r="Y95" s="111">
        <f t="shared" ca="1" si="11"/>
        <v>0</v>
      </c>
      <c r="Z95" s="134">
        <f t="shared" ca="1" si="14"/>
        <v>0</v>
      </c>
      <c r="AA95" s="134">
        <f t="shared" ca="1" si="15"/>
        <v>0</v>
      </c>
    </row>
    <row r="96" spans="2:27" x14ac:dyDescent="0.3">
      <c r="B96" s="21">
        <f ca="1">IF(B95="","",IF(EOMONTH(B95,1)&gt;EOMONTH(ELEGIBILIDADE!$E$5,0),"",EOMONTH(B95,1)))</f>
        <v>47664</v>
      </c>
      <c r="C96" s="22">
        <f ca="1">IF(B96="","",IF(MONTH(B96)=1,C95*(1+PREMISSAS!$C$58),C95))</f>
        <v>0</v>
      </c>
      <c r="D96" s="22">
        <f ca="1">IF(RESULTADOS!$C$17="Normal",IFERROR(MAX(C96-PREMISSAS!$C$14,0),0),IF(PREMISSAS!$H$117=0,0,MAX(10*PREMISSAS!$C$39,RESULTADOS!$F$17)))</f>
        <v>0</v>
      </c>
      <c r="E96" s="4">
        <f ca="1">D96*IF(RESULTADOS!$C$17="Normal",RESULTADOS!$C$16,0)</f>
        <v>0</v>
      </c>
      <c r="F96" s="4">
        <f ca="1">IF(D96&lt;&gt;0,PREMISSAS!$N$83,0)</f>
        <v>0</v>
      </c>
      <c r="G96" s="4">
        <f ca="1">IFERROR(IF(RESULTADOS!$C$17="Normal",0,D96)*IF(RESULTADOS!$C$17="Normal",RESULTADOS!$C$18,RESULTADOS!$C$16),0)</f>
        <v>0</v>
      </c>
      <c r="H96" s="4">
        <f ca="1">IF(RESULTADOS!$C$17="Normal",E96,0)</f>
        <v>0</v>
      </c>
      <c r="I96" s="4">
        <f ca="1">(E96+H96+G96)*IFERROR(VLOOKUP(INT(COUNT($B$5:B96)/12),PREMISSAS!$B$62:$C$69,2,FALSE),PREMISSAS!$C$69)</f>
        <v>0</v>
      </c>
      <c r="J96" s="4">
        <f ca="1">D96*IF(RESULTADOS!$C$17="Normal",PREMISSAS!$C$71,0)</f>
        <v>0</v>
      </c>
      <c r="K96" s="87">
        <f ca="1">IFERROR(K95*(1+PREMISSAS!$C$19)+(E96+H96-IF(RESULTADOS!$C$17="Normal",I96,0)-J96)*IF(MONTH(B96)=12,2,1),0)</f>
        <v>0</v>
      </c>
      <c r="L96" s="87">
        <f ca="1">IFERROR((L95+G96-IF(RESULTADOS!$C$17="Normal",0,I96))*(1+PREMISSAS!$C$19)+F96,0)</f>
        <v>0</v>
      </c>
      <c r="N96" s="58">
        <f t="shared" ca="1" si="8"/>
        <v>0</v>
      </c>
      <c r="O96" s="223"/>
      <c r="P96" s="131">
        <f t="shared" ca="1" si="9"/>
        <v>47664</v>
      </c>
      <c r="Q96" s="111">
        <f ca="1">IF(C96="","",Q95+(E96+H96-IF(RESULTADOS!$C$17="Normal",I96,0)-J96)/2+(F96+G96-IF(RESULTADOS!$C$17="Normal",0,I96)))</f>
        <v>0</v>
      </c>
      <c r="R96" s="111">
        <f ca="1">IF(C96="","",R95+(E96+H96-IF(RESULTADOS!$C$17="Normal",I96,0)-J96)/2)</f>
        <v>0</v>
      </c>
      <c r="S96" s="111">
        <f t="shared" ca="1" si="12"/>
        <v>0</v>
      </c>
      <c r="U96" s="131" t="str">
        <f t="shared" ca="1" si="13"/>
        <v/>
      </c>
      <c r="V96" s="131" t="str">
        <f t="shared" ca="1" si="10"/>
        <v/>
      </c>
      <c r="W96" s="111">
        <f ca="1">IF(OR((W95-13/12*Z95)*(1+PREMISSAS!$C$17)&lt;0,W95=""),0,(W95-13/12*Z95)*(1+PREMISSAS!$C$17))</f>
        <v>0</v>
      </c>
      <c r="X96" s="111">
        <f ca="1">IF(OR((X95-13/12*AA95)*(1+PREMISSAS!$C$17)&lt;0,X95=""),0,(X95-13/12*AA95)*(1+PREMISSAS!$C$17))</f>
        <v>0</v>
      </c>
      <c r="Y96" s="111">
        <f t="shared" ca="1" si="11"/>
        <v>0</v>
      </c>
      <c r="Z96" s="134">
        <f t="shared" ca="1" si="14"/>
        <v>0</v>
      </c>
      <c r="AA96" s="134">
        <f t="shared" ca="1" si="15"/>
        <v>0</v>
      </c>
    </row>
    <row r="97" spans="2:27" x14ac:dyDescent="0.3">
      <c r="B97" s="21">
        <f ca="1">IF(B96="","",IF(EOMONTH(B96,1)&gt;EOMONTH(ELEGIBILIDADE!$E$5,0),"",EOMONTH(B96,1)))</f>
        <v>47695</v>
      </c>
      <c r="C97" s="22">
        <f ca="1">IF(B97="","",IF(MONTH(B97)=1,C96*(1+PREMISSAS!$C$58),C96))</f>
        <v>0</v>
      </c>
      <c r="D97" s="22">
        <f ca="1">IF(RESULTADOS!$C$17="Normal",IFERROR(MAX(C97-PREMISSAS!$C$14,0),0),IF(PREMISSAS!$H$117=0,0,MAX(10*PREMISSAS!$C$39,RESULTADOS!$F$17)))</f>
        <v>0</v>
      </c>
      <c r="E97" s="4">
        <f ca="1">D97*IF(RESULTADOS!$C$17="Normal",RESULTADOS!$C$16,0)</f>
        <v>0</v>
      </c>
      <c r="F97" s="4">
        <f ca="1">IF(D97&lt;&gt;0,PREMISSAS!$N$83,0)</f>
        <v>0</v>
      </c>
      <c r="G97" s="4">
        <f ca="1">IFERROR(IF(RESULTADOS!$C$17="Normal",0,D97)*IF(RESULTADOS!$C$17="Normal",RESULTADOS!$C$18,RESULTADOS!$C$16),0)</f>
        <v>0</v>
      </c>
      <c r="H97" s="4">
        <f ca="1">IF(RESULTADOS!$C$17="Normal",E97,0)</f>
        <v>0</v>
      </c>
      <c r="I97" s="4">
        <f ca="1">(E97+H97+G97)*IFERROR(VLOOKUP(INT(COUNT($B$5:B97)/12),PREMISSAS!$B$62:$C$69,2,FALSE),PREMISSAS!$C$69)</f>
        <v>0</v>
      </c>
      <c r="J97" s="4">
        <f ca="1">D97*IF(RESULTADOS!$C$17="Normal",PREMISSAS!$C$71,0)</f>
        <v>0</v>
      </c>
      <c r="K97" s="87">
        <f ca="1">IFERROR(K96*(1+PREMISSAS!$C$19)+(E97+H97-IF(RESULTADOS!$C$17="Normal",I97,0)-J97)*IF(MONTH(B97)=12,2,1),0)</f>
        <v>0</v>
      </c>
      <c r="L97" s="87">
        <f ca="1">IFERROR((L96+G97-IF(RESULTADOS!$C$17="Normal",0,I97))*(1+PREMISSAS!$C$19)+F97,0)</f>
        <v>0</v>
      </c>
      <c r="N97" s="58">
        <f t="shared" ca="1" si="8"/>
        <v>0</v>
      </c>
      <c r="O97" s="223"/>
      <c r="P97" s="131">
        <f t="shared" ca="1" si="9"/>
        <v>47695</v>
      </c>
      <c r="Q97" s="111">
        <f ca="1">IF(C97="","",Q96+(E97+H97-IF(RESULTADOS!$C$17="Normal",I97,0)-J97)/2+(F97+G97-IF(RESULTADOS!$C$17="Normal",0,I97)))</f>
        <v>0</v>
      </c>
      <c r="R97" s="111">
        <f ca="1">IF(C97="","",R96+(E97+H97-IF(RESULTADOS!$C$17="Normal",I97,0)-J97)/2)</f>
        <v>0</v>
      </c>
      <c r="S97" s="111">
        <f t="shared" ca="1" si="12"/>
        <v>0</v>
      </c>
      <c r="U97" s="131" t="str">
        <f t="shared" ca="1" si="13"/>
        <v/>
      </c>
      <c r="V97" s="131" t="str">
        <f t="shared" ca="1" si="10"/>
        <v/>
      </c>
      <c r="W97" s="111">
        <f ca="1">IF(OR((W96-13/12*Z96)*(1+PREMISSAS!$C$17)&lt;0,W96=""),0,(W96-13/12*Z96)*(1+PREMISSAS!$C$17))</f>
        <v>0</v>
      </c>
      <c r="X97" s="111">
        <f ca="1">IF(OR((X96-13/12*AA96)*(1+PREMISSAS!$C$17)&lt;0,X96=""),0,(X96-13/12*AA96)*(1+PREMISSAS!$C$17))</f>
        <v>0</v>
      </c>
      <c r="Y97" s="111">
        <f t="shared" ca="1" si="11"/>
        <v>0</v>
      </c>
      <c r="Z97" s="134">
        <f t="shared" ca="1" si="14"/>
        <v>0</v>
      </c>
      <c r="AA97" s="134">
        <f t="shared" ca="1" si="15"/>
        <v>0</v>
      </c>
    </row>
    <row r="98" spans="2:27" x14ac:dyDescent="0.3">
      <c r="B98" s="21">
        <f ca="1">IF(B97="","",IF(EOMONTH(B97,1)&gt;EOMONTH(ELEGIBILIDADE!$E$5,0),"",EOMONTH(B97,1)))</f>
        <v>47726</v>
      </c>
      <c r="C98" s="22">
        <f ca="1">IF(B98="","",IF(MONTH(B98)=1,C97*(1+PREMISSAS!$C$58),C97))</f>
        <v>0</v>
      </c>
      <c r="D98" s="22">
        <f ca="1">IF(RESULTADOS!$C$17="Normal",IFERROR(MAX(C98-PREMISSAS!$C$14,0),0),IF(PREMISSAS!$H$117=0,0,MAX(10*PREMISSAS!$C$39,RESULTADOS!$F$17)))</f>
        <v>0</v>
      </c>
      <c r="E98" s="4">
        <f ca="1">D98*IF(RESULTADOS!$C$17="Normal",RESULTADOS!$C$16,0)</f>
        <v>0</v>
      </c>
      <c r="F98" s="4">
        <f ca="1">IF(D98&lt;&gt;0,PREMISSAS!$N$83,0)</f>
        <v>0</v>
      </c>
      <c r="G98" s="4">
        <f ca="1">IFERROR(IF(RESULTADOS!$C$17="Normal",0,D98)*IF(RESULTADOS!$C$17="Normal",RESULTADOS!$C$18,RESULTADOS!$C$16),0)</f>
        <v>0</v>
      </c>
      <c r="H98" s="4">
        <f ca="1">IF(RESULTADOS!$C$17="Normal",E98,0)</f>
        <v>0</v>
      </c>
      <c r="I98" s="4">
        <f ca="1">(E98+H98+G98)*IFERROR(VLOOKUP(INT(COUNT($B$5:B98)/12),PREMISSAS!$B$62:$C$69,2,FALSE),PREMISSAS!$C$69)</f>
        <v>0</v>
      </c>
      <c r="J98" s="4">
        <f ca="1">D98*IF(RESULTADOS!$C$17="Normal",PREMISSAS!$C$71,0)</f>
        <v>0</v>
      </c>
      <c r="K98" s="87">
        <f ca="1">IFERROR(K97*(1+PREMISSAS!$C$19)+(E98+H98-IF(RESULTADOS!$C$17="Normal",I98,0)-J98)*IF(MONTH(B98)=12,2,1),0)</f>
        <v>0</v>
      </c>
      <c r="L98" s="87">
        <f ca="1">IFERROR((L97+G98-IF(RESULTADOS!$C$17="Normal",0,I98))*(1+PREMISSAS!$C$19)+F98,0)</f>
        <v>0</v>
      </c>
      <c r="N98" s="58">
        <f t="shared" ca="1" si="8"/>
        <v>0</v>
      </c>
      <c r="O98" s="223"/>
      <c r="P98" s="131">
        <f t="shared" ca="1" si="9"/>
        <v>47726</v>
      </c>
      <c r="Q98" s="111">
        <f ca="1">IF(C98="","",Q97+(E98+H98-IF(RESULTADOS!$C$17="Normal",I98,0)-J98)/2+(F98+G98-IF(RESULTADOS!$C$17="Normal",0,I98)))</f>
        <v>0</v>
      </c>
      <c r="R98" s="111">
        <f ca="1">IF(C98="","",R97+(E98+H98-IF(RESULTADOS!$C$17="Normal",I98,0)-J98)/2)</f>
        <v>0</v>
      </c>
      <c r="S98" s="111">
        <f t="shared" ca="1" si="12"/>
        <v>0</v>
      </c>
      <c r="U98" s="131" t="str">
        <f t="shared" ca="1" si="13"/>
        <v/>
      </c>
      <c r="V98" s="131" t="str">
        <f t="shared" ca="1" si="10"/>
        <v/>
      </c>
      <c r="W98" s="111">
        <f ca="1">IF(OR((W97-13/12*Z97)*(1+PREMISSAS!$C$17)&lt;0,W97=""),0,(W97-13/12*Z97)*(1+PREMISSAS!$C$17))</f>
        <v>0</v>
      </c>
      <c r="X98" s="111">
        <f ca="1">IF(OR((X97-13/12*AA97)*(1+PREMISSAS!$C$17)&lt;0,X97=""),0,(X97-13/12*AA97)*(1+PREMISSAS!$C$17))</f>
        <v>0</v>
      </c>
      <c r="Y98" s="111">
        <f t="shared" ca="1" si="11"/>
        <v>0</v>
      </c>
      <c r="Z98" s="134">
        <f t="shared" ca="1" si="14"/>
        <v>0</v>
      </c>
      <c r="AA98" s="134">
        <f t="shared" ca="1" si="15"/>
        <v>0</v>
      </c>
    </row>
    <row r="99" spans="2:27" x14ac:dyDescent="0.3">
      <c r="B99" s="21">
        <f ca="1">IF(B98="","",IF(EOMONTH(B98,1)&gt;EOMONTH(ELEGIBILIDADE!$E$5,0),"",EOMONTH(B98,1)))</f>
        <v>47756</v>
      </c>
      <c r="C99" s="22">
        <f ca="1">IF(B99="","",IF(MONTH(B99)=1,C98*(1+PREMISSAS!$C$58),C98))</f>
        <v>0</v>
      </c>
      <c r="D99" s="22">
        <f ca="1">IF(RESULTADOS!$C$17="Normal",IFERROR(MAX(C99-PREMISSAS!$C$14,0),0),IF(PREMISSAS!$H$117=0,0,MAX(10*PREMISSAS!$C$39,RESULTADOS!$F$17)))</f>
        <v>0</v>
      </c>
      <c r="E99" s="4">
        <f ca="1">D99*IF(RESULTADOS!$C$17="Normal",RESULTADOS!$C$16,0)</f>
        <v>0</v>
      </c>
      <c r="F99" s="4">
        <f ca="1">IF(D99&lt;&gt;0,PREMISSAS!$N$83,0)</f>
        <v>0</v>
      </c>
      <c r="G99" s="4">
        <f ca="1">IFERROR(IF(RESULTADOS!$C$17="Normal",0,D99)*IF(RESULTADOS!$C$17="Normal",RESULTADOS!$C$18,RESULTADOS!$C$16),0)</f>
        <v>0</v>
      </c>
      <c r="H99" s="4">
        <f ca="1">IF(RESULTADOS!$C$17="Normal",E99,0)</f>
        <v>0</v>
      </c>
      <c r="I99" s="4">
        <f ca="1">(E99+H99+G99)*IFERROR(VLOOKUP(INT(COUNT($B$5:B99)/12),PREMISSAS!$B$62:$C$69,2,FALSE),PREMISSAS!$C$69)</f>
        <v>0</v>
      </c>
      <c r="J99" s="4">
        <f ca="1">D99*IF(RESULTADOS!$C$17="Normal",PREMISSAS!$C$71,0)</f>
        <v>0</v>
      </c>
      <c r="K99" s="87">
        <f ca="1">IFERROR(K98*(1+PREMISSAS!$C$19)+(E99+H99-IF(RESULTADOS!$C$17="Normal",I99,0)-J99)*IF(MONTH(B99)=12,2,1),0)</f>
        <v>0</v>
      </c>
      <c r="L99" s="87">
        <f ca="1">IFERROR((L98+G99-IF(RESULTADOS!$C$17="Normal",0,I99))*(1+PREMISSAS!$C$19)+F99,0)</f>
        <v>0</v>
      </c>
      <c r="N99" s="58">
        <f t="shared" ca="1" si="8"/>
        <v>0</v>
      </c>
      <c r="O99" s="223"/>
      <c r="P99" s="131">
        <f t="shared" ca="1" si="9"/>
        <v>47756</v>
      </c>
      <c r="Q99" s="111">
        <f ca="1">IF(C99="","",Q98+(E99+H99-IF(RESULTADOS!$C$17="Normal",I99,0)-J99)/2+(F99+G99-IF(RESULTADOS!$C$17="Normal",0,I99)))</f>
        <v>0</v>
      </c>
      <c r="R99" s="111">
        <f ca="1">IF(C99="","",R98+(E99+H99-IF(RESULTADOS!$C$17="Normal",I99,0)-J99)/2)</f>
        <v>0</v>
      </c>
      <c r="S99" s="111">
        <f t="shared" ca="1" si="12"/>
        <v>0</v>
      </c>
      <c r="U99" s="131" t="str">
        <f t="shared" ca="1" si="13"/>
        <v/>
      </c>
      <c r="V99" s="131" t="str">
        <f t="shared" ca="1" si="10"/>
        <v/>
      </c>
      <c r="W99" s="111">
        <f ca="1">IF(OR((W98-13/12*Z98)*(1+PREMISSAS!$C$17)&lt;0,W98=""),0,(W98-13/12*Z98)*(1+PREMISSAS!$C$17))</f>
        <v>0</v>
      </c>
      <c r="X99" s="111">
        <f ca="1">IF(OR((X98-13/12*AA98)*(1+PREMISSAS!$C$17)&lt;0,X98=""),0,(X98-13/12*AA98)*(1+PREMISSAS!$C$17))</f>
        <v>0</v>
      </c>
      <c r="Y99" s="111">
        <f t="shared" ca="1" si="11"/>
        <v>0</v>
      </c>
      <c r="Z99" s="134">
        <f t="shared" ca="1" si="14"/>
        <v>0</v>
      </c>
      <c r="AA99" s="134">
        <f t="shared" ca="1" si="15"/>
        <v>0</v>
      </c>
    </row>
    <row r="100" spans="2:27" x14ac:dyDescent="0.3">
      <c r="B100" s="21">
        <f ca="1">IF(B99="","",IF(EOMONTH(B99,1)&gt;EOMONTH(ELEGIBILIDADE!$E$5,0),"",EOMONTH(B99,1)))</f>
        <v>47787</v>
      </c>
      <c r="C100" s="22">
        <f ca="1">IF(B100="","",IF(MONTH(B100)=1,C99*(1+PREMISSAS!$C$58),C99))</f>
        <v>0</v>
      </c>
      <c r="D100" s="22">
        <f ca="1">IF(RESULTADOS!$C$17="Normal",IFERROR(MAX(C100-PREMISSAS!$C$14,0),0),IF(PREMISSAS!$H$117=0,0,MAX(10*PREMISSAS!$C$39,RESULTADOS!$F$17)))</f>
        <v>0</v>
      </c>
      <c r="E100" s="4">
        <f ca="1">D100*IF(RESULTADOS!$C$17="Normal",RESULTADOS!$C$16,0)</f>
        <v>0</v>
      </c>
      <c r="F100" s="4">
        <f ca="1">IF(D100&lt;&gt;0,PREMISSAS!$N$83,0)</f>
        <v>0</v>
      </c>
      <c r="G100" s="4">
        <f ca="1">IFERROR(IF(RESULTADOS!$C$17="Normal",0,D100)*IF(RESULTADOS!$C$17="Normal",RESULTADOS!$C$18,RESULTADOS!$C$16),0)</f>
        <v>0</v>
      </c>
      <c r="H100" s="4">
        <f ca="1">IF(RESULTADOS!$C$17="Normal",E100,0)</f>
        <v>0</v>
      </c>
      <c r="I100" s="4">
        <f ca="1">(E100+H100+G100)*IFERROR(VLOOKUP(INT(COUNT($B$5:B100)/12),PREMISSAS!$B$62:$C$69,2,FALSE),PREMISSAS!$C$69)</f>
        <v>0</v>
      </c>
      <c r="J100" s="4">
        <f ca="1">D100*IF(RESULTADOS!$C$17="Normal",PREMISSAS!$C$71,0)</f>
        <v>0</v>
      </c>
      <c r="K100" s="87">
        <f ca="1">IFERROR(K99*(1+PREMISSAS!$C$19)+(E100+H100-IF(RESULTADOS!$C$17="Normal",I100,0)-J100)*IF(MONTH(B100)=12,2,1),0)</f>
        <v>0</v>
      </c>
      <c r="L100" s="87">
        <f ca="1">IFERROR((L99+G100-IF(RESULTADOS!$C$17="Normal",0,I100))*(1+PREMISSAS!$C$19)+F100,0)</f>
        <v>0</v>
      </c>
      <c r="N100" s="58">
        <f t="shared" ca="1" si="8"/>
        <v>0</v>
      </c>
      <c r="O100" s="223"/>
      <c r="P100" s="131">
        <f t="shared" ca="1" si="9"/>
        <v>47787</v>
      </c>
      <c r="Q100" s="111">
        <f ca="1">IF(C100="","",Q99+(E100+H100-IF(RESULTADOS!$C$17="Normal",I100,0)-J100)/2+(F100+G100-IF(RESULTADOS!$C$17="Normal",0,I100)))</f>
        <v>0</v>
      </c>
      <c r="R100" s="111">
        <f ca="1">IF(C100="","",R99+(E100+H100-IF(RESULTADOS!$C$17="Normal",I100,0)-J100)/2)</f>
        <v>0</v>
      </c>
      <c r="S100" s="111">
        <f t="shared" ca="1" si="12"/>
        <v>0</v>
      </c>
      <c r="U100" s="131" t="str">
        <f t="shared" ca="1" si="13"/>
        <v/>
      </c>
      <c r="V100" s="131" t="str">
        <f t="shared" ca="1" si="10"/>
        <v/>
      </c>
      <c r="W100" s="111">
        <f ca="1">IF(OR((W99-13/12*Z99)*(1+PREMISSAS!$C$17)&lt;0,W99=""),0,(W99-13/12*Z99)*(1+PREMISSAS!$C$17))</f>
        <v>0</v>
      </c>
      <c r="X100" s="111">
        <f ca="1">IF(OR((X99-13/12*AA99)*(1+PREMISSAS!$C$17)&lt;0,X99=""),0,(X99-13/12*AA99)*(1+PREMISSAS!$C$17))</f>
        <v>0</v>
      </c>
      <c r="Y100" s="111">
        <f t="shared" ca="1" si="11"/>
        <v>0</v>
      </c>
      <c r="Z100" s="134">
        <f t="shared" ca="1" si="14"/>
        <v>0</v>
      </c>
      <c r="AA100" s="134">
        <f t="shared" ca="1" si="15"/>
        <v>0</v>
      </c>
    </row>
    <row r="101" spans="2:27" x14ac:dyDescent="0.3">
      <c r="B101" s="21">
        <f ca="1">IF(B100="","",IF(EOMONTH(B100,1)&gt;EOMONTH(ELEGIBILIDADE!$E$5,0),"",EOMONTH(B100,1)))</f>
        <v>47817</v>
      </c>
      <c r="C101" s="22">
        <f ca="1">IF(B101="","",IF(MONTH(B101)=1,C100*(1+PREMISSAS!$C$58),C100))</f>
        <v>0</v>
      </c>
      <c r="D101" s="22">
        <f ca="1">IF(RESULTADOS!$C$17="Normal",IFERROR(MAX(C101-PREMISSAS!$C$14,0),0),IF(PREMISSAS!$H$117=0,0,MAX(10*PREMISSAS!$C$39,RESULTADOS!$F$17)))</f>
        <v>0</v>
      </c>
      <c r="E101" s="4">
        <f ca="1">D101*IF(RESULTADOS!$C$17="Normal",RESULTADOS!$C$16,0)</f>
        <v>0</v>
      </c>
      <c r="F101" s="4">
        <f ca="1">IF(D101&lt;&gt;0,PREMISSAS!$N$83,0)</f>
        <v>0</v>
      </c>
      <c r="G101" s="4">
        <f ca="1">IFERROR(IF(RESULTADOS!$C$17="Normal",0,D101)*IF(RESULTADOS!$C$17="Normal",RESULTADOS!$C$18,RESULTADOS!$C$16),0)</f>
        <v>0</v>
      </c>
      <c r="H101" s="4">
        <f ca="1">IF(RESULTADOS!$C$17="Normal",E101,0)</f>
        <v>0</v>
      </c>
      <c r="I101" s="4">
        <f ca="1">(E101+H101+G101)*IFERROR(VLOOKUP(INT(COUNT($B$5:B101)/12),PREMISSAS!$B$62:$C$69,2,FALSE),PREMISSAS!$C$69)</f>
        <v>0</v>
      </c>
      <c r="J101" s="4">
        <f ca="1">D101*IF(RESULTADOS!$C$17="Normal",PREMISSAS!$C$71,0)</f>
        <v>0</v>
      </c>
      <c r="K101" s="87">
        <f ca="1">IFERROR(K100*(1+PREMISSAS!$C$19)+(E101+H101-IF(RESULTADOS!$C$17="Normal",I101,0)-J101)*IF(MONTH(B101)=12,2,1),0)</f>
        <v>0</v>
      </c>
      <c r="L101" s="87">
        <f ca="1">IFERROR((L100+G101-IF(RESULTADOS!$C$17="Normal",0,I101))*(1+PREMISSAS!$C$19)+F101,0)</f>
        <v>0</v>
      </c>
      <c r="N101" s="58">
        <f t="shared" ca="1" si="8"/>
        <v>0</v>
      </c>
      <c r="O101" s="223"/>
      <c r="P101" s="131">
        <f t="shared" ca="1" si="9"/>
        <v>47817</v>
      </c>
      <c r="Q101" s="111">
        <f ca="1">IF(C101="","",Q100+(E101+H101-IF(RESULTADOS!$C$17="Normal",I101,0)-J101)/2+(F101+G101-IF(RESULTADOS!$C$17="Normal",0,I101)))</f>
        <v>0</v>
      </c>
      <c r="R101" s="111">
        <f ca="1">IF(C101="","",R100+(E101+H101-IF(RESULTADOS!$C$17="Normal",I101,0)-J101)/2)</f>
        <v>0</v>
      </c>
      <c r="S101" s="111">
        <f t="shared" ca="1" si="12"/>
        <v>0</v>
      </c>
      <c r="U101" s="131" t="str">
        <f t="shared" ca="1" si="13"/>
        <v/>
      </c>
      <c r="V101" s="131" t="str">
        <f t="shared" ca="1" si="10"/>
        <v/>
      </c>
      <c r="W101" s="111">
        <f ca="1">IF(OR((W100-13/12*Z100)*(1+PREMISSAS!$C$17)&lt;0,W100=""),0,(W100-13/12*Z100)*(1+PREMISSAS!$C$17))</f>
        <v>0</v>
      </c>
      <c r="X101" s="111">
        <f ca="1">IF(OR((X100-13/12*AA100)*(1+PREMISSAS!$C$17)&lt;0,X100=""),0,(X100-13/12*AA100)*(1+PREMISSAS!$C$17))</f>
        <v>0</v>
      </c>
      <c r="Y101" s="111">
        <f t="shared" ca="1" si="11"/>
        <v>0</v>
      </c>
      <c r="Z101" s="134">
        <f t="shared" ca="1" si="14"/>
        <v>0</v>
      </c>
      <c r="AA101" s="134">
        <f t="shared" ca="1" si="15"/>
        <v>0</v>
      </c>
    </row>
    <row r="102" spans="2:27" x14ac:dyDescent="0.3">
      <c r="B102" s="21">
        <f ca="1">IF(B101="","",IF(EOMONTH(B101,1)&gt;EOMONTH(ELEGIBILIDADE!$E$5,0),"",EOMONTH(B101,1)))</f>
        <v>47848</v>
      </c>
      <c r="C102" s="22">
        <f ca="1">IF(B102="","",IF(MONTH(B102)=1,C101*(1+PREMISSAS!$C$58),C101))</f>
        <v>0</v>
      </c>
      <c r="D102" s="22">
        <f ca="1">IF(RESULTADOS!$C$17="Normal",IFERROR(MAX(C102-PREMISSAS!$C$14,0),0),IF(PREMISSAS!$H$117=0,0,MAX(10*PREMISSAS!$C$39,RESULTADOS!$F$17)))</f>
        <v>0</v>
      </c>
      <c r="E102" s="4">
        <f ca="1">D102*IF(RESULTADOS!$C$17="Normal",RESULTADOS!$C$16,0)</f>
        <v>0</v>
      </c>
      <c r="F102" s="4">
        <f ca="1">IF(D102&lt;&gt;0,PREMISSAS!$N$83,0)</f>
        <v>0</v>
      </c>
      <c r="G102" s="4">
        <f ca="1">IFERROR(IF(RESULTADOS!$C$17="Normal",0,D102)*IF(RESULTADOS!$C$17="Normal",RESULTADOS!$C$18,RESULTADOS!$C$16),0)</f>
        <v>0</v>
      </c>
      <c r="H102" s="4">
        <f ca="1">IF(RESULTADOS!$C$17="Normal",E102,0)</f>
        <v>0</v>
      </c>
      <c r="I102" s="4">
        <f ca="1">(E102+H102+G102)*IFERROR(VLOOKUP(INT(COUNT($B$5:B102)/12),PREMISSAS!$B$62:$C$69,2,FALSE),PREMISSAS!$C$69)</f>
        <v>0</v>
      </c>
      <c r="J102" s="4">
        <f ca="1">D102*IF(RESULTADOS!$C$17="Normal",PREMISSAS!$C$71,0)</f>
        <v>0</v>
      </c>
      <c r="K102" s="87">
        <f ca="1">IFERROR(K101*(1+PREMISSAS!$C$19)+(E102+H102-IF(RESULTADOS!$C$17="Normal",I102,0)-J102)*IF(MONTH(B102)=12,2,1),0)</f>
        <v>0</v>
      </c>
      <c r="L102" s="87">
        <f ca="1">IFERROR((L101+G102-IF(RESULTADOS!$C$17="Normal",0,I102))*(1+PREMISSAS!$C$19)+F102,0)</f>
        <v>0</v>
      </c>
      <c r="N102" s="58">
        <f t="shared" ca="1" si="8"/>
        <v>0</v>
      </c>
      <c r="O102" s="223"/>
      <c r="P102" s="131">
        <f t="shared" ca="1" si="9"/>
        <v>47848</v>
      </c>
      <c r="Q102" s="111">
        <f ca="1">IF(C102="","",Q101+(E102+H102-IF(RESULTADOS!$C$17="Normal",I102,0)-J102)/2+(F102+G102-IF(RESULTADOS!$C$17="Normal",0,I102)))</f>
        <v>0</v>
      </c>
      <c r="R102" s="111">
        <f ca="1">IF(C102="","",R101+(E102+H102-IF(RESULTADOS!$C$17="Normal",I102,0)-J102)/2)</f>
        <v>0</v>
      </c>
      <c r="S102" s="111">
        <f t="shared" ca="1" si="12"/>
        <v>0</v>
      </c>
      <c r="U102" s="131" t="str">
        <f t="shared" ca="1" si="13"/>
        <v/>
      </c>
      <c r="V102" s="131" t="str">
        <f t="shared" ca="1" si="10"/>
        <v/>
      </c>
      <c r="W102" s="111">
        <f ca="1">IF(OR((W101-13/12*Z101)*(1+PREMISSAS!$C$17)&lt;0,W101=""),0,(W101-13/12*Z101)*(1+PREMISSAS!$C$17))</f>
        <v>0</v>
      </c>
      <c r="X102" s="111">
        <f ca="1">IF(OR((X101-13/12*AA101)*(1+PREMISSAS!$C$17)&lt;0,X101=""),0,(X101-13/12*AA101)*(1+PREMISSAS!$C$17))</f>
        <v>0</v>
      </c>
      <c r="Y102" s="111">
        <f t="shared" ca="1" si="11"/>
        <v>0</v>
      </c>
      <c r="Z102" s="134">
        <f t="shared" ca="1" si="14"/>
        <v>0</v>
      </c>
      <c r="AA102" s="134">
        <f t="shared" ca="1" si="15"/>
        <v>0</v>
      </c>
    </row>
    <row r="103" spans="2:27" x14ac:dyDescent="0.3">
      <c r="B103" s="21">
        <f ca="1">IF(B102="","",IF(EOMONTH(B102,1)&gt;EOMONTH(ELEGIBILIDADE!$E$5,0),"",EOMONTH(B102,1)))</f>
        <v>47879</v>
      </c>
      <c r="C103" s="22">
        <f ca="1">IF(B103="","",IF(MONTH(B103)=1,C102*(1+PREMISSAS!$C$58),C102))</f>
        <v>0</v>
      </c>
      <c r="D103" s="22">
        <f ca="1">IF(RESULTADOS!$C$17="Normal",IFERROR(MAX(C103-PREMISSAS!$C$14,0),0),IF(PREMISSAS!$H$117=0,0,MAX(10*PREMISSAS!$C$39,RESULTADOS!$F$17)))</f>
        <v>0</v>
      </c>
      <c r="E103" s="4">
        <f ca="1">D103*IF(RESULTADOS!$C$17="Normal",RESULTADOS!$C$16,0)</f>
        <v>0</v>
      </c>
      <c r="F103" s="4">
        <f ca="1">IF(D103&lt;&gt;0,PREMISSAS!$N$83,0)</f>
        <v>0</v>
      </c>
      <c r="G103" s="4">
        <f ca="1">IFERROR(IF(RESULTADOS!$C$17="Normal",0,D103)*IF(RESULTADOS!$C$17="Normal",RESULTADOS!$C$18,RESULTADOS!$C$16),0)</f>
        <v>0</v>
      </c>
      <c r="H103" s="4">
        <f ca="1">IF(RESULTADOS!$C$17="Normal",E103,0)</f>
        <v>0</v>
      </c>
      <c r="I103" s="4">
        <f ca="1">(E103+H103+G103)*IFERROR(VLOOKUP(INT(COUNT($B$5:B103)/12),PREMISSAS!$B$62:$C$69,2,FALSE),PREMISSAS!$C$69)</f>
        <v>0</v>
      </c>
      <c r="J103" s="4">
        <f ca="1">D103*IF(RESULTADOS!$C$17="Normal",PREMISSAS!$C$71,0)</f>
        <v>0</v>
      </c>
      <c r="K103" s="87">
        <f ca="1">IFERROR(K102*(1+PREMISSAS!$C$19)+(E103+H103-IF(RESULTADOS!$C$17="Normal",I103,0)-J103)*IF(MONTH(B103)=12,2,1),0)</f>
        <v>0</v>
      </c>
      <c r="L103" s="87">
        <f ca="1">IFERROR((L102+G103-IF(RESULTADOS!$C$17="Normal",0,I103))*(1+PREMISSAS!$C$19)+F103,0)</f>
        <v>0</v>
      </c>
      <c r="N103" s="58">
        <f t="shared" ca="1" si="8"/>
        <v>0</v>
      </c>
      <c r="O103" s="223"/>
      <c r="P103" s="131">
        <f t="shared" ca="1" si="9"/>
        <v>47879</v>
      </c>
      <c r="Q103" s="111">
        <f ca="1">IF(C103="","",Q102+(E103+H103-IF(RESULTADOS!$C$17="Normal",I103,0)-J103)/2+(F103+G103-IF(RESULTADOS!$C$17="Normal",0,I103)))</f>
        <v>0</v>
      </c>
      <c r="R103" s="111">
        <f ca="1">IF(C103="","",R102+(E103+H103-IF(RESULTADOS!$C$17="Normal",I103,0)-J103)/2)</f>
        <v>0</v>
      </c>
      <c r="S103" s="111">
        <f t="shared" ca="1" si="12"/>
        <v>0</v>
      </c>
      <c r="U103" s="131" t="str">
        <f t="shared" ca="1" si="13"/>
        <v/>
      </c>
      <c r="V103" s="131" t="str">
        <f t="shared" ca="1" si="10"/>
        <v/>
      </c>
      <c r="W103" s="111">
        <f ca="1">IF(OR((W102-13/12*Z102)*(1+PREMISSAS!$C$17)&lt;0,W102=""),0,(W102-13/12*Z102)*(1+PREMISSAS!$C$17))</f>
        <v>0</v>
      </c>
      <c r="X103" s="111">
        <f ca="1">IF(OR((X102-13/12*AA102)*(1+PREMISSAS!$C$17)&lt;0,X102=""),0,(X102-13/12*AA102)*(1+PREMISSAS!$C$17))</f>
        <v>0</v>
      </c>
      <c r="Y103" s="111">
        <f t="shared" ca="1" si="11"/>
        <v>0</v>
      </c>
      <c r="Z103" s="134">
        <f t="shared" ca="1" si="14"/>
        <v>0</v>
      </c>
      <c r="AA103" s="134">
        <f t="shared" ca="1" si="15"/>
        <v>0</v>
      </c>
    </row>
    <row r="104" spans="2:27" x14ac:dyDescent="0.3">
      <c r="B104" s="21">
        <f ca="1">IF(B103="","",IF(EOMONTH(B103,1)&gt;EOMONTH(ELEGIBILIDADE!$E$5,0),"",EOMONTH(B103,1)))</f>
        <v>47907</v>
      </c>
      <c r="C104" s="22">
        <f ca="1">IF(B104="","",IF(MONTH(B104)=1,C103*(1+PREMISSAS!$C$58),C103))</f>
        <v>0</v>
      </c>
      <c r="D104" s="22">
        <f ca="1">IF(RESULTADOS!$C$17="Normal",IFERROR(MAX(C104-PREMISSAS!$C$14,0),0),IF(PREMISSAS!$H$117=0,0,MAX(10*PREMISSAS!$C$39,RESULTADOS!$F$17)))</f>
        <v>0</v>
      </c>
      <c r="E104" s="4">
        <f ca="1">D104*IF(RESULTADOS!$C$17="Normal",RESULTADOS!$C$16,0)</f>
        <v>0</v>
      </c>
      <c r="F104" s="4">
        <f ca="1">IF(D104&lt;&gt;0,PREMISSAS!$N$83,0)</f>
        <v>0</v>
      </c>
      <c r="G104" s="4">
        <f ca="1">IFERROR(IF(RESULTADOS!$C$17="Normal",0,D104)*IF(RESULTADOS!$C$17="Normal",RESULTADOS!$C$18,RESULTADOS!$C$16),0)</f>
        <v>0</v>
      </c>
      <c r="H104" s="4">
        <f ca="1">IF(RESULTADOS!$C$17="Normal",E104,0)</f>
        <v>0</v>
      </c>
      <c r="I104" s="4">
        <f ca="1">(E104+H104+G104)*IFERROR(VLOOKUP(INT(COUNT($B$5:B104)/12),PREMISSAS!$B$62:$C$69,2,FALSE),PREMISSAS!$C$69)</f>
        <v>0</v>
      </c>
      <c r="J104" s="4">
        <f ca="1">D104*IF(RESULTADOS!$C$17="Normal",PREMISSAS!$C$71,0)</f>
        <v>0</v>
      </c>
      <c r="K104" s="87">
        <f ca="1">IFERROR(K103*(1+PREMISSAS!$C$19)+(E104+H104-IF(RESULTADOS!$C$17="Normal",I104,0)-J104)*IF(MONTH(B104)=12,2,1),0)</f>
        <v>0</v>
      </c>
      <c r="L104" s="87">
        <f ca="1">IFERROR((L103+G104-IF(RESULTADOS!$C$17="Normal",0,I104))*(1+PREMISSAS!$C$19)+F104,0)</f>
        <v>0</v>
      </c>
      <c r="N104" s="58">
        <f t="shared" ca="1" si="8"/>
        <v>0</v>
      </c>
      <c r="O104" s="223"/>
      <c r="P104" s="131">
        <f t="shared" ca="1" si="9"/>
        <v>47907</v>
      </c>
      <c r="Q104" s="111">
        <f ca="1">IF(C104="","",Q103+(E104+H104-IF(RESULTADOS!$C$17="Normal",I104,0)-J104)/2+(F104+G104-IF(RESULTADOS!$C$17="Normal",0,I104)))</f>
        <v>0</v>
      </c>
      <c r="R104" s="111">
        <f ca="1">IF(C104="","",R103+(E104+H104-IF(RESULTADOS!$C$17="Normal",I104,0)-J104)/2)</f>
        <v>0</v>
      </c>
      <c r="S104" s="111">
        <f t="shared" ca="1" si="12"/>
        <v>0</v>
      </c>
      <c r="U104" s="131" t="str">
        <f t="shared" ca="1" si="13"/>
        <v/>
      </c>
      <c r="V104" s="131" t="str">
        <f t="shared" ca="1" si="10"/>
        <v/>
      </c>
      <c r="W104" s="111">
        <f ca="1">IF(OR((W103-13/12*Z103)*(1+PREMISSAS!$C$17)&lt;0,W103=""),0,(W103-13/12*Z103)*(1+PREMISSAS!$C$17))</f>
        <v>0</v>
      </c>
      <c r="X104" s="111">
        <f ca="1">IF(OR((X103-13/12*AA103)*(1+PREMISSAS!$C$17)&lt;0,X103=""),0,(X103-13/12*AA103)*(1+PREMISSAS!$C$17))</f>
        <v>0</v>
      </c>
      <c r="Y104" s="111">
        <f t="shared" ca="1" si="11"/>
        <v>0</v>
      </c>
      <c r="Z104" s="134">
        <f t="shared" ca="1" si="14"/>
        <v>0</v>
      </c>
      <c r="AA104" s="134">
        <f t="shared" ca="1" si="15"/>
        <v>0</v>
      </c>
    </row>
    <row r="105" spans="2:27" x14ac:dyDescent="0.3">
      <c r="B105" s="21">
        <f ca="1">IF(B104="","",IF(EOMONTH(B104,1)&gt;EOMONTH(ELEGIBILIDADE!$E$5,0),"",EOMONTH(B104,1)))</f>
        <v>47938</v>
      </c>
      <c r="C105" s="22">
        <f ca="1">IF(B105="","",IF(MONTH(B105)=1,C104*(1+PREMISSAS!$C$58),C104))</f>
        <v>0</v>
      </c>
      <c r="D105" s="22">
        <f ca="1">IF(RESULTADOS!$C$17="Normal",IFERROR(MAX(C105-PREMISSAS!$C$14,0),0),IF(PREMISSAS!$H$117=0,0,MAX(10*PREMISSAS!$C$39,RESULTADOS!$F$17)))</f>
        <v>0</v>
      </c>
      <c r="E105" s="4">
        <f ca="1">D105*IF(RESULTADOS!$C$17="Normal",RESULTADOS!$C$16,0)</f>
        <v>0</v>
      </c>
      <c r="F105" s="4">
        <f ca="1">IF(D105&lt;&gt;0,PREMISSAS!$N$83,0)</f>
        <v>0</v>
      </c>
      <c r="G105" s="4">
        <f ca="1">IFERROR(IF(RESULTADOS!$C$17="Normal",0,D105)*IF(RESULTADOS!$C$17="Normal",RESULTADOS!$C$18,RESULTADOS!$C$16),0)</f>
        <v>0</v>
      </c>
      <c r="H105" s="4">
        <f ca="1">IF(RESULTADOS!$C$17="Normal",E105,0)</f>
        <v>0</v>
      </c>
      <c r="I105" s="4">
        <f ca="1">(E105+H105+G105)*IFERROR(VLOOKUP(INT(COUNT($B$5:B105)/12),PREMISSAS!$B$62:$C$69,2,FALSE),PREMISSAS!$C$69)</f>
        <v>0</v>
      </c>
      <c r="J105" s="4">
        <f ca="1">D105*IF(RESULTADOS!$C$17="Normal",PREMISSAS!$C$71,0)</f>
        <v>0</v>
      </c>
      <c r="K105" s="87">
        <f ca="1">IFERROR(K104*(1+PREMISSAS!$C$19)+(E105+H105-IF(RESULTADOS!$C$17="Normal",I105,0)-J105)*IF(MONTH(B105)=12,2,1),0)</f>
        <v>0</v>
      </c>
      <c r="L105" s="87">
        <f ca="1">IFERROR((L104+G105-IF(RESULTADOS!$C$17="Normal",0,I105))*(1+PREMISSAS!$C$19)+F105,0)</f>
        <v>0</v>
      </c>
      <c r="N105" s="58">
        <f t="shared" ca="1" si="8"/>
        <v>0</v>
      </c>
      <c r="O105" s="223"/>
      <c r="P105" s="131">
        <f t="shared" ca="1" si="9"/>
        <v>47938</v>
      </c>
      <c r="Q105" s="111">
        <f ca="1">IF(C105="","",Q104+(E105+H105-IF(RESULTADOS!$C$17="Normal",I105,0)-J105)/2+(F105+G105-IF(RESULTADOS!$C$17="Normal",0,I105)))</f>
        <v>0</v>
      </c>
      <c r="R105" s="111">
        <f ca="1">IF(C105="","",R104+(E105+H105-IF(RESULTADOS!$C$17="Normal",I105,0)-J105)/2)</f>
        <v>0</v>
      </c>
      <c r="S105" s="111">
        <f t="shared" ca="1" si="12"/>
        <v>0</v>
      </c>
      <c r="U105" s="131" t="str">
        <f t="shared" ca="1" si="13"/>
        <v/>
      </c>
      <c r="V105" s="131" t="str">
        <f t="shared" ca="1" si="10"/>
        <v/>
      </c>
      <c r="W105" s="111">
        <f ca="1">IF(OR((W104-13/12*Z104)*(1+PREMISSAS!$C$17)&lt;0,W104=""),0,(W104-13/12*Z104)*(1+PREMISSAS!$C$17))</f>
        <v>0</v>
      </c>
      <c r="X105" s="111">
        <f ca="1">IF(OR((X104-13/12*AA104)*(1+PREMISSAS!$C$17)&lt;0,X104=""),0,(X104-13/12*AA104)*(1+PREMISSAS!$C$17))</f>
        <v>0</v>
      </c>
      <c r="Y105" s="111">
        <f t="shared" ca="1" si="11"/>
        <v>0</v>
      </c>
      <c r="Z105" s="134">
        <f t="shared" ca="1" si="14"/>
        <v>0</v>
      </c>
      <c r="AA105" s="134">
        <f t="shared" ca="1" si="15"/>
        <v>0</v>
      </c>
    </row>
    <row r="106" spans="2:27" x14ac:dyDescent="0.3">
      <c r="B106" s="21">
        <f ca="1">IF(B105="","",IF(EOMONTH(B105,1)&gt;EOMONTH(ELEGIBILIDADE!$E$5,0),"",EOMONTH(B105,1)))</f>
        <v>47968</v>
      </c>
      <c r="C106" s="22">
        <f ca="1">IF(B106="","",IF(MONTH(B106)=1,C105*(1+PREMISSAS!$C$58),C105))</f>
        <v>0</v>
      </c>
      <c r="D106" s="22">
        <f ca="1">IF(RESULTADOS!$C$17="Normal",IFERROR(MAX(C106-PREMISSAS!$C$14,0),0),IF(PREMISSAS!$H$117=0,0,MAX(10*PREMISSAS!$C$39,RESULTADOS!$F$17)))</f>
        <v>0</v>
      </c>
      <c r="E106" s="4">
        <f ca="1">D106*IF(RESULTADOS!$C$17="Normal",RESULTADOS!$C$16,0)</f>
        <v>0</v>
      </c>
      <c r="F106" s="4">
        <f ca="1">IF(D106&lt;&gt;0,PREMISSAS!$N$83,0)</f>
        <v>0</v>
      </c>
      <c r="G106" s="4">
        <f ca="1">IFERROR(IF(RESULTADOS!$C$17="Normal",0,D106)*IF(RESULTADOS!$C$17="Normal",RESULTADOS!$C$18,RESULTADOS!$C$16),0)</f>
        <v>0</v>
      </c>
      <c r="H106" s="4">
        <f ca="1">IF(RESULTADOS!$C$17="Normal",E106,0)</f>
        <v>0</v>
      </c>
      <c r="I106" s="4">
        <f ca="1">(E106+H106+G106)*IFERROR(VLOOKUP(INT(COUNT($B$5:B106)/12),PREMISSAS!$B$62:$C$69,2,FALSE),PREMISSAS!$C$69)</f>
        <v>0</v>
      </c>
      <c r="J106" s="4">
        <f ca="1">D106*IF(RESULTADOS!$C$17="Normal",PREMISSAS!$C$71,0)</f>
        <v>0</v>
      </c>
      <c r="K106" s="87">
        <f ca="1">IFERROR(K105*(1+PREMISSAS!$C$19)+(E106+H106-IF(RESULTADOS!$C$17="Normal",I106,0)-J106)*IF(MONTH(B106)=12,2,1),0)</f>
        <v>0</v>
      </c>
      <c r="L106" s="87">
        <f ca="1">IFERROR((L105+G106-IF(RESULTADOS!$C$17="Normal",0,I106))*(1+PREMISSAS!$C$19)+F106,0)</f>
        <v>0</v>
      </c>
      <c r="N106" s="58">
        <f t="shared" ca="1" si="8"/>
        <v>0</v>
      </c>
      <c r="O106" s="223"/>
      <c r="P106" s="131">
        <f t="shared" ca="1" si="9"/>
        <v>47968</v>
      </c>
      <c r="Q106" s="111">
        <f ca="1">IF(C106="","",Q105+(E106+H106-IF(RESULTADOS!$C$17="Normal",I106,0)-J106)/2+(F106+G106-IF(RESULTADOS!$C$17="Normal",0,I106)))</f>
        <v>0</v>
      </c>
      <c r="R106" s="111">
        <f ca="1">IF(C106="","",R105+(E106+H106-IF(RESULTADOS!$C$17="Normal",I106,0)-J106)/2)</f>
        <v>0</v>
      </c>
      <c r="S106" s="111">
        <f t="shared" ca="1" si="12"/>
        <v>0</v>
      </c>
      <c r="U106" s="131" t="str">
        <f t="shared" ca="1" si="13"/>
        <v/>
      </c>
      <c r="V106" s="131" t="str">
        <f t="shared" ca="1" si="10"/>
        <v/>
      </c>
      <c r="W106" s="111">
        <f ca="1">IF(OR((W105-13/12*Z105)*(1+PREMISSAS!$C$17)&lt;0,W105=""),0,(W105-13/12*Z105)*(1+PREMISSAS!$C$17))</f>
        <v>0</v>
      </c>
      <c r="X106" s="111">
        <f ca="1">IF(OR((X105-13/12*AA105)*(1+PREMISSAS!$C$17)&lt;0,X105=""),0,(X105-13/12*AA105)*(1+PREMISSAS!$C$17))</f>
        <v>0</v>
      </c>
      <c r="Y106" s="111">
        <f t="shared" ca="1" si="11"/>
        <v>0</v>
      </c>
      <c r="Z106" s="134">
        <f t="shared" ca="1" si="14"/>
        <v>0</v>
      </c>
      <c r="AA106" s="134">
        <f t="shared" ca="1" si="15"/>
        <v>0</v>
      </c>
    </row>
    <row r="107" spans="2:27" x14ac:dyDescent="0.3">
      <c r="B107" s="21">
        <f ca="1">IF(B106="","",IF(EOMONTH(B106,1)&gt;EOMONTH(ELEGIBILIDADE!$E$5,0),"",EOMONTH(B106,1)))</f>
        <v>47999</v>
      </c>
      <c r="C107" s="22">
        <f ca="1">IF(B107="","",IF(MONTH(B107)=1,C106*(1+PREMISSAS!$C$58),C106))</f>
        <v>0</v>
      </c>
      <c r="D107" s="22">
        <f ca="1">IF(RESULTADOS!$C$17="Normal",IFERROR(MAX(C107-PREMISSAS!$C$14,0),0),IF(PREMISSAS!$H$117=0,0,MAX(10*PREMISSAS!$C$39,RESULTADOS!$F$17)))</f>
        <v>0</v>
      </c>
      <c r="E107" s="4">
        <f ca="1">D107*IF(RESULTADOS!$C$17="Normal",RESULTADOS!$C$16,0)</f>
        <v>0</v>
      </c>
      <c r="F107" s="4">
        <f ca="1">IF(D107&lt;&gt;0,PREMISSAS!$N$83,0)</f>
        <v>0</v>
      </c>
      <c r="G107" s="4">
        <f ca="1">IFERROR(IF(RESULTADOS!$C$17="Normal",0,D107)*IF(RESULTADOS!$C$17="Normal",RESULTADOS!$C$18,RESULTADOS!$C$16),0)</f>
        <v>0</v>
      </c>
      <c r="H107" s="4">
        <f ca="1">IF(RESULTADOS!$C$17="Normal",E107,0)</f>
        <v>0</v>
      </c>
      <c r="I107" s="4">
        <f ca="1">(E107+H107+G107)*IFERROR(VLOOKUP(INT(COUNT($B$5:B107)/12),PREMISSAS!$B$62:$C$69,2,FALSE),PREMISSAS!$C$69)</f>
        <v>0</v>
      </c>
      <c r="J107" s="4">
        <f ca="1">D107*IF(RESULTADOS!$C$17="Normal",PREMISSAS!$C$71,0)</f>
        <v>0</v>
      </c>
      <c r="K107" s="87">
        <f ca="1">IFERROR(K106*(1+PREMISSAS!$C$19)+(E107+H107-IF(RESULTADOS!$C$17="Normal",I107,0)-J107)*IF(MONTH(B107)=12,2,1),0)</f>
        <v>0</v>
      </c>
      <c r="L107" s="87">
        <f ca="1">IFERROR((L106+G107-IF(RESULTADOS!$C$17="Normal",0,I107))*(1+PREMISSAS!$C$19)+F107,0)</f>
        <v>0</v>
      </c>
      <c r="N107" s="58">
        <f t="shared" ca="1" si="8"/>
        <v>0</v>
      </c>
      <c r="O107" s="223"/>
      <c r="P107" s="131">
        <f t="shared" ca="1" si="9"/>
        <v>47999</v>
      </c>
      <c r="Q107" s="111">
        <f ca="1">IF(C107="","",Q106+(E107+H107-IF(RESULTADOS!$C$17="Normal",I107,0)-J107)/2+(F107+G107-IF(RESULTADOS!$C$17="Normal",0,I107)))</f>
        <v>0</v>
      </c>
      <c r="R107" s="111">
        <f ca="1">IF(C107="","",R106+(E107+H107-IF(RESULTADOS!$C$17="Normal",I107,0)-J107)/2)</f>
        <v>0</v>
      </c>
      <c r="S107" s="111">
        <f t="shared" ca="1" si="12"/>
        <v>0</v>
      </c>
      <c r="U107" s="131" t="str">
        <f t="shared" ca="1" si="13"/>
        <v/>
      </c>
      <c r="V107" s="131" t="str">
        <f t="shared" ca="1" si="10"/>
        <v/>
      </c>
      <c r="W107" s="111">
        <f ca="1">IF(OR((W106-13/12*Z106)*(1+PREMISSAS!$C$17)&lt;0,W106=""),0,(W106-13/12*Z106)*(1+PREMISSAS!$C$17))</f>
        <v>0</v>
      </c>
      <c r="X107" s="111">
        <f ca="1">IF(OR((X106-13/12*AA106)*(1+PREMISSAS!$C$17)&lt;0,X106=""),0,(X106-13/12*AA106)*(1+PREMISSAS!$C$17))</f>
        <v>0</v>
      </c>
      <c r="Y107" s="111">
        <f t="shared" ca="1" si="11"/>
        <v>0</v>
      </c>
      <c r="Z107" s="134">
        <f t="shared" ca="1" si="14"/>
        <v>0</v>
      </c>
      <c r="AA107" s="134">
        <f t="shared" ca="1" si="15"/>
        <v>0</v>
      </c>
    </row>
    <row r="108" spans="2:27" x14ac:dyDescent="0.3">
      <c r="B108" s="21">
        <f ca="1">IF(B107="","",IF(EOMONTH(B107,1)&gt;EOMONTH(ELEGIBILIDADE!$E$5,0),"",EOMONTH(B107,1)))</f>
        <v>48029</v>
      </c>
      <c r="C108" s="22">
        <f ca="1">IF(B108="","",IF(MONTH(B108)=1,C107*(1+PREMISSAS!$C$58),C107))</f>
        <v>0</v>
      </c>
      <c r="D108" s="22">
        <f ca="1">IF(RESULTADOS!$C$17="Normal",IFERROR(MAX(C108-PREMISSAS!$C$14,0),0),IF(PREMISSAS!$H$117=0,0,MAX(10*PREMISSAS!$C$39,RESULTADOS!$F$17)))</f>
        <v>0</v>
      </c>
      <c r="E108" s="4">
        <f ca="1">D108*IF(RESULTADOS!$C$17="Normal",RESULTADOS!$C$16,0)</f>
        <v>0</v>
      </c>
      <c r="F108" s="4">
        <f ca="1">IF(D108&lt;&gt;0,PREMISSAS!$N$83,0)</f>
        <v>0</v>
      </c>
      <c r="G108" s="4">
        <f ca="1">IFERROR(IF(RESULTADOS!$C$17="Normal",0,D108)*IF(RESULTADOS!$C$17="Normal",RESULTADOS!$C$18,RESULTADOS!$C$16),0)</f>
        <v>0</v>
      </c>
      <c r="H108" s="4">
        <f ca="1">IF(RESULTADOS!$C$17="Normal",E108,0)</f>
        <v>0</v>
      </c>
      <c r="I108" s="4">
        <f ca="1">(E108+H108+G108)*IFERROR(VLOOKUP(INT(COUNT($B$5:B108)/12),PREMISSAS!$B$62:$C$69,2,FALSE),PREMISSAS!$C$69)</f>
        <v>0</v>
      </c>
      <c r="J108" s="4">
        <f ca="1">D108*IF(RESULTADOS!$C$17="Normal",PREMISSAS!$C$71,0)</f>
        <v>0</v>
      </c>
      <c r="K108" s="87">
        <f ca="1">IFERROR(K107*(1+PREMISSAS!$C$19)+(E108+H108-IF(RESULTADOS!$C$17="Normal",I108,0)-J108)*IF(MONTH(B108)=12,2,1),0)</f>
        <v>0</v>
      </c>
      <c r="L108" s="87">
        <f ca="1">IFERROR((L107+G108-IF(RESULTADOS!$C$17="Normal",0,I108))*(1+PREMISSAS!$C$19)+F108,0)</f>
        <v>0</v>
      </c>
      <c r="N108" s="58">
        <f t="shared" ca="1" si="8"/>
        <v>0</v>
      </c>
      <c r="O108" s="223"/>
      <c r="P108" s="131">
        <f t="shared" ca="1" si="9"/>
        <v>48029</v>
      </c>
      <c r="Q108" s="111">
        <f ca="1">IF(C108="","",Q107+(E108+H108-IF(RESULTADOS!$C$17="Normal",I108,0)-J108)/2+(F108+G108-IF(RESULTADOS!$C$17="Normal",0,I108)))</f>
        <v>0</v>
      </c>
      <c r="R108" s="111">
        <f ca="1">IF(C108="","",R107+(E108+H108-IF(RESULTADOS!$C$17="Normal",I108,0)-J108)/2)</f>
        <v>0</v>
      </c>
      <c r="S108" s="111">
        <f t="shared" ca="1" si="12"/>
        <v>0</v>
      </c>
      <c r="U108" s="131" t="str">
        <f t="shared" ca="1" si="13"/>
        <v/>
      </c>
      <c r="V108" s="131" t="str">
        <f t="shared" ca="1" si="10"/>
        <v/>
      </c>
      <c r="W108" s="111">
        <f ca="1">IF(OR((W107-13/12*Z107)*(1+PREMISSAS!$C$17)&lt;0,W107=""),0,(W107-13/12*Z107)*(1+PREMISSAS!$C$17))</f>
        <v>0</v>
      </c>
      <c r="X108" s="111">
        <f ca="1">IF(OR((X107-13/12*AA107)*(1+PREMISSAS!$C$17)&lt;0,X107=""),0,(X107-13/12*AA107)*(1+PREMISSAS!$C$17))</f>
        <v>0</v>
      </c>
      <c r="Y108" s="111">
        <f t="shared" ca="1" si="11"/>
        <v>0</v>
      </c>
      <c r="Z108" s="134">
        <f t="shared" ca="1" si="14"/>
        <v>0</v>
      </c>
      <c r="AA108" s="134">
        <f t="shared" ca="1" si="15"/>
        <v>0</v>
      </c>
    </row>
    <row r="109" spans="2:27" x14ac:dyDescent="0.3">
      <c r="B109" s="21">
        <f ca="1">IF(B108="","",IF(EOMONTH(B108,1)&gt;EOMONTH(ELEGIBILIDADE!$E$5,0),"",EOMONTH(B108,1)))</f>
        <v>48060</v>
      </c>
      <c r="C109" s="22">
        <f ca="1">IF(B109="","",IF(MONTH(B109)=1,C108*(1+PREMISSAS!$C$58),C108))</f>
        <v>0</v>
      </c>
      <c r="D109" s="22">
        <f ca="1">IF(RESULTADOS!$C$17="Normal",IFERROR(MAX(C109-PREMISSAS!$C$14,0),0),IF(PREMISSAS!$H$117=0,0,MAX(10*PREMISSAS!$C$39,RESULTADOS!$F$17)))</f>
        <v>0</v>
      </c>
      <c r="E109" s="4">
        <f ca="1">D109*IF(RESULTADOS!$C$17="Normal",RESULTADOS!$C$16,0)</f>
        <v>0</v>
      </c>
      <c r="F109" s="4">
        <f ca="1">IF(D109&lt;&gt;0,PREMISSAS!$N$83,0)</f>
        <v>0</v>
      </c>
      <c r="G109" s="4">
        <f ca="1">IFERROR(IF(RESULTADOS!$C$17="Normal",0,D109)*IF(RESULTADOS!$C$17="Normal",RESULTADOS!$C$18,RESULTADOS!$C$16),0)</f>
        <v>0</v>
      </c>
      <c r="H109" s="4">
        <f ca="1">IF(RESULTADOS!$C$17="Normal",E109,0)</f>
        <v>0</v>
      </c>
      <c r="I109" s="4">
        <f ca="1">(E109+H109+G109)*IFERROR(VLOOKUP(INT(COUNT($B$5:B109)/12),PREMISSAS!$B$62:$C$69,2,FALSE),PREMISSAS!$C$69)</f>
        <v>0</v>
      </c>
      <c r="J109" s="4">
        <f ca="1">D109*IF(RESULTADOS!$C$17="Normal",PREMISSAS!$C$71,0)</f>
        <v>0</v>
      </c>
      <c r="K109" s="87">
        <f ca="1">IFERROR(K108*(1+PREMISSAS!$C$19)+(E109+H109-IF(RESULTADOS!$C$17="Normal",I109,0)-J109)*IF(MONTH(B109)=12,2,1),0)</f>
        <v>0</v>
      </c>
      <c r="L109" s="87">
        <f ca="1">IFERROR((L108+G109-IF(RESULTADOS!$C$17="Normal",0,I109))*(1+PREMISSAS!$C$19)+F109,0)</f>
        <v>0</v>
      </c>
      <c r="N109" s="58">
        <f t="shared" ca="1" si="8"/>
        <v>0</v>
      </c>
      <c r="O109" s="223"/>
      <c r="P109" s="131">
        <f t="shared" ca="1" si="9"/>
        <v>48060</v>
      </c>
      <c r="Q109" s="111">
        <f ca="1">IF(C109="","",Q108+(E109+H109-IF(RESULTADOS!$C$17="Normal",I109,0)-J109)/2+(F109+G109-IF(RESULTADOS!$C$17="Normal",0,I109)))</f>
        <v>0</v>
      </c>
      <c r="R109" s="111">
        <f ca="1">IF(C109="","",R108+(E109+H109-IF(RESULTADOS!$C$17="Normal",I109,0)-J109)/2)</f>
        <v>0</v>
      </c>
      <c r="S109" s="111">
        <f t="shared" ca="1" si="12"/>
        <v>0</v>
      </c>
      <c r="U109" s="131" t="str">
        <f t="shared" ca="1" si="13"/>
        <v/>
      </c>
      <c r="V109" s="131" t="str">
        <f t="shared" ca="1" si="10"/>
        <v/>
      </c>
      <c r="W109" s="111">
        <f ca="1">IF(OR((W108-13/12*Z108)*(1+PREMISSAS!$C$17)&lt;0,W108=""),0,(W108-13/12*Z108)*(1+PREMISSAS!$C$17))</f>
        <v>0</v>
      </c>
      <c r="X109" s="111">
        <f ca="1">IF(OR((X108-13/12*AA108)*(1+PREMISSAS!$C$17)&lt;0,X108=""),0,(X108-13/12*AA108)*(1+PREMISSAS!$C$17))</f>
        <v>0</v>
      </c>
      <c r="Y109" s="111">
        <f t="shared" ca="1" si="11"/>
        <v>0</v>
      </c>
      <c r="Z109" s="134">
        <f t="shared" ca="1" si="14"/>
        <v>0</v>
      </c>
      <c r="AA109" s="134">
        <f t="shared" ca="1" si="15"/>
        <v>0</v>
      </c>
    </row>
    <row r="110" spans="2:27" x14ac:dyDescent="0.3">
      <c r="B110" s="21">
        <f ca="1">IF(B109="","",IF(EOMONTH(B109,1)&gt;EOMONTH(ELEGIBILIDADE!$E$5,0),"",EOMONTH(B109,1)))</f>
        <v>48091</v>
      </c>
      <c r="C110" s="22">
        <f ca="1">IF(B110="","",IF(MONTH(B110)=1,C109*(1+PREMISSAS!$C$58),C109))</f>
        <v>0</v>
      </c>
      <c r="D110" s="22">
        <f ca="1">IF(RESULTADOS!$C$17="Normal",IFERROR(MAX(C110-PREMISSAS!$C$14,0),0),IF(PREMISSAS!$H$117=0,0,MAX(10*PREMISSAS!$C$39,RESULTADOS!$F$17)))</f>
        <v>0</v>
      </c>
      <c r="E110" s="4">
        <f ca="1">D110*IF(RESULTADOS!$C$17="Normal",RESULTADOS!$C$16,0)</f>
        <v>0</v>
      </c>
      <c r="F110" s="4">
        <f ca="1">IF(D110&lt;&gt;0,PREMISSAS!$N$83,0)</f>
        <v>0</v>
      </c>
      <c r="G110" s="4">
        <f ca="1">IFERROR(IF(RESULTADOS!$C$17="Normal",0,D110)*IF(RESULTADOS!$C$17="Normal",RESULTADOS!$C$18,RESULTADOS!$C$16),0)</f>
        <v>0</v>
      </c>
      <c r="H110" s="4">
        <f ca="1">IF(RESULTADOS!$C$17="Normal",E110,0)</f>
        <v>0</v>
      </c>
      <c r="I110" s="4">
        <f ca="1">(E110+H110+G110)*IFERROR(VLOOKUP(INT(COUNT($B$5:B110)/12),PREMISSAS!$B$62:$C$69,2,FALSE),PREMISSAS!$C$69)</f>
        <v>0</v>
      </c>
      <c r="J110" s="4">
        <f ca="1">D110*IF(RESULTADOS!$C$17="Normal",PREMISSAS!$C$71,0)</f>
        <v>0</v>
      </c>
      <c r="K110" s="87">
        <f ca="1">IFERROR(K109*(1+PREMISSAS!$C$19)+(E110+H110-IF(RESULTADOS!$C$17="Normal",I110,0)-J110)*IF(MONTH(B110)=12,2,1),0)</f>
        <v>0</v>
      </c>
      <c r="L110" s="87">
        <f ca="1">IFERROR((L109+G110-IF(RESULTADOS!$C$17="Normal",0,I110))*(1+PREMISSAS!$C$19)+F110,0)</f>
        <v>0</v>
      </c>
      <c r="N110" s="58">
        <f t="shared" ca="1" si="8"/>
        <v>0</v>
      </c>
      <c r="O110" s="223"/>
      <c r="P110" s="131">
        <f t="shared" ca="1" si="9"/>
        <v>48091</v>
      </c>
      <c r="Q110" s="111">
        <f ca="1">IF(C110="","",Q109+(E110+H110-IF(RESULTADOS!$C$17="Normal",I110,0)-J110)/2+(F110+G110-IF(RESULTADOS!$C$17="Normal",0,I110)))</f>
        <v>0</v>
      </c>
      <c r="R110" s="111">
        <f ca="1">IF(C110="","",R109+(E110+H110-IF(RESULTADOS!$C$17="Normal",I110,0)-J110)/2)</f>
        <v>0</v>
      </c>
      <c r="S110" s="111">
        <f t="shared" ca="1" si="12"/>
        <v>0</v>
      </c>
      <c r="U110" s="131" t="str">
        <f t="shared" ca="1" si="13"/>
        <v/>
      </c>
      <c r="V110" s="131" t="str">
        <f t="shared" ca="1" si="10"/>
        <v/>
      </c>
      <c r="W110" s="111">
        <f ca="1">IF(OR((W109-13/12*Z109)*(1+PREMISSAS!$C$17)&lt;0,W109=""),0,(W109-13/12*Z109)*(1+PREMISSAS!$C$17))</f>
        <v>0</v>
      </c>
      <c r="X110" s="111">
        <f ca="1">IF(OR((X109-13/12*AA109)*(1+PREMISSAS!$C$17)&lt;0,X109=""),0,(X109-13/12*AA109)*(1+PREMISSAS!$C$17))</f>
        <v>0</v>
      </c>
      <c r="Y110" s="111">
        <f t="shared" ca="1" si="11"/>
        <v>0</v>
      </c>
      <c r="Z110" s="134">
        <f t="shared" ca="1" si="14"/>
        <v>0</v>
      </c>
      <c r="AA110" s="134">
        <f t="shared" ca="1" si="15"/>
        <v>0</v>
      </c>
    </row>
    <row r="111" spans="2:27" x14ac:dyDescent="0.3">
      <c r="B111" s="21">
        <f ca="1">IF(B110="","",IF(EOMONTH(B110,1)&gt;EOMONTH(ELEGIBILIDADE!$E$5,0),"",EOMONTH(B110,1)))</f>
        <v>48121</v>
      </c>
      <c r="C111" s="22">
        <f ca="1">IF(B111="","",IF(MONTH(B111)=1,C110*(1+PREMISSAS!$C$58),C110))</f>
        <v>0</v>
      </c>
      <c r="D111" s="22">
        <f ca="1">IF(RESULTADOS!$C$17="Normal",IFERROR(MAX(C111-PREMISSAS!$C$14,0),0),IF(PREMISSAS!$H$117=0,0,MAX(10*PREMISSAS!$C$39,RESULTADOS!$F$17)))</f>
        <v>0</v>
      </c>
      <c r="E111" s="4">
        <f ca="1">D111*IF(RESULTADOS!$C$17="Normal",RESULTADOS!$C$16,0)</f>
        <v>0</v>
      </c>
      <c r="F111" s="4">
        <f ca="1">IF(D111&lt;&gt;0,PREMISSAS!$N$83,0)</f>
        <v>0</v>
      </c>
      <c r="G111" s="4">
        <f ca="1">IFERROR(IF(RESULTADOS!$C$17="Normal",0,D111)*IF(RESULTADOS!$C$17="Normal",RESULTADOS!$C$18,RESULTADOS!$C$16),0)</f>
        <v>0</v>
      </c>
      <c r="H111" s="4">
        <f ca="1">IF(RESULTADOS!$C$17="Normal",E111,0)</f>
        <v>0</v>
      </c>
      <c r="I111" s="4">
        <f ca="1">(E111+H111+G111)*IFERROR(VLOOKUP(INT(COUNT($B$5:B111)/12),PREMISSAS!$B$62:$C$69,2,FALSE),PREMISSAS!$C$69)</f>
        <v>0</v>
      </c>
      <c r="J111" s="4">
        <f ca="1">D111*IF(RESULTADOS!$C$17="Normal",PREMISSAS!$C$71,0)</f>
        <v>0</v>
      </c>
      <c r="K111" s="87">
        <f ca="1">IFERROR(K110*(1+PREMISSAS!$C$19)+(E111+H111-IF(RESULTADOS!$C$17="Normal",I111,0)-J111)*IF(MONTH(B111)=12,2,1),0)</f>
        <v>0</v>
      </c>
      <c r="L111" s="87">
        <f ca="1">IFERROR((L110+G111-IF(RESULTADOS!$C$17="Normal",0,I111))*(1+PREMISSAS!$C$19)+F111,0)</f>
        <v>0</v>
      </c>
      <c r="N111" s="58">
        <f t="shared" ca="1" si="8"/>
        <v>0</v>
      </c>
      <c r="O111" s="223"/>
      <c r="P111" s="131">
        <f t="shared" ca="1" si="9"/>
        <v>48121</v>
      </c>
      <c r="Q111" s="111">
        <f ca="1">IF(C111="","",Q110+(E111+H111-IF(RESULTADOS!$C$17="Normal",I111,0)-J111)/2+(F111+G111-IF(RESULTADOS!$C$17="Normal",0,I111)))</f>
        <v>0</v>
      </c>
      <c r="R111" s="111">
        <f ca="1">IF(C111="","",R110+(E111+H111-IF(RESULTADOS!$C$17="Normal",I111,0)-J111)/2)</f>
        <v>0</v>
      </c>
      <c r="S111" s="111">
        <f t="shared" ca="1" si="12"/>
        <v>0</v>
      </c>
      <c r="U111" s="131" t="str">
        <f t="shared" ca="1" si="13"/>
        <v/>
      </c>
      <c r="V111" s="131" t="str">
        <f t="shared" ca="1" si="10"/>
        <v/>
      </c>
      <c r="W111" s="111">
        <f ca="1">IF(OR((W110-13/12*Z110)*(1+PREMISSAS!$C$17)&lt;0,W110=""),0,(W110-13/12*Z110)*(1+PREMISSAS!$C$17))</f>
        <v>0</v>
      </c>
      <c r="X111" s="111">
        <f ca="1">IF(OR((X110-13/12*AA110)*(1+PREMISSAS!$C$17)&lt;0,X110=""),0,(X110-13/12*AA110)*(1+PREMISSAS!$C$17))</f>
        <v>0</v>
      </c>
      <c r="Y111" s="111">
        <f t="shared" ca="1" si="11"/>
        <v>0</v>
      </c>
      <c r="Z111" s="134">
        <f t="shared" ca="1" si="14"/>
        <v>0</v>
      </c>
      <c r="AA111" s="134">
        <f t="shared" ca="1" si="15"/>
        <v>0</v>
      </c>
    </row>
    <row r="112" spans="2:27" x14ac:dyDescent="0.3">
      <c r="B112" s="21">
        <f ca="1">IF(B111="","",IF(EOMONTH(B111,1)&gt;EOMONTH(ELEGIBILIDADE!$E$5,0),"",EOMONTH(B111,1)))</f>
        <v>48152</v>
      </c>
      <c r="C112" s="22">
        <f ca="1">IF(B112="","",IF(MONTH(B112)=1,C111*(1+PREMISSAS!$C$58),C111))</f>
        <v>0</v>
      </c>
      <c r="D112" s="22">
        <f ca="1">IF(RESULTADOS!$C$17="Normal",IFERROR(MAX(C112-PREMISSAS!$C$14,0),0),IF(PREMISSAS!$H$117=0,0,MAX(10*PREMISSAS!$C$39,RESULTADOS!$F$17)))</f>
        <v>0</v>
      </c>
      <c r="E112" s="4">
        <f ca="1">D112*IF(RESULTADOS!$C$17="Normal",RESULTADOS!$C$16,0)</f>
        <v>0</v>
      </c>
      <c r="F112" s="4">
        <f ca="1">IF(D112&lt;&gt;0,PREMISSAS!$N$83,0)</f>
        <v>0</v>
      </c>
      <c r="G112" s="4">
        <f ca="1">IFERROR(IF(RESULTADOS!$C$17="Normal",0,D112)*IF(RESULTADOS!$C$17="Normal",RESULTADOS!$C$18,RESULTADOS!$C$16),0)</f>
        <v>0</v>
      </c>
      <c r="H112" s="4">
        <f ca="1">IF(RESULTADOS!$C$17="Normal",E112,0)</f>
        <v>0</v>
      </c>
      <c r="I112" s="4">
        <f ca="1">(E112+H112+G112)*IFERROR(VLOOKUP(INT(COUNT($B$5:B112)/12),PREMISSAS!$B$62:$C$69,2,FALSE),PREMISSAS!$C$69)</f>
        <v>0</v>
      </c>
      <c r="J112" s="4">
        <f ca="1">D112*IF(RESULTADOS!$C$17="Normal",PREMISSAS!$C$71,0)</f>
        <v>0</v>
      </c>
      <c r="K112" s="87">
        <f ca="1">IFERROR(K111*(1+PREMISSAS!$C$19)+(E112+H112-IF(RESULTADOS!$C$17="Normal",I112,0)-J112)*IF(MONTH(B112)=12,2,1),0)</f>
        <v>0</v>
      </c>
      <c r="L112" s="87">
        <f ca="1">IFERROR((L111+G112-IF(RESULTADOS!$C$17="Normal",0,I112))*(1+PREMISSAS!$C$19)+F112,0)</f>
        <v>0</v>
      </c>
      <c r="N112" s="58">
        <f t="shared" ca="1" si="8"/>
        <v>0</v>
      </c>
      <c r="O112" s="223"/>
      <c r="P112" s="131">
        <f t="shared" ca="1" si="9"/>
        <v>48152</v>
      </c>
      <c r="Q112" s="111">
        <f ca="1">IF(C112="","",Q111+(E112+H112-IF(RESULTADOS!$C$17="Normal",I112,0)-J112)/2+(F112+G112-IF(RESULTADOS!$C$17="Normal",0,I112)))</f>
        <v>0</v>
      </c>
      <c r="R112" s="111">
        <f ca="1">IF(C112="","",R111+(E112+H112-IF(RESULTADOS!$C$17="Normal",I112,0)-J112)/2)</f>
        <v>0</v>
      </c>
      <c r="S112" s="111">
        <f t="shared" ca="1" si="12"/>
        <v>0</v>
      </c>
      <c r="U112" s="131" t="str">
        <f t="shared" ca="1" si="13"/>
        <v/>
      </c>
      <c r="V112" s="131" t="str">
        <f t="shared" ca="1" si="10"/>
        <v/>
      </c>
      <c r="W112" s="111">
        <f ca="1">IF(OR((W111-13/12*Z111)*(1+PREMISSAS!$C$17)&lt;0,W111=""),0,(W111-13/12*Z111)*(1+PREMISSAS!$C$17))</f>
        <v>0</v>
      </c>
      <c r="X112" s="111">
        <f ca="1">IF(OR((X111-13/12*AA111)*(1+PREMISSAS!$C$17)&lt;0,X111=""),0,(X111-13/12*AA111)*(1+PREMISSAS!$C$17))</f>
        <v>0</v>
      </c>
      <c r="Y112" s="111">
        <f t="shared" ca="1" si="11"/>
        <v>0</v>
      </c>
      <c r="Z112" s="134">
        <f t="shared" ca="1" si="14"/>
        <v>0</v>
      </c>
      <c r="AA112" s="134">
        <f t="shared" ca="1" si="15"/>
        <v>0</v>
      </c>
    </row>
    <row r="113" spans="2:27" x14ac:dyDescent="0.3">
      <c r="B113" s="21">
        <f ca="1">IF(B112="","",IF(EOMONTH(B112,1)&gt;EOMONTH(ELEGIBILIDADE!$E$5,0),"",EOMONTH(B112,1)))</f>
        <v>48182</v>
      </c>
      <c r="C113" s="22">
        <f ca="1">IF(B113="","",IF(MONTH(B113)=1,C112*(1+PREMISSAS!$C$58),C112))</f>
        <v>0</v>
      </c>
      <c r="D113" s="22">
        <f ca="1">IF(RESULTADOS!$C$17="Normal",IFERROR(MAX(C113-PREMISSAS!$C$14,0),0),IF(PREMISSAS!$H$117=0,0,MAX(10*PREMISSAS!$C$39,RESULTADOS!$F$17)))</f>
        <v>0</v>
      </c>
      <c r="E113" s="4">
        <f ca="1">D113*IF(RESULTADOS!$C$17="Normal",RESULTADOS!$C$16,0)</f>
        <v>0</v>
      </c>
      <c r="F113" s="4">
        <f ca="1">IF(D113&lt;&gt;0,PREMISSAS!$N$83,0)</f>
        <v>0</v>
      </c>
      <c r="G113" s="4">
        <f ca="1">IFERROR(IF(RESULTADOS!$C$17="Normal",0,D113)*IF(RESULTADOS!$C$17="Normal",RESULTADOS!$C$18,RESULTADOS!$C$16),0)</f>
        <v>0</v>
      </c>
      <c r="H113" s="4">
        <f ca="1">IF(RESULTADOS!$C$17="Normal",E113,0)</f>
        <v>0</v>
      </c>
      <c r="I113" s="4">
        <f ca="1">(E113+H113+G113)*IFERROR(VLOOKUP(INT(COUNT($B$5:B113)/12),PREMISSAS!$B$62:$C$69,2,FALSE),PREMISSAS!$C$69)</f>
        <v>0</v>
      </c>
      <c r="J113" s="4">
        <f ca="1">D113*IF(RESULTADOS!$C$17="Normal",PREMISSAS!$C$71,0)</f>
        <v>0</v>
      </c>
      <c r="K113" s="87">
        <f ca="1">IFERROR(K112*(1+PREMISSAS!$C$19)+(E113+H113-IF(RESULTADOS!$C$17="Normal",I113,0)-J113)*IF(MONTH(B113)=12,2,1),0)</f>
        <v>0</v>
      </c>
      <c r="L113" s="87">
        <f ca="1">IFERROR((L112+G113-IF(RESULTADOS!$C$17="Normal",0,I113))*(1+PREMISSAS!$C$19)+F113,0)</f>
        <v>0</v>
      </c>
      <c r="N113" s="58">
        <f t="shared" ca="1" si="8"/>
        <v>0</v>
      </c>
      <c r="O113" s="223"/>
      <c r="P113" s="131">
        <f t="shared" ca="1" si="9"/>
        <v>48182</v>
      </c>
      <c r="Q113" s="111">
        <f ca="1">IF(C113="","",Q112+(E113+H113-IF(RESULTADOS!$C$17="Normal",I113,0)-J113)/2+(F113+G113-IF(RESULTADOS!$C$17="Normal",0,I113)))</f>
        <v>0</v>
      </c>
      <c r="R113" s="111">
        <f ca="1">IF(C113="","",R112+(E113+H113-IF(RESULTADOS!$C$17="Normal",I113,0)-J113)/2)</f>
        <v>0</v>
      </c>
      <c r="S113" s="111">
        <f t="shared" ca="1" si="12"/>
        <v>0</v>
      </c>
      <c r="U113" s="131" t="str">
        <f t="shared" ca="1" si="13"/>
        <v/>
      </c>
      <c r="V113" s="131" t="str">
        <f t="shared" ca="1" si="10"/>
        <v/>
      </c>
      <c r="W113" s="111">
        <f ca="1">IF(OR((W112-13/12*Z112)*(1+PREMISSAS!$C$17)&lt;0,W112=""),0,(W112-13/12*Z112)*(1+PREMISSAS!$C$17))</f>
        <v>0</v>
      </c>
      <c r="X113" s="111">
        <f ca="1">IF(OR((X112-13/12*AA112)*(1+PREMISSAS!$C$17)&lt;0,X112=""),0,(X112-13/12*AA112)*(1+PREMISSAS!$C$17))</f>
        <v>0</v>
      </c>
      <c r="Y113" s="111">
        <f t="shared" ca="1" si="11"/>
        <v>0</v>
      </c>
      <c r="Z113" s="134">
        <f t="shared" ca="1" si="14"/>
        <v>0</v>
      </c>
      <c r="AA113" s="134">
        <f t="shared" ca="1" si="15"/>
        <v>0</v>
      </c>
    </row>
    <row r="114" spans="2:27" x14ac:dyDescent="0.3">
      <c r="B114" s="21">
        <f ca="1">IF(B113="","",IF(EOMONTH(B113,1)&gt;EOMONTH(ELEGIBILIDADE!$E$5,0),"",EOMONTH(B113,1)))</f>
        <v>48213</v>
      </c>
      <c r="C114" s="22">
        <f ca="1">IF(B114="","",IF(MONTH(B114)=1,C113*(1+PREMISSAS!$C$58),C113))</f>
        <v>0</v>
      </c>
      <c r="D114" s="22">
        <f ca="1">IF(RESULTADOS!$C$17="Normal",IFERROR(MAX(C114-PREMISSAS!$C$14,0),0),IF(PREMISSAS!$H$117=0,0,MAX(10*PREMISSAS!$C$39,RESULTADOS!$F$17)))</f>
        <v>0</v>
      </c>
      <c r="E114" s="4">
        <f ca="1">D114*IF(RESULTADOS!$C$17="Normal",RESULTADOS!$C$16,0)</f>
        <v>0</v>
      </c>
      <c r="F114" s="4">
        <f ca="1">IF(D114&lt;&gt;0,PREMISSAS!$N$83,0)</f>
        <v>0</v>
      </c>
      <c r="G114" s="4">
        <f ca="1">IFERROR(IF(RESULTADOS!$C$17="Normal",0,D114)*IF(RESULTADOS!$C$17="Normal",RESULTADOS!$C$18,RESULTADOS!$C$16),0)</f>
        <v>0</v>
      </c>
      <c r="H114" s="4">
        <f ca="1">IF(RESULTADOS!$C$17="Normal",E114,0)</f>
        <v>0</v>
      </c>
      <c r="I114" s="4">
        <f ca="1">(E114+H114+G114)*IFERROR(VLOOKUP(INT(COUNT($B$5:B114)/12),PREMISSAS!$B$62:$C$69,2,FALSE),PREMISSAS!$C$69)</f>
        <v>0</v>
      </c>
      <c r="J114" s="4">
        <f ca="1">D114*IF(RESULTADOS!$C$17="Normal",PREMISSAS!$C$71,0)</f>
        <v>0</v>
      </c>
      <c r="K114" s="87">
        <f ca="1">IFERROR(K113*(1+PREMISSAS!$C$19)+(E114+H114-IF(RESULTADOS!$C$17="Normal",I114,0)-J114)*IF(MONTH(B114)=12,2,1),0)</f>
        <v>0</v>
      </c>
      <c r="L114" s="87">
        <f ca="1">IFERROR((L113+G114-IF(RESULTADOS!$C$17="Normal",0,I114))*(1+PREMISSAS!$C$19)+F114,0)</f>
        <v>0</v>
      </c>
      <c r="N114" s="58">
        <f t="shared" ca="1" si="8"/>
        <v>0</v>
      </c>
      <c r="O114" s="223"/>
      <c r="P114" s="131">
        <f t="shared" ca="1" si="9"/>
        <v>48213</v>
      </c>
      <c r="Q114" s="111">
        <f ca="1">IF(C114="","",Q113+(E114+H114-IF(RESULTADOS!$C$17="Normal",I114,0)-J114)/2+(F114+G114-IF(RESULTADOS!$C$17="Normal",0,I114)))</f>
        <v>0</v>
      </c>
      <c r="R114" s="111">
        <f ca="1">IF(C114="","",R113+(E114+H114-IF(RESULTADOS!$C$17="Normal",I114,0)-J114)/2)</f>
        <v>0</v>
      </c>
      <c r="S114" s="111">
        <f t="shared" ca="1" si="12"/>
        <v>0</v>
      </c>
      <c r="U114" s="131" t="str">
        <f t="shared" ca="1" si="13"/>
        <v/>
      </c>
      <c r="V114" s="131" t="str">
        <f t="shared" ca="1" si="10"/>
        <v/>
      </c>
      <c r="W114" s="111">
        <f ca="1">IF(OR((W113-13/12*Z113)*(1+PREMISSAS!$C$17)&lt;0,W113=""),0,(W113-13/12*Z113)*(1+PREMISSAS!$C$17))</f>
        <v>0</v>
      </c>
      <c r="X114" s="111">
        <f ca="1">IF(OR((X113-13/12*AA113)*(1+PREMISSAS!$C$17)&lt;0,X113=""),0,(X113-13/12*AA113)*(1+PREMISSAS!$C$17))</f>
        <v>0</v>
      </c>
      <c r="Y114" s="111">
        <f t="shared" ca="1" si="11"/>
        <v>0</v>
      </c>
      <c r="Z114" s="134">
        <f t="shared" ca="1" si="14"/>
        <v>0</v>
      </c>
      <c r="AA114" s="134">
        <f t="shared" ca="1" si="15"/>
        <v>0</v>
      </c>
    </row>
    <row r="115" spans="2:27" x14ac:dyDescent="0.3">
      <c r="B115" s="21">
        <f ca="1">IF(B114="","",IF(EOMONTH(B114,1)&gt;EOMONTH(ELEGIBILIDADE!$E$5,0),"",EOMONTH(B114,1)))</f>
        <v>48244</v>
      </c>
      <c r="C115" s="22">
        <f ca="1">IF(B115="","",IF(MONTH(B115)=1,C114*(1+PREMISSAS!$C$58),C114))</f>
        <v>0</v>
      </c>
      <c r="D115" s="22">
        <f ca="1">IF(RESULTADOS!$C$17="Normal",IFERROR(MAX(C115-PREMISSAS!$C$14,0),0),IF(PREMISSAS!$H$117=0,0,MAX(10*PREMISSAS!$C$39,RESULTADOS!$F$17)))</f>
        <v>0</v>
      </c>
      <c r="E115" s="4">
        <f ca="1">D115*IF(RESULTADOS!$C$17="Normal",RESULTADOS!$C$16,0)</f>
        <v>0</v>
      </c>
      <c r="F115" s="4">
        <f ca="1">IF(D115&lt;&gt;0,PREMISSAS!$N$83,0)</f>
        <v>0</v>
      </c>
      <c r="G115" s="4">
        <f ca="1">IFERROR(IF(RESULTADOS!$C$17="Normal",0,D115)*IF(RESULTADOS!$C$17="Normal",RESULTADOS!$C$18,RESULTADOS!$C$16),0)</f>
        <v>0</v>
      </c>
      <c r="H115" s="4">
        <f ca="1">IF(RESULTADOS!$C$17="Normal",E115,0)</f>
        <v>0</v>
      </c>
      <c r="I115" s="4">
        <f ca="1">(E115+H115+G115)*IFERROR(VLOOKUP(INT(COUNT($B$5:B115)/12),PREMISSAS!$B$62:$C$69,2,FALSE),PREMISSAS!$C$69)</f>
        <v>0</v>
      </c>
      <c r="J115" s="4">
        <f ca="1">D115*IF(RESULTADOS!$C$17="Normal",PREMISSAS!$C$71,0)</f>
        <v>0</v>
      </c>
      <c r="K115" s="87">
        <f ca="1">IFERROR(K114*(1+PREMISSAS!$C$19)+(E115+H115-IF(RESULTADOS!$C$17="Normal",I115,0)-J115)*IF(MONTH(B115)=12,2,1),0)</f>
        <v>0</v>
      </c>
      <c r="L115" s="87">
        <f ca="1">IFERROR((L114+G115-IF(RESULTADOS!$C$17="Normal",0,I115))*(1+PREMISSAS!$C$19)+F115,0)</f>
        <v>0</v>
      </c>
      <c r="N115" s="58">
        <f t="shared" ca="1" si="8"/>
        <v>0</v>
      </c>
      <c r="O115" s="223"/>
      <c r="P115" s="131">
        <f t="shared" ca="1" si="9"/>
        <v>48244</v>
      </c>
      <c r="Q115" s="111">
        <f ca="1">IF(C115="","",Q114+(E115+H115-IF(RESULTADOS!$C$17="Normal",I115,0)-J115)/2+(F115+G115-IF(RESULTADOS!$C$17="Normal",0,I115)))</f>
        <v>0</v>
      </c>
      <c r="R115" s="111">
        <f ca="1">IF(C115="","",R114+(E115+H115-IF(RESULTADOS!$C$17="Normal",I115,0)-J115)/2)</f>
        <v>0</v>
      </c>
      <c r="S115" s="111">
        <f t="shared" ca="1" si="12"/>
        <v>0</v>
      </c>
      <c r="U115" s="131" t="str">
        <f t="shared" ca="1" si="13"/>
        <v/>
      </c>
      <c r="V115" s="131" t="str">
        <f t="shared" ca="1" si="10"/>
        <v/>
      </c>
      <c r="W115" s="111">
        <f ca="1">IF(OR((W114-13/12*Z114)*(1+PREMISSAS!$C$17)&lt;0,W114=""),0,(W114-13/12*Z114)*(1+PREMISSAS!$C$17))</f>
        <v>0</v>
      </c>
      <c r="X115" s="111">
        <f ca="1">IF(OR((X114-13/12*AA114)*(1+PREMISSAS!$C$17)&lt;0,X114=""),0,(X114-13/12*AA114)*(1+PREMISSAS!$C$17))</f>
        <v>0</v>
      </c>
      <c r="Y115" s="111">
        <f t="shared" ca="1" si="11"/>
        <v>0</v>
      </c>
      <c r="Z115" s="134">
        <f t="shared" ca="1" si="14"/>
        <v>0</v>
      </c>
      <c r="AA115" s="134">
        <f t="shared" ca="1" si="15"/>
        <v>0</v>
      </c>
    </row>
    <row r="116" spans="2:27" x14ac:dyDescent="0.3">
      <c r="B116" s="21">
        <f ca="1">IF(B115="","",IF(EOMONTH(B115,1)&gt;EOMONTH(ELEGIBILIDADE!$E$5,0),"",EOMONTH(B115,1)))</f>
        <v>48273</v>
      </c>
      <c r="C116" s="22">
        <f ca="1">IF(B116="","",IF(MONTH(B116)=1,C115*(1+PREMISSAS!$C$58),C115))</f>
        <v>0</v>
      </c>
      <c r="D116" s="22">
        <f ca="1">IF(RESULTADOS!$C$17="Normal",IFERROR(MAX(C116-PREMISSAS!$C$14,0),0),IF(PREMISSAS!$H$117=0,0,MAX(10*PREMISSAS!$C$39,RESULTADOS!$F$17)))</f>
        <v>0</v>
      </c>
      <c r="E116" s="4">
        <f ca="1">D116*IF(RESULTADOS!$C$17="Normal",RESULTADOS!$C$16,0)</f>
        <v>0</v>
      </c>
      <c r="F116" s="4">
        <f ca="1">IF(D116&lt;&gt;0,PREMISSAS!$N$83,0)</f>
        <v>0</v>
      </c>
      <c r="G116" s="4">
        <f ca="1">IFERROR(IF(RESULTADOS!$C$17="Normal",0,D116)*IF(RESULTADOS!$C$17="Normal",RESULTADOS!$C$18,RESULTADOS!$C$16),0)</f>
        <v>0</v>
      </c>
      <c r="H116" s="4">
        <f ca="1">IF(RESULTADOS!$C$17="Normal",E116,0)</f>
        <v>0</v>
      </c>
      <c r="I116" s="4">
        <f ca="1">(E116+H116+G116)*IFERROR(VLOOKUP(INT(COUNT($B$5:B116)/12),PREMISSAS!$B$62:$C$69,2,FALSE),PREMISSAS!$C$69)</f>
        <v>0</v>
      </c>
      <c r="J116" s="4">
        <f ca="1">D116*IF(RESULTADOS!$C$17="Normal",PREMISSAS!$C$71,0)</f>
        <v>0</v>
      </c>
      <c r="K116" s="87">
        <f ca="1">IFERROR(K115*(1+PREMISSAS!$C$19)+(E116+H116-IF(RESULTADOS!$C$17="Normal",I116,0)-J116)*IF(MONTH(B116)=12,2,1),0)</f>
        <v>0</v>
      </c>
      <c r="L116" s="87">
        <f ca="1">IFERROR((L115+G116-IF(RESULTADOS!$C$17="Normal",0,I116))*(1+PREMISSAS!$C$19)+F116,0)</f>
        <v>0</v>
      </c>
      <c r="N116" s="58">
        <f t="shared" ca="1" si="8"/>
        <v>0</v>
      </c>
      <c r="O116" s="223"/>
      <c r="P116" s="131">
        <f t="shared" ca="1" si="9"/>
        <v>48273</v>
      </c>
      <c r="Q116" s="111">
        <f ca="1">IF(C116="","",Q115+(E116+H116-IF(RESULTADOS!$C$17="Normal",I116,0)-J116)/2+(F116+G116-IF(RESULTADOS!$C$17="Normal",0,I116)))</f>
        <v>0</v>
      </c>
      <c r="R116" s="111">
        <f ca="1">IF(C116="","",R115+(E116+H116-IF(RESULTADOS!$C$17="Normal",I116,0)-J116)/2)</f>
        <v>0</v>
      </c>
      <c r="S116" s="111">
        <f t="shared" ca="1" si="12"/>
        <v>0</v>
      </c>
      <c r="U116" s="131" t="str">
        <f t="shared" ca="1" si="13"/>
        <v/>
      </c>
      <c r="V116" s="131" t="str">
        <f t="shared" ca="1" si="10"/>
        <v/>
      </c>
      <c r="W116" s="111">
        <f ca="1">IF(OR((W115-13/12*Z115)*(1+PREMISSAS!$C$17)&lt;0,W115=""),0,(W115-13/12*Z115)*(1+PREMISSAS!$C$17))</f>
        <v>0</v>
      </c>
      <c r="X116" s="111">
        <f ca="1">IF(OR((X115-13/12*AA115)*(1+PREMISSAS!$C$17)&lt;0,X115=""),0,(X115-13/12*AA115)*(1+PREMISSAS!$C$17))</f>
        <v>0</v>
      </c>
      <c r="Y116" s="111">
        <f t="shared" ca="1" si="11"/>
        <v>0</v>
      </c>
      <c r="Z116" s="134">
        <f t="shared" ca="1" si="14"/>
        <v>0</v>
      </c>
      <c r="AA116" s="134">
        <f t="shared" ca="1" si="15"/>
        <v>0</v>
      </c>
    </row>
    <row r="117" spans="2:27" x14ac:dyDescent="0.3">
      <c r="B117" s="21">
        <f ca="1">IF(B116="","",IF(EOMONTH(B116,1)&gt;EOMONTH(ELEGIBILIDADE!$E$5,0),"",EOMONTH(B116,1)))</f>
        <v>48304</v>
      </c>
      <c r="C117" s="22">
        <f ca="1">IF(B117="","",IF(MONTH(B117)=1,C116*(1+PREMISSAS!$C$58),C116))</f>
        <v>0</v>
      </c>
      <c r="D117" s="22">
        <f ca="1">IF(RESULTADOS!$C$17="Normal",IFERROR(MAX(C117-PREMISSAS!$C$14,0),0),IF(PREMISSAS!$H$117=0,0,MAX(10*PREMISSAS!$C$39,RESULTADOS!$F$17)))</f>
        <v>0</v>
      </c>
      <c r="E117" s="4">
        <f ca="1">D117*IF(RESULTADOS!$C$17="Normal",RESULTADOS!$C$16,0)</f>
        <v>0</v>
      </c>
      <c r="F117" s="4">
        <f ca="1">IF(D117&lt;&gt;0,PREMISSAS!$N$83,0)</f>
        <v>0</v>
      </c>
      <c r="G117" s="4">
        <f ca="1">IFERROR(IF(RESULTADOS!$C$17="Normal",0,D117)*IF(RESULTADOS!$C$17="Normal",RESULTADOS!$C$18,RESULTADOS!$C$16),0)</f>
        <v>0</v>
      </c>
      <c r="H117" s="4">
        <f ca="1">IF(RESULTADOS!$C$17="Normal",E117,0)</f>
        <v>0</v>
      </c>
      <c r="I117" s="4">
        <f ca="1">(E117+H117+G117)*IFERROR(VLOOKUP(INT(COUNT($B$5:B117)/12),PREMISSAS!$B$62:$C$69,2,FALSE),PREMISSAS!$C$69)</f>
        <v>0</v>
      </c>
      <c r="J117" s="4">
        <f ca="1">D117*IF(RESULTADOS!$C$17="Normal",PREMISSAS!$C$71,0)</f>
        <v>0</v>
      </c>
      <c r="K117" s="87">
        <f ca="1">IFERROR(K116*(1+PREMISSAS!$C$19)+(E117+H117-IF(RESULTADOS!$C$17="Normal",I117,0)-J117)*IF(MONTH(B117)=12,2,1),0)</f>
        <v>0</v>
      </c>
      <c r="L117" s="87">
        <f ca="1">IFERROR((L116+G117-IF(RESULTADOS!$C$17="Normal",0,I117))*(1+PREMISSAS!$C$19)+F117,0)</f>
        <v>0</v>
      </c>
      <c r="N117" s="58">
        <f t="shared" ca="1" si="8"/>
        <v>0</v>
      </c>
      <c r="O117" s="223"/>
      <c r="P117" s="131">
        <f t="shared" ca="1" si="9"/>
        <v>48304</v>
      </c>
      <c r="Q117" s="111">
        <f ca="1">IF(C117="","",Q116+(E117+H117-IF(RESULTADOS!$C$17="Normal",I117,0)-J117)/2+(F117+G117-IF(RESULTADOS!$C$17="Normal",0,I117)))</f>
        <v>0</v>
      </c>
      <c r="R117" s="111">
        <f ca="1">IF(C117="","",R116+(E117+H117-IF(RESULTADOS!$C$17="Normal",I117,0)-J117)/2)</f>
        <v>0</v>
      </c>
      <c r="S117" s="111">
        <f t="shared" ca="1" si="12"/>
        <v>0</v>
      </c>
      <c r="U117" s="131" t="str">
        <f t="shared" ca="1" si="13"/>
        <v/>
      </c>
      <c r="V117" s="131" t="str">
        <f t="shared" ca="1" si="10"/>
        <v/>
      </c>
      <c r="W117" s="111">
        <f ca="1">IF(OR((W116-13/12*Z116)*(1+PREMISSAS!$C$17)&lt;0,W116=""),0,(W116-13/12*Z116)*(1+PREMISSAS!$C$17))</f>
        <v>0</v>
      </c>
      <c r="X117" s="111">
        <f ca="1">IF(OR((X116-13/12*AA116)*(1+PREMISSAS!$C$17)&lt;0,X116=""),0,(X116-13/12*AA116)*(1+PREMISSAS!$C$17))</f>
        <v>0</v>
      </c>
      <c r="Y117" s="111">
        <f t="shared" ca="1" si="11"/>
        <v>0</v>
      </c>
      <c r="Z117" s="134">
        <f t="shared" ca="1" si="14"/>
        <v>0</v>
      </c>
      <c r="AA117" s="134">
        <f t="shared" ca="1" si="15"/>
        <v>0</v>
      </c>
    </row>
    <row r="118" spans="2:27" x14ac:dyDescent="0.3">
      <c r="B118" s="21">
        <f ca="1">IF(B117="","",IF(EOMONTH(B117,1)&gt;EOMONTH(ELEGIBILIDADE!$E$5,0),"",EOMONTH(B117,1)))</f>
        <v>48334</v>
      </c>
      <c r="C118" s="22">
        <f ca="1">IF(B118="","",IF(MONTH(B118)=1,C117*(1+PREMISSAS!$C$58),C117))</f>
        <v>0</v>
      </c>
      <c r="D118" s="22">
        <f ca="1">IF(RESULTADOS!$C$17="Normal",IFERROR(MAX(C118-PREMISSAS!$C$14,0),0),IF(PREMISSAS!$H$117=0,0,MAX(10*PREMISSAS!$C$39,RESULTADOS!$F$17)))</f>
        <v>0</v>
      </c>
      <c r="E118" s="4">
        <f ca="1">D118*IF(RESULTADOS!$C$17="Normal",RESULTADOS!$C$16,0)</f>
        <v>0</v>
      </c>
      <c r="F118" s="4">
        <f ca="1">IF(D118&lt;&gt;0,PREMISSAS!$N$83,0)</f>
        <v>0</v>
      </c>
      <c r="G118" s="4">
        <f ca="1">IFERROR(IF(RESULTADOS!$C$17="Normal",0,D118)*IF(RESULTADOS!$C$17="Normal",RESULTADOS!$C$18,RESULTADOS!$C$16),0)</f>
        <v>0</v>
      </c>
      <c r="H118" s="4">
        <f ca="1">IF(RESULTADOS!$C$17="Normal",E118,0)</f>
        <v>0</v>
      </c>
      <c r="I118" s="4">
        <f ca="1">(E118+H118+G118)*IFERROR(VLOOKUP(INT(COUNT($B$5:B118)/12),PREMISSAS!$B$62:$C$69,2,FALSE),PREMISSAS!$C$69)</f>
        <v>0</v>
      </c>
      <c r="J118" s="4">
        <f ca="1">D118*IF(RESULTADOS!$C$17="Normal",PREMISSAS!$C$71,0)</f>
        <v>0</v>
      </c>
      <c r="K118" s="87">
        <f ca="1">IFERROR(K117*(1+PREMISSAS!$C$19)+(E118+H118-IF(RESULTADOS!$C$17="Normal",I118,0)-J118)*IF(MONTH(B118)=12,2,1),0)</f>
        <v>0</v>
      </c>
      <c r="L118" s="87">
        <f ca="1">IFERROR((L117+G118-IF(RESULTADOS!$C$17="Normal",0,I118))*(1+PREMISSAS!$C$19)+F118,0)</f>
        <v>0</v>
      </c>
      <c r="N118" s="58">
        <f t="shared" ca="1" si="8"/>
        <v>0</v>
      </c>
      <c r="O118" s="223"/>
      <c r="P118" s="131">
        <f t="shared" ca="1" si="9"/>
        <v>48334</v>
      </c>
      <c r="Q118" s="111">
        <f ca="1">IF(C118="","",Q117+(E118+H118-IF(RESULTADOS!$C$17="Normal",I118,0)-J118)/2+(F118+G118-IF(RESULTADOS!$C$17="Normal",0,I118)))</f>
        <v>0</v>
      </c>
      <c r="R118" s="111">
        <f ca="1">IF(C118="","",R117+(E118+H118-IF(RESULTADOS!$C$17="Normal",I118,0)-J118)/2)</f>
        <v>0</v>
      </c>
      <c r="S118" s="111">
        <f t="shared" ca="1" si="12"/>
        <v>0</v>
      </c>
      <c r="U118" s="131" t="str">
        <f t="shared" ca="1" si="13"/>
        <v/>
      </c>
      <c r="V118" s="131" t="str">
        <f t="shared" ca="1" si="10"/>
        <v/>
      </c>
      <c r="W118" s="111">
        <f ca="1">IF(OR((W117-13/12*Z117)*(1+PREMISSAS!$C$17)&lt;0,W117=""),0,(W117-13/12*Z117)*(1+PREMISSAS!$C$17))</f>
        <v>0</v>
      </c>
      <c r="X118" s="111">
        <f ca="1">IF(OR((X117-13/12*AA117)*(1+PREMISSAS!$C$17)&lt;0,X117=""),0,(X117-13/12*AA117)*(1+PREMISSAS!$C$17))</f>
        <v>0</v>
      </c>
      <c r="Y118" s="111">
        <f t="shared" ca="1" si="11"/>
        <v>0</v>
      </c>
      <c r="Z118" s="134">
        <f t="shared" ca="1" si="14"/>
        <v>0</v>
      </c>
      <c r="AA118" s="134">
        <f t="shared" ca="1" si="15"/>
        <v>0</v>
      </c>
    </row>
    <row r="119" spans="2:27" x14ac:dyDescent="0.3">
      <c r="B119" s="21">
        <f ca="1">IF(B118="","",IF(EOMONTH(B118,1)&gt;EOMONTH(ELEGIBILIDADE!$E$5,0),"",EOMONTH(B118,1)))</f>
        <v>48365</v>
      </c>
      <c r="C119" s="22">
        <f ca="1">IF(B119="","",IF(MONTH(B119)=1,C118*(1+PREMISSAS!$C$58),C118))</f>
        <v>0</v>
      </c>
      <c r="D119" s="22">
        <f ca="1">IF(RESULTADOS!$C$17="Normal",IFERROR(MAX(C119-PREMISSAS!$C$14,0),0),IF(PREMISSAS!$H$117=0,0,MAX(10*PREMISSAS!$C$39,RESULTADOS!$F$17)))</f>
        <v>0</v>
      </c>
      <c r="E119" s="4">
        <f ca="1">D119*IF(RESULTADOS!$C$17="Normal",RESULTADOS!$C$16,0)</f>
        <v>0</v>
      </c>
      <c r="F119" s="4">
        <f ca="1">IF(D119&lt;&gt;0,PREMISSAS!$N$83,0)</f>
        <v>0</v>
      </c>
      <c r="G119" s="4">
        <f ca="1">IFERROR(IF(RESULTADOS!$C$17="Normal",0,D119)*IF(RESULTADOS!$C$17="Normal",RESULTADOS!$C$18,RESULTADOS!$C$16),0)</f>
        <v>0</v>
      </c>
      <c r="H119" s="4">
        <f ca="1">IF(RESULTADOS!$C$17="Normal",E119,0)</f>
        <v>0</v>
      </c>
      <c r="I119" s="4">
        <f ca="1">(E119+H119+G119)*IFERROR(VLOOKUP(INT(COUNT($B$5:B119)/12),PREMISSAS!$B$62:$C$69,2,FALSE),PREMISSAS!$C$69)</f>
        <v>0</v>
      </c>
      <c r="J119" s="4">
        <f ca="1">D119*IF(RESULTADOS!$C$17="Normal",PREMISSAS!$C$71,0)</f>
        <v>0</v>
      </c>
      <c r="K119" s="87">
        <f ca="1">IFERROR(K118*(1+PREMISSAS!$C$19)+(E119+H119-IF(RESULTADOS!$C$17="Normal",I119,0)-J119)*IF(MONTH(B119)=12,2,1),0)</f>
        <v>0</v>
      </c>
      <c r="L119" s="87">
        <f ca="1">IFERROR((L118+G119-IF(RESULTADOS!$C$17="Normal",0,I119))*(1+PREMISSAS!$C$19)+F119,0)</f>
        <v>0</v>
      </c>
      <c r="N119" s="58">
        <f t="shared" ca="1" si="8"/>
        <v>0</v>
      </c>
      <c r="O119" s="223"/>
      <c r="P119" s="131">
        <f t="shared" ca="1" si="9"/>
        <v>48365</v>
      </c>
      <c r="Q119" s="111">
        <f ca="1">IF(C119="","",Q118+(E119+H119-IF(RESULTADOS!$C$17="Normal",I119,0)-J119)/2+(F119+G119-IF(RESULTADOS!$C$17="Normal",0,I119)))</f>
        <v>0</v>
      </c>
      <c r="R119" s="111">
        <f ca="1">IF(C119="","",R118+(E119+H119-IF(RESULTADOS!$C$17="Normal",I119,0)-J119)/2)</f>
        <v>0</v>
      </c>
      <c r="S119" s="111">
        <f t="shared" ca="1" si="12"/>
        <v>0</v>
      </c>
      <c r="U119" s="131" t="str">
        <f t="shared" ca="1" si="13"/>
        <v/>
      </c>
      <c r="V119" s="131" t="str">
        <f t="shared" ca="1" si="10"/>
        <v/>
      </c>
      <c r="W119" s="111">
        <f ca="1">IF(OR((W118-13/12*Z118)*(1+PREMISSAS!$C$17)&lt;0,W118=""),0,(W118-13/12*Z118)*(1+PREMISSAS!$C$17))</f>
        <v>0</v>
      </c>
      <c r="X119" s="111">
        <f ca="1">IF(OR((X118-13/12*AA118)*(1+PREMISSAS!$C$17)&lt;0,X118=""),0,(X118-13/12*AA118)*(1+PREMISSAS!$C$17))</f>
        <v>0</v>
      </c>
      <c r="Y119" s="111">
        <f t="shared" ca="1" si="11"/>
        <v>0</v>
      </c>
      <c r="Z119" s="134">
        <f t="shared" ca="1" si="14"/>
        <v>0</v>
      </c>
      <c r="AA119" s="134">
        <f t="shared" ca="1" si="15"/>
        <v>0</v>
      </c>
    </row>
    <row r="120" spans="2:27" x14ac:dyDescent="0.3">
      <c r="B120" s="21">
        <f ca="1">IF(B119="","",IF(EOMONTH(B119,1)&gt;EOMONTH(ELEGIBILIDADE!$E$5,0),"",EOMONTH(B119,1)))</f>
        <v>48395</v>
      </c>
      <c r="C120" s="22">
        <f ca="1">IF(B120="","",IF(MONTH(B120)=1,C119*(1+PREMISSAS!$C$58),C119))</f>
        <v>0</v>
      </c>
      <c r="D120" s="22">
        <f ca="1">IF(RESULTADOS!$C$17="Normal",IFERROR(MAX(C120-PREMISSAS!$C$14,0),0),IF(PREMISSAS!$H$117=0,0,MAX(10*PREMISSAS!$C$39,RESULTADOS!$F$17)))</f>
        <v>0</v>
      </c>
      <c r="E120" s="4">
        <f ca="1">D120*IF(RESULTADOS!$C$17="Normal",RESULTADOS!$C$16,0)</f>
        <v>0</v>
      </c>
      <c r="F120" s="4">
        <f ca="1">IF(D120&lt;&gt;0,PREMISSAS!$N$83,0)</f>
        <v>0</v>
      </c>
      <c r="G120" s="4">
        <f ca="1">IFERROR(IF(RESULTADOS!$C$17="Normal",0,D120)*IF(RESULTADOS!$C$17="Normal",RESULTADOS!$C$18,RESULTADOS!$C$16),0)</f>
        <v>0</v>
      </c>
      <c r="H120" s="4">
        <f ca="1">IF(RESULTADOS!$C$17="Normal",E120,0)</f>
        <v>0</v>
      </c>
      <c r="I120" s="4">
        <f ca="1">(E120+H120+G120)*IFERROR(VLOOKUP(INT(COUNT($B$5:B120)/12),PREMISSAS!$B$62:$C$69,2,FALSE),PREMISSAS!$C$69)</f>
        <v>0</v>
      </c>
      <c r="J120" s="4">
        <f ca="1">D120*IF(RESULTADOS!$C$17="Normal",PREMISSAS!$C$71,0)</f>
        <v>0</v>
      </c>
      <c r="K120" s="87">
        <f ca="1">IFERROR(K119*(1+PREMISSAS!$C$19)+(E120+H120-IF(RESULTADOS!$C$17="Normal",I120,0)-J120)*IF(MONTH(B120)=12,2,1),0)</f>
        <v>0</v>
      </c>
      <c r="L120" s="87">
        <f ca="1">IFERROR((L119+G120-IF(RESULTADOS!$C$17="Normal",0,I120))*(1+PREMISSAS!$C$19)+F120,0)</f>
        <v>0</v>
      </c>
      <c r="N120" s="58">
        <f t="shared" ca="1" si="8"/>
        <v>0</v>
      </c>
      <c r="O120" s="223"/>
      <c r="P120" s="131">
        <f t="shared" ca="1" si="9"/>
        <v>48395</v>
      </c>
      <c r="Q120" s="111">
        <f ca="1">IF(C120="","",Q119+(E120+H120-IF(RESULTADOS!$C$17="Normal",I120,0)-J120)/2+(F120+G120-IF(RESULTADOS!$C$17="Normal",0,I120)))</f>
        <v>0</v>
      </c>
      <c r="R120" s="111">
        <f ca="1">IF(C120="","",R119+(E120+H120-IF(RESULTADOS!$C$17="Normal",I120,0)-J120)/2)</f>
        <v>0</v>
      </c>
      <c r="S120" s="111">
        <f t="shared" ca="1" si="12"/>
        <v>0</v>
      </c>
      <c r="U120" s="131" t="str">
        <f t="shared" ca="1" si="13"/>
        <v/>
      </c>
      <c r="V120" s="131" t="str">
        <f t="shared" ca="1" si="10"/>
        <v/>
      </c>
      <c r="W120" s="111">
        <f ca="1">IF(OR((W119-13/12*Z119)*(1+PREMISSAS!$C$17)&lt;0,W119=""),0,(W119-13/12*Z119)*(1+PREMISSAS!$C$17))</f>
        <v>0</v>
      </c>
      <c r="X120" s="111">
        <f ca="1">IF(OR((X119-13/12*AA119)*(1+PREMISSAS!$C$17)&lt;0,X119=""),0,(X119-13/12*AA119)*(1+PREMISSAS!$C$17))</f>
        <v>0</v>
      </c>
      <c r="Y120" s="111">
        <f t="shared" ca="1" si="11"/>
        <v>0</v>
      </c>
      <c r="Z120" s="134">
        <f t="shared" ca="1" si="14"/>
        <v>0</v>
      </c>
      <c r="AA120" s="134">
        <f t="shared" ca="1" si="15"/>
        <v>0</v>
      </c>
    </row>
    <row r="121" spans="2:27" x14ac:dyDescent="0.3">
      <c r="B121" s="21">
        <f ca="1">IF(B120="","",IF(EOMONTH(B120,1)&gt;EOMONTH(ELEGIBILIDADE!$E$5,0),"",EOMONTH(B120,1)))</f>
        <v>48426</v>
      </c>
      <c r="C121" s="22">
        <f ca="1">IF(B121="","",IF(MONTH(B121)=1,C120*(1+PREMISSAS!$C$58),C120))</f>
        <v>0</v>
      </c>
      <c r="D121" s="22">
        <f ca="1">IF(RESULTADOS!$C$17="Normal",IFERROR(MAX(C121-PREMISSAS!$C$14,0),0),IF(PREMISSAS!$H$117=0,0,MAX(10*PREMISSAS!$C$39,RESULTADOS!$F$17)))</f>
        <v>0</v>
      </c>
      <c r="E121" s="4">
        <f ca="1">D121*IF(RESULTADOS!$C$17="Normal",RESULTADOS!$C$16,0)</f>
        <v>0</v>
      </c>
      <c r="F121" s="4">
        <f ca="1">IF(D121&lt;&gt;0,PREMISSAS!$N$83,0)</f>
        <v>0</v>
      </c>
      <c r="G121" s="4">
        <f ca="1">IFERROR(IF(RESULTADOS!$C$17="Normal",0,D121)*IF(RESULTADOS!$C$17="Normal",RESULTADOS!$C$18,RESULTADOS!$C$16),0)</f>
        <v>0</v>
      </c>
      <c r="H121" s="4">
        <f ca="1">IF(RESULTADOS!$C$17="Normal",E121,0)</f>
        <v>0</v>
      </c>
      <c r="I121" s="4">
        <f ca="1">(E121+H121+G121)*IFERROR(VLOOKUP(INT(COUNT($B$5:B121)/12),PREMISSAS!$B$62:$C$69,2,FALSE),PREMISSAS!$C$69)</f>
        <v>0</v>
      </c>
      <c r="J121" s="4">
        <f ca="1">D121*IF(RESULTADOS!$C$17="Normal",PREMISSAS!$C$71,0)</f>
        <v>0</v>
      </c>
      <c r="K121" s="87">
        <f ca="1">IFERROR(K120*(1+PREMISSAS!$C$19)+(E121+H121-IF(RESULTADOS!$C$17="Normal",I121,0)-J121)*IF(MONTH(B121)=12,2,1),0)</f>
        <v>0</v>
      </c>
      <c r="L121" s="87">
        <f ca="1">IFERROR((L120+G121-IF(RESULTADOS!$C$17="Normal",0,I121))*(1+PREMISSAS!$C$19)+F121,0)</f>
        <v>0</v>
      </c>
      <c r="N121" s="58">
        <f t="shared" ca="1" si="8"/>
        <v>0</v>
      </c>
      <c r="O121" s="223"/>
      <c r="P121" s="131">
        <f t="shared" ca="1" si="9"/>
        <v>48426</v>
      </c>
      <c r="Q121" s="111">
        <f ca="1">IF(C121="","",Q120+(E121+H121-IF(RESULTADOS!$C$17="Normal",I121,0)-J121)/2+(F121+G121-IF(RESULTADOS!$C$17="Normal",0,I121)))</f>
        <v>0</v>
      </c>
      <c r="R121" s="111">
        <f ca="1">IF(C121="","",R120+(E121+H121-IF(RESULTADOS!$C$17="Normal",I121,0)-J121)/2)</f>
        <v>0</v>
      </c>
      <c r="S121" s="111">
        <f t="shared" ca="1" si="12"/>
        <v>0</v>
      </c>
      <c r="U121" s="131" t="str">
        <f t="shared" ca="1" si="13"/>
        <v/>
      </c>
      <c r="V121" s="131" t="str">
        <f t="shared" ca="1" si="10"/>
        <v/>
      </c>
      <c r="W121" s="111">
        <f ca="1">IF(OR((W120-13/12*Z120)*(1+PREMISSAS!$C$17)&lt;0,W120=""),0,(W120-13/12*Z120)*(1+PREMISSAS!$C$17))</f>
        <v>0</v>
      </c>
      <c r="X121" s="111">
        <f ca="1">IF(OR((X120-13/12*AA120)*(1+PREMISSAS!$C$17)&lt;0,X120=""),0,(X120-13/12*AA120)*(1+PREMISSAS!$C$17))</f>
        <v>0</v>
      </c>
      <c r="Y121" s="111">
        <f t="shared" ca="1" si="11"/>
        <v>0</v>
      </c>
      <c r="Z121" s="134">
        <f t="shared" ca="1" si="14"/>
        <v>0</v>
      </c>
      <c r="AA121" s="134">
        <f t="shared" ca="1" si="15"/>
        <v>0</v>
      </c>
    </row>
    <row r="122" spans="2:27" x14ac:dyDescent="0.3">
      <c r="B122" s="21">
        <f ca="1">IF(B121="","",IF(EOMONTH(B121,1)&gt;EOMONTH(ELEGIBILIDADE!$E$5,0),"",EOMONTH(B121,1)))</f>
        <v>48457</v>
      </c>
      <c r="C122" s="22">
        <f ca="1">IF(B122="","",IF(MONTH(B122)=1,C121*(1+PREMISSAS!$C$58),C121))</f>
        <v>0</v>
      </c>
      <c r="D122" s="22">
        <f ca="1">IF(RESULTADOS!$C$17="Normal",IFERROR(MAX(C122-PREMISSAS!$C$14,0),0),IF(PREMISSAS!$H$117=0,0,MAX(10*PREMISSAS!$C$39,RESULTADOS!$F$17)))</f>
        <v>0</v>
      </c>
      <c r="E122" s="4">
        <f ca="1">D122*IF(RESULTADOS!$C$17="Normal",RESULTADOS!$C$16,0)</f>
        <v>0</v>
      </c>
      <c r="F122" s="4">
        <f ca="1">IF(D122&lt;&gt;0,PREMISSAS!$N$83,0)</f>
        <v>0</v>
      </c>
      <c r="G122" s="4">
        <f ca="1">IFERROR(IF(RESULTADOS!$C$17="Normal",0,D122)*IF(RESULTADOS!$C$17="Normal",RESULTADOS!$C$18,RESULTADOS!$C$16),0)</f>
        <v>0</v>
      </c>
      <c r="H122" s="4">
        <f ca="1">IF(RESULTADOS!$C$17="Normal",E122,0)</f>
        <v>0</v>
      </c>
      <c r="I122" s="4">
        <f ca="1">(E122+H122+G122)*IFERROR(VLOOKUP(INT(COUNT($B$5:B122)/12),PREMISSAS!$B$62:$C$69,2,FALSE),PREMISSAS!$C$69)</f>
        <v>0</v>
      </c>
      <c r="J122" s="4">
        <f ca="1">D122*IF(RESULTADOS!$C$17="Normal",PREMISSAS!$C$71,0)</f>
        <v>0</v>
      </c>
      <c r="K122" s="87">
        <f ca="1">IFERROR(K121*(1+PREMISSAS!$C$19)+(E122+H122-IF(RESULTADOS!$C$17="Normal",I122,0)-J122)*IF(MONTH(B122)=12,2,1),0)</f>
        <v>0</v>
      </c>
      <c r="L122" s="87">
        <f ca="1">IFERROR((L121+G122-IF(RESULTADOS!$C$17="Normal",0,I122))*(1+PREMISSAS!$C$19)+F122,0)</f>
        <v>0</v>
      </c>
      <c r="N122" s="58">
        <f t="shared" ca="1" si="8"/>
        <v>0</v>
      </c>
      <c r="O122" s="223"/>
      <c r="P122" s="131">
        <f t="shared" ca="1" si="9"/>
        <v>48457</v>
      </c>
      <c r="Q122" s="111">
        <f ca="1">IF(C122="","",Q121+(E122+H122-IF(RESULTADOS!$C$17="Normal",I122,0)-J122)/2+(F122+G122-IF(RESULTADOS!$C$17="Normal",0,I122)))</f>
        <v>0</v>
      </c>
      <c r="R122" s="111">
        <f ca="1">IF(C122="","",R121+(E122+H122-IF(RESULTADOS!$C$17="Normal",I122,0)-J122)/2)</f>
        <v>0</v>
      </c>
      <c r="S122" s="111">
        <f t="shared" ca="1" si="12"/>
        <v>0</v>
      </c>
      <c r="U122" s="131" t="str">
        <f t="shared" ca="1" si="13"/>
        <v/>
      </c>
      <c r="V122" s="131" t="str">
        <f t="shared" ca="1" si="10"/>
        <v/>
      </c>
      <c r="W122" s="111">
        <f ca="1">IF(OR((W121-13/12*Z121)*(1+PREMISSAS!$C$17)&lt;0,W121=""),0,(W121-13/12*Z121)*(1+PREMISSAS!$C$17))</f>
        <v>0</v>
      </c>
      <c r="X122" s="111">
        <f ca="1">IF(OR((X121-13/12*AA121)*(1+PREMISSAS!$C$17)&lt;0,X121=""),0,(X121-13/12*AA121)*(1+PREMISSAS!$C$17))</f>
        <v>0</v>
      </c>
      <c r="Y122" s="111">
        <f t="shared" ca="1" si="11"/>
        <v>0</v>
      </c>
      <c r="Z122" s="134">
        <f t="shared" ca="1" si="14"/>
        <v>0</v>
      </c>
      <c r="AA122" s="134">
        <f t="shared" ca="1" si="15"/>
        <v>0</v>
      </c>
    </row>
    <row r="123" spans="2:27" x14ac:dyDescent="0.3">
      <c r="B123" s="21">
        <f ca="1">IF(B122="","",IF(EOMONTH(B122,1)&gt;EOMONTH(ELEGIBILIDADE!$E$5,0),"",EOMONTH(B122,1)))</f>
        <v>48487</v>
      </c>
      <c r="C123" s="22">
        <f ca="1">IF(B123="","",IF(MONTH(B123)=1,C122*(1+PREMISSAS!$C$58),C122))</f>
        <v>0</v>
      </c>
      <c r="D123" s="22">
        <f ca="1">IF(RESULTADOS!$C$17="Normal",IFERROR(MAX(C123-PREMISSAS!$C$14,0),0),IF(PREMISSAS!$H$117=0,0,MAX(10*PREMISSAS!$C$39,RESULTADOS!$F$17)))</f>
        <v>0</v>
      </c>
      <c r="E123" s="4">
        <f ca="1">D123*IF(RESULTADOS!$C$17="Normal",RESULTADOS!$C$16,0)</f>
        <v>0</v>
      </c>
      <c r="F123" s="4">
        <f ca="1">IF(D123&lt;&gt;0,PREMISSAS!$N$83,0)</f>
        <v>0</v>
      </c>
      <c r="G123" s="4">
        <f ca="1">IFERROR(IF(RESULTADOS!$C$17="Normal",0,D123)*IF(RESULTADOS!$C$17="Normal",RESULTADOS!$C$18,RESULTADOS!$C$16),0)</f>
        <v>0</v>
      </c>
      <c r="H123" s="4">
        <f ca="1">IF(RESULTADOS!$C$17="Normal",E123,0)</f>
        <v>0</v>
      </c>
      <c r="I123" s="4">
        <f ca="1">(E123+H123+G123)*IFERROR(VLOOKUP(INT(COUNT($B$5:B123)/12),PREMISSAS!$B$62:$C$69,2,FALSE),PREMISSAS!$C$69)</f>
        <v>0</v>
      </c>
      <c r="J123" s="4">
        <f ca="1">D123*IF(RESULTADOS!$C$17="Normal",PREMISSAS!$C$71,0)</f>
        <v>0</v>
      </c>
      <c r="K123" s="87">
        <f ca="1">IFERROR(K122*(1+PREMISSAS!$C$19)+(E123+H123-IF(RESULTADOS!$C$17="Normal",I123,0)-J123)*IF(MONTH(B123)=12,2,1),0)</f>
        <v>0</v>
      </c>
      <c r="L123" s="87">
        <f ca="1">IFERROR((L122+G123-IF(RESULTADOS!$C$17="Normal",0,I123))*(1+PREMISSAS!$C$19)+F123,0)</f>
        <v>0</v>
      </c>
      <c r="N123" s="58">
        <f t="shared" ca="1" si="8"/>
        <v>0</v>
      </c>
      <c r="O123" s="223"/>
      <c r="P123" s="131">
        <f t="shared" ca="1" si="9"/>
        <v>48487</v>
      </c>
      <c r="Q123" s="111">
        <f ca="1">IF(C123="","",Q122+(E123+H123-IF(RESULTADOS!$C$17="Normal",I123,0)-J123)/2+(F123+G123-IF(RESULTADOS!$C$17="Normal",0,I123)))</f>
        <v>0</v>
      </c>
      <c r="R123" s="111">
        <f ca="1">IF(C123="","",R122+(E123+H123-IF(RESULTADOS!$C$17="Normal",I123,0)-J123)/2)</f>
        <v>0</v>
      </c>
      <c r="S123" s="111">
        <f t="shared" ca="1" si="12"/>
        <v>0</v>
      </c>
      <c r="U123" s="131" t="str">
        <f t="shared" ca="1" si="13"/>
        <v/>
      </c>
      <c r="V123" s="131" t="str">
        <f t="shared" ca="1" si="10"/>
        <v/>
      </c>
      <c r="W123" s="111">
        <f ca="1">IF(OR((W122-13/12*Z122)*(1+PREMISSAS!$C$17)&lt;0,W122=""),0,(W122-13/12*Z122)*(1+PREMISSAS!$C$17))</f>
        <v>0</v>
      </c>
      <c r="X123" s="111">
        <f ca="1">IF(OR((X122-13/12*AA122)*(1+PREMISSAS!$C$17)&lt;0,X122=""),0,(X122-13/12*AA122)*(1+PREMISSAS!$C$17))</f>
        <v>0</v>
      </c>
      <c r="Y123" s="111">
        <f t="shared" ca="1" si="11"/>
        <v>0</v>
      </c>
      <c r="Z123" s="134">
        <f t="shared" ca="1" si="14"/>
        <v>0</v>
      </c>
      <c r="AA123" s="134">
        <f t="shared" ca="1" si="15"/>
        <v>0</v>
      </c>
    </row>
    <row r="124" spans="2:27" x14ac:dyDescent="0.3">
      <c r="B124" s="21">
        <f ca="1">IF(B123="","",IF(EOMONTH(B123,1)&gt;EOMONTH(ELEGIBILIDADE!$E$5,0),"",EOMONTH(B123,1)))</f>
        <v>48518</v>
      </c>
      <c r="C124" s="22">
        <f ca="1">IF(B124="","",IF(MONTH(B124)=1,C123*(1+PREMISSAS!$C$58),C123))</f>
        <v>0</v>
      </c>
      <c r="D124" s="22">
        <f ca="1">IF(RESULTADOS!$C$17="Normal",IFERROR(MAX(C124-PREMISSAS!$C$14,0),0),IF(PREMISSAS!$H$117=0,0,MAX(10*PREMISSAS!$C$39,RESULTADOS!$F$17)))</f>
        <v>0</v>
      </c>
      <c r="E124" s="4">
        <f ca="1">D124*IF(RESULTADOS!$C$17="Normal",RESULTADOS!$C$16,0)</f>
        <v>0</v>
      </c>
      <c r="F124" s="4">
        <f ca="1">IF(D124&lt;&gt;0,PREMISSAS!$N$83,0)</f>
        <v>0</v>
      </c>
      <c r="G124" s="4">
        <f ca="1">IFERROR(IF(RESULTADOS!$C$17="Normal",0,D124)*IF(RESULTADOS!$C$17="Normal",RESULTADOS!$C$18,RESULTADOS!$C$16),0)</f>
        <v>0</v>
      </c>
      <c r="H124" s="4">
        <f ca="1">IF(RESULTADOS!$C$17="Normal",E124,0)</f>
        <v>0</v>
      </c>
      <c r="I124" s="4">
        <f ca="1">(E124+H124+G124)*IFERROR(VLOOKUP(INT(COUNT($B$5:B124)/12),PREMISSAS!$B$62:$C$69,2,FALSE),PREMISSAS!$C$69)</f>
        <v>0</v>
      </c>
      <c r="J124" s="4">
        <f ca="1">D124*IF(RESULTADOS!$C$17="Normal",PREMISSAS!$C$71,0)</f>
        <v>0</v>
      </c>
      <c r="K124" s="87">
        <f ca="1">IFERROR(K123*(1+PREMISSAS!$C$19)+(E124+H124-IF(RESULTADOS!$C$17="Normal",I124,0)-J124)*IF(MONTH(B124)=12,2,1),0)</f>
        <v>0</v>
      </c>
      <c r="L124" s="87">
        <f ca="1">IFERROR((L123+G124-IF(RESULTADOS!$C$17="Normal",0,I124))*(1+PREMISSAS!$C$19)+F124,0)</f>
        <v>0</v>
      </c>
      <c r="N124" s="58">
        <f t="shared" ca="1" si="8"/>
        <v>0</v>
      </c>
      <c r="O124" s="223"/>
      <c r="P124" s="131">
        <f t="shared" ca="1" si="9"/>
        <v>48518</v>
      </c>
      <c r="Q124" s="111">
        <f ca="1">IF(C124="","",Q123+(E124+H124-IF(RESULTADOS!$C$17="Normal",I124,0)-J124)/2+(F124+G124-IF(RESULTADOS!$C$17="Normal",0,I124)))</f>
        <v>0</v>
      </c>
      <c r="R124" s="111">
        <f ca="1">IF(C124="","",R123+(E124+H124-IF(RESULTADOS!$C$17="Normal",I124,0)-J124)/2)</f>
        <v>0</v>
      </c>
      <c r="S124" s="111">
        <f t="shared" ca="1" si="12"/>
        <v>0</v>
      </c>
      <c r="U124" s="131" t="str">
        <f t="shared" ca="1" si="13"/>
        <v/>
      </c>
      <c r="V124" s="131" t="str">
        <f t="shared" ca="1" si="10"/>
        <v/>
      </c>
      <c r="W124" s="111">
        <f ca="1">IF(OR((W123-13/12*Z123)*(1+PREMISSAS!$C$17)&lt;0,W123=""),0,(W123-13/12*Z123)*(1+PREMISSAS!$C$17))</f>
        <v>0</v>
      </c>
      <c r="X124" s="111">
        <f ca="1">IF(OR((X123-13/12*AA123)*(1+PREMISSAS!$C$17)&lt;0,X123=""),0,(X123-13/12*AA123)*(1+PREMISSAS!$C$17))</f>
        <v>0</v>
      </c>
      <c r="Y124" s="111">
        <f t="shared" ca="1" si="11"/>
        <v>0</v>
      </c>
      <c r="Z124" s="134">
        <f t="shared" ca="1" si="14"/>
        <v>0</v>
      </c>
      <c r="AA124" s="134">
        <f t="shared" ca="1" si="15"/>
        <v>0</v>
      </c>
    </row>
    <row r="125" spans="2:27" x14ac:dyDescent="0.3">
      <c r="B125" s="21">
        <f ca="1">IF(B124="","",IF(EOMONTH(B124,1)&gt;EOMONTH(ELEGIBILIDADE!$E$5,0),"",EOMONTH(B124,1)))</f>
        <v>48548</v>
      </c>
      <c r="C125" s="22">
        <f ca="1">IF(B125="","",IF(MONTH(B125)=1,C124*(1+PREMISSAS!$C$58),C124))</f>
        <v>0</v>
      </c>
      <c r="D125" s="22">
        <f ca="1">IF(RESULTADOS!$C$17="Normal",IFERROR(MAX(C125-PREMISSAS!$C$14,0),0),IF(PREMISSAS!$H$117=0,0,MAX(10*PREMISSAS!$C$39,RESULTADOS!$F$17)))</f>
        <v>0</v>
      </c>
      <c r="E125" s="4">
        <f ca="1">D125*IF(RESULTADOS!$C$17="Normal",RESULTADOS!$C$16,0)</f>
        <v>0</v>
      </c>
      <c r="F125" s="4">
        <f ca="1">IF(D125&lt;&gt;0,PREMISSAS!$N$83,0)</f>
        <v>0</v>
      </c>
      <c r="G125" s="4">
        <f ca="1">IFERROR(IF(RESULTADOS!$C$17="Normal",0,D125)*IF(RESULTADOS!$C$17="Normal",RESULTADOS!$C$18,RESULTADOS!$C$16),0)</f>
        <v>0</v>
      </c>
      <c r="H125" s="4">
        <f ca="1">IF(RESULTADOS!$C$17="Normal",E125,0)</f>
        <v>0</v>
      </c>
      <c r="I125" s="4">
        <f ca="1">(E125+H125+G125)*IFERROR(VLOOKUP(INT(COUNT($B$5:B125)/12),PREMISSAS!$B$62:$C$69,2,FALSE),PREMISSAS!$C$69)</f>
        <v>0</v>
      </c>
      <c r="J125" s="4">
        <f ca="1">D125*IF(RESULTADOS!$C$17="Normal",PREMISSAS!$C$71,0)</f>
        <v>0</v>
      </c>
      <c r="K125" s="87">
        <f ca="1">IFERROR(K124*(1+PREMISSAS!$C$19)+(E125+H125-IF(RESULTADOS!$C$17="Normal",I125,0)-J125)*IF(MONTH(B125)=12,2,1),0)</f>
        <v>0</v>
      </c>
      <c r="L125" s="87">
        <f ca="1">IFERROR((L124+G125-IF(RESULTADOS!$C$17="Normal",0,I125))*(1+PREMISSAS!$C$19)+F125,0)</f>
        <v>0</v>
      </c>
      <c r="N125" s="58">
        <f t="shared" ca="1" si="8"/>
        <v>0</v>
      </c>
      <c r="O125" s="223"/>
      <c r="P125" s="131">
        <f t="shared" ca="1" si="9"/>
        <v>48548</v>
      </c>
      <c r="Q125" s="111">
        <f ca="1">IF(C125="","",Q124+(E125+H125-IF(RESULTADOS!$C$17="Normal",I125,0)-J125)/2+(F125+G125-IF(RESULTADOS!$C$17="Normal",0,I125)))</f>
        <v>0</v>
      </c>
      <c r="R125" s="111">
        <f ca="1">IF(C125="","",R124+(E125+H125-IF(RESULTADOS!$C$17="Normal",I125,0)-J125)/2)</f>
        <v>0</v>
      </c>
      <c r="S125" s="111">
        <f t="shared" ca="1" si="12"/>
        <v>0</v>
      </c>
      <c r="U125" s="131" t="str">
        <f t="shared" ca="1" si="13"/>
        <v/>
      </c>
      <c r="V125" s="131" t="str">
        <f t="shared" ca="1" si="10"/>
        <v/>
      </c>
      <c r="W125" s="111">
        <f ca="1">IF(OR((W124-13/12*Z124)*(1+PREMISSAS!$C$17)&lt;0,W124=""),0,(W124-13/12*Z124)*(1+PREMISSAS!$C$17))</f>
        <v>0</v>
      </c>
      <c r="X125" s="111">
        <f ca="1">IF(OR((X124-13/12*AA124)*(1+PREMISSAS!$C$17)&lt;0,X124=""),0,(X124-13/12*AA124)*(1+PREMISSAS!$C$17))</f>
        <v>0</v>
      </c>
      <c r="Y125" s="111">
        <f t="shared" ca="1" si="11"/>
        <v>0</v>
      </c>
      <c r="Z125" s="134">
        <f t="shared" ca="1" si="14"/>
        <v>0</v>
      </c>
      <c r="AA125" s="134">
        <f t="shared" ca="1" si="15"/>
        <v>0</v>
      </c>
    </row>
    <row r="126" spans="2:27" x14ac:dyDescent="0.3">
      <c r="B126" s="21">
        <f ca="1">IF(B125="","",IF(EOMONTH(B125,1)&gt;EOMONTH(ELEGIBILIDADE!$E$5,0),"",EOMONTH(B125,1)))</f>
        <v>48579</v>
      </c>
      <c r="C126" s="22">
        <f ca="1">IF(B126="","",IF(MONTH(B126)=1,C125*(1+PREMISSAS!$C$58),C125))</f>
        <v>0</v>
      </c>
      <c r="D126" s="22">
        <f ca="1">IF(RESULTADOS!$C$17="Normal",IFERROR(MAX(C126-PREMISSAS!$C$14,0),0),IF(PREMISSAS!$H$117=0,0,MAX(10*PREMISSAS!$C$39,RESULTADOS!$F$17)))</f>
        <v>0</v>
      </c>
      <c r="E126" s="4">
        <f ca="1">D126*IF(RESULTADOS!$C$17="Normal",RESULTADOS!$C$16,0)</f>
        <v>0</v>
      </c>
      <c r="F126" s="4">
        <f ca="1">IF(D126&lt;&gt;0,PREMISSAS!$N$83,0)</f>
        <v>0</v>
      </c>
      <c r="G126" s="4">
        <f ca="1">IFERROR(IF(RESULTADOS!$C$17="Normal",0,D126)*IF(RESULTADOS!$C$17="Normal",RESULTADOS!$C$18,RESULTADOS!$C$16),0)</f>
        <v>0</v>
      </c>
      <c r="H126" s="4">
        <f ca="1">IF(RESULTADOS!$C$17="Normal",E126,0)</f>
        <v>0</v>
      </c>
      <c r="I126" s="4">
        <f ca="1">(E126+H126+G126)*IFERROR(VLOOKUP(INT(COUNT($B$5:B126)/12),PREMISSAS!$B$62:$C$69,2,FALSE),PREMISSAS!$C$69)</f>
        <v>0</v>
      </c>
      <c r="J126" s="4">
        <f ca="1">D126*IF(RESULTADOS!$C$17="Normal",PREMISSAS!$C$71,0)</f>
        <v>0</v>
      </c>
      <c r="K126" s="87">
        <f ca="1">IFERROR(K125*(1+PREMISSAS!$C$19)+(E126+H126-IF(RESULTADOS!$C$17="Normal",I126,0)-J126)*IF(MONTH(B126)=12,2,1),0)</f>
        <v>0</v>
      </c>
      <c r="L126" s="87">
        <f ca="1">IFERROR((L125+G126-IF(RESULTADOS!$C$17="Normal",0,I126))*(1+PREMISSAS!$C$19)+F126,0)</f>
        <v>0</v>
      </c>
      <c r="N126" s="58">
        <f t="shared" ca="1" si="8"/>
        <v>0</v>
      </c>
      <c r="O126" s="223"/>
      <c r="P126" s="131">
        <f t="shared" ca="1" si="9"/>
        <v>48579</v>
      </c>
      <c r="Q126" s="111">
        <f ca="1">IF(C126="","",Q125+(E126+H126-IF(RESULTADOS!$C$17="Normal",I126,0)-J126)/2+(F126+G126-IF(RESULTADOS!$C$17="Normal",0,I126)))</f>
        <v>0</v>
      </c>
      <c r="R126" s="111">
        <f ca="1">IF(C126="","",R125+(E126+H126-IF(RESULTADOS!$C$17="Normal",I126,0)-J126)/2)</f>
        <v>0</v>
      </c>
      <c r="S126" s="111">
        <f t="shared" ca="1" si="12"/>
        <v>0</v>
      </c>
      <c r="U126" s="131" t="str">
        <f t="shared" ca="1" si="13"/>
        <v/>
      </c>
      <c r="V126" s="131" t="str">
        <f t="shared" ca="1" si="10"/>
        <v/>
      </c>
      <c r="W126" s="111">
        <f ca="1">IF(OR((W125-13/12*Z125)*(1+PREMISSAS!$C$17)&lt;0,W125=""),0,(W125-13/12*Z125)*(1+PREMISSAS!$C$17))</f>
        <v>0</v>
      </c>
      <c r="X126" s="111">
        <f ca="1">IF(OR((X125-13/12*AA125)*(1+PREMISSAS!$C$17)&lt;0,X125=""),0,(X125-13/12*AA125)*(1+PREMISSAS!$C$17))</f>
        <v>0</v>
      </c>
      <c r="Y126" s="111">
        <f t="shared" ca="1" si="11"/>
        <v>0</v>
      </c>
      <c r="Z126" s="134">
        <f t="shared" ca="1" si="14"/>
        <v>0</v>
      </c>
      <c r="AA126" s="134">
        <f t="shared" ca="1" si="15"/>
        <v>0</v>
      </c>
    </row>
    <row r="127" spans="2:27" x14ac:dyDescent="0.3">
      <c r="B127" s="21">
        <f ca="1">IF(B126="","",IF(EOMONTH(B126,1)&gt;EOMONTH(ELEGIBILIDADE!$E$5,0),"",EOMONTH(B126,1)))</f>
        <v>48610</v>
      </c>
      <c r="C127" s="22">
        <f ca="1">IF(B127="","",IF(MONTH(B127)=1,C126*(1+PREMISSAS!$C$58),C126))</f>
        <v>0</v>
      </c>
      <c r="D127" s="22">
        <f ca="1">IF(RESULTADOS!$C$17="Normal",IFERROR(MAX(C127-PREMISSAS!$C$14,0),0),IF(PREMISSAS!$H$117=0,0,MAX(10*PREMISSAS!$C$39,RESULTADOS!$F$17)))</f>
        <v>0</v>
      </c>
      <c r="E127" s="4">
        <f ca="1">D127*IF(RESULTADOS!$C$17="Normal",RESULTADOS!$C$16,0)</f>
        <v>0</v>
      </c>
      <c r="F127" s="4">
        <f ca="1">IF(D127&lt;&gt;0,PREMISSAS!$N$83,0)</f>
        <v>0</v>
      </c>
      <c r="G127" s="4">
        <f ca="1">IFERROR(IF(RESULTADOS!$C$17="Normal",0,D127)*IF(RESULTADOS!$C$17="Normal",RESULTADOS!$C$18,RESULTADOS!$C$16),0)</f>
        <v>0</v>
      </c>
      <c r="H127" s="4">
        <f ca="1">IF(RESULTADOS!$C$17="Normal",E127,0)</f>
        <v>0</v>
      </c>
      <c r="I127" s="4">
        <f ca="1">(E127+H127+G127)*IFERROR(VLOOKUP(INT(COUNT($B$5:B127)/12),PREMISSAS!$B$62:$C$69,2,FALSE),PREMISSAS!$C$69)</f>
        <v>0</v>
      </c>
      <c r="J127" s="4">
        <f ca="1">D127*IF(RESULTADOS!$C$17="Normal",PREMISSAS!$C$71,0)</f>
        <v>0</v>
      </c>
      <c r="K127" s="87">
        <f ca="1">IFERROR(K126*(1+PREMISSAS!$C$19)+(E127+H127-IF(RESULTADOS!$C$17="Normal",I127,0)-J127)*IF(MONTH(B127)=12,2,1),0)</f>
        <v>0</v>
      </c>
      <c r="L127" s="87">
        <f ca="1">IFERROR((L126+G127-IF(RESULTADOS!$C$17="Normal",0,I127))*(1+PREMISSAS!$C$19)+F127,0)</f>
        <v>0</v>
      </c>
      <c r="N127" s="58">
        <f t="shared" ca="1" si="8"/>
        <v>0</v>
      </c>
      <c r="O127" s="223"/>
      <c r="P127" s="131">
        <f t="shared" ca="1" si="9"/>
        <v>48610</v>
      </c>
      <c r="Q127" s="111">
        <f ca="1">IF(C127="","",Q126+(E127+H127-IF(RESULTADOS!$C$17="Normal",I127,0)-J127)/2+(F127+G127-IF(RESULTADOS!$C$17="Normal",0,I127)))</f>
        <v>0</v>
      </c>
      <c r="R127" s="111">
        <f ca="1">IF(C127="","",R126+(E127+H127-IF(RESULTADOS!$C$17="Normal",I127,0)-J127)/2)</f>
        <v>0</v>
      </c>
      <c r="S127" s="111">
        <f t="shared" ca="1" si="12"/>
        <v>0</v>
      </c>
      <c r="U127" s="131" t="str">
        <f t="shared" ca="1" si="13"/>
        <v/>
      </c>
      <c r="V127" s="131" t="str">
        <f t="shared" ca="1" si="10"/>
        <v/>
      </c>
      <c r="W127" s="111">
        <f ca="1">IF(OR((W126-13/12*Z126)*(1+PREMISSAS!$C$17)&lt;0,W126=""),0,(W126-13/12*Z126)*(1+PREMISSAS!$C$17))</f>
        <v>0</v>
      </c>
      <c r="X127" s="111">
        <f ca="1">IF(OR((X126-13/12*AA126)*(1+PREMISSAS!$C$17)&lt;0,X126=""),0,(X126-13/12*AA126)*(1+PREMISSAS!$C$17))</f>
        <v>0</v>
      </c>
      <c r="Y127" s="111">
        <f t="shared" ca="1" si="11"/>
        <v>0</v>
      </c>
      <c r="Z127" s="134">
        <f t="shared" ca="1" si="14"/>
        <v>0</v>
      </c>
      <c r="AA127" s="134">
        <f t="shared" ca="1" si="15"/>
        <v>0</v>
      </c>
    </row>
    <row r="128" spans="2:27" x14ac:dyDescent="0.3">
      <c r="B128" s="21">
        <f ca="1">IF(B127="","",IF(EOMONTH(B127,1)&gt;EOMONTH(ELEGIBILIDADE!$E$5,0),"",EOMONTH(B127,1)))</f>
        <v>48638</v>
      </c>
      <c r="C128" s="22">
        <f ca="1">IF(B128="","",IF(MONTH(B128)=1,C127*(1+PREMISSAS!$C$58),C127))</f>
        <v>0</v>
      </c>
      <c r="D128" s="22">
        <f ca="1">IF(RESULTADOS!$C$17="Normal",IFERROR(MAX(C128-PREMISSAS!$C$14,0),0),IF(PREMISSAS!$H$117=0,0,MAX(10*PREMISSAS!$C$39,RESULTADOS!$F$17)))</f>
        <v>0</v>
      </c>
      <c r="E128" s="4">
        <f ca="1">D128*IF(RESULTADOS!$C$17="Normal",RESULTADOS!$C$16,0)</f>
        <v>0</v>
      </c>
      <c r="F128" s="4">
        <f ca="1">IF(D128&lt;&gt;0,PREMISSAS!$N$83,0)</f>
        <v>0</v>
      </c>
      <c r="G128" s="4">
        <f ca="1">IFERROR(IF(RESULTADOS!$C$17="Normal",0,D128)*IF(RESULTADOS!$C$17="Normal",RESULTADOS!$C$18,RESULTADOS!$C$16),0)</f>
        <v>0</v>
      </c>
      <c r="H128" s="4">
        <f ca="1">IF(RESULTADOS!$C$17="Normal",E128,0)</f>
        <v>0</v>
      </c>
      <c r="I128" s="4">
        <f ca="1">(E128+H128+G128)*IFERROR(VLOOKUP(INT(COUNT($B$5:B128)/12),PREMISSAS!$B$62:$C$69,2,FALSE),PREMISSAS!$C$69)</f>
        <v>0</v>
      </c>
      <c r="J128" s="4">
        <f ca="1">D128*IF(RESULTADOS!$C$17="Normal",PREMISSAS!$C$71,0)</f>
        <v>0</v>
      </c>
      <c r="K128" s="87">
        <f ca="1">IFERROR(K127*(1+PREMISSAS!$C$19)+(E128+H128-IF(RESULTADOS!$C$17="Normal",I128,0)-J128)*IF(MONTH(B128)=12,2,1),0)</f>
        <v>0</v>
      </c>
      <c r="L128" s="87">
        <f ca="1">IFERROR((L127+G128-IF(RESULTADOS!$C$17="Normal",0,I128))*(1+PREMISSAS!$C$19)+F128,0)</f>
        <v>0</v>
      </c>
      <c r="N128" s="58">
        <f t="shared" ca="1" si="8"/>
        <v>0</v>
      </c>
      <c r="O128" s="223"/>
      <c r="P128" s="131">
        <f t="shared" ca="1" si="9"/>
        <v>48638</v>
      </c>
      <c r="Q128" s="111">
        <f ca="1">IF(C128="","",Q127+(E128+H128-IF(RESULTADOS!$C$17="Normal",I128,0)-J128)/2+(F128+G128-IF(RESULTADOS!$C$17="Normal",0,I128)))</f>
        <v>0</v>
      </c>
      <c r="R128" s="111">
        <f ca="1">IF(C128="","",R127+(E128+H128-IF(RESULTADOS!$C$17="Normal",I128,0)-J128)/2)</f>
        <v>0</v>
      </c>
      <c r="S128" s="111">
        <f t="shared" ca="1" si="12"/>
        <v>0</v>
      </c>
      <c r="U128" s="131" t="str">
        <f t="shared" ca="1" si="13"/>
        <v/>
      </c>
      <c r="V128" s="131" t="str">
        <f t="shared" ca="1" si="10"/>
        <v/>
      </c>
      <c r="W128" s="111">
        <f ca="1">IF(OR((W127-13/12*Z127)*(1+PREMISSAS!$C$17)&lt;0,W127=""),0,(W127-13/12*Z127)*(1+PREMISSAS!$C$17))</f>
        <v>0</v>
      </c>
      <c r="X128" s="111">
        <f ca="1">IF(OR((X127-13/12*AA127)*(1+PREMISSAS!$C$17)&lt;0,X127=""),0,(X127-13/12*AA127)*(1+PREMISSAS!$C$17))</f>
        <v>0</v>
      </c>
      <c r="Y128" s="111">
        <f t="shared" ca="1" si="11"/>
        <v>0</v>
      </c>
      <c r="Z128" s="134">
        <f t="shared" ca="1" si="14"/>
        <v>0</v>
      </c>
      <c r="AA128" s="134">
        <f t="shared" ca="1" si="15"/>
        <v>0</v>
      </c>
    </row>
    <row r="129" spans="2:27" x14ac:dyDescent="0.3">
      <c r="B129" s="21">
        <f ca="1">IF(B128="","",IF(EOMONTH(B128,1)&gt;EOMONTH(ELEGIBILIDADE!$E$5,0),"",EOMONTH(B128,1)))</f>
        <v>48669</v>
      </c>
      <c r="C129" s="22">
        <f ca="1">IF(B129="","",IF(MONTH(B129)=1,C128*(1+PREMISSAS!$C$58),C128))</f>
        <v>0</v>
      </c>
      <c r="D129" s="22">
        <f ca="1">IF(RESULTADOS!$C$17="Normal",IFERROR(MAX(C129-PREMISSAS!$C$14,0),0),IF(PREMISSAS!$H$117=0,0,MAX(10*PREMISSAS!$C$39,RESULTADOS!$F$17)))</f>
        <v>0</v>
      </c>
      <c r="E129" s="4">
        <f ca="1">D129*IF(RESULTADOS!$C$17="Normal",RESULTADOS!$C$16,0)</f>
        <v>0</v>
      </c>
      <c r="F129" s="4">
        <f ca="1">IF(D129&lt;&gt;0,PREMISSAS!$N$83,0)</f>
        <v>0</v>
      </c>
      <c r="G129" s="4">
        <f ca="1">IFERROR(IF(RESULTADOS!$C$17="Normal",0,D129)*IF(RESULTADOS!$C$17="Normal",RESULTADOS!$C$18,RESULTADOS!$C$16),0)</f>
        <v>0</v>
      </c>
      <c r="H129" s="4">
        <f ca="1">IF(RESULTADOS!$C$17="Normal",E129,0)</f>
        <v>0</v>
      </c>
      <c r="I129" s="4">
        <f ca="1">(E129+H129+G129)*IFERROR(VLOOKUP(INT(COUNT($B$5:B129)/12),PREMISSAS!$B$62:$C$69,2,FALSE),PREMISSAS!$C$69)</f>
        <v>0</v>
      </c>
      <c r="J129" s="4">
        <f ca="1">D129*IF(RESULTADOS!$C$17="Normal",PREMISSAS!$C$71,0)</f>
        <v>0</v>
      </c>
      <c r="K129" s="87">
        <f ca="1">IFERROR(K128*(1+PREMISSAS!$C$19)+(E129+H129-IF(RESULTADOS!$C$17="Normal",I129,0)-J129)*IF(MONTH(B129)=12,2,1),0)</f>
        <v>0</v>
      </c>
      <c r="L129" s="87">
        <f ca="1">IFERROR((L128+G129-IF(RESULTADOS!$C$17="Normal",0,I129))*(1+PREMISSAS!$C$19)+F129,0)</f>
        <v>0</v>
      </c>
      <c r="N129" s="58">
        <f t="shared" ca="1" si="8"/>
        <v>0</v>
      </c>
      <c r="O129" s="223"/>
      <c r="P129" s="131">
        <f t="shared" ca="1" si="9"/>
        <v>48669</v>
      </c>
      <c r="Q129" s="111">
        <f ca="1">IF(C129="","",Q128+(E129+H129-IF(RESULTADOS!$C$17="Normal",I129,0)-J129)/2+(F129+G129-IF(RESULTADOS!$C$17="Normal",0,I129)))</f>
        <v>0</v>
      </c>
      <c r="R129" s="111">
        <f ca="1">IF(C129="","",R128+(E129+H129-IF(RESULTADOS!$C$17="Normal",I129,0)-J129)/2)</f>
        <v>0</v>
      </c>
      <c r="S129" s="111">
        <f t="shared" ca="1" si="12"/>
        <v>0</v>
      </c>
      <c r="U129" s="131" t="str">
        <f t="shared" ca="1" si="13"/>
        <v/>
      </c>
      <c r="V129" s="131" t="str">
        <f t="shared" ca="1" si="10"/>
        <v/>
      </c>
      <c r="W129" s="111">
        <f ca="1">IF(OR((W128-13/12*Z128)*(1+PREMISSAS!$C$17)&lt;0,W128=""),0,(W128-13/12*Z128)*(1+PREMISSAS!$C$17))</f>
        <v>0</v>
      </c>
      <c r="X129" s="111">
        <f ca="1">IF(OR((X128-13/12*AA128)*(1+PREMISSAS!$C$17)&lt;0,X128=""),0,(X128-13/12*AA128)*(1+PREMISSAS!$C$17))</f>
        <v>0</v>
      </c>
      <c r="Y129" s="111">
        <f t="shared" ca="1" si="11"/>
        <v>0</v>
      </c>
      <c r="Z129" s="134">
        <f t="shared" ca="1" si="14"/>
        <v>0</v>
      </c>
      <c r="AA129" s="134">
        <f t="shared" ca="1" si="15"/>
        <v>0</v>
      </c>
    </row>
    <row r="130" spans="2:27" x14ac:dyDescent="0.3">
      <c r="B130" s="21">
        <f ca="1">IF(B129="","",IF(EOMONTH(B129,1)&gt;EOMONTH(ELEGIBILIDADE!$E$5,0),"",EOMONTH(B129,1)))</f>
        <v>48699</v>
      </c>
      <c r="C130" s="22">
        <f ca="1">IF(B130="","",IF(MONTH(B130)=1,C129*(1+PREMISSAS!$C$58),C129))</f>
        <v>0</v>
      </c>
      <c r="D130" s="22">
        <f ca="1">IF(RESULTADOS!$C$17="Normal",IFERROR(MAX(C130-PREMISSAS!$C$14,0),0),IF(PREMISSAS!$H$117=0,0,MAX(10*PREMISSAS!$C$39,RESULTADOS!$F$17)))</f>
        <v>0</v>
      </c>
      <c r="E130" s="4">
        <f ca="1">D130*IF(RESULTADOS!$C$17="Normal",RESULTADOS!$C$16,0)</f>
        <v>0</v>
      </c>
      <c r="F130" s="4">
        <f ca="1">IF(D130&lt;&gt;0,PREMISSAS!$N$83,0)</f>
        <v>0</v>
      </c>
      <c r="G130" s="4">
        <f ca="1">IFERROR(IF(RESULTADOS!$C$17="Normal",0,D130)*IF(RESULTADOS!$C$17="Normal",RESULTADOS!$C$18,RESULTADOS!$C$16),0)</f>
        <v>0</v>
      </c>
      <c r="H130" s="4">
        <f ca="1">IF(RESULTADOS!$C$17="Normal",E130,0)</f>
        <v>0</v>
      </c>
      <c r="I130" s="4">
        <f ca="1">(E130+H130+G130)*IFERROR(VLOOKUP(INT(COUNT($B$5:B130)/12),PREMISSAS!$B$62:$C$69,2,FALSE),PREMISSAS!$C$69)</f>
        <v>0</v>
      </c>
      <c r="J130" s="4">
        <f ca="1">D130*IF(RESULTADOS!$C$17="Normal",PREMISSAS!$C$71,0)</f>
        <v>0</v>
      </c>
      <c r="K130" s="87">
        <f ca="1">IFERROR(K129*(1+PREMISSAS!$C$19)+(E130+H130-IF(RESULTADOS!$C$17="Normal",I130,0)-J130)*IF(MONTH(B130)=12,2,1),0)</f>
        <v>0</v>
      </c>
      <c r="L130" s="87">
        <f ca="1">IFERROR((L129+G130-IF(RESULTADOS!$C$17="Normal",0,I130))*(1+PREMISSAS!$C$19)+F130,0)</f>
        <v>0</v>
      </c>
      <c r="N130" s="58">
        <f t="shared" ca="1" si="8"/>
        <v>0</v>
      </c>
      <c r="O130" s="223"/>
      <c r="P130" s="131">
        <f t="shared" ca="1" si="9"/>
        <v>48699</v>
      </c>
      <c r="Q130" s="111">
        <f ca="1">IF(C130="","",Q129+(E130+H130-IF(RESULTADOS!$C$17="Normal",I130,0)-J130)/2+(F130+G130-IF(RESULTADOS!$C$17="Normal",0,I130)))</f>
        <v>0</v>
      </c>
      <c r="R130" s="111">
        <f ca="1">IF(C130="","",R129+(E130+H130-IF(RESULTADOS!$C$17="Normal",I130,0)-J130)/2)</f>
        <v>0</v>
      </c>
      <c r="S130" s="111">
        <f t="shared" ca="1" si="12"/>
        <v>0</v>
      </c>
      <c r="U130" s="131" t="str">
        <f t="shared" ca="1" si="13"/>
        <v/>
      </c>
      <c r="V130" s="131" t="str">
        <f t="shared" ca="1" si="10"/>
        <v/>
      </c>
      <c r="W130" s="111">
        <f ca="1">IF(OR((W129-13/12*Z129)*(1+PREMISSAS!$C$17)&lt;0,W129=""),0,(W129-13/12*Z129)*(1+PREMISSAS!$C$17))</f>
        <v>0</v>
      </c>
      <c r="X130" s="111">
        <f ca="1">IF(OR((X129-13/12*AA129)*(1+PREMISSAS!$C$17)&lt;0,X129=""),0,(X129-13/12*AA129)*(1+PREMISSAS!$C$17))</f>
        <v>0</v>
      </c>
      <c r="Y130" s="111">
        <f t="shared" ca="1" si="11"/>
        <v>0</v>
      </c>
      <c r="Z130" s="134">
        <f t="shared" ca="1" si="14"/>
        <v>0</v>
      </c>
      <c r="AA130" s="134">
        <f t="shared" ca="1" si="15"/>
        <v>0</v>
      </c>
    </row>
    <row r="131" spans="2:27" x14ac:dyDescent="0.3">
      <c r="B131" s="21">
        <f ca="1">IF(B130="","",IF(EOMONTH(B130,1)&gt;EOMONTH(ELEGIBILIDADE!$E$5,0),"",EOMONTH(B130,1)))</f>
        <v>48730</v>
      </c>
      <c r="C131" s="22">
        <f ca="1">IF(B131="","",IF(MONTH(B131)=1,C130*(1+PREMISSAS!$C$58),C130))</f>
        <v>0</v>
      </c>
      <c r="D131" s="22">
        <f ca="1">IF(RESULTADOS!$C$17="Normal",IFERROR(MAX(C131-PREMISSAS!$C$14,0),0),IF(PREMISSAS!$H$117=0,0,MAX(10*PREMISSAS!$C$39,RESULTADOS!$F$17)))</f>
        <v>0</v>
      </c>
      <c r="E131" s="4">
        <f ca="1">D131*IF(RESULTADOS!$C$17="Normal",RESULTADOS!$C$16,0)</f>
        <v>0</v>
      </c>
      <c r="F131" s="4">
        <f ca="1">IF(D131&lt;&gt;0,PREMISSAS!$N$83,0)</f>
        <v>0</v>
      </c>
      <c r="G131" s="4">
        <f ca="1">IFERROR(IF(RESULTADOS!$C$17="Normal",0,D131)*IF(RESULTADOS!$C$17="Normal",RESULTADOS!$C$18,RESULTADOS!$C$16),0)</f>
        <v>0</v>
      </c>
      <c r="H131" s="4">
        <f ca="1">IF(RESULTADOS!$C$17="Normal",E131,0)</f>
        <v>0</v>
      </c>
      <c r="I131" s="4">
        <f ca="1">(E131+H131+G131)*IFERROR(VLOOKUP(INT(COUNT($B$5:B131)/12),PREMISSAS!$B$62:$C$69,2,FALSE),PREMISSAS!$C$69)</f>
        <v>0</v>
      </c>
      <c r="J131" s="4">
        <f ca="1">D131*IF(RESULTADOS!$C$17="Normal",PREMISSAS!$C$71,0)</f>
        <v>0</v>
      </c>
      <c r="K131" s="87">
        <f ca="1">IFERROR(K130*(1+PREMISSAS!$C$19)+(E131+H131-IF(RESULTADOS!$C$17="Normal",I131,0)-J131)*IF(MONTH(B131)=12,2,1),0)</f>
        <v>0</v>
      </c>
      <c r="L131" s="87">
        <f ca="1">IFERROR((L130+G131-IF(RESULTADOS!$C$17="Normal",0,I131))*(1+PREMISSAS!$C$19)+F131,0)</f>
        <v>0</v>
      </c>
      <c r="N131" s="58">
        <f t="shared" ca="1" si="8"/>
        <v>0</v>
      </c>
      <c r="O131" s="223"/>
      <c r="P131" s="131">
        <f t="shared" ca="1" si="9"/>
        <v>48730</v>
      </c>
      <c r="Q131" s="111">
        <f ca="1">IF(C131="","",Q130+(E131+H131-IF(RESULTADOS!$C$17="Normal",I131,0)-J131)/2+(F131+G131-IF(RESULTADOS!$C$17="Normal",0,I131)))</f>
        <v>0</v>
      </c>
      <c r="R131" s="111">
        <f ca="1">IF(C131="","",R130+(E131+H131-IF(RESULTADOS!$C$17="Normal",I131,0)-J131)/2)</f>
        <v>0</v>
      </c>
      <c r="S131" s="111">
        <f t="shared" ca="1" si="12"/>
        <v>0</v>
      </c>
      <c r="U131" s="131" t="str">
        <f t="shared" ca="1" si="13"/>
        <v/>
      </c>
      <c r="V131" s="131" t="str">
        <f t="shared" ca="1" si="10"/>
        <v/>
      </c>
      <c r="W131" s="111">
        <f ca="1">IF(OR((W130-13/12*Z130)*(1+PREMISSAS!$C$17)&lt;0,W130=""),0,(W130-13/12*Z130)*(1+PREMISSAS!$C$17))</f>
        <v>0</v>
      </c>
      <c r="X131" s="111">
        <f ca="1">IF(OR((X130-13/12*AA130)*(1+PREMISSAS!$C$17)&lt;0,X130=""),0,(X130-13/12*AA130)*(1+PREMISSAS!$C$17))</f>
        <v>0</v>
      </c>
      <c r="Y131" s="111">
        <f t="shared" ca="1" si="11"/>
        <v>0</v>
      </c>
      <c r="Z131" s="134">
        <f t="shared" ca="1" si="14"/>
        <v>0</v>
      </c>
      <c r="AA131" s="134">
        <f t="shared" ca="1" si="15"/>
        <v>0</v>
      </c>
    </row>
    <row r="132" spans="2:27" x14ac:dyDescent="0.3">
      <c r="B132" s="21">
        <f ca="1">IF(B131="","",IF(EOMONTH(B131,1)&gt;EOMONTH(ELEGIBILIDADE!$E$5,0),"",EOMONTH(B131,1)))</f>
        <v>48760</v>
      </c>
      <c r="C132" s="22">
        <f ca="1">IF(B132="","",IF(MONTH(B132)=1,C131*(1+PREMISSAS!$C$58),C131))</f>
        <v>0</v>
      </c>
      <c r="D132" s="22">
        <f ca="1">IF(RESULTADOS!$C$17="Normal",IFERROR(MAX(C132-PREMISSAS!$C$14,0),0),IF(PREMISSAS!$H$117=0,0,MAX(10*PREMISSAS!$C$39,RESULTADOS!$F$17)))</f>
        <v>0</v>
      </c>
      <c r="E132" s="4">
        <f ca="1">D132*IF(RESULTADOS!$C$17="Normal",RESULTADOS!$C$16,0)</f>
        <v>0</v>
      </c>
      <c r="F132" s="4">
        <f ca="1">IF(D132&lt;&gt;0,PREMISSAS!$N$83,0)</f>
        <v>0</v>
      </c>
      <c r="G132" s="4">
        <f ca="1">IFERROR(IF(RESULTADOS!$C$17="Normal",0,D132)*IF(RESULTADOS!$C$17="Normal",RESULTADOS!$C$18,RESULTADOS!$C$16),0)</f>
        <v>0</v>
      </c>
      <c r="H132" s="4">
        <f ca="1">IF(RESULTADOS!$C$17="Normal",E132,0)</f>
        <v>0</v>
      </c>
      <c r="I132" s="4">
        <f ca="1">(E132+H132+G132)*IFERROR(VLOOKUP(INT(COUNT($B$5:B132)/12),PREMISSAS!$B$62:$C$69,2,FALSE),PREMISSAS!$C$69)</f>
        <v>0</v>
      </c>
      <c r="J132" s="4">
        <f ca="1">D132*IF(RESULTADOS!$C$17="Normal",PREMISSAS!$C$71,0)</f>
        <v>0</v>
      </c>
      <c r="K132" s="87">
        <f ca="1">IFERROR(K131*(1+PREMISSAS!$C$19)+(E132+H132-IF(RESULTADOS!$C$17="Normal",I132,0)-J132)*IF(MONTH(B132)=12,2,1),0)</f>
        <v>0</v>
      </c>
      <c r="L132" s="87">
        <f ca="1">IFERROR((L131+G132-IF(RESULTADOS!$C$17="Normal",0,I132))*(1+PREMISSAS!$C$19)+F132,0)</f>
        <v>0</v>
      </c>
      <c r="N132" s="58">
        <f t="shared" ca="1" si="8"/>
        <v>0</v>
      </c>
      <c r="O132" s="223"/>
      <c r="P132" s="131">
        <f t="shared" ca="1" si="9"/>
        <v>48760</v>
      </c>
      <c r="Q132" s="111">
        <f ca="1">IF(C132="","",Q131+(E132+H132-IF(RESULTADOS!$C$17="Normal",I132,0)-J132)/2+(F132+G132-IF(RESULTADOS!$C$17="Normal",0,I132)))</f>
        <v>0</v>
      </c>
      <c r="R132" s="111">
        <f ca="1">IF(C132="","",R131+(E132+H132-IF(RESULTADOS!$C$17="Normal",I132,0)-J132)/2)</f>
        <v>0</v>
      </c>
      <c r="S132" s="111">
        <f t="shared" ca="1" si="12"/>
        <v>0</v>
      </c>
      <c r="U132" s="131" t="str">
        <f t="shared" ca="1" si="13"/>
        <v/>
      </c>
      <c r="V132" s="131" t="str">
        <f t="shared" ca="1" si="10"/>
        <v/>
      </c>
      <c r="W132" s="111">
        <f ca="1">IF(OR((W131-13/12*Z131)*(1+PREMISSAS!$C$17)&lt;0,W131=""),0,(W131-13/12*Z131)*(1+PREMISSAS!$C$17))</f>
        <v>0</v>
      </c>
      <c r="X132" s="111">
        <f ca="1">IF(OR((X131-13/12*AA131)*(1+PREMISSAS!$C$17)&lt;0,X131=""),0,(X131-13/12*AA131)*(1+PREMISSAS!$C$17))</f>
        <v>0</v>
      </c>
      <c r="Y132" s="111">
        <f t="shared" ca="1" si="11"/>
        <v>0</v>
      </c>
      <c r="Z132" s="134">
        <f t="shared" ca="1" si="14"/>
        <v>0</v>
      </c>
      <c r="AA132" s="134">
        <f t="shared" ca="1" si="15"/>
        <v>0</v>
      </c>
    </row>
    <row r="133" spans="2:27" x14ac:dyDescent="0.3">
      <c r="B133" s="21">
        <f ca="1">IF(B132="","",IF(EOMONTH(B132,1)&gt;EOMONTH(ELEGIBILIDADE!$E$5,0),"",EOMONTH(B132,1)))</f>
        <v>48791</v>
      </c>
      <c r="C133" s="22">
        <f ca="1">IF(B133="","",IF(MONTH(B133)=1,C132*(1+PREMISSAS!$C$58),C132))</f>
        <v>0</v>
      </c>
      <c r="D133" s="22">
        <f ca="1">IF(RESULTADOS!$C$17="Normal",IFERROR(MAX(C133-PREMISSAS!$C$14,0),0),IF(PREMISSAS!$H$117=0,0,MAX(10*PREMISSAS!$C$39,RESULTADOS!$F$17)))</f>
        <v>0</v>
      </c>
      <c r="E133" s="4">
        <f ca="1">D133*IF(RESULTADOS!$C$17="Normal",RESULTADOS!$C$16,0)</f>
        <v>0</v>
      </c>
      <c r="F133" s="4">
        <f ca="1">IF(D133&lt;&gt;0,PREMISSAS!$N$83,0)</f>
        <v>0</v>
      </c>
      <c r="G133" s="4">
        <f ca="1">IFERROR(IF(RESULTADOS!$C$17="Normal",0,D133)*IF(RESULTADOS!$C$17="Normal",RESULTADOS!$C$18,RESULTADOS!$C$16),0)</f>
        <v>0</v>
      </c>
      <c r="H133" s="4">
        <f ca="1">IF(RESULTADOS!$C$17="Normal",E133,0)</f>
        <v>0</v>
      </c>
      <c r="I133" s="4">
        <f ca="1">(E133+H133+G133)*IFERROR(VLOOKUP(INT(COUNT($B$5:B133)/12),PREMISSAS!$B$62:$C$69,2,FALSE),PREMISSAS!$C$69)</f>
        <v>0</v>
      </c>
      <c r="J133" s="4">
        <f ca="1">D133*IF(RESULTADOS!$C$17="Normal",PREMISSAS!$C$71,0)</f>
        <v>0</v>
      </c>
      <c r="K133" s="87">
        <f ca="1">IFERROR(K132*(1+PREMISSAS!$C$19)+(E133+H133-IF(RESULTADOS!$C$17="Normal",I133,0)-J133)*IF(MONTH(B133)=12,2,1),0)</f>
        <v>0</v>
      </c>
      <c r="L133" s="87">
        <f ca="1">IFERROR((L132+G133-IF(RESULTADOS!$C$17="Normal",0,I133))*(1+PREMISSAS!$C$19)+F133,0)</f>
        <v>0</v>
      </c>
      <c r="N133" s="58">
        <f t="shared" ca="1" si="8"/>
        <v>0</v>
      </c>
      <c r="O133" s="223"/>
      <c r="P133" s="131">
        <f t="shared" ca="1" si="9"/>
        <v>48791</v>
      </c>
      <c r="Q133" s="111">
        <f ca="1">IF(C133="","",Q132+(E133+H133-IF(RESULTADOS!$C$17="Normal",I133,0)-J133)/2+(F133+G133-IF(RESULTADOS!$C$17="Normal",0,I133)))</f>
        <v>0</v>
      </c>
      <c r="R133" s="111">
        <f ca="1">IF(C133="","",R132+(E133+H133-IF(RESULTADOS!$C$17="Normal",I133,0)-J133)/2)</f>
        <v>0</v>
      </c>
      <c r="S133" s="111">
        <f t="shared" ca="1" si="12"/>
        <v>0</v>
      </c>
      <c r="U133" s="131" t="str">
        <f t="shared" ca="1" si="13"/>
        <v/>
      </c>
      <c r="V133" s="131" t="str">
        <f t="shared" ca="1" si="10"/>
        <v/>
      </c>
      <c r="W133" s="111">
        <f ca="1">IF(OR((W132-13/12*Z132)*(1+PREMISSAS!$C$17)&lt;0,W132=""),0,(W132-13/12*Z132)*(1+PREMISSAS!$C$17))</f>
        <v>0</v>
      </c>
      <c r="X133" s="111">
        <f ca="1">IF(OR((X132-13/12*AA132)*(1+PREMISSAS!$C$17)&lt;0,X132=""),0,(X132-13/12*AA132)*(1+PREMISSAS!$C$17))</f>
        <v>0</v>
      </c>
      <c r="Y133" s="111">
        <f t="shared" ca="1" si="11"/>
        <v>0</v>
      </c>
      <c r="Z133" s="134">
        <f t="shared" ca="1" si="14"/>
        <v>0</v>
      </c>
      <c r="AA133" s="134">
        <f t="shared" ca="1" si="15"/>
        <v>0</v>
      </c>
    </row>
    <row r="134" spans="2:27" x14ac:dyDescent="0.3">
      <c r="B134" s="21">
        <f ca="1">IF(B133="","",IF(EOMONTH(B133,1)&gt;EOMONTH(ELEGIBILIDADE!$E$5,0),"",EOMONTH(B133,1)))</f>
        <v>48822</v>
      </c>
      <c r="C134" s="22">
        <f ca="1">IF(B134="","",IF(MONTH(B134)=1,C133*(1+PREMISSAS!$C$58),C133))</f>
        <v>0</v>
      </c>
      <c r="D134" s="22">
        <f ca="1">IF(RESULTADOS!$C$17="Normal",IFERROR(MAX(C134-PREMISSAS!$C$14,0),0),IF(PREMISSAS!$H$117=0,0,MAX(10*PREMISSAS!$C$39,RESULTADOS!$F$17)))</f>
        <v>0</v>
      </c>
      <c r="E134" s="4">
        <f ca="1">D134*IF(RESULTADOS!$C$17="Normal",RESULTADOS!$C$16,0)</f>
        <v>0</v>
      </c>
      <c r="F134" s="4">
        <f ca="1">IF(D134&lt;&gt;0,PREMISSAS!$N$83,0)</f>
        <v>0</v>
      </c>
      <c r="G134" s="4">
        <f ca="1">IFERROR(IF(RESULTADOS!$C$17="Normal",0,D134)*IF(RESULTADOS!$C$17="Normal",RESULTADOS!$C$18,RESULTADOS!$C$16),0)</f>
        <v>0</v>
      </c>
      <c r="H134" s="4">
        <f ca="1">IF(RESULTADOS!$C$17="Normal",E134,0)</f>
        <v>0</v>
      </c>
      <c r="I134" s="4">
        <f ca="1">(E134+H134+G134)*IFERROR(VLOOKUP(INT(COUNT($B$5:B134)/12),PREMISSAS!$B$62:$C$69,2,FALSE),PREMISSAS!$C$69)</f>
        <v>0</v>
      </c>
      <c r="J134" s="4">
        <f ca="1">D134*IF(RESULTADOS!$C$17="Normal",PREMISSAS!$C$71,0)</f>
        <v>0</v>
      </c>
      <c r="K134" s="87">
        <f ca="1">IFERROR(K133*(1+PREMISSAS!$C$19)+(E134+H134-IF(RESULTADOS!$C$17="Normal",I134,0)-J134)*IF(MONTH(B134)=12,2,1),0)</f>
        <v>0</v>
      </c>
      <c r="L134" s="87">
        <f ca="1">IFERROR((L133+G134-IF(RESULTADOS!$C$17="Normal",0,I134))*(1+PREMISSAS!$C$19)+F134,0)</f>
        <v>0</v>
      </c>
      <c r="N134" s="58">
        <f t="shared" ref="N134:N197" ca="1" si="16">IFERROR((E134+F134+G134)/C134,0)</f>
        <v>0</v>
      </c>
      <c r="O134" s="223"/>
      <c r="P134" s="131">
        <f t="shared" ref="P134:P197" ca="1" si="17">IF(C134="","",B134)</f>
        <v>48822</v>
      </c>
      <c r="Q134" s="111">
        <f ca="1">IF(C134="","",Q133+(E134+H134-IF(RESULTADOS!$C$17="Normal",I134,0)-J134)/2+(F134+G134-IF(RESULTADOS!$C$17="Normal",0,I134)))</f>
        <v>0</v>
      </c>
      <c r="R134" s="111">
        <f ca="1">IF(C134="","",R133+(E134+H134-IF(RESULTADOS!$C$17="Normal",I134,0)-J134)/2)</f>
        <v>0</v>
      </c>
      <c r="S134" s="111">
        <f t="shared" ca="1" si="12"/>
        <v>0</v>
      </c>
      <c r="U134" s="131" t="str">
        <f t="shared" ca="1" si="13"/>
        <v/>
      </c>
      <c r="V134" s="131" t="str">
        <f t="shared" ref="V134:V197" ca="1" si="18">IF(AA134&lt;&gt;"",U134,"")</f>
        <v/>
      </c>
      <c r="W134" s="111">
        <f ca="1">IF(OR((W133-13/12*Z133)*(1+PREMISSAS!$C$17)&lt;0,W133=""),0,(W133-13/12*Z133)*(1+PREMISSAS!$C$17))</f>
        <v>0</v>
      </c>
      <c r="X134" s="111">
        <f ca="1">IF(OR((X133-13/12*AA133)*(1+PREMISSAS!$C$17)&lt;0,X133=""),0,(X133-13/12*AA133)*(1+PREMISSAS!$C$17))</f>
        <v>0</v>
      </c>
      <c r="Y134" s="111">
        <f t="shared" ref="Y134:Y197" ca="1" si="19">SUM(W134:X134)</f>
        <v>0</v>
      </c>
      <c r="Z134" s="134">
        <f t="shared" ca="1" si="14"/>
        <v>0</v>
      </c>
      <c r="AA134" s="134">
        <f t="shared" ca="1" si="15"/>
        <v>0</v>
      </c>
    </row>
    <row r="135" spans="2:27" x14ac:dyDescent="0.3">
      <c r="B135" s="21">
        <f ca="1">IF(B134="","",IF(EOMONTH(B134,1)&gt;EOMONTH(ELEGIBILIDADE!$E$5,0),"",EOMONTH(B134,1)))</f>
        <v>48852</v>
      </c>
      <c r="C135" s="22">
        <f ca="1">IF(B135="","",IF(MONTH(B135)=1,C134*(1+PREMISSAS!$C$58),C134))</f>
        <v>0</v>
      </c>
      <c r="D135" s="22">
        <f ca="1">IF(RESULTADOS!$C$17="Normal",IFERROR(MAX(C135-PREMISSAS!$C$14,0),0),IF(PREMISSAS!$H$117=0,0,MAX(10*PREMISSAS!$C$39,RESULTADOS!$F$17)))</f>
        <v>0</v>
      </c>
      <c r="E135" s="4">
        <f ca="1">D135*IF(RESULTADOS!$C$17="Normal",RESULTADOS!$C$16,0)</f>
        <v>0</v>
      </c>
      <c r="F135" s="4">
        <f ca="1">IF(D135&lt;&gt;0,PREMISSAS!$N$83,0)</f>
        <v>0</v>
      </c>
      <c r="G135" s="4">
        <f ca="1">IFERROR(IF(RESULTADOS!$C$17="Normal",0,D135)*IF(RESULTADOS!$C$17="Normal",RESULTADOS!$C$18,RESULTADOS!$C$16),0)</f>
        <v>0</v>
      </c>
      <c r="H135" s="4">
        <f ca="1">IF(RESULTADOS!$C$17="Normal",E135,0)</f>
        <v>0</v>
      </c>
      <c r="I135" s="4">
        <f ca="1">(E135+H135+G135)*IFERROR(VLOOKUP(INT(COUNT($B$5:B135)/12),PREMISSAS!$B$62:$C$69,2,FALSE),PREMISSAS!$C$69)</f>
        <v>0</v>
      </c>
      <c r="J135" s="4">
        <f ca="1">D135*IF(RESULTADOS!$C$17="Normal",PREMISSAS!$C$71,0)</f>
        <v>0</v>
      </c>
      <c r="K135" s="87">
        <f ca="1">IFERROR(K134*(1+PREMISSAS!$C$19)+(E135+H135-IF(RESULTADOS!$C$17="Normal",I135,0)-J135)*IF(MONTH(B135)=12,2,1),0)</f>
        <v>0</v>
      </c>
      <c r="L135" s="87">
        <f ca="1">IFERROR((L134+G135-IF(RESULTADOS!$C$17="Normal",0,I135))*(1+PREMISSAS!$C$19)+F135,0)</f>
        <v>0</v>
      </c>
      <c r="N135" s="58">
        <f t="shared" ca="1" si="16"/>
        <v>0</v>
      </c>
      <c r="O135" s="223"/>
      <c r="P135" s="131">
        <f t="shared" ca="1" si="17"/>
        <v>48852</v>
      </c>
      <c r="Q135" s="111">
        <f ca="1">IF(C135="","",Q134+(E135+H135-IF(RESULTADOS!$C$17="Normal",I135,0)-J135)/2+(F135+G135-IF(RESULTADOS!$C$17="Normal",0,I135)))</f>
        <v>0</v>
      </c>
      <c r="R135" s="111">
        <f ca="1">IF(C135="","",R134+(E135+H135-IF(RESULTADOS!$C$17="Normal",I135,0)-J135)/2)</f>
        <v>0</v>
      </c>
      <c r="S135" s="111">
        <f t="shared" ref="S135:S198" ca="1" si="20">SUM(K135:L135)-SUM(Q135:R135)</f>
        <v>0</v>
      </c>
      <c r="U135" s="131" t="str">
        <f t="shared" ref="U135:U198" ca="1" si="21">IF(Y135=0,"",EOMONTH(U134,1))</f>
        <v/>
      </c>
      <c r="V135" s="131" t="str">
        <f t="shared" ca="1" si="18"/>
        <v/>
      </c>
      <c r="W135" s="111">
        <f ca="1">IF(OR((W134-13/12*Z134)*(1+PREMISSAS!$C$17)&lt;0,W134=""),0,(W134-13/12*Z134)*(1+PREMISSAS!$C$17))</f>
        <v>0</v>
      </c>
      <c r="X135" s="111">
        <f ca="1">IF(OR((X134-13/12*AA134)*(1+PREMISSAS!$C$17)&lt;0,X134=""),0,(X134-13/12*AA134)*(1+PREMISSAS!$C$17))</f>
        <v>0</v>
      </c>
      <c r="Y135" s="111">
        <f t="shared" ca="1" si="19"/>
        <v>0</v>
      </c>
      <c r="Z135" s="134">
        <f t="shared" ref="Z135:Z198" ca="1" si="22">IF(W135&lt;&gt;0,Z134,0)</f>
        <v>0</v>
      </c>
      <c r="AA135" s="134">
        <f t="shared" ref="AA135:AA198" ca="1" si="23">IF(X135&lt;&gt;0,AA134,0)</f>
        <v>0</v>
      </c>
    </row>
    <row r="136" spans="2:27" x14ac:dyDescent="0.3">
      <c r="B136" s="21">
        <f ca="1">IF(B135="","",IF(EOMONTH(B135,1)&gt;EOMONTH(ELEGIBILIDADE!$E$5,0),"",EOMONTH(B135,1)))</f>
        <v>48883</v>
      </c>
      <c r="C136" s="22">
        <f ca="1">IF(B136="","",IF(MONTH(B136)=1,C135*(1+PREMISSAS!$C$58),C135))</f>
        <v>0</v>
      </c>
      <c r="D136" s="22">
        <f ca="1">IF(RESULTADOS!$C$17="Normal",IFERROR(MAX(C136-PREMISSAS!$C$14,0),0),IF(PREMISSAS!$H$117=0,0,MAX(10*PREMISSAS!$C$39,RESULTADOS!$F$17)))</f>
        <v>0</v>
      </c>
      <c r="E136" s="4">
        <f ca="1">D136*IF(RESULTADOS!$C$17="Normal",RESULTADOS!$C$16,0)</f>
        <v>0</v>
      </c>
      <c r="F136" s="4">
        <f ca="1">IF(D136&lt;&gt;0,PREMISSAS!$N$83,0)</f>
        <v>0</v>
      </c>
      <c r="G136" s="4">
        <f ca="1">IFERROR(IF(RESULTADOS!$C$17="Normal",0,D136)*IF(RESULTADOS!$C$17="Normal",RESULTADOS!$C$18,RESULTADOS!$C$16),0)</f>
        <v>0</v>
      </c>
      <c r="H136" s="4">
        <f ca="1">IF(RESULTADOS!$C$17="Normal",E136,0)</f>
        <v>0</v>
      </c>
      <c r="I136" s="4">
        <f ca="1">(E136+H136+G136)*IFERROR(VLOOKUP(INT(COUNT($B$5:B136)/12),PREMISSAS!$B$62:$C$69,2,FALSE),PREMISSAS!$C$69)</f>
        <v>0</v>
      </c>
      <c r="J136" s="4">
        <f ca="1">D136*IF(RESULTADOS!$C$17="Normal",PREMISSAS!$C$71,0)</f>
        <v>0</v>
      </c>
      <c r="K136" s="87">
        <f ca="1">IFERROR(K135*(1+PREMISSAS!$C$19)+(E136+H136-IF(RESULTADOS!$C$17="Normal",I136,0)-J136)*IF(MONTH(B136)=12,2,1),0)</f>
        <v>0</v>
      </c>
      <c r="L136" s="87">
        <f ca="1">IFERROR((L135+G136-IF(RESULTADOS!$C$17="Normal",0,I136))*(1+PREMISSAS!$C$19)+F136,0)</f>
        <v>0</v>
      </c>
      <c r="N136" s="58">
        <f t="shared" ca="1" si="16"/>
        <v>0</v>
      </c>
      <c r="O136" s="223"/>
      <c r="P136" s="131">
        <f t="shared" ca="1" si="17"/>
        <v>48883</v>
      </c>
      <c r="Q136" s="111">
        <f ca="1">IF(C136="","",Q135+(E136+H136-IF(RESULTADOS!$C$17="Normal",I136,0)-J136)/2+(F136+G136-IF(RESULTADOS!$C$17="Normal",0,I136)))</f>
        <v>0</v>
      </c>
      <c r="R136" s="111">
        <f ca="1">IF(C136="","",R135+(E136+H136-IF(RESULTADOS!$C$17="Normal",I136,0)-J136)/2)</f>
        <v>0</v>
      </c>
      <c r="S136" s="111">
        <f t="shared" ca="1" si="20"/>
        <v>0</v>
      </c>
      <c r="U136" s="131" t="str">
        <f t="shared" ca="1" si="21"/>
        <v/>
      </c>
      <c r="V136" s="131" t="str">
        <f t="shared" ca="1" si="18"/>
        <v/>
      </c>
      <c r="W136" s="111">
        <f ca="1">IF(OR((W135-13/12*Z135)*(1+PREMISSAS!$C$17)&lt;0,W135=""),0,(W135-13/12*Z135)*(1+PREMISSAS!$C$17))</f>
        <v>0</v>
      </c>
      <c r="X136" s="111">
        <f ca="1">IF(OR((X135-13/12*AA135)*(1+PREMISSAS!$C$17)&lt;0,X135=""),0,(X135-13/12*AA135)*(1+PREMISSAS!$C$17))</f>
        <v>0</v>
      </c>
      <c r="Y136" s="111">
        <f t="shared" ca="1" si="19"/>
        <v>0</v>
      </c>
      <c r="Z136" s="134">
        <f t="shared" ca="1" si="22"/>
        <v>0</v>
      </c>
      <c r="AA136" s="134">
        <f t="shared" ca="1" si="23"/>
        <v>0</v>
      </c>
    </row>
    <row r="137" spans="2:27" x14ac:dyDescent="0.3">
      <c r="B137" s="21">
        <f ca="1">IF(B136="","",IF(EOMONTH(B136,1)&gt;EOMONTH(ELEGIBILIDADE!$E$5,0),"",EOMONTH(B136,1)))</f>
        <v>48913</v>
      </c>
      <c r="C137" s="22">
        <f ca="1">IF(B137="","",IF(MONTH(B137)=1,C136*(1+PREMISSAS!$C$58),C136))</f>
        <v>0</v>
      </c>
      <c r="D137" s="22">
        <f ca="1">IF(RESULTADOS!$C$17="Normal",IFERROR(MAX(C137-PREMISSAS!$C$14,0),0),IF(PREMISSAS!$H$117=0,0,MAX(10*PREMISSAS!$C$39,RESULTADOS!$F$17)))</f>
        <v>0</v>
      </c>
      <c r="E137" s="4">
        <f ca="1">D137*IF(RESULTADOS!$C$17="Normal",RESULTADOS!$C$16,0)</f>
        <v>0</v>
      </c>
      <c r="F137" s="4">
        <f ca="1">IF(D137&lt;&gt;0,PREMISSAS!$N$83,0)</f>
        <v>0</v>
      </c>
      <c r="G137" s="4">
        <f ca="1">IFERROR(IF(RESULTADOS!$C$17="Normal",0,D137)*IF(RESULTADOS!$C$17="Normal",RESULTADOS!$C$18,RESULTADOS!$C$16),0)</f>
        <v>0</v>
      </c>
      <c r="H137" s="4">
        <f ca="1">IF(RESULTADOS!$C$17="Normal",E137,0)</f>
        <v>0</v>
      </c>
      <c r="I137" s="4">
        <f ca="1">(E137+H137+G137)*IFERROR(VLOOKUP(INT(COUNT($B$5:B137)/12),PREMISSAS!$B$62:$C$69,2,FALSE),PREMISSAS!$C$69)</f>
        <v>0</v>
      </c>
      <c r="J137" s="4">
        <f ca="1">D137*IF(RESULTADOS!$C$17="Normal",PREMISSAS!$C$71,0)</f>
        <v>0</v>
      </c>
      <c r="K137" s="87">
        <f ca="1">IFERROR(K136*(1+PREMISSAS!$C$19)+(E137+H137-IF(RESULTADOS!$C$17="Normal",I137,0)-J137)*IF(MONTH(B137)=12,2,1),0)</f>
        <v>0</v>
      </c>
      <c r="L137" s="87">
        <f ca="1">IFERROR((L136+G137-IF(RESULTADOS!$C$17="Normal",0,I137))*(1+PREMISSAS!$C$19)+F137,0)</f>
        <v>0</v>
      </c>
      <c r="N137" s="58">
        <f t="shared" ca="1" si="16"/>
        <v>0</v>
      </c>
      <c r="O137" s="223"/>
      <c r="P137" s="131">
        <f t="shared" ca="1" si="17"/>
        <v>48913</v>
      </c>
      <c r="Q137" s="111">
        <f ca="1">IF(C137="","",Q136+(E137+H137-IF(RESULTADOS!$C$17="Normal",I137,0)-J137)/2+(F137+G137-IF(RESULTADOS!$C$17="Normal",0,I137)))</f>
        <v>0</v>
      </c>
      <c r="R137" s="111">
        <f ca="1">IF(C137="","",R136+(E137+H137-IF(RESULTADOS!$C$17="Normal",I137,0)-J137)/2)</f>
        <v>0</v>
      </c>
      <c r="S137" s="111">
        <f t="shared" ca="1" si="20"/>
        <v>0</v>
      </c>
      <c r="U137" s="131" t="str">
        <f t="shared" ca="1" si="21"/>
        <v/>
      </c>
      <c r="V137" s="131" t="str">
        <f t="shared" ca="1" si="18"/>
        <v/>
      </c>
      <c r="W137" s="111">
        <f ca="1">IF(OR((W136-13/12*Z136)*(1+PREMISSAS!$C$17)&lt;0,W136=""),0,(W136-13/12*Z136)*(1+PREMISSAS!$C$17))</f>
        <v>0</v>
      </c>
      <c r="X137" s="111">
        <f ca="1">IF(OR((X136-13/12*AA136)*(1+PREMISSAS!$C$17)&lt;0,X136=""),0,(X136-13/12*AA136)*(1+PREMISSAS!$C$17))</f>
        <v>0</v>
      </c>
      <c r="Y137" s="111">
        <f t="shared" ca="1" si="19"/>
        <v>0</v>
      </c>
      <c r="Z137" s="134">
        <f t="shared" ca="1" si="22"/>
        <v>0</v>
      </c>
      <c r="AA137" s="134">
        <f t="shared" ca="1" si="23"/>
        <v>0</v>
      </c>
    </row>
    <row r="138" spans="2:27" x14ac:dyDescent="0.3">
      <c r="B138" s="21">
        <f ca="1">IF(B137="","",IF(EOMONTH(B137,1)&gt;EOMONTH(ELEGIBILIDADE!$E$5,0),"",EOMONTH(B137,1)))</f>
        <v>48944</v>
      </c>
      <c r="C138" s="22">
        <f ca="1">IF(B138="","",IF(MONTH(B138)=1,C137*(1+PREMISSAS!$C$58),C137))</f>
        <v>0</v>
      </c>
      <c r="D138" s="22">
        <f ca="1">IF(RESULTADOS!$C$17="Normal",IFERROR(MAX(C138-PREMISSAS!$C$14,0),0),IF(PREMISSAS!$H$117=0,0,MAX(10*PREMISSAS!$C$39,RESULTADOS!$F$17)))</f>
        <v>0</v>
      </c>
      <c r="E138" s="4">
        <f ca="1">D138*IF(RESULTADOS!$C$17="Normal",RESULTADOS!$C$16,0)</f>
        <v>0</v>
      </c>
      <c r="F138" s="4">
        <f ca="1">IF(D138&lt;&gt;0,PREMISSAS!$N$83,0)</f>
        <v>0</v>
      </c>
      <c r="G138" s="4">
        <f ca="1">IFERROR(IF(RESULTADOS!$C$17="Normal",0,D138)*IF(RESULTADOS!$C$17="Normal",RESULTADOS!$C$18,RESULTADOS!$C$16),0)</f>
        <v>0</v>
      </c>
      <c r="H138" s="4">
        <f ca="1">IF(RESULTADOS!$C$17="Normal",E138,0)</f>
        <v>0</v>
      </c>
      <c r="I138" s="4">
        <f ca="1">(E138+H138+G138)*IFERROR(VLOOKUP(INT(COUNT($B$5:B138)/12),PREMISSAS!$B$62:$C$69,2,FALSE),PREMISSAS!$C$69)</f>
        <v>0</v>
      </c>
      <c r="J138" s="4">
        <f ca="1">D138*IF(RESULTADOS!$C$17="Normal",PREMISSAS!$C$71,0)</f>
        <v>0</v>
      </c>
      <c r="K138" s="87">
        <f ca="1">IFERROR(K137*(1+PREMISSAS!$C$19)+(E138+H138-IF(RESULTADOS!$C$17="Normal",I138,0)-J138)*IF(MONTH(B138)=12,2,1),0)</f>
        <v>0</v>
      </c>
      <c r="L138" s="87">
        <f ca="1">IFERROR((L137+G138-IF(RESULTADOS!$C$17="Normal",0,I138))*(1+PREMISSAS!$C$19)+F138,0)</f>
        <v>0</v>
      </c>
      <c r="N138" s="58">
        <f t="shared" ca="1" si="16"/>
        <v>0</v>
      </c>
      <c r="O138" s="223"/>
      <c r="P138" s="131">
        <f t="shared" ca="1" si="17"/>
        <v>48944</v>
      </c>
      <c r="Q138" s="111">
        <f ca="1">IF(C138="","",Q137+(E138+H138-IF(RESULTADOS!$C$17="Normal",I138,0)-J138)/2+(F138+G138-IF(RESULTADOS!$C$17="Normal",0,I138)))</f>
        <v>0</v>
      </c>
      <c r="R138" s="111">
        <f ca="1">IF(C138="","",R137+(E138+H138-IF(RESULTADOS!$C$17="Normal",I138,0)-J138)/2)</f>
        <v>0</v>
      </c>
      <c r="S138" s="111">
        <f t="shared" ca="1" si="20"/>
        <v>0</v>
      </c>
      <c r="U138" s="131" t="str">
        <f t="shared" ca="1" si="21"/>
        <v/>
      </c>
      <c r="V138" s="131" t="str">
        <f t="shared" ca="1" si="18"/>
        <v/>
      </c>
      <c r="W138" s="111">
        <f ca="1">IF(OR((W137-13/12*Z137)*(1+PREMISSAS!$C$17)&lt;0,W137=""),0,(W137-13/12*Z137)*(1+PREMISSAS!$C$17))</f>
        <v>0</v>
      </c>
      <c r="X138" s="111">
        <f ca="1">IF(OR((X137-13/12*AA137)*(1+PREMISSAS!$C$17)&lt;0,X137=""),0,(X137-13/12*AA137)*(1+PREMISSAS!$C$17))</f>
        <v>0</v>
      </c>
      <c r="Y138" s="111">
        <f t="shared" ca="1" si="19"/>
        <v>0</v>
      </c>
      <c r="Z138" s="134">
        <f t="shared" ca="1" si="22"/>
        <v>0</v>
      </c>
      <c r="AA138" s="134">
        <f t="shared" ca="1" si="23"/>
        <v>0</v>
      </c>
    </row>
    <row r="139" spans="2:27" x14ac:dyDescent="0.3">
      <c r="B139" s="21">
        <f ca="1">IF(B138="","",IF(EOMONTH(B138,1)&gt;EOMONTH(ELEGIBILIDADE!$E$5,0),"",EOMONTH(B138,1)))</f>
        <v>48975</v>
      </c>
      <c r="C139" s="22">
        <f ca="1">IF(B139="","",IF(MONTH(B139)=1,C138*(1+PREMISSAS!$C$58),C138))</f>
        <v>0</v>
      </c>
      <c r="D139" s="22">
        <f ca="1">IF(RESULTADOS!$C$17="Normal",IFERROR(MAX(C139-PREMISSAS!$C$14,0),0),IF(PREMISSAS!$H$117=0,0,MAX(10*PREMISSAS!$C$39,RESULTADOS!$F$17)))</f>
        <v>0</v>
      </c>
      <c r="E139" s="4">
        <f ca="1">D139*IF(RESULTADOS!$C$17="Normal",RESULTADOS!$C$16,0)</f>
        <v>0</v>
      </c>
      <c r="F139" s="4">
        <f ca="1">IF(D139&lt;&gt;0,PREMISSAS!$N$83,0)</f>
        <v>0</v>
      </c>
      <c r="G139" s="4">
        <f ca="1">IFERROR(IF(RESULTADOS!$C$17="Normal",0,D139)*IF(RESULTADOS!$C$17="Normal",RESULTADOS!$C$18,RESULTADOS!$C$16),0)</f>
        <v>0</v>
      </c>
      <c r="H139" s="4">
        <f ca="1">IF(RESULTADOS!$C$17="Normal",E139,0)</f>
        <v>0</v>
      </c>
      <c r="I139" s="4">
        <f ca="1">(E139+H139+G139)*IFERROR(VLOOKUP(INT(COUNT($B$5:B139)/12),PREMISSAS!$B$62:$C$69,2,FALSE),PREMISSAS!$C$69)</f>
        <v>0</v>
      </c>
      <c r="J139" s="4">
        <f ca="1">D139*IF(RESULTADOS!$C$17="Normal",PREMISSAS!$C$71,0)</f>
        <v>0</v>
      </c>
      <c r="K139" s="87">
        <f ca="1">IFERROR(K138*(1+PREMISSAS!$C$19)+(E139+H139-IF(RESULTADOS!$C$17="Normal",I139,0)-J139)*IF(MONTH(B139)=12,2,1),0)</f>
        <v>0</v>
      </c>
      <c r="L139" s="87">
        <f ca="1">IFERROR((L138+G139-IF(RESULTADOS!$C$17="Normal",0,I139))*(1+PREMISSAS!$C$19)+F139,0)</f>
        <v>0</v>
      </c>
      <c r="N139" s="58">
        <f t="shared" ca="1" si="16"/>
        <v>0</v>
      </c>
      <c r="O139" s="223"/>
      <c r="P139" s="131">
        <f t="shared" ca="1" si="17"/>
        <v>48975</v>
      </c>
      <c r="Q139" s="111">
        <f ca="1">IF(C139="","",Q138+(E139+H139-IF(RESULTADOS!$C$17="Normal",I139,0)-J139)/2+(F139+G139-IF(RESULTADOS!$C$17="Normal",0,I139)))</f>
        <v>0</v>
      </c>
      <c r="R139" s="111">
        <f ca="1">IF(C139="","",R138+(E139+H139-IF(RESULTADOS!$C$17="Normal",I139,0)-J139)/2)</f>
        <v>0</v>
      </c>
      <c r="S139" s="111">
        <f t="shared" ca="1" si="20"/>
        <v>0</v>
      </c>
      <c r="U139" s="131" t="str">
        <f t="shared" ca="1" si="21"/>
        <v/>
      </c>
      <c r="V139" s="131" t="str">
        <f t="shared" ca="1" si="18"/>
        <v/>
      </c>
      <c r="W139" s="111">
        <f ca="1">IF(OR((W138-13/12*Z138)*(1+PREMISSAS!$C$17)&lt;0,W138=""),0,(W138-13/12*Z138)*(1+PREMISSAS!$C$17))</f>
        <v>0</v>
      </c>
      <c r="X139" s="111">
        <f ca="1">IF(OR((X138-13/12*AA138)*(1+PREMISSAS!$C$17)&lt;0,X138=""),0,(X138-13/12*AA138)*(1+PREMISSAS!$C$17))</f>
        <v>0</v>
      </c>
      <c r="Y139" s="111">
        <f t="shared" ca="1" si="19"/>
        <v>0</v>
      </c>
      <c r="Z139" s="134">
        <f t="shared" ca="1" si="22"/>
        <v>0</v>
      </c>
      <c r="AA139" s="134">
        <f t="shared" ca="1" si="23"/>
        <v>0</v>
      </c>
    </row>
    <row r="140" spans="2:27" x14ac:dyDescent="0.3">
      <c r="B140" s="21">
        <f ca="1">IF(B139="","",IF(EOMONTH(B139,1)&gt;EOMONTH(ELEGIBILIDADE!$E$5,0),"",EOMONTH(B139,1)))</f>
        <v>49003</v>
      </c>
      <c r="C140" s="22">
        <f ca="1">IF(B140="","",IF(MONTH(B140)=1,C139*(1+PREMISSAS!$C$58),C139))</f>
        <v>0</v>
      </c>
      <c r="D140" s="22">
        <f ca="1">IF(RESULTADOS!$C$17="Normal",IFERROR(MAX(C140-PREMISSAS!$C$14,0),0),IF(PREMISSAS!$H$117=0,0,MAX(10*PREMISSAS!$C$39,RESULTADOS!$F$17)))</f>
        <v>0</v>
      </c>
      <c r="E140" s="4">
        <f ca="1">D140*IF(RESULTADOS!$C$17="Normal",RESULTADOS!$C$16,0)</f>
        <v>0</v>
      </c>
      <c r="F140" s="4">
        <f ca="1">IF(D140&lt;&gt;0,PREMISSAS!$N$83,0)</f>
        <v>0</v>
      </c>
      <c r="G140" s="4">
        <f ca="1">IFERROR(IF(RESULTADOS!$C$17="Normal",0,D140)*IF(RESULTADOS!$C$17="Normal",RESULTADOS!$C$18,RESULTADOS!$C$16),0)</f>
        <v>0</v>
      </c>
      <c r="H140" s="4">
        <f ca="1">IF(RESULTADOS!$C$17="Normal",E140,0)</f>
        <v>0</v>
      </c>
      <c r="I140" s="4">
        <f ca="1">(E140+H140+G140)*IFERROR(VLOOKUP(INT(COUNT($B$5:B140)/12),PREMISSAS!$B$62:$C$69,2,FALSE),PREMISSAS!$C$69)</f>
        <v>0</v>
      </c>
      <c r="J140" s="4">
        <f ca="1">D140*IF(RESULTADOS!$C$17="Normal",PREMISSAS!$C$71,0)</f>
        <v>0</v>
      </c>
      <c r="K140" s="87">
        <f ca="1">IFERROR(K139*(1+PREMISSAS!$C$19)+(E140+H140-IF(RESULTADOS!$C$17="Normal",I140,0)-J140)*IF(MONTH(B140)=12,2,1),0)</f>
        <v>0</v>
      </c>
      <c r="L140" s="87">
        <f ca="1">IFERROR((L139+G140-IF(RESULTADOS!$C$17="Normal",0,I140))*(1+PREMISSAS!$C$19)+F140,0)</f>
        <v>0</v>
      </c>
      <c r="N140" s="58">
        <f t="shared" ca="1" si="16"/>
        <v>0</v>
      </c>
      <c r="O140" s="223"/>
      <c r="P140" s="131">
        <f t="shared" ca="1" si="17"/>
        <v>49003</v>
      </c>
      <c r="Q140" s="111">
        <f ca="1">IF(C140="","",Q139+(E140+H140-IF(RESULTADOS!$C$17="Normal",I140,0)-J140)/2+(F140+G140-IF(RESULTADOS!$C$17="Normal",0,I140)))</f>
        <v>0</v>
      </c>
      <c r="R140" s="111">
        <f ca="1">IF(C140="","",R139+(E140+H140-IF(RESULTADOS!$C$17="Normal",I140,0)-J140)/2)</f>
        <v>0</v>
      </c>
      <c r="S140" s="111">
        <f t="shared" ca="1" si="20"/>
        <v>0</v>
      </c>
      <c r="U140" s="131" t="str">
        <f t="shared" ca="1" si="21"/>
        <v/>
      </c>
      <c r="V140" s="131" t="str">
        <f t="shared" ca="1" si="18"/>
        <v/>
      </c>
      <c r="W140" s="111">
        <f ca="1">IF(OR((W139-13/12*Z139)*(1+PREMISSAS!$C$17)&lt;0,W139=""),0,(W139-13/12*Z139)*(1+PREMISSAS!$C$17))</f>
        <v>0</v>
      </c>
      <c r="X140" s="111">
        <f ca="1">IF(OR((X139-13/12*AA139)*(1+PREMISSAS!$C$17)&lt;0,X139=""),0,(X139-13/12*AA139)*(1+PREMISSAS!$C$17))</f>
        <v>0</v>
      </c>
      <c r="Y140" s="111">
        <f t="shared" ca="1" si="19"/>
        <v>0</v>
      </c>
      <c r="Z140" s="134">
        <f t="shared" ca="1" si="22"/>
        <v>0</v>
      </c>
      <c r="AA140" s="134">
        <f t="shared" ca="1" si="23"/>
        <v>0</v>
      </c>
    </row>
    <row r="141" spans="2:27" x14ac:dyDescent="0.3">
      <c r="B141" s="21">
        <f ca="1">IF(B140="","",IF(EOMONTH(B140,1)&gt;EOMONTH(ELEGIBILIDADE!$E$5,0),"",EOMONTH(B140,1)))</f>
        <v>49034</v>
      </c>
      <c r="C141" s="22">
        <f ca="1">IF(B141="","",IF(MONTH(B141)=1,C140*(1+PREMISSAS!$C$58),C140))</f>
        <v>0</v>
      </c>
      <c r="D141" s="22">
        <f ca="1">IF(RESULTADOS!$C$17="Normal",IFERROR(MAX(C141-PREMISSAS!$C$14,0),0),IF(PREMISSAS!$H$117=0,0,MAX(10*PREMISSAS!$C$39,RESULTADOS!$F$17)))</f>
        <v>0</v>
      </c>
      <c r="E141" s="4">
        <f ca="1">D141*IF(RESULTADOS!$C$17="Normal",RESULTADOS!$C$16,0)</f>
        <v>0</v>
      </c>
      <c r="F141" s="4">
        <f ca="1">IF(D141&lt;&gt;0,PREMISSAS!$N$83,0)</f>
        <v>0</v>
      </c>
      <c r="G141" s="4">
        <f ca="1">IFERROR(IF(RESULTADOS!$C$17="Normal",0,D141)*IF(RESULTADOS!$C$17="Normal",RESULTADOS!$C$18,RESULTADOS!$C$16),0)</f>
        <v>0</v>
      </c>
      <c r="H141" s="4">
        <f ca="1">IF(RESULTADOS!$C$17="Normal",E141,0)</f>
        <v>0</v>
      </c>
      <c r="I141" s="4">
        <f ca="1">(E141+H141+G141)*IFERROR(VLOOKUP(INT(COUNT($B$5:B141)/12),PREMISSAS!$B$62:$C$69,2,FALSE),PREMISSAS!$C$69)</f>
        <v>0</v>
      </c>
      <c r="J141" s="4">
        <f ca="1">D141*IF(RESULTADOS!$C$17="Normal",PREMISSAS!$C$71,0)</f>
        <v>0</v>
      </c>
      <c r="K141" s="87">
        <f ca="1">IFERROR(K140*(1+PREMISSAS!$C$19)+(E141+H141-IF(RESULTADOS!$C$17="Normal",I141,0)-J141)*IF(MONTH(B141)=12,2,1),0)</f>
        <v>0</v>
      </c>
      <c r="L141" s="87">
        <f ca="1">IFERROR((L140+G141-IF(RESULTADOS!$C$17="Normal",0,I141))*(1+PREMISSAS!$C$19)+F141,0)</f>
        <v>0</v>
      </c>
      <c r="N141" s="58">
        <f t="shared" ca="1" si="16"/>
        <v>0</v>
      </c>
      <c r="O141" s="223"/>
      <c r="P141" s="131">
        <f t="shared" ca="1" si="17"/>
        <v>49034</v>
      </c>
      <c r="Q141" s="111">
        <f ca="1">IF(C141="","",Q140+(E141+H141-IF(RESULTADOS!$C$17="Normal",I141,0)-J141)/2+(F141+G141-IF(RESULTADOS!$C$17="Normal",0,I141)))</f>
        <v>0</v>
      </c>
      <c r="R141" s="111">
        <f ca="1">IF(C141="","",R140+(E141+H141-IF(RESULTADOS!$C$17="Normal",I141,0)-J141)/2)</f>
        <v>0</v>
      </c>
      <c r="S141" s="111">
        <f t="shared" ca="1" si="20"/>
        <v>0</v>
      </c>
      <c r="U141" s="131" t="str">
        <f t="shared" ca="1" si="21"/>
        <v/>
      </c>
      <c r="V141" s="131" t="str">
        <f t="shared" ca="1" si="18"/>
        <v/>
      </c>
      <c r="W141" s="111">
        <f ca="1">IF(OR((W140-13/12*Z140)*(1+PREMISSAS!$C$17)&lt;0,W140=""),0,(W140-13/12*Z140)*(1+PREMISSAS!$C$17))</f>
        <v>0</v>
      </c>
      <c r="X141" s="111">
        <f ca="1">IF(OR((X140-13/12*AA140)*(1+PREMISSAS!$C$17)&lt;0,X140=""),0,(X140-13/12*AA140)*(1+PREMISSAS!$C$17))</f>
        <v>0</v>
      </c>
      <c r="Y141" s="111">
        <f t="shared" ca="1" si="19"/>
        <v>0</v>
      </c>
      <c r="Z141" s="134">
        <f t="shared" ca="1" si="22"/>
        <v>0</v>
      </c>
      <c r="AA141" s="134">
        <f t="shared" ca="1" si="23"/>
        <v>0</v>
      </c>
    </row>
    <row r="142" spans="2:27" x14ac:dyDescent="0.3">
      <c r="B142" s="21">
        <f ca="1">IF(B141="","",IF(EOMONTH(B141,1)&gt;EOMONTH(ELEGIBILIDADE!$E$5,0),"",EOMONTH(B141,1)))</f>
        <v>49064</v>
      </c>
      <c r="C142" s="22">
        <f ca="1">IF(B142="","",IF(MONTH(B142)=1,C141*(1+PREMISSAS!$C$58),C141))</f>
        <v>0</v>
      </c>
      <c r="D142" s="22">
        <f ca="1">IF(RESULTADOS!$C$17="Normal",IFERROR(MAX(C142-PREMISSAS!$C$14,0),0),IF(PREMISSAS!$H$117=0,0,MAX(10*PREMISSAS!$C$39,RESULTADOS!$F$17)))</f>
        <v>0</v>
      </c>
      <c r="E142" s="4">
        <f ca="1">D142*IF(RESULTADOS!$C$17="Normal",RESULTADOS!$C$16,0)</f>
        <v>0</v>
      </c>
      <c r="F142" s="4">
        <f ca="1">IF(D142&lt;&gt;0,PREMISSAS!$N$83,0)</f>
        <v>0</v>
      </c>
      <c r="G142" s="4">
        <f ca="1">IFERROR(IF(RESULTADOS!$C$17="Normal",0,D142)*IF(RESULTADOS!$C$17="Normal",RESULTADOS!$C$18,RESULTADOS!$C$16),0)</f>
        <v>0</v>
      </c>
      <c r="H142" s="4">
        <f ca="1">IF(RESULTADOS!$C$17="Normal",E142,0)</f>
        <v>0</v>
      </c>
      <c r="I142" s="4">
        <f ca="1">(E142+H142+G142)*IFERROR(VLOOKUP(INT(COUNT($B$5:B142)/12),PREMISSAS!$B$62:$C$69,2,FALSE),PREMISSAS!$C$69)</f>
        <v>0</v>
      </c>
      <c r="J142" s="4">
        <f ca="1">D142*IF(RESULTADOS!$C$17="Normal",PREMISSAS!$C$71,0)</f>
        <v>0</v>
      </c>
      <c r="K142" s="87">
        <f ca="1">IFERROR(K141*(1+PREMISSAS!$C$19)+(E142+H142-IF(RESULTADOS!$C$17="Normal",I142,0)-J142)*IF(MONTH(B142)=12,2,1),0)</f>
        <v>0</v>
      </c>
      <c r="L142" s="87">
        <f ca="1">IFERROR((L141+G142-IF(RESULTADOS!$C$17="Normal",0,I142))*(1+PREMISSAS!$C$19)+F142,0)</f>
        <v>0</v>
      </c>
      <c r="N142" s="58">
        <f t="shared" ca="1" si="16"/>
        <v>0</v>
      </c>
      <c r="O142" s="223"/>
      <c r="P142" s="131">
        <f t="shared" ca="1" si="17"/>
        <v>49064</v>
      </c>
      <c r="Q142" s="111">
        <f ca="1">IF(C142="","",Q141+(E142+H142-IF(RESULTADOS!$C$17="Normal",I142,0)-J142)/2+(F142+G142-IF(RESULTADOS!$C$17="Normal",0,I142)))</f>
        <v>0</v>
      </c>
      <c r="R142" s="111">
        <f ca="1">IF(C142="","",R141+(E142+H142-IF(RESULTADOS!$C$17="Normal",I142,0)-J142)/2)</f>
        <v>0</v>
      </c>
      <c r="S142" s="111">
        <f t="shared" ca="1" si="20"/>
        <v>0</v>
      </c>
      <c r="U142" s="131" t="str">
        <f t="shared" ca="1" si="21"/>
        <v/>
      </c>
      <c r="V142" s="131" t="str">
        <f t="shared" ca="1" si="18"/>
        <v/>
      </c>
      <c r="W142" s="111">
        <f ca="1">IF(OR((W141-13/12*Z141)*(1+PREMISSAS!$C$17)&lt;0,W141=""),0,(W141-13/12*Z141)*(1+PREMISSAS!$C$17))</f>
        <v>0</v>
      </c>
      <c r="X142" s="111">
        <f ca="1">IF(OR((X141-13/12*AA141)*(1+PREMISSAS!$C$17)&lt;0,X141=""),0,(X141-13/12*AA141)*(1+PREMISSAS!$C$17))</f>
        <v>0</v>
      </c>
      <c r="Y142" s="111">
        <f t="shared" ca="1" si="19"/>
        <v>0</v>
      </c>
      <c r="Z142" s="134">
        <f t="shared" ca="1" si="22"/>
        <v>0</v>
      </c>
      <c r="AA142" s="134">
        <f t="shared" ca="1" si="23"/>
        <v>0</v>
      </c>
    </row>
    <row r="143" spans="2:27" x14ac:dyDescent="0.3">
      <c r="B143" s="21">
        <f ca="1">IF(B142="","",IF(EOMONTH(B142,1)&gt;EOMONTH(ELEGIBILIDADE!$E$5,0),"",EOMONTH(B142,1)))</f>
        <v>49095</v>
      </c>
      <c r="C143" s="22">
        <f ca="1">IF(B143="","",IF(MONTH(B143)=1,C142*(1+PREMISSAS!$C$58),C142))</f>
        <v>0</v>
      </c>
      <c r="D143" s="22">
        <f ca="1">IF(RESULTADOS!$C$17="Normal",IFERROR(MAX(C143-PREMISSAS!$C$14,0),0),IF(PREMISSAS!$H$117=0,0,MAX(10*PREMISSAS!$C$39,RESULTADOS!$F$17)))</f>
        <v>0</v>
      </c>
      <c r="E143" s="4">
        <f ca="1">D143*IF(RESULTADOS!$C$17="Normal",RESULTADOS!$C$16,0)</f>
        <v>0</v>
      </c>
      <c r="F143" s="4">
        <f ca="1">IF(D143&lt;&gt;0,PREMISSAS!$N$83,0)</f>
        <v>0</v>
      </c>
      <c r="G143" s="4">
        <f ca="1">IFERROR(IF(RESULTADOS!$C$17="Normal",0,D143)*IF(RESULTADOS!$C$17="Normal",RESULTADOS!$C$18,RESULTADOS!$C$16),0)</f>
        <v>0</v>
      </c>
      <c r="H143" s="4">
        <f ca="1">IF(RESULTADOS!$C$17="Normal",E143,0)</f>
        <v>0</v>
      </c>
      <c r="I143" s="4">
        <f ca="1">(E143+H143+G143)*IFERROR(VLOOKUP(INT(COUNT($B$5:B143)/12),PREMISSAS!$B$62:$C$69,2,FALSE),PREMISSAS!$C$69)</f>
        <v>0</v>
      </c>
      <c r="J143" s="4">
        <f ca="1">D143*IF(RESULTADOS!$C$17="Normal",PREMISSAS!$C$71,0)</f>
        <v>0</v>
      </c>
      <c r="K143" s="87">
        <f ca="1">IFERROR(K142*(1+PREMISSAS!$C$19)+(E143+H143-IF(RESULTADOS!$C$17="Normal",I143,0)-J143)*IF(MONTH(B143)=12,2,1),0)</f>
        <v>0</v>
      </c>
      <c r="L143" s="87">
        <f ca="1">IFERROR((L142+G143-IF(RESULTADOS!$C$17="Normal",0,I143))*(1+PREMISSAS!$C$19)+F143,0)</f>
        <v>0</v>
      </c>
      <c r="N143" s="58">
        <f t="shared" ca="1" si="16"/>
        <v>0</v>
      </c>
      <c r="O143" s="223"/>
      <c r="P143" s="131">
        <f t="shared" ca="1" si="17"/>
        <v>49095</v>
      </c>
      <c r="Q143" s="111">
        <f ca="1">IF(C143="","",Q142+(E143+H143-IF(RESULTADOS!$C$17="Normal",I143,0)-J143)/2+(F143+G143-IF(RESULTADOS!$C$17="Normal",0,I143)))</f>
        <v>0</v>
      </c>
      <c r="R143" s="111">
        <f ca="1">IF(C143="","",R142+(E143+H143-IF(RESULTADOS!$C$17="Normal",I143,0)-J143)/2)</f>
        <v>0</v>
      </c>
      <c r="S143" s="111">
        <f t="shared" ca="1" si="20"/>
        <v>0</v>
      </c>
      <c r="U143" s="131" t="str">
        <f t="shared" ca="1" si="21"/>
        <v/>
      </c>
      <c r="V143" s="131" t="str">
        <f t="shared" ca="1" si="18"/>
        <v/>
      </c>
      <c r="W143" s="111">
        <f ca="1">IF(OR((W142-13/12*Z142)*(1+PREMISSAS!$C$17)&lt;0,W142=""),0,(W142-13/12*Z142)*(1+PREMISSAS!$C$17))</f>
        <v>0</v>
      </c>
      <c r="X143" s="111">
        <f ca="1">IF(OR((X142-13/12*AA142)*(1+PREMISSAS!$C$17)&lt;0,X142=""),0,(X142-13/12*AA142)*(1+PREMISSAS!$C$17))</f>
        <v>0</v>
      </c>
      <c r="Y143" s="111">
        <f t="shared" ca="1" si="19"/>
        <v>0</v>
      </c>
      <c r="Z143" s="134">
        <f t="shared" ca="1" si="22"/>
        <v>0</v>
      </c>
      <c r="AA143" s="134">
        <f t="shared" ca="1" si="23"/>
        <v>0</v>
      </c>
    </row>
    <row r="144" spans="2:27" x14ac:dyDescent="0.3">
      <c r="B144" s="21">
        <f ca="1">IF(B143="","",IF(EOMONTH(B143,1)&gt;EOMONTH(ELEGIBILIDADE!$E$5,0),"",EOMONTH(B143,1)))</f>
        <v>49125</v>
      </c>
      <c r="C144" s="22">
        <f ca="1">IF(B144="","",IF(MONTH(B144)=1,C143*(1+PREMISSAS!$C$58),C143))</f>
        <v>0</v>
      </c>
      <c r="D144" s="22">
        <f ca="1">IF(RESULTADOS!$C$17="Normal",IFERROR(MAX(C144-PREMISSAS!$C$14,0),0),IF(PREMISSAS!$H$117=0,0,MAX(10*PREMISSAS!$C$39,RESULTADOS!$F$17)))</f>
        <v>0</v>
      </c>
      <c r="E144" s="4">
        <f ca="1">D144*IF(RESULTADOS!$C$17="Normal",RESULTADOS!$C$16,0)</f>
        <v>0</v>
      </c>
      <c r="F144" s="4">
        <f ca="1">IF(D144&lt;&gt;0,PREMISSAS!$N$83,0)</f>
        <v>0</v>
      </c>
      <c r="G144" s="4">
        <f ca="1">IFERROR(IF(RESULTADOS!$C$17="Normal",0,D144)*IF(RESULTADOS!$C$17="Normal",RESULTADOS!$C$18,RESULTADOS!$C$16),0)</f>
        <v>0</v>
      </c>
      <c r="H144" s="4">
        <f ca="1">IF(RESULTADOS!$C$17="Normal",E144,0)</f>
        <v>0</v>
      </c>
      <c r="I144" s="4">
        <f ca="1">(E144+H144+G144)*IFERROR(VLOOKUP(INT(COUNT($B$5:B144)/12),PREMISSAS!$B$62:$C$69,2,FALSE),PREMISSAS!$C$69)</f>
        <v>0</v>
      </c>
      <c r="J144" s="4">
        <f ca="1">D144*IF(RESULTADOS!$C$17="Normal",PREMISSAS!$C$71,0)</f>
        <v>0</v>
      </c>
      <c r="K144" s="87">
        <f ca="1">IFERROR(K143*(1+PREMISSAS!$C$19)+(E144+H144-IF(RESULTADOS!$C$17="Normal",I144,0)-J144)*IF(MONTH(B144)=12,2,1),0)</f>
        <v>0</v>
      </c>
      <c r="L144" s="87">
        <f ca="1">IFERROR((L143+G144-IF(RESULTADOS!$C$17="Normal",0,I144))*(1+PREMISSAS!$C$19)+F144,0)</f>
        <v>0</v>
      </c>
      <c r="N144" s="58">
        <f t="shared" ca="1" si="16"/>
        <v>0</v>
      </c>
      <c r="O144" s="223"/>
      <c r="P144" s="131">
        <f t="shared" ca="1" si="17"/>
        <v>49125</v>
      </c>
      <c r="Q144" s="111">
        <f ca="1">IF(C144="","",Q143+(E144+H144-IF(RESULTADOS!$C$17="Normal",I144,0)-J144)/2+(F144+G144-IF(RESULTADOS!$C$17="Normal",0,I144)))</f>
        <v>0</v>
      </c>
      <c r="R144" s="111">
        <f ca="1">IF(C144="","",R143+(E144+H144-IF(RESULTADOS!$C$17="Normal",I144,0)-J144)/2)</f>
        <v>0</v>
      </c>
      <c r="S144" s="111">
        <f t="shared" ca="1" si="20"/>
        <v>0</v>
      </c>
      <c r="U144" s="131" t="str">
        <f t="shared" ca="1" si="21"/>
        <v/>
      </c>
      <c r="V144" s="131" t="str">
        <f t="shared" ca="1" si="18"/>
        <v/>
      </c>
      <c r="W144" s="111">
        <f ca="1">IF(OR((W143-13/12*Z143)*(1+PREMISSAS!$C$17)&lt;0,W143=""),0,(W143-13/12*Z143)*(1+PREMISSAS!$C$17))</f>
        <v>0</v>
      </c>
      <c r="X144" s="111">
        <f ca="1">IF(OR((X143-13/12*AA143)*(1+PREMISSAS!$C$17)&lt;0,X143=""),0,(X143-13/12*AA143)*(1+PREMISSAS!$C$17))</f>
        <v>0</v>
      </c>
      <c r="Y144" s="111">
        <f t="shared" ca="1" si="19"/>
        <v>0</v>
      </c>
      <c r="Z144" s="134">
        <f t="shared" ca="1" si="22"/>
        <v>0</v>
      </c>
      <c r="AA144" s="134">
        <f t="shared" ca="1" si="23"/>
        <v>0</v>
      </c>
    </row>
    <row r="145" spans="2:27" x14ac:dyDescent="0.3">
      <c r="B145" s="21">
        <f ca="1">IF(B144="","",IF(EOMONTH(B144,1)&gt;EOMONTH(ELEGIBILIDADE!$E$5,0),"",EOMONTH(B144,1)))</f>
        <v>49156</v>
      </c>
      <c r="C145" s="22">
        <f ca="1">IF(B145="","",IF(MONTH(B145)=1,C144*(1+PREMISSAS!$C$58),C144))</f>
        <v>0</v>
      </c>
      <c r="D145" s="22">
        <f ca="1">IF(RESULTADOS!$C$17="Normal",IFERROR(MAX(C145-PREMISSAS!$C$14,0),0),IF(PREMISSAS!$H$117=0,0,MAX(10*PREMISSAS!$C$39,RESULTADOS!$F$17)))</f>
        <v>0</v>
      </c>
      <c r="E145" s="4">
        <f ca="1">D145*IF(RESULTADOS!$C$17="Normal",RESULTADOS!$C$16,0)</f>
        <v>0</v>
      </c>
      <c r="F145" s="4">
        <f ca="1">IF(D145&lt;&gt;0,PREMISSAS!$N$83,0)</f>
        <v>0</v>
      </c>
      <c r="G145" s="4">
        <f ca="1">IFERROR(IF(RESULTADOS!$C$17="Normal",0,D145)*IF(RESULTADOS!$C$17="Normal",RESULTADOS!$C$18,RESULTADOS!$C$16),0)</f>
        <v>0</v>
      </c>
      <c r="H145" s="4">
        <f ca="1">IF(RESULTADOS!$C$17="Normal",E145,0)</f>
        <v>0</v>
      </c>
      <c r="I145" s="4">
        <f ca="1">(E145+H145+G145)*IFERROR(VLOOKUP(INT(COUNT($B$5:B145)/12),PREMISSAS!$B$62:$C$69,2,FALSE),PREMISSAS!$C$69)</f>
        <v>0</v>
      </c>
      <c r="J145" s="4">
        <f ca="1">D145*IF(RESULTADOS!$C$17="Normal",PREMISSAS!$C$71,0)</f>
        <v>0</v>
      </c>
      <c r="K145" s="87">
        <f ca="1">IFERROR(K144*(1+PREMISSAS!$C$19)+(E145+H145-IF(RESULTADOS!$C$17="Normal",I145,0)-J145)*IF(MONTH(B145)=12,2,1),0)</f>
        <v>0</v>
      </c>
      <c r="L145" s="87">
        <f ca="1">IFERROR((L144+G145-IF(RESULTADOS!$C$17="Normal",0,I145))*(1+PREMISSAS!$C$19)+F145,0)</f>
        <v>0</v>
      </c>
      <c r="N145" s="58">
        <f t="shared" ca="1" si="16"/>
        <v>0</v>
      </c>
      <c r="O145" s="223"/>
      <c r="P145" s="131">
        <f t="shared" ca="1" si="17"/>
        <v>49156</v>
      </c>
      <c r="Q145" s="111">
        <f ca="1">IF(C145="","",Q144+(E145+H145-IF(RESULTADOS!$C$17="Normal",I145,0)-J145)/2+(F145+G145-IF(RESULTADOS!$C$17="Normal",0,I145)))</f>
        <v>0</v>
      </c>
      <c r="R145" s="111">
        <f ca="1">IF(C145="","",R144+(E145+H145-IF(RESULTADOS!$C$17="Normal",I145,0)-J145)/2)</f>
        <v>0</v>
      </c>
      <c r="S145" s="111">
        <f t="shared" ca="1" si="20"/>
        <v>0</v>
      </c>
      <c r="U145" s="131" t="str">
        <f t="shared" ca="1" si="21"/>
        <v/>
      </c>
      <c r="V145" s="131" t="str">
        <f t="shared" ca="1" si="18"/>
        <v/>
      </c>
      <c r="W145" s="111">
        <f ca="1">IF(OR((W144-13/12*Z144)*(1+PREMISSAS!$C$17)&lt;0,W144=""),0,(W144-13/12*Z144)*(1+PREMISSAS!$C$17))</f>
        <v>0</v>
      </c>
      <c r="X145" s="111">
        <f ca="1">IF(OR((X144-13/12*AA144)*(1+PREMISSAS!$C$17)&lt;0,X144=""),0,(X144-13/12*AA144)*(1+PREMISSAS!$C$17))</f>
        <v>0</v>
      </c>
      <c r="Y145" s="111">
        <f t="shared" ca="1" si="19"/>
        <v>0</v>
      </c>
      <c r="Z145" s="134">
        <f t="shared" ca="1" si="22"/>
        <v>0</v>
      </c>
      <c r="AA145" s="134">
        <f t="shared" ca="1" si="23"/>
        <v>0</v>
      </c>
    </row>
    <row r="146" spans="2:27" x14ac:dyDescent="0.3">
      <c r="B146" s="21">
        <f ca="1">IF(B145="","",IF(EOMONTH(B145,1)&gt;EOMONTH(ELEGIBILIDADE!$E$5,0),"",EOMONTH(B145,1)))</f>
        <v>49187</v>
      </c>
      <c r="C146" s="22">
        <f ca="1">IF(B146="","",IF(MONTH(B146)=1,C145*(1+PREMISSAS!$C$58),C145))</f>
        <v>0</v>
      </c>
      <c r="D146" s="22">
        <f ca="1">IF(RESULTADOS!$C$17="Normal",IFERROR(MAX(C146-PREMISSAS!$C$14,0),0),IF(PREMISSAS!$H$117=0,0,MAX(10*PREMISSAS!$C$39,RESULTADOS!$F$17)))</f>
        <v>0</v>
      </c>
      <c r="E146" s="4">
        <f ca="1">D146*IF(RESULTADOS!$C$17="Normal",RESULTADOS!$C$16,0)</f>
        <v>0</v>
      </c>
      <c r="F146" s="4">
        <f ca="1">IF(D146&lt;&gt;0,PREMISSAS!$N$83,0)</f>
        <v>0</v>
      </c>
      <c r="G146" s="4">
        <f ca="1">IFERROR(IF(RESULTADOS!$C$17="Normal",0,D146)*IF(RESULTADOS!$C$17="Normal",RESULTADOS!$C$18,RESULTADOS!$C$16),0)</f>
        <v>0</v>
      </c>
      <c r="H146" s="4">
        <f ca="1">IF(RESULTADOS!$C$17="Normal",E146,0)</f>
        <v>0</v>
      </c>
      <c r="I146" s="4">
        <f ca="1">(E146+H146+G146)*IFERROR(VLOOKUP(INT(COUNT($B$5:B146)/12),PREMISSAS!$B$62:$C$69,2,FALSE),PREMISSAS!$C$69)</f>
        <v>0</v>
      </c>
      <c r="J146" s="4">
        <f ca="1">D146*IF(RESULTADOS!$C$17="Normal",PREMISSAS!$C$71,0)</f>
        <v>0</v>
      </c>
      <c r="K146" s="87">
        <f ca="1">IFERROR(K145*(1+PREMISSAS!$C$19)+(E146+H146-IF(RESULTADOS!$C$17="Normal",I146,0)-J146)*IF(MONTH(B146)=12,2,1),0)</f>
        <v>0</v>
      </c>
      <c r="L146" s="87">
        <f ca="1">IFERROR((L145+G146-IF(RESULTADOS!$C$17="Normal",0,I146))*(1+PREMISSAS!$C$19)+F146,0)</f>
        <v>0</v>
      </c>
      <c r="N146" s="58">
        <f t="shared" ca="1" si="16"/>
        <v>0</v>
      </c>
      <c r="O146" s="223"/>
      <c r="P146" s="131">
        <f t="shared" ca="1" si="17"/>
        <v>49187</v>
      </c>
      <c r="Q146" s="111">
        <f ca="1">IF(C146="","",Q145+(E146+H146-IF(RESULTADOS!$C$17="Normal",I146,0)-J146)/2+(F146+G146-IF(RESULTADOS!$C$17="Normal",0,I146)))</f>
        <v>0</v>
      </c>
      <c r="R146" s="111">
        <f ca="1">IF(C146="","",R145+(E146+H146-IF(RESULTADOS!$C$17="Normal",I146,0)-J146)/2)</f>
        <v>0</v>
      </c>
      <c r="S146" s="111">
        <f t="shared" ca="1" si="20"/>
        <v>0</v>
      </c>
      <c r="U146" s="131" t="str">
        <f t="shared" ca="1" si="21"/>
        <v/>
      </c>
      <c r="V146" s="131" t="str">
        <f t="shared" ca="1" si="18"/>
        <v/>
      </c>
      <c r="W146" s="111">
        <f ca="1">IF(OR((W145-13/12*Z145)*(1+PREMISSAS!$C$17)&lt;0,W145=""),0,(W145-13/12*Z145)*(1+PREMISSAS!$C$17))</f>
        <v>0</v>
      </c>
      <c r="X146" s="111">
        <f ca="1">IF(OR((X145-13/12*AA145)*(1+PREMISSAS!$C$17)&lt;0,X145=""),0,(X145-13/12*AA145)*(1+PREMISSAS!$C$17))</f>
        <v>0</v>
      </c>
      <c r="Y146" s="111">
        <f t="shared" ca="1" si="19"/>
        <v>0</v>
      </c>
      <c r="Z146" s="134">
        <f t="shared" ca="1" si="22"/>
        <v>0</v>
      </c>
      <c r="AA146" s="134">
        <f t="shared" ca="1" si="23"/>
        <v>0</v>
      </c>
    </row>
    <row r="147" spans="2:27" x14ac:dyDescent="0.3">
      <c r="B147" s="21">
        <f ca="1">IF(B146="","",IF(EOMONTH(B146,1)&gt;EOMONTH(ELEGIBILIDADE!$E$5,0),"",EOMONTH(B146,1)))</f>
        <v>49217</v>
      </c>
      <c r="C147" s="22">
        <f ca="1">IF(B147="","",IF(MONTH(B147)=1,C146*(1+PREMISSAS!$C$58),C146))</f>
        <v>0</v>
      </c>
      <c r="D147" s="22">
        <f ca="1">IF(RESULTADOS!$C$17="Normal",IFERROR(MAX(C147-PREMISSAS!$C$14,0),0),IF(PREMISSAS!$H$117=0,0,MAX(10*PREMISSAS!$C$39,RESULTADOS!$F$17)))</f>
        <v>0</v>
      </c>
      <c r="E147" s="4">
        <f ca="1">D147*IF(RESULTADOS!$C$17="Normal",RESULTADOS!$C$16,0)</f>
        <v>0</v>
      </c>
      <c r="F147" s="4">
        <f ca="1">IF(D147&lt;&gt;0,PREMISSAS!$N$83,0)</f>
        <v>0</v>
      </c>
      <c r="G147" s="4">
        <f ca="1">IFERROR(IF(RESULTADOS!$C$17="Normal",0,D147)*IF(RESULTADOS!$C$17="Normal",RESULTADOS!$C$18,RESULTADOS!$C$16),0)</f>
        <v>0</v>
      </c>
      <c r="H147" s="4">
        <f ca="1">IF(RESULTADOS!$C$17="Normal",E147,0)</f>
        <v>0</v>
      </c>
      <c r="I147" s="4">
        <f ca="1">(E147+H147+G147)*IFERROR(VLOOKUP(INT(COUNT($B$5:B147)/12),PREMISSAS!$B$62:$C$69,2,FALSE),PREMISSAS!$C$69)</f>
        <v>0</v>
      </c>
      <c r="J147" s="4">
        <f ca="1">D147*IF(RESULTADOS!$C$17="Normal",PREMISSAS!$C$71,0)</f>
        <v>0</v>
      </c>
      <c r="K147" s="87">
        <f ca="1">IFERROR(K146*(1+PREMISSAS!$C$19)+(E147+H147-IF(RESULTADOS!$C$17="Normal",I147,0)-J147)*IF(MONTH(B147)=12,2,1),0)</f>
        <v>0</v>
      </c>
      <c r="L147" s="87">
        <f ca="1">IFERROR((L146+G147-IF(RESULTADOS!$C$17="Normal",0,I147))*(1+PREMISSAS!$C$19)+F147,0)</f>
        <v>0</v>
      </c>
      <c r="N147" s="58">
        <f t="shared" ca="1" si="16"/>
        <v>0</v>
      </c>
      <c r="O147" s="223"/>
      <c r="P147" s="131">
        <f t="shared" ca="1" si="17"/>
        <v>49217</v>
      </c>
      <c r="Q147" s="111">
        <f ca="1">IF(C147="","",Q146+(E147+H147-IF(RESULTADOS!$C$17="Normal",I147,0)-J147)/2+(F147+G147-IF(RESULTADOS!$C$17="Normal",0,I147)))</f>
        <v>0</v>
      </c>
      <c r="R147" s="111">
        <f ca="1">IF(C147="","",R146+(E147+H147-IF(RESULTADOS!$C$17="Normal",I147,0)-J147)/2)</f>
        <v>0</v>
      </c>
      <c r="S147" s="111">
        <f t="shared" ca="1" si="20"/>
        <v>0</v>
      </c>
      <c r="U147" s="131" t="str">
        <f t="shared" ca="1" si="21"/>
        <v/>
      </c>
      <c r="V147" s="131" t="str">
        <f t="shared" ca="1" si="18"/>
        <v/>
      </c>
      <c r="W147" s="111">
        <f ca="1">IF(OR((W146-13/12*Z146)*(1+PREMISSAS!$C$17)&lt;0,W146=""),0,(W146-13/12*Z146)*(1+PREMISSAS!$C$17))</f>
        <v>0</v>
      </c>
      <c r="X147" s="111">
        <f ca="1">IF(OR((X146-13/12*AA146)*(1+PREMISSAS!$C$17)&lt;0,X146=""),0,(X146-13/12*AA146)*(1+PREMISSAS!$C$17))</f>
        <v>0</v>
      </c>
      <c r="Y147" s="111">
        <f t="shared" ca="1" si="19"/>
        <v>0</v>
      </c>
      <c r="Z147" s="134">
        <f t="shared" ca="1" si="22"/>
        <v>0</v>
      </c>
      <c r="AA147" s="134">
        <f t="shared" ca="1" si="23"/>
        <v>0</v>
      </c>
    </row>
    <row r="148" spans="2:27" x14ac:dyDescent="0.3">
      <c r="B148" s="21">
        <f ca="1">IF(B147="","",IF(EOMONTH(B147,1)&gt;EOMONTH(ELEGIBILIDADE!$E$5,0),"",EOMONTH(B147,1)))</f>
        <v>49248</v>
      </c>
      <c r="C148" s="22">
        <f ca="1">IF(B148="","",IF(MONTH(B148)=1,C147*(1+PREMISSAS!$C$58),C147))</f>
        <v>0</v>
      </c>
      <c r="D148" s="22">
        <f ca="1">IF(RESULTADOS!$C$17="Normal",IFERROR(MAX(C148-PREMISSAS!$C$14,0),0),IF(PREMISSAS!$H$117=0,0,MAX(10*PREMISSAS!$C$39,RESULTADOS!$F$17)))</f>
        <v>0</v>
      </c>
      <c r="E148" s="4">
        <f ca="1">D148*IF(RESULTADOS!$C$17="Normal",RESULTADOS!$C$16,0)</f>
        <v>0</v>
      </c>
      <c r="F148" s="4">
        <f ca="1">IF(D148&lt;&gt;0,PREMISSAS!$N$83,0)</f>
        <v>0</v>
      </c>
      <c r="G148" s="4">
        <f ca="1">IFERROR(IF(RESULTADOS!$C$17="Normal",0,D148)*IF(RESULTADOS!$C$17="Normal",RESULTADOS!$C$18,RESULTADOS!$C$16),0)</f>
        <v>0</v>
      </c>
      <c r="H148" s="4">
        <f ca="1">IF(RESULTADOS!$C$17="Normal",E148,0)</f>
        <v>0</v>
      </c>
      <c r="I148" s="4">
        <f ca="1">(E148+H148+G148)*IFERROR(VLOOKUP(INT(COUNT($B$5:B148)/12),PREMISSAS!$B$62:$C$69,2,FALSE),PREMISSAS!$C$69)</f>
        <v>0</v>
      </c>
      <c r="J148" s="4">
        <f ca="1">D148*IF(RESULTADOS!$C$17="Normal",PREMISSAS!$C$71,0)</f>
        <v>0</v>
      </c>
      <c r="K148" s="87">
        <f ca="1">IFERROR(K147*(1+PREMISSAS!$C$19)+(E148+H148-IF(RESULTADOS!$C$17="Normal",I148,0)-J148)*IF(MONTH(B148)=12,2,1),0)</f>
        <v>0</v>
      </c>
      <c r="L148" s="87">
        <f ca="1">IFERROR((L147+G148-IF(RESULTADOS!$C$17="Normal",0,I148))*(1+PREMISSAS!$C$19)+F148,0)</f>
        <v>0</v>
      </c>
      <c r="N148" s="58">
        <f t="shared" ca="1" si="16"/>
        <v>0</v>
      </c>
      <c r="O148" s="223"/>
      <c r="P148" s="131">
        <f t="shared" ca="1" si="17"/>
        <v>49248</v>
      </c>
      <c r="Q148" s="111">
        <f ca="1">IF(C148="","",Q147+(E148+H148-IF(RESULTADOS!$C$17="Normal",I148,0)-J148)/2+(F148+G148-IF(RESULTADOS!$C$17="Normal",0,I148)))</f>
        <v>0</v>
      </c>
      <c r="R148" s="111">
        <f ca="1">IF(C148="","",R147+(E148+H148-IF(RESULTADOS!$C$17="Normal",I148,0)-J148)/2)</f>
        <v>0</v>
      </c>
      <c r="S148" s="111">
        <f t="shared" ca="1" si="20"/>
        <v>0</v>
      </c>
      <c r="U148" s="131" t="str">
        <f t="shared" ca="1" si="21"/>
        <v/>
      </c>
      <c r="V148" s="131" t="str">
        <f t="shared" ca="1" si="18"/>
        <v/>
      </c>
      <c r="W148" s="111">
        <f ca="1">IF(OR((W147-13/12*Z147)*(1+PREMISSAS!$C$17)&lt;0,W147=""),0,(W147-13/12*Z147)*(1+PREMISSAS!$C$17))</f>
        <v>0</v>
      </c>
      <c r="X148" s="111">
        <f ca="1">IF(OR((X147-13/12*AA147)*(1+PREMISSAS!$C$17)&lt;0,X147=""),0,(X147-13/12*AA147)*(1+PREMISSAS!$C$17))</f>
        <v>0</v>
      </c>
      <c r="Y148" s="111">
        <f t="shared" ca="1" si="19"/>
        <v>0</v>
      </c>
      <c r="Z148" s="134">
        <f t="shared" ca="1" si="22"/>
        <v>0</v>
      </c>
      <c r="AA148" s="134">
        <f t="shared" ca="1" si="23"/>
        <v>0</v>
      </c>
    </row>
    <row r="149" spans="2:27" x14ac:dyDescent="0.3">
      <c r="B149" s="21">
        <f ca="1">IF(B148="","",IF(EOMONTH(B148,1)&gt;EOMONTH(ELEGIBILIDADE!$E$5,0),"",EOMONTH(B148,1)))</f>
        <v>49278</v>
      </c>
      <c r="C149" s="22">
        <f ca="1">IF(B149="","",IF(MONTH(B149)=1,C148*(1+PREMISSAS!$C$58),C148))</f>
        <v>0</v>
      </c>
      <c r="D149" s="22">
        <f ca="1">IF(RESULTADOS!$C$17="Normal",IFERROR(MAX(C149-PREMISSAS!$C$14,0),0),IF(PREMISSAS!$H$117=0,0,MAX(10*PREMISSAS!$C$39,RESULTADOS!$F$17)))</f>
        <v>0</v>
      </c>
      <c r="E149" s="4">
        <f ca="1">D149*IF(RESULTADOS!$C$17="Normal",RESULTADOS!$C$16,0)</f>
        <v>0</v>
      </c>
      <c r="F149" s="4">
        <f ca="1">IF(D149&lt;&gt;0,PREMISSAS!$N$83,0)</f>
        <v>0</v>
      </c>
      <c r="G149" s="4">
        <f ca="1">IFERROR(IF(RESULTADOS!$C$17="Normal",0,D149)*IF(RESULTADOS!$C$17="Normal",RESULTADOS!$C$18,RESULTADOS!$C$16),0)</f>
        <v>0</v>
      </c>
      <c r="H149" s="4">
        <f ca="1">IF(RESULTADOS!$C$17="Normal",E149,0)</f>
        <v>0</v>
      </c>
      <c r="I149" s="4">
        <f ca="1">(E149+H149+G149)*IFERROR(VLOOKUP(INT(COUNT($B$5:B149)/12),PREMISSAS!$B$62:$C$69,2,FALSE),PREMISSAS!$C$69)</f>
        <v>0</v>
      </c>
      <c r="J149" s="4">
        <f ca="1">D149*IF(RESULTADOS!$C$17="Normal",PREMISSAS!$C$71,0)</f>
        <v>0</v>
      </c>
      <c r="K149" s="87">
        <f ca="1">IFERROR(K148*(1+PREMISSAS!$C$19)+(E149+H149-IF(RESULTADOS!$C$17="Normal",I149,0)-J149)*IF(MONTH(B149)=12,2,1),0)</f>
        <v>0</v>
      </c>
      <c r="L149" s="87">
        <f ca="1">IFERROR((L148+G149-IF(RESULTADOS!$C$17="Normal",0,I149))*(1+PREMISSAS!$C$19)+F149,0)</f>
        <v>0</v>
      </c>
      <c r="N149" s="58">
        <f t="shared" ca="1" si="16"/>
        <v>0</v>
      </c>
      <c r="O149" s="223"/>
      <c r="P149" s="131">
        <f t="shared" ca="1" si="17"/>
        <v>49278</v>
      </c>
      <c r="Q149" s="111">
        <f ca="1">IF(C149="","",Q148+(E149+H149-IF(RESULTADOS!$C$17="Normal",I149,0)-J149)/2+(F149+G149-IF(RESULTADOS!$C$17="Normal",0,I149)))</f>
        <v>0</v>
      </c>
      <c r="R149" s="111">
        <f ca="1">IF(C149="","",R148+(E149+H149-IF(RESULTADOS!$C$17="Normal",I149,0)-J149)/2)</f>
        <v>0</v>
      </c>
      <c r="S149" s="111">
        <f t="shared" ca="1" si="20"/>
        <v>0</v>
      </c>
      <c r="U149" s="131" t="str">
        <f t="shared" ca="1" si="21"/>
        <v/>
      </c>
      <c r="V149" s="131" t="str">
        <f t="shared" ca="1" si="18"/>
        <v/>
      </c>
      <c r="W149" s="111">
        <f ca="1">IF(OR((W148-13/12*Z148)*(1+PREMISSAS!$C$17)&lt;0,W148=""),0,(W148-13/12*Z148)*(1+PREMISSAS!$C$17))</f>
        <v>0</v>
      </c>
      <c r="X149" s="111">
        <f ca="1">IF(OR((X148-13/12*AA148)*(1+PREMISSAS!$C$17)&lt;0,X148=""),0,(X148-13/12*AA148)*(1+PREMISSAS!$C$17))</f>
        <v>0</v>
      </c>
      <c r="Y149" s="111">
        <f t="shared" ca="1" si="19"/>
        <v>0</v>
      </c>
      <c r="Z149" s="134">
        <f t="shared" ca="1" si="22"/>
        <v>0</v>
      </c>
      <c r="AA149" s="134">
        <f t="shared" ca="1" si="23"/>
        <v>0</v>
      </c>
    </row>
    <row r="150" spans="2:27" x14ac:dyDescent="0.3">
      <c r="B150" s="21">
        <f ca="1">IF(B149="","",IF(EOMONTH(B149,1)&gt;EOMONTH(ELEGIBILIDADE!$E$5,0),"",EOMONTH(B149,1)))</f>
        <v>49309</v>
      </c>
      <c r="C150" s="22">
        <f ca="1">IF(B150="","",IF(MONTH(B150)=1,C149*(1+PREMISSAS!$C$58),C149))</f>
        <v>0</v>
      </c>
      <c r="D150" s="22">
        <f ca="1">IF(RESULTADOS!$C$17="Normal",IFERROR(MAX(C150-PREMISSAS!$C$14,0),0),IF(PREMISSAS!$H$117=0,0,MAX(10*PREMISSAS!$C$39,RESULTADOS!$F$17)))</f>
        <v>0</v>
      </c>
      <c r="E150" s="4">
        <f ca="1">D150*IF(RESULTADOS!$C$17="Normal",RESULTADOS!$C$16,0)</f>
        <v>0</v>
      </c>
      <c r="F150" s="4">
        <f ca="1">IF(D150&lt;&gt;0,PREMISSAS!$N$83,0)</f>
        <v>0</v>
      </c>
      <c r="G150" s="4">
        <f ca="1">IFERROR(IF(RESULTADOS!$C$17="Normal",0,D150)*IF(RESULTADOS!$C$17="Normal",RESULTADOS!$C$18,RESULTADOS!$C$16),0)</f>
        <v>0</v>
      </c>
      <c r="H150" s="4">
        <f ca="1">IF(RESULTADOS!$C$17="Normal",E150,0)</f>
        <v>0</v>
      </c>
      <c r="I150" s="4">
        <f ca="1">(E150+H150+G150)*IFERROR(VLOOKUP(INT(COUNT($B$5:B150)/12),PREMISSAS!$B$62:$C$69,2,FALSE),PREMISSAS!$C$69)</f>
        <v>0</v>
      </c>
      <c r="J150" s="4">
        <f ca="1">D150*IF(RESULTADOS!$C$17="Normal",PREMISSAS!$C$71,0)</f>
        <v>0</v>
      </c>
      <c r="K150" s="87">
        <f ca="1">IFERROR(K149*(1+PREMISSAS!$C$19)+(E150+H150-IF(RESULTADOS!$C$17="Normal",I150,0)-J150)*IF(MONTH(B150)=12,2,1),0)</f>
        <v>0</v>
      </c>
      <c r="L150" s="87">
        <f ca="1">IFERROR((L149+G150-IF(RESULTADOS!$C$17="Normal",0,I150))*(1+PREMISSAS!$C$19)+F150,0)</f>
        <v>0</v>
      </c>
      <c r="N150" s="58">
        <f t="shared" ca="1" si="16"/>
        <v>0</v>
      </c>
      <c r="O150" s="223"/>
      <c r="P150" s="131">
        <f t="shared" ca="1" si="17"/>
        <v>49309</v>
      </c>
      <c r="Q150" s="111">
        <f ca="1">IF(C150="","",Q149+(E150+H150-IF(RESULTADOS!$C$17="Normal",I150,0)-J150)/2+(F150+G150-IF(RESULTADOS!$C$17="Normal",0,I150)))</f>
        <v>0</v>
      </c>
      <c r="R150" s="111">
        <f ca="1">IF(C150="","",R149+(E150+H150-IF(RESULTADOS!$C$17="Normal",I150,0)-J150)/2)</f>
        <v>0</v>
      </c>
      <c r="S150" s="111">
        <f t="shared" ca="1" si="20"/>
        <v>0</v>
      </c>
      <c r="U150" s="131" t="str">
        <f t="shared" ca="1" si="21"/>
        <v/>
      </c>
      <c r="V150" s="131" t="str">
        <f t="shared" ca="1" si="18"/>
        <v/>
      </c>
      <c r="W150" s="111">
        <f ca="1">IF(OR((W149-13/12*Z149)*(1+PREMISSAS!$C$17)&lt;0,W149=""),0,(W149-13/12*Z149)*(1+PREMISSAS!$C$17))</f>
        <v>0</v>
      </c>
      <c r="X150" s="111">
        <f ca="1">IF(OR((X149-13/12*AA149)*(1+PREMISSAS!$C$17)&lt;0,X149=""),0,(X149-13/12*AA149)*(1+PREMISSAS!$C$17))</f>
        <v>0</v>
      </c>
      <c r="Y150" s="111">
        <f t="shared" ca="1" si="19"/>
        <v>0</v>
      </c>
      <c r="Z150" s="134">
        <f t="shared" ca="1" si="22"/>
        <v>0</v>
      </c>
      <c r="AA150" s="134">
        <f t="shared" ca="1" si="23"/>
        <v>0</v>
      </c>
    </row>
    <row r="151" spans="2:27" x14ac:dyDescent="0.3">
      <c r="B151" s="21">
        <f ca="1">IF(B150="","",IF(EOMONTH(B150,1)&gt;EOMONTH(ELEGIBILIDADE!$E$5,0),"",EOMONTH(B150,1)))</f>
        <v>49340</v>
      </c>
      <c r="C151" s="22">
        <f ca="1">IF(B151="","",IF(MONTH(B151)=1,C150*(1+PREMISSAS!$C$58),C150))</f>
        <v>0</v>
      </c>
      <c r="D151" s="22">
        <f ca="1">IF(RESULTADOS!$C$17="Normal",IFERROR(MAX(C151-PREMISSAS!$C$14,0),0),IF(PREMISSAS!$H$117=0,0,MAX(10*PREMISSAS!$C$39,RESULTADOS!$F$17)))</f>
        <v>0</v>
      </c>
      <c r="E151" s="4">
        <f ca="1">D151*IF(RESULTADOS!$C$17="Normal",RESULTADOS!$C$16,0)</f>
        <v>0</v>
      </c>
      <c r="F151" s="4">
        <f ca="1">IF(D151&lt;&gt;0,PREMISSAS!$N$83,0)</f>
        <v>0</v>
      </c>
      <c r="G151" s="4">
        <f ca="1">IFERROR(IF(RESULTADOS!$C$17="Normal",0,D151)*IF(RESULTADOS!$C$17="Normal",RESULTADOS!$C$18,RESULTADOS!$C$16),0)</f>
        <v>0</v>
      </c>
      <c r="H151" s="4">
        <f ca="1">IF(RESULTADOS!$C$17="Normal",E151,0)</f>
        <v>0</v>
      </c>
      <c r="I151" s="4">
        <f ca="1">(E151+H151+G151)*IFERROR(VLOOKUP(INT(COUNT($B$5:B151)/12),PREMISSAS!$B$62:$C$69,2,FALSE),PREMISSAS!$C$69)</f>
        <v>0</v>
      </c>
      <c r="J151" s="4">
        <f ca="1">D151*IF(RESULTADOS!$C$17="Normal",PREMISSAS!$C$71,0)</f>
        <v>0</v>
      </c>
      <c r="K151" s="87">
        <f ca="1">IFERROR(K150*(1+PREMISSAS!$C$19)+(E151+H151-IF(RESULTADOS!$C$17="Normal",I151,0)-J151)*IF(MONTH(B151)=12,2,1),0)</f>
        <v>0</v>
      </c>
      <c r="L151" s="87">
        <f ca="1">IFERROR((L150+G151-IF(RESULTADOS!$C$17="Normal",0,I151))*(1+PREMISSAS!$C$19)+F151,0)</f>
        <v>0</v>
      </c>
      <c r="N151" s="58">
        <f t="shared" ca="1" si="16"/>
        <v>0</v>
      </c>
      <c r="O151" s="223"/>
      <c r="P151" s="131">
        <f t="shared" ca="1" si="17"/>
        <v>49340</v>
      </c>
      <c r="Q151" s="111">
        <f ca="1">IF(C151="","",Q150+(E151+H151-IF(RESULTADOS!$C$17="Normal",I151,0)-J151)/2+(F151+G151-IF(RESULTADOS!$C$17="Normal",0,I151)))</f>
        <v>0</v>
      </c>
      <c r="R151" s="111">
        <f ca="1">IF(C151="","",R150+(E151+H151-IF(RESULTADOS!$C$17="Normal",I151,0)-J151)/2)</f>
        <v>0</v>
      </c>
      <c r="S151" s="111">
        <f t="shared" ca="1" si="20"/>
        <v>0</v>
      </c>
      <c r="U151" s="131" t="str">
        <f t="shared" ca="1" si="21"/>
        <v/>
      </c>
      <c r="V151" s="131" t="str">
        <f t="shared" ca="1" si="18"/>
        <v/>
      </c>
      <c r="W151" s="111">
        <f ca="1">IF(OR((W150-13/12*Z150)*(1+PREMISSAS!$C$17)&lt;0,W150=""),0,(W150-13/12*Z150)*(1+PREMISSAS!$C$17))</f>
        <v>0</v>
      </c>
      <c r="X151" s="111">
        <f ca="1">IF(OR((X150-13/12*AA150)*(1+PREMISSAS!$C$17)&lt;0,X150=""),0,(X150-13/12*AA150)*(1+PREMISSAS!$C$17))</f>
        <v>0</v>
      </c>
      <c r="Y151" s="111">
        <f t="shared" ca="1" si="19"/>
        <v>0</v>
      </c>
      <c r="Z151" s="134">
        <f t="shared" ca="1" si="22"/>
        <v>0</v>
      </c>
      <c r="AA151" s="134">
        <f t="shared" ca="1" si="23"/>
        <v>0</v>
      </c>
    </row>
    <row r="152" spans="2:27" x14ac:dyDescent="0.3">
      <c r="B152" s="21">
        <f ca="1">IF(B151="","",IF(EOMONTH(B151,1)&gt;EOMONTH(ELEGIBILIDADE!$E$5,0),"",EOMONTH(B151,1)))</f>
        <v>49368</v>
      </c>
      <c r="C152" s="22">
        <f ca="1">IF(B152="","",IF(MONTH(B152)=1,C151*(1+PREMISSAS!$C$58),C151))</f>
        <v>0</v>
      </c>
      <c r="D152" s="22">
        <f ca="1">IF(RESULTADOS!$C$17="Normal",IFERROR(MAX(C152-PREMISSAS!$C$14,0),0),IF(PREMISSAS!$H$117=0,0,MAX(10*PREMISSAS!$C$39,RESULTADOS!$F$17)))</f>
        <v>0</v>
      </c>
      <c r="E152" s="4">
        <f ca="1">D152*IF(RESULTADOS!$C$17="Normal",RESULTADOS!$C$16,0)</f>
        <v>0</v>
      </c>
      <c r="F152" s="4">
        <f ca="1">IF(D152&lt;&gt;0,PREMISSAS!$N$83,0)</f>
        <v>0</v>
      </c>
      <c r="G152" s="4">
        <f ca="1">IFERROR(IF(RESULTADOS!$C$17="Normal",0,D152)*IF(RESULTADOS!$C$17="Normal",RESULTADOS!$C$18,RESULTADOS!$C$16),0)</f>
        <v>0</v>
      </c>
      <c r="H152" s="4">
        <f ca="1">IF(RESULTADOS!$C$17="Normal",E152,0)</f>
        <v>0</v>
      </c>
      <c r="I152" s="4">
        <f ca="1">(E152+H152+G152)*IFERROR(VLOOKUP(INT(COUNT($B$5:B152)/12),PREMISSAS!$B$62:$C$69,2,FALSE),PREMISSAS!$C$69)</f>
        <v>0</v>
      </c>
      <c r="J152" s="4">
        <f ca="1">D152*IF(RESULTADOS!$C$17="Normal",PREMISSAS!$C$71,0)</f>
        <v>0</v>
      </c>
      <c r="K152" s="87">
        <f ca="1">IFERROR(K151*(1+PREMISSAS!$C$19)+(E152+H152-IF(RESULTADOS!$C$17="Normal",I152,0)-J152)*IF(MONTH(B152)=12,2,1),0)</f>
        <v>0</v>
      </c>
      <c r="L152" s="87">
        <f ca="1">IFERROR((L151+G152-IF(RESULTADOS!$C$17="Normal",0,I152))*(1+PREMISSAS!$C$19)+F152,0)</f>
        <v>0</v>
      </c>
      <c r="N152" s="58">
        <f t="shared" ca="1" si="16"/>
        <v>0</v>
      </c>
      <c r="O152" s="223"/>
      <c r="P152" s="131">
        <f t="shared" ca="1" si="17"/>
        <v>49368</v>
      </c>
      <c r="Q152" s="111">
        <f ca="1">IF(C152="","",Q151+(E152+H152-IF(RESULTADOS!$C$17="Normal",I152,0)-J152)/2+(F152+G152-IF(RESULTADOS!$C$17="Normal",0,I152)))</f>
        <v>0</v>
      </c>
      <c r="R152" s="111">
        <f ca="1">IF(C152="","",R151+(E152+H152-IF(RESULTADOS!$C$17="Normal",I152,0)-J152)/2)</f>
        <v>0</v>
      </c>
      <c r="S152" s="111">
        <f t="shared" ca="1" si="20"/>
        <v>0</v>
      </c>
      <c r="U152" s="131" t="str">
        <f t="shared" ca="1" si="21"/>
        <v/>
      </c>
      <c r="V152" s="131" t="str">
        <f t="shared" ca="1" si="18"/>
        <v/>
      </c>
      <c r="W152" s="111">
        <f ca="1">IF(OR((W151-13/12*Z151)*(1+PREMISSAS!$C$17)&lt;0,W151=""),0,(W151-13/12*Z151)*(1+PREMISSAS!$C$17))</f>
        <v>0</v>
      </c>
      <c r="X152" s="111">
        <f ca="1">IF(OR((X151-13/12*AA151)*(1+PREMISSAS!$C$17)&lt;0,X151=""),0,(X151-13/12*AA151)*(1+PREMISSAS!$C$17))</f>
        <v>0</v>
      </c>
      <c r="Y152" s="111">
        <f t="shared" ca="1" si="19"/>
        <v>0</v>
      </c>
      <c r="Z152" s="134">
        <f t="shared" ca="1" si="22"/>
        <v>0</v>
      </c>
      <c r="AA152" s="134">
        <f t="shared" ca="1" si="23"/>
        <v>0</v>
      </c>
    </row>
    <row r="153" spans="2:27" x14ac:dyDescent="0.3">
      <c r="B153" s="21">
        <f ca="1">IF(B152="","",IF(EOMONTH(B152,1)&gt;EOMONTH(ELEGIBILIDADE!$E$5,0),"",EOMONTH(B152,1)))</f>
        <v>49399</v>
      </c>
      <c r="C153" s="22">
        <f ca="1">IF(B153="","",IF(MONTH(B153)=1,C152*(1+PREMISSAS!$C$58),C152))</f>
        <v>0</v>
      </c>
      <c r="D153" s="22">
        <f ca="1">IF(RESULTADOS!$C$17="Normal",IFERROR(MAX(C153-PREMISSAS!$C$14,0),0),IF(PREMISSAS!$H$117=0,0,MAX(10*PREMISSAS!$C$39,RESULTADOS!$F$17)))</f>
        <v>0</v>
      </c>
      <c r="E153" s="4">
        <f ca="1">D153*IF(RESULTADOS!$C$17="Normal",RESULTADOS!$C$16,0)</f>
        <v>0</v>
      </c>
      <c r="F153" s="4">
        <f ca="1">IF(D153&lt;&gt;0,PREMISSAS!$N$83,0)</f>
        <v>0</v>
      </c>
      <c r="G153" s="4">
        <f ca="1">IFERROR(IF(RESULTADOS!$C$17="Normal",0,D153)*IF(RESULTADOS!$C$17="Normal",RESULTADOS!$C$18,RESULTADOS!$C$16),0)</f>
        <v>0</v>
      </c>
      <c r="H153" s="4">
        <f ca="1">IF(RESULTADOS!$C$17="Normal",E153,0)</f>
        <v>0</v>
      </c>
      <c r="I153" s="4">
        <f ca="1">(E153+H153+G153)*IFERROR(VLOOKUP(INT(COUNT($B$5:B153)/12),PREMISSAS!$B$62:$C$69,2,FALSE),PREMISSAS!$C$69)</f>
        <v>0</v>
      </c>
      <c r="J153" s="4">
        <f ca="1">D153*IF(RESULTADOS!$C$17="Normal",PREMISSAS!$C$71,0)</f>
        <v>0</v>
      </c>
      <c r="K153" s="87">
        <f ca="1">IFERROR(K152*(1+PREMISSAS!$C$19)+(E153+H153-IF(RESULTADOS!$C$17="Normal",I153,0)-J153)*IF(MONTH(B153)=12,2,1),0)</f>
        <v>0</v>
      </c>
      <c r="L153" s="87">
        <f ca="1">IFERROR((L152+G153-IF(RESULTADOS!$C$17="Normal",0,I153))*(1+PREMISSAS!$C$19)+F153,0)</f>
        <v>0</v>
      </c>
      <c r="N153" s="58">
        <f t="shared" ca="1" si="16"/>
        <v>0</v>
      </c>
      <c r="O153" s="223"/>
      <c r="P153" s="131">
        <f t="shared" ca="1" si="17"/>
        <v>49399</v>
      </c>
      <c r="Q153" s="111">
        <f ca="1">IF(C153="","",Q152+(E153+H153-IF(RESULTADOS!$C$17="Normal",I153,0)-J153)/2+(F153+G153-IF(RESULTADOS!$C$17="Normal",0,I153)))</f>
        <v>0</v>
      </c>
      <c r="R153" s="111">
        <f ca="1">IF(C153="","",R152+(E153+H153-IF(RESULTADOS!$C$17="Normal",I153,0)-J153)/2)</f>
        <v>0</v>
      </c>
      <c r="S153" s="111">
        <f t="shared" ca="1" si="20"/>
        <v>0</v>
      </c>
      <c r="U153" s="131" t="str">
        <f t="shared" ca="1" si="21"/>
        <v/>
      </c>
      <c r="V153" s="131" t="str">
        <f t="shared" ca="1" si="18"/>
        <v/>
      </c>
      <c r="W153" s="111">
        <f ca="1">IF(OR((W152-13/12*Z152)*(1+PREMISSAS!$C$17)&lt;0,W152=""),0,(W152-13/12*Z152)*(1+PREMISSAS!$C$17))</f>
        <v>0</v>
      </c>
      <c r="X153" s="111">
        <f ca="1">IF(OR((X152-13/12*AA152)*(1+PREMISSAS!$C$17)&lt;0,X152=""),0,(X152-13/12*AA152)*(1+PREMISSAS!$C$17))</f>
        <v>0</v>
      </c>
      <c r="Y153" s="111">
        <f t="shared" ca="1" si="19"/>
        <v>0</v>
      </c>
      <c r="Z153" s="134">
        <f t="shared" ca="1" si="22"/>
        <v>0</v>
      </c>
      <c r="AA153" s="134">
        <f t="shared" ca="1" si="23"/>
        <v>0</v>
      </c>
    </row>
    <row r="154" spans="2:27" x14ac:dyDescent="0.3">
      <c r="B154" s="21">
        <f ca="1">IF(B153="","",IF(EOMONTH(B153,1)&gt;EOMONTH(ELEGIBILIDADE!$E$5,0),"",EOMONTH(B153,1)))</f>
        <v>49429</v>
      </c>
      <c r="C154" s="22">
        <f ca="1">IF(B154="","",IF(MONTH(B154)=1,C153*(1+PREMISSAS!$C$58),C153))</f>
        <v>0</v>
      </c>
      <c r="D154" s="22">
        <f ca="1">IF(RESULTADOS!$C$17="Normal",IFERROR(MAX(C154-PREMISSAS!$C$14,0),0),IF(PREMISSAS!$H$117=0,0,MAX(10*PREMISSAS!$C$39,RESULTADOS!$F$17)))</f>
        <v>0</v>
      </c>
      <c r="E154" s="4">
        <f ca="1">D154*IF(RESULTADOS!$C$17="Normal",RESULTADOS!$C$16,0)</f>
        <v>0</v>
      </c>
      <c r="F154" s="4">
        <f ca="1">IF(D154&lt;&gt;0,PREMISSAS!$N$83,0)</f>
        <v>0</v>
      </c>
      <c r="G154" s="4">
        <f ca="1">IFERROR(IF(RESULTADOS!$C$17="Normal",0,D154)*IF(RESULTADOS!$C$17="Normal",RESULTADOS!$C$18,RESULTADOS!$C$16),0)</f>
        <v>0</v>
      </c>
      <c r="H154" s="4">
        <f ca="1">IF(RESULTADOS!$C$17="Normal",E154,0)</f>
        <v>0</v>
      </c>
      <c r="I154" s="4">
        <f ca="1">(E154+H154+G154)*IFERROR(VLOOKUP(INT(COUNT($B$5:B154)/12),PREMISSAS!$B$62:$C$69,2,FALSE),PREMISSAS!$C$69)</f>
        <v>0</v>
      </c>
      <c r="J154" s="4">
        <f ca="1">D154*IF(RESULTADOS!$C$17="Normal",PREMISSAS!$C$71,0)</f>
        <v>0</v>
      </c>
      <c r="K154" s="87">
        <f ca="1">IFERROR(K153*(1+PREMISSAS!$C$19)+(E154+H154-IF(RESULTADOS!$C$17="Normal",I154,0)-J154)*IF(MONTH(B154)=12,2,1),0)</f>
        <v>0</v>
      </c>
      <c r="L154" s="87">
        <f ca="1">IFERROR((L153+G154-IF(RESULTADOS!$C$17="Normal",0,I154))*(1+PREMISSAS!$C$19)+F154,0)</f>
        <v>0</v>
      </c>
      <c r="N154" s="58">
        <f t="shared" ca="1" si="16"/>
        <v>0</v>
      </c>
      <c r="O154" s="223"/>
      <c r="P154" s="131">
        <f t="shared" ca="1" si="17"/>
        <v>49429</v>
      </c>
      <c r="Q154" s="111">
        <f ca="1">IF(C154="","",Q153+(E154+H154-IF(RESULTADOS!$C$17="Normal",I154,0)-J154)/2+(F154+G154-IF(RESULTADOS!$C$17="Normal",0,I154)))</f>
        <v>0</v>
      </c>
      <c r="R154" s="111">
        <f ca="1">IF(C154="","",R153+(E154+H154-IF(RESULTADOS!$C$17="Normal",I154,0)-J154)/2)</f>
        <v>0</v>
      </c>
      <c r="S154" s="111">
        <f t="shared" ca="1" si="20"/>
        <v>0</v>
      </c>
      <c r="U154" s="131" t="str">
        <f t="shared" ca="1" si="21"/>
        <v/>
      </c>
      <c r="V154" s="131" t="str">
        <f t="shared" ca="1" si="18"/>
        <v/>
      </c>
      <c r="W154" s="111">
        <f ca="1">IF(OR((W153-13/12*Z153)*(1+PREMISSAS!$C$17)&lt;0,W153=""),0,(W153-13/12*Z153)*(1+PREMISSAS!$C$17))</f>
        <v>0</v>
      </c>
      <c r="X154" s="111">
        <f ca="1">IF(OR((X153-13/12*AA153)*(1+PREMISSAS!$C$17)&lt;0,X153=""),0,(X153-13/12*AA153)*(1+PREMISSAS!$C$17))</f>
        <v>0</v>
      </c>
      <c r="Y154" s="111">
        <f t="shared" ca="1" si="19"/>
        <v>0</v>
      </c>
      <c r="Z154" s="134">
        <f t="shared" ca="1" si="22"/>
        <v>0</v>
      </c>
      <c r="AA154" s="134">
        <f t="shared" ca="1" si="23"/>
        <v>0</v>
      </c>
    </row>
    <row r="155" spans="2:27" x14ac:dyDescent="0.3">
      <c r="B155" s="21">
        <f ca="1">IF(B154="","",IF(EOMONTH(B154,1)&gt;EOMONTH(ELEGIBILIDADE!$E$5,0),"",EOMONTH(B154,1)))</f>
        <v>49460</v>
      </c>
      <c r="C155" s="22">
        <f ca="1">IF(B155="","",IF(MONTH(B155)=1,C154*(1+PREMISSAS!$C$58),C154))</f>
        <v>0</v>
      </c>
      <c r="D155" s="22">
        <f ca="1">IF(RESULTADOS!$C$17="Normal",IFERROR(MAX(C155-PREMISSAS!$C$14,0),0),IF(PREMISSAS!$H$117=0,0,MAX(10*PREMISSAS!$C$39,RESULTADOS!$F$17)))</f>
        <v>0</v>
      </c>
      <c r="E155" s="4">
        <f ca="1">D155*IF(RESULTADOS!$C$17="Normal",RESULTADOS!$C$16,0)</f>
        <v>0</v>
      </c>
      <c r="F155" s="4">
        <f ca="1">IF(D155&lt;&gt;0,PREMISSAS!$N$83,0)</f>
        <v>0</v>
      </c>
      <c r="G155" s="4">
        <f ca="1">IFERROR(IF(RESULTADOS!$C$17="Normal",0,D155)*IF(RESULTADOS!$C$17="Normal",RESULTADOS!$C$18,RESULTADOS!$C$16),0)</f>
        <v>0</v>
      </c>
      <c r="H155" s="4">
        <f ca="1">IF(RESULTADOS!$C$17="Normal",E155,0)</f>
        <v>0</v>
      </c>
      <c r="I155" s="4">
        <f ca="1">(E155+H155+G155)*IFERROR(VLOOKUP(INT(COUNT($B$5:B155)/12),PREMISSAS!$B$62:$C$69,2,FALSE),PREMISSAS!$C$69)</f>
        <v>0</v>
      </c>
      <c r="J155" s="4">
        <f ca="1">D155*IF(RESULTADOS!$C$17="Normal",PREMISSAS!$C$71,0)</f>
        <v>0</v>
      </c>
      <c r="K155" s="87">
        <f ca="1">IFERROR(K154*(1+PREMISSAS!$C$19)+(E155+H155-IF(RESULTADOS!$C$17="Normal",I155,0)-J155)*IF(MONTH(B155)=12,2,1),0)</f>
        <v>0</v>
      </c>
      <c r="L155" s="87">
        <f ca="1">IFERROR((L154+G155-IF(RESULTADOS!$C$17="Normal",0,I155))*(1+PREMISSAS!$C$19)+F155,0)</f>
        <v>0</v>
      </c>
      <c r="N155" s="58">
        <f t="shared" ca="1" si="16"/>
        <v>0</v>
      </c>
      <c r="O155" s="223"/>
      <c r="P155" s="131">
        <f t="shared" ca="1" si="17"/>
        <v>49460</v>
      </c>
      <c r="Q155" s="111">
        <f ca="1">IF(C155="","",Q154+(E155+H155-IF(RESULTADOS!$C$17="Normal",I155,0)-J155)/2+(F155+G155-IF(RESULTADOS!$C$17="Normal",0,I155)))</f>
        <v>0</v>
      </c>
      <c r="R155" s="111">
        <f ca="1">IF(C155="","",R154+(E155+H155-IF(RESULTADOS!$C$17="Normal",I155,0)-J155)/2)</f>
        <v>0</v>
      </c>
      <c r="S155" s="111">
        <f t="shared" ca="1" si="20"/>
        <v>0</v>
      </c>
      <c r="U155" s="131" t="str">
        <f t="shared" ca="1" si="21"/>
        <v/>
      </c>
      <c r="V155" s="131" t="str">
        <f t="shared" ca="1" si="18"/>
        <v/>
      </c>
      <c r="W155" s="111">
        <f ca="1">IF(OR((W154-13/12*Z154)*(1+PREMISSAS!$C$17)&lt;0,W154=""),0,(W154-13/12*Z154)*(1+PREMISSAS!$C$17))</f>
        <v>0</v>
      </c>
      <c r="X155" s="111">
        <f ca="1">IF(OR((X154-13/12*AA154)*(1+PREMISSAS!$C$17)&lt;0,X154=""),0,(X154-13/12*AA154)*(1+PREMISSAS!$C$17))</f>
        <v>0</v>
      </c>
      <c r="Y155" s="111">
        <f t="shared" ca="1" si="19"/>
        <v>0</v>
      </c>
      <c r="Z155" s="134">
        <f t="shared" ca="1" si="22"/>
        <v>0</v>
      </c>
      <c r="AA155" s="134">
        <f t="shared" ca="1" si="23"/>
        <v>0</v>
      </c>
    </row>
    <row r="156" spans="2:27" x14ac:dyDescent="0.3">
      <c r="B156" s="21">
        <f ca="1">IF(B155="","",IF(EOMONTH(B155,1)&gt;EOMONTH(ELEGIBILIDADE!$E$5,0),"",EOMONTH(B155,1)))</f>
        <v>49490</v>
      </c>
      <c r="C156" s="22">
        <f ca="1">IF(B156="","",IF(MONTH(B156)=1,C155*(1+PREMISSAS!$C$58),C155))</f>
        <v>0</v>
      </c>
      <c r="D156" s="22">
        <f ca="1">IF(RESULTADOS!$C$17="Normal",IFERROR(MAX(C156-PREMISSAS!$C$14,0),0),IF(PREMISSAS!$H$117=0,0,MAX(10*PREMISSAS!$C$39,RESULTADOS!$F$17)))</f>
        <v>0</v>
      </c>
      <c r="E156" s="4">
        <f ca="1">D156*IF(RESULTADOS!$C$17="Normal",RESULTADOS!$C$16,0)</f>
        <v>0</v>
      </c>
      <c r="F156" s="4">
        <f ca="1">IF(D156&lt;&gt;0,PREMISSAS!$N$83,0)</f>
        <v>0</v>
      </c>
      <c r="G156" s="4">
        <f ca="1">IFERROR(IF(RESULTADOS!$C$17="Normal",0,D156)*IF(RESULTADOS!$C$17="Normal",RESULTADOS!$C$18,RESULTADOS!$C$16),0)</f>
        <v>0</v>
      </c>
      <c r="H156" s="4">
        <f ca="1">IF(RESULTADOS!$C$17="Normal",E156,0)</f>
        <v>0</v>
      </c>
      <c r="I156" s="4">
        <f ca="1">(E156+H156+G156)*IFERROR(VLOOKUP(INT(COUNT($B$5:B156)/12),PREMISSAS!$B$62:$C$69,2,FALSE),PREMISSAS!$C$69)</f>
        <v>0</v>
      </c>
      <c r="J156" s="4">
        <f ca="1">D156*IF(RESULTADOS!$C$17="Normal",PREMISSAS!$C$71,0)</f>
        <v>0</v>
      </c>
      <c r="K156" s="87">
        <f ca="1">IFERROR(K155*(1+PREMISSAS!$C$19)+(E156+H156-IF(RESULTADOS!$C$17="Normal",I156,0)-J156)*IF(MONTH(B156)=12,2,1),0)</f>
        <v>0</v>
      </c>
      <c r="L156" s="87">
        <f ca="1">IFERROR((L155+G156-IF(RESULTADOS!$C$17="Normal",0,I156))*(1+PREMISSAS!$C$19)+F156,0)</f>
        <v>0</v>
      </c>
      <c r="N156" s="58">
        <f t="shared" ca="1" si="16"/>
        <v>0</v>
      </c>
      <c r="O156" s="223"/>
      <c r="P156" s="131">
        <f t="shared" ca="1" si="17"/>
        <v>49490</v>
      </c>
      <c r="Q156" s="111">
        <f ca="1">IF(C156="","",Q155+(E156+H156-IF(RESULTADOS!$C$17="Normal",I156,0)-J156)/2+(F156+G156-IF(RESULTADOS!$C$17="Normal",0,I156)))</f>
        <v>0</v>
      </c>
      <c r="R156" s="111">
        <f ca="1">IF(C156="","",R155+(E156+H156-IF(RESULTADOS!$C$17="Normal",I156,0)-J156)/2)</f>
        <v>0</v>
      </c>
      <c r="S156" s="111">
        <f t="shared" ca="1" si="20"/>
        <v>0</v>
      </c>
      <c r="U156" s="131" t="str">
        <f t="shared" ca="1" si="21"/>
        <v/>
      </c>
      <c r="V156" s="131" t="str">
        <f t="shared" ca="1" si="18"/>
        <v/>
      </c>
      <c r="W156" s="111">
        <f ca="1">IF(OR((W155-13/12*Z155)*(1+PREMISSAS!$C$17)&lt;0,W155=""),0,(W155-13/12*Z155)*(1+PREMISSAS!$C$17))</f>
        <v>0</v>
      </c>
      <c r="X156" s="111">
        <f ca="1">IF(OR((X155-13/12*AA155)*(1+PREMISSAS!$C$17)&lt;0,X155=""),0,(X155-13/12*AA155)*(1+PREMISSAS!$C$17))</f>
        <v>0</v>
      </c>
      <c r="Y156" s="111">
        <f t="shared" ca="1" si="19"/>
        <v>0</v>
      </c>
      <c r="Z156" s="134">
        <f t="shared" ca="1" si="22"/>
        <v>0</v>
      </c>
      <c r="AA156" s="134">
        <f t="shared" ca="1" si="23"/>
        <v>0</v>
      </c>
    </row>
    <row r="157" spans="2:27" x14ac:dyDescent="0.3">
      <c r="B157" s="21">
        <f ca="1">IF(B156="","",IF(EOMONTH(B156,1)&gt;EOMONTH(ELEGIBILIDADE!$E$5,0),"",EOMONTH(B156,1)))</f>
        <v>49521</v>
      </c>
      <c r="C157" s="22">
        <f ca="1">IF(B157="","",IF(MONTH(B157)=1,C156*(1+PREMISSAS!$C$58),C156))</f>
        <v>0</v>
      </c>
      <c r="D157" s="22">
        <f ca="1">IF(RESULTADOS!$C$17="Normal",IFERROR(MAX(C157-PREMISSAS!$C$14,0),0),IF(PREMISSAS!$H$117=0,0,MAX(10*PREMISSAS!$C$39,RESULTADOS!$F$17)))</f>
        <v>0</v>
      </c>
      <c r="E157" s="4">
        <f ca="1">D157*IF(RESULTADOS!$C$17="Normal",RESULTADOS!$C$16,0)</f>
        <v>0</v>
      </c>
      <c r="F157" s="4">
        <f ca="1">IF(D157&lt;&gt;0,PREMISSAS!$N$83,0)</f>
        <v>0</v>
      </c>
      <c r="G157" s="4">
        <f ca="1">IFERROR(IF(RESULTADOS!$C$17="Normal",0,D157)*IF(RESULTADOS!$C$17="Normal",RESULTADOS!$C$18,RESULTADOS!$C$16),0)</f>
        <v>0</v>
      </c>
      <c r="H157" s="4">
        <f ca="1">IF(RESULTADOS!$C$17="Normal",E157,0)</f>
        <v>0</v>
      </c>
      <c r="I157" s="4">
        <f ca="1">(E157+H157+G157)*IFERROR(VLOOKUP(INT(COUNT($B$5:B157)/12),PREMISSAS!$B$62:$C$69,2,FALSE),PREMISSAS!$C$69)</f>
        <v>0</v>
      </c>
      <c r="J157" s="4">
        <f ca="1">D157*IF(RESULTADOS!$C$17="Normal",PREMISSAS!$C$71,0)</f>
        <v>0</v>
      </c>
      <c r="K157" s="87">
        <f ca="1">IFERROR(K156*(1+PREMISSAS!$C$19)+(E157+H157-IF(RESULTADOS!$C$17="Normal",I157,0)-J157)*IF(MONTH(B157)=12,2,1),0)</f>
        <v>0</v>
      </c>
      <c r="L157" s="87">
        <f ca="1">IFERROR((L156+G157-IF(RESULTADOS!$C$17="Normal",0,I157))*(1+PREMISSAS!$C$19)+F157,0)</f>
        <v>0</v>
      </c>
      <c r="N157" s="58">
        <f t="shared" ca="1" si="16"/>
        <v>0</v>
      </c>
      <c r="O157" s="223"/>
      <c r="P157" s="131">
        <f t="shared" ca="1" si="17"/>
        <v>49521</v>
      </c>
      <c r="Q157" s="111">
        <f ca="1">IF(C157="","",Q156+(E157+H157-IF(RESULTADOS!$C$17="Normal",I157,0)-J157)/2+(F157+G157-IF(RESULTADOS!$C$17="Normal",0,I157)))</f>
        <v>0</v>
      </c>
      <c r="R157" s="111">
        <f ca="1">IF(C157="","",R156+(E157+H157-IF(RESULTADOS!$C$17="Normal",I157,0)-J157)/2)</f>
        <v>0</v>
      </c>
      <c r="S157" s="111">
        <f t="shared" ca="1" si="20"/>
        <v>0</v>
      </c>
      <c r="U157" s="131" t="str">
        <f t="shared" ca="1" si="21"/>
        <v/>
      </c>
      <c r="V157" s="131" t="str">
        <f t="shared" ca="1" si="18"/>
        <v/>
      </c>
      <c r="W157" s="111">
        <f ca="1">IF(OR((W156-13/12*Z156)*(1+PREMISSAS!$C$17)&lt;0,W156=""),0,(W156-13/12*Z156)*(1+PREMISSAS!$C$17))</f>
        <v>0</v>
      </c>
      <c r="X157" s="111">
        <f ca="1">IF(OR((X156-13/12*AA156)*(1+PREMISSAS!$C$17)&lt;0,X156=""),0,(X156-13/12*AA156)*(1+PREMISSAS!$C$17))</f>
        <v>0</v>
      </c>
      <c r="Y157" s="111">
        <f t="shared" ca="1" si="19"/>
        <v>0</v>
      </c>
      <c r="Z157" s="134">
        <f t="shared" ca="1" si="22"/>
        <v>0</v>
      </c>
      <c r="AA157" s="134">
        <f t="shared" ca="1" si="23"/>
        <v>0</v>
      </c>
    </row>
    <row r="158" spans="2:27" x14ac:dyDescent="0.3">
      <c r="B158" s="21">
        <f ca="1">IF(B157="","",IF(EOMONTH(B157,1)&gt;EOMONTH(ELEGIBILIDADE!$E$5,0),"",EOMONTH(B157,1)))</f>
        <v>49552</v>
      </c>
      <c r="C158" s="22">
        <f ca="1">IF(B158="","",IF(MONTH(B158)=1,C157*(1+PREMISSAS!$C$58),C157))</f>
        <v>0</v>
      </c>
      <c r="D158" s="22">
        <f ca="1">IF(RESULTADOS!$C$17="Normal",IFERROR(MAX(C158-PREMISSAS!$C$14,0),0),IF(PREMISSAS!$H$117=0,0,MAX(10*PREMISSAS!$C$39,RESULTADOS!$F$17)))</f>
        <v>0</v>
      </c>
      <c r="E158" s="4">
        <f ca="1">D158*IF(RESULTADOS!$C$17="Normal",RESULTADOS!$C$16,0)</f>
        <v>0</v>
      </c>
      <c r="F158" s="4">
        <f ca="1">IF(D158&lt;&gt;0,PREMISSAS!$N$83,0)</f>
        <v>0</v>
      </c>
      <c r="G158" s="4">
        <f ca="1">IFERROR(IF(RESULTADOS!$C$17="Normal",0,D158)*IF(RESULTADOS!$C$17="Normal",RESULTADOS!$C$18,RESULTADOS!$C$16),0)</f>
        <v>0</v>
      </c>
      <c r="H158" s="4">
        <f ca="1">IF(RESULTADOS!$C$17="Normal",E158,0)</f>
        <v>0</v>
      </c>
      <c r="I158" s="4">
        <f ca="1">(E158+H158+G158)*IFERROR(VLOOKUP(INT(COUNT($B$5:B158)/12),PREMISSAS!$B$62:$C$69,2,FALSE),PREMISSAS!$C$69)</f>
        <v>0</v>
      </c>
      <c r="J158" s="4">
        <f ca="1">D158*IF(RESULTADOS!$C$17="Normal",PREMISSAS!$C$71,0)</f>
        <v>0</v>
      </c>
      <c r="K158" s="87">
        <f ca="1">IFERROR(K157*(1+PREMISSAS!$C$19)+(E158+H158-IF(RESULTADOS!$C$17="Normal",I158,0)-J158)*IF(MONTH(B158)=12,2,1),0)</f>
        <v>0</v>
      </c>
      <c r="L158" s="87">
        <f ca="1">IFERROR((L157+G158-IF(RESULTADOS!$C$17="Normal",0,I158))*(1+PREMISSAS!$C$19)+F158,0)</f>
        <v>0</v>
      </c>
      <c r="N158" s="58">
        <f t="shared" ca="1" si="16"/>
        <v>0</v>
      </c>
      <c r="O158" s="223"/>
      <c r="P158" s="131">
        <f t="shared" ca="1" si="17"/>
        <v>49552</v>
      </c>
      <c r="Q158" s="111">
        <f ca="1">IF(C158="","",Q157+(E158+H158-IF(RESULTADOS!$C$17="Normal",I158,0)-J158)/2+(F158+G158-IF(RESULTADOS!$C$17="Normal",0,I158)))</f>
        <v>0</v>
      </c>
      <c r="R158" s="111">
        <f ca="1">IF(C158="","",R157+(E158+H158-IF(RESULTADOS!$C$17="Normal",I158,0)-J158)/2)</f>
        <v>0</v>
      </c>
      <c r="S158" s="111">
        <f t="shared" ca="1" si="20"/>
        <v>0</v>
      </c>
      <c r="U158" s="131" t="str">
        <f t="shared" ca="1" si="21"/>
        <v/>
      </c>
      <c r="V158" s="131" t="str">
        <f t="shared" ca="1" si="18"/>
        <v/>
      </c>
      <c r="W158" s="111">
        <f ca="1">IF(OR((W157-13/12*Z157)*(1+PREMISSAS!$C$17)&lt;0,W157=""),0,(W157-13/12*Z157)*(1+PREMISSAS!$C$17))</f>
        <v>0</v>
      </c>
      <c r="X158" s="111">
        <f ca="1">IF(OR((X157-13/12*AA157)*(1+PREMISSAS!$C$17)&lt;0,X157=""),0,(X157-13/12*AA157)*(1+PREMISSAS!$C$17))</f>
        <v>0</v>
      </c>
      <c r="Y158" s="111">
        <f t="shared" ca="1" si="19"/>
        <v>0</v>
      </c>
      <c r="Z158" s="134">
        <f t="shared" ca="1" si="22"/>
        <v>0</v>
      </c>
      <c r="AA158" s="134">
        <f t="shared" ca="1" si="23"/>
        <v>0</v>
      </c>
    </row>
    <row r="159" spans="2:27" x14ac:dyDescent="0.3">
      <c r="B159" s="21">
        <f ca="1">IF(B158="","",IF(EOMONTH(B158,1)&gt;EOMONTH(ELEGIBILIDADE!$E$5,0),"",EOMONTH(B158,1)))</f>
        <v>49582</v>
      </c>
      <c r="C159" s="22">
        <f ca="1">IF(B159="","",IF(MONTH(B159)=1,C158*(1+PREMISSAS!$C$58),C158))</f>
        <v>0</v>
      </c>
      <c r="D159" s="22">
        <f ca="1">IF(RESULTADOS!$C$17="Normal",IFERROR(MAX(C159-PREMISSAS!$C$14,0),0),IF(PREMISSAS!$H$117=0,0,MAX(10*PREMISSAS!$C$39,RESULTADOS!$F$17)))</f>
        <v>0</v>
      </c>
      <c r="E159" s="4">
        <f ca="1">D159*IF(RESULTADOS!$C$17="Normal",RESULTADOS!$C$16,0)</f>
        <v>0</v>
      </c>
      <c r="F159" s="4">
        <f ca="1">IF(D159&lt;&gt;0,PREMISSAS!$N$83,0)</f>
        <v>0</v>
      </c>
      <c r="G159" s="4">
        <f ca="1">IFERROR(IF(RESULTADOS!$C$17="Normal",0,D159)*IF(RESULTADOS!$C$17="Normal",RESULTADOS!$C$18,RESULTADOS!$C$16),0)</f>
        <v>0</v>
      </c>
      <c r="H159" s="4">
        <f ca="1">IF(RESULTADOS!$C$17="Normal",E159,0)</f>
        <v>0</v>
      </c>
      <c r="I159" s="4">
        <f ca="1">(E159+H159+G159)*IFERROR(VLOOKUP(INT(COUNT($B$5:B159)/12),PREMISSAS!$B$62:$C$69,2,FALSE),PREMISSAS!$C$69)</f>
        <v>0</v>
      </c>
      <c r="J159" s="4">
        <f ca="1">D159*IF(RESULTADOS!$C$17="Normal",PREMISSAS!$C$71,0)</f>
        <v>0</v>
      </c>
      <c r="K159" s="87">
        <f ca="1">IFERROR(K158*(1+PREMISSAS!$C$19)+(E159+H159-IF(RESULTADOS!$C$17="Normal",I159,0)-J159)*IF(MONTH(B159)=12,2,1),0)</f>
        <v>0</v>
      </c>
      <c r="L159" s="87">
        <f ca="1">IFERROR((L158+G159-IF(RESULTADOS!$C$17="Normal",0,I159))*(1+PREMISSAS!$C$19)+F159,0)</f>
        <v>0</v>
      </c>
      <c r="N159" s="58">
        <f t="shared" ca="1" si="16"/>
        <v>0</v>
      </c>
      <c r="O159" s="223"/>
      <c r="P159" s="131">
        <f t="shared" ca="1" si="17"/>
        <v>49582</v>
      </c>
      <c r="Q159" s="111">
        <f ca="1">IF(C159="","",Q158+(E159+H159-IF(RESULTADOS!$C$17="Normal",I159,0)-J159)/2+(F159+G159-IF(RESULTADOS!$C$17="Normal",0,I159)))</f>
        <v>0</v>
      </c>
      <c r="R159" s="111">
        <f ca="1">IF(C159="","",R158+(E159+H159-IF(RESULTADOS!$C$17="Normal",I159,0)-J159)/2)</f>
        <v>0</v>
      </c>
      <c r="S159" s="111">
        <f t="shared" ca="1" si="20"/>
        <v>0</v>
      </c>
      <c r="U159" s="131" t="str">
        <f t="shared" ca="1" si="21"/>
        <v/>
      </c>
      <c r="V159" s="131" t="str">
        <f t="shared" ca="1" si="18"/>
        <v/>
      </c>
      <c r="W159" s="111">
        <f ca="1">IF(OR((W158-13/12*Z158)*(1+PREMISSAS!$C$17)&lt;0,W158=""),0,(W158-13/12*Z158)*(1+PREMISSAS!$C$17))</f>
        <v>0</v>
      </c>
      <c r="X159" s="111">
        <f ca="1">IF(OR((X158-13/12*AA158)*(1+PREMISSAS!$C$17)&lt;0,X158=""),0,(X158-13/12*AA158)*(1+PREMISSAS!$C$17))</f>
        <v>0</v>
      </c>
      <c r="Y159" s="111">
        <f t="shared" ca="1" si="19"/>
        <v>0</v>
      </c>
      <c r="Z159" s="134">
        <f t="shared" ca="1" si="22"/>
        <v>0</v>
      </c>
      <c r="AA159" s="134">
        <f t="shared" ca="1" si="23"/>
        <v>0</v>
      </c>
    </row>
    <row r="160" spans="2:27" x14ac:dyDescent="0.3">
      <c r="B160" s="21">
        <f ca="1">IF(B159="","",IF(EOMONTH(B159,1)&gt;EOMONTH(ELEGIBILIDADE!$E$5,0),"",EOMONTH(B159,1)))</f>
        <v>49613</v>
      </c>
      <c r="C160" s="22">
        <f ca="1">IF(B160="","",IF(MONTH(B160)=1,C159*(1+PREMISSAS!$C$58),C159))</f>
        <v>0</v>
      </c>
      <c r="D160" s="22">
        <f ca="1">IF(RESULTADOS!$C$17="Normal",IFERROR(MAX(C160-PREMISSAS!$C$14,0),0),IF(PREMISSAS!$H$117=0,0,MAX(10*PREMISSAS!$C$39,RESULTADOS!$F$17)))</f>
        <v>0</v>
      </c>
      <c r="E160" s="4">
        <f ca="1">D160*IF(RESULTADOS!$C$17="Normal",RESULTADOS!$C$16,0)</f>
        <v>0</v>
      </c>
      <c r="F160" s="4">
        <f ca="1">IF(D160&lt;&gt;0,PREMISSAS!$N$83,0)</f>
        <v>0</v>
      </c>
      <c r="G160" s="4">
        <f ca="1">IFERROR(IF(RESULTADOS!$C$17="Normal",0,D160)*IF(RESULTADOS!$C$17="Normal",RESULTADOS!$C$18,RESULTADOS!$C$16),0)</f>
        <v>0</v>
      </c>
      <c r="H160" s="4">
        <f ca="1">IF(RESULTADOS!$C$17="Normal",E160,0)</f>
        <v>0</v>
      </c>
      <c r="I160" s="4">
        <f ca="1">(E160+H160+G160)*IFERROR(VLOOKUP(INT(COUNT($B$5:B160)/12),PREMISSAS!$B$62:$C$69,2,FALSE),PREMISSAS!$C$69)</f>
        <v>0</v>
      </c>
      <c r="J160" s="4">
        <f ca="1">D160*IF(RESULTADOS!$C$17="Normal",PREMISSAS!$C$71,0)</f>
        <v>0</v>
      </c>
      <c r="K160" s="87">
        <f ca="1">IFERROR(K159*(1+PREMISSAS!$C$19)+(E160+H160-IF(RESULTADOS!$C$17="Normal",I160,0)-J160)*IF(MONTH(B160)=12,2,1),0)</f>
        <v>0</v>
      </c>
      <c r="L160" s="87">
        <f ca="1">IFERROR((L159+G160-IF(RESULTADOS!$C$17="Normal",0,I160))*(1+PREMISSAS!$C$19)+F160,0)</f>
        <v>0</v>
      </c>
      <c r="N160" s="58">
        <f t="shared" ca="1" si="16"/>
        <v>0</v>
      </c>
      <c r="O160" s="223"/>
      <c r="P160" s="131">
        <f t="shared" ca="1" si="17"/>
        <v>49613</v>
      </c>
      <c r="Q160" s="111">
        <f ca="1">IF(C160="","",Q159+(E160+H160-IF(RESULTADOS!$C$17="Normal",I160,0)-J160)/2+(F160+G160-IF(RESULTADOS!$C$17="Normal",0,I160)))</f>
        <v>0</v>
      </c>
      <c r="R160" s="111">
        <f ca="1">IF(C160="","",R159+(E160+H160-IF(RESULTADOS!$C$17="Normal",I160,0)-J160)/2)</f>
        <v>0</v>
      </c>
      <c r="S160" s="111">
        <f t="shared" ca="1" si="20"/>
        <v>0</v>
      </c>
      <c r="U160" s="131" t="str">
        <f t="shared" ca="1" si="21"/>
        <v/>
      </c>
      <c r="V160" s="131" t="str">
        <f t="shared" ca="1" si="18"/>
        <v/>
      </c>
      <c r="W160" s="111">
        <f ca="1">IF(OR((W159-13/12*Z159)*(1+PREMISSAS!$C$17)&lt;0,W159=""),0,(W159-13/12*Z159)*(1+PREMISSAS!$C$17))</f>
        <v>0</v>
      </c>
      <c r="X160" s="111">
        <f ca="1">IF(OR((X159-13/12*AA159)*(1+PREMISSAS!$C$17)&lt;0,X159=""),0,(X159-13/12*AA159)*(1+PREMISSAS!$C$17))</f>
        <v>0</v>
      </c>
      <c r="Y160" s="111">
        <f t="shared" ca="1" si="19"/>
        <v>0</v>
      </c>
      <c r="Z160" s="134">
        <f t="shared" ca="1" si="22"/>
        <v>0</v>
      </c>
      <c r="AA160" s="134">
        <f t="shared" ca="1" si="23"/>
        <v>0</v>
      </c>
    </row>
    <row r="161" spans="2:27" x14ac:dyDescent="0.3">
      <c r="B161" s="21">
        <f ca="1">IF(B160="","",IF(EOMONTH(B160,1)&gt;EOMONTH(ELEGIBILIDADE!$E$5,0),"",EOMONTH(B160,1)))</f>
        <v>49643</v>
      </c>
      <c r="C161" s="22">
        <f ca="1">IF(B161="","",IF(MONTH(B161)=1,C160*(1+PREMISSAS!$C$58),C160))</f>
        <v>0</v>
      </c>
      <c r="D161" s="22">
        <f ca="1">IF(RESULTADOS!$C$17="Normal",IFERROR(MAX(C161-PREMISSAS!$C$14,0),0),IF(PREMISSAS!$H$117=0,0,MAX(10*PREMISSAS!$C$39,RESULTADOS!$F$17)))</f>
        <v>0</v>
      </c>
      <c r="E161" s="4">
        <f ca="1">D161*IF(RESULTADOS!$C$17="Normal",RESULTADOS!$C$16,0)</f>
        <v>0</v>
      </c>
      <c r="F161" s="4">
        <f ca="1">IF(D161&lt;&gt;0,PREMISSAS!$N$83,0)</f>
        <v>0</v>
      </c>
      <c r="G161" s="4">
        <f ca="1">IFERROR(IF(RESULTADOS!$C$17="Normal",0,D161)*IF(RESULTADOS!$C$17="Normal",RESULTADOS!$C$18,RESULTADOS!$C$16),0)</f>
        <v>0</v>
      </c>
      <c r="H161" s="4">
        <f ca="1">IF(RESULTADOS!$C$17="Normal",E161,0)</f>
        <v>0</v>
      </c>
      <c r="I161" s="4">
        <f ca="1">(E161+H161+G161)*IFERROR(VLOOKUP(INT(COUNT($B$5:B161)/12),PREMISSAS!$B$62:$C$69,2,FALSE),PREMISSAS!$C$69)</f>
        <v>0</v>
      </c>
      <c r="J161" s="4">
        <f ca="1">D161*IF(RESULTADOS!$C$17="Normal",PREMISSAS!$C$71,0)</f>
        <v>0</v>
      </c>
      <c r="K161" s="87">
        <f ca="1">IFERROR(K160*(1+PREMISSAS!$C$19)+(E161+H161-IF(RESULTADOS!$C$17="Normal",I161,0)-J161)*IF(MONTH(B161)=12,2,1),0)</f>
        <v>0</v>
      </c>
      <c r="L161" s="87">
        <f ca="1">IFERROR((L160+G161-IF(RESULTADOS!$C$17="Normal",0,I161))*(1+PREMISSAS!$C$19)+F161,0)</f>
        <v>0</v>
      </c>
      <c r="N161" s="58">
        <f t="shared" ca="1" si="16"/>
        <v>0</v>
      </c>
      <c r="O161" s="223"/>
      <c r="P161" s="131">
        <f t="shared" ca="1" si="17"/>
        <v>49643</v>
      </c>
      <c r="Q161" s="111">
        <f ca="1">IF(C161="","",Q160+(E161+H161-IF(RESULTADOS!$C$17="Normal",I161,0)-J161)/2+(F161+G161-IF(RESULTADOS!$C$17="Normal",0,I161)))</f>
        <v>0</v>
      </c>
      <c r="R161" s="111">
        <f ca="1">IF(C161="","",R160+(E161+H161-IF(RESULTADOS!$C$17="Normal",I161,0)-J161)/2)</f>
        <v>0</v>
      </c>
      <c r="S161" s="111">
        <f t="shared" ca="1" si="20"/>
        <v>0</v>
      </c>
      <c r="U161" s="131" t="str">
        <f t="shared" ca="1" si="21"/>
        <v/>
      </c>
      <c r="V161" s="131" t="str">
        <f t="shared" ca="1" si="18"/>
        <v/>
      </c>
      <c r="W161" s="111">
        <f ca="1">IF(OR((W160-13/12*Z160)*(1+PREMISSAS!$C$17)&lt;0,W160=""),0,(W160-13/12*Z160)*(1+PREMISSAS!$C$17))</f>
        <v>0</v>
      </c>
      <c r="X161" s="111">
        <f ca="1">IF(OR((X160-13/12*AA160)*(1+PREMISSAS!$C$17)&lt;0,X160=""),0,(X160-13/12*AA160)*(1+PREMISSAS!$C$17))</f>
        <v>0</v>
      </c>
      <c r="Y161" s="111">
        <f t="shared" ca="1" si="19"/>
        <v>0</v>
      </c>
      <c r="Z161" s="134">
        <f t="shared" ca="1" si="22"/>
        <v>0</v>
      </c>
      <c r="AA161" s="134">
        <f t="shared" ca="1" si="23"/>
        <v>0</v>
      </c>
    </row>
    <row r="162" spans="2:27" x14ac:dyDescent="0.3">
      <c r="B162" s="21">
        <f ca="1">IF(B161="","",IF(EOMONTH(B161,1)&gt;EOMONTH(ELEGIBILIDADE!$E$5,0),"",EOMONTH(B161,1)))</f>
        <v>49674</v>
      </c>
      <c r="C162" s="22">
        <f ca="1">IF(B162="","",IF(MONTH(B162)=1,C161*(1+PREMISSAS!$C$58),C161))</f>
        <v>0</v>
      </c>
      <c r="D162" s="22">
        <f ca="1">IF(RESULTADOS!$C$17="Normal",IFERROR(MAX(C162-PREMISSAS!$C$14,0),0),IF(PREMISSAS!$H$117=0,0,MAX(10*PREMISSAS!$C$39,RESULTADOS!$F$17)))</f>
        <v>0</v>
      </c>
      <c r="E162" s="4">
        <f ca="1">D162*IF(RESULTADOS!$C$17="Normal",RESULTADOS!$C$16,0)</f>
        <v>0</v>
      </c>
      <c r="F162" s="4">
        <f ca="1">IF(D162&lt;&gt;0,PREMISSAS!$N$83,0)</f>
        <v>0</v>
      </c>
      <c r="G162" s="4">
        <f ca="1">IFERROR(IF(RESULTADOS!$C$17="Normal",0,D162)*IF(RESULTADOS!$C$17="Normal",RESULTADOS!$C$18,RESULTADOS!$C$16),0)</f>
        <v>0</v>
      </c>
      <c r="H162" s="4">
        <f ca="1">IF(RESULTADOS!$C$17="Normal",E162,0)</f>
        <v>0</v>
      </c>
      <c r="I162" s="4">
        <f ca="1">(E162+H162+G162)*IFERROR(VLOOKUP(INT(COUNT($B$5:B162)/12),PREMISSAS!$B$62:$C$69,2,FALSE),PREMISSAS!$C$69)</f>
        <v>0</v>
      </c>
      <c r="J162" s="4">
        <f ca="1">D162*IF(RESULTADOS!$C$17="Normal",PREMISSAS!$C$71,0)</f>
        <v>0</v>
      </c>
      <c r="K162" s="87">
        <f ca="1">IFERROR(K161*(1+PREMISSAS!$C$19)+(E162+H162-IF(RESULTADOS!$C$17="Normal",I162,0)-J162)*IF(MONTH(B162)=12,2,1),0)</f>
        <v>0</v>
      </c>
      <c r="L162" s="87">
        <f ca="1">IFERROR((L161+G162-IF(RESULTADOS!$C$17="Normal",0,I162))*(1+PREMISSAS!$C$19)+F162,0)</f>
        <v>0</v>
      </c>
      <c r="N162" s="58">
        <f t="shared" ca="1" si="16"/>
        <v>0</v>
      </c>
      <c r="O162" s="223"/>
      <c r="P162" s="131">
        <f t="shared" ca="1" si="17"/>
        <v>49674</v>
      </c>
      <c r="Q162" s="111">
        <f ca="1">IF(C162="","",Q161+(E162+H162-IF(RESULTADOS!$C$17="Normal",I162,0)-J162)/2+(F162+G162-IF(RESULTADOS!$C$17="Normal",0,I162)))</f>
        <v>0</v>
      </c>
      <c r="R162" s="111">
        <f ca="1">IF(C162="","",R161+(E162+H162-IF(RESULTADOS!$C$17="Normal",I162,0)-J162)/2)</f>
        <v>0</v>
      </c>
      <c r="S162" s="111">
        <f t="shared" ca="1" si="20"/>
        <v>0</v>
      </c>
      <c r="U162" s="131" t="str">
        <f t="shared" ca="1" si="21"/>
        <v/>
      </c>
      <c r="V162" s="131" t="str">
        <f t="shared" ca="1" si="18"/>
        <v/>
      </c>
      <c r="W162" s="111">
        <f ca="1">IF(OR((W161-13/12*Z161)*(1+PREMISSAS!$C$17)&lt;0,W161=""),0,(W161-13/12*Z161)*(1+PREMISSAS!$C$17))</f>
        <v>0</v>
      </c>
      <c r="X162" s="111">
        <f ca="1">IF(OR((X161-13/12*AA161)*(1+PREMISSAS!$C$17)&lt;0,X161=""),0,(X161-13/12*AA161)*(1+PREMISSAS!$C$17))</f>
        <v>0</v>
      </c>
      <c r="Y162" s="111">
        <f t="shared" ca="1" si="19"/>
        <v>0</v>
      </c>
      <c r="Z162" s="134">
        <f t="shared" ca="1" si="22"/>
        <v>0</v>
      </c>
      <c r="AA162" s="134">
        <f t="shared" ca="1" si="23"/>
        <v>0</v>
      </c>
    </row>
    <row r="163" spans="2:27" x14ac:dyDescent="0.3">
      <c r="B163" s="21">
        <f ca="1">IF(B162="","",IF(EOMONTH(B162,1)&gt;EOMONTH(ELEGIBILIDADE!$E$5,0),"",EOMONTH(B162,1)))</f>
        <v>49705</v>
      </c>
      <c r="C163" s="22">
        <f ca="1">IF(B163="","",IF(MONTH(B163)=1,C162*(1+PREMISSAS!$C$58),C162))</f>
        <v>0</v>
      </c>
      <c r="D163" s="22">
        <f ca="1">IF(RESULTADOS!$C$17="Normal",IFERROR(MAX(C163-PREMISSAS!$C$14,0),0),IF(PREMISSAS!$H$117=0,0,MAX(10*PREMISSAS!$C$39,RESULTADOS!$F$17)))</f>
        <v>0</v>
      </c>
      <c r="E163" s="4">
        <f ca="1">D163*IF(RESULTADOS!$C$17="Normal",RESULTADOS!$C$16,0)</f>
        <v>0</v>
      </c>
      <c r="F163" s="4">
        <f ca="1">IF(D163&lt;&gt;0,PREMISSAS!$N$83,0)</f>
        <v>0</v>
      </c>
      <c r="G163" s="4">
        <f ca="1">IFERROR(IF(RESULTADOS!$C$17="Normal",0,D163)*IF(RESULTADOS!$C$17="Normal",RESULTADOS!$C$18,RESULTADOS!$C$16),0)</f>
        <v>0</v>
      </c>
      <c r="H163" s="4">
        <f ca="1">IF(RESULTADOS!$C$17="Normal",E163,0)</f>
        <v>0</v>
      </c>
      <c r="I163" s="4">
        <f ca="1">(E163+H163+G163)*IFERROR(VLOOKUP(INT(COUNT($B$5:B163)/12),PREMISSAS!$B$62:$C$69,2,FALSE),PREMISSAS!$C$69)</f>
        <v>0</v>
      </c>
      <c r="J163" s="4">
        <f ca="1">D163*IF(RESULTADOS!$C$17="Normal",PREMISSAS!$C$71,0)</f>
        <v>0</v>
      </c>
      <c r="K163" s="87">
        <f ca="1">IFERROR(K162*(1+PREMISSAS!$C$19)+(E163+H163-IF(RESULTADOS!$C$17="Normal",I163,0)-J163)*IF(MONTH(B163)=12,2,1),0)</f>
        <v>0</v>
      </c>
      <c r="L163" s="87">
        <f ca="1">IFERROR((L162+G163-IF(RESULTADOS!$C$17="Normal",0,I163))*(1+PREMISSAS!$C$19)+F163,0)</f>
        <v>0</v>
      </c>
      <c r="N163" s="58">
        <f t="shared" ca="1" si="16"/>
        <v>0</v>
      </c>
      <c r="O163" s="223"/>
      <c r="P163" s="131">
        <f t="shared" ca="1" si="17"/>
        <v>49705</v>
      </c>
      <c r="Q163" s="111">
        <f ca="1">IF(C163="","",Q162+(E163+H163-IF(RESULTADOS!$C$17="Normal",I163,0)-J163)/2+(F163+G163-IF(RESULTADOS!$C$17="Normal",0,I163)))</f>
        <v>0</v>
      </c>
      <c r="R163" s="111">
        <f ca="1">IF(C163="","",R162+(E163+H163-IF(RESULTADOS!$C$17="Normal",I163,0)-J163)/2)</f>
        <v>0</v>
      </c>
      <c r="S163" s="111">
        <f t="shared" ca="1" si="20"/>
        <v>0</v>
      </c>
      <c r="U163" s="131" t="str">
        <f t="shared" ca="1" si="21"/>
        <v/>
      </c>
      <c r="V163" s="131" t="str">
        <f t="shared" ca="1" si="18"/>
        <v/>
      </c>
      <c r="W163" s="111">
        <f ca="1">IF(OR((W162-13/12*Z162)*(1+PREMISSAS!$C$17)&lt;0,W162=""),0,(W162-13/12*Z162)*(1+PREMISSAS!$C$17))</f>
        <v>0</v>
      </c>
      <c r="X163" s="111">
        <f ca="1">IF(OR((X162-13/12*AA162)*(1+PREMISSAS!$C$17)&lt;0,X162=""),0,(X162-13/12*AA162)*(1+PREMISSAS!$C$17))</f>
        <v>0</v>
      </c>
      <c r="Y163" s="111">
        <f t="shared" ca="1" si="19"/>
        <v>0</v>
      </c>
      <c r="Z163" s="134">
        <f t="shared" ca="1" si="22"/>
        <v>0</v>
      </c>
      <c r="AA163" s="134">
        <f t="shared" ca="1" si="23"/>
        <v>0</v>
      </c>
    </row>
    <row r="164" spans="2:27" x14ac:dyDescent="0.3">
      <c r="B164" s="21">
        <f ca="1">IF(B163="","",IF(EOMONTH(B163,1)&gt;EOMONTH(ELEGIBILIDADE!$E$5,0),"",EOMONTH(B163,1)))</f>
        <v>49734</v>
      </c>
      <c r="C164" s="22">
        <f ca="1">IF(B164="","",IF(MONTH(B164)=1,C163*(1+PREMISSAS!$C$58),C163))</f>
        <v>0</v>
      </c>
      <c r="D164" s="22">
        <f ca="1">IF(RESULTADOS!$C$17="Normal",IFERROR(MAX(C164-PREMISSAS!$C$14,0),0),IF(PREMISSAS!$H$117=0,0,MAX(10*PREMISSAS!$C$39,RESULTADOS!$F$17)))</f>
        <v>0</v>
      </c>
      <c r="E164" s="4">
        <f ca="1">D164*IF(RESULTADOS!$C$17="Normal",RESULTADOS!$C$16,0)</f>
        <v>0</v>
      </c>
      <c r="F164" s="4">
        <f ca="1">IF(D164&lt;&gt;0,PREMISSAS!$N$83,0)</f>
        <v>0</v>
      </c>
      <c r="G164" s="4">
        <f ca="1">IFERROR(IF(RESULTADOS!$C$17="Normal",0,D164)*IF(RESULTADOS!$C$17="Normal",RESULTADOS!$C$18,RESULTADOS!$C$16),0)</f>
        <v>0</v>
      </c>
      <c r="H164" s="4">
        <f ca="1">IF(RESULTADOS!$C$17="Normal",E164,0)</f>
        <v>0</v>
      </c>
      <c r="I164" s="4">
        <f ca="1">(E164+H164+G164)*IFERROR(VLOOKUP(INT(COUNT($B$5:B164)/12),PREMISSAS!$B$62:$C$69,2,FALSE),PREMISSAS!$C$69)</f>
        <v>0</v>
      </c>
      <c r="J164" s="4">
        <f ca="1">D164*IF(RESULTADOS!$C$17="Normal",PREMISSAS!$C$71,0)</f>
        <v>0</v>
      </c>
      <c r="K164" s="87">
        <f ca="1">IFERROR(K163*(1+PREMISSAS!$C$19)+(E164+H164-IF(RESULTADOS!$C$17="Normal",I164,0)-J164)*IF(MONTH(B164)=12,2,1),0)</f>
        <v>0</v>
      </c>
      <c r="L164" s="87">
        <f ca="1">IFERROR((L163+G164-IF(RESULTADOS!$C$17="Normal",0,I164))*(1+PREMISSAS!$C$19)+F164,0)</f>
        <v>0</v>
      </c>
      <c r="N164" s="58">
        <f t="shared" ca="1" si="16"/>
        <v>0</v>
      </c>
      <c r="O164" s="223"/>
      <c r="P164" s="131">
        <f t="shared" ca="1" si="17"/>
        <v>49734</v>
      </c>
      <c r="Q164" s="111">
        <f ca="1">IF(C164="","",Q163+(E164+H164-IF(RESULTADOS!$C$17="Normal",I164,0)-J164)/2+(F164+G164-IF(RESULTADOS!$C$17="Normal",0,I164)))</f>
        <v>0</v>
      </c>
      <c r="R164" s="111">
        <f ca="1">IF(C164="","",R163+(E164+H164-IF(RESULTADOS!$C$17="Normal",I164,0)-J164)/2)</f>
        <v>0</v>
      </c>
      <c r="S164" s="111">
        <f t="shared" ca="1" si="20"/>
        <v>0</v>
      </c>
      <c r="U164" s="131" t="str">
        <f t="shared" ca="1" si="21"/>
        <v/>
      </c>
      <c r="V164" s="131" t="str">
        <f t="shared" ca="1" si="18"/>
        <v/>
      </c>
      <c r="W164" s="111">
        <f ca="1">IF(OR((W163-13/12*Z163)*(1+PREMISSAS!$C$17)&lt;0,W163=""),0,(W163-13/12*Z163)*(1+PREMISSAS!$C$17))</f>
        <v>0</v>
      </c>
      <c r="X164" s="111">
        <f ca="1">IF(OR((X163-13/12*AA163)*(1+PREMISSAS!$C$17)&lt;0,X163=""),0,(X163-13/12*AA163)*(1+PREMISSAS!$C$17))</f>
        <v>0</v>
      </c>
      <c r="Y164" s="111">
        <f t="shared" ca="1" si="19"/>
        <v>0</v>
      </c>
      <c r="Z164" s="134">
        <f t="shared" ca="1" si="22"/>
        <v>0</v>
      </c>
      <c r="AA164" s="134">
        <f t="shared" ca="1" si="23"/>
        <v>0</v>
      </c>
    </row>
    <row r="165" spans="2:27" x14ac:dyDescent="0.3">
      <c r="B165" s="21">
        <f ca="1">IF(B164="","",IF(EOMONTH(B164,1)&gt;EOMONTH(ELEGIBILIDADE!$E$5,0),"",EOMONTH(B164,1)))</f>
        <v>49765</v>
      </c>
      <c r="C165" s="22">
        <f ca="1">IF(B165="","",IF(MONTH(B165)=1,C164*(1+PREMISSAS!$C$58),C164))</f>
        <v>0</v>
      </c>
      <c r="D165" s="22">
        <f ca="1">IF(RESULTADOS!$C$17="Normal",IFERROR(MAX(C165-PREMISSAS!$C$14,0),0),IF(PREMISSAS!$H$117=0,0,MAX(10*PREMISSAS!$C$39,RESULTADOS!$F$17)))</f>
        <v>0</v>
      </c>
      <c r="E165" s="4">
        <f ca="1">D165*IF(RESULTADOS!$C$17="Normal",RESULTADOS!$C$16,0)</f>
        <v>0</v>
      </c>
      <c r="F165" s="4">
        <f ca="1">IF(D165&lt;&gt;0,PREMISSAS!$N$83,0)</f>
        <v>0</v>
      </c>
      <c r="G165" s="4">
        <f ca="1">IFERROR(IF(RESULTADOS!$C$17="Normal",0,D165)*IF(RESULTADOS!$C$17="Normal",RESULTADOS!$C$18,RESULTADOS!$C$16),0)</f>
        <v>0</v>
      </c>
      <c r="H165" s="4">
        <f ca="1">IF(RESULTADOS!$C$17="Normal",E165,0)</f>
        <v>0</v>
      </c>
      <c r="I165" s="4">
        <f ca="1">(E165+H165+G165)*IFERROR(VLOOKUP(INT(COUNT($B$5:B165)/12),PREMISSAS!$B$62:$C$69,2,FALSE),PREMISSAS!$C$69)</f>
        <v>0</v>
      </c>
      <c r="J165" s="4">
        <f ca="1">D165*IF(RESULTADOS!$C$17="Normal",PREMISSAS!$C$71,0)</f>
        <v>0</v>
      </c>
      <c r="K165" s="87">
        <f ca="1">IFERROR(K164*(1+PREMISSAS!$C$19)+(E165+H165-IF(RESULTADOS!$C$17="Normal",I165,0)-J165)*IF(MONTH(B165)=12,2,1),0)</f>
        <v>0</v>
      </c>
      <c r="L165" s="87">
        <f ca="1">IFERROR((L164+G165-IF(RESULTADOS!$C$17="Normal",0,I165))*(1+PREMISSAS!$C$19)+F165,0)</f>
        <v>0</v>
      </c>
      <c r="N165" s="58">
        <f t="shared" ca="1" si="16"/>
        <v>0</v>
      </c>
      <c r="O165" s="223"/>
      <c r="P165" s="131">
        <f t="shared" ca="1" si="17"/>
        <v>49765</v>
      </c>
      <c r="Q165" s="111">
        <f ca="1">IF(C165="","",Q164+(E165+H165-IF(RESULTADOS!$C$17="Normal",I165,0)-J165)/2+(F165+G165-IF(RESULTADOS!$C$17="Normal",0,I165)))</f>
        <v>0</v>
      </c>
      <c r="R165" s="111">
        <f ca="1">IF(C165="","",R164+(E165+H165-IF(RESULTADOS!$C$17="Normal",I165,0)-J165)/2)</f>
        <v>0</v>
      </c>
      <c r="S165" s="111">
        <f t="shared" ca="1" si="20"/>
        <v>0</v>
      </c>
      <c r="U165" s="131" t="str">
        <f t="shared" ca="1" si="21"/>
        <v/>
      </c>
      <c r="V165" s="131" t="str">
        <f t="shared" ca="1" si="18"/>
        <v/>
      </c>
      <c r="W165" s="111">
        <f ca="1">IF(OR((W164-13/12*Z164)*(1+PREMISSAS!$C$17)&lt;0,W164=""),0,(W164-13/12*Z164)*(1+PREMISSAS!$C$17))</f>
        <v>0</v>
      </c>
      <c r="X165" s="111">
        <f ca="1">IF(OR((X164-13/12*AA164)*(1+PREMISSAS!$C$17)&lt;0,X164=""),0,(X164-13/12*AA164)*(1+PREMISSAS!$C$17))</f>
        <v>0</v>
      </c>
      <c r="Y165" s="111">
        <f t="shared" ca="1" si="19"/>
        <v>0</v>
      </c>
      <c r="Z165" s="134">
        <f t="shared" ca="1" si="22"/>
        <v>0</v>
      </c>
      <c r="AA165" s="134">
        <f t="shared" ca="1" si="23"/>
        <v>0</v>
      </c>
    </row>
    <row r="166" spans="2:27" x14ac:dyDescent="0.3">
      <c r="B166" s="21">
        <f ca="1">IF(B165="","",IF(EOMONTH(B165,1)&gt;EOMONTH(ELEGIBILIDADE!$E$5,0),"",EOMONTH(B165,1)))</f>
        <v>49795</v>
      </c>
      <c r="C166" s="22">
        <f ca="1">IF(B166="","",IF(MONTH(B166)=1,C165*(1+PREMISSAS!$C$58),C165))</f>
        <v>0</v>
      </c>
      <c r="D166" s="22">
        <f ca="1">IF(RESULTADOS!$C$17="Normal",IFERROR(MAX(C166-PREMISSAS!$C$14,0),0),IF(PREMISSAS!$H$117=0,0,MAX(10*PREMISSAS!$C$39,RESULTADOS!$F$17)))</f>
        <v>0</v>
      </c>
      <c r="E166" s="4">
        <f ca="1">D166*IF(RESULTADOS!$C$17="Normal",RESULTADOS!$C$16,0)</f>
        <v>0</v>
      </c>
      <c r="F166" s="4">
        <f ca="1">IF(D166&lt;&gt;0,PREMISSAS!$N$83,0)</f>
        <v>0</v>
      </c>
      <c r="G166" s="4">
        <f ca="1">IFERROR(IF(RESULTADOS!$C$17="Normal",0,D166)*IF(RESULTADOS!$C$17="Normal",RESULTADOS!$C$18,RESULTADOS!$C$16),0)</f>
        <v>0</v>
      </c>
      <c r="H166" s="4">
        <f ca="1">IF(RESULTADOS!$C$17="Normal",E166,0)</f>
        <v>0</v>
      </c>
      <c r="I166" s="4">
        <f ca="1">(E166+H166+G166)*IFERROR(VLOOKUP(INT(COUNT($B$5:B166)/12),PREMISSAS!$B$62:$C$69,2,FALSE),PREMISSAS!$C$69)</f>
        <v>0</v>
      </c>
      <c r="J166" s="4">
        <f ca="1">D166*IF(RESULTADOS!$C$17="Normal",PREMISSAS!$C$71,0)</f>
        <v>0</v>
      </c>
      <c r="K166" s="87">
        <f ca="1">IFERROR(K165*(1+PREMISSAS!$C$19)+(E166+H166-IF(RESULTADOS!$C$17="Normal",I166,0)-J166)*IF(MONTH(B166)=12,2,1),0)</f>
        <v>0</v>
      </c>
      <c r="L166" s="87">
        <f ca="1">IFERROR((L165+G166-IF(RESULTADOS!$C$17="Normal",0,I166))*(1+PREMISSAS!$C$19)+F166,0)</f>
        <v>0</v>
      </c>
      <c r="N166" s="58">
        <f t="shared" ca="1" si="16"/>
        <v>0</v>
      </c>
      <c r="O166" s="223"/>
      <c r="P166" s="131">
        <f t="shared" ca="1" si="17"/>
        <v>49795</v>
      </c>
      <c r="Q166" s="111">
        <f ca="1">IF(C166="","",Q165+(E166+H166-IF(RESULTADOS!$C$17="Normal",I166,0)-J166)/2+(F166+G166-IF(RESULTADOS!$C$17="Normal",0,I166)))</f>
        <v>0</v>
      </c>
      <c r="R166" s="111">
        <f ca="1">IF(C166="","",R165+(E166+H166-IF(RESULTADOS!$C$17="Normal",I166,0)-J166)/2)</f>
        <v>0</v>
      </c>
      <c r="S166" s="111">
        <f t="shared" ca="1" si="20"/>
        <v>0</v>
      </c>
      <c r="U166" s="131" t="str">
        <f t="shared" ca="1" si="21"/>
        <v/>
      </c>
      <c r="V166" s="131" t="str">
        <f t="shared" ca="1" si="18"/>
        <v/>
      </c>
      <c r="W166" s="111">
        <f ca="1">IF(OR((W165-13/12*Z165)*(1+PREMISSAS!$C$17)&lt;0,W165=""),0,(W165-13/12*Z165)*(1+PREMISSAS!$C$17))</f>
        <v>0</v>
      </c>
      <c r="X166" s="111">
        <f ca="1">IF(OR((X165-13/12*AA165)*(1+PREMISSAS!$C$17)&lt;0,X165=""),0,(X165-13/12*AA165)*(1+PREMISSAS!$C$17))</f>
        <v>0</v>
      </c>
      <c r="Y166" s="111">
        <f t="shared" ca="1" si="19"/>
        <v>0</v>
      </c>
      <c r="Z166" s="134">
        <f t="shared" ca="1" si="22"/>
        <v>0</v>
      </c>
      <c r="AA166" s="134">
        <f t="shared" ca="1" si="23"/>
        <v>0</v>
      </c>
    </row>
    <row r="167" spans="2:27" x14ac:dyDescent="0.3">
      <c r="B167" s="21">
        <f ca="1">IF(B166="","",IF(EOMONTH(B166,1)&gt;EOMONTH(ELEGIBILIDADE!$E$5,0),"",EOMONTH(B166,1)))</f>
        <v>49826</v>
      </c>
      <c r="C167" s="22">
        <f ca="1">IF(B167="","",IF(MONTH(B167)=1,C166*(1+PREMISSAS!$C$58),C166))</f>
        <v>0</v>
      </c>
      <c r="D167" s="22">
        <f ca="1">IF(RESULTADOS!$C$17="Normal",IFERROR(MAX(C167-PREMISSAS!$C$14,0),0),IF(PREMISSAS!$H$117=0,0,MAX(10*PREMISSAS!$C$39,RESULTADOS!$F$17)))</f>
        <v>0</v>
      </c>
      <c r="E167" s="4">
        <f ca="1">D167*IF(RESULTADOS!$C$17="Normal",RESULTADOS!$C$16,0)</f>
        <v>0</v>
      </c>
      <c r="F167" s="4">
        <f ca="1">IF(D167&lt;&gt;0,PREMISSAS!$N$83,0)</f>
        <v>0</v>
      </c>
      <c r="G167" s="4">
        <f ca="1">IFERROR(IF(RESULTADOS!$C$17="Normal",0,D167)*IF(RESULTADOS!$C$17="Normal",RESULTADOS!$C$18,RESULTADOS!$C$16),0)</f>
        <v>0</v>
      </c>
      <c r="H167" s="4">
        <f ca="1">IF(RESULTADOS!$C$17="Normal",E167,0)</f>
        <v>0</v>
      </c>
      <c r="I167" s="4">
        <f ca="1">(E167+H167+G167)*IFERROR(VLOOKUP(INT(COUNT($B$5:B167)/12),PREMISSAS!$B$62:$C$69,2,FALSE),PREMISSAS!$C$69)</f>
        <v>0</v>
      </c>
      <c r="J167" s="4">
        <f ca="1">D167*IF(RESULTADOS!$C$17="Normal",PREMISSAS!$C$71,0)</f>
        <v>0</v>
      </c>
      <c r="K167" s="87">
        <f ca="1">IFERROR(K166*(1+PREMISSAS!$C$19)+(E167+H167-IF(RESULTADOS!$C$17="Normal",I167,0)-J167)*IF(MONTH(B167)=12,2,1),0)</f>
        <v>0</v>
      </c>
      <c r="L167" s="87">
        <f ca="1">IFERROR((L166+G167-IF(RESULTADOS!$C$17="Normal",0,I167))*(1+PREMISSAS!$C$19)+F167,0)</f>
        <v>0</v>
      </c>
      <c r="N167" s="58">
        <f t="shared" ca="1" si="16"/>
        <v>0</v>
      </c>
      <c r="O167" s="223"/>
      <c r="P167" s="131">
        <f t="shared" ca="1" si="17"/>
        <v>49826</v>
      </c>
      <c r="Q167" s="111">
        <f ca="1">IF(C167="","",Q166+(E167+H167-IF(RESULTADOS!$C$17="Normal",I167,0)-J167)/2+(F167+G167-IF(RESULTADOS!$C$17="Normal",0,I167)))</f>
        <v>0</v>
      </c>
      <c r="R167" s="111">
        <f ca="1">IF(C167="","",R166+(E167+H167-IF(RESULTADOS!$C$17="Normal",I167,0)-J167)/2)</f>
        <v>0</v>
      </c>
      <c r="S167" s="111">
        <f t="shared" ca="1" si="20"/>
        <v>0</v>
      </c>
      <c r="U167" s="131" t="str">
        <f t="shared" ca="1" si="21"/>
        <v/>
      </c>
      <c r="V167" s="131" t="str">
        <f t="shared" ca="1" si="18"/>
        <v/>
      </c>
      <c r="W167" s="111">
        <f ca="1">IF(OR((W166-13/12*Z166)*(1+PREMISSAS!$C$17)&lt;0,W166=""),0,(W166-13/12*Z166)*(1+PREMISSAS!$C$17))</f>
        <v>0</v>
      </c>
      <c r="X167" s="111">
        <f ca="1">IF(OR((X166-13/12*AA166)*(1+PREMISSAS!$C$17)&lt;0,X166=""),0,(X166-13/12*AA166)*(1+PREMISSAS!$C$17))</f>
        <v>0</v>
      </c>
      <c r="Y167" s="111">
        <f t="shared" ca="1" si="19"/>
        <v>0</v>
      </c>
      <c r="Z167" s="134">
        <f t="shared" ca="1" si="22"/>
        <v>0</v>
      </c>
      <c r="AA167" s="134">
        <f t="shared" ca="1" si="23"/>
        <v>0</v>
      </c>
    </row>
    <row r="168" spans="2:27" x14ac:dyDescent="0.3">
      <c r="B168" s="21">
        <f ca="1">IF(B167="","",IF(EOMONTH(B167,1)&gt;EOMONTH(ELEGIBILIDADE!$E$5,0),"",EOMONTH(B167,1)))</f>
        <v>49856</v>
      </c>
      <c r="C168" s="22">
        <f ca="1">IF(B168="","",IF(MONTH(B168)=1,C167*(1+PREMISSAS!$C$58),C167))</f>
        <v>0</v>
      </c>
      <c r="D168" s="22">
        <f ca="1">IF(RESULTADOS!$C$17="Normal",IFERROR(MAX(C168-PREMISSAS!$C$14,0),0),IF(PREMISSAS!$H$117=0,0,MAX(10*PREMISSAS!$C$39,RESULTADOS!$F$17)))</f>
        <v>0</v>
      </c>
      <c r="E168" s="4">
        <f ca="1">D168*IF(RESULTADOS!$C$17="Normal",RESULTADOS!$C$16,0)</f>
        <v>0</v>
      </c>
      <c r="F168" s="4">
        <f ca="1">IF(D168&lt;&gt;0,PREMISSAS!$N$83,0)</f>
        <v>0</v>
      </c>
      <c r="G168" s="4">
        <f ca="1">IFERROR(IF(RESULTADOS!$C$17="Normal",0,D168)*IF(RESULTADOS!$C$17="Normal",RESULTADOS!$C$18,RESULTADOS!$C$16),0)</f>
        <v>0</v>
      </c>
      <c r="H168" s="4">
        <f ca="1">IF(RESULTADOS!$C$17="Normal",E168,0)</f>
        <v>0</v>
      </c>
      <c r="I168" s="4">
        <f ca="1">(E168+H168+G168)*IFERROR(VLOOKUP(INT(COUNT($B$5:B168)/12),PREMISSAS!$B$62:$C$69,2,FALSE),PREMISSAS!$C$69)</f>
        <v>0</v>
      </c>
      <c r="J168" s="4">
        <f ca="1">D168*IF(RESULTADOS!$C$17="Normal",PREMISSAS!$C$71,0)</f>
        <v>0</v>
      </c>
      <c r="K168" s="87">
        <f ca="1">IFERROR(K167*(1+PREMISSAS!$C$19)+(E168+H168-IF(RESULTADOS!$C$17="Normal",I168,0)-J168)*IF(MONTH(B168)=12,2,1),0)</f>
        <v>0</v>
      </c>
      <c r="L168" s="87">
        <f ca="1">IFERROR((L167+G168-IF(RESULTADOS!$C$17="Normal",0,I168))*(1+PREMISSAS!$C$19)+F168,0)</f>
        <v>0</v>
      </c>
      <c r="N168" s="58">
        <f t="shared" ca="1" si="16"/>
        <v>0</v>
      </c>
      <c r="O168" s="223"/>
      <c r="P168" s="131">
        <f t="shared" ca="1" si="17"/>
        <v>49856</v>
      </c>
      <c r="Q168" s="111">
        <f ca="1">IF(C168="","",Q167+(E168+H168-IF(RESULTADOS!$C$17="Normal",I168,0)-J168)/2+(F168+G168-IF(RESULTADOS!$C$17="Normal",0,I168)))</f>
        <v>0</v>
      </c>
      <c r="R168" s="111">
        <f ca="1">IF(C168="","",R167+(E168+H168-IF(RESULTADOS!$C$17="Normal",I168,0)-J168)/2)</f>
        <v>0</v>
      </c>
      <c r="S168" s="111">
        <f t="shared" ca="1" si="20"/>
        <v>0</v>
      </c>
      <c r="U168" s="131" t="str">
        <f t="shared" ca="1" si="21"/>
        <v/>
      </c>
      <c r="V168" s="131" t="str">
        <f t="shared" ca="1" si="18"/>
        <v/>
      </c>
      <c r="W168" s="111">
        <f ca="1">IF(OR((W167-13/12*Z167)*(1+PREMISSAS!$C$17)&lt;0,W167=""),0,(W167-13/12*Z167)*(1+PREMISSAS!$C$17))</f>
        <v>0</v>
      </c>
      <c r="X168" s="111">
        <f ca="1">IF(OR((X167-13/12*AA167)*(1+PREMISSAS!$C$17)&lt;0,X167=""),0,(X167-13/12*AA167)*(1+PREMISSAS!$C$17))</f>
        <v>0</v>
      </c>
      <c r="Y168" s="111">
        <f t="shared" ca="1" si="19"/>
        <v>0</v>
      </c>
      <c r="Z168" s="134">
        <f t="shared" ca="1" si="22"/>
        <v>0</v>
      </c>
      <c r="AA168" s="134">
        <f t="shared" ca="1" si="23"/>
        <v>0</v>
      </c>
    </row>
    <row r="169" spans="2:27" x14ac:dyDescent="0.3">
      <c r="B169" s="21">
        <f ca="1">IF(B168="","",IF(EOMONTH(B168,1)&gt;EOMONTH(ELEGIBILIDADE!$E$5,0),"",EOMONTH(B168,1)))</f>
        <v>49887</v>
      </c>
      <c r="C169" s="22">
        <f ca="1">IF(B169="","",IF(MONTH(B169)=1,C168*(1+PREMISSAS!$C$58),C168))</f>
        <v>0</v>
      </c>
      <c r="D169" s="22">
        <f ca="1">IF(RESULTADOS!$C$17="Normal",IFERROR(MAX(C169-PREMISSAS!$C$14,0),0),IF(PREMISSAS!$H$117=0,0,MAX(10*PREMISSAS!$C$39,RESULTADOS!$F$17)))</f>
        <v>0</v>
      </c>
      <c r="E169" s="4">
        <f ca="1">D169*IF(RESULTADOS!$C$17="Normal",RESULTADOS!$C$16,0)</f>
        <v>0</v>
      </c>
      <c r="F169" s="4">
        <f ca="1">IF(D169&lt;&gt;0,PREMISSAS!$N$83,0)</f>
        <v>0</v>
      </c>
      <c r="G169" s="4">
        <f ca="1">IFERROR(IF(RESULTADOS!$C$17="Normal",0,D169)*IF(RESULTADOS!$C$17="Normal",RESULTADOS!$C$18,RESULTADOS!$C$16),0)</f>
        <v>0</v>
      </c>
      <c r="H169" s="4">
        <f ca="1">IF(RESULTADOS!$C$17="Normal",E169,0)</f>
        <v>0</v>
      </c>
      <c r="I169" s="4">
        <f ca="1">(E169+H169+G169)*IFERROR(VLOOKUP(INT(COUNT($B$5:B169)/12),PREMISSAS!$B$62:$C$69,2,FALSE),PREMISSAS!$C$69)</f>
        <v>0</v>
      </c>
      <c r="J169" s="4">
        <f ca="1">D169*IF(RESULTADOS!$C$17="Normal",PREMISSAS!$C$71,0)</f>
        <v>0</v>
      </c>
      <c r="K169" s="87">
        <f ca="1">IFERROR(K168*(1+PREMISSAS!$C$19)+(E169+H169-IF(RESULTADOS!$C$17="Normal",I169,0)-J169)*IF(MONTH(B169)=12,2,1),0)</f>
        <v>0</v>
      </c>
      <c r="L169" s="87">
        <f ca="1">IFERROR((L168+G169-IF(RESULTADOS!$C$17="Normal",0,I169))*(1+PREMISSAS!$C$19)+F169,0)</f>
        <v>0</v>
      </c>
      <c r="N169" s="58">
        <f t="shared" ca="1" si="16"/>
        <v>0</v>
      </c>
      <c r="O169" s="223"/>
      <c r="P169" s="131">
        <f t="shared" ca="1" si="17"/>
        <v>49887</v>
      </c>
      <c r="Q169" s="111">
        <f ca="1">IF(C169="","",Q168+(E169+H169-IF(RESULTADOS!$C$17="Normal",I169,0)-J169)/2+(F169+G169-IF(RESULTADOS!$C$17="Normal",0,I169)))</f>
        <v>0</v>
      </c>
      <c r="R169" s="111">
        <f ca="1">IF(C169="","",R168+(E169+H169-IF(RESULTADOS!$C$17="Normal",I169,0)-J169)/2)</f>
        <v>0</v>
      </c>
      <c r="S169" s="111">
        <f t="shared" ca="1" si="20"/>
        <v>0</v>
      </c>
      <c r="U169" s="131" t="str">
        <f t="shared" ca="1" si="21"/>
        <v/>
      </c>
      <c r="V169" s="131" t="str">
        <f t="shared" ca="1" si="18"/>
        <v/>
      </c>
      <c r="W169" s="111">
        <f ca="1">IF(OR((W168-13/12*Z168)*(1+PREMISSAS!$C$17)&lt;0,W168=""),0,(W168-13/12*Z168)*(1+PREMISSAS!$C$17))</f>
        <v>0</v>
      </c>
      <c r="X169" s="111">
        <f ca="1">IF(OR((X168-13/12*AA168)*(1+PREMISSAS!$C$17)&lt;0,X168=""),0,(X168-13/12*AA168)*(1+PREMISSAS!$C$17))</f>
        <v>0</v>
      </c>
      <c r="Y169" s="111">
        <f t="shared" ca="1" si="19"/>
        <v>0</v>
      </c>
      <c r="Z169" s="134">
        <f t="shared" ca="1" si="22"/>
        <v>0</v>
      </c>
      <c r="AA169" s="134">
        <f t="shared" ca="1" si="23"/>
        <v>0</v>
      </c>
    </row>
    <row r="170" spans="2:27" x14ac:dyDescent="0.3">
      <c r="B170" s="21">
        <f ca="1">IF(B169="","",IF(EOMONTH(B169,1)&gt;EOMONTH(ELEGIBILIDADE!$E$5,0),"",EOMONTH(B169,1)))</f>
        <v>49918</v>
      </c>
      <c r="C170" s="22">
        <f ca="1">IF(B170="","",IF(MONTH(B170)=1,C169*(1+PREMISSAS!$C$58),C169))</f>
        <v>0</v>
      </c>
      <c r="D170" s="22">
        <f ca="1">IF(RESULTADOS!$C$17="Normal",IFERROR(MAX(C170-PREMISSAS!$C$14,0),0),IF(PREMISSAS!$H$117=0,0,MAX(10*PREMISSAS!$C$39,RESULTADOS!$F$17)))</f>
        <v>0</v>
      </c>
      <c r="E170" s="4">
        <f ca="1">D170*IF(RESULTADOS!$C$17="Normal",RESULTADOS!$C$16,0)</f>
        <v>0</v>
      </c>
      <c r="F170" s="4">
        <f ca="1">IF(D170&lt;&gt;0,PREMISSAS!$N$83,0)</f>
        <v>0</v>
      </c>
      <c r="G170" s="4">
        <f ca="1">IFERROR(IF(RESULTADOS!$C$17="Normal",0,D170)*IF(RESULTADOS!$C$17="Normal",RESULTADOS!$C$18,RESULTADOS!$C$16),0)</f>
        <v>0</v>
      </c>
      <c r="H170" s="4">
        <f ca="1">IF(RESULTADOS!$C$17="Normal",E170,0)</f>
        <v>0</v>
      </c>
      <c r="I170" s="4">
        <f ca="1">(E170+H170+G170)*IFERROR(VLOOKUP(INT(COUNT($B$5:B170)/12),PREMISSAS!$B$62:$C$69,2,FALSE),PREMISSAS!$C$69)</f>
        <v>0</v>
      </c>
      <c r="J170" s="4">
        <f ca="1">D170*IF(RESULTADOS!$C$17="Normal",PREMISSAS!$C$71,0)</f>
        <v>0</v>
      </c>
      <c r="K170" s="87">
        <f ca="1">IFERROR(K169*(1+PREMISSAS!$C$19)+(E170+H170-IF(RESULTADOS!$C$17="Normal",I170,0)-J170)*IF(MONTH(B170)=12,2,1),0)</f>
        <v>0</v>
      </c>
      <c r="L170" s="87">
        <f ca="1">IFERROR((L169+G170-IF(RESULTADOS!$C$17="Normal",0,I170))*(1+PREMISSAS!$C$19)+F170,0)</f>
        <v>0</v>
      </c>
      <c r="N170" s="58">
        <f t="shared" ca="1" si="16"/>
        <v>0</v>
      </c>
      <c r="O170" s="223"/>
      <c r="P170" s="131">
        <f t="shared" ca="1" si="17"/>
        <v>49918</v>
      </c>
      <c r="Q170" s="111">
        <f ca="1">IF(C170="","",Q169+(E170+H170-IF(RESULTADOS!$C$17="Normal",I170,0)-J170)/2+(F170+G170-IF(RESULTADOS!$C$17="Normal",0,I170)))</f>
        <v>0</v>
      </c>
      <c r="R170" s="111">
        <f ca="1">IF(C170="","",R169+(E170+H170-IF(RESULTADOS!$C$17="Normal",I170,0)-J170)/2)</f>
        <v>0</v>
      </c>
      <c r="S170" s="111">
        <f t="shared" ca="1" si="20"/>
        <v>0</v>
      </c>
      <c r="U170" s="131" t="str">
        <f t="shared" ca="1" si="21"/>
        <v/>
      </c>
      <c r="V170" s="131" t="str">
        <f t="shared" ca="1" si="18"/>
        <v/>
      </c>
      <c r="W170" s="111">
        <f ca="1">IF(OR((W169-13/12*Z169)*(1+PREMISSAS!$C$17)&lt;0,W169=""),0,(W169-13/12*Z169)*(1+PREMISSAS!$C$17))</f>
        <v>0</v>
      </c>
      <c r="X170" s="111">
        <f ca="1">IF(OR((X169-13/12*AA169)*(1+PREMISSAS!$C$17)&lt;0,X169=""),0,(X169-13/12*AA169)*(1+PREMISSAS!$C$17))</f>
        <v>0</v>
      </c>
      <c r="Y170" s="111">
        <f t="shared" ca="1" si="19"/>
        <v>0</v>
      </c>
      <c r="Z170" s="134">
        <f t="shared" ca="1" si="22"/>
        <v>0</v>
      </c>
      <c r="AA170" s="134">
        <f t="shared" ca="1" si="23"/>
        <v>0</v>
      </c>
    </row>
    <row r="171" spans="2:27" x14ac:dyDescent="0.3">
      <c r="B171" s="21">
        <f ca="1">IF(B170="","",IF(EOMONTH(B170,1)&gt;EOMONTH(ELEGIBILIDADE!$E$5,0),"",EOMONTH(B170,1)))</f>
        <v>49948</v>
      </c>
      <c r="C171" s="22">
        <f ca="1">IF(B171="","",IF(MONTH(B171)=1,C170*(1+PREMISSAS!$C$58),C170))</f>
        <v>0</v>
      </c>
      <c r="D171" s="22">
        <f ca="1">IF(RESULTADOS!$C$17="Normal",IFERROR(MAX(C171-PREMISSAS!$C$14,0),0),IF(PREMISSAS!$H$117=0,0,MAX(10*PREMISSAS!$C$39,RESULTADOS!$F$17)))</f>
        <v>0</v>
      </c>
      <c r="E171" s="4">
        <f ca="1">D171*IF(RESULTADOS!$C$17="Normal",RESULTADOS!$C$16,0)</f>
        <v>0</v>
      </c>
      <c r="F171" s="4">
        <f ca="1">IF(D171&lt;&gt;0,PREMISSAS!$N$83,0)</f>
        <v>0</v>
      </c>
      <c r="G171" s="4">
        <f ca="1">IFERROR(IF(RESULTADOS!$C$17="Normal",0,D171)*IF(RESULTADOS!$C$17="Normal",RESULTADOS!$C$18,RESULTADOS!$C$16),0)</f>
        <v>0</v>
      </c>
      <c r="H171" s="4">
        <f ca="1">IF(RESULTADOS!$C$17="Normal",E171,0)</f>
        <v>0</v>
      </c>
      <c r="I171" s="4">
        <f ca="1">(E171+H171+G171)*IFERROR(VLOOKUP(INT(COUNT($B$5:B171)/12),PREMISSAS!$B$62:$C$69,2,FALSE),PREMISSAS!$C$69)</f>
        <v>0</v>
      </c>
      <c r="J171" s="4">
        <f ca="1">D171*IF(RESULTADOS!$C$17="Normal",PREMISSAS!$C$71,0)</f>
        <v>0</v>
      </c>
      <c r="K171" s="87">
        <f ca="1">IFERROR(K170*(1+PREMISSAS!$C$19)+(E171+H171-IF(RESULTADOS!$C$17="Normal",I171,0)-J171)*IF(MONTH(B171)=12,2,1),0)</f>
        <v>0</v>
      </c>
      <c r="L171" s="87">
        <f ca="1">IFERROR((L170+G171-IF(RESULTADOS!$C$17="Normal",0,I171))*(1+PREMISSAS!$C$19)+F171,0)</f>
        <v>0</v>
      </c>
      <c r="N171" s="58">
        <f t="shared" ca="1" si="16"/>
        <v>0</v>
      </c>
      <c r="O171" s="223"/>
      <c r="P171" s="131">
        <f t="shared" ca="1" si="17"/>
        <v>49948</v>
      </c>
      <c r="Q171" s="111">
        <f ca="1">IF(C171="","",Q170+(E171+H171-IF(RESULTADOS!$C$17="Normal",I171,0)-J171)/2+(F171+G171-IF(RESULTADOS!$C$17="Normal",0,I171)))</f>
        <v>0</v>
      </c>
      <c r="R171" s="111">
        <f ca="1">IF(C171="","",R170+(E171+H171-IF(RESULTADOS!$C$17="Normal",I171,0)-J171)/2)</f>
        <v>0</v>
      </c>
      <c r="S171" s="111">
        <f t="shared" ca="1" si="20"/>
        <v>0</v>
      </c>
      <c r="U171" s="131" t="str">
        <f t="shared" ca="1" si="21"/>
        <v/>
      </c>
      <c r="V171" s="131" t="str">
        <f t="shared" ca="1" si="18"/>
        <v/>
      </c>
      <c r="W171" s="111">
        <f ca="1">IF(OR((W170-13/12*Z170)*(1+PREMISSAS!$C$17)&lt;0,W170=""),0,(W170-13/12*Z170)*(1+PREMISSAS!$C$17))</f>
        <v>0</v>
      </c>
      <c r="X171" s="111">
        <f ca="1">IF(OR((X170-13/12*AA170)*(1+PREMISSAS!$C$17)&lt;0,X170=""),0,(X170-13/12*AA170)*(1+PREMISSAS!$C$17))</f>
        <v>0</v>
      </c>
      <c r="Y171" s="111">
        <f t="shared" ca="1" si="19"/>
        <v>0</v>
      </c>
      <c r="Z171" s="134">
        <f t="shared" ca="1" si="22"/>
        <v>0</v>
      </c>
      <c r="AA171" s="134">
        <f t="shared" ca="1" si="23"/>
        <v>0</v>
      </c>
    </row>
    <row r="172" spans="2:27" x14ac:dyDescent="0.3">
      <c r="B172" s="21">
        <f ca="1">IF(B171="","",IF(EOMONTH(B171,1)&gt;EOMONTH(ELEGIBILIDADE!$E$5,0),"",EOMONTH(B171,1)))</f>
        <v>49979</v>
      </c>
      <c r="C172" s="22">
        <f ca="1">IF(B172="","",IF(MONTH(B172)=1,C171*(1+PREMISSAS!$C$58),C171))</f>
        <v>0</v>
      </c>
      <c r="D172" s="22">
        <f ca="1">IF(RESULTADOS!$C$17="Normal",IFERROR(MAX(C172-PREMISSAS!$C$14,0),0),IF(PREMISSAS!$H$117=0,0,MAX(10*PREMISSAS!$C$39,RESULTADOS!$F$17)))</f>
        <v>0</v>
      </c>
      <c r="E172" s="4">
        <f ca="1">D172*IF(RESULTADOS!$C$17="Normal",RESULTADOS!$C$16,0)</f>
        <v>0</v>
      </c>
      <c r="F172" s="4">
        <f ca="1">IF(D172&lt;&gt;0,PREMISSAS!$N$83,0)</f>
        <v>0</v>
      </c>
      <c r="G172" s="4">
        <f ca="1">IFERROR(IF(RESULTADOS!$C$17="Normal",0,D172)*IF(RESULTADOS!$C$17="Normal",RESULTADOS!$C$18,RESULTADOS!$C$16),0)</f>
        <v>0</v>
      </c>
      <c r="H172" s="4">
        <f ca="1">IF(RESULTADOS!$C$17="Normal",E172,0)</f>
        <v>0</v>
      </c>
      <c r="I172" s="4">
        <f ca="1">(E172+H172+G172)*IFERROR(VLOOKUP(INT(COUNT($B$5:B172)/12),PREMISSAS!$B$62:$C$69,2,FALSE),PREMISSAS!$C$69)</f>
        <v>0</v>
      </c>
      <c r="J172" s="4">
        <f ca="1">D172*IF(RESULTADOS!$C$17="Normal",PREMISSAS!$C$71,0)</f>
        <v>0</v>
      </c>
      <c r="K172" s="87">
        <f ca="1">IFERROR(K171*(1+PREMISSAS!$C$19)+(E172+H172-IF(RESULTADOS!$C$17="Normal",I172,0)-J172)*IF(MONTH(B172)=12,2,1),0)</f>
        <v>0</v>
      </c>
      <c r="L172" s="87">
        <f ca="1">IFERROR((L171+G172-IF(RESULTADOS!$C$17="Normal",0,I172))*(1+PREMISSAS!$C$19)+F172,0)</f>
        <v>0</v>
      </c>
      <c r="N172" s="58">
        <f t="shared" ca="1" si="16"/>
        <v>0</v>
      </c>
      <c r="O172" s="223"/>
      <c r="P172" s="131">
        <f t="shared" ca="1" si="17"/>
        <v>49979</v>
      </c>
      <c r="Q172" s="111">
        <f ca="1">IF(C172="","",Q171+(E172+H172-IF(RESULTADOS!$C$17="Normal",I172,0)-J172)/2+(F172+G172-IF(RESULTADOS!$C$17="Normal",0,I172)))</f>
        <v>0</v>
      </c>
      <c r="R172" s="111">
        <f ca="1">IF(C172="","",R171+(E172+H172-IF(RESULTADOS!$C$17="Normal",I172,0)-J172)/2)</f>
        <v>0</v>
      </c>
      <c r="S172" s="111">
        <f t="shared" ca="1" si="20"/>
        <v>0</v>
      </c>
      <c r="U172" s="131" t="str">
        <f t="shared" ca="1" si="21"/>
        <v/>
      </c>
      <c r="V172" s="131" t="str">
        <f t="shared" ca="1" si="18"/>
        <v/>
      </c>
      <c r="W172" s="111">
        <f ca="1">IF(OR((W171-13/12*Z171)*(1+PREMISSAS!$C$17)&lt;0,W171=""),0,(W171-13/12*Z171)*(1+PREMISSAS!$C$17))</f>
        <v>0</v>
      </c>
      <c r="X172" s="111">
        <f ca="1">IF(OR((X171-13/12*AA171)*(1+PREMISSAS!$C$17)&lt;0,X171=""),0,(X171-13/12*AA171)*(1+PREMISSAS!$C$17))</f>
        <v>0</v>
      </c>
      <c r="Y172" s="111">
        <f t="shared" ca="1" si="19"/>
        <v>0</v>
      </c>
      <c r="Z172" s="134">
        <f t="shared" ca="1" si="22"/>
        <v>0</v>
      </c>
      <c r="AA172" s="134">
        <f t="shared" ca="1" si="23"/>
        <v>0</v>
      </c>
    </row>
    <row r="173" spans="2:27" x14ac:dyDescent="0.3">
      <c r="B173" s="21">
        <f ca="1">IF(B172="","",IF(EOMONTH(B172,1)&gt;EOMONTH(ELEGIBILIDADE!$E$5,0),"",EOMONTH(B172,1)))</f>
        <v>50009</v>
      </c>
      <c r="C173" s="22">
        <f ca="1">IF(B173="","",IF(MONTH(B173)=1,C172*(1+PREMISSAS!$C$58),C172))</f>
        <v>0</v>
      </c>
      <c r="D173" s="22">
        <f ca="1">IF(RESULTADOS!$C$17="Normal",IFERROR(MAX(C173-PREMISSAS!$C$14,0),0),IF(PREMISSAS!$H$117=0,0,MAX(10*PREMISSAS!$C$39,RESULTADOS!$F$17)))</f>
        <v>0</v>
      </c>
      <c r="E173" s="4">
        <f ca="1">D173*IF(RESULTADOS!$C$17="Normal",RESULTADOS!$C$16,0)</f>
        <v>0</v>
      </c>
      <c r="F173" s="4">
        <f ca="1">IF(D173&lt;&gt;0,PREMISSAS!$N$83,0)</f>
        <v>0</v>
      </c>
      <c r="G173" s="4">
        <f ca="1">IFERROR(IF(RESULTADOS!$C$17="Normal",0,D173)*IF(RESULTADOS!$C$17="Normal",RESULTADOS!$C$18,RESULTADOS!$C$16),0)</f>
        <v>0</v>
      </c>
      <c r="H173" s="4">
        <f ca="1">IF(RESULTADOS!$C$17="Normal",E173,0)</f>
        <v>0</v>
      </c>
      <c r="I173" s="4">
        <f ca="1">(E173+H173+G173)*IFERROR(VLOOKUP(INT(COUNT($B$5:B173)/12),PREMISSAS!$B$62:$C$69,2,FALSE),PREMISSAS!$C$69)</f>
        <v>0</v>
      </c>
      <c r="J173" s="4">
        <f ca="1">D173*IF(RESULTADOS!$C$17="Normal",PREMISSAS!$C$71,0)</f>
        <v>0</v>
      </c>
      <c r="K173" s="87">
        <f ca="1">IFERROR(K172*(1+PREMISSAS!$C$19)+(E173+H173-IF(RESULTADOS!$C$17="Normal",I173,0)-J173)*IF(MONTH(B173)=12,2,1),0)</f>
        <v>0</v>
      </c>
      <c r="L173" s="87">
        <f ca="1">IFERROR((L172+G173-IF(RESULTADOS!$C$17="Normal",0,I173))*(1+PREMISSAS!$C$19)+F173,0)</f>
        <v>0</v>
      </c>
      <c r="N173" s="58">
        <f t="shared" ca="1" si="16"/>
        <v>0</v>
      </c>
      <c r="O173" s="223"/>
      <c r="P173" s="131">
        <f t="shared" ca="1" si="17"/>
        <v>50009</v>
      </c>
      <c r="Q173" s="111">
        <f ca="1">IF(C173="","",Q172+(E173+H173-IF(RESULTADOS!$C$17="Normal",I173,0)-J173)/2+(F173+G173-IF(RESULTADOS!$C$17="Normal",0,I173)))</f>
        <v>0</v>
      </c>
      <c r="R173" s="111">
        <f ca="1">IF(C173="","",R172+(E173+H173-IF(RESULTADOS!$C$17="Normal",I173,0)-J173)/2)</f>
        <v>0</v>
      </c>
      <c r="S173" s="111">
        <f t="shared" ca="1" si="20"/>
        <v>0</v>
      </c>
      <c r="U173" s="131" t="str">
        <f t="shared" ca="1" si="21"/>
        <v/>
      </c>
      <c r="V173" s="131" t="str">
        <f t="shared" ca="1" si="18"/>
        <v/>
      </c>
      <c r="W173" s="111">
        <f ca="1">IF(OR((W172-13/12*Z172)*(1+PREMISSAS!$C$17)&lt;0,W172=""),0,(W172-13/12*Z172)*(1+PREMISSAS!$C$17))</f>
        <v>0</v>
      </c>
      <c r="X173" s="111">
        <f ca="1">IF(OR((X172-13/12*AA172)*(1+PREMISSAS!$C$17)&lt;0,X172=""),0,(X172-13/12*AA172)*(1+PREMISSAS!$C$17))</f>
        <v>0</v>
      </c>
      <c r="Y173" s="111">
        <f t="shared" ca="1" si="19"/>
        <v>0</v>
      </c>
      <c r="Z173" s="134">
        <f t="shared" ca="1" si="22"/>
        <v>0</v>
      </c>
      <c r="AA173" s="134">
        <f t="shared" ca="1" si="23"/>
        <v>0</v>
      </c>
    </row>
    <row r="174" spans="2:27" x14ac:dyDescent="0.3">
      <c r="B174" s="21">
        <f ca="1">IF(B173="","",IF(EOMONTH(B173,1)&gt;EOMONTH(ELEGIBILIDADE!$E$5,0),"",EOMONTH(B173,1)))</f>
        <v>50040</v>
      </c>
      <c r="C174" s="22">
        <f ca="1">IF(B174="","",IF(MONTH(B174)=1,C173*(1+PREMISSAS!$C$58),C173))</f>
        <v>0</v>
      </c>
      <c r="D174" s="22">
        <f ca="1">IF(RESULTADOS!$C$17="Normal",IFERROR(MAX(C174-PREMISSAS!$C$14,0),0),IF(PREMISSAS!$H$117=0,0,MAX(10*PREMISSAS!$C$39,RESULTADOS!$F$17)))</f>
        <v>0</v>
      </c>
      <c r="E174" s="4">
        <f ca="1">D174*IF(RESULTADOS!$C$17="Normal",RESULTADOS!$C$16,0)</f>
        <v>0</v>
      </c>
      <c r="F174" s="4">
        <f ca="1">IF(D174&lt;&gt;0,PREMISSAS!$N$83,0)</f>
        <v>0</v>
      </c>
      <c r="G174" s="4">
        <f ca="1">IFERROR(IF(RESULTADOS!$C$17="Normal",0,D174)*IF(RESULTADOS!$C$17="Normal",RESULTADOS!$C$18,RESULTADOS!$C$16),0)</f>
        <v>0</v>
      </c>
      <c r="H174" s="4">
        <f ca="1">IF(RESULTADOS!$C$17="Normal",E174,0)</f>
        <v>0</v>
      </c>
      <c r="I174" s="4">
        <f ca="1">(E174+H174+G174)*IFERROR(VLOOKUP(INT(COUNT($B$5:B174)/12),PREMISSAS!$B$62:$C$69,2,FALSE),PREMISSAS!$C$69)</f>
        <v>0</v>
      </c>
      <c r="J174" s="4">
        <f ca="1">D174*IF(RESULTADOS!$C$17="Normal",PREMISSAS!$C$71,0)</f>
        <v>0</v>
      </c>
      <c r="K174" s="87">
        <f ca="1">IFERROR(K173*(1+PREMISSAS!$C$19)+(E174+H174-IF(RESULTADOS!$C$17="Normal",I174,0)-J174)*IF(MONTH(B174)=12,2,1),0)</f>
        <v>0</v>
      </c>
      <c r="L174" s="87">
        <f ca="1">IFERROR((L173+G174-IF(RESULTADOS!$C$17="Normal",0,I174))*(1+PREMISSAS!$C$19)+F174,0)</f>
        <v>0</v>
      </c>
      <c r="N174" s="58">
        <f t="shared" ca="1" si="16"/>
        <v>0</v>
      </c>
      <c r="O174" s="223"/>
      <c r="P174" s="131">
        <f t="shared" ca="1" si="17"/>
        <v>50040</v>
      </c>
      <c r="Q174" s="111">
        <f ca="1">IF(C174="","",Q173+(E174+H174-IF(RESULTADOS!$C$17="Normal",I174,0)-J174)/2+(F174+G174-IF(RESULTADOS!$C$17="Normal",0,I174)))</f>
        <v>0</v>
      </c>
      <c r="R174" s="111">
        <f ca="1">IF(C174="","",R173+(E174+H174-IF(RESULTADOS!$C$17="Normal",I174,0)-J174)/2)</f>
        <v>0</v>
      </c>
      <c r="S174" s="111">
        <f t="shared" ca="1" si="20"/>
        <v>0</v>
      </c>
      <c r="U174" s="131" t="str">
        <f t="shared" ca="1" si="21"/>
        <v/>
      </c>
      <c r="V174" s="131" t="str">
        <f t="shared" ca="1" si="18"/>
        <v/>
      </c>
      <c r="W174" s="111">
        <f ca="1">IF(OR((W173-13/12*Z173)*(1+PREMISSAS!$C$17)&lt;0,W173=""),0,(W173-13/12*Z173)*(1+PREMISSAS!$C$17))</f>
        <v>0</v>
      </c>
      <c r="X174" s="111">
        <f ca="1">IF(OR((X173-13/12*AA173)*(1+PREMISSAS!$C$17)&lt;0,X173=""),0,(X173-13/12*AA173)*(1+PREMISSAS!$C$17))</f>
        <v>0</v>
      </c>
      <c r="Y174" s="111">
        <f t="shared" ca="1" si="19"/>
        <v>0</v>
      </c>
      <c r="Z174" s="134">
        <f t="shared" ca="1" si="22"/>
        <v>0</v>
      </c>
      <c r="AA174" s="134">
        <f t="shared" ca="1" si="23"/>
        <v>0</v>
      </c>
    </row>
    <row r="175" spans="2:27" x14ac:dyDescent="0.3">
      <c r="B175" s="21">
        <f ca="1">IF(B174="","",IF(EOMONTH(B174,1)&gt;EOMONTH(ELEGIBILIDADE!$E$5,0),"",EOMONTH(B174,1)))</f>
        <v>50071</v>
      </c>
      <c r="C175" s="22">
        <f ca="1">IF(B175="","",IF(MONTH(B175)=1,C174*(1+PREMISSAS!$C$58),C174))</f>
        <v>0</v>
      </c>
      <c r="D175" s="22">
        <f ca="1">IF(RESULTADOS!$C$17="Normal",IFERROR(MAX(C175-PREMISSAS!$C$14,0),0),IF(PREMISSAS!$H$117=0,0,MAX(10*PREMISSAS!$C$39,RESULTADOS!$F$17)))</f>
        <v>0</v>
      </c>
      <c r="E175" s="4">
        <f ca="1">D175*IF(RESULTADOS!$C$17="Normal",RESULTADOS!$C$16,0)</f>
        <v>0</v>
      </c>
      <c r="F175" s="4">
        <f ca="1">IF(D175&lt;&gt;0,PREMISSAS!$N$83,0)</f>
        <v>0</v>
      </c>
      <c r="G175" s="4">
        <f ca="1">IFERROR(IF(RESULTADOS!$C$17="Normal",0,D175)*IF(RESULTADOS!$C$17="Normal",RESULTADOS!$C$18,RESULTADOS!$C$16),0)</f>
        <v>0</v>
      </c>
      <c r="H175" s="4">
        <f ca="1">IF(RESULTADOS!$C$17="Normal",E175,0)</f>
        <v>0</v>
      </c>
      <c r="I175" s="4">
        <f ca="1">(E175+H175+G175)*IFERROR(VLOOKUP(INT(COUNT($B$5:B175)/12),PREMISSAS!$B$62:$C$69,2,FALSE),PREMISSAS!$C$69)</f>
        <v>0</v>
      </c>
      <c r="J175" s="4">
        <f ca="1">D175*IF(RESULTADOS!$C$17="Normal",PREMISSAS!$C$71,0)</f>
        <v>0</v>
      </c>
      <c r="K175" s="87">
        <f ca="1">IFERROR(K174*(1+PREMISSAS!$C$19)+(E175+H175-IF(RESULTADOS!$C$17="Normal",I175,0)-J175)*IF(MONTH(B175)=12,2,1),0)</f>
        <v>0</v>
      </c>
      <c r="L175" s="87">
        <f ca="1">IFERROR((L174+G175-IF(RESULTADOS!$C$17="Normal",0,I175))*(1+PREMISSAS!$C$19)+F175,0)</f>
        <v>0</v>
      </c>
      <c r="N175" s="58">
        <f t="shared" ca="1" si="16"/>
        <v>0</v>
      </c>
      <c r="O175" s="223"/>
      <c r="P175" s="131">
        <f t="shared" ca="1" si="17"/>
        <v>50071</v>
      </c>
      <c r="Q175" s="111">
        <f ca="1">IF(C175="","",Q174+(E175+H175-IF(RESULTADOS!$C$17="Normal",I175,0)-J175)/2+(F175+G175-IF(RESULTADOS!$C$17="Normal",0,I175)))</f>
        <v>0</v>
      </c>
      <c r="R175" s="111">
        <f ca="1">IF(C175="","",R174+(E175+H175-IF(RESULTADOS!$C$17="Normal",I175,0)-J175)/2)</f>
        <v>0</v>
      </c>
      <c r="S175" s="111">
        <f t="shared" ca="1" si="20"/>
        <v>0</v>
      </c>
      <c r="U175" s="131" t="str">
        <f t="shared" ca="1" si="21"/>
        <v/>
      </c>
      <c r="V175" s="131" t="str">
        <f t="shared" ca="1" si="18"/>
        <v/>
      </c>
      <c r="W175" s="111">
        <f ca="1">IF(OR((W174-13/12*Z174)*(1+PREMISSAS!$C$17)&lt;0,W174=""),0,(W174-13/12*Z174)*(1+PREMISSAS!$C$17))</f>
        <v>0</v>
      </c>
      <c r="X175" s="111">
        <f ca="1">IF(OR((X174-13/12*AA174)*(1+PREMISSAS!$C$17)&lt;0,X174=""),0,(X174-13/12*AA174)*(1+PREMISSAS!$C$17))</f>
        <v>0</v>
      </c>
      <c r="Y175" s="111">
        <f t="shared" ca="1" si="19"/>
        <v>0</v>
      </c>
      <c r="Z175" s="134">
        <f t="shared" ca="1" si="22"/>
        <v>0</v>
      </c>
      <c r="AA175" s="134">
        <f t="shared" ca="1" si="23"/>
        <v>0</v>
      </c>
    </row>
    <row r="176" spans="2:27" x14ac:dyDescent="0.3">
      <c r="B176" s="21">
        <f ca="1">IF(B175="","",IF(EOMONTH(B175,1)&gt;EOMONTH(ELEGIBILIDADE!$E$5,0),"",EOMONTH(B175,1)))</f>
        <v>50099</v>
      </c>
      <c r="C176" s="22">
        <f ca="1">IF(B176="","",IF(MONTH(B176)=1,C175*(1+PREMISSAS!$C$58),C175))</f>
        <v>0</v>
      </c>
      <c r="D176" s="22">
        <f ca="1">IF(RESULTADOS!$C$17="Normal",IFERROR(MAX(C176-PREMISSAS!$C$14,0),0),IF(PREMISSAS!$H$117=0,0,MAX(10*PREMISSAS!$C$39,RESULTADOS!$F$17)))</f>
        <v>0</v>
      </c>
      <c r="E176" s="4">
        <f ca="1">D176*IF(RESULTADOS!$C$17="Normal",RESULTADOS!$C$16,0)</f>
        <v>0</v>
      </c>
      <c r="F176" s="4">
        <f ca="1">IF(D176&lt;&gt;0,PREMISSAS!$N$83,0)</f>
        <v>0</v>
      </c>
      <c r="G176" s="4">
        <f ca="1">IFERROR(IF(RESULTADOS!$C$17="Normal",0,D176)*IF(RESULTADOS!$C$17="Normal",RESULTADOS!$C$18,RESULTADOS!$C$16),0)</f>
        <v>0</v>
      </c>
      <c r="H176" s="4">
        <f ca="1">IF(RESULTADOS!$C$17="Normal",E176,0)</f>
        <v>0</v>
      </c>
      <c r="I176" s="4">
        <f ca="1">(E176+H176+G176)*IFERROR(VLOOKUP(INT(COUNT($B$5:B176)/12),PREMISSAS!$B$62:$C$69,2,FALSE),PREMISSAS!$C$69)</f>
        <v>0</v>
      </c>
      <c r="J176" s="4">
        <f ca="1">D176*IF(RESULTADOS!$C$17="Normal",PREMISSAS!$C$71,0)</f>
        <v>0</v>
      </c>
      <c r="K176" s="87">
        <f ca="1">IFERROR(K175*(1+PREMISSAS!$C$19)+(E176+H176-IF(RESULTADOS!$C$17="Normal",I176,0)-J176)*IF(MONTH(B176)=12,2,1),0)</f>
        <v>0</v>
      </c>
      <c r="L176" s="87">
        <f ca="1">IFERROR((L175+G176-IF(RESULTADOS!$C$17="Normal",0,I176))*(1+PREMISSAS!$C$19)+F176,0)</f>
        <v>0</v>
      </c>
      <c r="N176" s="58">
        <f t="shared" ca="1" si="16"/>
        <v>0</v>
      </c>
      <c r="O176" s="223"/>
      <c r="P176" s="131">
        <f t="shared" ca="1" si="17"/>
        <v>50099</v>
      </c>
      <c r="Q176" s="111">
        <f ca="1">IF(C176="","",Q175+(E176+H176-IF(RESULTADOS!$C$17="Normal",I176,0)-J176)/2+(F176+G176-IF(RESULTADOS!$C$17="Normal",0,I176)))</f>
        <v>0</v>
      </c>
      <c r="R176" s="111">
        <f ca="1">IF(C176="","",R175+(E176+H176-IF(RESULTADOS!$C$17="Normal",I176,0)-J176)/2)</f>
        <v>0</v>
      </c>
      <c r="S176" s="111">
        <f t="shared" ca="1" si="20"/>
        <v>0</v>
      </c>
      <c r="U176" s="131" t="str">
        <f t="shared" ca="1" si="21"/>
        <v/>
      </c>
      <c r="V176" s="131" t="str">
        <f t="shared" ca="1" si="18"/>
        <v/>
      </c>
      <c r="W176" s="111">
        <f ca="1">IF(OR((W175-13/12*Z175)*(1+PREMISSAS!$C$17)&lt;0,W175=""),0,(W175-13/12*Z175)*(1+PREMISSAS!$C$17))</f>
        <v>0</v>
      </c>
      <c r="X176" s="111">
        <f ca="1">IF(OR((X175-13/12*AA175)*(1+PREMISSAS!$C$17)&lt;0,X175=""),0,(X175-13/12*AA175)*(1+PREMISSAS!$C$17))</f>
        <v>0</v>
      </c>
      <c r="Y176" s="111">
        <f t="shared" ca="1" si="19"/>
        <v>0</v>
      </c>
      <c r="Z176" s="134">
        <f t="shared" ca="1" si="22"/>
        <v>0</v>
      </c>
      <c r="AA176" s="134">
        <f t="shared" ca="1" si="23"/>
        <v>0</v>
      </c>
    </row>
    <row r="177" spans="2:27" x14ac:dyDescent="0.3">
      <c r="B177" s="21">
        <f ca="1">IF(B176="","",IF(EOMONTH(B176,1)&gt;EOMONTH(ELEGIBILIDADE!$E$5,0),"",EOMONTH(B176,1)))</f>
        <v>50130</v>
      </c>
      <c r="C177" s="22">
        <f ca="1">IF(B177="","",IF(MONTH(B177)=1,C176*(1+PREMISSAS!$C$58),C176))</f>
        <v>0</v>
      </c>
      <c r="D177" s="22">
        <f ca="1">IF(RESULTADOS!$C$17="Normal",IFERROR(MAX(C177-PREMISSAS!$C$14,0),0),IF(PREMISSAS!$H$117=0,0,MAX(10*PREMISSAS!$C$39,RESULTADOS!$F$17)))</f>
        <v>0</v>
      </c>
      <c r="E177" s="4">
        <f ca="1">D177*IF(RESULTADOS!$C$17="Normal",RESULTADOS!$C$16,0)</f>
        <v>0</v>
      </c>
      <c r="F177" s="4">
        <f ca="1">IF(D177&lt;&gt;0,PREMISSAS!$N$83,0)</f>
        <v>0</v>
      </c>
      <c r="G177" s="4">
        <f ca="1">IFERROR(IF(RESULTADOS!$C$17="Normal",0,D177)*IF(RESULTADOS!$C$17="Normal",RESULTADOS!$C$18,RESULTADOS!$C$16),0)</f>
        <v>0</v>
      </c>
      <c r="H177" s="4">
        <f ca="1">IF(RESULTADOS!$C$17="Normal",E177,0)</f>
        <v>0</v>
      </c>
      <c r="I177" s="4">
        <f ca="1">(E177+H177+G177)*IFERROR(VLOOKUP(INT(COUNT($B$5:B177)/12),PREMISSAS!$B$62:$C$69,2,FALSE),PREMISSAS!$C$69)</f>
        <v>0</v>
      </c>
      <c r="J177" s="4">
        <f ca="1">D177*IF(RESULTADOS!$C$17="Normal",PREMISSAS!$C$71,0)</f>
        <v>0</v>
      </c>
      <c r="K177" s="87">
        <f ca="1">IFERROR(K176*(1+PREMISSAS!$C$19)+(E177+H177-IF(RESULTADOS!$C$17="Normal",I177,0)-J177)*IF(MONTH(B177)=12,2,1),0)</f>
        <v>0</v>
      </c>
      <c r="L177" s="87">
        <f ca="1">IFERROR((L176+G177-IF(RESULTADOS!$C$17="Normal",0,I177))*(1+PREMISSAS!$C$19)+F177,0)</f>
        <v>0</v>
      </c>
      <c r="N177" s="58">
        <f t="shared" ca="1" si="16"/>
        <v>0</v>
      </c>
      <c r="O177" s="223"/>
      <c r="P177" s="131">
        <f t="shared" ca="1" si="17"/>
        <v>50130</v>
      </c>
      <c r="Q177" s="111">
        <f ca="1">IF(C177="","",Q176+(E177+H177-IF(RESULTADOS!$C$17="Normal",I177,0)-J177)/2+(F177+G177-IF(RESULTADOS!$C$17="Normal",0,I177)))</f>
        <v>0</v>
      </c>
      <c r="R177" s="111">
        <f ca="1">IF(C177="","",R176+(E177+H177-IF(RESULTADOS!$C$17="Normal",I177,0)-J177)/2)</f>
        <v>0</v>
      </c>
      <c r="S177" s="111">
        <f t="shared" ca="1" si="20"/>
        <v>0</v>
      </c>
      <c r="U177" s="131" t="str">
        <f t="shared" ca="1" si="21"/>
        <v/>
      </c>
      <c r="V177" s="131" t="str">
        <f t="shared" ca="1" si="18"/>
        <v/>
      </c>
      <c r="W177" s="111">
        <f ca="1">IF(OR((W176-13/12*Z176)*(1+PREMISSAS!$C$17)&lt;0,W176=""),0,(W176-13/12*Z176)*(1+PREMISSAS!$C$17))</f>
        <v>0</v>
      </c>
      <c r="X177" s="111">
        <f ca="1">IF(OR((X176-13/12*AA176)*(1+PREMISSAS!$C$17)&lt;0,X176=""),0,(X176-13/12*AA176)*(1+PREMISSAS!$C$17))</f>
        <v>0</v>
      </c>
      <c r="Y177" s="111">
        <f t="shared" ca="1" si="19"/>
        <v>0</v>
      </c>
      <c r="Z177" s="134">
        <f t="shared" ca="1" si="22"/>
        <v>0</v>
      </c>
      <c r="AA177" s="134">
        <f t="shared" ca="1" si="23"/>
        <v>0</v>
      </c>
    </row>
    <row r="178" spans="2:27" x14ac:dyDescent="0.3">
      <c r="B178" s="21">
        <f ca="1">IF(B177="","",IF(EOMONTH(B177,1)&gt;EOMONTH(ELEGIBILIDADE!$E$5,0),"",EOMONTH(B177,1)))</f>
        <v>50160</v>
      </c>
      <c r="C178" s="22">
        <f ca="1">IF(B178="","",IF(MONTH(B178)=1,C177*(1+PREMISSAS!$C$58),C177))</f>
        <v>0</v>
      </c>
      <c r="D178" s="22">
        <f ca="1">IF(RESULTADOS!$C$17="Normal",IFERROR(MAX(C178-PREMISSAS!$C$14,0),0),IF(PREMISSAS!$H$117=0,0,MAX(10*PREMISSAS!$C$39,RESULTADOS!$F$17)))</f>
        <v>0</v>
      </c>
      <c r="E178" s="4">
        <f ca="1">D178*IF(RESULTADOS!$C$17="Normal",RESULTADOS!$C$16,0)</f>
        <v>0</v>
      </c>
      <c r="F178" s="4">
        <f ca="1">IF(D178&lt;&gt;0,PREMISSAS!$N$83,0)</f>
        <v>0</v>
      </c>
      <c r="G178" s="4">
        <f ca="1">IFERROR(IF(RESULTADOS!$C$17="Normal",0,D178)*IF(RESULTADOS!$C$17="Normal",RESULTADOS!$C$18,RESULTADOS!$C$16),0)</f>
        <v>0</v>
      </c>
      <c r="H178" s="4">
        <f ca="1">IF(RESULTADOS!$C$17="Normal",E178,0)</f>
        <v>0</v>
      </c>
      <c r="I178" s="4">
        <f ca="1">(E178+H178+G178)*IFERROR(VLOOKUP(INT(COUNT($B$5:B178)/12),PREMISSAS!$B$62:$C$69,2,FALSE),PREMISSAS!$C$69)</f>
        <v>0</v>
      </c>
      <c r="J178" s="4">
        <f ca="1">D178*IF(RESULTADOS!$C$17="Normal",PREMISSAS!$C$71,0)</f>
        <v>0</v>
      </c>
      <c r="K178" s="87">
        <f ca="1">IFERROR(K177*(1+PREMISSAS!$C$19)+(E178+H178-IF(RESULTADOS!$C$17="Normal",I178,0)-J178)*IF(MONTH(B178)=12,2,1),0)</f>
        <v>0</v>
      </c>
      <c r="L178" s="87">
        <f ca="1">IFERROR((L177+G178-IF(RESULTADOS!$C$17="Normal",0,I178))*(1+PREMISSAS!$C$19)+F178,0)</f>
        <v>0</v>
      </c>
      <c r="N178" s="58">
        <f t="shared" ca="1" si="16"/>
        <v>0</v>
      </c>
      <c r="O178" s="223"/>
      <c r="P178" s="131">
        <f t="shared" ca="1" si="17"/>
        <v>50160</v>
      </c>
      <c r="Q178" s="111">
        <f ca="1">IF(C178="","",Q177+(E178+H178-IF(RESULTADOS!$C$17="Normal",I178,0)-J178)/2+(F178+G178-IF(RESULTADOS!$C$17="Normal",0,I178)))</f>
        <v>0</v>
      </c>
      <c r="R178" s="111">
        <f ca="1">IF(C178="","",R177+(E178+H178-IF(RESULTADOS!$C$17="Normal",I178,0)-J178)/2)</f>
        <v>0</v>
      </c>
      <c r="S178" s="111">
        <f t="shared" ca="1" si="20"/>
        <v>0</v>
      </c>
      <c r="U178" s="131" t="str">
        <f t="shared" ca="1" si="21"/>
        <v/>
      </c>
      <c r="V178" s="131" t="str">
        <f t="shared" ca="1" si="18"/>
        <v/>
      </c>
      <c r="W178" s="111">
        <f ca="1">IF(OR((W177-13/12*Z177)*(1+PREMISSAS!$C$17)&lt;0,W177=""),0,(W177-13/12*Z177)*(1+PREMISSAS!$C$17))</f>
        <v>0</v>
      </c>
      <c r="X178" s="111">
        <f ca="1">IF(OR((X177-13/12*AA177)*(1+PREMISSAS!$C$17)&lt;0,X177=""),0,(X177-13/12*AA177)*(1+PREMISSAS!$C$17))</f>
        <v>0</v>
      </c>
      <c r="Y178" s="111">
        <f t="shared" ca="1" si="19"/>
        <v>0</v>
      </c>
      <c r="Z178" s="134">
        <f t="shared" ca="1" si="22"/>
        <v>0</v>
      </c>
      <c r="AA178" s="134">
        <f t="shared" ca="1" si="23"/>
        <v>0</v>
      </c>
    </row>
    <row r="179" spans="2:27" x14ac:dyDescent="0.3">
      <c r="B179" s="21">
        <f ca="1">IF(B178="","",IF(EOMONTH(B178,1)&gt;EOMONTH(ELEGIBILIDADE!$E$5,0),"",EOMONTH(B178,1)))</f>
        <v>50191</v>
      </c>
      <c r="C179" s="22">
        <f ca="1">IF(B179="","",IF(MONTH(B179)=1,C178*(1+PREMISSAS!$C$58),C178))</f>
        <v>0</v>
      </c>
      <c r="D179" s="22">
        <f ca="1">IF(RESULTADOS!$C$17="Normal",IFERROR(MAX(C179-PREMISSAS!$C$14,0),0),IF(PREMISSAS!$H$117=0,0,MAX(10*PREMISSAS!$C$39,RESULTADOS!$F$17)))</f>
        <v>0</v>
      </c>
      <c r="E179" s="4">
        <f ca="1">D179*IF(RESULTADOS!$C$17="Normal",RESULTADOS!$C$16,0)</f>
        <v>0</v>
      </c>
      <c r="F179" s="4">
        <f ca="1">IF(D179&lt;&gt;0,PREMISSAS!$N$83,0)</f>
        <v>0</v>
      </c>
      <c r="G179" s="4">
        <f ca="1">IFERROR(IF(RESULTADOS!$C$17="Normal",0,D179)*IF(RESULTADOS!$C$17="Normal",RESULTADOS!$C$18,RESULTADOS!$C$16),0)</f>
        <v>0</v>
      </c>
      <c r="H179" s="4">
        <f ca="1">IF(RESULTADOS!$C$17="Normal",E179,0)</f>
        <v>0</v>
      </c>
      <c r="I179" s="4">
        <f ca="1">(E179+H179+G179)*IFERROR(VLOOKUP(INT(COUNT($B$5:B179)/12),PREMISSAS!$B$62:$C$69,2,FALSE),PREMISSAS!$C$69)</f>
        <v>0</v>
      </c>
      <c r="J179" s="4">
        <f ca="1">D179*IF(RESULTADOS!$C$17="Normal",PREMISSAS!$C$71,0)</f>
        <v>0</v>
      </c>
      <c r="K179" s="87">
        <f ca="1">IFERROR(K178*(1+PREMISSAS!$C$19)+(E179+H179-IF(RESULTADOS!$C$17="Normal",I179,0)-J179)*IF(MONTH(B179)=12,2,1),0)</f>
        <v>0</v>
      </c>
      <c r="L179" s="87">
        <f ca="1">IFERROR((L178+G179-IF(RESULTADOS!$C$17="Normal",0,I179))*(1+PREMISSAS!$C$19)+F179,0)</f>
        <v>0</v>
      </c>
      <c r="N179" s="58">
        <f t="shared" ca="1" si="16"/>
        <v>0</v>
      </c>
      <c r="O179" s="223"/>
      <c r="P179" s="131">
        <f t="shared" ca="1" si="17"/>
        <v>50191</v>
      </c>
      <c r="Q179" s="111">
        <f ca="1">IF(C179="","",Q178+(E179+H179-IF(RESULTADOS!$C$17="Normal",I179,0)-J179)/2+(F179+G179-IF(RESULTADOS!$C$17="Normal",0,I179)))</f>
        <v>0</v>
      </c>
      <c r="R179" s="111">
        <f ca="1">IF(C179="","",R178+(E179+H179-IF(RESULTADOS!$C$17="Normal",I179,0)-J179)/2)</f>
        <v>0</v>
      </c>
      <c r="S179" s="111">
        <f t="shared" ca="1" si="20"/>
        <v>0</v>
      </c>
      <c r="U179" s="131" t="str">
        <f t="shared" ca="1" si="21"/>
        <v/>
      </c>
      <c r="V179" s="131" t="str">
        <f t="shared" ca="1" si="18"/>
        <v/>
      </c>
      <c r="W179" s="111">
        <f ca="1">IF(OR((W178-13/12*Z178)*(1+PREMISSAS!$C$17)&lt;0,W178=""),0,(W178-13/12*Z178)*(1+PREMISSAS!$C$17))</f>
        <v>0</v>
      </c>
      <c r="X179" s="111">
        <f ca="1">IF(OR((X178-13/12*AA178)*(1+PREMISSAS!$C$17)&lt;0,X178=""),0,(X178-13/12*AA178)*(1+PREMISSAS!$C$17))</f>
        <v>0</v>
      </c>
      <c r="Y179" s="111">
        <f t="shared" ca="1" si="19"/>
        <v>0</v>
      </c>
      <c r="Z179" s="134">
        <f t="shared" ca="1" si="22"/>
        <v>0</v>
      </c>
      <c r="AA179" s="134">
        <f t="shared" ca="1" si="23"/>
        <v>0</v>
      </c>
    </row>
    <row r="180" spans="2:27" x14ac:dyDescent="0.3">
      <c r="B180" s="21">
        <f ca="1">IF(B179="","",IF(EOMONTH(B179,1)&gt;EOMONTH(ELEGIBILIDADE!$E$5,0),"",EOMONTH(B179,1)))</f>
        <v>50221</v>
      </c>
      <c r="C180" s="22">
        <f ca="1">IF(B180="","",IF(MONTH(B180)=1,C179*(1+PREMISSAS!$C$58),C179))</f>
        <v>0</v>
      </c>
      <c r="D180" s="22">
        <f ca="1">IF(RESULTADOS!$C$17="Normal",IFERROR(MAX(C180-PREMISSAS!$C$14,0),0),IF(PREMISSAS!$H$117=0,0,MAX(10*PREMISSAS!$C$39,RESULTADOS!$F$17)))</f>
        <v>0</v>
      </c>
      <c r="E180" s="4">
        <f ca="1">D180*IF(RESULTADOS!$C$17="Normal",RESULTADOS!$C$16,0)</f>
        <v>0</v>
      </c>
      <c r="F180" s="4">
        <f ca="1">IF(D180&lt;&gt;0,PREMISSAS!$N$83,0)</f>
        <v>0</v>
      </c>
      <c r="G180" s="4">
        <f ca="1">IFERROR(IF(RESULTADOS!$C$17="Normal",0,D180)*IF(RESULTADOS!$C$17="Normal",RESULTADOS!$C$18,RESULTADOS!$C$16),0)</f>
        <v>0</v>
      </c>
      <c r="H180" s="4">
        <f ca="1">IF(RESULTADOS!$C$17="Normal",E180,0)</f>
        <v>0</v>
      </c>
      <c r="I180" s="4">
        <f ca="1">(E180+H180+G180)*IFERROR(VLOOKUP(INT(COUNT($B$5:B180)/12),PREMISSAS!$B$62:$C$69,2,FALSE),PREMISSAS!$C$69)</f>
        <v>0</v>
      </c>
      <c r="J180" s="4">
        <f ca="1">D180*IF(RESULTADOS!$C$17="Normal",PREMISSAS!$C$71,0)</f>
        <v>0</v>
      </c>
      <c r="K180" s="87">
        <f ca="1">IFERROR(K179*(1+PREMISSAS!$C$19)+(E180+H180-IF(RESULTADOS!$C$17="Normal",I180,0)-J180)*IF(MONTH(B180)=12,2,1),0)</f>
        <v>0</v>
      </c>
      <c r="L180" s="87">
        <f ca="1">IFERROR((L179+G180-IF(RESULTADOS!$C$17="Normal",0,I180))*(1+PREMISSAS!$C$19)+F180,0)</f>
        <v>0</v>
      </c>
      <c r="N180" s="58">
        <f t="shared" ca="1" si="16"/>
        <v>0</v>
      </c>
      <c r="O180" s="223"/>
      <c r="P180" s="131">
        <f t="shared" ca="1" si="17"/>
        <v>50221</v>
      </c>
      <c r="Q180" s="111">
        <f ca="1">IF(C180="","",Q179+(E180+H180-IF(RESULTADOS!$C$17="Normal",I180,0)-J180)/2+(F180+G180-IF(RESULTADOS!$C$17="Normal",0,I180)))</f>
        <v>0</v>
      </c>
      <c r="R180" s="111">
        <f ca="1">IF(C180="","",R179+(E180+H180-IF(RESULTADOS!$C$17="Normal",I180,0)-J180)/2)</f>
        <v>0</v>
      </c>
      <c r="S180" s="111">
        <f t="shared" ca="1" si="20"/>
        <v>0</v>
      </c>
      <c r="U180" s="131" t="str">
        <f t="shared" ca="1" si="21"/>
        <v/>
      </c>
      <c r="V180" s="131" t="str">
        <f t="shared" ca="1" si="18"/>
        <v/>
      </c>
      <c r="W180" s="111">
        <f ca="1">IF(OR((W179-13/12*Z179)*(1+PREMISSAS!$C$17)&lt;0,W179=""),0,(W179-13/12*Z179)*(1+PREMISSAS!$C$17))</f>
        <v>0</v>
      </c>
      <c r="X180" s="111">
        <f ca="1">IF(OR((X179-13/12*AA179)*(1+PREMISSAS!$C$17)&lt;0,X179=""),0,(X179-13/12*AA179)*(1+PREMISSAS!$C$17))</f>
        <v>0</v>
      </c>
      <c r="Y180" s="111">
        <f t="shared" ca="1" si="19"/>
        <v>0</v>
      </c>
      <c r="Z180" s="134">
        <f t="shared" ca="1" si="22"/>
        <v>0</v>
      </c>
      <c r="AA180" s="134">
        <f t="shared" ca="1" si="23"/>
        <v>0</v>
      </c>
    </row>
    <row r="181" spans="2:27" x14ac:dyDescent="0.3">
      <c r="B181" s="21">
        <f ca="1">IF(B180="","",IF(EOMONTH(B180,1)&gt;EOMONTH(ELEGIBILIDADE!$E$5,0),"",EOMONTH(B180,1)))</f>
        <v>50252</v>
      </c>
      <c r="C181" s="22">
        <f ca="1">IF(B181="","",IF(MONTH(B181)=1,C180*(1+PREMISSAS!$C$58),C180))</f>
        <v>0</v>
      </c>
      <c r="D181" s="22">
        <f ca="1">IF(RESULTADOS!$C$17="Normal",IFERROR(MAX(C181-PREMISSAS!$C$14,0),0),IF(PREMISSAS!$H$117=0,0,MAX(10*PREMISSAS!$C$39,RESULTADOS!$F$17)))</f>
        <v>0</v>
      </c>
      <c r="E181" s="4">
        <f ca="1">D181*IF(RESULTADOS!$C$17="Normal",RESULTADOS!$C$16,0)</f>
        <v>0</v>
      </c>
      <c r="F181" s="4">
        <f ca="1">IF(D181&lt;&gt;0,PREMISSAS!$N$83,0)</f>
        <v>0</v>
      </c>
      <c r="G181" s="4">
        <f ca="1">IFERROR(IF(RESULTADOS!$C$17="Normal",0,D181)*IF(RESULTADOS!$C$17="Normal",RESULTADOS!$C$18,RESULTADOS!$C$16),0)</f>
        <v>0</v>
      </c>
      <c r="H181" s="4">
        <f ca="1">IF(RESULTADOS!$C$17="Normal",E181,0)</f>
        <v>0</v>
      </c>
      <c r="I181" s="4">
        <f ca="1">(E181+H181+G181)*IFERROR(VLOOKUP(INT(COUNT($B$5:B181)/12),PREMISSAS!$B$62:$C$69,2,FALSE),PREMISSAS!$C$69)</f>
        <v>0</v>
      </c>
      <c r="J181" s="4">
        <f ca="1">D181*IF(RESULTADOS!$C$17="Normal",PREMISSAS!$C$71,0)</f>
        <v>0</v>
      </c>
      <c r="K181" s="87">
        <f ca="1">IFERROR(K180*(1+PREMISSAS!$C$19)+(E181+H181-IF(RESULTADOS!$C$17="Normal",I181,0)-J181)*IF(MONTH(B181)=12,2,1),0)</f>
        <v>0</v>
      </c>
      <c r="L181" s="87">
        <f ca="1">IFERROR((L180+G181-IF(RESULTADOS!$C$17="Normal",0,I181))*(1+PREMISSAS!$C$19)+F181,0)</f>
        <v>0</v>
      </c>
      <c r="N181" s="58">
        <f t="shared" ca="1" si="16"/>
        <v>0</v>
      </c>
      <c r="O181" s="223"/>
      <c r="P181" s="131">
        <f t="shared" ca="1" si="17"/>
        <v>50252</v>
      </c>
      <c r="Q181" s="111">
        <f ca="1">IF(C181="","",Q180+(E181+H181-IF(RESULTADOS!$C$17="Normal",I181,0)-J181)/2+(F181+G181-IF(RESULTADOS!$C$17="Normal",0,I181)))</f>
        <v>0</v>
      </c>
      <c r="R181" s="111">
        <f ca="1">IF(C181="","",R180+(E181+H181-IF(RESULTADOS!$C$17="Normal",I181,0)-J181)/2)</f>
        <v>0</v>
      </c>
      <c r="S181" s="111">
        <f t="shared" ca="1" si="20"/>
        <v>0</v>
      </c>
      <c r="U181" s="131" t="str">
        <f t="shared" ca="1" si="21"/>
        <v/>
      </c>
      <c r="V181" s="131" t="str">
        <f t="shared" ca="1" si="18"/>
        <v/>
      </c>
      <c r="W181" s="111">
        <f ca="1">IF(OR((W180-13/12*Z180)*(1+PREMISSAS!$C$17)&lt;0,W180=""),0,(W180-13/12*Z180)*(1+PREMISSAS!$C$17))</f>
        <v>0</v>
      </c>
      <c r="X181" s="111">
        <f ca="1">IF(OR((X180-13/12*AA180)*(1+PREMISSAS!$C$17)&lt;0,X180=""),0,(X180-13/12*AA180)*(1+PREMISSAS!$C$17))</f>
        <v>0</v>
      </c>
      <c r="Y181" s="111">
        <f t="shared" ca="1" si="19"/>
        <v>0</v>
      </c>
      <c r="Z181" s="134">
        <f t="shared" ca="1" si="22"/>
        <v>0</v>
      </c>
      <c r="AA181" s="134">
        <f t="shared" ca="1" si="23"/>
        <v>0</v>
      </c>
    </row>
    <row r="182" spans="2:27" x14ac:dyDescent="0.3">
      <c r="B182" s="21">
        <f ca="1">IF(B181="","",IF(EOMONTH(B181,1)&gt;EOMONTH(ELEGIBILIDADE!$E$5,0),"",EOMONTH(B181,1)))</f>
        <v>50283</v>
      </c>
      <c r="C182" s="22">
        <f ca="1">IF(B182="","",IF(MONTH(B182)=1,C181*(1+PREMISSAS!$C$58),C181))</f>
        <v>0</v>
      </c>
      <c r="D182" s="22">
        <f ca="1">IF(RESULTADOS!$C$17="Normal",IFERROR(MAX(C182-PREMISSAS!$C$14,0),0),IF(PREMISSAS!$H$117=0,0,MAX(10*PREMISSAS!$C$39,RESULTADOS!$F$17)))</f>
        <v>0</v>
      </c>
      <c r="E182" s="4">
        <f ca="1">D182*IF(RESULTADOS!$C$17="Normal",RESULTADOS!$C$16,0)</f>
        <v>0</v>
      </c>
      <c r="F182" s="4">
        <f ca="1">IF(D182&lt;&gt;0,PREMISSAS!$N$83,0)</f>
        <v>0</v>
      </c>
      <c r="G182" s="4">
        <f ca="1">IFERROR(IF(RESULTADOS!$C$17="Normal",0,D182)*IF(RESULTADOS!$C$17="Normal",RESULTADOS!$C$18,RESULTADOS!$C$16),0)</f>
        <v>0</v>
      </c>
      <c r="H182" s="4">
        <f ca="1">IF(RESULTADOS!$C$17="Normal",E182,0)</f>
        <v>0</v>
      </c>
      <c r="I182" s="4">
        <f ca="1">(E182+H182+G182)*IFERROR(VLOOKUP(INT(COUNT($B$5:B182)/12),PREMISSAS!$B$62:$C$69,2,FALSE),PREMISSAS!$C$69)</f>
        <v>0</v>
      </c>
      <c r="J182" s="4">
        <f ca="1">D182*IF(RESULTADOS!$C$17="Normal",PREMISSAS!$C$71,0)</f>
        <v>0</v>
      </c>
      <c r="K182" s="87">
        <f ca="1">IFERROR(K181*(1+PREMISSAS!$C$19)+(E182+H182-IF(RESULTADOS!$C$17="Normal",I182,0)-J182)*IF(MONTH(B182)=12,2,1),0)</f>
        <v>0</v>
      </c>
      <c r="L182" s="87">
        <f ca="1">IFERROR((L181+G182-IF(RESULTADOS!$C$17="Normal",0,I182))*(1+PREMISSAS!$C$19)+F182,0)</f>
        <v>0</v>
      </c>
      <c r="N182" s="58">
        <f t="shared" ca="1" si="16"/>
        <v>0</v>
      </c>
      <c r="O182" s="223"/>
      <c r="P182" s="131">
        <f t="shared" ca="1" si="17"/>
        <v>50283</v>
      </c>
      <c r="Q182" s="111">
        <f ca="1">IF(C182="","",Q181+(E182+H182-IF(RESULTADOS!$C$17="Normal",I182,0)-J182)/2+(F182+G182-IF(RESULTADOS!$C$17="Normal",0,I182)))</f>
        <v>0</v>
      </c>
      <c r="R182" s="111">
        <f ca="1">IF(C182="","",R181+(E182+H182-IF(RESULTADOS!$C$17="Normal",I182,0)-J182)/2)</f>
        <v>0</v>
      </c>
      <c r="S182" s="111">
        <f t="shared" ca="1" si="20"/>
        <v>0</v>
      </c>
      <c r="U182" s="131" t="str">
        <f t="shared" ca="1" si="21"/>
        <v/>
      </c>
      <c r="V182" s="131" t="str">
        <f t="shared" ca="1" si="18"/>
        <v/>
      </c>
      <c r="W182" s="111">
        <f ca="1">IF(OR((W181-13/12*Z181)*(1+PREMISSAS!$C$17)&lt;0,W181=""),0,(W181-13/12*Z181)*(1+PREMISSAS!$C$17))</f>
        <v>0</v>
      </c>
      <c r="X182" s="111">
        <f ca="1">IF(OR((X181-13/12*AA181)*(1+PREMISSAS!$C$17)&lt;0,X181=""),0,(X181-13/12*AA181)*(1+PREMISSAS!$C$17))</f>
        <v>0</v>
      </c>
      <c r="Y182" s="111">
        <f t="shared" ca="1" si="19"/>
        <v>0</v>
      </c>
      <c r="Z182" s="134">
        <f t="shared" ca="1" si="22"/>
        <v>0</v>
      </c>
      <c r="AA182" s="134">
        <f t="shared" ca="1" si="23"/>
        <v>0</v>
      </c>
    </row>
    <row r="183" spans="2:27" x14ac:dyDescent="0.3">
      <c r="B183" s="21">
        <f ca="1">IF(B182="","",IF(EOMONTH(B182,1)&gt;EOMONTH(ELEGIBILIDADE!$E$5,0),"",EOMONTH(B182,1)))</f>
        <v>50313</v>
      </c>
      <c r="C183" s="22">
        <f ca="1">IF(B183="","",IF(MONTH(B183)=1,C182*(1+PREMISSAS!$C$58),C182))</f>
        <v>0</v>
      </c>
      <c r="D183" s="22">
        <f ca="1">IF(RESULTADOS!$C$17="Normal",IFERROR(MAX(C183-PREMISSAS!$C$14,0),0),IF(PREMISSAS!$H$117=0,0,MAX(10*PREMISSAS!$C$39,RESULTADOS!$F$17)))</f>
        <v>0</v>
      </c>
      <c r="E183" s="4">
        <f ca="1">D183*IF(RESULTADOS!$C$17="Normal",RESULTADOS!$C$16,0)</f>
        <v>0</v>
      </c>
      <c r="F183" s="4">
        <f ca="1">IF(D183&lt;&gt;0,PREMISSAS!$N$83,0)</f>
        <v>0</v>
      </c>
      <c r="G183" s="4">
        <f ca="1">IFERROR(IF(RESULTADOS!$C$17="Normal",0,D183)*IF(RESULTADOS!$C$17="Normal",RESULTADOS!$C$18,RESULTADOS!$C$16),0)</f>
        <v>0</v>
      </c>
      <c r="H183" s="4">
        <f ca="1">IF(RESULTADOS!$C$17="Normal",E183,0)</f>
        <v>0</v>
      </c>
      <c r="I183" s="4">
        <f ca="1">(E183+H183+G183)*IFERROR(VLOOKUP(INT(COUNT($B$5:B183)/12),PREMISSAS!$B$62:$C$69,2,FALSE),PREMISSAS!$C$69)</f>
        <v>0</v>
      </c>
      <c r="J183" s="4">
        <f ca="1">D183*IF(RESULTADOS!$C$17="Normal",PREMISSAS!$C$71,0)</f>
        <v>0</v>
      </c>
      <c r="K183" s="87">
        <f ca="1">IFERROR(K182*(1+PREMISSAS!$C$19)+(E183+H183-IF(RESULTADOS!$C$17="Normal",I183,0)-J183)*IF(MONTH(B183)=12,2,1),0)</f>
        <v>0</v>
      </c>
      <c r="L183" s="87">
        <f ca="1">IFERROR((L182+G183-IF(RESULTADOS!$C$17="Normal",0,I183))*(1+PREMISSAS!$C$19)+F183,0)</f>
        <v>0</v>
      </c>
      <c r="N183" s="58">
        <f t="shared" ca="1" si="16"/>
        <v>0</v>
      </c>
      <c r="O183" s="223"/>
      <c r="P183" s="131">
        <f t="shared" ca="1" si="17"/>
        <v>50313</v>
      </c>
      <c r="Q183" s="111">
        <f ca="1">IF(C183="","",Q182+(E183+H183-IF(RESULTADOS!$C$17="Normal",I183,0)-J183)/2+(F183+G183-IF(RESULTADOS!$C$17="Normal",0,I183)))</f>
        <v>0</v>
      </c>
      <c r="R183" s="111">
        <f ca="1">IF(C183="","",R182+(E183+H183-IF(RESULTADOS!$C$17="Normal",I183,0)-J183)/2)</f>
        <v>0</v>
      </c>
      <c r="S183" s="111">
        <f t="shared" ca="1" si="20"/>
        <v>0</v>
      </c>
      <c r="U183" s="131" t="str">
        <f t="shared" ca="1" si="21"/>
        <v/>
      </c>
      <c r="V183" s="131" t="str">
        <f t="shared" ca="1" si="18"/>
        <v/>
      </c>
      <c r="W183" s="111">
        <f ca="1">IF(OR((W182-13/12*Z182)*(1+PREMISSAS!$C$17)&lt;0,W182=""),0,(W182-13/12*Z182)*(1+PREMISSAS!$C$17))</f>
        <v>0</v>
      </c>
      <c r="X183" s="111">
        <f ca="1">IF(OR((X182-13/12*AA182)*(1+PREMISSAS!$C$17)&lt;0,X182=""),0,(X182-13/12*AA182)*(1+PREMISSAS!$C$17))</f>
        <v>0</v>
      </c>
      <c r="Y183" s="111">
        <f t="shared" ca="1" si="19"/>
        <v>0</v>
      </c>
      <c r="Z183" s="134">
        <f t="shared" ca="1" si="22"/>
        <v>0</v>
      </c>
      <c r="AA183" s="134">
        <f t="shared" ca="1" si="23"/>
        <v>0</v>
      </c>
    </row>
    <row r="184" spans="2:27" x14ac:dyDescent="0.3">
      <c r="B184" s="21">
        <f ca="1">IF(B183="","",IF(EOMONTH(B183,1)&gt;EOMONTH(ELEGIBILIDADE!$E$5,0),"",EOMONTH(B183,1)))</f>
        <v>50344</v>
      </c>
      <c r="C184" s="22">
        <f ca="1">IF(B184="","",IF(MONTH(B184)=1,C183*(1+PREMISSAS!$C$58),C183))</f>
        <v>0</v>
      </c>
      <c r="D184" s="22">
        <f ca="1">IF(RESULTADOS!$C$17="Normal",IFERROR(MAX(C184-PREMISSAS!$C$14,0),0),IF(PREMISSAS!$H$117=0,0,MAX(10*PREMISSAS!$C$39,RESULTADOS!$F$17)))</f>
        <v>0</v>
      </c>
      <c r="E184" s="4">
        <f ca="1">D184*IF(RESULTADOS!$C$17="Normal",RESULTADOS!$C$16,0)</f>
        <v>0</v>
      </c>
      <c r="F184" s="4">
        <f ca="1">IF(D184&lt;&gt;0,PREMISSAS!$N$83,0)</f>
        <v>0</v>
      </c>
      <c r="G184" s="4">
        <f ca="1">IFERROR(IF(RESULTADOS!$C$17="Normal",0,D184)*IF(RESULTADOS!$C$17="Normal",RESULTADOS!$C$18,RESULTADOS!$C$16),0)</f>
        <v>0</v>
      </c>
      <c r="H184" s="4">
        <f ca="1">IF(RESULTADOS!$C$17="Normal",E184,0)</f>
        <v>0</v>
      </c>
      <c r="I184" s="4">
        <f ca="1">(E184+H184+G184)*IFERROR(VLOOKUP(INT(COUNT($B$5:B184)/12),PREMISSAS!$B$62:$C$69,2,FALSE),PREMISSAS!$C$69)</f>
        <v>0</v>
      </c>
      <c r="J184" s="4">
        <f ca="1">D184*IF(RESULTADOS!$C$17="Normal",PREMISSAS!$C$71,0)</f>
        <v>0</v>
      </c>
      <c r="K184" s="87">
        <f ca="1">IFERROR(K183*(1+PREMISSAS!$C$19)+(E184+H184-IF(RESULTADOS!$C$17="Normal",I184,0)-J184)*IF(MONTH(B184)=12,2,1),0)</f>
        <v>0</v>
      </c>
      <c r="L184" s="87">
        <f ca="1">IFERROR((L183+G184-IF(RESULTADOS!$C$17="Normal",0,I184))*(1+PREMISSAS!$C$19)+F184,0)</f>
        <v>0</v>
      </c>
      <c r="N184" s="58">
        <f t="shared" ca="1" si="16"/>
        <v>0</v>
      </c>
      <c r="O184" s="223"/>
      <c r="P184" s="131">
        <f t="shared" ca="1" si="17"/>
        <v>50344</v>
      </c>
      <c r="Q184" s="111">
        <f ca="1">IF(C184="","",Q183+(E184+H184-IF(RESULTADOS!$C$17="Normal",I184,0)-J184)/2+(F184+G184-IF(RESULTADOS!$C$17="Normal",0,I184)))</f>
        <v>0</v>
      </c>
      <c r="R184" s="111">
        <f ca="1">IF(C184="","",R183+(E184+H184-IF(RESULTADOS!$C$17="Normal",I184,0)-J184)/2)</f>
        <v>0</v>
      </c>
      <c r="S184" s="111">
        <f t="shared" ca="1" si="20"/>
        <v>0</v>
      </c>
      <c r="U184" s="131" t="str">
        <f t="shared" ca="1" si="21"/>
        <v/>
      </c>
      <c r="V184" s="131" t="str">
        <f t="shared" ca="1" si="18"/>
        <v/>
      </c>
      <c r="W184" s="111">
        <f ca="1">IF(OR((W183-13/12*Z183)*(1+PREMISSAS!$C$17)&lt;0,W183=""),0,(W183-13/12*Z183)*(1+PREMISSAS!$C$17))</f>
        <v>0</v>
      </c>
      <c r="X184" s="111">
        <f ca="1">IF(OR((X183-13/12*AA183)*(1+PREMISSAS!$C$17)&lt;0,X183=""),0,(X183-13/12*AA183)*(1+PREMISSAS!$C$17))</f>
        <v>0</v>
      </c>
      <c r="Y184" s="111">
        <f t="shared" ca="1" si="19"/>
        <v>0</v>
      </c>
      <c r="Z184" s="134">
        <f t="shared" ca="1" si="22"/>
        <v>0</v>
      </c>
      <c r="AA184" s="134">
        <f t="shared" ca="1" si="23"/>
        <v>0</v>
      </c>
    </row>
    <row r="185" spans="2:27" x14ac:dyDescent="0.3">
      <c r="B185" s="21">
        <f ca="1">IF(B184="","",IF(EOMONTH(B184,1)&gt;EOMONTH(ELEGIBILIDADE!$E$5,0),"",EOMONTH(B184,1)))</f>
        <v>50374</v>
      </c>
      <c r="C185" s="22">
        <f ca="1">IF(B185="","",IF(MONTH(B185)=1,C184*(1+PREMISSAS!$C$58),C184))</f>
        <v>0</v>
      </c>
      <c r="D185" s="22">
        <f ca="1">IF(RESULTADOS!$C$17="Normal",IFERROR(MAX(C185-PREMISSAS!$C$14,0),0),IF(PREMISSAS!$H$117=0,0,MAX(10*PREMISSAS!$C$39,RESULTADOS!$F$17)))</f>
        <v>0</v>
      </c>
      <c r="E185" s="4">
        <f ca="1">D185*IF(RESULTADOS!$C$17="Normal",RESULTADOS!$C$16,0)</f>
        <v>0</v>
      </c>
      <c r="F185" s="4">
        <f ca="1">IF(D185&lt;&gt;0,PREMISSAS!$N$83,0)</f>
        <v>0</v>
      </c>
      <c r="G185" s="4">
        <f ca="1">IFERROR(IF(RESULTADOS!$C$17="Normal",0,D185)*IF(RESULTADOS!$C$17="Normal",RESULTADOS!$C$18,RESULTADOS!$C$16),0)</f>
        <v>0</v>
      </c>
      <c r="H185" s="4">
        <f ca="1">IF(RESULTADOS!$C$17="Normal",E185,0)</f>
        <v>0</v>
      </c>
      <c r="I185" s="4">
        <f ca="1">(E185+H185+G185)*IFERROR(VLOOKUP(INT(COUNT($B$5:B185)/12),PREMISSAS!$B$62:$C$69,2,FALSE),PREMISSAS!$C$69)</f>
        <v>0</v>
      </c>
      <c r="J185" s="4">
        <f ca="1">D185*IF(RESULTADOS!$C$17="Normal",PREMISSAS!$C$71,0)</f>
        <v>0</v>
      </c>
      <c r="K185" s="87">
        <f ca="1">IFERROR(K184*(1+PREMISSAS!$C$19)+(E185+H185-IF(RESULTADOS!$C$17="Normal",I185,0)-J185)*IF(MONTH(B185)=12,2,1),0)</f>
        <v>0</v>
      </c>
      <c r="L185" s="87">
        <f ca="1">IFERROR((L184+G185-IF(RESULTADOS!$C$17="Normal",0,I185))*(1+PREMISSAS!$C$19)+F185,0)</f>
        <v>0</v>
      </c>
      <c r="N185" s="58">
        <f t="shared" ca="1" si="16"/>
        <v>0</v>
      </c>
      <c r="O185" s="223"/>
      <c r="P185" s="131">
        <f t="shared" ca="1" si="17"/>
        <v>50374</v>
      </c>
      <c r="Q185" s="111">
        <f ca="1">IF(C185="","",Q184+(E185+H185-IF(RESULTADOS!$C$17="Normal",I185,0)-J185)/2+(F185+G185-IF(RESULTADOS!$C$17="Normal",0,I185)))</f>
        <v>0</v>
      </c>
      <c r="R185" s="111">
        <f ca="1">IF(C185="","",R184+(E185+H185-IF(RESULTADOS!$C$17="Normal",I185,0)-J185)/2)</f>
        <v>0</v>
      </c>
      <c r="S185" s="111">
        <f t="shared" ca="1" si="20"/>
        <v>0</v>
      </c>
      <c r="U185" s="131" t="str">
        <f t="shared" ca="1" si="21"/>
        <v/>
      </c>
      <c r="V185" s="131" t="str">
        <f t="shared" ca="1" si="18"/>
        <v/>
      </c>
      <c r="W185" s="111">
        <f ca="1">IF(OR((W184-13/12*Z184)*(1+PREMISSAS!$C$17)&lt;0,W184=""),0,(W184-13/12*Z184)*(1+PREMISSAS!$C$17))</f>
        <v>0</v>
      </c>
      <c r="X185" s="111">
        <f ca="1">IF(OR((X184-13/12*AA184)*(1+PREMISSAS!$C$17)&lt;0,X184=""),0,(X184-13/12*AA184)*(1+PREMISSAS!$C$17))</f>
        <v>0</v>
      </c>
      <c r="Y185" s="111">
        <f t="shared" ca="1" si="19"/>
        <v>0</v>
      </c>
      <c r="Z185" s="134">
        <f t="shared" ca="1" si="22"/>
        <v>0</v>
      </c>
      <c r="AA185" s="134">
        <f t="shared" ca="1" si="23"/>
        <v>0</v>
      </c>
    </row>
    <row r="186" spans="2:27" x14ac:dyDescent="0.3">
      <c r="B186" s="21">
        <f ca="1">IF(B185="","",IF(EOMONTH(B185,1)&gt;EOMONTH(ELEGIBILIDADE!$E$5,0),"",EOMONTH(B185,1)))</f>
        <v>50405</v>
      </c>
      <c r="C186" s="22">
        <f ca="1">IF(B186="","",IF(MONTH(B186)=1,C185*(1+PREMISSAS!$C$58),C185))</f>
        <v>0</v>
      </c>
      <c r="D186" s="22">
        <f ca="1">IF(RESULTADOS!$C$17="Normal",IFERROR(MAX(C186-PREMISSAS!$C$14,0),0),IF(PREMISSAS!$H$117=0,0,MAX(10*PREMISSAS!$C$39,RESULTADOS!$F$17)))</f>
        <v>0</v>
      </c>
      <c r="E186" s="4">
        <f ca="1">D186*IF(RESULTADOS!$C$17="Normal",RESULTADOS!$C$16,0)</f>
        <v>0</v>
      </c>
      <c r="F186" s="4">
        <f ca="1">IF(D186&lt;&gt;0,PREMISSAS!$N$83,0)</f>
        <v>0</v>
      </c>
      <c r="G186" s="4">
        <f ca="1">IFERROR(IF(RESULTADOS!$C$17="Normal",0,D186)*IF(RESULTADOS!$C$17="Normal",RESULTADOS!$C$18,RESULTADOS!$C$16),0)</f>
        <v>0</v>
      </c>
      <c r="H186" s="4">
        <f ca="1">IF(RESULTADOS!$C$17="Normal",E186,0)</f>
        <v>0</v>
      </c>
      <c r="I186" s="4">
        <f ca="1">(E186+H186+G186)*IFERROR(VLOOKUP(INT(COUNT($B$5:B186)/12),PREMISSAS!$B$62:$C$69,2,FALSE),PREMISSAS!$C$69)</f>
        <v>0</v>
      </c>
      <c r="J186" s="4">
        <f ca="1">D186*IF(RESULTADOS!$C$17="Normal",PREMISSAS!$C$71,0)</f>
        <v>0</v>
      </c>
      <c r="K186" s="87">
        <f ca="1">IFERROR(K185*(1+PREMISSAS!$C$19)+(E186+H186-IF(RESULTADOS!$C$17="Normal",I186,0)-J186)*IF(MONTH(B186)=12,2,1),0)</f>
        <v>0</v>
      </c>
      <c r="L186" s="87">
        <f ca="1">IFERROR((L185+G186-IF(RESULTADOS!$C$17="Normal",0,I186))*(1+PREMISSAS!$C$19)+F186,0)</f>
        <v>0</v>
      </c>
      <c r="N186" s="58">
        <f t="shared" ca="1" si="16"/>
        <v>0</v>
      </c>
      <c r="O186" s="223"/>
      <c r="P186" s="131">
        <f t="shared" ca="1" si="17"/>
        <v>50405</v>
      </c>
      <c r="Q186" s="111">
        <f ca="1">IF(C186="","",Q185+(E186+H186-IF(RESULTADOS!$C$17="Normal",I186,0)-J186)/2+(F186+G186-IF(RESULTADOS!$C$17="Normal",0,I186)))</f>
        <v>0</v>
      </c>
      <c r="R186" s="111">
        <f ca="1">IF(C186="","",R185+(E186+H186-IF(RESULTADOS!$C$17="Normal",I186,0)-J186)/2)</f>
        <v>0</v>
      </c>
      <c r="S186" s="111">
        <f t="shared" ca="1" si="20"/>
        <v>0</v>
      </c>
      <c r="U186" s="131" t="str">
        <f t="shared" ca="1" si="21"/>
        <v/>
      </c>
      <c r="V186" s="131" t="str">
        <f t="shared" ca="1" si="18"/>
        <v/>
      </c>
      <c r="W186" s="111">
        <f ca="1">IF(OR((W185-13/12*Z185)*(1+PREMISSAS!$C$17)&lt;0,W185=""),0,(W185-13/12*Z185)*(1+PREMISSAS!$C$17))</f>
        <v>0</v>
      </c>
      <c r="X186" s="111">
        <f ca="1">IF(OR((X185-13/12*AA185)*(1+PREMISSAS!$C$17)&lt;0,X185=""),0,(X185-13/12*AA185)*(1+PREMISSAS!$C$17))</f>
        <v>0</v>
      </c>
      <c r="Y186" s="111">
        <f t="shared" ca="1" si="19"/>
        <v>0</v>
      </c>
      <c r="Z186" s="134">
        <f t="shared" ca="1" si="22"/>
        <v>0</v>
      </c>
      <c r="AA186" s="134">
        <f t="shared" ca="1" si="23"/>
        <v>0</v>
      </c>
    </row>
    <row r="187" spans="2:27" x14ac:dyDescent="0.3">
      <c r="B187" s="21">
        <f ca="1">IF(B186="","",IF(EOMONTH(B186,1)&gt;EOMONTH(ELEGIBILIDADE!$E$5,0),"",EOMONTH(B186,1)))</f>
        <v>50436</v>
      </c>
      <c r="C187" s="22">
        <f ca="1">IF(B187="","",IF(MONTH(B187)=1,C186*(1+PREMISSAS!$C$58),C186))</f>
        <v>0</v>
      </c>
      <c r="D187" s="22">
        <f ca="1">IF(RESULTADOS!$C$17="Normal",IFERROR(MAX(C187-PREMISSAS!$C$14,0),0),IF(PREMISSAS!$H$117=0,0,MAX(10*PREMISSAS!$C$39,RESULTADOS!$F$17)))</f>
        <v>0</v>
      </c>
      <c r="E187" s="4">
        <f ca="1">D187*IF(RESULTADOS!$C$17="Normal",RESULTADOS!$C$16,0)</f>
        <v>0</v>
      </c>
      <c r="F187" s="4">
        <f ca="1">IF(D187&lt;&gt;0,PREMISSAS!$N$83,0)</f>
        <v>0</v>
      </c>
      <c r="G187" s="4">
        <f ca="1">IFERROR(IF(RESULTADOS!$C$17="Normal",0,D187)*IF(RESULTADOS!$C$17="Normal",RESULTADOS!$C$18,RESULTADOS!$C$16),0)</f>
        <v>0</v>
      </c>
      <c r="H187" s="4">
        <f ca="1">IF(RESULTADOS!$C$17="Normal",E187,0)</f>
        <v>0</v>
      </c>
      <c r="I187" s="4">
        <f ca="1">(E187+H187+G187)*IFERROR(VLOOKUP(INT(COUNT($B$5:B187)/12),PREMISSAS!$B$62:$C$69,2,FALSE),PREMISSAS!$C$69)</f>
        <v>0</v>
      </c>
      <c r="J187" s="4">
        <f ca="1">D187*IF(RESULTADOS!$C$17="Normal",PREMISSAS!$C$71,0)</f>
        <v>0</v>
      </c>
      <c r="K187" s="87">
        <f ca="1">IFERROR(K186*(1+PREMISSAS!$C$19)+(E187+H187-IF(RESULTADOS!$C$17="Normal",I187,0)-J187)*IF(MONTH(B187)=12,2,1),0)</f>
        <v>0</v>
      </c>
      <c r="L187" s="87">
        <f ca="1">IFERROR((L186+G187-IF(RESULTADOS!$C$17="Normal",0,I187))*(1+PREMISSAS!$C$19)+F187,0)</f>
        <v>0</v>
      </c>
      <c r="N187" s="58">
        <f t="shared" ca="1" si="16"/>
        <v>0</v>
      </c>
      <c r="O187" s="223"/>
      <c r="P187" s="131">
        <f t="shared" ca="1" si="17"/>
        <v>50436</v>
      </c>
      <c r="Q187" s="111">
        <f ca="1">IF(C187="","",Q186+(E187+H187-IF(RESULTADOS!$C$17="Normal",I187,0)-J187)/2+(F187+G187-IF(RESULTADOS!$C$17="Normal",0,I187)))</f>
        <v>0</v>
      </c>
      <c r="R187" s="111">
        <f ca="1">IF(C187="","",R186+(E187+H187-IF(RESULTADOS!$C$17="Normal",I187,0)-J187)/2)</f>
        <v>0</v>
      </c>
      <c r="S187" s="111">
        <f t="shared" ca="1" si="20"/>
        <v>0</v>
      </c>
      <c r="U187" s="131" t="str">
        <f t="shared" ca="1" si="21"/>
        <v/>
      </c>
      <c r="V187" s="131" t="str">
        <f t="shared" ca="1" si="18"/>
        <v/>
      </c>
      <c r="W187" s="111">
        <f ca="1">IF(OR((W186-13/12*Z186)*(1+PREMISSAS!$C$17)&lt;0,W186=""),0,(W186-13/12*Z186)*(1+PREMISSAS!$C$17))</f>
        <v>0</v>
      </c>
      <c r="X187" s="111">
        <f ca="1">IF(OR((X186-13/12*AA186)*(1+PREMISSAS!$C$17)&lt;0,X186=""),0,(X186-13/12*AA186)*(1+PREMISSAS!$C$17))</f>
        <v>0</v>
      </c>
      <c r="Y187" s="111">
        <f t="shared" ca="1" si="19"/>
        <v>0</v>
      </c>
      <c r="Z187" s="134">
        <f t="shared" ca="1" si="22"/>
        <v>0</v>
      </c>
      <c r="AA187" s="134">
        <f t="shared" ca="1" si="23"/>
        <v>0</v>
      </c>
    </row>
    <row r="188" spans="2:27" x14ac:dyDescent="0.3">
      <c r="B188" s="21">
        <f ca="1">IF(B187="","",IF(EOMONTH(B187,1)&gt;EOMONTH(ELEGIBILIDADE!$E$5,0),"",EOMONTH(B187,1)))</f>
        <v>50464</v>
      </c>
      <c r="C188" s="22">
        <f ca="1">IF(B188="","",IF(MONTH(B188)=1,C187*(1+PREMISSAS!$C$58),C187))</f>
        <v>0</v>
      </c>
      <c r="D188" s="22">
        <f ca="1">IF(RESULTADOS!$C$17="Normal",IFERROR(MAX(C188-PREMISSAS!$C$14,0),0),IF(PREMISSAS!$H$117=0,0,MAX(10*PREMISSAS!$C$39,RESULTADOS!$F$17)))</f>
        <v>0</v>
      </c>
      <c r="E188" s="4">
        <f ca="1">D188*IF(RESULTADOS!$C$17="Normal",RESULTADOS!$C$16,0)</f>
        <v>0</v>
      </c>
      <c r="F188" s="4">
        <f ca="1">IF(D188&lt;&gt;0,PREMISSAS!$N$83,0)</f>
        <v>0</v>
      </c>
      <c r="G188" s="4">
        <f ca="1">IFERROR(IF(RESULTADOS!$C$17="Normal",0,D188)*IF(RESULTADOS!$C$17="Normal",RESULTADOS!$C$18,RESULTADOS!$C$16),0)</f>
        <v>0</v>
      </c>
      <c r="H188" s="4">
        <f ca="1">IF(RESULTADOS!$C$17="Normal",E188,0)</f>
        <v>0</v>
      </c>
      <c r="I188" s="4">
        <f ca="1">(E188+H188+G188)*IFERROR(VLOOKUP(INT(COUNT($B$5:B188)/12),PREMISSAS!$B$62:$C$69,2,FALSE),PREMISSAS!$C$69)</f>
        <v>0</v>
      </c>
      <c r="J188" s="4">
        <f ca="1">D188*IF(RESULTADOS!$C$17="Normal",PREMISSAS!$C$71,0)</f>
        <v>0</v>
      </c>
      <c r="K188" s="87">
        <f ca="1">IFERROR(K187*(1+PREMISSAS!$C$19)+(E188+H188-IF(RESULTADOS!$C$17="Normal",I188,0)-J188)*IF(MONTH(B188)=12,2,1),0)</f>
        <v>0</v>
      </c>
      <c r="L188" s="87">
        <f ca="1">IFERROR((L187+G188-IF(RESULTADOS!$C$17="Normal",0,I188))*(1+PREMISSAS!$C$19)+F188,0)</f>
        <v>0</v>
      </c>
      <c r="N188" s="58">
        <f t="shared" ca="1" si="16"/>
        <v>0</v>
      </c>
      <c r="O188" s="223"/>
      <c r="P188" s="131">
        <f t="shared" ca="1" si="17"/>
        <v>50464</v>
      </c>
      <c r="Q188" s="111">
        <f ca="1">IF(C188="","",Q187+(E188+H188-IF(RESULTADOS!$C$17="Normal",I188,0)-J188)/2+(F188+G188-IF(RESULTADOS!$C$17="Normal",0,I188)))</f>
        <v>0</v>
      </c>
      <c r="R188" s="111">
        <f ca="1">IF(C188="","",R187+(E188+H188-IF(RESULTADOS!$C$17="Normal",I188,0)-J188)/2)</f>
        <v>0</v>
      </c>
      <c r="S188" s="111">
        <f t="shared" ca="1" si="20"/>
        <v>0</v>
      </c>
      <c r="U188" s="131" t="str">
        <f t="shared" ca="1" si="21"/>
        <v/>
      </c>
      <c r="V188" s="131" t="str">
        <f t="shared" ca="1" si="18"/>
        <v/>
      </c>
      <c r="W188" s="111">
        <f ca="1">IF(OR((W187-13/12*Z187)*(1+PREMISSAS!$C$17)&lt;0,W187=""),0,(W187-13/12*Z187)*(1+PREMISSAS!$C$17))</f>
        <v>0</v>
      </c>
      <c r="X188" s="111">
        <f ca="1">IF(OR((X187-13/12*AA187)*(1+PREMISSAS!$C$17)&lt;0,X187=""),0,(X187-13/12*AA187)*(1+PREMISSAS!$C$17))</f>
        <v>0</v>
      </c>
      <c r="Y188" s="111">
        <f t="shared" ca="1" si="19"/>
        <v>0</v>
      </c>
      <c r="Z188" s="134">
        <f t="shared" ca="1" si="22"/>
        <v>0</v>
      </c>
      <c r="AA188" s="134">
        <f t="shared" ca="1" si="23"/>
        <v>0</v>
      </c>
    </row>
    <row r="189" spans="2:27" x14ac:dyDescent="0.3">
      <c r="B189" s="21">
        <f ca="1">IF(B188="","",IF(EOMONTH(B188,1)&gt;EOMONTH(ELEGIBILIDADE!$E$5,0),"",EOMONTH(B188,1)))</f>
        <v>50495</v>
      </c>
      <c r="C189" s="22">
        <f ca="1">IF(B189="","",IF(MONTH(B189)=1,C188*(1+PREMISSAS!$C$58),C188))</f>
        <v>0</v>
      </c>
      <c r="D189" s="22">
        <f ca="1">IF(RESULTADOS!$C$17="Normal",IFERROR(MAX(C189-PREMISSAS!$C$14,0),0),IF(PREMISSAS!$H$117=0,0,MAX(10*PREMISSAS!$C$39,RESULTADOS!$F$17)))</f>
        <v>0</v>
      </c>
      <c r="E189" s="4">
        <f ca="1">D189*IF(RESULTADOS!$C$17="Normal",RESULTADOS!$C$16,0)</f>
        <v>0</v>
      </c>
      <c r="F189" s="4">
        <f ca="1">IF(D189&lt;&gt;0,PREMISSAS!$N$83,0)</f>
        <v>0</v>
      </c>
      <c r="G189" s="4">
        <f ca="1">IFERROR(IF(RESULTADOS!$C$17="Normal",0,D189)*IF(RESULTADOS!$C$17="Normal",RESULTADOS!$C$18,RESULTADOS!$C$16),0)</f>
        <v>0</v>
      </c>
      <c r="H189" s="4">
        <f ca="1">IF(RESULTADOS!$C$17="Normal",E189,0)</f>
        <v>0</v>
      </c>
      <c r="I189" s="4">
        <f ca="1">(E189+H189+G189)*IFERROR(VLOOKUP(INT(COUNT($B$5:B189)/12),PREMISSAS!$B$62:$C$69,2,FALSE),PREMISSAS!$C$69)</f>
        <v>0</v>
      </c>
      <c r="J189" s="4">
        <f ca="1">D189*IF(RESULTADOS!$C$17="Normal",PREMISSAS!$C$71,0)</f>
        <v>0</v>
      </c>
      <c r="K189" s="87">
        <f ca="1">IFERROR(K188*(1+PREMISSAS!$C$19)+(E189+H189-IF(RESULTADOS!$C$17="Normal",I189,0)-J189)*IF(MONTH(B189)=12,2,1),0)</f>
        <v>0</v>
      </c>
      <c r="L189" s="87">
        <f ca="1">IFERROR((L188+G189-IF(RESULTADOS!$C$17="Normal",0,I189))*(1+PREMISSAS!$C$19)+F189,0)</f>
        <v>0</v>
      </c>
      <c r="N189" s="58">
        <f t="shared" ca="1" si="16"/>
        <v>0</v>
      </c>
      <c r="O189" s="223"/>
      <c r="P189" s="131">
        <f t="shared" ca="1" si="17"/>
        <v>50495</v>
      </c>
      <c r="Q189" s="111">
        <f ca="1">IF(C189="","",Q188+(E189+H189-IF(RESULTADOS!$C$17="Normal",I189,0)-J189)/2+(F189+G189-IF(RESULTADOS!$C$17="Normal",0,I189)))</f>
        <v>0</v>
      </c>
      <c r="R189" s="111">
        <f ca="1">IF(C189="","",R188+(E189+H189-IF(RESULTADOS!$C$17="Normal",I189,0)-J189)/2)</f>
        <v>0</v>
      </c>
      <c r="S189" s="111">
        <f t="shared" ca="1" si="20"/>
        <v>0</v>
      </c>
      <c r="U189" s="131" t="str">
        <f t="shared" ca="1" si="21"/>
        <v/>
      </c>
      <c r="V189" s="131" t="str">
        <f t="shared" ca="1" si="18"/>
        <v/>
      </c>
      <c r="W189" s="111">
        <f ca="1">IF(OR((W188-13/12*Z188)*(1+PREMISSAS!$C$17)&lt;0,W188=""),0,(W188-13/12*Z188)*(1+PREMISSAS!$C$17))</f>
        <v>0</v>
      </c>
      <c r="X189" s="111">
        <f ca="1">IF(OR((X188-13/12*AA188)*(1+PREMISSAS!$C$17)&lt;0,X188=""),0,(X188-13/12*AA188)*(1+PREMISSAS!$C$17))</f>
        <v>0</v>
      </c>
      <c r="Y189" s="111">
        <f t="shared" ca="1" si="19"/>
        <v>0</v>
      </c>
      <c r="Z189" s="134">
        <f t="shared" ca="1" si="22"/>
        <v>0</v>
      </c>
      <c r="AA189" s="134">
        <f t="shared" ca="1" si="23"/>
        <v>0</v>
      </c>
    </row>
    <row r="190" spans="2:27" x14ac:dyDescent="0.3">
      <c r="B190" s="21">
        <f ca="1">IF(B189="","",IF(EOMONTH(B189,1)&gt;EOMONTH(ELEGIBILIDADE!$E$5,0),"",EOMONTH(B189,1)))</f>
        <v>50525</v>
      </c>
      <c r="C190" s="22">
        <f ca="1">IF(B190="","",IF(MONTH(B190)=1,C189*(1+PREMISSAS!$C$58),C189))</f>
        <v>0</v>
      </c>
      <c r="D190" s="22">
        <f ca="1">IF(RESULTADOS!$C$17="Normal",IFERROR(MAX(C190-PREMISSAS!$C$14,0),0),IF(PREMISSAS!$H$117=0,0,MAX(10*PREMISSAS!$C$39,RESULTADOS!$F$17)))</f>
        <v>0</v>
      </c>
      <c r="E190" s="4">
        <f ca="1">D190*IF(RESULTADOS!$C$17="Normal",RESULTADOS!$C$16,0)</f>
        <v>0</v>
      </c>
      <c r="F190" s="4">
        <f ca="1">IF(D190&lt;&gt;0,PREMISSAS!$N$83,0)</f>
        <v>0</v>
      </c>
      <c r="G190" s="4">
        <f ca="1">IFERROR(IF(RESULTADOS!$C$17="Normal",0,D190)*IF(RESULTADOS!$C$17="Normal",RESULTADOS!$C$18,RESULTADOS!$C$16),0)</f>
        <v>0</v>
      </c>
      <c r="H190" s="4">
        <f ca="1">IF(RESULTADOS!$C$17="Normal",E190,0)</f>
        <v>0</v>
      </c>
      <c r="I190" s="4">
        <f ca="1">(E190+H190+G190)*IFERROR(VLOOKUP(INT(COUNT($B$5:B190)/12),PREMISSAS!$B$62:$C$69,2,FALSE),PREMISSAS!$C$69)</f>
        <v>0</v>
      </c>
      <c r="J190" s="4">
        <f ca="1">D190*IF(RESULTADOS!$C$17="Normal",PREMISSAS!$C$71,0)</f>
        <v>0</v>
      </c>
      <c r="K190" s="87">
        <f ca="1">IFERROR(K189*(1+PREMISSAS!$C$19)+(E190+H190-IF(RESULTADOS!$C$17="Normal",I190,0)-J190)*IF(MONTH(B190)=12,2,1),0)</f>
        <v>0</v>
      </c>
      <c r="L190" s="87">
        <f ca="1">IFERROR((L189+G190-IF(RESULTADOS!$C$17="Normal",0,I190))*(1+PREMISSAS!$C$19)+F190,0)</f>
        <v>0</v>
      </c>
      <c r="N190" s="58">
        <f t="shared" ca="1" si="16"/>
        <v>0</v>
      </c>
      <c r="O190" s="223"/>
      <c r="P190" s="131">
        <f t="shared" ca="1" si="17"/>
        <v>50525</v>
      </c>
      <c r="Q190" s="111">
        <f ca="1">IF(C190="","",Q189+(E190+H190-IF(RESULTADOS!$C$17="Normal",I190,0)-J190)/2+(F190+G190-IF(RESULTADOS!$C$17="Normal",0,I190)))</f>
        <v>0</v>
      </c>
      <c r="R190" s="111">
        <f ca="1">IF(C190="","",R189+(E190+H190-IF(RESULTADOS!$C$17="Normal",I190,0)-J190)/2)</f>
        <v>0</v>
      </c>
      <c r="S190" s="111">
        <f t="shared" ca="1" si="20"/>
        <v>0</v>
      </c>
      <c r="U190" s="131" t="str">
        <f t="shared" ca="1" si="21"/>
        <v/>
      </c>
      <c r="V190" s="131" t="str">
        <f t="shared" ca="1" si="18"/>
        <v/>
      </c>
      <c r="W190" s="111">
        <f ca="1">IF(OR((W189-13/12*Z189)*(1+PREMISSAS!$C$17)&lt;0,W189=""),0,(W189-13/12*Z189)*(1+PREMISSAS!$C$17))</f>
        <v>0</v>
      </c>
      <c r="X190" s="111">
        <f ca="1">IF(OR((X189-13/12*AA189)*(1+PREMISSAS!$C$17)&lt;0,X189=""),0,(X189-13/12*AA189)*(1+PREMISSAS!$C$17))</f>
        <v>0</v>
      </c>
      <c r="Y190" s="111">
        <f t="shared" ca="1" si="19"/>
        <v>0</v>
      </c>
      <c r="Z190" s="134">
        <f t="shared" ca="1" si="22"/>
        <v>0</v>
      </c>
      <c r="AA190" s="134">
        <f t="shared" ca="1" si="23"/>
        <v>0</v>
      </c>
    </row>
    <row r="191" spans="2:27" x14ac:dyDescent="0.3">
      <c r="B191" s="21">
        <f ca="1">IF(B190="","",IF(EOMONTH(B190,1)&gt;EOMONTH(ELEGIBILIDADE!$E$5,0),"",EOMONTH(B190,1)))</f>
        <v>50556</v>
      </c>
      <c r="C191" s="22">
        <f ca="1">IF(B191="","",IF(MONTH(B191)=1,C190*(1+PREMISSAS!$C$58),C190))</f>
        <v>0</v>
      </c>
      <c r="D191" s="22">
        <f ca="1">IF(RESULTADOS!$C$17="Normal",IFERROR(MAX(C191-PREMISSAS!$C$14,0),0),IF(PREMISSAS!$H$117=0,0,MAX(10*PREMISSAS!$C$39,RESULTADOS!$F$17)))</f>
        <v>0</v>
      </c>
      <c r="E191" s="4">
        <f ca="1">D191*IF(RESULTADOS!$C$17="Normal",RESULTADOS!$C$16,0)</f>
        <v>0</v>
      </c>
      <c r="F191" s="4">
        <f ca="1">IF(D191&lt;&gt;0,PREMISSAS!$N$83,0)</f>
        <v>0</v>
      </c>
      <c r="G191" s="4">
        <f ca="1">IFERROR(IF(RESULTADOS!$C$17="Normal",0,D191)*IF(RESULTADOS!$C$17="Normal",RESULTADOS!$C$18,RESULTADOS!$C$16),0)</f>
        <v>0</v>
      </c>
      <c r="H191" s="4">
        <f ca="1">IF(RESULTADOS!$C$17="Normal",E191,0)</f>
        <v>0</v>
      </c>
      <c r="I191" s="4">
        <f ca="1">(E191+H191+G191)*IFERROR(VLOOKUP(INT(COUNT($B$5:B191)/12),PREMISSAS!$B$62:$C$69,2,FALSE),PREMISSAS!$C$69)</f>
        <v>0</v>
      </c>
      <c r="J191" s="4">
        <f ca="1">D191*IF(RESULTADOS!$C$17="Normal",PREMISSAS!$C$71,0)</f>
        <v>0</v>
      </c>
      <c r="K191" s="87">
        <f ca="1">IFERROR(K190*(1+PREMISSAS!$C$19)+(E191+H191-IF(RESULTADOS!$C$17="Normal",I191,0)-J191)*IF(MONTH(B191)=12,2,1),0)</f>
        <v>0</v>
      </c>
      <c r="L191" s="87">
        <f ca="1">IFERROR((L190+G191-IF(RESULTADOS!$C$17="Normal",0,I191))*(1+PREMISSAS!$C$19)+F191,0)</f>
        <v>0</v>
      </c>
      <c r="N191" s="58">
        <f t="shared" ca="1" si="16"/>
        <v>0</v>
      </c>
      <c r="O191" s="223"/>
      <c r="P191" s="131">
        <f t="shared" ca="1" si="17"/>
        <v>50556</v>
      </c>
      <c r="Q191" s="111">
        <f ca="1">IF(C191="","",Q190+(E191+H191-IF(RESULTADOS!$C$17="Normal",I191,0)-J191)/2+(F191+G191-IF(RESULTADOS!$C$17="Normal",0,I191)))</f>
        <v>0</v>
      </c>
      <c r="R191" s="111">
        <f ca="1">IF(C191="","",R190+(E191+H191-IF(RESULTADOS!$C$17="Normal",I191,0)-J191)/2)</f>
        <v>0</v>
      </c>
      <c r="S191" s="111">
        <f t="shared" ca="1" si="20"/>
        <v>0</v>
      </c>
      <c r="U191" s="131" t="str">
        <f t="shared" ca="1" si="21"/>
        <v/>
      </c>
      <c r="V191" s="131" t="str">
        <f t="shared" ca="1" si="18"/>
        <v/>
      </c>
      <c r="W191" s="111">
        <f ca="1">IF(OR((W190-13/12*Z190)*(1+PREMISSAS!$C$17)&lt;0,W190=""),0,(W190-13/12*Z190)*(1+PREMISSAS!$C$17))</f>
        <v>0</v>
      </c>
      <c r="X191" s="111">
        <f ca="1">IF(OR((X190-13/12*AA190)*(1+PREMISSAS!$C$17)&lt;0,X190=""),0,(X190-13/12*AA190)*(1+PREMISSAS!$C$17))</f>
        <v>0</v>
      </c>
      <c r="Y191" s="111">
        <f t="shared" ca="1" si="19"/>
        <v>0</v>
      </c>
      <c r="Z191" s="134">
        <f t="shared" ca="1" si="22"/>
        <v>0</v>
      </c>
      <c r="AA191" s="134">
        <f t="shared" ca="1" si="23"/>
        <v>0</v>
      </c>
    </row>
    <row r="192" spans="2:27" x14ac:dyDescent="0.3">
      <c r="B192" s="21">
        <f ca="1">IF(B191="","",IF(EOMONTH(B191,1)&gt;EOMONTH(ELEGIBILIDADE!$E$5,0),"",EOMONTH(B191,1)))</f>
        <v>50586</v>
      </c>
      <c r="C192" s="22">
        <f ca="1">IF(B192="","",IF(MONTH(B192)=1,C191*(1+PREMISSAS!$C$58),C191))</f>
        <v>0</v>
      </c>
      <c r="D192" s="22">
        <f ca="1">IF(RESULTADOS!$C$17="Normal",IFERROR(MAX(C192-PREMISSAS!$C$14,0),0),IF(PREMISSAS!$H$117=0,0,MAX(10*PREMISSAS!$C$39,RESULTADOS!$F$17)))</f>
        <v>0</v>
      </c>
      <c r="E192" s="4">
        <f ca="1">D192*IF(RESULTADOS!$C$17="Normal",RESULTADOS!$C$16,0)</f>
        <v>0</v>
      </c>
      <c r="F192" s="4">
        <f ca="1">IF(D192&lt;&gt;0,PREMISSAS!$N$83,0)</f>
        <v>0</v>
      </c>
      <c r="G192" s="4">
        <f ca="1">IFERROR(IF(RESULTADOS!$C$17="Normal",0,D192)*IF(RESULTADOS!$C$17="Normal",RESULTADOS!$C$18,RESULTADOS!$C$16),0)</f>
        <v>0</v>
      </c>
      <c r="H192" s="4">
        <f ca="1">IF(RESULTADOS!$C$17="Normal",E192,0)</f>
        <v>0</v>
      </c>
      <c r="I192" s="4">
        <f ca="1">(E192+H192+G192)*IFERROR(VLOOKUP(INT(COUNT($B$5:B192)/12),PREMISSAS!$B$62:$C$69,2,FALSE),PREMISSAS!$C$69)</f>
        <v>0</v>
      </c>
      <c r="J192" s="4">
        <f ca="1">D192*IF(RESULTADOS!$C$17="Normal",PREMISSAS!$C$71,0)</f>
        <v>0</v>
      </c>
      <c r="K192" s="87">
        <f ca="1">IFERROR(K191*(1+PREMISSAS!$C$19)+(E192+H192-IF(RESULTADOS!$C$17="Normal",I192,0)-J192)*IF(MONTH(B192)=12,2,1),0)</f>
        <v>0</v>
      </c>
      <c r="L192" s="87">
        <f ca="1">IFERROR((L191+G192-IF(RESULTADOS!$C$17="Normal",0,I192))*(1+PREMISSAS!$C$19)+F192,0)</f>
        <v>0</v>
      </c>
      <c r="N192" s="58">
        <f t="shared" ca="1" si="16"/>
        <v>0</v>
      </c>
      <c r="O192" s="223"/>
      <c r="P192" s="131">
        <f t="shared" ca="1" si="17"/>
        <v>50586</v>
      </c>
      <c r="Q192" s="111">
        <f ca="1">IF(C192="","",Q191+(E192+H192-IF(RESULTADOS!$C$17="Normal",I192,0)-J192)/2+(F192+G192-IF(RESULTADOS!$C$17="Normal",0,I192)))</f>
        <v>0</v>
      </c>
      <c r="R192" s="111">
        <f ca="1">IF(C192="","",R191+(E192+H192-IF(RESULTADOS!$C$17="Normal",I192,0)-J192)/2)</f>
        <v>0</v>
      </c>
      <c r="S192" s="111">
        <f t="shared" ca="1" si="20"/>
        <v>0</v>
      </c>
      <c r="U192" s="131" t="str">
        <f t="shared" ca="1" si="21"/>
        <v/>
      </c>
      <c r="V192" s="131" t="str">
        <f t="shared" ca="1" si="18"/>
        <v/>
      </c>
      <c r="W192" s="111">
        <f ca="1">IF(OR((W191-13/12*Z191)*(1+PREMISSAS!$C$17)&lt;0,W191=""),0,(W191-13/12*Z191)*(1+PREMISSAS!$C$17))</f>
        <v>0</v>
      </c>
      <c r="X192" s="111">
        <f ca="1">IF(OR((X191-13/12*AA191)*(1+PREMISSAS!$C$17)&lt;0,X191=""),0,(X191-13/12*AA191)*(1+PREMISSAS!$C$17))</f>
        <v>0</v>
      </c>
      <c r="Y192" s="111">
        <f t="shared" ca="1" si="19"/>
        <v>0</v>
      </c>
      <c r="Z192" s="134">
        <f t="shared" ca="1" si="22"/>
        <v>0</v>
      </c>
      <c r="AA192" s="134">
        <f t="shared" ca="1" si="23"/>
        <v>0</v>
      </c>
    </row>
    <row r="193" spans="2:27" x14ac:dyDescent="0.3">
      <c r="B193" s="21">
        <f ca="1">IF(B192="","",IF(EOMONTH(B192,1)&gt;EOMONTH(ELEGIBILIDADE!$E$5,0),"",EOMONTH(B192,1)))</f>
        <v>50617</v>
      </c>
      <c r="C193" s="22">
        <f ca="1">IF(B193="","",IF(MONTH(B193)=1,C192*(1+PREMISSAS!$C$58),C192))</f>
        <v>0</v>
      </c>
      <c r="D193" s="22">
        <f ca="1">IF(RESULTADOS!$C$17="Normal",IFERROR(MAX(C193-PREMISSAS!$C$14,0),0),IF(PREMISSAS!$H$117=0,0,MAX(10*PREMISSAS!$C$39,RESULTADOS!$F$17)))</f>
        <v>0</v>
      </c>
      <c r="E193" s="4">
        <f ca="1">D193*IF(RESULTADOS!$C$17="Normal",RESULTADOS!$C$16,0)</f>
        <v>0</v>
      </c>
      <c r="F193" s="4">
        <f ca="1">IF(D193&lt;&gt;0,PREMISSAS!$N$83,0)</f>
        <v>0</v>
      </c>
      <c r="G193" s="4">
        <f ca="1">IFERROR(IF(RESULTADOS!$C$17="Normal",0,D193)*IF(RESULTADOS!$C$17="Normal",RESULTADOS!$C$18,RESULTADOS!$C$16),0)</f>
        <v>0</v>
      </c>
      <c r="H193" s="4">
        <f ca="1">IF(RESULTADOS!$C$17="Normal",E193,0)</f>
        <v>0</v>
      </c>
      <c r="I193" s="4">
        <f ca="1">(E193+H193+G193)*IFERROR(VLOOKUP(INT(COUNT($B$5:B193)/12),PREMISSAS!$B$62:$C$69,2,FALSE),PREMISSAS!$C$69)</f>
        <v>0</v>
      </c>
      <c r="J193" s="4">
        <f ca="1">D193*IF(RESULTADOS!$C$17="Normal",PREMISSAS!$C$71,0)</f>
        <v>0</v>
      </c>
      <c r="K193" s="87">
        <f ca="1">IFERROR(K192*(1+PREMISSAS!$C$19)+(E193+H193-IF(RESULTADOS!$C$17="Normal",I193,0)-J193)*IF(MONTH(B193)=12,2,1),0)</f>
        <v>0</v>
      </c>
      <c r="L193" s="87">
        <f ca="1">IFERROR((L192+G193-IF(RESULTADOS!$C$17="Normal",0,I193))*(1+PREMISSAS!$C$19)+F193,0)</f>
        <v>0</v>
      </c>
      <c r="N193" s="58">
        <f t="shared" ca="1" si="16"/>
        <v>0</v>
      </c>
      <c r="O193" s="223"/>
      <c r="P193" s="131">
        <f t="shared" ca="1" si="17"/>
        <v>50617</v>
      </c>
      <c r="Q193" s="111">
        <f ca="1">IF(C193="","",Q192+(E193+H193-IF(RESULTADOS!$C$17="Normal",I193,0)-J193)/2+(F193+G193-IF(RESULTADOS!$C$17="Normal",0,I193)))</f>
        <v>0</v>
      </c>
      <c r="R193" s="111">
        <f ca="1">IF(C193="","",R192+(E193+H193-IF(RESULTADOS!$C$17="Normal",I193,0)-J193)/2)</f>
        <v>0</v>
      </c>
      <c r="S193" s="111">
        <f t="shared" ca="1" si="20"/>
        <v>0</v>
      </c>
      <c r="U193" s="131" t="str">
        <f t="shared" ca="1" si="21"/>
        <v/>
      </c>
      <c r="V193" s="131" t="str">
        <f t="shared" ca="1" si="18"/>
        <v/>
      </c>
      <c r="W193" s="111">
        <f ca="1">IF(OR((W192-13/12*Z192)*(1+PREMISSAS!$C$17)&lt;0,W192=""),0,(W192-13/12*Z192)*(1+PREMISSAS!$C$17))</f>
        <v>0</v>
      </c>
      <c r="X193" s="111">
        <f ca="1">IF(OR((X192-13/12*AA192)*(1+PREMISSAS!$C$17)&lt;0,X192=""),0,(X192-13/12*AA192)*(1+PREMISSAS!$C$17))</f>
        <v>0</v>
      </c>
      <c r="Y193" s="111">
        <f t="shared" ca="1" si="19"/>
        <v>0</v>
      </c>
      <c r="Z193" s="134">
        <f t="shared" ca="1" si="22"/>
        <v>0</v>
      </c>
      <c r="AA193" s="134">
        <f t="shared" ca="1" si="23"/>
        <v>0</v>
      </c>
    </row>
    <row r="194" spans="2:27" x14ac:dyDescent="0.3">
      <c r="B194" s="21">
        <f ca="1">IF(B193="","",IF(EOMONTH(B193,1)&gt;EOMONTH(ELEGIBILIDADE!$E$5,0),"",EOMONTH(B193,1)))</f>
        <v>50648</v>
      </c>
      <c r="C194" s="22">
        <f ca="1">IF(B194="","",IF(MONTH(B194)=1,C193*(1+PREMISSAS!$C$58),C193))</f>
        <v>0</v>
      </c>
      <c r="D194" s="22">
        <f ca="1">IF(RESULTADOS!$C$17="Normal",IFERROR(MAX(C194-PREMISSAS!$C$14,0),0),IF(PREMISSAS!$H$117=0,0,MAX(10*PREMISSAS!$C$39,RESULTADOS!$F$17)))</f>
        <v>0</v>
      </c>
      <c r="E194" s="4">
        <f ca="1">D194*IF(RESULTADOS!$C$17="Normal",RESULTADOS!$C$16,0)</f>
        <v>0</v>
      </c>
      <c r="F194" s="4">
        <f ca="1">IF(D194&lt;&gt;0,PREMISSAS!$N$83,0)</f>
        <v>0</v>
      </c>
      <c r="G194" s="4">
        <f ca="1">IFERROR(IF(RESULTADOS!$C$17="Normal",0,D194)*IF(RESULTADOS!$C$17="Normal",RESULTADOS!$C$18,RESULTADOS!$C$16),0)</f>
        <v>0</v>
      </c>
      <c r="H194" s="4">
        <f ca="1">IF(RESULTADOS!$C$17="Normal",E194,0)</f>
        <v>0</v>
      </c>
      <c r="I194" s="4">
        <f ca="1">(E194+H194+G194)*IFERROR(VLOOKUP(INT(COUNT($B$5:B194)/12),PREMISSAS!$B$62:$C$69,2,FALSE),PREMISSAS!$C$69)</f>
        <v>0</v>
      </c>
      <c r="J194" s="4">
        <f ca="1">D194*IF(RESULTADOS!$C$17="Normal",PREMISSAS!$C$71,0)</f>
        <v>0</v>
      </c>
      <c r="K194" s="87">
        <f ca="1">IFERROR(K193*(1+PREMISSAS!$C$19)+(E194+H194-IF(RESULTADOS!$C$17="Normal",I194,0)-J194)*IF(MONTH(B194)=12,2,1),0)</f>
        <v>0</v>
      </c>
      <c r="L194" s="87">
        <f ca="1">IFERROR((L193+G194-IF(RESULTADOS!$C$17="Normal",0,I194))*(1+PREMISSAS!$C$19)+F194,0)</f>
        <v>0</v>
      </c>
      <c r="N194" s="58">
        <f t="shared" ca="1" si="16"/>
        <v>0</v>
      </c>
      <c r="O194" s="223"/>
      <c r="P194" s="131">
        <f t="shared" ca="1" si="17"/>
        <v>50648</v>
      </c>
      <c r="Q194" s="111">
        <f ca="1">IF(C194="","",Q193+(E194+H194-IF(RESULTADOS!$C$17="Normal",I194,0)-J194)/2+(F194+G194-IF(RESULTADOS!$C$17="Normal",0,I194)))</f>
        <v>0</v>
      </c>
      <c r="R194" s="111">
        <f ca="1">IF(C194="","",R193+(E194+H194-IF(RESULTADOS!$C$17="Normal",I194,0)-J194)/2)</f>
        <v>0</v>
      </c>
      <c r="S194" s="111">
        <f t="shared" ca="1" si="20"/>
        <v>0</v>
      </c>
      <c r="U194" s="131" t="str">
        <f t="shared" ca="1" si="21"/>
        <v/>
      </c>
      <c r="V194" s="131" t="str">
        <f t="shared" ca="1" si="18"/>
        <v/>
      </c>
      <c r="W194" s="111">
        <f ca="1">IF(OR((W193-13/12*Z193)*(1+PREMISSAS!$C$17)&lt;0,W193=""),0,(W193-13/12*Z193)*(1+PREMISSAS!$C$17))</f>
        <v>0</v>
      </c>
      <c r="X194" s="111">
        <f ca="1">IF(OR((X193-13/12*AA193)*(1+PREMISSAS!$C$17)&lt;0,X193=""),0,(X193-13/12*AA193)*(1+PREMISSAS!$C$17))</f>
        <v>0</v>
      </c>
      <c r="Y194" s="111">
        <f t="shared" ca="1" si="19"/>
        <v>0</v>
      </c>
      <c r="Z194" s="134">
        <f t="shared" ca="1" si="22"/>
        <v>0</v>
      </c>
      <c r="AA194" s="134">
        <f t="shared" ca="1" si="23"/>
        <v>0</v>
      </c>
    </row>
    <row r="195" spans="2:27" x14ac:dyDescent="0.3">
      <c r="B195" s="21">
        <f ca="1">IF(B194="","",IF(EOMONTH(B194,1)&gt;EOMONTH(ELEGIBILIDADE!$E$5,0),"",EOMONTH(B194,1)))</f>
        <v>50678</v>
      </c>
      <c r="C195" s="22">
        <f ca="1">IF(B195="","",IF(MONTH(B195)=1,C194*(1+PREMISSAS!$C$58),C194))</f>
        <v>0</v>
      </c>
      <c r="D195" s="22">
        <f ca="1">IF(RESULTADOS!$C$17="Normal",IFERROR(MAX(C195-PREMISSAS!$C$14,0),0),IF(PREMISSAS!$H$117=0,0,MAX(10*PREMISSAS!$C$39,RESULTADOS!$F$17)))</f>
        <v>0</v>
      </c>
      <c r="E195" s="4">
        <f ca="1">D195*IF(RESULTADOS!$C$17="Normal",RESULTADOS!$C$16,0)</f>
        <v>0</v>
      </c>
      <c r="F195" s="4">
        <f ca="1">IF(D195&lt;&gt;0,PREMISSAS!$N$83,0)</f>
        <v>0</v>
      </c>
      <c r="G195" s="4">
        <f ca="1">IFERROR(IF(RESULTADOS!$C$17="Normal",0,D195)*IF(RESULTADOS!$C$17="Normal",RESULTADOS!$C$18,RESULTADOS!$C$16),0)</f>
        <v>0</v>
      </c>
      <c r="H195" s="4">
        <f ca="1">IF(RESULTADOS!$C$17="Normal",E195,0)</f>
        <v>0</v>
      </c>
      <c r="I195" s="4">
        <f ca="1">(E195+H195+G195)*IFERROR(VLOOKUP(INT(COUNT($B$5:B195)/12),PREMISSAS!$B$62:$C$69,2,FALSE),PREMISSAS!$C$69)</f>
        <v>0</v>
      </c>
      <c r="J195" s="4">
        <f ca="1">D195*IF(RESULTADOS!$C$17="Normal",PREMISSAS!$C$71,0)</f>
        <v>0</v>
      </c>
      <c r="K195" s="87">
        <f ca="1">IFERROR(K194*(1+PREMISSAS!$C$19)+(E195+H195-IF(RESULTADOS!$C$17="Normal",I195,0)-J195)*IF(MONTH(B195)=12,2,1),0)</f>
        <v>0</v>
      </c>
      <c r="L195" s="87">
        <f ca="1">IFERROR((L194+G195-IF(RESULTADOS!$C$17="Normal",0,I195))*(1+PREMISSAS!$C$19)+F195,0)</f>
        <v>0</v>
      </c>
      <c r="N195" s="58">
        <f t="shared" ca="1" si="16"/>
        <v>0</v>
      </c>
      <c r="O195" s="223"/>
      <c r="P195" s="131">
        <f t="shared" ca="1" si="17"/>
        <v>50678</v>
      </c>
      <c r="Q195" s="111">
        <f ca="1">IF(C195="","",Q194+(E195+H195-IF(RESULTADOS!$C$17="Normal",I195,0)-J195)/2+(F195+G195-IF(RESULTADOS!$C$17="Normal",0,I195)))</f>
        <v>0</v>
      </c>
      <c r="R195" s="111">
        <f ca="1">IF(C195="","",R194+(E195+H195-IF(RESULTADOS!$C$17="Normal",I195,0)-J195)/2)</f>
        <v>0</v>
      </c>
      <c r="S195" s="111">
        <f t="shared" ca="1" si="20"/>
        <v>0</v>
      </c>
      <c r="U195" s="131" t="str">
        <f t="shared" ca="1" si="21"/>
        <v/>
      </c>
      <c r="V195" s="131" t="str">
        <f t="shared" ca="1" si="18"/>
        <v/>
      </c>
      <c r="W195" s="111">
        <f ca="1">IF(OR((W194-13/12*Z194)*(1+PREMISSAS!$C$17)&lt;0,W194=""),0,(W194-13/12*Z194)*(1+PREMISSAS!$C$17))</f>
        <v>0</v>
      </c>
      <c r="X195" s="111">
        <f ca="1">IF(OR((X194-13/12*AA194)*(1+PREMISSAS!$C$17)&lt;0,X194=""),0,(X194-13/12*AA194)*(1+PREMISSAS!$C$17))</f>
        <v>0</v>
      </c>
      <c r="Y195" s="111">
        <f t="shared" ca="1" si="19"/>
        <v>0</v>
      </c>
      <c r="Z195" s="134">
        <f t="shared" ca="1" si="22"/>
        <v>0</v>
      </c>
      <c r="AA195" s="134">
        <f t="shared" ca="1" si="23"/>
        <v>0</v>
      </c>
    </row>
    <row r="196" spans="2:27" x14ac:dyDescent="0.3">
      <c r="B196" s="21">
        <f ca="1">IF(B195="","",IF(EOMONTH(B195,1)&gt;EOMONTH(ELEGIBILIDADE!$E$5,0),"",EOMONTH(B195,1)))</f>
        <v>50709</v>
      </c>
      <c r="C196" s="22">
        <f ca="1">IF(B196="","",IF(MONTH(B196)=1,C195*(1+PREMISSAS!$C$58),C195))</f>
        <v>0</v>
      </c>
      <c r="D196" s="22">
        <f ca="1">IF(RESULTADOS!$C$17="Normal",IFERROR(MAX(C196-PREMISSAS!$C$14,0),0),IF(PREMISSAS!$H$117=0,0,MAX(10*PREMISSAS!$C$39,RESULTADOS!$F$17)))</f>
        <v>0</v>
      </c>
      <c r="E196" s="4">
        <f ca="1">D196*IF(RESULTADOS!$C$17="Normal",RESULTADOS!$C$16,0)</f>
        <v>0</v>
      </c>
      <c r="F196" s="4">
        <f ca="1">IF(D196&lt;&gt;0,PREMISSAS!$N$83,0)</f>
        <v>0</v>
      </c>
      <c r="G196" s="4">
        <f ca="1">IFERROR(IF(RESULTADOS!$C$17="Normal",0,D196)*IF(RESULTADOS!$C$17="Normal",RESULTADOS!$C$18,RESULTADOS!$C$16),0)</f>
        <v>0</v>
      </c>
      <c r="H196" s="4">
        <f ca="1">IF(RESULTADOS!$C$17="Normal",E196,0)</f>
        <v>0</v>
      </c>
      <c r="I196" s="4">
        <f ca="1">(E196+H196+G196)*IFERROR(VLOOKUP(INT(COUNT($B$5:B196)/12),PREMISSAS!$B$62:$C$69,2,FALSE),PREMISSAS!$C$69)</f>
        <v>0</v>
      </c>
      <c r="J196" s="4">
        <f ca="1">D196*IF(RESULTADOS!$C$17="Normal",PREMISSAS!$C$71,0)</f>
        <v>0</v>
      </c>
      <c r="K196" s="87">
        <f ca="1">IFERROR(K195*(1+PREMISSAS!$C$19)+(E196+H196-IF(RESULTADOS!$C$17="Normal",I196,0)-J196)*IF(MONTH(B196)=12,2,1),0)</f>
        <v>0</v>
      </c>
      <c r="L196" s="87">
        <f ca="1">IFERROR((L195+G196-IF(RESULTADOS!$C$17="Normal",0,I196))*(1+PREMISSAS!$C$19)+F196,0)</f>
        <v>0</v>
      </c>
      <c r="N196" s="58">
        <f t="shared" ca="1" si="16"/>
        <v>0</v>
      </c>
      <c r="O196" s="223"/>
      <c r="P196" s="131">
        <f t="shared" ca="1" si="17"/>
        <v>50709</v>
      </c>
      <c r="Q196" s="111">
        <f ca="1">IF(C196="","",Q195+(E196+H196-IF(RESULTADOS!$C$17="Normal",I196,0)-J196)/2+(F196+G196-IF(RESULTADOS!$C$17="Normal",0,I196)))</f>
        <v>0</v>
      </c>
      <c r="R196" s="111">
        <f ca="1">IF(C196="","",R195+(E196+H196-IF(RESULTADOS!$C$17="Normal",I196,0)-J196)/2)</f>
        <v>0</v>
      </c>
      <c r="S196" s="111">
        <f t="shared" ca="1" si="20"/>
        <v>0</v>
      </c>
      <c r="U196" s="131" t="str">
        <f t="shared" ca="1" si="21"/>
        <v/>
      </c>
      <c r="V196" s="131" t="str">
        <f t="shared" ca="1" si="18"/>
        <v/>
      </c>
      <c r="W196" s="111">
        <f ca="1">IF(OR((W195-13/12*Z195)*(1+PREMISSAS!$C$17)&lt;0,W195=""),0,(W195-13/12*Z195)*(1+PREMISSAS!$C$17))</f>
        <v>0</v>
      </c>
      <c r="X196" s="111">
        <f ca="1">IF(OR((X195-13/12*AA195)*(1+PREMISSAS!$C$17)&lt;0,X195=""),0,(X195-13/12*AA195)*(1+PREMISSAS!$C$17))</f>
        <v>0</v>
      </c>
      <c r="Y196" s="111">
        <f t="shared" ca="1" si="19"/>
        <v>0</v>
      </c>
      <c r="Z196" s="134">
        <f t="shared" ca="1" si="22"/>
        <v>0</v>
      </c>
      <c r="AA196" s="134">
        <f t="shared" ca="1" si="23"/>
        <v>0</v>
      </c>
    </row>
    <row r="197" spans="2:27" x14ac:dyDescent="0.3">
      <c r="B197" s="21">
        <f ca="1">IF(B196="","",IF(EOMONTH(B196,1)&gt;EOMONTH(ELEGIBILIDADE!$E$5,0),"",EOMONTH(B196,1)))</f>
        <v>50739</v>
      </c>
      <c r="C197" s="22">
        <f ca="1">IF(B197="","",IF(MONTH(B197)=1,C196*(1+PREMISSAS!$C$58),C196))</f>
        <v>0</v>
      </c>
      <c r="D197" s="22">
        <f ca="1">IF(RESULTADOS!$C$17="Normal",IFERROR(MAX(C197-PREMISSAS!$C$14,0),0),IF(PREMISSAS!$H$117=0,0,MAX(10*PREMISSAS!$C$39,RESULTADOS!$F$17)))</f>
        <v>0</v>
      </c>
      <c r="E197" s="4">
        <f ca="1">D197*IF(RESULTADOS!$C$17="Normal",RESULTADOS!$C$16,0)</f>
        <v>0</v>
      </c>
      <c r="F197" s="4">
        <f ca="1">IF(D197&lt;&gt;0,PREMISSAS!$N$83,0)</f>
        <v>0</v>
      </c>
      <c r="G197" s="4">
        <f ca="1">IFERROR(IF(RESULTADOS!$C$17="Normal",0,D197)*IF(RESULTADOS!$C$17="Normal",RESULTADOS!$C$18,RESULTADOS!$C$16),0)</f>
        <v>0</v>
      </c>
      <c r="H197" s="4">
        <f ca="1">IF(RESULTADOS!$C$17="Normal",E197,0)</f>
        <v>0</v>
      </c>
      <c r="I197" s="4">
        <f ca="1">(E197+H197+G197)*IFERROR(VLOOKUP(INT(COUNT($B$5:B197)/12),PREMISSAS!$B$62:$C$69,2,FALSE),PREMISSAS!$C$69)</f>
        <v>0</v>
      </c>
      <c r="J197" s="4">
        <f ca="1">D197*IF(RESULTADOS!$C$17="Normal",PREMISSAS!$C$71,0)</f>
        <v>0</v>
      </c>
      <c r="K197" s="87">
        <f ca="1">IFERROR(K196*(1+PREMISSAS!$C$19)+(E197+H197-IF(RESULTADOS!$C$17="Normal",I197,0)-J197)*IF(MONTH(B197)=12,2,1),0)</f>
        <v>0</v>
      </c>
      <c r="L197" s="87">
        <f ca="1">IFERROR((L196+G197-IF(RESULTADOS!$C$17="Normal",0,I197))*(1+PREMISSAS!$C$19)+F197,0)</f>
        <v>0</v>
      </c>
      <c r="N197" s="58">
        <f t="shared" ca="1" si="16"/>
        <v>0</v>
      </c>
      <c r="O197" s="223"/>
      <c r="P197" s="131">
        <f t="shared" ca="1" si="17"/>
        <v>50739</v>
      </c>
      <c r="Q197" s="111">
        <f ca="1">IF(C197="","",Q196+(E197+H197-IF(RESULTADOS!$C$17="Normal",I197,0)-J197)/2+(F197+G197-IF(RESULTADOS!$C$17="Normal",0,I197)))</f>
        <v>0</v>
      </c>
      <c r="R197" s="111">
        <f ca="1">IF(C197="","",R196+(E197+H197-IF(RESULTADOS!$C$17="Normal",I197,0)-J197)/2)</f>
        <v>0</v>
      </c>
      <c r="S197" s="111">
        <f t="shared" ca="1" si="20"/>
        <v>0</v>
      </c>
      <c r="U197" s="131" t="str">
        <f t="shared" ca="1" si="21"/>
        <v/>
      </c>
      <c r="V197" s="131" t="str">
        <f t="shared" ca="1" si="18"/>
        <v/>
      </c>
      <c r="W197" s="111">
        <f ca="1">IF(OR((W196-13/12*Z196)*(1+PREMISSAS!$C$17)&lt;0,W196=""),0,(W196-13/12*Z196)*(1+PREMISSAS!$C$17))</f>
        <v>0</v>
      </c>
      <c r="X197" s="111">
        <f ca="1">IF(OR((X196-13/12*AA196)*(1+PREMISSAS!$C$17)&lt;0,X196=""),0,(X196-13/12*AA196)*(1+PREMISSAS!$C$17))</f>
        <v>0</v>
      </c>
      <c r="Y197" s="111">
        <f t="shared" ca="1" si="19"/>
        <v>0</v>
      </c>
      <c r="Z197" s="134">
        <f t="shared" ca="1" si="22"/>
        <v>0</v>
      </c>
      <c r="AA197" s="134">
        <f t="shared" ca="1" si="23"/>
        <v>0</v>
      </c>
    </row>
    <row r="198" spans="2:27" x14ac:dyDescent="0.3">
      <c r="B198" s="21">
        <f ca="1">IF(B197="","",IF(EOMONTH(B197,1)&gt;EOMONTH(ELEGIBILIDADE!$E$5,0),"",EOMONTH(B197,1)))</f>
        <v>50770</v>
      </c>
      <c r="C198" s="22">
        <f ca="1">IF(B198="","",IF(MONTH(B198)=1,C197*(1+PREMISSAS!$C$58),C197))</f>
        <v>0</v>
      </c>
      <c r="D198" s="22">
        <f ca="1">IF(RESULTADOS!$C$17="Normal",IFERROR(MAX(C198-PREMISSAS!$C$14,0),0),IF(PREMISSAS!$H$117=0,0,MAX(10*PREMISSAS!$C$39,RESULTADOS!$F$17)))</f>
        <v>0</v>
      </c>
      <c r="E198" s="4">
        <f ca="1">D198*IF(RESULTADOS!$C$17="Normal",RESULTADOS!$C$16,0)</f>
        <v>0</v>
      </c>
      <c r="F198" s="4">
        <f ca="1">IF(D198&lt;&gt;0,PREMISSAS!$N$83,0)</f>
        <v>0</v>
      </c>
      <c r="G198" s="4">
        <f ca="1">IFERROR(IF(RESULTADOS!$C$17="Normal",0,D198)*IF(RESULTADOS!$C$17="Normal",RESULTADOS!$C$18,RESULTADOS!$C$16),0)</f>
        <v>0</v>
      </c>
      <c r="H198" s="4">
        <f ca="1">IF(RESULTADOS!$C$17="Normal",E198,0)</f>
        <v>0</v>
      </c>
      <c r="I198" s="4">
        <f ca="1">(E198+H198+G198)*IFERROR(VLOOKUP(INT(COUNT($B$5:B198)/12),PREMISSAS!$B$62:$C$69,2,FALSE),PREMISSAS!$C$69)</f>
        <v>0</v>
      </c>
      <c r="J198" s="4">
        <f ca="1">D198*IF(RESULTADOS!$C$17="Normal",PREMISSAS!$C$71,0)</f>
        <v>0</v>
      </c>
      <c r="K198" s="87">
        <f ca="1">IFERROR(K197*(1+PREMISSAS!$C$19)+(E198+H198-IF(RESULTADOS!$C$17="Normal",I198,0)-J198)*IF(MONTH(B198)=12,2,1),0)</f>
        <v>0</v>
      </c>
      <c r="L198" s="87">
        <f ca="1">IFERROR((L197+G198-IF(RESULTADOS!$C$17="Normal",0,I198))*(1+PREMISSAS!$C$19)+F198,0)</f>
        <v>0</v>
      </c>
      <c r="N198" s="58">
        <f t="shared" ref="N198:N261" ca="1" si="24">IFERROR((E198+F198+G198)/C198,0)</f>
        <v>0</v>
      </c>
      <c r="O198" s="223"/>
      <c r="P198" s="131">
        <f t="shared" ref="P198:P261" ca="1" si="25">IF(C198="","",B198)</f>
        <v>50770</v>
      </c>
      <c r="Q198" s="111">
        <f ca="1">IF(C198="","",Q197+(E198+H198-IF(RESULTADOS!$C$17="Normal",I198,0)-J198)/2+(F198+G198-IF(RESULTADOS!$C$17="Normal",0,I198)))</f>
        <v>0</v>
      </c>
      <c r="R198" s="111">
        <f ca="1">IF(C198="","",R197+(E198+H198-IF(RESULTADOS!$C$17="Normal",I198,0)-J198)/2)</f>
        <v>0</v>
      </c>
      <c r="S198" s="111">
        <f t="shared" ca="1" si="20"/>
        <v>0</v>
      </c>
      <c r="U198" s="131" t="str">
        <f t="shared" ca="1" si="21"/>
        <v/>
      </c>
      <c r="V198" s="131" t="str">
        <f t="shared" ref="V198:V261" ca="1" si="26">IF(AA198&lt;&gt;"",U198,"")</f>
        <v/>
      </c>
      <c r="W198" s="111">
        <f ca="1">IF(OR((W197-13/12*Z197)*(1+PREMISSAS!$C$17)&lt;0,W197=""),0,(W197-13/12*Z197)*(1+PREMISSAS!$C$17))</f>
        <v>0</v>
      </c>
      <c r="X198" s="111">
        <f ca="1">IF(OR((X197-13/12*AA197)*(1+PREMISSAS!$C$17)&lt;0,X197=""),0,(X197-13/12*AA197)*(1+PREMISSAS!$C$17))</f>
        <v>0</v>
      </c>
      <c r="Y198" s="111">
        <f t="shared" ref="Y198:Y261" ca="1" si="27">SUM(W198:X198)</f>
        <v>0</v>
      </c>
      <c r="Z198" s="134">
        <f t="shared" ca="1" si="22"/>
        <v>0</v>
      </c>
      <c r="AA198" s="134">
        <f t="shared" ca="1" si="23"/>
        <v>0</v>
      </c>
    </row>
    <row r="199" spans="2:27" x14ac:dyDescent="0.3">
      <c r="B199" s="21">
        <f ca="1">IF(B198="","",IF(EOMONTH(B198,1)&gt;EOMONTH(ELEGIBILIDADE!$E$5,0),"",EOMONTH(B198,1)))</f>
        <v>50801</v>
      </c>
      <c r="C199" s="22">
        <f ca="1">IF(B199="","",IF(MONTH(B199)=1,C198*(1+PREMISSAS!$C$58),C198))</f>
        <v>0</v>
      </c>
      <c r="D199" s="22">
        <f ca="1">IF(RESULTADOS!$C$17="Normal",IFERROR(MAX(C199-PREMISSAS!$C$14,0),0),IF(PREMISSAS!$H$117=0,0,MAX(10*PREMISSAS!$C$39,RESULTADOS!$F$17)))</f>
        <v>0</v>
      </c>
      <c r="E199" s="4">
        <f ca="1">D199*IF(RESULTADOS!$C$17="Normal",RESULTADOS!$C$16,0)</f>
        <v>0</v>
      </c>
      <c r="F199" s="4">
        <f ca="1">IF(D199&lt;&gt;0,PREMISSAS!$N$83,0)</f>
        <v>0</v>
      </c>
      <c r="G199" s="4">
        <f ca="1">IFERROR(IF(RESULTADOS!$C$17="Normal",0,D199)*IF(RESULTADOS!$C$17="Normal",RESULTADOS!$C$18,RESULTADOS!$C$16),0)</f>
        <v>0</v>
      </c>
      <c r="H199" s="4">
        <f ca="1">IF(RESULTADOS!$C$17="Normal",E199,0)</f>
        <v>0</v>
      </c>
      <c r="I199" s="4">
        <f ca="1">(E199+H199+G199)*IFERROR(VLOOKUP(INT(COUNT($B$5:B199)/12),PREMISSAS!$B$62:$C$69,2,FALSE),PREMISSAS!$C$69)</f>
        <v>0</v>
      </c>
      <c r="J199" s="4">
        <f ca="1">D199*IF(RESULTADOS!$C$17="Normal",PREMISSAS!$C$71,0)</f>
        <v>0</v>
      </c>
      <c r="K199" s="87">
        <f ca="1">IFERROR(K198*(1+PREMISSAS!$C$19)+(E199+H199-IF(RESULTADOS!$C$17="Normal",I199,0)-J199)*IF(MONTH(B199)=12,2,1),0)</f>
        <v>0</v>
      </c>
      <c r="L199" s="87">
        <f ca="1">IFERROR((L198+G199-IF(RESULTADOS!$C$17="Normal",0,I199))*(1+PREMISSAS!$C$19)+F199,0)</f>
        <v>0</v>
      </c>
      <c r="N199" s="58">
        <f t="shared" ca="1" si="24"/>
        <v>0</v>
      </c>
      <c r="O199" s="223"/>
      <c r="P199" s="131">
        <f t="shared" ca="1" si="25"/>
        <v>50801</v>
      </c>
      <c r="Q199" s="111">
        <f ca="1">IF(C199="","",Q198+(E199+H199-IF(RESULTADOS!$C$17="Normal",I199,0)-J199)/2+(F199+G199-IF(RESULTADOS!$C$17="Normal",0,I199)))</f>
        <v>0</v>
      </c>
      <c r="R199" s="111">
        <f ca="1">IF(C199="","",R198+(E199+H199-IF(RESULTADOS!$C$17="Normal",I199,0)-J199)/2)</f>
        <v>0</v>
      </c>
      <c r="S199" s="111">
        <f t="shared" ref="S199:S262" ca="1" si="28">SUM(K199:L199)-SUM(Q199:R199)</f>
        <v>0</v>
      </c>
      <c r="U199" s="131" t="str">
        <f t="shared" ref="U199:U262" ca="1" si="29">IF(Y199=0,"",EOMONTH(U198,1))</f>
        <v/>
      </c>
      <c r="V199" s="131" t="str">
        <f t="shared" ca="1" si="26"/>
        <v/>
      </c>
      <c r="W199" s="111">
        <f ca="1">IF(OR((W198-13/12*Z198)*(1+PREMISSAS!$C$17)&lt;0,W198=""),0,(W198-13/12*Z198)*(1+PREMISSAS!$C$17))</f>
        <v>0</v>
      </c>
      <c r="X199" s="111">
        <f ca="1">IF(OR((X198-13/12*AA198)*(1+PREMISSAS!$C$17)&lt;0,X198=""),0,(X198-13/12*AA198)*(1+PREMISSAS!$C$17))</f>
        <v>0</v>
      </c>
      <c r="Y199" s="111">
        <f t="shared" ca="1" si="27"/>
        <v>0</v>
      </c>
      <c r="Z199" s="134">
        <f t="shared" ref="Z199:Z262" ca="1" si="30">IF(W199&lt;&gt;0,Z198,0)</f>
        <v>0</v>
      </c>
      <c r="AA199" s="134">
        <f t="shared" ref="AA199:AA262" ca="1" si="31">IF(X199&lt;&gt;0,AA198,0)</f>
        <v>0</v>
      </c>
    </row>
    <row r="200" spans="2:27" x14ac:dyDescent="0.3">
      <c r="B200" s="21">
        <f ca="1">IF(B199="","",IF(EOMONTH(B199,1)&gt;EOMONTH(ELEGIBILIDADE!$E$5,0),"",EOMONTH(B199,1)))</f>
        <v>50829</v>
      </c>
      <c r="C200" s="22">
        <f ca="1">IF(B200="","",IF(MONTH(B200)=1,C199*(1+PREMISSAS!$C$58),C199))</f>
        <v>0</v>
      </c>
      <c r="D200" s="22">
        <f ca="1">IF(RESULTADOS!$C$17="Normal",IFERROR(MAX(C200-PREMISSAS!$C$14,0),0),IF(PREMISSAS!$H$117=0,0,MAX(10*PREMISSAS!$C$39,RESULTADOS!$F$17)))</f>
        <v>0</v>
      </c>
      <c r="E200" s="4">
        <f ca="1">D200*IF(RESULTADOS!$C$17="Normal",RESULTADOS!$C$16,0)</f>
        <v>0</v>
      </c>
      <c r="F200" s="4">
        <f ca="1">IF(D200&lt;&gt;0,PREMISSAS!$N$83,0)</f>
        <v>0</v>
      </c>
      <c r="G200" s="4">
        <f ca="1">IFERROR(IF(RESULTADOS!$C$17="Normal",0,D200)*IF(RESULTADOS!$C$17="Normal",RESULTADOS!$C$18,RESULTADOS!$C$16),0)</f>
        <v>0</v>
      </c>
      <c r="H200" s="4">
        <f ca="1">IF(RESULTADOS!$C$17="Normal",E200,0)</f>
        <v>0</v>
      </c>
      <c r="I200" s="4">
        <f ca="1">(E200+H200+G200)*IFERROR(VLOOKUP(INT(COUNT($B$5:B200)/12),PREMISSAS!$B$62:$C$69,2,FALSE),PREMISSAS!$C$69)</f>
        <v>0</v>
      </c>
      <c r="J200" s="4">
        <f ca="1">D200*IF(RESULTADOS!$C$17="Normal",PREMISSAS!$C$71,0)</f>
        <v>0</v>
      </c>
      <c r="K200" s="87">
        <f ca="1">IFERROR(K199*(1+PREMISSAS!$C$19)+(E200+H200-IF(RESULTADOS!$C$17="Normal",I200,0)-J200)*IF(MONTH(B200)=12,2,1),0)</f>
        <v>0</v>
      </c>
      <c r="L200" s="87">
        <f ca="1">IFERROR((L199+G200-IF(RESULTADOS!$C$17="Normal",0,I200))*(1+PREMISSAS!$C$19)+F200,0)</f>
        <v>0</v>
      </c>
      <c r="N200" s="58">
        <f t="shared" ca="1" si="24"/>
        <v>0</v>
      </c>
      <c r="O200" s="223"/>
      <c r="P200" s="131">
        <f t="shared" ca="1" si="25"/>
        <v>50829</v>
      </c>
      <c r="Q200" s="111">
        <f ca="1">IF(C200="","",Q199+(E200+H200-IF(RESULTADOS!$C$17="Normal",I200,0)-J200)/2+(F200+G200-IF(RESULTADOS!$C$17="Normal",0,I200)))</f>
        <v>0</v>
      </c>
      <c r="R200" s="111">
        <f ca="1">IF(C200="","",R199+(E200+H200-IF(RESULTADOS!$C$17="Normal",I200,0)-J200)/2)</f>
        <v>0</v>
      </c>
      <c r="S200" s="111">
        <f t="shared" ca="1" si="28"/>
        <v>0</v>
      </c>
      <c r="U200" s="131" t="str">
        <f t="shared" ca="1" si="29"/>
        <v/>
      </c>
      <c r="V200" s="131" t="str">
        <f t="shared" ca="1" si="26"/>
        <v/>
      </c>
      <c r="W200" s="111">
        <f ca="1">IF(OR((W199-13/12*Z199)*(1+PREMISSAS!$C$17)&lt;0,W199=""),0,(W199-13/12*Z199)*(1+PREMISSAS!$C$17))</f>
        <v>0</v>
      </c>
      <c r="X200" s="111">
        <f ca="1">IF(OR((X199-13/12*AA199)*(1+PREMISSAS!$C$17)&lt;0,X199=""),0,(X199-13/12*AA199)*(1+PREMISSAS!$C$17))</f>
        <v>0</v>
      </c>
      <c r="Y200" s="111">
        <f t="shared" ca="1" si="27"/>
        <v>0</v>
      </c>
      <c r="Z200" s="134">
        <f t="shared" ca="1" si="30"/>
        <v>0</v>
      </c>
      <c r="AA200" s="134">
        <f t="shared" ca="1" si="31"/>
        <v>0</v>
      </c>
    </row>
    <row r="201" spans="2:27" x14ac:dyDescent="0.3">
      <c r="B201" s="21">
        <f ca="1">IF(B200="","",IF(EOMONTH(B200,1)&gt;EOMONTH(ELEGIBILIDADE!$E$5,0),"",EOMONTH(B200,1)))</f>
        <v>50860</v>
      </c>
      <c r="C201" s="22">
        <f ca="1">IF(B201="","",IF(MONTH(B201)=1,C200*(1+PREMISSAS!$C$58),C200))</f>
        <v>0</v>
      </c>
      <c r="D201" s="22">
        <f ca="1">IF(RESULTADOS!$C$17="Normal",IFERROR(MAX(C201-PREMISSAS!$C$14,0),0),IF(PREMISSAS!$H$117=0,0,MAX(10*PREMISSAS!$C$39,RESULTADOS!$F$17)))</f>
        <v>0</v>
      </c>
      <c r="E201" s="4">
        <f ca="1">D201*IF(RESULTADOS!$C$17="Normal",RESULTADOS!$C$16,0)</f>
        <v>0</v>
      </c>
      <c r="F201" s="4">
        <f ca="1">IF(D201&lt;&gt;0,PREMISSAS!$N$83,0)</f>
        <v>0</v>
      </c>
      <c r="G201" s="4">
        <f ca="1">IFERROR(IF(RESULTADOS!$C$17="Normal",0,D201)*IF(RESULTADOS!$C$17="Normal",RESULTADOS!$C$18,RESULTADOS!$C$16),0)</f>
        <v>0</v>
      </c>
      <c r="H201" s="4">
        <f ca="1">IF(RESULTADOS!$C$17="Normal",E201,0)</f>
        <v>0</v>
      </c>
      <c r="I201" s="4">
        <f ca="1">(E201+H201+G201)*IFERROR(VLOOKUP(INT(COUNT($B$5:B201)/12),PREMISSAS!$B$62:$C$69,2,FALSE),PREMISSAS!$C$69)</f>
        <v>0</v>
      </c>
      <c r="J201" s="4">
        <f ca="1">D201*IF(RESULTADOS!$C$17="Normal",PREMISSAS!$C$71,0)</f>
        <v>0</v>
      </c>
      <c r="K201" s="87">
        <f ca="1">IFERROR(K200*(1+PREMISSAS!$C$19)+(E201+H201-IF(RESULTADOS!$C$17="Normal",I201,0)-J201)*IF(MONTH(B201)=12,2,1),0)</f>
        <v>0</v>
      </c>
      <c r="L201" s="87">
        <f ca="1">IFERROR((L200+G201-IF(RESULTADOS!$C$17="Normal",0,I201))*(1+PREMISSAS!$C$19)+F201,0)</f>
        <v>0</v>
      </c>
      <c r="N201" s="58">
        <f t="shared" ca="1" si="24"/>
        <v>0</v>
      </c>
      <c r="O201" s="223"/>
      <c r="P201" s="131">
        <f t="shared" ca="1" si="25"/>
        <v>50860</v>
      </c>
      <c r="Q201" s="111">
        <f ca="1">IF(C201="","",Q200+(E201+H201-IF(RESULTADOS!$C$17="Normal",I201,0)-J201)/2+(F201+G201-IF(RESULTADOS!$C$17="Normal",0,I201)))</f>
        <v>0</v>
      </c>
      <c r="R201" s="111">
        <f ca="1">IF(C201="","",R200+(E201+H201-IF(RESULTADOS!$C$17="Normal",I201,0)-J201)/2)</f>
        <v>0</v>
      </c>
      <c r="S201" s="111">
        <f t="shared" ca="1" si="28"/>
        <v>0</v>
      </c>
      <c r="U201" s="131" t="str">
        <f t="shared" ca="1" si="29"/>
        <v/>
      </c>
      <c r="V201" s="131" t="str">
        <f t="shared" ca="1" si="26"/>
        <v/>
      </c>
      <c r="W201" s="111">
        <f ca="1">IF(OR((W200-13/12*Z200)*(1+PREMISSAS!$C$17)&lt;0,W200=""),0,(W200-13/12*Z200)*(1+PREMISSAS!$C$17))</f>
        <v>0</v>
      </c>
      <c r="X201" s="111">
        <f ca="1">IF(OR((X200-13/12*AA200)*(1+PREMISSAS!$C$17)&lt;0,X200=""),0,(X200-13/12*AA200)*(1+PREMISSAS!$C$17))</f>
        <v>0</v>
      </c>
      <c r="Y201" s="111">
        <f t="shared" ca="1" si="27"/>
        <v>0</v>
      </c>
      <c r="Z201" s="134">
        <f t="shared" ca="1" si="30"/>
        <v>0</v>
      </c>
      <c r="AA201" s="134">
        <f t="shared" ca="1" si="31"/>
        <v>0</v>
      </c>
    </row>
    <row r="202" spans="2:27" x14ac:dyDescent="0.3">
      <c r="B202" s="21">
        <f ca="1">IF(B201="","",IF(EOMONTH(B201,1)&gt;EOMONTH(ELEGIBILIDADE!$E$5,0),"",EOMONTH(B201,1)))</f>
        <v>50890</v>
      </c>
      <c r="C202" s="22">
        <f ca="1">IF(B202="","",IF(MONTH(B202)=1,C201*(1+PREMISSAS!$C$58),C201))</f>
        <v>0</v>
      </c>
      <c r="D202" s="22">
        <f ca="1">IF(RESULTADOS!$C$17="Normal",IFERROR(MAX(C202-PREMISSAS!$C$14,0),0),IF(PREMISSAS!$H$117=0,0,MAX(10*PREMISSAS!$C$39,RESULTADOS!$F$17)))</f>
        <v>0</v>
      </c>
      <c r="E202" s="4">
        <f ca="1">D202*IF(RESULTADOS!$C$17="Normal",RESULTADOS!$C$16,0)</f>
        <v>0</v>
      </c>
      <c r="F202" s="4">
        <f ca="1">IF(D202&lt;&gt;0,PREMISSAS!$N$83,0)</f>
        <v>0</v>
      </c>
      <c r="G202" s="4">
        <f ca="1">IFERROR(IF(RESULTADOS!$C$17="Normal",0,D202)*IF(RESULTADOS!$C$17="Normal",RESULTADOS!$C$18,RESULTADOS!$C$16),0)</f>
        <v>0</v>
      </c>
      <c r="H202" s="4">
        <f ca="1">IF(RESULTADOS!$C$17="Normal",E202,0)</f>
        <v>0</v>
      </c>
      <c r="I202" s="4">
        <f ca="1">(E202+H202+G202)*IFERROR(VLOOKUP(INT(COUNT($B$5:B202)/12),PREMISSAS!$B$62:$C$69,2,FALSE),PREMISSAS!$C$69)</f>
        <v>0</v>
      </c>
      <c r="J202" s="4">
        <f ca="1">D202*IF(RESULTADOS!$C$17="Normal",PREMISSAS!$C$71,0)</f>
        <v>0</v>
      </c>
      <c r="K202" s="87">
        <f ca="1">IFERROR(K201*(1+PREMISSAS!$C$19)+(E202+H202-IF(RESULTADOS!$C$17="Normal",I202,0)-J202)*IF(MONTH(B202)=12,2,1),0)</f>
        <v>0</v>
      </c>
      <c r="L202" s="87">
        <f ca="1">IFERROR((L201+G202-IF(RESULTADOS!$C$17="Normal",0,I202))*(1+PREMISSAS!$C$19)+F202,0)</f>
        <v>0</v>
      </c>
      <c r="N202" s="58">
        <f t="shared" ca="1" si="24"/>
        <v>0</v>
      </c>
      <c r="O202" s="223"/>
      <c r="P202" s="131">
        <f t="shared" ca="1" si="25"/>
        <v>50890</v>
      </c>
      <c r="Q202" s="111">
        <f ca="1">IF(C202="","",Q201+(E202+H202-IF(RESULTADOS!$C$17="Normal",I202,0)-J202)/2+(F202+G202-IF(RESULTADOS!$C$17="Normal",0,I202)))</f>
        <v>0</v>
      </c>
      <c r="R202" s="111">
        <f ca="1">IF(C202="","",R201+(E202+H202-IF(RESULTADOS!$C$17="Normal",I202,0)-J202)/2)</f>
        <v>0</v>
      </c>
      <c r="S202" s="111">
        <f t="shared" ca="1" si="28"/>
        <v>0</v>
      </c>
      <c r="U202" s="131" t="str">
        <f t="shared" ca="1" si="29"/>
        <v/>
      </c>
      <c r="V202" s="131" t="str">
        <f t="shared" ca="1" si="26"/>
        <v/>
      </c>
      <c r="W202" s="111">
        <f ca="1">IF(OR((W201-13/12*Z201)*(1+PREMISSAS!$C$17)&lt;0,W201=""),0,(W201-13/12*Z201)*(1+PREMISSAS!$C$17))</f>
        <v>0</v>
      </c>
      <c r="X202" s="111">
        <f ca="1">IF(OR((X201-13/12*AA201)*(1+PREMISSAS!$C$17)&lt;0,X201=""),0,(X201-13/12*AA201)*(1+PREMISSAS!$C$17))</f>
        <v>0</v>
      </c>
      <c r="Y202" s="111">
        <f t="shared" ca="1" si="27"/>
        <v>0</v>
      </c>
      <c r="Z202" s="134">
        <f t="shared" ca="1" si="30"/>
        <v>0</v>
      </c>
      <c r="AA202" s="134">
        <f t="shared" ca="1" si="31"/>
        <v>0</v>
      </c>
    </row>
    <row r="203" spans="2:27" x14ac:dyDescent="0.3">
      <c r="B203" s="21">
        <f ca="1">IF(B202="","",IF(EOMONTH(B202,1)&gt;EOMONTH(ELEGIBILIDADE!$E$5,0),"",EOMONTH(B202,1)))</f>
        <v>50921</v>
      </c>
      <c r="C203" s="22">
        <f ca="1">IF(B203="","",IF(MONTH(B203)=1,C202*(1+PREMISSAS!$C$58),C202))</f>
        <v>0</v>
      </c>
      <c r="D203" s="22">
        <f ca="1">IF(RESULTADOS!$C$17="Normal",IFERROR(MAX(C203-PREMISSAS!$C$14,0),0),IF(PREMISSAS!$H$117=0,0,MAX(10*PREMISSAS!$C$39,RESULTADOS!$F$17)))</f>
        <v>0</v>
      </c>
      <c r="E203" s="4">
        <f ca="1">D203*IF(RESULTADOS!$C$17="Normal",RESULTADOS!$C$16,0)</f>
        <v>0</v>
      </c>
      <c r="F203" s="4">
        <f ca="1">IF(D203&lt;&gt;0,PREMISSAS!$N$83,0)</f>
        <v>0</v>
      </c>
      <c r="G203" s="4">
        <f ca="1">IFERROR(IF(RESULTADOS!$C$17="Normal",0,D203)*IF(RESULTADOS!$C$17="Normal",RESULTADOS!$C$18,RESULTADOS!$C$16),0)</f>
        <v>0</v>
      </c>
      <c r="H203" s="4">
        <f ca="1">IF(RESULTADOS!$C$17="Normal",E203,0)</f>
        <v>0</v>
      </c>
      <c r="I203" s="4">
        <f ca="1">(E203+H203+G203)*IFERROR(VLOOKUP(INT(COUNT($B$5:B203)/12),PREMISSAS!$B$62:$C$69,2,FALSE),PREMISSAS!$C$69)</f>
        <v>0</v>
      </c>
      <c r="J203" s="4">
        <f ca="1">D203*IF(RESULTADOS!$C$17="Normal",PREMISSAS!$C$71,0)</f>
        <v>0</v>
      </c>
      <c r="K203" s="87">
        <f ca="1">IFERROR(K202*(1+PREMISSAS!$C$19)+(E203+H203-IF(RESULTADOS!$C$17="Normal",I203,0)-J203)*IF(MONTH(B203)=12,2,1),0)</f>
        <v>0</v>
      </c>
      <c r="L203" s="87">
        <f ca="1">IFERROR((L202+G203-IF(RESULTADOS!$C$17="Normal",0,I203))*(1+PREMISSAS!$C$19)+F203,0)</f>
        <v>0</v>
      </c>
      <c r="N203" s="58">
        <f t="shared" ca="1" si="24"/>
        <v>0</v>
      </c>
      <c r="O203" s="223"/>
      <c r="P203" s="131">
        <f t="shared" ca="1" si="25"/>
        <v>50921</v>
      </c>
      <c r="Q203" s="111">
        <f ca="1">IF(C203="","",Q202+(E203+H203-IF(RESULTADOS!$C$17="Normal",I203,0)-J203)/2+(F203+G203-IF(RESULTADOS!$C$17="Normal",0,I203)))</f>
        <v>0</v>
      </c>
      <c r="R203" s="111">
        <f ca="1">IF(C203="","",R202+(E203+H203-IF(RESULTADOS!$C$17="Normal",I203,0)-J203)/2)</f>
        <v>0</v>
      </c>
      <c r="S203" s="111">
        <f t="shared" ca="1" si="28"/>
        <v>0</v>
      </c>
      <c r="U203" s="131" t="str">
        <f t="shared" ca="1" si="29"/>
        <v/>
      </c>
      <c r="V203" s="131" t="str">
        <f t="shared" ca="1" si="26"/>
        <v/>
      </c>
      <c r="W203" s="111">
        <f ca="1">IF(OR((W202-13/12*Z202)*(1+PREMISSAS!$C$17)&lt;0,W202=""),0,(W202-13/12*Z202)*(1+PREMISSAS!$C$17))</f>
        <v>0</v>
      </c>
      <c r="X203" s="111">
        <f ca="1">IF(OR((X202-13/12*AA202)*(1+PREMISSAS!$C$17)&lt;0,X202=""),0,(X202-13/12*AA202)*(1+PREMISSAS!$C$17))</f>
        <v>0</v>
      </c>
      <c r="Y203" s="111">
        <f t="shared" ca="1" si="27"/>
        <v>0</v>
      </c>
      <c r="Z203" s="134">
        <f t="shared" ca="1" si="30"/>
        <v>0</v>
      </c>
      <c r="AA203" s="134">
        <f t="shared" ca="1" si="31"/>
        <v>0</v>
      </c>
    </row>
    <row r="204" spans="2:27" x14ac:dyDescent="0.3">
      <c r="B204" s="21">
        <f ca="1">IF(B203="","",IF(EOMONTH(B203,1)&gt;EOMONTH(ELEGIBILIDADE!$E$5,0),"",EOMONTH(B203,1)))</f>
        <v>50951</v>
      </c>
      <c r="C204" s="22">
        <f ca="1">IF(B204="","",IF(MONTH(B204)=1,C203*(1+PREMISSAS!$C$58),C203))</f>
        <v>0</v>
      </c>
      <c r="D204" s="22">
        <f ca="1">IF(RESULTADOS!$C$17="Normal",IFERROR(MAX(C204-PREMISSAS!$C$14,0),0),IF(PREMISSAS!$H$117=0,0,MAX(10*PREMISSAS!$C$39,RESULTADOS!$F$17)))</f>
        <v>0</v>
      </c>
      <c r="E204" s="4">
        <f ca="1">D204*IF(RESULTADOS!$C$17="Normal",RESULTADOS!$C$16,0)</f>
        <v>0</v>
      </c>
      <c r="F204" s="4">
        <f ca="1">IF(D204&lt;&gt;0,PREMISSAS!$N$83,0)</f>
        <v>0</v>
      </c>
      <c r="G204" s="4">
        <f ca="1">IFERROR(IF(RESULTADOS!$C$17="Normal",0,D204)*IF(RESULTADOS!$C$17="Normal",RESULTADOS!$C$18,RESULTADOS!$C$16),0)</f>
        <v>0</v>
      </c>
      <c r="H204" s="4">
        <f ca="1">IF(RESULTADOS!$C$17="Normal",E204,0)</f>
        <v>0</v>
      </c>
      <c r="I204" s="4">
        <f ca="1">(E204+H204+G204)*IFERROR(VLOOKUP(INT(COUNT($B$5:B204)/12),PREMISSAS!$B$62:$C$69,2,FALSE),PREMISSAS!$C$69)</f>
        <v>0</v>
      </c>
      <c r="J204" s="4">
        <f ca="1">D204*IF(RESULTADOS!$C$17="Normal",PREMISSAS!$C$71,0)</f>
        <v>0</v>
      </c>
      <c r="K204" s="87">
        <f ca="1">IFERROR(K203*(1+PREMISSAS!$C$19)+(E204+H204-IF(RESULTADOS!$C$17="Normal",I204,0)-J204)*IF(MONTH(B204)=12,2,1),0)</f>
        <v>0</v>
      </c>
      <c r="L204" s="87">
        <f ca="1">IFERROR((L203+G204-IF(RESULTADOS!$C$17="Normal",0,I204))*(1+PREMISSAS!$C$19)+F204,0)</f>
        <v>0</v>
      </c>
      <c r="N204" s="58">
        <f t="shared" ca="1" si="24"/>
        <v>0</v>
      </c>
      <c r="O204" s="223"/>
      <c r="P204" s="131">
        <f t="shared" ca="1" si="25"/>
        <v>50951</v>
      </c>
      <c r="Q204" s="111">
        <f ca="1">IF(C204="","",Q203+(E204+H204-IF(RESULTADOS!$C$17="Normal",I204,0)-J204)/2+(F204+G204-IF(RESULTADOS!$C$17="Normal",0,I204)))</f>
        <v>0</v>
      </c>
      <c r="R204" s="111">
        <f ca="1">IF(C204="","",R203+(E204+H204-IF(RESULTADOS!$C$17="Normal",I204,0)-J204)/2)</f>
        <v>0</v>
      </c>
      <c r="S204" s="111">
        <f t="shared" ca="1" si="28"/>
        <v>0</v>
      </c>
      <c r="U204" s="131" t="str">
        <f t="shared" ca="1" si="29"/>
        <v/>
      </c>
      <c r="V204" s="131" t="str">
        <f t="shared" ca="1" si="26"/>
        <v/>
      </c>
      <c r="W204" s="111">
        <f ca="1">IF(OR((W203-13/12*Z203)*(1+PREMISSAS!$C$17)&lt;0,W203=""),0,(W203-13/12*Z203)*(1+PREMISSAS!$C$17))</f>
        <v>0</v>
      </c>
      <c r="X204" s="111">
        <f ca="1">IF(OR((X203-13/12*AA203)*(1+PREMISSAS!$C$17)&lt;0,X203=""),0,(X203-13/12*AA203)*(1+PREMISSAS!$C$17))</f>
        <v>0</v>
      </c>
      <c r="Y204" s="111">
        <f t="shared" ca="1" si="27"/>
        <v>0</v>
      </c>
      <c r="Z204" s="134">
        <f t="shared" ca="1" si="30"/>
        <v>0</v>
      </c>
      <c r="AA204" s="134">
        <f t="shared" ca="1" si="31"/>
        <v>0</v>
      </c>
    </row>
    <row r="205" spans="2:27" x14ac:dyDescent="0.3">
      <c r="B205" s="21">
        <f ca="1">IF(B204="","",IF(EOMONTH(B204,1)&gt;EOMONTH(ELEGIBILIDADE!$E$5,0),"",EOMONTH(B204,1)))</f>
        <v>50982</v>
      </c>
      <c r="C205" s="22">
        <f ca="1">IF(B205="","",IF(MONTH(B205)=1,C204*(1+PREMISSAS!$C$58),C204))</f>
        <v>0</v>
      </c>
      <c r="D205" s="22">
        <f ca="1">IF(RESULTADOS!$C$17="Normal",IFERROR(MAX(C205-PREMISSAS!$C$14,0),0),IF(PREMISSAS!$H$117=0,0,MAX(10*PREMISSAS!$C$39,RESULTADOS!$F$17)))</f>
        <v>0</v>
      </c>
      <c r="E205" s="4">
        <f ca="1">D205*IF(RESULTADOS!$C$17="Normal",RESULTADOS!$C$16,0)</f>
        <v>0</v>
      </c>
      <c r="F205" s="4">
        <f ca="1">IF(D205&lt;&gt;0,PREMISSAS!$N$83,0)</f>
        <v>0</v>
      </c>
      <c r="G205" s="4">
        <f ca="1">IFERROR(IF(RESULTADOS!$C$17="Normal",0,D205)*IF(RESULTADOS!$C$17="Normal",RESULTADOS!$C$18,RESULTADOS!$C$16),0)</f>
        <v>0</v>
      </c>
      <c r="H205" s="4">
        <f ca="1">IF(RESULTADOS!$C$17="Normal",E205,0)</f>
        <v>0</v>
      </c>
      <c r="I205" s="4">
        <f ca="1">(E205+H205+G205)*IFERROR(VLOOKUP(INT(COUNT($B$5:B205)/12),PREMISSAS!$B$62:$C$69,2,FALSE),PREMISSAS!$C$69)</f>
        <v>0</v>
      </c>
      <c r="J205" s="4">
        <f ca="1">D205*IF(RESULTADOS!$C$17="Normal",PREMISSAS!$C$71,0)</f>
        <v>0</v>
      </c>
      <c r="K205" s="87">
        <f ca="1">IFERROR(K204*(1+PREMISSAS!$C$19)+(E205+H205-IF(RESULTADOS!$C$17="Normal",I205,0)-J205)*IF(MONTH(B205)=12,2,1),0)</f>
        <v>0</v>
      </c>
      <c r="L205" s="87">
        <f ca="1">IFERROR((L204+G205-IF(RESULTADOS!$C$17="Normal",0,I205))*(1+PREMISSAS!$C$19)+F205,0)</f>
        <v>0</v>
      </c>
      <c r="N205" s="58">
        <f t="shared" ca="1" si="24"/>
        <v>0</v>
      </c>
      <c r="O205" s="223"/>
      <c r="P205" s="131">
        <f t="shared" ca="1" si="25"/>
        <v>50982</v>
      </c>
      <c r="Q205" s="111">
        <f ca="1">IF(C205="","",Q204+(E205+H205-IF(RESULTADOS!$C$17="Normal",I205,0)-J205)/2+(F205+G205-IF(RESULTADOS!$C$17="Normal",0,I205)))</f>
        <v>0</v>
      </c>
      <c r="R205" s="111">
        <f ca="1">IF(C205="","",R204+(E205+H205-IF(RESULTADOS!$C$17="Normal",I205,0)-J205)/2)</f>
        <v>0</v>
      </c>
      <c r="S205" s="111">
        <f t="shared" ca="1" si="28"/>
        <v>0</v>
      </c>
      <c r="U205" s="131" t="str">
        <f t="shared" ca="1" si="29"/>
        <v/>
      </c>
      <c r="V205" s="131" t="str">
        <f t="shared" ca="1" si="26"/>
        <v/>
      </c>
      <c r="W205" s="111">
        <f ca="1">IF(OR((W204-13/12*Z204)*(1+PREMISSAS!$C$17)&lt;0,W204=""),0,(W204-13/12*Z204)*(1+PREMISSAS!$C$17))</f>
        <v>0</v>
      </c>
      <c r="X205" s="111">
        <f ca="1">IF(OR((X204-13/12*AA204)*(1+PREMISSAS!$C$17)&lt;0,X204=""),0,(X204-13/12*AA204)*(1+PREMISSAS!$C$17))</f>
        <v>0</v>
      </c>
      <c r="Y205" s="111">
        <f t="shared" ca="1" si="27"/>
        <v>0</v>
      </c>
      <c r="Z205" s="134">
        <f t="shared" ca="1" si="30"/>
        <v>0</v>
      </c>
      <c r="AA205" s="134">
        <f t="shared" ca="1" si="31"/>
        <v>0</v>
      </c>
    </row>
    <row r="206" spans="2:27" x14ac:dyDescent="0.3">
      <c r="B206" s="21">
        <f ca="1">IF(B205="","",IF(EOMONTH(B205,1)&gt;EOMONTH(ELEGIBILIDADE!$E$5,0),"",EOMONTH(B205,1)))</f>
        <v>51013</v>
      </c>
      <c r="C206" s="22">
        <f ca="1">IF(B206="","",IF(MONTH(B206)=1,C205*(1+PREMISSAS!$C$58),C205))</f>
        <v>0</v>
      </c>
      <c r="D206" s="22">
        <f ca="1">IF(RESULTADOS!$C$17="Normal",IFERROR(MAX(C206-PREMISSAS!$C$14,0),0),IF(PREMISSAS!$H$117=0,0,MAX(10*PREMISSAS!$C$39,RESULTADOS!$F$17)))</f>
        <v>0</v>
      </c>
      <c r="E206" s="4">
        <f ca="1">D206*IF(RESULTADOS!$C$17="Normal",RESULTADOS!$C$16,0)</f>
        <v>0</v>
      </c>
      <c r="F206" s="4">
        <f ca="1">IF(D206&lt;&gt;0,PREMISSAS!$N$83,0)</f>
        <v>0</v>
      </c>
      <c r="G206" s="4">
        <f ca="1">IFERROR(IF(RESULTADOS!$C$17="Normal",0,D206)*IF(RESULTADOS!$C$17="Normal",RESULTADOS!$C$18,RESULTADOS!$C$16),0)</f>
        <v>0</v>
      </c>
      <c r="H206" s="4">
        <f ca="1">IF(RESULTADOS!$C$17="Normal",E206,0)</f>
        <v>0</v>
      </c>
      <c r="I206" s="4">
        <f ca="1">(E206+H206+G206)*IFERROR(VLOOKUP(INT(COUNT($B$5:B206)/12),PREMISSAS!$B$62:$C$69,2,FALSE),PREMISSAS!$C$69)</f>
        <v>0</v>
      </c>
      <c r="J206" s="4">
        <f ca="1">D206*IF(RESULTADOS!$C$17="Normal",PREMISSAS!$C$71,0)</f>
        <v>0</v>
      </c>
      <c r="K206" s="87">
        <f ca="1">IFERROR(K205*(1+PREMISSAS!$C$19)+(E206+H206-IF(RESULTADOS!$C$17="Normal",I206,0)-J206)*IF(MONTH(B206)=12,2,1),0)</f>
        <v>0</v>
      </c>
      <c r="L206" s="87">
        <f ca="1">IFERROR((L205+G206-IF(RESULTADOS!$C$17="Normal",0,I206))*(1+PREMISSAS!$C$19)+F206,0)</f>
        <v>0</v>
      </c>
      <c r="N206" s="58">
        <f t="shared" ca="1" si="24"/>
        <v>0</v>
      </c>
      <c r="O206" s="223"/>
      <c r="P206" s="131">
        <f t="shared" ca="1" si="25"/>
        <v>51013</v>
      </c>
      <c r="Q206" s="111">
        <f ca="1">IF(C206="","",Q205+(E206+H206-IF(RESULTADOS!$C$17="Normal",I206,0)-J206)/2+(F206+G206-IF(RESULTADOS!$C$17="Normal",0,I206)))</f>
        <v>0</v>
      </c>
      <c r="R206" s="111">
        <f ca="1">IF(C206="","",R205+(E206+H206-IF(RESULTADOS!$C$17="Normal",I206,0)-J206)/2)</f>
        <v>0</v>
      </c>
      <c r="S206" s="111">
        <f t="shared" ca="1" si="28"/>
        <v>0</v>
      </c>
      <c r="U206" s="131" t="str">
        <f t="shared" ca="1" si="29"/>
        <v/>
      </c>
      <c r="V206" s="131" t="str">
        <f t="shared" ca="1" si="26"/>
        <v/>
      </c>
      <c r="W206" s="111">
        <f ca="1">IF(OR((W205-13/12*Z205)*(1+PREMISSAS!$C$17)&lt;0,W205=""),0,(W205-13/12*Z205)*(1+PREMISSAS!$C$17))</f>
        <v>0</v>
      </c>
      <c r="X206" s="111">
        <f ca="1">IF(OR((X205-13/12*AA205)*(1+PREMISSAS!$C$17)&lt;0,X205=""),0,(X205-13/12*AA205)*(1+PREMISSAS!$C$17))</f>
        <v>0</v>
      </c>
      <c r="Y206" s="111">
        <f t="shared" ca="1" si="27"/>
        <v>0</v>
      </c>
      <c r="Z206" s="134">
        <f t="shared" ca="1" si="30"/>
        <v>0</v>
      </c>
      <c r="AA206" s="134">
        <f t="shared" ca="1" si="31"/>
        <v>0</v>
      </c>
    </row>
    <row r="207" spans="2:27" x14ac:dyDescent="0.3">
      <c r="B207" s="21">
        <f ca="1">IF(B206="","",IF(EOMONTH(B206,1)&gt;EOMONTH(ELEGIBILIDADE!$E$5,0),"",EOMONTH(B206,1)))</f>
        <v>51043</v>
      </c>
      <c r="C207" s="22">
        <f ca="1">IF(B207="","",IF(MONTH(B207)=1,C206*(1+PREMISSAS!$C$58),C206))</f>
        <v>0</v>
      </c>
      <c r="D207" s="22">
        <f ca="1">IF(RESULTADOS!$C$17="Normal",IFERROR(MAX(C207-PREMISSAS!$C$14,0),0),IF(PREMISSAS!$H$117=0,0,MAX(10*PREMISSAS!$C$39,RESULTADOS!$F$17)))</f>
        <v>0</v>
      </c>
      <c r="E207" s="4">
        <f ca="1">D207*IF(RESULTADOS!$C$17="Normal",RESULTADOS!$C$16,0)</f>
        <v>0</v>
      </c>
      <c r="F207" s="4">
        <f ca="1">IF(D207&lt;&gt;0,PREMISSAS!$N$83,0)</f>
        <v>0</v>
      </c>
      <c r="G207" s="4">
        <f ca="1">IFERROR(IF(RESULTADOS!$C$17="Normal",0,D207)*IF(RESULTADOS!$C$17="Normal",RESULTADOS!$C$18,RESULTADOS!$C$16),0)</f>
        <v>0</v>
      </c>
      <c r="H207" s="4">
        <f ca="1">IF(RESULTADOS!$C$17="Normal",E207,0)</f>
        <v>0</v>
      </c>
      <c r="I207" s="4">
        <f ca="1">(E207+H207+G207)*IFERROR(VLOOKUP(INT(COUNT($B$5:B207)/12),PREMISSAS!$B$62:$C$69,2,FALSE),PREMISSAS!$C$69)</f>
        <v>0</v>
      </c>
      <c r="J207" s="4">
        <f ca="1">D207*IF(RESULTADOS!$C$17="Normal",PREMISSAS!$C$71,0)</f>
        <v>0</v>
      </c>
      <c r="K207" s="87">
        <f ca="1">IFERROR(K206*(1+PREMISSAS!$C$19)+(E207+H207-IF(RESULTADOS!$C$17="Normal",I207,0)-J207)*IF(MONTH(B207)=12,2,1),0)</f>
        <v>0</v>
      </c>
      <c r="L207" s="87">
        <f ca="1">IFERROR((L206+G207-IF(RESULTADOS!$C$17="Normal",0,I207))*(1+PREMISSAS!$C$19)+F207,0)</f>
        <v>0</v>
      </c>
      <c r="N207" s="58">
        <f t="shared" ca="1" si="24"/>
        <v>0</v>
      </c>
      <c r="O207" s="223"/>
      <c r="P207" s="131">
        <f t="shared" ca="1" si="25"/>
        <v>51043</v>
      </c>
      <c r="Q207" s="111">
        <f ca="1">IF(C207="","",Q206+(E207+H207-IF(RESULTADOS!$C$17="Normal",I207,0)-J207)/2+(F207+G207-IF(RESULTADOS!$C$17="Normal",0,I207)))</f>
        <v>0</v>
      </c>
      <c r="R207" s="111">
        <f ca="1">IF(C207="","",R206+(E207+H207-IF(RESULTADOS!$C$17="Normal",I207,0)-J207)/2)</f>
        <v>0</v>
      </c>
      <c r="S207" s="111">
        <f t="shared" ca="1" si="28"/>
        <v>0</v>
      </c>
      <c r="U207" s="131" t="str">
        <f t="shared" ca="1" si="29"/>
        <v/>
      </c>
      <c r="V207" s="131" t="str">
        <f t="shared" ca="1" si="26"/>
        <v/>
      </c>
      <c r="W207" s="111">
        <f ca="1">IF(OR((W206-13/12*Z206)*(1+PREMISSAS!$C$17)&lt;0,W206=""),0,(W206-13/12*Z206)*(1+PREMISSAS!$C$17))</f>
        <v>0</v>
      </c>
      <c r="X207" s="111">
        <f ca="1">IF(OR((X206-13/12*AA206)*(1+PREMISSAS!$C$17)&lt;0,X206=""),0,(X206-13/12*AA206)*(1+PREMISSAS!$C$17))</f>
        <v>0</v>
      </c>
      <c r="Y207" s="111">
        <f t="shared" ca="1" si="27"/>
        <v>0</v>
      </c>
      <c r="Z207" s="134">
        <f t="shared" ca="1" si="30"/>
        <v>0</v>
      </c>
      <c r="AA207" s="134">
        <f t="shared" ca="1" si="31"/>
        <v>0</v>
      </c>
    </row>
    <row r="208" spans="2:27" x14ac:dyDescent="0.3">
      <c r="B208" s="21">
        <f ca="1">IF(B207="","",IF(EOMONTH(B207,1)&gt;EOMONTH(ELEGIBILIDADE!$E$5,0),"",EOMONTH(B207,1)))</f>
        <v>51074</v>
      </c>
      <c r="C208" s="22">
        <f ca="1">IF(B208="","",IF(MONTH(B208)=1,C207*(1+PREMISSAS!$C$58),C207))</f>
        <v>0</v>
      </c>
      <c r="D208" s="22">
        <f ca="1">IF(RESULTADOS!$C$17="Normal",IFERROR(MAX(C208-PREMISSAS!$C$14,0),0),IF(PREMISSAS!$H$117=0,0,MAX(10*PREMISSAS!$C$39,RESULTADOS!$F$17)))</f>
        <v>0</v>
      </c>
      <c r="E208" s="4">
        <f ca="1">D208*IF(RESULTADOS!$C$17="Normal",RESULTADOS!$C$16,0)</f>
        <v>0</v>
      </c>
      <c r="F208" s="4">
        <f ca="1">IF(D208&lt;&gt;0,PREMISSAS!$N$83,0)</f>
        <v>0</v>
      </c>
      <c r="G208" s="4">
        <f ca="1">IFERROR(IF(RESULTADOS!$C$17="Normal",0,D208)*IF(RESULTADOS!$C$17="Normal",RESULTADOS!$C$18,RESULTADOS!$C$16),0)</f>
        <v>0</v>
      </c>
      <c r="H208" s="4">
        <f ca="1">IF(RESULTADOS!$C$17="Normal",E208,0)</f>
        <v>0</v>
      </c>
      <c r="I208" s="4">
        <f ca="1">(E208+H208+G208)*IFERROR(VLOOKUP(INT(COUNT($B$5:B208)/12),PREMISSAS!$B$62:$C$69,2,FALSE),PREMISSAS!$C$69)</f>
        <v>0</v>
      </c>
      <c r="J208" s="4">
        <f ca="1">D208*IF(RESULTADOS!$C$17="Normal",PREMISSAS!$C$71,0)</f>
        <v>0</v>
      </c>
      <c r="K208" s="87">
        <f ca="1">IFERROR(K207*(1+PREMISSAS!$C$19)+(E208+H208-IF(RESULTADOS!$C$17="Normal",I208,0)-J208)*IF(MONTH(B208)=12,2,1),0)</f>
        <v>0</v>
      </c>
      <c r="L208" s="87">
        <f ca="1">IFERROR((L207+G208-IF(RESULTADOS!$C$17="Normal",0,I208))*(1+PREMISSAS!$C$19)+F208,0)</f>
        <v>0</v>
      </c>
      <c r="N208" s="58">
        <f t="shared" ca="1" si="24"/>
        <v>0</v>
      </c>
      <c r="O208" s="223"/>
      <c r="P208" s="131">
        <f t="shared" ca="1" si="25"/>
        <v>51074</v>
      </c>
      <c r="Q208" s="111">
        <f ca="1">IF(C208="","",Q207+(E208+H208-IF(RESULTADOS!$C$17="Normal",I208,0)-J208)/2+(F208+G208-IF(RESULTADOS!$C$17="Normal",0,I208)))</f>
        <v>0</v>
      </c>
      <c r="R208" s="111">
        <f ca="1">IF(C208="","",R207+(E208+H208-IF(RESULTADOS!$C$17="Normal",I208,0)-J208)/2)</f>
        <v>0</v>
      </c>
      <c r="S208" s="111">
        <f t="shared" ca="1" si="28"/>
        <v>0</v>
      </c>
      <c r="U208" s="131" t="str">
        <f t="shared" ca="1" si="29"/>
        <v/>
      </c>
      <c r="V208" s="131" t="str">
        <f t="shared" ca="1" si="26"/>
        <v/>
      </c>
      <c r="W208" s="111">
        <f ca="1">IF(OR((W207-13/12*Z207)*(1+PREMISSAS!$C$17)&lt;0,W207=""),0,(W207-13/12*Z207)*(1+PREMISSAS!$C$17))</f>
        <v>0</v>
      </c>
      <c r="X208" s="111">
        <f ca="1">IF(OR((X207-13/12*AA207)*(1+PREMISSAS!$C$17)&lt;0,X207=""),0,(X207-13/12*AA207)*(1+PREMISSAS!$C$17))</f>
        <v>0</v>
      </c>
      <c r="Y208" s="111">
        <f t="shared" ca="1" si="27"/>
        <v>0</v>
      </c>
      <c r="Z208" s="134">
        <f t="shared" ca="1" si="30"/>
        <v>0</v>
      </c>
      <c r="AA208" s="134">
        <f t="shared" ca="1" si="31"/>
        <v>0</v>
      </c>
    </row>
    <row r="209" spans="2:27" x14ac:dyDescent="0.3">
      <c r="B209" s="21">
        <f ca="1">IF(B208="","",IF(EOMONTH(B208,1)&gt;EOMONTH(ELEGIBILIDADE!$E$5,0),"",EOMONTH(B208,1)))</f>
        <v>51104</v>
      </c>
      <c r="C209" s="22">
        <f ca="1">IF(B209="","",IF(MONTH(B209)=1,C208*(1+PREMISSAS!$C$58),C208))</f>
        <v>0</v>
      </c>
      <c r="D209" s="22">
        <f ca="1">IF(RESULTADOS!$C$17="Normal",IFERROR(MAX(C209-PREMISSAS!$C$14,0),0),IF(PREMISSAS!$H$117=0,0,MAX(10*PREMISSAS!$C$39,RESULTADOS!$F$17)))</f>
        <v>0</v>
      </c>
      <c r="E209" s="4">
        <f ca="1">D209*IF(RESULTADOS!$C$17="Normal",RESULTADOS!$C$16,0)</f>
        <v>0</v>
      </c>
      <c r="F209" s="4">
        <f ca="1">IF(D209&lt;&gt;0,PREMISSAS!$N$83,0)</f>
        <v>0</v>
      </c>
      <c r="G209" s="4">
        <f ca="1">IFERROR(IF(RESULTADOS!$C$17="Normal",0,D209)*IF(RESULTADOS!$C$17="Normal",RESULTADOS!$C$18,RESULTADOS!$C$16),0)</f>
        <v>0</v>
      </c>
      <c r="H209" s="4">
        <f ca="1">IF(RESULTADOS!$C$17="Normal",E209,0)</f>
        <v>0</v>
      </c>
      <c r="I209" s="4">
        <f ca="1">(E209+H209+G209)*IFERROR(VLOOKUP(INT(COUNT($B$5:B209)/12),PREMISSAS!$B$62:$C$69,2,FALSE),PREMISSAS!$C$69)</f>
        <v>0</v>
      </c>
      <c r="J209" s="4">
        <f ca="1">D209*IF(RESULTADOS!$C$17="Normal",PREMISSAS!$C$71,0)</f>
        <v>0</v>
      </c>
      <c r="K209" s="87">
        <f ca="1">IFERROR(K208*(1+PREMISSAS!$C$19)+(E209+H209-IF(RESULTADOS!$C$17="Normal",I209,0)-J209)*IF(MONTH(B209)=12,2,1),0)</f>
        <v>0</v>
      </c>
      <c r="L209" s="87">
        <f ca="1">IFERROR((L208+G209-IF(RESULTADOS!$C$17="Normal",0,I209))*(1+PREMISSAS!$C$19)+F209,0)</f>
        <v>0</v>
      </c>
      <c r="N209" s="58">
        <f t="shared" ca="1" si="24"/>
        <v>0</v>
      </c>
      <c r="O209" s="223"/>
      <c r="P209" s="131">
        <f t="shared" ca="1" si="25"/>
        <v>51104</v>
      </c>
      <c r="Q209" s="111">
        <f ca="1">IF(C209="","",Q208+(E209+H209-IF(RESULTADOS!$C$17="Normal",I209,0)-J209)/2+(F209+G209-IF(RESULTADOS!$C$17="Normal",0,I209)))</f>
        <v>0</v>
      </c>
      <c r="R209" s="111">
        <f ca="1">IF(C209="","",R208+(E209+H209-IF(RESULTADOS!$C$17="Normal",I209,0)-J209)/2)</f>
        <v>0</v>
      </c>
      <c r="S209" s="111">
        <f t="shared" ca="1" si="28"/>
        <v>0</v>
      </c>
      <c r="U209" s="131" t="str">
        <f t="shared" ca="1" si="29"/>
        <v/>
      </c>
      <c r="V209" s="131" t="str">
        <f t="shared" ca="1" si="26"/>
        <v/>
      </c>
      <c r="W209" s="111">
        <f ca="1">IF(OR((W208-13/12*Z208)*(1+PREMISSAS!$C$17)&lt;0,W208=""),0,(W208-13/12*Z208)*(1+PREMISSAS!$C$17))</f>
        <v>0</v>
      </c>
      <c r="X209" s="111">
        <f ca="1">IF(OR((X208-13/12*AA208)*(1+PREMISSAS!$C$17)&lt;0,X208=""),0,(X208-13/12*AA208)*(1+PREMISSAS!$C$17))</f>
        <v>0</v>
      </c>
      <c r="Y209" s="111">
        <f t="shared" ca="1" si="27"/>
        <v>0</v>
      </c>
      <c r="Z209" s="134">
        <f t="shared" ca="1" si="30"/>
        <v>0</v>
      </c>
      <c r="AA209" s="134">
        <f t="shared" ca="1" si="31"/>
        <v>0</v>
      </c>
    </row>
    <row r="210" spans="2:27" x14ac:dyDescent="0.3">
      <c r="B210" s="21">
        <f ca="1">IF(B209="","",IF(EOMONTH(B209,1)&gt;EOMONTH(ELEGIBILIDADE!$E$5,0),"",EOMONTH(B209,1)))</f>
        <v>51135</v>
      </c>
      <c r="C210" s="22">
        <f ca="1">IF(B210="","",IF(MONTH(B210)=1,C209*(1+PREMISSAS!$C$58),C209))</f>
        <v>0</v>
      </c>
      <c r="D210" s="22">
        <f ca="1">IF(RESULTADOS!$C$17="Normal",IFERROR(MAX(C210-PREMISSAS!$C$14,0),0),IF(PREMISSAS!$H$117=0,0,MAX(10*PREMISSAS!$C$39,RESULTADOS!$F$17)))</f>
        <v>0</v>
      </c>
      <c r="E210" s="4">
        <f ca="1">D210*IF(RESULTADOS!$C$17="Normal",RESULTADOS!$C$16,0)</f>
        <v>0</v>
      </c>
      <c r="F210" s="4">
        <f ca="1">IF(D210&lt;&gt;0,PREMISSAS!$N$83,0)</f>
        <v>0</v>
      </c>
      <c r="G210" s="4">
        <f ca="1">IFERROR(IF(RESULTADOS!$C$17="Normal",0,D210)*IF(RESULTADOS!$C$17="Normal",RESULTADOS!$C$18,RESULTADOS!$C$16),0)</f>
        <v>0</v>
      </c>
      <c r="H210" s="4">
        <f ca="1">IF(RESULTADOS!$C$17="Normal",E210,0)</f>
        <v>0</v>
      </c>
      <c r="I210" s="4">
        <f ca="1">(E210+H210+G210)*IFERROR(VLOOKUP(INT(COUNT($B$5:B210)/12),PREMISSAS!$B$62:$C$69,2,FALSE),PREMISSAS!$C$69)</f>
        <v>0</v>
      </c>
      <c r="J210" s="4">
        <f ca="1">D210*IF(RESULTADOS!$C$17="Normal",PREMISSAS!$C$71,0)</f>
        <v>0</v>
      </c>
      <c r="K210" s="87">
        <f ca="1">IFERROR(K209*(1+PREMISSAS!$C$19)+(E210+H210-IF(RESULTADOS!$C$17="Normal",I210,0)-J210)*IF(MONTH(B210)=12,2,1),0)</f>
        <v>0</v>
      </c>
      <c r="L210" s="87">
        <f ca="1">IFERROR((L209+G210-IF(RESULTADOS!$C$17="Normal",0,I210))*(1+PREMISSAS!$C$19)+F210,0)</f>
        <v>0</v>
      </c>
      <c r="N210" s="58">
        <f t="shared" ca="1" si="24"/>
        <v>0</v>
      </c>
      <c r="O210" s="223"/>
      <c r="P210" s="131">
        <f t="shared" ca="1" si="25"/>
        <v>51135</v>
      </c>
      <c r="Q210" s="111">
        <f ca="1">IF(C210="","",Q209+(E210+H210-IF(RESULTADOS!$C$17="Normal",I210,0)-J210)/2+(F210+G210-IF(RESULTADOS!$C$17="Normal",0,I210)))</f>
        <v>0</v>
      </c>
      <c r="R210" s="111">
        <f ca="1">IF(C210="","",R209+(E210+H210-IF(RESULTADOS!$C$17="Normal",I210,0)-J210)/2)</f>
        <v>0</v>
      </c>
      <c r="S210" s="111">
        <f t="shared" ca="1" si="28"/>
        <v>0</v>
      </c>
      <c r="U210" s="131" t="str">
        <f t="shared" ca="1" si="29"/>
        <v/>
      </c>
      <c r="V210" s="131" t="str">
        <f t="shared" ca="1" si="26"/>
        <v/>
      </c>
      <c r="W210" s="111">
        <f ca="1">IF(OR((W209-13/12*Z209)*(1+PREMISSAS!$C$17)&lt;0,W209=""),0,(W209-13/12*Z209)*(1+PREMISSAS!$C$17))</f>
        <v>0</v>
      </c>
      <c r="X210" s="111">
        <f ca="1">IF(OR((X209-13/12*AA209)*(1+PREMISSAS!$C$17)&lt;0,X209=""),0,(X209-13/12*AA209)*(1+PREMISSAS!$C$17))</f>
        <v>0</v>
      </c>
      <c r="Y210" s="111">
        <f t="shared" ca="1" si="27"/>
        <v>0</v>
      </c>
      <c r="Z210" s="134">
        <f t="shared" ca="1" si="30"/>
        <v>0</v>
      </c>
      <c r="AA210" s="134">
        <f t="shared" ca="1" si="31"/>
        <v>0</v>
      </c>
    </row>
    <row r="211" spans="2:27" x14ac:dyDescent="0.3">
      <c r="B211" s="21">
        <f ca="1">IF(B210="","",IF(EOMONTH(B210,1)&gt;EOMONTH(ELEGIBILIDADE!$E$5,0),"",EOMONTH(B210,1)))</f>
        <v>51166</v>
      </c>
      <c r="C211" s="22">
        <f ca="1">IF(B211="","",IF(MONTH(B211)=1,C210*(1+PREMISSAS!$C$58),C210))</f>
        <v>0</v>
      </c>
      <c r="D211" s="22">
        <f ca="1">IF(RESULTADOS!$C$17="Normal",IFERROR(MAX(C211-PREMISSAS!$C$14,0),0),IF(PREMISSAS!$H$117=0,0,MAX(10*PREMISSAS!$C$39,RESULTADOS!$F$17)))</f>
        <v>0</v>
      </c>
      <c r="E211" s="4">
        <f ca="1">D211*IF(RESULTADOS!$C$17="Normal",RESULTADOS!$C$16,0)</f>
        <v>0</v>
      </c>
      <c r="F211" s="4">
        <f ca="1">IF(D211&lt;&gt;0,PREMISSAS!$N$83,0)</f>
        <v>0</v>
      </c>
      <c r="G211" s="4">
        <f ca="1">IFERROR(IF(RESULTADOS!$C$17="Normal",0,D211)*IF(RESULTADOS!$C$17="Normal",RESULTADOS!$C$18,RESULTADOS!$C$16),0)</f>
        <v>0</v>
      </c>
      <c r="H211" s="4">
        <f ca="1">IF(RESULTADOS!$C$17="Normal",E211,0)</f>
        <v>0</v>
      </c>
      <c r="I211" s="4">
        <f ca="1">(E211+H211+G211)*IFERROR(VLOOKUP(INT(COUNT($B$5:B211)/12),PREMISSAS!$B$62:$C$69,2,FALSE),PREMISSAS!$C$69)</f>
        <v>0</v>
      </c>
      <c r="J211" s="4">
        <f ca="1">D211*IF(RESULTADOS!$C$17="Normal",PREMISSAS!$C$71,0)</f>
        <v>0</v>
      </c>
      <c r="K211" s="87">
        <f ca="1">IFERROR(K210*(1+PREMISSAS!$C$19)+(E211+H211-IF(RESULTADOS!$C$17="Normal",I211,0)-J211)*IF(MONTH(B211)=12,2,1),0)</f>
        <v>0</v>
      </c>
      <c r="L211" s="87">
        <f ca="1">IFERROR((L210+G211-IF(RESULTADOS!$C$17="Normal",0,I211))*(1+PREMISSAS!$C$19)+F211,0)</f>
        <v>0</v>
      </c>
      <c r="N211" s="58">
        <f t="shared" ca="1" si="24"/>
        <v>0</v>
      </c>
      <c r="O211" s="223"/>
      <c r="P211" s="131">
        <f t="shared" ca="1" si="25"/>
        <v>51166</v>
      </c>
      <c r="Q211" s="111">
        <f ca="1">IF(C211="","",Q210+(E211+H211-IF(RESULTADOS!$C$17="Normal",I211,0)-J211)/2+(F211+G211-IF(RESULTADOS!$C$17="Normal",0,I211)))</f>
        <v>0</v>
      </c>
      <c r="R211" s="111">
        <f ca="1">IF(C211="","",R210+(E211+H211-IF(RESULTADOS!$C$17="Normal",I211,0)-J211)/2)</f>
        <v>0</v>
      </c>
      <c r="S211" s="111">
        <f t="shared" ca="1" si="28"/>
        <v>0</v>
      </c>
      <c r="U211" s="131" t="str">
        <f t="shared" ca="1" si="29"/>
        <v/>
      </c>
      <c r="V211" s="131" t="str">
        <f t="shared" ca="1" si="26"/>
        <v/>
      </c>
      <c r="W211" s="111">
        <f ca="1">IF(OR((W210-13/12*Z210)*(1+PREMISSAS!$C$17)&lt;0,W210=""),0,(W210-13/12*Z210)*(1+PREMISSAS!$C$17))</f>
        <v>0</v>
      </c>
      <c r="X211" s="111">
        <f ca="1">IF(OR((X210-13/12*AA210)*(1+PREMISSAS!$C$17)&lt;0,X210=""),0,(X210-13/12*AA210)*(1+PREMISSAS!$C$17))</f>
        <v>0</v>
      </c>
      <c r="Y211" s="111">
        <f t="shared" ca="1" si="27"/>
        <v>0</v>
      </c>
      <c r="Z211" s="134">
        <f t="shared" ca="1" si="30"/>
        <v>0</v>
      </c>
      <c r="AA211" s="134">
        <f t="shared" ca="1" si="31"/>
        <v>0</v>
      </c>
    </row>
    <row r="212" spans="2:27" x14ac:dyDescent="0.3">
      <c r="B212" s="21">
        <f ca="1">IF(B211="","",IF(EOMONTH(B211,1)&gt;EOMONTH(ELEGIBILIDADE!$E$5,0),"",EOMONTH(B211,1)))</f>
        <v>51195</v>
      </c>
      <c r="C212" s="22">
        <f ca="1">IF(B212="","",IF(MONTH(B212)=1,C211*(1+PREMISSAS!$C$58),C211))</f>
        <v>0</v>
      </c>
      <c r="D212" s="22">
        <f ca="1">IF(RESULTADOS!$C$17="Normal",IFERROR(MAX(C212-PREMISSAS!$C$14,0),0),IF(PREMISSAS!$H$117=0,0,MAX(10*PREMISSAS!$C$39,RESULTADOS!$F$17)))</f>
        <v>0</v>
      </c>
      <c r="E212" s="4">
        <f ca="1">D212*IF(RESULTADOS!$C$17="Normal",RESULTADOS!$C$16,0)</f>
        <v>0</v>
      </c>
      <c r="F212" s="4">
        <f ca="1">IF(D212&lt;&gt;0,PREMISSAS!$N$83,0)</f>
        <v>0</v>
      </c>
      <c r="G212" s="4">
        <f ca="1">IFERROR(IF(RESULTADOS!$C$17="Normal",0,D212)*IF(RESULTADOS!$C$17="Normal",RESULTADOS!$C$18,RESULTADOS!$C$16),0)</f>
        <v>0</v>
      </c>
      <c r="H212" s="4">
        <f ca="1">IF(RESULTADOS!$C$17="Normal",E212,0)</f>
        <v>0</v>
      </c>
      <c r="I212" s="4">
        <f ca="1">(E212+H212+G212)*IFERROR(VLOOKUP(INT(COUNT($B$5:B212)/12),PREMISSAS!$B$62:$C$69,2,FALSE),PREMISSAS!$C$69)</f>
        <v>0</v>
      </c>
      <c r="J212" s="4">
        <f ca="1">D212*IF(RESULTADOS!$C$17="Normal",PREMISSAS!$C$71,0)</f>
        <v>0</v>
      </c>
      <c r="K212" s="87">
        <f ca="1">IFERROR(K211*(1+PREMISSAS!$C$19)+(E212+H212-IF(RESULTADOS!$C$17="Normal",I212,0)-J212)*IF(MONTH(B212)=12,2,1),0)</f>
        <v>0</v>
      </c>
      <c r="L212" s="87">
        <f ca="1">IFERROR((L211+G212-IF(RESULTADOS!$C$17="Normal",0,I212))*(1+PREMISSAS!$C$19)+F212,0)</f>
        <v>0</v>
      </c>
      <c r="N212" s="58">
        <f t="shared" ca="1" si="24"/>
        <v>0</v>
      </c>
      <c r="O212" s="223"/>
      <c r="P212" s="131">
        <f t="shared" ca="1" si="25"/>
        <v>51195</v>
      </c>
      <c r="Q212" s="111">
        <f ca="1">IF(C212="","",Q211+(E212+H212-IF(RESULTADOS!$C$17="Normal",I212,0)-J212)/2+(F212+G212-IF(RESULTADOS!$C$17="Normal",0,I212)))</f>
        <v>0</v>
      </c>
      <c r="R212" s="111">
        <f ca="1">IF(C212="","",R211+(E212+H212-IF(RESULTADOS!$C$17="Normal",I212,0)-J212)/2)</f>
        <v>0</v>
      </c>
      <c r="S212" s="111">
        <f t="shared" ca="1" si="28"/>
        <v>0</v>
      </c>
      <c r="U212" s="131" t="str">
        <f t="shared" ca="1" si="29"/>
        <v/>
      </c>
      <c r="V212" s="131" t="str">
        <f t="shared" ca="1" si="26"/>
        <v/>
      </c>
      <c r="W212" s="111">
        <f ca="1">IF(OR((W211-13/12*Z211)*(1+PREMISSAS!$C$17)&lt;0,W211=""),0,(W211-13/12*Z211)*(1+PREMISSAS!$C$17))</f>
        <v>0</v>
      </c>
      <c r="X212" s="111">
        <f ca="1">IF(OR((X211-13/12*AA211)*(1+PREMISSAS!$C$17)&lt;0,X211=""),0,(X211-13/12*AA211)*(1+PREMISSAS!$C$17))</f>
        <v>0</v>
      </c>
      <c r="Y212" s="111">
        <f t="shared" ca="1" si="27"/>
        <v>0</v>
      </c>
      <c r="Z212" s="134">
        <f t="shared" ca="1" si="30"/>
        <v>0</v>
      </c>
      <c r="AA212" s="134">
        <f t="shared" ca="1" si="31"/>
        <v>0</v>
      </c>
    </row>
    <row r="213" spans="2:27" x14ac:dyDescent="0.3">
      <c r="B213" s="21">
        <f ca="1">IF(B212="","",IF(EOMONTH(B212,1)&gt;EOMONTH(ELEGIBILIDADE!$E$5,0),"",EOMONTH(B212,1)))</f>
        <v>51226</v>
      </c>
      <c r="C213" s="22">
        <f ca="1">IF(B213="","",IF(MONTH(B213)=1,C212*(1+PREMISSAS!$C$58),C212))</f>
        <v>0</v>
      </c>
      <c r="D213" s="22">
        <f ca="1">IF(RESULTADOS!$C$17="Normal",IFERROR(MAX(C213-PREMISSAS!$C$14,0),0),IF(PREMISSAS!$H$117=0,0,MAX(10*PREMISSAS!$C$39,RESULTADOS!$F$17)))</f>
        <v>0</v>
      </c>
      <c r="E213" s="4">
        <f ca="1">D213*IF(RESULTADOS!$C$17="Normal",RESULTADOS!$C$16,0)</f>
        <v>0</v>
      </c>
      <c r="F213" s="4">
        <f ca="1">IF(D213&lt;&gt;0,PREMISSAS!$N$83,0)</f>
        <v>0</v>
      </c>
      <c r="G213" s="4">
        <f ca="1">IFERROR(IF(RESULTADOS!$C$17="Normal",0,D213)*IF(RESULTADOS!$C$17="Normal",RESULTADOS!$C$18,RESULTADOS!$C$16),0)</f>
        <v>0</v>
      </c>
      <c r="H213" s="4">
        <f ca="1">IF(RESULTADOS!$C$17="Normal",E213,0)</f>
        <v>0</v>
      </c>
      <c r="I213" s="4">
        <f ca="1">(E213+H213+G213)*IFERROR(VLOOKUP(INT(COUNT($B$5:B213)/12),PREMISSAS!$B$62:$C$69,2,FALSE),PREMISSAS!$C$69)</f>
        <v>0</v>
      </c>
      <c r="J213" s="4">
        <f ca="1">D213*IF(RESULTADOS!$C$17="Normal",PREMISSAS!$C$71,0)</f>
        <v>0</v>
      </c>
      <c r="K213" s="87">
        <f ca="1">IFERROR(K212*(1+PREMISSAS!$C$19)+(E213+H213-IF(RESULTADOS!$C$17="Normal",I213,0)-J213)*IF(MONTH(B213)=12,2,1),0)</f>
        <v>0</v>
      </c>
      <c r="L213" s="87">
        <f ca="1">IFERROR((L212+G213-IF(RESULTADOS!$C$17="Normal",0,I213))*(1+PREMISSAS!$C$19)+F213,0)</f>
        <v>0</v>
      </c>
      <c r="N213" s="58">
        <f t="shared" ca="1" si="24"/>
        <v>0</v>
      </c>
      <c r="O213" s="223"/>
      <c r="P213" s="131">
        <f t="shared" ca="1" si="25"/>
        <v>51226</v>
      </c>
      <c r="Q213" s="111">
        <f ca="1">IF(C213="","",Q212+(E213+H213-IF(RESULTADOS!$C$17="Normal",I213,0)-J213)/2+(F213+G213-IF(RESULTADOS!$C$17="Normal",0,I213)))</f>
        <v>0</v>
      </c>
      <c r="R213" s="111">
        <f ca="1">IF(C213="","",R212+(E213+H213-IF(RESULTADOS!$C$17="Normal",I213,0)-J213)/2)</f>
        <v>0</v>
      </c>
      <c r="S213" s="111">
        <f t="shared" ca="1" si="28"/>
        <v>0</v>
      </c>
      <c r="U213" s="131" t="str">
        <f t="shared" ca="1" si="29"/>
        <v/>
      </c>
      <c r="V213" s="131" t="str">
        <f t="shared" ca="1" si="26"/>
        <v/>
      </c>
      <c r="W213" s="111">
        <f ca="1">IF(OR((W212-13/12*Z212)*(1+PREMISSAS!$C$17)&lt;0,W212=""),0,(W212-13/12*Z212)*(1+PREMISSAS!$C$17))</f>
        <v>0</v>
      </c>
      <c r="X213" s="111">
        <f ca="1">IF(OR((X212-13/12*AA212)*(1+PREMISSAS!$C$17)&lt;0,X212=""),0,(X212-13/12*AA212)*(1+PREMISSAS!$C$17))</f>
        <v>0</v>
      </c>
      <c r="Y213" s="111">
        <f t="shared" ca="1" si="27"/>
        <v>0</v>
      </c>
      <c r="Z213" s="134">
        <f t="shared" ca="1" si="30"/>
        <v>0</v>
      </c>
      <c r="AA213" s="134">
        <f t="shared" ca="1" si="31"/>
        <v>0</v>
      </c>
    </row>
    <row r="214" spans="2:27" x14ac:dyDescent="0.3">
      <c r="B214" s="21">
        <f ca="1">IF(B213="","",IF(EOMONTH(B213,1)&gt;EOMONTH(ELEGIBILIDADE!$E$5,0),"",EOMONTH(B213,1)))</f>
        <v>51256</v>
      </c>
      <c r="C214" s="22">
        <f ca="1">IF(B214="","",IF(MONTH(B214)=1,C213*(1+PREMISSAS!$C$58),C213))</f>
        <v>0</v>
      </c>
      <c r="D214" s="22">
        <f ca="1">IF(RESULTADOS!$C$17="Normal",IFERROR(MAX(C214-PREMISSAS!$C$14,0),0),IF(PREMISSAS!$H$117=0,0,MAX(10*PREMISSAS!$C$39,RESULTADOS!$F$17)))</f>
        <v>0</v>
      </c>
      <c r="E214" s="4">
        <f ca="1">D214*IF(RESULTADOS!$C$17="Normal",RESULTADOS!$C$16,0)</f>
        <v>0</v>
      </c>
      <c r="F214" s="4">
        <f ca="1">IF(D214&lt;&gt;0,PREMISSAS!$N$83,0)</f>
        <v>0</v>
      </c>
      <c r="G214" s="4">
        <f ca="1">IFERROR(IF(RESULTADOS!$C$17="Normal",0,D214)*IF(RESULTADOS!$C$17="Normal",RESULTADOS!$C$18,RESULTADOS!$C$16),0)</f>
        <v>0</v>
      </c>
      <c r="H214" s="4">
        <f ca="1">IF(RESULTADOS!$C$17="Normal",E214,0)</f>
        <v>0</v>
      </c>
      <c r="I214" s="4">
        <f ca="1">(E214+H214+G214)*IFERROR(VLOOKUP(INT(COUNT($B$5:B214)/12),PREMISSAS!$B$62:$C$69,2,FALSE),PREMISSAS!$C$69)</f>
        <v>0</v>
      </c>
      <c r="J214" s="4">
        <f ca="1">D214*IF(RESULTADOS!$C$17="Normal",PREMISSAS!$C$71,0)</f>
        <v>0</v>
      </c>
      <c r="K214" s="87">
        <f ca="1">IFERROR(K213*(1+PREMISSAS!$C$19)+(E214+H214-IF(RESULTADOS!$C$17="Normal",I214,0)-J214)*IF(MONTH(B214)=12,2,1),0)</f>
        <v>0</v>
      </c>
      <c r="L214" s="87">
        <f ca="1">IFERROR((L213+G214-IF(RESULTADOS!$C$17="Normal",0,I214))*(1+PREMISSAS!$C$19)+F214,0)</f>
        <v>0</v>
      </c>
      <c r="N214" s="58">
        <f t="shared" ca="1" si="24"/>
        <v>0</v>
      </c>
      <c r="O214" s="223"/>
      <c r="P214" s="131">
        <f t="shared" ca="1" si="25"/>
        <v>51256</v>
      </c>
      <c r="Q214" s="111">
        <f ca="1">IF(C214="","",Q213+(E214+H214-IF(RESULTADOS!$C$17="Normal",I214,0)-J214)/2+(F214+G214-IF(RESULTADOS!$C$17="Normal",0,I214)))</f>
        <v>0</v>
      </c>
      <c r="R214" s="111">
        <f ca="1">IF(C214="","",R213+(E214+H214-IF(RESULTADOS!$C$17="Normal",I214,0)-J214)/2)</f>
        <v>0</v>
      </c>
      <c r="S214" s="111">
        <f t="shared" ca="1" si="28"/>
        <v>0</v>
      </c>
      <c r="U214" s="131" t="str">
        <f t="shared" ca="1" si="29"/>
        <v/>
      </c>
      <c r="V214" s="131" t="str">
        <f t="shared" ca="1" si="26"/>
        <v/>
      </c>
      <c r="W214" s="111">
        <f ca="1">IF(OR((W213-13/12*Z213)*(1+PREMISSAS!$C$17)&lt;0,W213=""),0,(W213-13/12*Z213)*(1+PREMISSAS!$C$17))</f>
        <v>0</v>
      </c>
      <c r="X214" s="111">
        <f ca="1">IF(OR((X213-13/12*AA213)*(1+PREMISSAS!$C$17)&lt;0,X213=""),0,(X213-13/12*AA213)*(1+PREMISSAS!$C$17))</f>
        <v>0</v>
      </c>
      <c r="Y214" s="111">
        <f t="shared" ca="1" si="27"/>
        <v>0</v>
      </c>
      <c r="Z214" s="134">
        <f t="shared" ca="1" si="30"/>
        <v>0</v>
      </c>
      <c r="AA214" s="134">
        <f t="shared" ca="1" si="31"/>
        <v>0</v>
      </c>
    </row>
    <row r="215" spans="2:27" x14ac:dyDescent="0.3">
      <c r="B215" s="21">
        <f ca="1">IF(B214="","",IF(EOMONTH(B214,1)&gt;EOMONTH(ELEGIBILIDADE!$E$5,0),"",EOMONTH(B214,1)))</f>
        <v>51287</v>
      </c>
      <c r="C215" s="22">
        <f ca="1">IF(B215="","",IF(MONTH(B215)=1,C214*(1+PREMISSAS!$C$58),C214))</f>
        <v>0</v>
      </c>
      <c r="D215" s="22">
        <f ca="1">IF(RESULTADOS!$C$17="Normal",IFERROR(MAX(C215-PREMISSAS!$C$14,0),0),IF(PREMISSAS!$H$117=0,0,MAX(10*PREMISSAS!$C$39,RESULTADOS!$F$17)))</f>
        <v>0</v>
      </c>
      <c r="E215" s="4">
        <f ca="1">D215*IF(RESULTADOS!$C$17="Normal",RESULTADOS!$C$16,0)</f>
        <v>0</v>
      </c>
      <c r="F215" s="4">
        <f ca="1">IF(D215&lt;&gt;0,PREMISSAS!$N$83,0)</f>
        <v>0</v>
      </c>
      <c r="G215" s="4">
        <f ca="1">IFERROR(IF(RESULTADOS!$C$17="Normal",0,D215)*IF(RESULTADOS!$C$17="Normal",RESULTADOS!$C$18,RESULTADOS!$C$16),0)</f>
        <v>0</v>
      </c>
      <c r="H215" s="4">
        <f ca="1">IF(RESULTADOS!$C$17="Normal",E215,0)</f>
        <v>0</v>
      </c>
      <c r="I215" s="4">
        <f ca="1">(E215+H215+G215)*IFERROR(VLOOKUP(INT(COUNT($B$5:B215)/12),PREMISSAS!$B$62:$C$69,2,FALSE),PREMISSAS!$C$69)</f>
        <v>0</v>
      </c>
      <c r="J215" s="4">
        <f ca="1">D215*IF(RESULTADOS!$C$17="Normal",PREMISSAS!$C$71,0)</f>
        <v>0</v>
      </c>
      <c r="K215" s="87">
        <f ca="1">IFERROR(K214*(1+PREMISSAS!$C$19)+(E215+H215-IF(RESULTADOS!$C$17="Normal",I215,0)-J215)*IF(MONTH(B215)=12,2,1),0)</f>
        <v>0</v>
      </c>
      <c r="L215" s="87">
        <f ca="1">IFERROR((L214+G215-IF(RESULTADOS!$C$17="Normal",0,I215))*(1+PREMISSAS!$C$19)+F215,0)</f>
        <v>0</v>
      </c>
      <c r="N215" s="58">
        <f t="shared" ca="1" si="24"/>
        <v>0</v>
      </c>
      <c r="O215" s="223"/>
      <c r="P215" s="131">
        <f t="shared" ca="1" si="25"/>
        <v>51287</v>
      </c>
      <c r="Q215" s="111">
        <f ca="1">IF(C215="","",Q214+(E215+H215-IF(RESULTADOS!$C$17="Normal",I215,0)-J215)/2+(F215+G215-IF(RESULTADOS!$C$17="Normal",0,I215)))</f>
        <v>0</v>
      </c>
      <c r="R215" s="111">
        <f ca="1">IF(C215="","",R214+(E215+H215-IF(RESULTADOS!$C$17="Normal",I215,0)-J215)/2)</f>
        <v>0</v>
      </c>
      <c r="S215" s="111">
        <f t="shared" ca="1" si="28"/>
        <v>0</v>
      </c>
      <c r="U215" s="131" t="str">
        <f t="shared" ca="1" si="29"/>
        <v/>
      </c>
      <c r="V215" s="131" t="str">
        <f t="shared" ca="1" si="26"/>
        <v/>
      </c>
      <c r="W215" s="111">
        <f ca="1">IF(OR((W214-13/12*Z214)*(1+PREMISSAS!$C$17)&lt;0,W214=""),0,(W214-13/12*Z214)*(1+PREMISSAS!$C$17))</f>
        <v>0</v>
      </c>
      <c r="X215" s="111">
        <f ca="1">IF(OR((X214-13/12*AA214)*(1+PREMISSAS!$C$17)&lt;0,X214=""),0,(X214-13/12*AA214)*(1+PREMISSAS!$C$17))</f>
        <v>0</v>
      </c>
      <c r="Y215" s="111">
        <f t="shared" ca="1" si="27"/>
        <v>0</v>
      </c>
      <c r="Z215" s="134">
        <f t="shared" ca="1" si="30"/>
        <v>0</v>
      </c>
      <c r="AA215" s="134">
        <f t="shared" ca="1" si="31"/>
        <v>0</v>
      </c>
    </row>
    <row r="216" spans="2:27" x14ac:dyDescent="0.3">
      <c r="B216" s="21">
        <f ca="1">IF(B215="","",IF(EOMONTH(B215,1)&gt;EOMONTH(ELEGIBILIDADE!$E$5,0),"",EOMONTH(B215,1)))</f>
        <v>51317</v>
      </c>
      <c r="C216" s="22">
        <f ca="1">IF(B216="","",IF(MONTH(B216)=1,C215*(1+PREMISSAS!$C$58),C215))</f>
        <v>0</v>
      </c>
      <c r="D216" s="22">
        <f ca="1">IF(RESULTADOS!$C$17="Normal",IFERROR(MAX(C216-PREMISSAS!$C$14,0),0),IF(PREMISSAS!$H$117=0,0,MAX(10*PREMISSAS!$C$39,RESULTADOS!$F$17)))</f>
        <v>0</v>
      </c>
      <c r="E216" s="4">
        <f ca="1">D216*IF(RESULTADOS!$C$17="Normal",RESULTADOS!$C$16,0)</f>
        <v>0</v>
      </c>
      <c r="F216" s="4">
        <f ca="1">IF(D216&lt;&gt;0,PREMISSAS!$N$83,0)</f>
        <v>0</v>
      </c>
      <c r="G216" s="4">
        <f ca="1">IFERROR(IF(RESULTADOS!$C$17="Normal",0,D216)*IF(RESULTADOS!$C$17="Normal",RESULTADOS!$C$18,RESULTADOS!$C$16),0)</f>
        <v>0</v>
      </c>
      <c r="H216" s="4">
        <f ca="1">IF(RESULTADOS!$C$17="Normal",E216,0)</f>
        <v>0</v>
      </c>
      <c r="I216" s="4">
        <f ca="1">(E216+H216+G216)*IFERROR(VLOOKUP(INT(COUNT($B$5:B216)/12),PREMISSAS!$B$62:$C$69,2,FALSE),PREMISSAS!$C$69)</f>
        <v>0</v>
      </c>
      <c r="J216" s="4">
        <f ca="1">D216*IF(RESULTADOS!$C$17="Normal",PREMISSAS!$C$71,0)</f>
        <v>0</v>
      </c>
      <c r="K216" s="87">
        <f ca="1">IFERROR(K215*(1+PREMISSAS!$C$19)+(E216+H216-IF(RESULTADOS!$C$17="Normal",I216,0)-J216)*IF(MONTH(B216)=12,2,1),0)</f>
        <v>0</v>
      </c>
      <c r="L216" s="87">
        <f ca="1">IFERROR((L215+G216-IF(RESULTADOS!$C$17="Normal",0,I216))*(1+PREMISSAS!$C$19)+F216,0)</f>
        <v>0</v>
      </c>
      <c r="N216" s="58">
        <f t="shared" ca="1" si="24"/>
        <v>0</v>
      </c>
      <c r="O216" s="223"/>
      <c r="P216" s="131">
        <f t="shared" ca="1" si="25"/>
        <v>51317</v>
      </c>
      <c r="Q216" s="111">
        <f ca="1">IF(C216="","",Q215+(E216+H216-IF(RESULTADOS!$C$17="Normal",I216,0)-J216)/2+(F216+G216-IF(RESULTADOS!$C$17="Normal",0,I216)))</f>
        <v>0</v>
      </c>
      <c r="R216" s="111">
        <f ca="1">IF(C216="","",R215+(E216+H216-IF(RESULTADOS!$C$17="Normal",I216,0)-J216)/2)</f>
        <v>0</v>
      </c>
      <c r="S216" s="111">
        <f t="shared" ca="1" si="28"/>
        <v>0</v>
      </c>
      <c r="U216" s="131" t="str">
        <f t="shared" ca="1" si="29"/>
        <v/>
      </c>
      <c r="V216" s="131" t="str">
        <f t="shared" ca="1" si="26"/>
        <v/>
      </c>
      <c r="W216" s="111">
        <f ca="1">IF(OR((W215-13/12*Z215)*(1+PREMISSAS!$C$17)&lt;0,W215=""),0,(W215-13/12*Z215)*(1+PREMISSAS!$C$17))</f>
        <v>0</v>
      </c>
      <c r="X216" s="111">
        <f ca="1">IF(OR((X215-13/12*AA215)*(1+PREMISSAS!$C$17)&lt;0,X215=""),0,(X215-13/12*AA215)*(1+PREMISSAS!$C$17))</f>
        <v>0</v>
      </c>
      <c r="Y216" s="111">
        <f t="shared" ca="1" si="27"/>
        <v>0</v>
      </c>
      <c r="Z216" s="134">
        <f t="shared" ca="1" si="30"/>
        <v>0</v>
      </c>
      <c r="AA216" s="134">
        <f t="shared" ca="1" si="31"/>
        <v>0</v>
      </c>
    </row>
    <row r="217" spans="2:27" x14ac:dyDescent="0.3">
      <c r="B217" s="21">
        <f ca="1">IF(B216="","",IF(EOMONTH(B216,1)&gt;EOMONTH(ELEGIBILIDADE!$E$5,0),"",EOMONTH(B216,1)))</f>
        <v>51348</v>
      </c>
      <c r="C217" s="22">
        <f ca="1">IF(B217="","",IF(MONTH(B217)=1,C216*(1+PREMISSAS!$C$58),C216))</f>
        <v>0</v>
      </c>
      <c r="D217" s="22">
        <f ca="1">IF(RESULTADOS!$C$17="Normal",IFERROR(MAX(C217-PREMISSAS!$C$14,0),0),IF(PREMISSAS!$H$117=0,0,MAX(10*PREMISSAS!$C$39,RESULTADOS!$F$17)))</f>
        <v>0</v>
      </c>
      <c r="E217" s="4">
        <f ca="1">D217*IF(RESULTADOS!$C$17="Normal",RESULTADOS!$C$16,0)</f>
        <v>0</v>
      </c>
      <c r="F217" s="4">
        <f ca="1">IF(D217&lt;&gt;0,PREMISSAS!$N$83,0)</f>
        <v>0</v>
      </c>
      <c r="G217" s="4">
        <f ca="1">IFERROR(IF(RESULTADOS!$C$17="Normal",0,D217)*IF(RESULTADOS!$C$17="Normal",RESULTADOS!$C$18,RESULTADOS!$C$16),0)</f>
        <v>0</v>
      </c>
      <c r="H217" s="4">
        <f ca="1">IF(RESULTADOS!$C$17="Normal",E217,0)</f>
        <v>0</v>
      </c>
      <c r="I217" s="4">
        <f ca="1">(E217+H217+G217)*IFERROR(VLOOKUP(INT(COUNT($B$5:B217)/12),PREMISSAS!$B$62:$C$69,2,FALSE),PREMISSAS!$C$69)</f>
        <v>0</v>
      </c>
      <c r="J217" s="4">
        <f ca="1">D217*IF(RESULTADOS!$C$17="Normal",PREMISSAS!$C$71,0)</f>
        <v>0</v>
      </c>
      <c r="K217" s="87">
        <f ca="1">IFERROR(K216*(1+PREMISSAS!$C$19)+(E217+H217-IF(RESULTADOS!$C$17="Normal",I217,0)-J217)*IF(MONTH(B217)=12,2,1),0)</f>
        <v>0</v>
      </c>
      <c r="L217" s="87">
        <f ca="1">IFERROR((L216+G217-IF(RESULTADOS!$C$17="Normal",0,I217))*(1+PREMISSAS!$C$19)+F217,0)</f>
        <v>0</v>
      </c>
      <c r="N217" s="58">
        <f t="shared" ca="1" si="24"/>
        <v>0</v>
      </c>
      <c r="O217" s="223"/>
      <c r="P217" s="131">
        <f t="shared" ca="1" si="25"/>
        <v>51348</v>
      </c>
      <c r="Q217" s="111">
        <f ca="1">IF(C217="","",Q216+(E217+H217-IF(RESULTADOS!$C$17="Normal",I217,0)-J217)/2+(F217+G217-IF(RESULTADOS!$C$17="Normal",0,I217)))</f>
        <v>0</v>
      </c>
      <c r="R217" s="111">
        <f ca="1">IF(C217="","",R216+(E217+H217-IF(RESULTADOS!$C$17="Normal",I217,0)-J217)/2)</f>
        <v>0</v>
      </c>
      <c r="S217" s="111">
        <f t="shared" ca="1" si="28"/>
        <v>0</v>
      </c>
      <c r="U217" s="131" t="str">
        <f t="shared" ca="1" si="29"/>
        <v/>
      </c>
      <c r="V217" s="131" t="str">
        <f t="shared" ca="1" si="26"/>
        <v/>
      </c>
      <c r="W217" s="111">
        <f ca="1">IF(OR((W216-13/12*Z216)*(1+PREMISSAS!$C$17)&lt;0,W216=""),0,(W216-13/12*Z216)*(1+PREMISSAS!$C$17))</f>
        <v>0</v>
      </c>
      <c r="X217" s="111">
        <f ca="1">IF(OR((X216-13/12*AA216)*(1+PREMISSAS!$C$17)&lt;0,X216=""),0,(X216-13/12*AA216)*(1+PREMISSAS!$C$17))</f>
        <v>0</v>
      </c>
      <c r="Y217" s="111">
        <f t="shared" ca="1" si="27"/>
        <v>0</v>
      </c>
      <c r="Z217" s="134">
        <f t="shared" ca="1" si="30"/>
        <v>0</v>
      </c>
      <c r="AA217" s="134">
        <f t="shared" ca="1" si="31"/>
        <v>0</v>
      </c>
    </row>
    <row r="218" spans="2:27" x14ac:dyDescent="0.3">
      <c r="B218" s="21">
        <f ca="1">IF(B217="","",IF(EOMONTH(B217,1)&gt;EOMONTH(ELEGIBILIDADE!$E$5,0),"",EOMONTH(B217,1)))</f>
        <v>51379</v>
      </c>
      <c r="C218" s="22">
        <f ca="1">IF(B218="","",IF(MONTH(B218)=1,C217*(1+PREMISSAS!$C$58),C217))</f>
        <v>0</v>
      </c>
      <c r="D218" s="22">
        <f ca="1">IF(RESULTADOS!$C$17="Normal",IFERROR(MAX(C218-PREMISSAS!$C$14,0),0),IF(PREMISSAS!$H$117=0,0,MAX(10*PREMISSAS!$C$39,RESULTADOS!$F$17)))</f>
        <v>0</v>
      </c>
      <c r="E218" s="4">
        <f ca="1">D218*IF(RESULTADOS!$C$17="Normal",RESULTADOS!$C$16,0)</f>
        <v>0</v>
      </c>
      <c r="F218" s="4">
        <f ca="1">IF(D218&lt;&gt;0,PREMISSAS!$N$83,0)</f>
        <v>0</v>
      </c>
      <c r="G218" s="4">
        <f ca="1">IFERROR(IF(RESULTADOS!$C$17="Normal",0,D218)*IF(RESULTADOS!$C$17="Normal",RESULTADOS!$C$18,RESULTADOS!$C$16),0)</f>
        <v>0</v>
      </c>
      <c r="H218" s="4">
        <f ca="1">IF(RESULTADOS!$C$17="Normal",E218,0)</f>
        <v>0</v>
      </c>
      <c r="I218" s="4">
        <f ca="1">(E218+H218+G218)*IFERROR(VLOOKUP(INT(COUNT($B$5:B218)/12),PREMISSAS!$B$62:$C$69,2,FALSE),PREMISSAS!$C$69)</f>
        <v>0</v>
      </c>
      <c r="J218" s="4">
        <f ca="1">D218*IF(RESULTADOS!$C$17="Normal",PREMISSAS!$C$71,0)</f>
        <v>0</v>
      </c>
      <c r="K218" s="87">
        <f ca="1">IFERROR(K217*(1+PREMISSAS!$C$19)+(E218+H218-IF(RESULTADOS!$C$17="Normal",I218,0)-J218)*IF(MONTH(B218)=12,2,1),0)</f>
        <v>0</v>
      </c>
      <c r="L218" s="87">
        <f ca="1">IFERROR((L217+G218-IF(RESULTADOS!$C$17="Normal",0,I218))*(1+PREMISSAS!$C$19)+F218,0)</f>
        <v>0</v>
      </c>
      <c r="N218" s="58">
        <f t="shared" ca="1" si="24"/>
        <v>0</v>
      </c>
      <c r="O218" s="223"/>
      <c r="P218" s="131">
        <f t="shared" ca="1" si="25"/>
        <v>51379</v>
      </c>
      <c r="Q218" s="111">
        <f ca="1">IF(C218="","",Q217+(E218+H218-IF(RESULTADOS!$C$17="Normal",I218,0)-J218)/2+(F218+G218-IF(RESULTADOS!$C$17="Normal",0,I218)))</f>
        <v>0</v>
      </c>
      <c r="R218" s="111">
        <f ca="1">IF(C218="","",R217+(E218+H218-IF(RESULTADOS!$C$17="Normal",I218,0)-J218)/2)</f>
        <v>0</v>
      </c>
      <c r="S218" s="111">
        <f t="shared" ca="1" si="28"/>
        <v>0</v>
      </c>
      <c r="U218" s="131" t="str">
        <f t="shared" ca="1" si="29"/>
        <v/>
      </c>
      <c r="V218" s="131" t="str">
        <f t="shared" ca="1" si="26"/>
        <v/>
      </c>
      <c r="W218" s="111">
        <f ca="1">IF(OR((W217-13/12*Z217)*(1+PREMISSAS!$C$17)&lt;0,W217=""),0,(W217-13/12*Z217)*(1+PREMISSAS!$C$17))</f>
        <v>0</v>
      </c>
      <c r="X218" s="111">
        <f ca="1">IF(OR((X217-13/12*AA217)*(1+PREMISSAS!$C$17)&lt;0,X217=""),0,(X217-13/12*AA217)*(1+PREMISSAS!$C$17))</f>
        <v>0</v>
      </c>
      <c r="Y218" s="111">
        <f t="shared" ca="1" si="27"/>
        <v>0</v>
      </c>
      <c r="Z218" s="134">
        <f t="shared" ca="1" si="30"/>
        <v>0</v>
      </c>
      <c r="AA218" s="134">
        <f t="shared" ca="1" si="31"/>
        <v>0</v>
      </c>
    </row>
    <row r="219" spans="2:27" x14ac:dyDescent="0.3">
      <c r="B219" s="21">
        <f ca="1">IF(B218="","",IF(EOMONTH(B218,1)&gt;EOMONTH(ELEGIBILIDADE!$E$5,0),"",EOMONTH(B218,1)))</f>
        <v>51409</v>
      </c>
      <c r="C219" s="22">
        <f ca="1">IF(B219="","",IF(MONTH(B219)=1,C218*(1+PREMISSAS!$C$58),C218))</f>
        <v>0</v>
      </c>
      <c r="D219" s="22">
        <f ca="1">IF(RESULTADOS!$C$17="Normal",IFERROR(MAX(C219-PREMISSAS!$C$14,0),0),IF(PREMISSAS!$H$117=0,0,MAX(10*PREMISSAS!$C$39,RESULTADOS!$F$17)))</f>
        <v>0</v>
      </c>
      <c r="E219" s="4">
        <f ca="1">D219*IF(RESULTADOS!$C$17="Normal",RESULTADOS!$C$16,0)</f>
        <v>0</v>
      </c>
      <c r="F219" s="4">
        <f ca="1">IF(D219&lt;&gt;0,PREMISSAS!$N$83,0)</f>
        <v>0</v>
      </c>
      <c r="G219" s="4">
        <f ca="1">IFERROR(IF(RESULTADOS!$C$17="Normal",0,D219)*IF(RESULTADOS!$C$17="Normal",RESULTADOS!$C$18,RESULTADOS!$C$16),0)</f>
        <v>0</v>
      </c>
      <c r="H219" s="4">
        <f ca="1">IF(RESULTADOS!$C$17="Normal",E219,0)</f>
        <v>0</v>
      </c>
      <c r="I219" s="4">
        <f ca="1">(E219+H219+G219)*IFERROR(VLOOKUP(INT(COUNT($B$5:B219)/12),PREMISSAS!$B$62:$C$69,2,FALSE),PREMISSAS!$C$69)</f>
        <v>0</v>
      </c>
      <c r="J219" s="4">
        <f ca="1">D219*IF(RESULTADOS!$C$17="Normal",PREMISSAS!$C$71,0)</f>
        <v>0</v>
      </c>
      <c r="K219" s="87">
        <f ca="1">IFERROR(K218*(1+PREMISSAS!$C$19)+(E219+H219-IF(RESULTADOS!$C$17="Normal",I219,0)-J219)*IF(MONTH(B219)=12,2,1),0)</f>
        <v>0</v>
      </c>
      <c r="L219" s="87">
        <f ca="1">IFERROR((L218+G219-IF(RESULTADOS!$C$17="Normal",0,I219))*(1+PREMISSAS!$C$19)+F219,0)</f>
        <v>0</v>
      </c>
      <c r="N219" s="58">
        <f t="shared" ca="1" si="24"/>
        <v>0</v>
      </c>
      <c r="O219" s="223"/>
      <c r="P219" s="131">
        <f t="shared" ca="1" si="25"/>
        <v>51409</v>
      </c>
      <c r="Q219" s="111">
        <f ca="1">IF(C219="","",Q218+(E219+H219-IF(RESULTADOS!$C$17="Normal",I219,0)-J219)/2+(F219+G219-IF(RESULTADOS!$C$17="Normal",0,I219)))</f>
        <v>0</v>
      </c>
      <c r="R219" s="111">
        <f ca="1">IF(C219="","",R218+(E219+H219-IF(RESULTADOS!$C$17="Normal",I219,0)-J219)/2)</f>
        <v>0</v>
      </c>
      <c r="S219" s="111">
        <f t="shared" ca="1" si="28"/>
        <v>0</v>
      </c>
      <c r="U219" s="131" t="str">
        <f t="shared" ca="1" si="29"/>
        <v/>
      </c>
      <c r="V219" s="131" t="str">
        <f t="shared" ca="1" si="26"/>
        <v/>
      </c>
      <c r="W219" s="111">
        <f ca="1">IF(OR((W218-13/12*Z218)*(1+PREMISSAS!$C$17)&lt;0,W218=""),0,(W218-13/12*Z218)*(1+PREMISSAS!$C$17))</f>
        <v>0</v>
      </c>
      <c r="X219" s="111">
        <f ca="1">IF(OR((X218-13/12*AA218)*(1+PREMISSAS!$C$17)&lt;0,X218=""),0,(X218-13/12*AA218)*(1+PREMISSAS!$C$17))</f>
        <v>0</v>
      </c>
      <c r="Y219" s="111">
        <f t="shared" ca="1" si="27"/>
        <v>0</v>
      </c>
      <c r="Z219" s="134">
        <f t="shared" ca="1" si="30"/>
        <v>0</v>
      </c>
      <c r="AA219" s="134">
        <f t="shared" ca="1" si="31"/>
        <v>0</v>
      </c>
    </row>
    <row r="220" spans="2:27" x14ac:dyDescent="0.3">
      <c r="B220" s="21">
        <f ca="1">IF(B219="","",IF(EOMONTH(B219,1)&gt;EOMONTH(ELEGIBILIDADE!$E$5,0),"",EOMONTH(B219,1)))</f>
        <v>51440</v>
      </c>
      <c r="C220" s="22">
        <f ca="1">IF(B220="","",IF(MONTH(B220)=1,C219*(1+PREMISSAS!$C$58),C219))</f>
        <v>0</v>
      </c>
      <c r="D220" s="22">
        <f ca="1">IF(RESULTADOS!$C$17="Normal",IFERROR(MAX(C220-PREMISSAS!$C$14,0),0),IF(PREMISSAS!$H$117=0,0,MAX(10*PREMISSAS!$C$39,RESULTADOS!$F$17)))</f>
        <v>0</v>
      </c>
      <c r="E220" s="4">
        <f ca="1">D220*IF(RESULTADOS!$C$17="Normal",RESULTADOS!$C$16,0)</f>
        <v>0</v>
      </c>
      <c r="F220" s="4">
        <f ca="1">IF(D220&lt;&gt;0,PREMISSAS!$N$83,0)</f>
        <v>0</v>
      </c>
      <c r="G220" s="4">
        <f ca="1">IFERROR(IF(RESULTADOS!$C$17="Normal",0,D220)*IF(RESULTADOS!$C$17="Normal",RESULTADOS!$C$18,RESULTADOS!$C$16),0)</f>
        <v>0</v>
      </c>
      <c r="H220" s="4">
        <f ca="1">IF(RESULTADOS!$C$17="Normal",E220,0)</f>
        <v>0</v>
      </c>
      <c r="I220" s="4">
        <f ca="1">(E220+H220+G220)*IFERROR(VLOOKUP(INT(COUNT($B$5:B220)/12),PREMISSAS!$B$62:$C$69,2,FALSE),PREMISSAS!$C$69)</f>
        <v>0</v>
      </c>
      <c r="J220" s="4">
        <f ca="1">D220*IF(RESULTADOS!$C$17="Normal",PREMISSAS!$C$71,0)</f>
        <v>0</v>
      </c>
      <c r="K220" s="87">
        <f ca="1">IFERROR(K219*(1+PREMISSAS!$C$19)+(E220+H220-IF(RESULTADOS!$C$17="Normal",I220,0)-J220)*IF(MONTH(B220)=12,2,1),0)</f>
        <v>0</v>
      </c>
      <c r="L220" s="87">
        <f ca="1">IFERROR((L219+G220-IF(RESULTADOS!$C$17="Normal",0,I220))*(1+PREMISSAS!$C$19)+F220,0)</f>
        <v>0</v>
      </c>
      <c r="N220" s="58">
        <f t="shared" ca="1" si="24"/>
        <v>0</v>
      </c>
      <c r="O220" s="223"/>
      <c r="P220" s="131">
        <f t="shared" ca="1" si="25"/>
        <v>51440</v>
      </c>
      <c r="Q220" s="111">
        <f ca="1">IF(C220="","",Q219+(E220+H220-IF(RESULTADOS!$C$17="Normal",I220,0)-J220)/2+(F220+G220-IF(RESULTADOS!$C$17="Normal",0,I220)))</f>
        <v>0</v>
      </c>
      <c r="R220" s="111">
        <f ca="1">IF(C220="","",R219+(E220+H220-IF(RESULTADOS!$C$17="Normal",I220,0)-J220)/2)</f>
        <v>0</v>
      </c>
      <c r="S220" s="111">
        <f t="shared" ca="1" si="28"/>
        <v>0</v>
      </c>
      <c r="U220" s="131" t="str">
        <f t="shared" ca="1" si="29"/>
        <v/>
      </c>
      <c r="V220" s="131" t="str">
        <f t="shared" ca="1" si="26"/>
        <v/>
      </c>
      <c r="W220" s="111">
        <f ca="1">IF(OR((W219-13/12*Z219)*(1+PREMISSAS!$C$17)&lt;0,W219=""),0,(W219-13/12*Z219)*(1+PREMISSAS!$C$17))</f>
        <v>0</v>
      </c>
      <c r="X220" s="111">
        <f ca="1">IF(OR((X219-13/12*AA219)*(1+PREMISSAS!$C$17)&lt;0,X219=""),0,(X219-13/12*AA219)*(1+PREMISSAS!$C$17))</f>
        <v>0</v>
      </c>
      <c r="Y220" s="111">
        <f t="shared" ca="1" si="27"/>
        <v>0</v>
      </c>
      <c r="Z220" s="134">
        <f t="shared" ca="1" si="30"/>
        <v>0</v>
      </c>
      <c r="AA220" s="134">
        <f t="shared" ca="1" si="31"/>
        <v>0</v>
      </c>
    </row>
    <row r="221" spans="2:27" x14ac:dyDescent="0.3">
      <c r="B221" s="21">
        <f ca="1">IF(B220="","",IF(EOMONTH(B220,1)&gt;EOMONTH(ELEGIBILIDADE!$E$5,0),"",EOMONTH(B220,1)))</f>
        <v>51470</v>
      </c>
      <c r="C221" s="22">
        <f ca="1">IF(B221="","",IF(MONTH(B221)=1,C220*(1+PREMISSAS!$C$58),C220))</f>
        <v>0</v>
      </c>
      <c r="D221" s="22">
        <f ca="1">IF(RESULTADOS!$C$17="Normal",IFERROR(MAX(C221-PREMISSAS!$C$14,0),0),IF(PREMISSAS!$H$117=0,0,MAX(10*PREMISSAS!$C$39,RESULTADOS!$F$17)))</f>
        <v>0</v>
      </c>
      <c r="E221" s="4">
        <f ca="1">D221*IF(RESULTADOS!$C$17="Normal",RESULTADOS!$C$16,0)</f>
        <v>0</v>
      </c>
      <c r="F221" s="4">
        <f ca="1">IF(D221&lt;&gt;0,PREMISSAS!$N$83,0)</f>
        <v>0</v>
      </c>
      <c r="G221" s="4">
        <f ca="1">IFERROR(IF(RESULTADOS!$C$17="Normal",0,D221)*IF(RESULTADOS!$C$17="Normal",RESULTADOS!$C$18,RESULTADOS!$C$16),0)</f>
        <v>0</v>
      </c>
      <c r="H221" s="4">
        <f ca="1">IF(RESULTADOS!$C$17="Normal",E221,0)</f>
        <v>0</v>
      </c>
      <c r="I221" s="4">
        <f ca="1">(E221+H221+G221)*IFERROR(VLOOKUP(INT(COUNT($B$5:B221)/12),PREMISSAS!$B$62:$C$69,2,FALSE),PREMISSAS!$C$69)</f>
        <v>0</v>
      </c>
      <c r="J221" s="4">
        <f ca="1">D221*IF(RESULTADOS!$C$17="Normal",PREMISSAS!$C$71,0)</f>
        <v>0</v>
      </c>
      <c r="K221" s="87">
        <f ca="1">IFERROR(K220*(1+PREMISSAS!$C$19)+(E221+H221-IF(RESULTADOS!$C$17="Normal",I221,0)-J221)*IF(MONTH(B221)=12,2,1),0)</f>
        <v>0</v>
      </c>
      <c r="L221" s="87">
        <f ca="1">IFERROR((L220+G221-IF(RESULTADOS!$C$17="Normal",0,I221))*(1+PREMISSAS!$C$19)+F221,0)</f>
        <v>0</v>
      </c>
      <c r="N221" s="58">
        <f t="shared" ca="1" si="24"/>
        <v>0</v>
      </c>
      <c r="O221" s="223"/>
      <c r="P221" s="131">
        <f t="shared" ca="1" si="25"/>
        <v>51470</v>
      </c>
      <c r="Q221" s="111">
        <f ca="1">IF(C221="","",Q220+(E221+H221-IF(RESULTADOS!$C$17="Normal",I221,0)-J221)/2+(F221+G221-IF(RESULTADOS!$C$17="Normal",0,I221)))</f>
        <v>0</v>
      </c>
      <c r="R221" s="111">
        <f ca="1">IF(C221="","",R220+(E221+H221-IF(RESULTADOS!$C$17="Normal",I221,0)-J221)/2)</f>
        <v>0</v>
      </c>
      <c r="S221" s="111">
        <f t="shared" ca="1" si="28"/>
        <v>0</v>
      </c>
      <c r="U221" s="131" t="str">
        <f t="shared" ca="1" si="29"/>
        <v/>
      </c>
      <c r="V221" s="131" t="str">
        <f t="shared" ca="1" si="26"/>
        <v/>
      </c>
      <c r="W221" s="111">
        <f ca="1">IF(OR((W220-13/12*Z220)*(1+PREMISSAS!$C$17)&lt;0,W220=""),0,(W220-13/12*Z220)*(1+PREMISSAS!$C$17))</f>
        <v>0</v>
      </c>
      <c r="X221" s="111">
        <f ca="1">IF(OR((X220-13/12*AA220)*(1+PREMISSAS!$C$17)&lt;0,X220=""),0,(X220-13/12*AA220)*(1+PREMISSAS!$C$17))</f>
        <v>0</v>
      </c>
      <c r="Y221" s="111">
        <f t="shared" ca="1" si="27"/>
        <v>0</v>
      </c>
      <c r="Z221" s="134">
        <f t="shared" ca="1" si="30"/>
        <v>0</v>
      </c>
      <c r="AA221" s="134">
        <f t="shared" ca="1" si="31"/>
        <v>0</v>
      </c>
    </row>
    <row r="222" spans="2:27" x14ac:dyDescent="0.3">
      <c r="B222" s="21">
        <f ca="1">IF(B221="","",IF(EOMONTH(B221,1)&gt;EOMONTH(ELEGIBILIDADE!$E$5,0),"",EOMONTH(B221,1)))</f>
        <v>51501</v>
      </c>
      <c r="C222" s="22">
        <f ca="1">IF(B222="","",IF(MONTH(B222)=1,C221*(1+PREMISSAS!$C$58),C221))</f>
        <v>0</v>
      </c>
      <c r="D222" s="22">
        <f ca="1">IF(RESULTADOS!$C$17="Normal",IFERROR(MAX(C222-PREMISSAS!$C$14,0),0),IF(PREMISSAS!$H$117=0,0,MAX(10*PREMISSAS!$C$39,RESULTADOS!$F$17)))</f>
        <v>0</v>
      </c>
      <c r="E222" s="4">
        <f ca="1">D222*IF(RESULTADOS!$C$17="Normal",RESULTADOS!$C$16,0)</f>
        <v>0</v>
      </c>
      <c r="F222" s="4">
        <f ca="1">IF(D222&lt;&gt;0,PREMISSAS!$N$83,0)</f>
        <v>0</v>
      </c>
      <c r="G222" s="4">
        <f ca="1">IFERROR(IF(RESULTADOS!$C$17="Normal",0,D222)*IF(RESULTADOS!$C$17="Normal",RESULTADOS!$C$18,RESULTADOS!$C$16),0)</f>
        <v>0</v>
      </c>
      <c r="H222" s="4">
        <f ca="1">IF(RESULTADOS!$C$17="Normal",E222,0)</f>
        <v>0</v>
      </c>
      <c r="I222" s="4">
        <f ca="1">(E222+H222+G222)*IFERROR(VLOOKUP(INT(COUNT($B$5:B222)/12),PREMISSAS!$B$62:$C$69,2,FALSE),PREMISSAS!$C$69)</f>
        <v>0</v>
      </c>
      <c r="J222" s="4">
        <f ca="1">D222*IF(RESULTADOS!$C$17="Normal",PREMISSAS!$C$71,0)</f>
        <v>0</v>
      </c>
      <c r="K222" s="87">
        <f ca="1">IFERROR(K221*(1+PREMISSAS!$C$19)+(E222+H222-IF(RESULTADOS!$C$17="Normal",I222,0)-J222)*IF(MONTH(B222)=12,2,1),0)</f>
        <v>0</v>
      </c>
      <c r="L222" s="87">
        <f ca="1">IFERROR((L221+G222-IF(RESULTADOS!$C$17="Normal",0,I222))*(1+PREMISSAS!$C$19)+F222,0)</f>
        <v>0</v>
      </c>
      <c r="N222" s="58">
        <f t="shared" ca="1" si="24"/>
        <v>0</v>
      </c>
      <c r="O222" s="223"/>
      <c r="P222" s="131">
        <f t="shared" ca="1" si="25"/>
        <v>51501</v>
      </c>
      <c r="Q222" s="111">
        <f ca="1">IF(C222="","",Q221+(E222+H222-IF(RESULTADOS!$C$17="Normal",I222,0)-J222)/2+(F222+G222-IF(RESULTADOS!$C$17="Normal",0,I222)))</f>
        <v>0</v>
      </c>
      <c r="R222" s="111">
        <f ca="1">IF(C222="","",R221+(E222+H222-IF(RESULTADOS!$C$17="Normal",I222,0)-J222)/2)</f>
        <v>0</v>
      </c>
      <c r="S222" s="111">
        <f t="shared" ca="1" si="28"/>
        <v>0</v>
      </c>
      <c r="U222" s="131" t="str">
        <f t="shared" ca="1" si="29"/>
        <v/>
      </c>
      <c r="V222" s="131" t="str">
        <f t="shared" ca="1" si="26"/>
        <v/>
      </c>
      <c r="W222" s="111">
        <f ca="1">IF(OR((W221-13/12*Z221)*(1+PREMISSAS!$C$17)&lt;0,W221=""),0,(W221-13/12*Z221)*(1+PREMISSAS!$C$17))</f>
        <v>0</v>
      </c>
      <c r="X222" s="111">
        <f ca="1">IF(OR((X221-13/12*AA221)*(1+PREMISSAS!$C$17)&lt;0,X221=""),0,(X221-13/12*AA221)*(1+PREMISSAS!$C$17))</f>
        <v>0</v>
      </c>
      <c r="Y222" s="111">
        <f t="shared" ca="1" si="27"/>
        <v>0</v>
      </c>
      <c r="Z222" s="134">
        <f t="shared" ca="1" si="30"/>
        <v>0</v>
      </c>
      <c r="AA222" s="134">
        <f t="shared" ca="1" si="31"/>
        <v>0</v>
      </c>
    </row>
    <row r="223" spans="2:27" x14ac:dyDescent="0.3">
      <c r="B223" s="21">
        <f ca="1">IF(B222="","",IF(EOMONTH(B222,1)&gt;EOMONTH(ELEGIBILIDADE!$E$5,0),"",EOMONTH(B222,1)))</f>
        <v>51532</v>
      </c>
      <c r="C223" s="22">
        <f ca="1">IF(B223="","",IF(MONTH(B223)=1,C222*(1+PREMISSAS!$C$58),C222))</f>
        <v>0</v>
      </c>
      <c r="D223" s="22">
        <f ca="1">IF(RESULTADOS!$C$17="Normal",IFERROR(MAX(C223-PREMISSAS!$C$14,0),0),IF(PREMISSAS!$H$117=0,0,MAX(10*PREMISSAS!$C$39,RESULTADOS!$F$17)))</f>
        <v>0</v>
      </c>
      <c r="E223" s="4">
        <f ca="1">D223*IF(RESULTADOS!$C$17="Normal",RESULTADOS!$C$16,0)</f>
        <v>0</v>
      </c>
      <c r="F223" s="4">
        <f ca="1">IF(D223&lt;&gt;0,PREMISSAS!$N$83,0)</f>
        <v>0</v>
      </c>
      <c r="G223" s="4">
        <f ca="1">IFERROR(IF(RESULTADOS!$C$17="Normal",0,D223)*IF(RESULTADOS!$C$17="Normal",RESULTADOS!$C$18,RESULTADOS!$C$16),0)</f>
        <v>0</v>
      </c>
      <c r="H223" s="4">
        <f ca="1">IF(RESULTADOS!$C$17="Normal",E223,0)</f>
        <v>0</v>
      </c>
      <c r="I223" s="4">
        <f ca="1">(E223+H223+G223)*IFERROR(VLOOKUP(INT(COUNT($B$5:B223)/12),PREMISSAS!$B$62:$C$69,2,FALSE),PREMISSAS!$C$69)</f>
        <v>0</v>
      </c>
      <c r="J223" s="4">
        <f ca="1">D223*IF(RESULTADOS!$C$17="Normal",PREMISSAS!$C$71,0)</f>
        <v>0</v>
      </c>
      <c r="K223" s="87">
        <f ca="1">IFERROR(K222*(1+PREMISSAS!$C$19)+(E223+H223-IF(RESULTADOS!$C$17="Normal",I223,0)-J223)*IF(MONTH(B223)=12,2,1),0)</f>
        <v>0</v>
      </c>
      <c r="L223" s="87">
        <f ca="1">IFERROR((L222+G223-IF(RESULTADOS!$C$17="Normal",0,I223))*(1+PREMISSAS!$C$19)+F223,0)</f>
        <v>0</v>
      </c>
      <c r="N223" s="58">
        <f t="shared" ca="1" si="24"/>
        <v>0</v>
      </c>
      <c r="O223" s="223"/>
      <c r="P223" s="131">
        <f t="shared" ca="1" si="25"/>
        <v>51532</v>
      </c>
      <c r="Q223" s="111">
        <f ca="1">IF(C223="","",Q222+(E223+H223-IF(RESULTADOS!$C$17="Normal",I223,0)-J223)/2+(F223+G223-IF(RESULTADOS!$C$17="Normal",0,I223)))</f>
        <v>0</v>
      </c>
      <c r="R223" s="111">
        <f ca="1">IF(C223="","",R222+(E223+H223-IF(RESULTADOS!$C$17="Normal",I223,0)-J223)/2)</f>
        <v>0</v>
      </c>
      <c r="S223" s="111">
        <f t="shared" ca="1" si="28"/>
        <v>0</v>
      </c>
      <c r="U223" s="131" t="str">
        <f t="shared" ca="1" si="29"/>
        <v/>
      </c>
      <c r="V223" s="131" t="str">
        <f t="shared" ca="1" si="26"/>
        <v/>
      </c>
      <c r="W223" s="111">
        <f ca="1">IF(OR((W222-13/12*Z222)*(1+PREMISSAS!$C$17)&lt;0,W222=""),0,(W222-13/12*Z222)*(1+PREMISSAS!$C$17))</f>
        <v>0</v>
      </c>
      <c r="X223" s="111">
        <f ca="1">IF(OR((X222-13/12*AA222)*(1+PREMISSAS!$C$17)&lt;0,X222=""),0,(X222-13/12*AA222)*(1+PREMISSAS!$C$17))</f>
        <v>0</v>
      </c>
      <c r="Y223" s="111">
        <f t="shared" ca="1" si="27"/>
        <v>0</v>
      </c>
      <c r="Z223" s="134">
        <f t="shared" ca="1" si="30"/>
        <v>0</v>
      </c>
      <c r="AA223" s="134">
        <f t="shared" ca="1" si="31"/>
        <v>0</v>
      </c>
    </row>
    <row r="224" spans="2:27" x14ac:dyDescent="0.3">
      <c r="B224" s="21">
        <f ca="1">IF(B223="","",IF(EOMONTH(B223,1)&gt;EOMONTH(ELEGIBILIDADE!$E$5,0),"",EOMONTH(B223,1)))</f>
        <v>51560</v>
      </c>
      <c r="C224" s="22">
        <f ca="1">IF(B224="","",IF(MONTH(B224)=1,C223*(1+PREMISSAS!$C$58),C223))</f>
        <v>0</v>
      </c>
      <c r="D224" s="22">
        <f ca="1">IF(RESULTADOS!$C$17="Normal",IFERROR(MAX(C224-PREMISSAS!$C$14,0),0),IF(PREMISSAS!$H$117=0,0,MAX(10*PREMISSAS!$C$39,RESULTADOS!$F$17)))</f>
        <v>0</v>
      </c>
      <c r="E224" s="4">
        <f ca="1">D224*IF(RESULTADOS!$C$17="Normal",RESULTADOS!$C$16,0)</f>
        <v>0</v>
      </c>
      <c r="F224" s="4">
        <f ca="1">IF(D224&lt;&gt;0,PREMISSAS!$N$83,0)</f>
        <v>0</v>
      </c>
      <c r="G224" s="4">
        <f ca="1">IFERROR(IF(RESULTADOS!$C$17="Normal",0,D224)*IF(RESULTADOS!$C$17="Normal",RESULTADOS!$C$18,RESULTADOS!$C$16),0)</f>
        <v>0</v>
      </c>
      <c r="H224" s="4">
        <f ca="1">IF(RESULTADOS!$C$17="Normal",E224,0)</f>
        <v>0</v>
      </c>
      <c r="I224" s="4">
        <f ca="1">(E224+H224+G224)*IFERROR(VLOOKUP(INT(COUNT($B$5:B224)/12),PREMISSAS!$B$62:$C$69,2,FALSE),PREMISSAS!$C$69)</f>
        <v>0</v>
      </c>
      <c r="J224" s="4">
        <f ca="1">D224*IF(RESULTADOS!$C$17="Normal",PREMISSAS!$C$71,0)</f>
        <v>0</v>
      </c>
      <c r="K224" s="87">
        <f ca="1">IFERROR(K223*(1+PREMISSAS!$C$19)+(E224+H224-IF(RESULTADOS!$C$17="Normal",I224,0)-J224)*IF(MONTH(B224)=12,2,1),0)</f>
        <v>0</v>
      </c>
      <c r="L224" s="87">
        <f ca="1">IFERROR((L223+G224-IF(RESULTADOS!$C$17="Normal",0,I224))*(1+PREMISSAS!$C$19)+F224,0)</f>
        <v>0</v>
      </c>
      <c r="N224" s="58">
        <f t="shared" ca="1" si="24"/>
        <v>0</v>
      </c>
      <c r="O224" s="223"/>
      <c r="P224" s="131">
        <f t="shared" ca="1" si="25"/>
        <v>51560</v>
      </c>
      <c r="Q224" s="111">
        <f ca="1">IF(C224="","",Q223+(E224+H224-IF(RESULTADOS!$C$17="Normal",I224,0)-J224)/2+(F224+G224-IF(RESULTADOS!$C$17="Normal",0,I224)))</f>
        <v>0</v>
      </c>
      <c r="R224" s="111">
        <f ca="1">IF(C224="","",R223+(E224+H224-IF(RESULTADOS!$C$17="Normal",I224,0)-J224)/2)</f>
        <v>0</v>
      </c>
      <c r="S224" s="111">
        <f t="shared" ca="1" si="28"/>
        <v>0</v>
      </c>
      <c r="U224" s="131" t="str">
        <f t="shared" ca="1" si="29"/>
        <v/>
      </c>
      <c r="V224" s="131" t="str">
        <f t="shared" ca="1" si="26"/>
        <v/>
      </c>
      <c r="W224" s="111">
        <f ca="1">IF(OR((W223-13/12*Z223)*(1+PREMISSAS!$C$17)&lt;0,W223=""),0,(W223-13/12*Z223)*(1+PREMISSAS!$C$17))</f>
        <v>0</v>
      </c>
      <c r="X224" s="111">
        <f ca="1">IF(OR((X223-13/12*AA223)*(1+PREMISSAS!$C$17)&lt;0,X223=""),0,(X223-13/12*AA223)*(1+PREMISSAS!$C$17))</f>
        <v>0</v>
      </c>
      <c r="Y224" s="111">
        <f t="shared" ca="1" si="27"/>
        <v>0</v>
      </c>
      <c r="Z224" s="134">
        <f t="shared" ca="1" si="30"/>
        <v>0</v>
      </c>
      <c r="AA224" s="134">
        <f t="shared" ca="1" si="31"/>
        <v>0</v>
      </c>
    </row>
    <row r="225" spans="2:27" x14ac:dyDescent="0.3">
      <c r="B225" s="21">
        <f ca="1">IF(B224="","",IF(EOMONTH(B224,1)&gt;EOMONTH(ELEGIBILIDADE!$E$5,0),"",EOMONTH(B224,1)))</f>
        <v>51591</v>
      </c>
      <c r="C225" s="22">
        <f ca="1">IF(B225="","",IF(MONTH(B225)=1,C224*(1+PREMISSAS!$C$58),C224))</f>
        <v>0</v>
      </c>
      <c r="D225" s="22">
        <f ca="1">IF(RESULTADOS!$C$17="Normal",IFERROR(MAX(C225-PREMISSAS!$C$14,0),0),IF(PREMISSAS!$H$117=0,0,MAX(10*PREMISSAS!$C$39,RESULTADOS!$F$17)))</f>
        <v>0</v>
      </c>
      <c r="E225" s="4">
        <f ca="1">D225*IF(RESULTADOS!$C$17="Normal",RESULTADOS!$C$16,0)</f>
        <v>0</v>
      </c>
      <c r="F225" s="4">
        <f ca="1">IF(D225&lt;&gt;0,PREMISSAS!$N$83,0)</f>
        <v>0</v>
      </c>
      <c r="G225" s="4">
        <f ca="1">IFERROR(IF(RESULTADOS!$C$17="Normal",0,D225)*IF(RESULTADOS!$C$17="Normal",RESULTADOS!$C$18,RESULTADOS!$C$16),0)</f>
        <v>0</v>
      </c>
      <c r="H225" s="4">
        <f ca="1">IF(RESULTADOS!$C$17="Normal",E225,0)</f>
        <v>0</v>
      </c>
      <c r="I225" s="4">
        <f ca="1">(E225+H225+G225)*IFERROR(VLOOKUP(INT(COUNT($B$5:B225)/12),PREMISSAS!$B$62:$C$69,2,FALSE),PREMISSAS!$C$69)</f>
        <v>0</v>
      </c>
      <c r="J225" s="4">
        <f ca="1">D225*IF(RESULTADOS!$C$17="Normal",PREMISSAS!$C$71,0)</f>
        <v>0</v>
      </c>
      <c r="K225" s="87">
        <f ca="1">IFERROR(K224*(1+PREMISSAS!$C$19)+(E225+H225-IF(RESULTADOS!$C$17="Normal",I225,0)-J225)*IF(MONTH(B225)=12,2,1),0)</f>
        <v>0</v>
      </c>
      <c r="L225" s="87">
        <f ca="1">IFERROR((L224+G225-IF(RESULTADOS!$C$17="Normal",0,I225))*(1+PREMISSAS!$C$19)+F225,0)</f>
        <v>0</v>
      </c>
      <c r="N225" s="58">
        <f t="shared" ca="1" si="24"/>
        <v>0</v>
      </c>
      <c r="O225" s="223"/>
      <c r="P225" s="131">
        <f t="shared" ca="1" si="25"/>
        <v>51591</v>
      </c>
      <c r="Q225" s="111">
        <f ca="1">IF(C225="","",Q224+(E225+H225-IF(RESULTADOS!$C$17="Normal",I225,0)-J225)/2+(F225+G225-IF(RESULTADOS!$C$17="Normal",0,I225)))</f>
        <v>0</v>
      </c>
      <c r="R225" s="111">
        <f ca="1">IF(C225="","",R224+(E225+H225-IF(RESULTADOS!$C$17="Normal",I225,0)-J225)/2)</f>
        <v>0</v>
      </c>
      <c r="S225" s="111">
        <f t="shared" ca="1" si="28"/>
        <v>0</v>
      </c>
      <c r="U225" s="131" t="str">
        <f t="shared" ca="1" si="29"/>
        <v/>
      </c>
      <c r="V225" s="131" t="str">
        <f t="shared" ca="1" si="26"/>
        <v/>
      </c>
      <c r="W225" s="111">
        <f ca="1">IF(OR((W224-13/12*Z224)*(1+PREMISSAS!$C$17)&lt;0,W224=""),0,(W224-13/12*Z224)*(1+PREMISSAS!$C$17))</f>
        <v>0</v>
      </c>
      <c r="X225" s="111">
        <f ca="1">IF(OR((X224-13/12*AA224)*(1+PREMISSAS!$C$17)&lt;0,X224=""),0,(X224-13/12*AA224)*(1+PREMISSAS!$C$17))</f>
        <v>0</v>
      </c>
      <c r="Y225" s="111">
        <f t="shared" ca="1" si="27"/>
        <v>0</v>
      </c>
      <c r="Z225" s="134">
        <f t="shared" ca="1" si="30"/>
        <v>0</v>
      </c>
      <c r="AA225" s="134">
        <f t="shared" ca="1" si="31"/>
        <v>0</v>
      </c>
    </row>
    <row r="226" spans="2:27" x14ac:dyDescent="0.3">
      <c r="B226" s="21">
        <f ca="1">IF(B225="","",IF(EOMONTH(B225,1)&gt;EOMONTH(ELEGIBILIDADE!$E$5,0),"",EOMONTH(B225,1)))</f>
        <v>51621</v>
      </c>
      <c r="C226" s="22">
        <f ca="1">IF(B226="","",IF(MONTH(B226)=1,C225*(1+PREMISSAS!$C$58),C225))</f>
        <v>0</v>
      </c>
      <c r="D226" s="22">
        <f ca="1">IF(RESULTADOS!$C$17="Normal",IFERROR(MAX(C226-PREMISSAS!$C$14,0),0),IF(PREMISSAS!$H$117=0,0,MAX(10*PREMISSAS!$C$39,RESULTADOS!$F$17)))</f>
        <v>0</v>
      </c>
      <c r="E226" s="4">
        <f ca="1">D226*IF(RESULTADOS!$C$17="Normal",RESULTADOS!$C$16,0)</f>
        <v>0</v>
      </c>
      <c r="F226" s="4">
        <f ca="1">IF(D226&lt;&gt;0,PREMISSAS!$N$83,0)</f>
        <v>0</v>
      </c>
      <c r="G226" s="4">
        <f ca="1">IFERROR(IF(RESULTADOS!$C$17="Normal",0,D226)*IF(RESULTADOS!$C$17="Normal",RESULTADOS!$C$18,RESULTADOS!$C$16),0)</f>
        <v>0</v>
      </c>
      <c r="H226" s="4">
        <f ca="1">IF(RESULTADOS!$C$17="Normal",E226,0)</f>
        <v>0</v>
      </c>
      <c r="I226" s="4">
        <f ca="1">(E226+H226+G226)*IFERROR(VLOOKUP(INT(COUNT($B$5:B226)/12),PREMISSAS!$B$62:$C$69,2,FALSE),PREMISSAS!$C$69)</f>
        <v>0</v>
      </c>
      <c r="J226" s="4">
        <f ca="1">D226*IF(RESULTADOS!$C$17="Normal",PREMISSAS!$C$71,0)</f>
        <v>0</v>
      </c>
      <c r="K226" s="87">
        <f ca="1">IFERROR(K225*(1+PREMISSAS!$C$19)+(E226+H226-IF(RESULTADOS!$C$17="Normal",I226,0)-J226)*IF(MONTH(B226)=12,2,1),0)</f>
        <v>0</v>
      </c>
      <c r="L226" s="87">
        <f ca="1">IFERROR((L225+G226-IF(RESULTADOS!$C$17="Normal",0,I226))*(1+PREMISSAS!$C$19)+F226,0)</f>
        <v>0</v>
      </c>
      <c r="N226" s="58">
        <f t="shared" ca="1" si="24"/>
        <v>0</v>
      </c>
      <c r="O226" s="223"/>
      <c r="P226" s="131">
        <f t="shared" ca="1" si="25"/>
        <v>51621</v>
      </c>
      <c r="Q226" s="111">
        <f ca="1">IF(C226="","",Q225+(E226+H226-IF(RESULTADOS!$C$17="Normal",I226,0)-J226)/2+(F226+G226-IF(RESULTADOS!$C$17="Normal",0,I226)))</f>
        <v>0</v>
      </c>
      <c r="R226" s="111">
        <f ca="1">IF(C226="","",R225+(E226+H226-IF(RESULTADOS!$C$17="Normal",I226,0)-J226)/2)</f>
        <v>0</v>
      </c>
      <c r="S226" s="111">
        <f t="shared" ca="1" si="28"/>
        <v>0</v>
      </c>
      <c r="U226" s="131" t="str">
        <f t="shared" ca="1" si="29"/>
        <v/>
      </c>
      <c r="V226" s="131" t="str">
        <f t="shared" ca="1" si="26"/>
        <v/>
      </c>
      <c r="W226" s="111">
        <f ca="1">IF(OR((W225-13/12*Z225)*(1+PREMISSAS!$C$17)&lt;0,W225=""),0,(W225-13/12*Z225)*(1+PREMISSAS!$C$17))</f>
        <v>0</v>
      </c>
      <c r="X226" s="111">
        <f ca="1">IF(OR((X225-13/12*AA225)*(1+PREMISSAS!$C$17)&lt;0,X225=""),0,(X225-13/12*AA225)*(1+PREMISSAS!$C$17))</f>
        <v>0</v>
      </c>
      <c r="Y226" s="111">
        <f t="shared" ca="1" si="27"/>
        <v>0</v>
      </c>
      <c r="Z226" s="134">
        <f t="shared" ca="1" si="30"/>
        <v>0</v>
      </c>
      <c r="AA226" s="134">
        <f t="shared" ca="1" si="31"/>
        <v>0</v>
      </c>
    </row>
    <row r="227" spans="2:27" x14ac:dyDescent="0.3">
      <c r="B227" s="21">
        <f ca="1">IF(B226="","",IF(EOMONTH(B226,1)&gt;EOMONTH(ELEGIBILIDADE!$E$5,0),"",EOMONTH(B226,1)))</f>
        <v>51652</v>
      </c>
      <c r="C227" s="22">
        <f ca="1">IF(B227="","",IF(MONTH(B227)=1,C226*(1+PREMISSAS!$C$58),C226))</f>
        <v>0</v>
      </c>
      <c r="D227" s="22">
        <f ca="1">IF(RESULTADOS!$C$17="Normal",IFERROR(MAX(C227-PREMISSAS!$C$14,0),0),IF(PREMISSAS!$H$117=0,0,MAX(10*PREMISSAS!$C$39,RESULTADOS!$F$17)))</f>
        <v>0</v>
      </c>
      <c r="E227" s="4">
        <f ca="1">D227*IF(RESULTADOS!$C$17="Normal",RESULTADOS!$C$16,0)</f>
        <v>0</v>
      </c>
      <c r="F227" s="4">
        <f ca="1">IF(D227&lt;&gt;0,PREMISSAS!$N$83,0)</f>
        <v>0</v>
      </c>
      <c r="G227" s="4">
        <f ca="1">IFERROR(IF(RESULTADOS!$C$17="Normal",0,D227)*IF(RESULTADOS!$C$17="Normal",RESULTADOS!$C$18,RESULTADOS!$C$16),0)</f>
        <v>0</v>
      </c>
      <c r="H227" s="4">
        <f ca="1">IF(RESULTADOS!$C$17="Normal",E227,0)</f>
        <v>0</v>
      </c>
      <c r="I227" s="4">
        <f ca="1">(E227+H227+G227)*IFERROR(VLOOKUP(INT(COUNT($B$5:B227)/12),PREMISSAS!$B$62:$C$69,2,FALSE),PREMISSAS!$C$69)</f>
        <v>0</v>
      </c>
      <c r="J227" s="4">
        <f ca="1">D227*IF(RESULTADOS!$C$17="Normal",PREMISSAS!$C$71,0)</f>
        <v>0</v>
      </c>
      <c r="K227" s="87">
        <f ca="1">IFERROR(K226*(1+PREMISSAS!$C$19)+(E227+H227-IF(RESULTADOS!$C$17="Normal",I227,0)-J227)*IF(MONTH(B227)=12,2,1),0)</f>
        <v>0</v>
      </c>
      <c r="L227" s="87">
        <f ca="1">IFERROR((L226+G227-IF(RESULTADOS!$C$17="Normal",0,I227))*(1+PREMISSAS!$C$19)+F227,0)</f>
        <v>0</v>
      </c>
      <c r="N227" s="58">
        <f t="shared" ca="1" si="24"/>
        <v>0</v>
      </c>
      <c r="O227" s="223"/>
      <c r="P227" s="131">
        <f t="shared" ca="1" si="25"/>
        <v>51652</v>
      </c>
      <c r="Q227" s="111">
        <f ca="1">IF(C227="","",Q226+(E227+H227-IF(RESULTADOS!$C$17="Normal",I227,0)-J227)/2+(F227+G227-IF(RESULTADOS!$C$17="Normal",0,I227)))</f>
        <v>0</v>
      </c>
      <c r="R227" s="111">
        <f ca="1">IF(C227="","",R226+(E227+H227-IF(RESULTADOS!$C$17="Normal",I227,0)-J227)/2)</f>
        <v>0</v>
      </c>
      <c r="S227" s="111">
        <f t="shared" ca="1" si="28"/>
        <v>0</v>
      </c>
      <c r="U227" s="131" t="str">
        <f t="shared" ca="1" si="29"/>
        <v/>
      </c>
      <c r="V227" s="131" t="str">
        <f t="shared" ca="1" si="26"/>
        <v/>
      </c>
      <c r="W227" s="111">
        <f ca="1">IF(OR((W226-13/12*Z226)*(1+PREMISSAS!$C$17)&lt;0,W226=""),0,(W226-13/12*Z226)*(1+PREMISSAS!$C$17))</f>
        <v>0</v>
      </c>
      <c r="X227" s="111">
        <f ca="1">IF(OR((X226-13/12*AA226)*(1+PREMISSAS!$C$17)&lt;0,X226=""),0,(X226-13/12*AA226)*(1+PREMISSAS!$C$17))</f>
        <v>0</v>
      </c>
      <c r="Y227" s="111">
        <f t="shared" ca="1" si="27"/>
        <v>0</v>
      </c>
      <c r="Z227" s="134">
        <f t="shared" ca="1" si="30"/>
        <v>0</v>
      </c>
      <c r="AA227" s="134">
        <f t="shared" ca="1" si="31"/>
        <v>0</v>
      </c>
    </row>
    <row r="228" spans="2:27" x14ac:dyDescent="0.3">
      <c r="B228" s="21">
        <f ca="1">IF(B227="","",IF(EOMONTH(B227,1)&gt;EOMONTH(ELEGIBILIDADE!$E$5,0),"",EOMONTH(B227,1)))</f>
        <v>51682</v>
      </c>
      <c r="C228" s="22">
        <f ca="1">IF(B228="","",IF(MONTH(B228)=1,C227*(1+PREMISSAS!$C$58),C227))</f>
        <v>0</v>
      </c>
      <c r="D228" s="22">
        <f ca="1">IF(RESULTADOS!$C$17="Normal",IFERROR(MAX(C228-PREMISSAS!$C$14,0),0),IF(PREMISSAS!$H$117=0,0,MAX(10*PREMISSAS!$C$39,RESULTADOS!$F$17)))</f>
        <v>0</v>
      </c>
      <c r="E228" s="4">
        <f ca="1">D228*IF(RESULTADOS!$C$17="Normal",RESULTADOS!$C$16,0)</f>
        <v>0</v>
      </c>
      <c r="F228" s="4">
        <f ca="1">IF(D228&lt;&gt;0,PREMISSAS!$N$83,0)</f>
        <v>0</v>
      </c>
      <c r="G228" s="4">
        <f ca="1">IFERROR(IF(RESULTADOS!$C$17="Normal",0,D228)*IF(RESULTADOS!$C$17="Normal",RESULTADOS!$C$18,RESULTADOS!$C$16),0)</f>
        <v>0</v>
      </c>
      <c r="H228" s="4">
        <f ca="1">IF(RESULTADOS!$C$17="Normal",E228,0)</f>
        <v>0</v>
      </c>
      <c r="I228" s="4">
        <f ca="1">(E228+H228+G228)*IFERROR(VLOOKUP(INT(COUNT($B$5:B228)/12),PREMISSAS!$B$62:$C$69,2,FALSE),PREMISSAS!$C$69)</f>
        <v>0</v>
      </c>
      <c r="J228" s="4">
        <f ca="1">D228*IF(RESULTADOS!$C$17="Normal",PREMISSAS!$C$71,0)</f>
        <v>0</v>
      </c>
      <c r="K228" s="87">
        <f ca="1">IFERROR(K227*(1+PREMISSAS!$C$19)+(E228+H228-IF(RESULTADOS!$C$17="Normal",I228,0)-J228)*IF(MONTH(B228)=12,2,1),0)</f>
        <v>0</v>
      </c>
      <c r="L228" s="87">
        <f ca="1">IFERROR((L227+G228-IF(RESULTADOS!$C$17="Normal",0,I228))*(1+PREMISSAS!$C$19)+F228,0)</f>
        <v>0</v>
      </c>
      <c r="N228" s="58">
        <f t="shared" ca="1" si="24"/>
        <v>0</v>
      </c>
      <c r="O228" s="223"/>
      <c r="P228" s="131">
        <f t="shared" ca="1" si="25"/>
        <v>51682</v>
      </c>
      <c r="Q228" s="111">
        <f ca="1">IF(C228="","",Q227+(E228+H228-IF(RESULTADOS!$C$17="Normal",I228,0)-J228)/2+(F228+G228-IF(RESULTADOS!$C$17="Normal",0,I228)))</f>
        <v>0</v>
      </c>
      <c r="R228" s="111">
        <f ca="1">IF(C228="","",R227+(E228+H228-IF(RESULTADOS!$C$17="Normal",I228,0)-J228)/2)</f>
        <v>0</v>
      </c>
      <c r="S228" s="111">
        <f t="shared" ca="1" si="28"/>
        <v>0</v>
      </c>
      <c r="U228" s="131" t="str">
        <f t="shared" ca="1" si="29"/>
        <v/>
      </c>
      <c r="V228" s="131" t="str">
        <f t="shared" ca="1" si="26"/>
        <v/>
      </c>
      <c r="W228" s="111">
        <f ca="1">IF(OR((W227-13/12*Z227)*(1+PREMISSAS!$C$17)&lt;0,W227=""),0,(W227-13/12*Z227)*(1+PREMISSAS!$C$17))</f>
        <v>0</v>
      </c>
      <c r="X228" s="111">
        <f ca="1">IF(OR((X227-13/12*AA227)*(1+PREMISSAS!$C$17)&lt;0,X227=""),0,(X227-13/12*AA227)*(1+PREMISSAS!$C$17))</f>
        <v>0</v>
      </c>
      <c r="Y228" s="111">
        <f t="shared" ca="1" si="27"/>
        <v>0</v>
      </c>
      <c r="Z228" s="134">
        <f t="shared" ca="1" si="30"/>
        <v>0</v>
      </c>
      <c r="AA228" s="134">
        <f t="shared" ca="1" si="31"/>
        <v>0</v>
      </c>
    </row>
    <row r="229" spans="2:27" x14ac:dyDescent="0.3">
      <c r="B229" s="21">
        <f ca="1">IF(B228="","",IF(EOMONTH(B228,1)&gt;EOMONTH(ELEGIBILIDADE!$E$5,0),"",EOMONTH(B228,1)))</f>
        <v>51713</v>
      </c>
      <c r="C229" s="22">
        <f ca="1">IF(B229="","",IF(MONTH(B229)=1,C228*(1+PREMISSAS!$C$58),C228))</f>
        <v>0</v>
      </c>
      <c r="D229" s="22">
        <f ca="1">IF(RESULTADOS!$C$17="Normal",IFERROR(MAX(C229-PREMISSAS!$C$14,0),0),IF(PREMISSAS!$H$117=0,0,MAX(10*PREMISSAS!$C$39,RESULTADOS!$F$17)))</f>
        <v>0</v>
      </c>
      <c r="E229" s="4">
        <f ca="1">D229*IF(RESULTADOS!$C$17="Normal",RESULTADOS!$C$16,0)</f>
        <v>0</v>
      </c>
      <c r="F229" s="4">
        <f ca="1">IF(D229&lt;&gt;0,PREMISSAS!$N$83,0)</f>
        <v>0</v>
      </c>
      <c r="G229" s="4">
        <f ca="1">IFERROR(IF(RESULTADOS!$C$17="Normal",0,D229)*IF(RESULTADOS!$C$17="Normal",RESULTADOS!$C$18,RESULTADOS!$C$16),0)</f>
        <v>0</v>
      </c>
      <c r="H229" s="4">
        <f ca="1">IF(RESULTADOS!$C$17="Normal",E229,0)</f>
        <v>0</v>
      </c>
      <c r="I229" s="4">
        <f ca="1">(E229+H229+G229)*IFERROR(VLOOKUP(INT(COUNT($B$5:B229)/12),PREMISSAS!$B$62:$C$69,2,FALSE),PREMISSAS!$C$69)</f>
        <v>0</v>
      </c>
      <c r="J229" s="4">
        <f ca="1">D229*IF(RESULTADOS!$C$17="Normal",PREMISSAS!$C$71,0)</f>
        <v>0</v>
      </c>
      <c r="K229" s="87">
        <f ca="1">IFERROR(K228*(1+PREMISSAS!$C$19)+(E229+H229-IF(RESULTADOS!$C$17="Normal",I229,0)-J229)*IF(MONTH(B229)=12,2,1),0)</f>
        <v>0</v>
      </c>
      <c r="L229" s="87">
        <f ca="1">IFERROR((L228+G229-IF(RESULTADOS!$C$17="Normal",0,I229))*(1+PREMISSAS!$C$19)+F229,0)</f>
        <v>0</v>
      </c>
      <c r="N229" s="58">
        <f t="shared" ca="1" si="24"/>
        <v>0</v>
      </c>
      <c r="O229" s="222"/>
      <c r="P229" s="131">
        <f t="shared" ca="1" si="25"/>
        <v>51713</v>
      </c>
      <c r="Q229" s="111">
        <f ca="1">IF(C229="","",Q228+(E229+H229-IF(RESULTADOS!$C$17="Normal",I229,0)-J229)/2+(F229+G229-IF(RESULTADOS!$C$17="Normal",0,I229)))</f>
        <v>0</v>
      </c>
      <c r="R229" s="111">
        <f ca="1">IF(C229="","",R228+(E229+H229-IF(RESULTADOS!$C$17="Normal",I229,0)-J229)/2)</f>
        <v>0</v>
      </c>
      <c r="S229" s="111">
        <f t="shared" ca="1" si="28"/>
        <v>0</v>
      </c>
      <c r="U229" s="131" t="str">
        <f t="shared" ca="1" si="29"/>
        <v/>
      </c>
      <c r="V229" s="131" t="str">
        <f t="shared" ca="1" si="26"/>
        <v/>
      </c>
      <c r="W229" s="111">
        <f ca="1">IF(OR((W228-13/12*Z228)*(1+PREMISSAS!$C$17)&lt;0,W228=""),0,(W228-13/12*Z228)*(1+PREMISSAS!$C$17))</f>
        <v>0</v>
      </c>
      <c r="X229" s="111">
        <f ca="1">IF(OR((X228-13/12*AA228)*(1+PREMISSAS!$C$17)&lt;0,X228=""),0,(X228-13/12*AA228)*(1+PREMISSAS!$C$17))</f>
        <v>0</v>
      </c>
      <c r="Y229" s="111">
        <f t="shared" ca="1" si="27"/>
        <v>0</v>
      </c>
      <c r="Z229" s="134">
        <f t="shared" ca="1" si="30"/>
        <v>0</v>
      </c>
      <c r="AA229" s="134">
        <f t="shared" ca="1" si="31"/>
        <v>0</v>
      </c>
    </row>
    <row r="230" spans="2:27" x14ac:dyDescent="0.3">
      <c r="B230" s="21">
        <f ca="1">IF(B229="","",IF(EOMONTH(B229,1)&gt;EOMONTH(ELEGIBILIDADE!$E$5,0),"",EOMONTH(B229,1)))</f>
        <v>51744</v>
      </c>
      <c r="C230" s="22">
        <f ca="1">IF(B230="","",IF(MONTH(B230)=1,C229*(1+PREMISSAS!$C$58),C229))</f>
        <v>0</v>
      </c>
      <c r="D230" s="22">
        <f ca="1">IF(RESULTADOS!$C$17="Normal",IFERROR(MAX(C230-PREMISSAS!$C$14,0),0),IF(PREMISSAS!$H$117=0,0,MAX(10*PREMISSAS!$C$39,RESULTADOS!$F$17)))</f>
        <v>0</v>
      </c>
      <c r="E230" s="4">
        <f ca="1">D230*IF(RESULTADOS!$C$17="Normal",RESULTADOS!$C$16,0)</f>
        <v>0</v>
      </c>
      <c r="F230" s="4">
        <f ca="1">IF(D230&lt;&gt;0,PREMISSAS!$N$83,0)</f>
        <v>0</v>
      </c>
      <c r="G230" s="4">
        <f ca="1">IFERROR(IF(RESULTADOS!$C$17="Normal",0,D230)*IF(RESULTADOS!$C$17="Normal",RESULTADOS!$C$18,RESULTADOS!$C$16),0)</f>
        <v>0</v>
      </c>
      <c r="H230" s="4">
        <f ca="1">IF(RESULTADOS!$C$17="Normal",E230,0)</f>
        <v>0</v>
      </c>
      <c r="I230" s="4">
        <f ca="1">(E230+H230+G230)*IFERROR(VLOOKUP(INT(COUNT($B$5:B230)/12),PREMISSAS!$B$62:$C$69,2,FALSE),PREMISSAS!$C$69)</f>
        <v>0</v>
      </c>
      <c r="J230" s="4">
        <f ca="1">D230*IF(RESULTADOS!$C$17="Normal",PREMISSAS!$C$71,0)</f>
        <v>0</v>
      </c>
      <c r="K230" s="87">
        <f ca="1">IFERROR(K229*(1+PREMISSAS!$C$19)+(E230+H230-IF(RESULTADOS!$C$17="Normal",I230,0)-J230)*IF(MONTH(B230)=12,2,1),0)</f>
        <v>0</v>
      </c>
      <c r="L230" s="87">
        <f ca="1">IFERROR((L229+G230-IF(RESULTADOS!$C$17="Normal",0,I230))*(1+PREMISSAS!$C$19)+F230,0)</f>
        <v>0</v>
      </c>
      <c r="N230" s="58">
        <f t="shared" ca="1" si="24"/>
        <v>0</v>
      </c>
      <c r="P230" s="131">
        <f t="shared" ca="1" si="25"/>
        <v>51744</v>
      </c>
      <c r="Q230" s="111">
        <f ca="1">IF(C230="","",Q229+(E230+H230-IF(RESULTADOS!$C$17="Normal",I230,0)-J230)/2+(F230+G230-IF(RESULTADOS!$C$17="Normal",0,I230)))</f>
        <v>0</v>
      </c>
      <c r="R230" s="111">
        <f ca="1">IF(C230="","",R229+(E230+H230-IF(RESULTADOS!$C$17="Normal",I230,0)-J230)/2)</f>
        <v>0</v>
      </c>
      <c r="S230" s="111">
        <f t="shared" ca="1" si="28"/>
        <v>0</v>
      </c>
      <c r="U230" s="131" t="str">
        <f t="shared" ca="1" si="29"/>
        <v/>
      </c>
      <c r="V230" s="131" t="str">
        <f t="shared" ca="1" si="26"/>
        <v/>
      </c>
      <c r="W230" s="111">
        <f ca="1">IF(OR((W229-13/12*Z229)*(1+PREMISSAS!$C$17)&lt;0,W229=""),0,(W229-13/12*Z229)*(1+PREMISSAS!$C$17))</f>
        <v>0</v>
      </c>
      <c r="X230" s="111">
        <f ca="1">IF(OR((X229-13/12*AA229)*(1+PREMISSAS!$C$17)&lt;0,X229=""),0,(X229-13/12*AA229)*(1+PREMISSAS!$C$17))</f>
        <v>0</v>
      </c>
      <c r="Y230" s="111">
        <f t="shared" ca="1" si="27"/>
        <v>0</v>
      </c>
      <c r="Z230" s="134">
        <f t="shared" ca="1" si="30"/>
        <v>0</v>
      </c>
      <c r="AA230" s="134">
        <f t="shared" ca="1" si="31"/>
        <v>0</v>
      </c>
    </row>
    <row r="231" spans="2:27" x14ac:dyDescent="0.3">
      <c r="B231" s="21">
        <f ca="1">IF(B230="","",IF(EOMONTH(B230,1)&gt;EOMONTH(ELEGIBILIDADE!$E$5,0),"",EOMONTH(B230,1)))</f>
        <v>51774</v>
      </c>
      <c r="C231" s="22">
        <f ca="1">IF(B231="","",IF(MONTH(B231)=1,C230*(1+PREMISSAS!$C$58),C230))</f>
        <v>0</v>
      </c>
      <c r="D231" s="22">
        <f ca="1">IF(RESULTADOS!$C$17="Normal",IFERROR(MAX(C231-PREMISSAS!$C$14,0),0),IF(PREMISSAS!$H$117=0,0,MAX(10*PREMISSAS!$C$39,RESULTADOS!$F$17)))</f>
        <v>0</v>
      </c>
      <c r="E231" s="4">
        <f ca="1">D231*IF(RESULTADOS!$C$17="Normal",RESULTADOS!$C$16,0)</f>
        <v>0</v>
      </c>
      <c r="F231" s="4">
        <f ca="1">IF(D231&lt;&gt;0,PREMISSAS!$N$83,0)</f>
        <v>0</v>
      </c>
      <c r="G231" s="4">
        <f ca="1">IFERROR(IF(RESULTADOS!$C$17="Normal",0,D231)*IF(RESULTADOS!$C$17="Normal",RESULTADOS!$C$18,RESULTADOS!$C$16),0)</f>
        <v>0</v>
      </c>
      <c r="H231" s="4">
        <f ca="1">IF(RESULTADOS!$C$17="Normal",E231,0)</f>
        <v>0</v>
      </c>
      <c r="I231" s="4">
        <f ca="1">(E231+H231+G231)*IFERROR(VLOOKUP(INT(COUNT($B$5:B231)/12),PREMISSAS!$B$62:$C$69,2,FALSE),PREMISSAS!$C$69)</f>
        <v>0</v>
      </c>
      <c r="J231" s="4">
        <f ca="1">D231*IF(RESULTADOS!$C$17="Normal",PREMISSAS!$C$71,0)</f>
        <v>0</v>
      </c>
      <c r="K231" s="87">
        <f ca="1">IFERROR(K230*(1+PREMISSAS!$C$19)+(E231+H231-IF(RESULTADOS!$C$17="Normal",I231,0)-J231)*IF(MONTH(B231)=12,2,1),0)</f>
        <v>0</v>
      </c>
      <c r="L231" s="87">
        <f ca="1">IFERROR((L230+G231-IF(RESULTADOS!$C$17="Normal",0,I231))*(1+PREMISSAS!$C$19)+F231,0)</f>
        <v>0</v>
      </c>
      <c r="N231" s="58">
        <f t="shared" ca="1" si="24"/>
        <v>0</v>
      </c>
      <c r="P231" s="131">
        <f t="shared" ca="1" si="25"/>
        <v>51774</v>
      </c>
      <c r="Q231" s="111">
        <f ca="1">IF(C231="","",Q230+(E231+H231-IF(RESULTADOS!$C$17="Normal",I231,0)-J231)/2+(F231+G231-IF(RESULTADOS!$C$17="Normal",0,I231)))</f>
        <v>0</v>
      </c>
      <c r="R231" s="111">
        <f ca="1">IF(C231="","",R230+(E231+H231-IF(RESULTADOS!$C$17="Normal",I231,0)-J231)/2)</f>
        <v>0</v>
      </c>
      <c r="S231" s="111">
        <f t="shared" ca="1" si="28"/>
        <v>0</v>
      </c>
      <c r="U231" s="131" t="str">
        <f t="shared" ca="1" si="29"/>
        <v/>
      </c>
      <c r="V231" s="131" t="str">
        <f t="shared" ca="1" si="26"/>
        <v/>
      </c>
      <c r="W231" s="111">
        <f ca="1">IF(OR((W230-13/12*Z230)*(1+PREMISSAS!$C$17)&lt;0,W230=""),0,(W230-13/12*Z230)*(1+PREMISSAS!$C$17))</f>
        <v>0</v>
      </c>
      <c r="X231" s="111">
        <f ca="1">IF(OR((X230-13/12*AA230)*(1+PREMISSAS!$C$17)&lt;0,X230=""),0,(X230-13/12*AA230)*(1+PREMISSAS!$C$17))</f>
        <v>0</v>
      </c>
      <c r="Y231" s="111">
        <f t="shared" ca="1" si="27"/>
        <v>0</v>
      </c>
      <c r="Z231" s="134">
        <f t="shared" ca="1" si="30"/>
        <v>0</v>
      </c>
      <c r="AA231" s="134">
        <f t="shared" ca="1" si="31"/>
        <v>0</v>
      </c>
    </row>
    <row r="232" spans="2:27" x14ac:dyDescent="0.3">
      <c r="B232" s="21">
        <f ca="1">IF(B231="","",IF(EOMONTH(B231,1)&gt;EOMONTH(ELEGIBILIDADE!$E$5,0),"",EOMONTH(B231,1)))</f>
        <v>51805</v>
      </c>
      <c r="C232" s="22">
        <f ca="1">IF(B232="","",IF(MONTH(B232)=1,C231*(1+PREMISSAS!$C$58),C231))</f>
        <v>0</v>
      </c>
      <c r="D232" s="22">
        <f ca="1">IF(RESULTADOS!$C$17="Normal",IFERROR(MAX(C232-PREMISSAS!$C$14,0),0),IF(PREMISSAS!$H$117=0,0,MAX(10*PREMISSAS!$C$39,RESULTADOS!$F$17)))</f>
        <v>0</v>
      </c>
      <c r="E232" s="4">
        <f ca="1">D232*IF(RESULTADOS!$C$17="Normal",RESULTADOS!$C$16,0)</f>
        <v>0</v>
      </c>
      <c r="F232" s="4">
        <f ca="1">IF(D232&lt;&gt;0,PREMISSAS!$N$83,0)</f>
        <v>0</v>
      </c>
      <c r="G232" s="4">
        <f ca="1">IFERROR(IF(RESULTADOS!$C$17="Normal",0,D232)*IF(RESULTADOS!$C$17="Normal",RESULTADOS!$C$18,RESULTADOS!$C$16),0)</f>
        <v>0</v>
      </c>
      <c r="H232" s="4">
        <f ca="1">IF(RESULTADOS!$C$17="Normal",E232,0)</f>
        <v>0</v>
      </c>
      <c r="I232" s="4">
        <f ca="1">(E232+H232+G232)*IFERROR(VLOOKUP(INT(COUNT($B$5:B232)/12),PREMISSAS!$B$62:$C$69,2,FALSE),PREMISSAS!$C$69)</f>
        <v>0</v>
      </c>
      <c r="J232" s="4">
        <f ca="1">D232*IF(RESULTADOS!$C$17="Normal",PREMISSAS!$C$71,0)</f>
        <v>0</v>
      </c>
      <c r="K232" s="87">
        <f ca="1">IFERROR(K231*(1+PREMISSAS!$C$19)+(E232+H232-IF(RESULTADOS!$C$17="Normal",I232,0)-J232)*IF(MONTH(B232)=12,2,1),0)</f>
        <v>0</v>
      </c>
      <c r="L232" s="87">
        <f ca="1">IFERROR((L231+G232-IF(RESULTADOS!$C$17="Normal",0,I232))*(1+PREMISSAS!$C$19)+F232,0)</f>
        <v>0</v>
      </c>
      <c r="N232" s="58">
        <f t="shared" ca="1" si="24"/>
        <v>0</v>
      </c>
      <c r="P232" s="131">
        <f t="shared" ca="1" si="25"/>
        <v>51805</v>
      </c>
      <c r="Q232" s="111">
        <f ca="1">IF(C232="","",Q231+(E232+H232-IF(RESULTADOS!$C$17="Normal",I232,0)-J232)/2+(F232+G232-IF(RESULTADOS!$C$17="Normal",0,I232)))</f>
        <v>0</v>
      </c>
      <c r="R232" s="111">
        <f ca="1">IF(C232="","",R231+(E232+H232-IF(RESULTADOS!$C$17="Normal",I232,0)-J232)/2)</f>
        <v>0</v>
      </c>
      <c r="S232" s="111">
        <f t="shared" ca="1" si="28"/>
        <v>0</v>
      </c>
      <c r="U232" s="131" t="str">
        <f t="shared" ca="1" si="29"/>
        <v/>
      </c>
      <c r="V232" s="131" t="str">
        <f t="shared" ca="1" si="26"/>
        <v/>
      </c>
      <c r="W232" s="111">
        <f ca="1">IF(OR((W231-13/12*Z231)*(1+PREMISSAS!$C$17)&lt;0,W231=""),0,(W231-13/12*Z231)*(1+PREMISSAS!$C$17))</f>
        <v>0</v>
      </c>
      <c r="X232" s="111">
        <f ca="1">IF(OR((X231-13/12*AA231)*(1+PREMISSAS!$C$17)&lt;0,X231=""),0,(X231-13/12*AA231)*(1+PREMISSAS!$C$17))</f>
        <v>0</v>
      </c>
      <c r="Y232" s="111">
        <f t="shared" ca="1" si="27"/>
        <v>0</v>
      </c>
      <c r="Z232" s="134">
        <f t="shared" ca="1" si="30"/>
        <v>0</v>
      </c>
      <c r="AA232" s="134">
        <f t="shared" ca="1" si="31"/>
        <v>0</v>
      </c>
    </row>
    <row r="233" spans="2:27" x14ac:dyDescent="0.3">
      <c r="B233" s="21">
        <f ca="1">IF(B232="","",IF(EOMONTH(B232,1)&gt;EOMONTH(ELEGIBILIDADE!$E$5,0),"",EOMONTH(B232,1)))</f>
        <v>51835</v>
      </c>
      <c r="C233" s="22">
        <f ca="1">IF(B233="","",IF(MONTH(B233)=1,C232*(1+PREMISSAS!$C$58),C232))</f>
        <v>0</v>
      </c>
      <c r="D233" s="22">
        <f ca="1">IF(RESULTADOS!$C$17="Normal",IFERROR(MAX(C233-PREMISSAS!$C$14,0),0),IF(PREMISSAS!$H$117=0,0,MAX(10*PREMISSAS!$C$39,RESULTADOS!$F$17)))</f>
        <v>0</v>
      </c>
      <c r="E233" s="4">
        <f ca="1">D233*IF(RESULTADOS!$C$17="Normal",RESULTADOS!$C$16,0)</f>
        <v>0</v>
      </c>
      <c r="F233" s="4">
        <f ca="1">IF(D233&lt;&gt;0,PREMISSAS!$N$83,0)</f>
        <v>0</v>
      </c>
      <c r="G233" s="4">
        <f ca="1">IFERROR(IF(RESULTADOS!$C$17="Normal",0,D233)*IF(RESULTADOS!$C$17="Normal",RESULTADOS!$C$18,RESULTADOS!$C$16),0)</f>
        <v>0</v>
      </c>
      <c r="H233" s="4">
        <f ca="1">IF(RESULTADOS!$C$17="Normal",E233,0)</f>
        <v>0</v>
      </c>
      <c r="I233" s="4">
        <f ca="1">(E233+H233+G233)*IFERROR(VLOOKUP(INT(COUNT($B$5:B233)/12),PREMISSAS!$B$62:$C$69,2,FALSE),PREMISSAS!$C$69)</f>
        <v>0</v>
      </c>
      <c r="J233" s="4">
        <f ca="1">D233*IF(RESULTADOS!$C$17="Normal",PREMISSAS!$C$71,0)</f>
        <v>0</v>
      </c>
      <c r="K233" s="87">
        <f ca="1">IFERROR(K232*(1+PREMISSAS!$C$19)+(E233+H233-IF(RESULTADOS!$C$17="Normal",I233,0)-J233)*IF(MONTH(B233)=12,2,1),0)</f>
        <v>0</v>
      </c>
      <c r="L233" s="87">
        <f ca="1">IFERROR((L232+G233-IF(RESULTADOS!$C$17="Normal",0,I233))*(1+PREMISSAS!$C$19)+F233,0)</f>
        <v>0</v>
      </c>
      <c r="N233" s="58">
        <f t="shared" ca="1" si="24"/>
        <v>0</v>
      </c>
      <c r="P233" s="131">
        <f t="shared" ca="1" si="25"/>
        <v>51835</v>
      </c>
      <c r="Q233" s="111">
        <f ca="1">IF(C233="","",Q232+(E233+H233-IF(RESULTADOS!$C$17="Normal",I233,0)-J233)/2+(F233+G233-IF(RESULTADOS!$C$17="Normal",0,I233)))</f>
        <v>0</v>
      </c>
      <c r="R233" s="111">
        <f ca="1">IF(C233="","",R232+(E233+H233-IF(RESULTADOS!$C$17="Normal",I233,0)-J233)/2)</f>
        <v>0</v>
      </c>
      <c r="S233" s="111">
        <f t="shared" ca="1" si="28"/>
        <v>0</v>
      </c>
      <c r="U233" s="131" t="str">
        <f t="shared" ca="1" si="29"/>
        <v/>
      </c>
      <c r="V233" s="131" t="str">
        <f t="shared" ca="1" si="26"/>
        <v/>
      </c>
      <c r="W233" s="111">
        <f ca="1">IF(OR((W232-13/12*Z232)*(1+PREMISSAS!$C$17)&lt;0,W232=""),0,(W232-13/12*Z232)*(1+PREMISSAS!$C$17))</f>
        <v>0</v>
      </c>
      <c r="X233" s="111">
        <f ca="1">IF(OR((X232-13/12*AA232)*(1+PREMISSAS!$C$17)&lt;0,X232=""),0,(X232-13/12*AA232)*(1+PREMISSAS!$C$17))</f>
        <v>0</v>
      </c>
      <c r="Y233" s="111">
        <f t="shared" ca="1" si="27"/>
        <v>0</v>
      </c>
      <c r="Z233" s="134">
        <f t="shared" ca="1" si="30"/>
        <v>0</v>
      </c>
      <c r="AA233" s="134">
        <f t="shared" ca="1" si="31"/>
        <v>0</v>
      </c>
    </row>
    <row r="234" spans="2:27" x14ac:dyDescent="0.3">
      <c r="B234" s="21">
        <f ca="1">IF(B233="","",IF(EOMONTH(B233,1)&gt;EOMONTH(ELEGIBILIDADE!$E$5,0),"",EOMONTH(B233,1)))</f>
        <v>51866</v>
      </c>
      <c r="C234" s="22">
        <f ca="1">IF(B234="","",IF(MONTH(B234)=1,C233*(1+PREMISSAS!$C$58),C233))</f>
        <v>0</v>
      </c>
      <c r="D234" s="22">
        <f ca="1">IF(RESULTADOS!$C$17="Normal",IFERROR(MAX(C234-PREMISSAS!$C$14,0),0),IF(PREMISSAS!$H$117=0,0,MAX(10*PREMISSAS!$C$39,RESULTADOS!$F$17)))</f>
        <v>0</v>
      </c>
      <c r="E234" s="4">
        <f ca="1">D234*IF(RESULTADOS!$C$17="Normal",RESULTADOS!$C$16,0)</f>
        <v>0</v>
      </c>
      <c r="F234" s="4">
        <f ca="1">IF(D234&lt;&gt;0,PREMISSAS!$N$83,0)</f>
        <v>0</v>
      </c>
      <c r="G234" s="4">
        <f ca="1">IFERROR(IF(RESULTADOS!$C$17="Normal",0,D234)*IF(RESULTADOS!$C$17="Normal",RESULTADOS!$C$18,RESULTADOS!$C$16),0)</f>
        <v>0</v>
      </c>
      <c r="H234" s="4">
        <f ca="1">IF(RESULTADOS!$C$17="Normal",E234,0)</f>
        <v>0</v>
      </c>
      <c r="I234" s="4">
        <f ca="1">(E234+H234+G234)*IFERROR(VLOOKUP(INT(COUNT($B$5:B234)/12),PREMISSAS!$B$62:$C$69,2,FALSE),PREMISSAS!$C$69)</f>
        <v>0</v>
      </c>
      <c r="J234" s="4">
        <f ca="1">D234*IF(RESULTADOS!$C$17="Normal",PREMISSAS!$C$71,0)</f>
        <v>0</v>
      </c>
      <c r="K234" s="87">
        <f ca="1">IFERROR(K233*(1+PREMISSAS!$C$19)+(E234+H234-IF(RESULTADOS!$C$17="Normal",I234,0)-J234)*IF(MONTH(B234)=12,2,1),0)</f>
        <v>0</v>
      </c>
      <c r="L234" s="87">
        <f ca="1">IFERROR((L233+G234-IF(RESULTADOS!$C$17="Normal",0,I234))*(1+PREMISSAS!$C$19)+F234,0)</f>
        <v>0</v>
      </c>
      <c r="N234" s="58">
        <f t="shared" ca="1" si="24"/>
        <v>0</v>
      </c>
      <c r="P234" s="131">
        <f t="shared" ca="1" si="25"/>
        <v>51866</v>
      </c>
      <c r="Q234" s="111">
        <f ca="1">IF(C234="","",Q233+(E234+H234-IF(RESULTADOS!$C$17="Normal",I234,0)-J234)/2+(F234+G234-IF(RESULTADOS!$C$17="Normal",0,I234)))</f>
        <v>0</v>
      </c>
      <c r="R234" s="111">
        <f ca="1">IF(C234="","",R233+(E234+H234-IF(RESULTADOS!$C$17="Normal",I234,0)-J234)/2)</f>
        <v>0</v>
      </c>
      <c r="S234" s="111">
        <f t="shared" ca="1" si="28"/>
        <v>0</v>
      </c>
      <c r="U234" s="131" t="str">
        <f t="shared" ca="1" si="29"/>
        <v/>
      </c>
      <c r="V234" s="131" t="str">
        <f t="shared" ca="1" si="26"/>
        <v/>
      </c>
      <c r="W234" s="111">
        <f ca="1">IF(OR((W233-13/12*Z233)*(1+PREMISSAS!$C$17)&lt;0,W233=""),0,(W233-13/12*Z233)*(1+PREMISSAS!$C$17))</f>
        <v>0</v>
      </c>
      <c r="X234" s="111">
        <f ca="1">IF(OR((X233-13/12*AA233)*(1+PREMISSAS!$C$17)&lt;0,X233=""),0,(X233-13/12*AA233)*(1+PREMISSAS!$C$17))</f>
        <v>0</v>
      </c>
      <c r="Y234" s="111">
        <f t="shared" ca="1" si="27"/>
        <v>0</v>
      </c>
      <c r="Z234" s="134">
        <f t="shared" ca="1" si="30"/>
        <v>0</v>
      </c>
      <c r="AA234" s="134">
        <f t="shared" ca="1" si="31"/>
        <v>0</v>
      </c>
    </row>
    <row r="235" spans="2:27" x14ac:dyDescent="0.3">
      <c r="B235" s="21">
        <f ca="1">IF(B234="","",IF(EOMONTH(B234,1)&gt;EOMONTH(ELEGIBILIDADE!$E$5,0),"",EOMONTH(B234,1)))</f>
        <v>51897</v>
      </c>
      <c r="C235" s="22">
        <f ca="1">IF(B235="","",IF(MONTH(B235)=1,C234*(1+PREMISSAS!$C$58),C234))</f>
        <v>0</v>
      </c>
      <c r="D235" s="22">
        <f ca="1">IF(RESULTADOS!$C$17="Normal",IFERROR(MAX(C235-PREMISSAS!$C$14,0),0),IF(PREMISSAS!$H$117=0,0,MAX(10*PREMISSAS!$C$39,RESULTADOS!$F$17)))</f>
        <v>0</v>
      </c>
      <c r="E235" s="4">
        <f ca="1">D235*IF(RESULTADOS!$C$17="Normal",RESULTADOS!$C$16,0)</f>
        <v>0</v>
      </c>
      <c r="F235" s="4">
        <f ca="1">IF(D235&lt;&gt;0,PREMISSAS!$N$83,0)</f>
        <v>0</v>
      </c>
      <c r="G235" s="4">
        <f ca="1">IFERROR(IF(RESULTADOS!$C$17="Normal",0,D235)*IF(RESULTADOS!$C$17="Normal",RESULTADOS!$C$18,RESULTADOS!$C$16),0)</f>
        <v>0</v>
      </c>
      <c r="H235" s="4">
        <f ca="1">IF(RESULTADOS!$C$17="Normal",E235,0)</f>
        <v>0</v>
      </c>
      <c r="I235" s="4">
        <f ca="1">(E235+H235+G235)*IFERROR(VLOOKUP(INT(COUNT($B$5:B235)/12),PREMISSAS!$B$62:$C$69,2,FALSE),PREMISSAS!$C$69)</f>
        <v>0</v>
      </c>
      <c r="J235" s="4">
        <f ca="1">D235*IF(RESULTADOS!$C$17="Normal",PREMISSAS!$C$71,0)</f>
        <v>0</v>
      </c>
      <c r="K235" s="87">
        <f ca="1">IFERROR(K234*(1+PREMISSAS!$C$19)+(E235+H235-IF(RESULTADOS!$C$17="Normal",I235,0)-J235)*IF(MONTH(B235)=12,2,1),0)</f>
        <v>0</v>
      </c>
      <c r="L235" s="87">
        <f ca="1">IFERROR((L234+G235-IF(RESULTADOS!$C$17="Normal",0,I235))*(1+PREMISSAS!$C$19)+F235,0)</f>
        <v>0</v>
      </c>
      <c r="N235" s="58">
        <f t="shared" ca="1" si="24"/>
        <v>0</v>
      </c>
      <c r="P235" s="131">
        <f t="shared" ca="1" si="25"/>
        <v>51897</v>
      </c>
      <c r="Q235" s="111">
        <f ca="1">IF(C235="","",Q234+(E235+H235-IF(RESULTADOS!$C$17="Normal",I235,0)-J235)/2+(F235+G235-IF(RESULTADOS!$C$17="Normal",0,I235)))</f>
        <v>0</v>
      </c>
      <c r="R235" s="111">
        <f ca="1">IF(C235="","",R234+(E235+H235-IF(RESULTADOS!$C$17="Normal",I235,0)-J235)/2)</f>
        <v>0</v>
      </c>
      <c r="S235" s="111">
        <f t="shared" ca="1" si="28"/>
        <v>0</v>
      </c>
      <c r="U235" s="131" t="str">
        <f t="shared" ca="1" si="29"/>
        <v/>
      </c>
      <c r="V235" s="131" t="str">
        <f t="shared" ca="1" si="26"/>
        <v/>
      </c>
      <c r="W235" s="111">
        <f ca="1">IF(OR((W234-13/12*Z234)*(1+PREMISSAS!$C$17)&lt;0,W234=""),0,(W234-13/12*Z234)*(1+PREMISSAS!$C$17))</f>
        <v>0</v>
      </c>
      <c r="X235" s="111">
        <f ca="1">IF(OR((X234-13/12*AA234)*(1+PREMISSAS!$C$17)&lt;0,X234=""),0,(X234-13/12*AA234)*(1+PREMISSAS!$C$17))</f>
        <v>0</v>
      </c>
      <c r="Y235" s="111">
        <f t="shared" ca="1" si="27"/>
        <v>0</v>
      </c>
      <c r="Z235" s="134">
        <f t="shared" ca="1" si="30"/>
        <v>0</v>
      </c>
      <c r="AA235" s="134">
        <f t="shared" ca="1" si="31"/>
        <v>0</v>
      </c>
    </row>
    <row r="236" spans="2:27" x14ac:dyDescent="0.3">
      <c r="B236" s="21">
        <f ca="1">IF(B235="","",IF(EOMONTH(B235,1)&gt;EOMONTH(ELEGIBILIDADE!$E$5,0),"",EOMONTH(B235,1)))</f>
        <v>51925</v>
      </c>
      <c r="C236" s="22">
        <f ca="1">IF(B236="","",IF(MONTH(B236)=1,C235*(1+PREMISSAS!$C$58),C235))</f>
        <v>0</v>
      </c>
      <c r="D236" s="22">
        <f ca="1">IF(RESULTADOS!$C$17="Normal",IFERROR(MAX(C236-PREMISSAS!$C$14,0),0),IF(PREMISSAS!$H$117=0,0,MAX(10*PREMISSAS!$C$39,RESULTADOS!$F$17)))</f>
        <v>0</v>
      </c>
      <c r="E236" s="4">
        <f ca="1">D236*IF(RESULTADOS!$C$17="Normal",RESULTADOS!$C$16,0)</f>
        <v>0</v>
      </c>
      <c r="F236" s="4">
        <f ca="1">IF(D236&lt;&gt;0,PREMISSAS!$N$83,0)</f>
        <v>0</v>
      </c>
      <c r="G236" s="4">
        <f ca="1">IFERROR(IF(RESULTADOS!$C$17="Normal",0,D236)*IF(RESULTADOS!$C$17="Normal",RESULTADOS!$C$18,RESULTADOS!$C$16),0)</f>
        <v>0</v>
      </c>
      <c r="H236" s="4">
        <f ca="1">IF(RESULTADOS!$C$17="Normal",E236,0)</f>
        <v>0</v>
      </c>
      <c r="I236" s="4">
        <f ca="1">(E236+H236+G236)*IFERROR(VLOOKUP(INT(COUNT($B$5:B236)/12),PREMISSAS!$B$62:$C$69,2,FALSE),PREMISSAS!$C$69)</f>
        <v>0</v>
      </c>
      <c r="J236" s="4">
        <f ca="1">D236*IF(RESULTADOS!$C$17="Normal",PREMISSAS!$C$71,0)</f>
        <v>0</v>
      </c>
      <c r="K236" s="87">
        <f ca="1">IFERROR(K235*(1+PREMISSAS!$C$19)+(E236+H236-IF(RESULTADOS!$C$17="Normal",I236,0)-J236)*IF(MONTH(B236)=12,2,1),0)</f>
        <v>0</v>
      </c>
      <c r="L236" s="87">
        <f ca="1">IFERROR((L235+G236-IF(RESULTADOS!$C$17="Normal",0,I236))*(1+PREMISSAS!$C$19)+F236,0)</f>
        <v>0</v>
      </c>
      <c r="N236" s="58">
        <f t="shared" ca="1" si="24"/>
        <v>0</v>
      </c>
      <c r="P236" s="131">
        <f t="shared" ca="1" si="25"/>
        <v>51925</v>
      </c>
      <c r="Q236" s="111">
        <f ca="1">IF(C236="","",Q235+(E236+H236-IF(RESULTADOS!$C$17="Normal",I236,0)-J236)/2+(F236+G236-IF(RESULTADOS!$C$17="Normal",0,I236)))</f>
        <v>0</v>
      </c>
      <c r="R236" s="111">
        <f ca="1">IF(C236="","",R235+(E236+H236-IF(RESULTADOS!$C$17="Normal",I236,0)-J236)/2)</f>
        <v>0</v>
      </c>
      <c r="S236" s="111">
        <f t="shared" ca="1" si="28"/>
        <v>0</v>
      </c>
      <c r="U236" s="131" t="str">
        <f t="shared" ca="1" si="29"/>
        <v/>
      </c>
      <c r="V236" s="131" t="str">
        <f t="shared" ca="1" si="26"/>
        <v/>
      </c>
      <c r="W236" s="111">
        <f ca="1">IF(OR((W235-13/12*Z235)*(1+PREMISSAS!$C$17)&lt;0,W235=""),0,(W235-13/12*Z235)*(1+PREMISSAS!$C$17))</f>
        <v>0</v>
      </c>
      <c r="X236" s="111">
        <f ca="1">IF(OR((X235-13/12*AA235)*(1+PREMISSAS!$C$17)&lt;0,X235=""),0,(X235-13/12*AA235)*(1+PREMISSAS!$C$17))</f>
        <v>0</v>
      </c>
      <c r="Y236" s="111">
        <f t="shared" ca="1" si="27"/>
        <v>0</v>
      </c>
      <c r="Z236" s="134">
        <f t="shared" ca="1" si="30"/>
        <v>0</v>
      </c>
      <c r="AA236" s="134">
        <f t="shared" ca="1" si="31"/>
        <v>0</v>
      </c>
    </row>
    <row r="237" spans="2:27" x14ac:dyDescent="0.3">
      <c r="B237" s="21">
        <f ca="1">IF(B236="","",IF(EOMONTH(B236,1)&gt;EOMONTH(ELEGIBILIDADE!$E$5,0),"",EOMONTH(B236,1)))</f>
        <v>51956</v>
      </c>
      <c r="C237" s="22">
        <f ca="1">IF(B237="","",IF(MONTH(B237)=1,C236*(1+PREMISSAS!$C$58),C236))</f>
        <v>0</v>
      </c>
      <c r="D237" s="22">
        <f ca="1">IF(RESULTADOS!$C$17="Normal",IFERROR(MAX(C237-PREMISSAS!$C$14,0),0),IF(PREMISSAS!$H$117=0,0,MAX(10*PREMISSAS!$C$39,RESULTADOS!$F$17)))</f>
        <v>0</v>
      </c>
      <c r="E237" s="4">
        <f ca="1">D237*IF(RESULTADOS!$C$17="Normal",RESULTADOS!$C$16,0)</f>
        <v>0</v>
      </c>
      <c r="F237" s="4">
        <f ca="1">IF(D237&lt;&gt;0,PREMISSAS!$N$83,0)</f>
        <v>0</v>
      </c>
      <c r="G237" s="4">
        <f ca="1">IFERROR(IF(RESULTADOS!$C$17="Normal",0,D237)*IF(RESULTADOS!$C$17="Normal",RESULTADOS!$C$18,RESULTADOS!$C$16),0)</f>
        <v>0</v>
      </c>
      <c r="H237" s="4">
        <f ca="1">IF(RESULTADOS!$C$17="Normal",E237,0)</f>
        <v>0</v>
      </c>
      <c r="I237" s="4">
        <f ca="1">(E237+H237+G237)*IFERROR(VLOOKUP(INT(COUNT($B$5:B237)/12),PREMISSAS!$B$62:$C$69,2,FALSE),PREMISSAS!$C$69)</f>
        <v>0</v>
      </c>
      <c r="J237" s="4">
        <f ca="1">D237*IF(RESULTADOS!$C$17="Normal",PREMISSAS!$C$71,0)</f>
        <v>0</v>
      </c>
      <c r="K237" s="87">
        <f ca="1">IFERROR(K236*(1+PREMISSAS!$C$19)+(E237+H237-IF(RESULTADOS!$C$17="Normal",I237,0)-J237)*IF(MONTH(B237)=12,2,1),0)</f>
        <v>0</v>
      </c>
      <c r="L237" s="87">
        <f ca="1">IFERROR((L236+G237-IF(RESULTADOS!$C$17="Normal",0,I237))*(1+PREMISSAS!$C$19)+F237,0)</f>
        <v>0</v>
      </c>
      <c r="N237" s="58">
        <f t="shared" ca="1" si="24"/>
        <v>0</v>
      </c>
      <c r="P237" s="131">
        <f t="shared" ca="1" si="25"/>
        <v>51956</v>
      </c>
      <c r="Q237" s="111">
        <f ca="1">IF(C237="","",Q236+(E237+H237-IF(RESULTADOS!$C$17="Normal",I237,0)-J237)/2+(F237+G237-IF(RESULTADOS!$C$17="Normal",0,I237)))</f>
        <v>0</v>
      </c>
      <c r="R237" s="111">
        <f ca="1">IF(C237="","",R236+(E237+H237-IF(RESULTADOS!$C$17="Normal",I237,0)-J237)/2)</f>
        <v>0</v>
      </c>
      <c r="S237" s="111">
        <f t="shared" ca="1" si="28"/>
        <v>0</v>
      </c>
      <c r="U237" s="131" t="str">
        <f t="shared" ca="1" si="29"/>
        <v/>
      </c>
      <c r="V237" s="131" t="str">
        <f t="shared" ca="1" si="26"/>
        <v/>
      </c>
      <c r="W237" s="111">
        <f ca="1">IF(OR((W236-13/12*Z236)*(1+PREMISSAS!$C$17)&lt;0,W236=""),0,(W236-13/12*Z236)*(1+PREMISSAS!$C$17))</f>
        <v>0</v>
      </c>
      <c r="X237" s="111">
        <f ca="1">IF(OR((X236-13/12*AA236)*(1+PREMISSAS!$C$17)&lt;0,X236=""),0,(X236-13/12*AA236)*(1+PREMISSAS!$C$17))</f>
        <v>0</v>
      </c>
      <c r="Y237" s="111">
        <f t="shared" ca="1" si="27"/>
        <v>0</v>
      </c>
      <c r="Z237" s="134">
        <f t="shared" ca="1" si="30"/>
        <v>0</v>
      </c>
      <c r="AA237" s="134">
        <f t="shared" ca="1" si="31"/>
        <v>0</v>
      </c>
    </row>
    <row r="238" spans="2:27" x14ac:dyDescent="0.3">
      <c r="B238" s="21">
        <f ca="1">IF(B237="","",IF(EOMONTH(B237,1)&gt;EOMONTH(ELEGIBILIDADE!$E$5,0),"",EOMONTH(B237,1)))</f>
        <v>51986</v>
      </c>
      <c r="C238" s="22">
        <f ca="1">IF(B238="","",IF(MONTH(B238)=1,C237*(1+PREMISSAS!$C$58),C237))</f>
        <v>0</v>
      </c>
      <c r="D238" s="22">
        <f ca="1">IF(RESULTADOS!$C$17="Normal",IFERROR(MAX(C238-PREMISSAS!$C$14,0),0),IF(PREMISSAS!$H$117=0,0,MAX(10*PREMISSAS!$C$39,RESULTADOS!$F$17)))</f>
        <v>0</v>
      </c>
      <c r="E238" s="4">
        <f ca="1">D238*IF(RESULTADOS!$C$17="Normal",RESULTADOS!$C$16,0)</f>
        <v>0</v>
      </c>
      <c r="F238" s="4">
        <f ca="1">IF(D238&lt;&gt;0,PREMISSAS!$N$83,0)</f>
        <v>0</v>
      </c>
      <c r="G238" s="4">
        <f ca="1">IFERROR(IF(RESULTADOS!$C$17="Normal",0,D238)*IF(RESULTADOS!$C$17="Normal",RESULTADOS!$C$18,RESULTADOS!$C$16),0)</f>
        <v>0</v>
      </c>
      <c r="H238" s="4">
        <f ca="1">IF(RESULTADOS!$C$17="Normal",E238,0)</f>
        <v>0</v>
      </c>
      <c r="I238" s="4">
        <f ca="1">(E238+H238+G238)*IFERROR(VLOOKUP(INT(COUNT($B$5:B238)/12),PREMISSAS!$B$62:$C$69,2,FALSE),PREMISSAS!$C$69)</f>
        <v>0</v>
      </c>
      <c r="J238" s="4">
        <f ca="1">D238*IF(RESULTADOS!$C$17="Normal",PREMISSAS!$C$71,0)</f>
        <v>0</v>
      </c>
      <c r="K238" s="87">
        <f ca="1">IFERROR(K237*(1+PREMISSAS!$C$19)+(E238+H238-IF(RESULTADOS!$C$17="Normal",I238,0)-J238)*IF(MONTH(B238)=12,2,1),0)</f>
        <v>0</v>
      </c>
      <c r="L238" s="87">
        <f ca="1">IFERROR((L237+G238-IF(RESULTADOS!$C$17="Normal",0,I238))*(1+PREMISSAS!$C$19)+F238,0)</f>
        <v>0</v>
      </c>
      <c r="N238" s="58">
        <f t="shared" ca="1" si="24"/>
        <v>0</v>
      </c>
      <c r="P238" s="131">
        <f t="shared" ca="1" si="25"/>
        <v>51986</v>
      </c>
      <c r="Q238" s="111">
        <f ca="1">IF(C238="","",Q237+(E238+H238-IF(RESULTADOS!$C$17="Normal",I238,0)-J238)/2+(F238+G238-IF(RESULTADOS!$C$17="Normal",0,I238)))</f>
        <v>0</v>
      </c>
      <c r="R238" s="111">
        <f ca="1">IF(C238="","",R237+(E238+H238-IF(RESULTADOS!$C$17="Normal",I238,0)-J238)/2)</f>
        <v>0</v>
      </c>
      <c r="S238" s="111">
        <f t="shared" ca="1" si="28"/>
        <v>0</v>
      </c>
      <c r="U238" s="131" t="str">
        <f t="shared" ca="1" si="29"/>
        <v/>
      </c>
      <c r="V238" s="131" t="str">
        <f t="shared" ca="1" si="26"/>
        <v/>
      </c>
      <c r="W238" s="111">
        <f ca="1">IF(OR((W237-13/12*Z237)*(1+PREMISSAS!$C$17)&lt;0,W237=""),0,(W237-13/12*Z237)*(1+PREMISSAS!$C$17))</f>
        <v>0</v>
      </c>
      <c r="X238" s="111">
        <f ca="1">IF(OR((X237-13/12*AA237)*(1+PREMISSAS!$C$17)&lt;0,X237=""),0,(X237-13/12*AA237)*(1+PREMISSAS!$C$17))</f>
        <v>0</v>
      </c>
      <c r="Y238" s="111">
        <f t="shared" ca="1" si="27"/>
        <v>0</v>
      </c>
      <c r="Z238" s="134">
        <f t="shared" ca="1" si="30"/>
        <v>0</v>
      </c>
      <c r="AA238" s="134">
        <f t="shared" ca="1" si="31"/>
        <v>0</v>
      </c>
    </row>
    <row r="239" spans="2:27" x14ac:dyDescent="0.3">
      <c r="B239" s="21">
        <f ca="1">IF(B238="","",IF(EOMONTH(B238,1)&gt;EOMONTH(ELEGIBILIDADE!$E$5,0),"",EOMONTH(B238,1)))</f>
        <v>52017</v>
      </c>
      <c r="C239" s="22">
        <f ca="1">IF(B239="","",IF(MONTH(B239)=1,C238*(1+PREMISSAS!$C$58),C238))</f>
        <v>0</v>
      </c>
      <c r="D239" s="22">
        <f ca="1">IF(RESULTADOS!$C$17="Normal",IFERROR(MAX(C239-PREMISSAS!$C$14,0),0),IF(PREMISSAS!$H$117=0,0,MAX(10*PREMISSAS!$C$39,RESULTADOS!$F$17)))</f>
        <v>0</v>
      </c>
      <c r="E239" s="4">
        <f ca="1">D239*IF(RESULTADOS!$C$17="Normal",RESULTADOS!$C$16,0)</f>
        <v>0</v>
      </c>
      <c r="F239" s="4">
        <f ca="1">IF(D239&lt;&gt;0,PREMISSAS!$N$83,0)</f>
        <v>0</v>
      </c>
      <c r="G239" s="4">
        <f ca="1">IFERROR(IF(RESULTADOS!$C$17="Normal",0,D239)*IF(RESULTADOS!$C$17="Normal",RESULTADOS!$C$18,RESULTADOS!$C$16),0)</f>
        <v>0</v>
      </c>
      <c r="H239" s="4">
        <f ca="1">IF(RESULTADOS!$C$17="Normal",E239,0)</f>
        <v>0</v>
      </c>
      <c r="I239" s="4">
        <f ca="1">(E239+H239+G239)*IFERROR(VLOOKUP(INT(COUNT($B$5:B239)/12),PREMISSAS!$B$62:$C$69,2,FALSE),PREMISSAS!$C$69)</f>
        <v>0</v>
      </c>
      <c r="J239" s="4">
        <f ca="1">D239*IF(RESULTADOS!$C$17="Normal",PREMISSAS!$C$71,0)</f>
        <v>0</v>
      </c>
      <c r="K239" s="87">
        <f ca="1">IFERROR(K238*(1+PREMISSAS!$C$19)+(E239+H239-IF(RESULTADOS!$C$17="Normal",I239,0)-J239)*IF(MONTH(B239)=12,2,1),0)</f>
        <v>0</v>
      </c>
      <c r="L239" s="87">
        <f ca="1">IFERROR((L238+G239-IF(RESULTADOS!$C$17="Normal",0,I239))*(1+PREMISSAS!$C$19)+F239,0)</f>
        <v>0</v>
      </c>
      <c r="N239" s="58">
        <f t="shared" ca="1" si="24"/>
        <v>0</v>
      </c>
      <c r="P239" s="131">
        <f t="shared" ca="1" si="25"/>
        <v>52017</v>
      </c>
      <c r="Q239" s="111">
        <f ca="1">IF(C239="","",Q238+(E239+H239-IF(RESULTADOS!$C$17="Normal",I239,0)-J239)/2+(F239+G239-IF(RESULTADOS!$C$17="Normal",0,I239)))</f>
        <v>0</v>
      </c>
      <c r="R239" s="111">
        <f ca="1">IF(C239="","",R238+(E239+H239-IF(RESULTADOS!$C$17="Normal",I239,0)-J239)/2)</f>
        <v>0</v>
      </c>
      <c r="S239" s="111">
        <f t="shared" ca="1" si="28"/>
        <v>0</v>
      </c>
      <c r="U239" s="131" t="str">
        <f t="shared" ca="1" si="29"/>
        <v/>
      </c>
      <c r="V239" s="131" t="str">
        <f t="shared" ca="1" si="26"/>
        <v/>
      </c>
      <c r="W239" s="111">
        <f ca="1">IF(OR((W238-13/12*Z238)*(1+PREMISSAS!$C$17)&lt;0,W238=""),0,(W238-13/12*Z238)*(1+PREMISSAS!$C$17))</f>
        <v>0</v>
      </c>
      <c r="X239" s="111">
        <f ca="1">IF(OR((X238-13/12*AA238)*(1+PREMISSAS!$C$17)&lt;0,X238=""),0,(X238-13/12*AA238)*(1+PREMISSAS!$C$17))</f>
        <v>0</v>
      </c>
      <c r="Y239" s="111">
        <f t="shared" ca="1" si="27"/>
        <v>0</v>
      </c>
      <c r="Z239" s="134">
        <f t="shared" ca="1" si="30"/>
        <v>0</v>
      </c>
      <c r="AA239" s="134">
        <f t="shared" ca="1" si="31"/>
        <v>0</v>
      </c>
    </row>
    <row r="240" spans="2:27" x14ac:dyDescent="0.3">
      <c r="B240" s="21">
        <f ca="1">IF(B239="","",IF(EOMONTH(B239,1)&gt;EOMONTH(ELEGIBILIDADE!$E$5,0),"",EOMONTH(B239,1)))</f>
        <v>52047</v>
      </c>
      <c r="C240" s="22">
        <f ca="1">IF(B240="","",IF(MONTH(B240)=1,C239*(1+PREMISSAS!$C$58),C239))</f>
        <v>0</v>
      </c>
      <c r="D240" s="22">
        <f ca="1">IF(RESULTADOS!$C$17="Normal",IFERROR(MAX(C240-PREMISSAS!$C$14,0),0),IF(PREMISSAS!$H$117=0,0,MAX(10*PREMISSAS!$C$39,RESULTADOS!$F$17)))</f>
        <v>0</v>
      </c>
      <c r="E240" s="4">
        <f ca="1">D240*IF(RESULTADOS!$C$17="Normal",RESULTADOS!$C$16,0)</f>
        <v>0</v>
      </c>
      <c r="F240" s="4">
        <f ca="1">IF(D240&lt;&gt;0,PREMISSAS!$N$83,0)</f>
        <v>0</v>
      </c>
      <c r="G240" s="4">
        <f ca="1">IFERROR(IF(RESULTADOS!$C$17="Normal",0,D240)*IF(RESULTADOS!$C$17="Normal",RESULTADOS!$C$18,RESULTADOS!$C$16),0)</f>
        <v>0</v>
      </c>
      <c r="H240" s="4">
        <f ca="1">IF(RESULTADOS!$C$17="Normal",E240,0)</f>
        <v>0</v>
      </c>
      <c r="I240" s="4">
        <f ca="1">(E240+H240+G240)*IFERROR(VLOOKUP(INT(COUNT($B$5:B240)/12),PREMISSAS!$B$62:$C$69,2,FALSE),PREMISSAS!$C$69)</f>
        <v>0</v>
      </c>
      <c r="J240" s="4">
        <f ca="1">D240*IF(RESULTADOS!$C$17="Normal",PREMISSAS!$C$71,0)</f>
        <v>0</v>
      </c>
      <c r="K240" s="87">
        <f ca="1">IFERROR(K239*(1+PREMISSAS!$C$19)+(E240+H240-IF(RESULTADOS!$C$17="Normal",I240,0)-J240)*IF(MONTH(B240)=12,2,1),0)</f>
        <v>0</v>
      </c>
      <c r="L240" s="87">
        <f ca="1">IFERROR((L239+G240-IF(RESULTADOS!$C$17="Normal",0,I240))*(1+PREMISSAS!$C$19)+F240,0)</f>
        <v>0</v>
      </c>
      <c r="N240" s="58">
        <f t="shared" ca="1" si="24"/>
        <v>0</v>
      </c>
      <c r="P240" s="131">
        <f t="shared" ca="1" si="25"/>
        <v>52047</v>
      </c>
      <c r="Q240" s="111">
        <f ca="1">IF(C240="","",Q239+(E240+H240-IF(RESULTADOS!$C$17="Normal",I240,0)-J240)/2+(F240+G240-IF(RESULTADOS!$C$17="Normal",0,I240)))</f>
        <v>0</v>
      </c>
      <c r="R240" s="111">
        <f ca="1">IF(C240="","",R239+(E240+H240-IF(RESULTADOS!$C$17="Normal",I240,0)-J240)/2)</f>
        <v>0</v>
      </c>
      <c r="S240" s="111">
        <f t="shared" ca="1" si="28"/>
        <v>0</v>
      </c>
      <c r="U240" s="131" t="str">
        <f t="shared" ca="1" si="29"/>
        <v/>
      </c>
      <c r="V240" s="131" t="str">
        <f t="shared" ca="1" si="26"/>
        <v/>
      </c>
      <c r="W240" s="111">
        <f ca="1">IF(OR((W239-13/12*Z239)*(1+PREMISSAS!$C$17)&lt;0,W239=""),0,(W239-13/12*Z239)*(1+PREMISSAS!$C$17))</f>
        <v>0</v>
      </c>
      <c r="X240" s="111">
        <f ca="1">IF(OR((X239-13/12*AA239)*(1+PREMISSAS!$C$17)&lt;0,X239=""),0,(X239-13/12*AA239)*(1+PREMISSAS!$C$17))</f>
        <v>0</v>
      </c>
      <c r="Y240" s="111">
        <f t="shared" ca="1" si="27"/>
        <v>0</v>
      </c>
      <c r="Z240" s="134">
        <f t="shared" ca="1" si="30"/>
        <v>0</v>
      </c>
      <c r="AA240" s="134">
        <f t="shared" ca="1" si="31"/>
        <v>0</v>
      </c>
    </row>
    <row r="241" spans="2:27" x14ac:dyDescent="0.3">
      <c r="B241" s="21">
        <f ca="1">IF(B240="","",IF(EOMONTH(B240,1)&gt;EOMONTH(ELEGIBILIDADE!$E$5,0),"",EOMONTH(B240,1)))</f>
        <v>52078</v>
      </c>
      <c r="C241" s="22">
        <f ca="1">IF(B241="","",IF(MONTH(B241)=1,C240*(1+PREMISSAS!$C$58),C240))</f>
        <v>0</v>
      </c>
      <c r="D241" s="22">
        <f ca="1">IF(RESULTADOS!$C$17="Normal",IFERROR(MAX(C241-PREMISSAS!$C$14,0),0),IF(PREMISSAS!$H$117=0,0,MAX(10*PREMISSAS!$C$39,RESULTADOS!$F$17)))</f>
        <v>0</v>
      </c>
      <c r="E241" s="4">
        <f ca="1">D241*IF(RESULTADOS!$C$17="Normal",RESULTADOS!$C$16,0)</f>
        <v>0</v>
      </c>
      <c r="F241" s="4">
        <f ca="1">IF(D241&lt;&gt;0,PREMISSAS!$N$83,0)</f>
        <v>0</v>
      </c>
      <c r="G241" s="4">
        <f ca="1">IFERROR(IF(RESULTADOS!$C$17="Normal",0,D241)*IF(RESULTADOS!$C$17="Normal",RESULTADOS!$C$18,RESULTADOS!$C$16),0)</f>
        <v>0</v>
      </c>
      <c r="H241" s="4">
        <f ca="1">IF(RESULTADOS!$C$17="Normal",E241,0)</f>
        <v>0</v>
      </c>
      <c r="I241" s="4">
        <f ca="1">(E241+H241+G241)*IFERROR(VLOOKUP(INT(COUNT($B$5:B241)/12),PREMISSAS!$B$62:$C$69,2,FALSE),PREMISSAS!$C$69)</f>
        <v>0</v>
      </c>
      <c r="J241" s="4">
        <f ca="1">D241*IF(RESULTADOS!$C$17="Normal",PREMISSAS!$C$71,0)</f>
        <v>0</v>
      </c>
      <c r="K241" s="87">
        <f ca="1">IFERROR(K240*(1+PREMISSAS!$C$19)+(E241+H241-IF(RESULTADOS!$C$17="Normal",I241,0)-J241)*IF(MONTH(B241)=12,2,1),0)</f>
        <v>0</v>
      </c>
      <c r="L241" s="87">
        <f ca="1">IFERROR((L240+G241-IF(RESULTADOS!$C$17="Normal",0,I241))*(1+PREMISSAS!$C$19)+F241,0)</f>
        <v>0</v>
      </c>
      <c r="N241" s="58">
        <f t="shared" ca="1" si="24"/>
        <v>0</v>
      </c>
      <c r="P241" s="131">
        <f t="shared" ca="1" si="25"/>
        <v>52078</v>
      </c>
      <c r="Q241" s="111">
        <f ca="1">IF(C241="","",Q240+(E241+H241-IF(RESULTADOS!$C$17="Normal",I241,0)-J241)/2+(F241+G241-IF(RESULTADOS!$C$17="Normal",0,I241)))</f>
        <v>0</v>
      </c>
      <c r="R241" s="111">
        <f ca="1">IF(C241="","",R240+(E241+H241-IF(RESULTADOS!$C$17="Normal",I241,0)-J241)/2)</f>
        <v>0</v>
      </c>
      <c r="S241" s="111">
        <f t="shared" ca="1" si="28"/>
        <v>0</v>
      </c>
      <c r="U241" s="131" t="str">
        <f t="shared" ca="1" si="29"/>
        <v/>
      </c>
      <c r="V241" s="131" t="str">
        <f t="shared" ca="1" si="26"/>
        <v/>
      </c>
      <c r="W241" s="111">
        <f ca="1">IF(OR((W240-13/12*Z240)*(1+PREMISSAS!$C$17)&lt;0,W240=""),0,(W240-13/12*Z240)*(1+PREMISSAS!$C$17))</f>
        <v>0</v>
      </c>
      <c r="X241" s="111">
        <f ca="1">IF(OR((X240-13/12*AA240)*(1+PREMISSAS!$C$17)&lt;0,X240=""),0,(X240-13/12*AA240)*(1+PREMISSAS!$C$17))</f>
        <v>0</v>
      </c>
      <c r="Y241" s="111">
        <f t="shared" ca="1" si="27"/>
        <v>0</v>
      </c>
      <c r="Z241" s="134">
        <f t="shared" ca="1" si="30"/>
        <v>0</v>
      </c>
      <c r="AA241" s="134">
        <f t="shared" ca="1" si="31"/>
        <v>0</v>
      </c>
    </row>
    <row r="242" spans="2:27" x14ac:dyDescent="0.3">
      <c r="B242" s="21">
        <f ca="1">IF(B241="","",IF(EOMONTH(B241,1)&gt;EOMONTH(ELEGIBILIDADE!$E$5,0),"",EOMONTH(B241,1)))</f>
        <v>52109</v>
      </c>
      <c r="C242" s="22">
        <f ca="1">IF(B242="","",IF(MONTH(B242)=1,C241*(1+PREMISSAS!$C$58),C241))</f>
        <v>0</v>
      </c>
      <c r="D242" s="22">
        <f ca="1">IF(RESULTADOS!$C$17="Normal",IFERROR(MAX(C242-PREMISSAS!$C$14,0),0),IF(PREMISSAS!$H$117=0,0,MAX(10*PREMISSAS!$C$39,RESULTADOS!$F$17)))</f>
        <v>0</v>
      </c>
      <c r="E242" s="4">
        <f ca="1">D242*IF(RESULTADOS!$C$17="Normal",RESULTADOS!$C$16,0)</f>
        <v>0</v>
      </c>
      <c r="F242" s="4">
        <f ca="1">IF(D242&lt;&gt;0,PREMISSAS!$N$83,0)</f>
        <v>0</v>
      </c>
      <c r="G242" s="4">
        <f ca="1">IFERROR(IF(RESULTADOS!$C$17="Normal",0,D242)*IF(RESULTADOS!$C$17="Normal",RESULTADOS!$C$18,RESULTADOS!$C$16),0)</f>
        <v>0</v>
      </c>
      <c r="H242" s="4">
        <f ca="1">IF(RESULTADOS!$C$17="Normal",E242,0)</f>
        <v>0</v>
      </c>
      <c r="I242" s="4">
        <f ca="1">(E242+H242+G242)*IFERROR(VLOOKUP(INT(COUNT($B$5:B242)/12),PREMISSAS!$B$62:$C$69,2,FALSE),PREMISSAS!$C$69)</f>
        <v>0</v>
      </c>
      <c r="J242" s="4">
        <f ca="1">D242*IF(RESULTADOS!$C$17="Normal",PREMISSAS!$C$71,0)</f>
        <v>0</v>
      </c>
      <c r="K242" s="87">
        <f ca="1">IFERROR(K241*(1+PREMISSAS!$C$19)+(E242+H242-IF(RESULTADOS!$C$17="Normal",I242,0)-J242)*IF(MONTH(B242)=12,2,1),0)</f>
        <v>0</v>
      </c>
      <c r="L242" s="87">
        <f ca="1">IFERROR((L241+G242-IF(RESULTADOS!$C$17="Normal",0,I242))*(1+PREMISSAS!$C$19)+F242,0)</f>
        <v>0</v>
      </c>
      <c r="N242" s="58">
        <f t="shared" ca="1" si="24"/>
        <v>0</v>
      </c>
      <c r="P242" s="131">
        <f t="shared" ca="1" si="25"/>
        <v>52109</v>
      </c>
      <c r="Q242" s="111">
        <f ca="1">IF(C242="","",Q241+(E242+H242-IF(RESULTADOS!$C$17="Normal",I242,0)-J242)/2+(F242+G242-IF(RESULTADOS!$C$17="Normal",0,I242)))</f>
        <v>0</v>
      </c>
      <c r="R242" s="111">
        <f ca="1">IF(C242="","",R241+(E242+H242-IF(RESULTADOS!$C$17="Normal",I242,0)-J242)/2)</f>
        <v>0</v>
      </c>
      <c r="S242" s="111">
        <f t="shared" ca="1" si="28"/>
        <v>0</v>
      </c>
      <c r="U242" s="131" t="str">
        <f t="shared" ca="1" si="29"/>
        <v/>
      </c>
      <c r="V242" s="131" t="str">
        <f t="shared" ca="1" si="26"/>
        <v/>
      </c>
      <c r="W242" s="111">
        <f ca="1">IF(OR((W241-13/12*Z241)*(1+PREMISSAS!$C$17)&lt;0,W241=""),0,(W241-13/12*Z241)*(1+PREMISSAS!$C$17))</f>
        <v>0</v>
      </c>
      <c r="X242" s="111">
        <f ca="1">IF(OR((X241-13/12*AA241)*(1+PREMISSAS!$C$17)&lt;0,X241=""),0,(X241-13/12*AA241)*(1+PREMISSAS!$C$17))</f>
        <v>0</v>
      </c>
      <c r="Y242" s="111">
        <f t="shared" ca="1" si="27"/>
        <v>0</v>
      </c>
      <c r="Z242" s="134">
        <f t="shared" ca="1" si="30"/>
        <v>0</v>
      </c>
      <c r="AA242" s="134">
        <f t="shared" ca="1" si="31"/>
        <v>0</v>
      </c>
    </row>
    <row r="243" spans="2:27" x14ac:dyDescent="0.3">
      <c r="B243" s="21">
        <f ca="1">IF(B242="","",IF(EOMONTH(B242,1)&gt;EOMONTH(ELEGIBILIDADE!$E$5,0),"",EOMONTH(B242,1)))</f>
        <v>52139</v>
      </c>
      <c r="C243" s="22">
        <f ca="1">IF(B243="","",IF(MONTH(B243)=1,C242*(1+PREMISSAS!$C$58),C242))</f>
        <v>0</v>
      </c>
      <c r="D243" s="22">
        <f ca="1">IF(RESULTADOS!$C$17="Normal",IFERROR(MAX(C243-PREMISSAS!$C$14,0),0),IF(PREMISSAS!$H$117=0,0,MAX(10*PREMISSAS!$C$39,RESULTADOS!$F$17)))</f>
        <v>0</v>
      </c>
      <c r="E243" s="4">
        <f ca="1">D243*IF(RESULTADOS!$C$17="Normal",RESULTADOS!$C$16,0)</f>
        <v>0</v>
      </c>
      <c r="F243" s="4">
        <f ca="1">IF(D243&lt;&gt;0,PREMISSAS!$N$83,0)</f>
        <v>0</v>
      </c>
      <c r="G243" s="4">
        <f ca="1">IFERROR(IF(RESULTADOS!$C$17="Normal",0,D243)*IF(RESULTADOS!$C$17="Normal",RESULTADOS!$C$18,RESULTADOS!$C$16),0)</f>
        <v>0</v>
      </c>
      <c r="H243" s="4">
        <f ca="1">IF(RESULTADOS!$C$17="Normal",E243,0)</f>
        <v>0</v>
      </c>
      <c r="I243" s="4">
        <f ca="1">(E243+H243+G243)*IFERROR(VLOOKUP(INT(COUNT($B$5:B243)/12),PREMISSAS!$B$62:$C$69,2,FALSE),PREMISSAS!$C$69)</f>
        <v>0</v>
      </c>
      <c r="J243" s="4">
        <f ca="1">D243*IF(RESULTADOS!$C$17="Normal",PREMISSAS!$C$71,0)</f>
        <v>0</v>
      </c>
      <c r="K243" s="87">
        <f ca="1">IFERROR(K242*(1+PREMISSAS!$C$19)+(E243+H243-IF(RESULTADOS!$C$17="Normal",I243,0)-J243)*IF(MONTH(B243)=12,2,1),0)</f>
        <v>0</v>
      </c>
      <c r="L243" s="87">
        <f ca="1">IFERROR((L242+G243-IF(RESULTADOS!$C$17="Normal",0,I243))*(1+PREMISSAS!$C$19)+F243,0)</f>
        <v>0</v>
      </c>
      <c r="N243" s="58">
        <f t="shared" ca="1" si="24"/>
        <v>0</v>
      </c>
      <c r="P243" s="131">
        <f t="shared" ca="1" si="25"/>
        <v>52139</v>
      </c>
      <c r="Q243" s="111">
        <f ca="1">IF(C243="","",Q242+(E243+H243-IF(RESULTADOS!$C$17="Normal",I243,0)-J243)/2+(F243+G243-IF(RESULTADOS!$C$17="Normal",0,I243)))</f>
        <v>0</v>
      </c>
      <c r="R243" s="111">
        <f ca="1">IF(C243="","",R242+(E243+H243-IF(RESULTADOS!$C$17="Normal",I243,0)-J243)/2)</f>
        <v>0</v>
      </c>
      <c r="S243" s="111">
        <f t="shared" ca="1" si="28"/>
        <v>0</v>
      </c>
      <c r="U243" s="131" t="str">
        <f t="shared" ca="1" si="29"/>
        <v/>
      </c>
      <c r="V243" s="131" t="str">
        <f t="shared" ca="1" si="26"/>
        <v/>
      </c>
      <c r="W243" s="111">
        <f ca="1">IF(OR((W242-13/12*Z242)*(1+PREMISSAS!$C$17)&lt;0,W242=""),0,(W242-13/12*Z242)*(1+PREMISSAS!$C$17))</f>
        <v>0</v>
      </c>
      <c r="X243" s="111">
        <f ca="1">IF(OR((X242-13/12*AA242)*(1+PREMISSAS!$C$17)&lt;0,X242=""),0,(X242-13/12*AA242)*(1+PREMISSAS!$C$17))</f>
        <v>0</v>
      </c>
      <c r="Y243" s="111">
        <f t="shared" ca="1" si="27"/>
        <v>0</v>
      </c>
      <c r="Z243" s="134">
        <f t="shared" ca="1" si="30"/>
        <v>0</v>
      </c>
      <c r="AA243" s="134">
        <f t="shared" ca="1" si="31"/>
        <v>0</v>
      </c>
    </row>
    <row r="244" spans="2:27" x14ac:dyDescent="0.3">
      <c r="B244" s="21">
        <f ca="1">IF(B243="","",IF(EOMONTH(B243,1)&gt;EOMONTH(ELEGIBILIDADE!$E$5,0),"",EOMONTH(B243,1)))</f>
        <v>52170</v>
      </c>
      <c r="C244" s="22">
        <f ca="1">IF(B244="","",IF(MONTH(B244)=1,C243*(1+PREMISSAS!$C$58),C243))</f>
        <v>0</v>
      </c>
      <c r="D244" s="22">
        <f ca="1">IF(RESULTADOS!$C$17="Normal",IFERROR(MAX(C244-PREMISSAS!$C$14,0),0),IF(PREMISSAS!$H$117=0,0,MAX(10*PREMISSAS!$C$39,RESULTADOS!$F$17)))</f>
        <v>0</v>
      </c>
      <c r="E244" s="4">
        <f ca="1">D244*IF(RESULTADOS!$C$17="Normal",RESULTADOS!$C$16,0)</f>
        <v>0</v>
      </c>
      <c r="F244" s="4">
        <f ca="1">IF(D244&lt;&gt;0,PREMISSAS!$N$83,0)</f>
        <v>0</v>
      </c>
      <c r="G244" s="4">
        <f ca="1">IFERROR(IF(RESULTADOS!$C$17="Normal",0,D244)*IF(RESULTADOS!$C$17="Normal",RESULTADOS!$C$18,RESULTADOS!$C$16),0)</f>
        <v>0</v>
      </c>
      <c r="H244" s="4">
        <f ca="1">IF(RESULTADOS!$C$17="Normal",E244,0)</f>
        <v>0</v>
      </c>
      <c r="I244" s="4">
        <f ca="1">(E244+H244+G244)*IFERROR(VLOOKUP(INT(COUNT($B$5:B244)/12),PREMISSAS!$B$62:$C$69,2,FALSE),PREMISSAS!$C$69)</f>
        <v>0</v>
      </c>
      <c r="J244" s="4">
        <f ca="1">D244*IF(RESULTADOS!$C$17="Normal",PREMISSAS!$C$71,0)</f>
        <v>0</v>
      </c>
      <c r="K244" s="87">
        <f ca="1">IFERROR(K243*(1+PREMISSAS!$C$19)+(E244+H244-IF(RESULTADOS!$C$17="Normal",I244,0)-J244)*IF(MONTH(B244)=12,2,1),0)</f>
        <v>0</v>
      </c>
      <c r="L244" s="87">
        <f ca="1">IFERROR((L243+G244-IF(RESULTADOS!$C$17="Normal",0,I244))*(1+PREMISSAS!$C$19)+F244,0)</f>
        <v>0</v>
      </c>
      <c r="N244" s="58">
        <f t="shared" ca="1" si="24"/>
        <v>0</v>
      </c>
      <c r="P244" s="131">
        <f t="shared" ca="1" si="25"/>
        <v>52170</v>
      </c>
      <c r="Q244" s="111">
        <f ca="1">IF(C244="","",Q243+(E244+H244-IF(RESULTADOS!$C$17="Normal",I244,0)-J244)/2+(F244+G244-IF(RESULTADOS!$C$17="Normal",0,I244)))</f>
        <v>0</v>
      </c>
      <c r="R244" s="111">
        <f ca="1">IF(C244="","",R243+(E244+H244-IF(RESULTADOS!$C$17="Normal",I244,0)-J244)/2)</f>
        <v>0</v>
      </c>
      <c r="S244" s="111">
        <f t="shared" ca="1" si="28"/>
        <v>0</v>
      </c>
      <c r="U244" s="131" t="str">
        <f t="shared" ca="1" si="29"/>
        <v/>
      </c>
      <c r="V244" s="131" t="str">
        <f t="shared" ca="1" si="26"/>
        <v/>
      </c>
      <c r="W244" s="111">
        <f ca="1">IF(OR((W243-13/12*Z243)*(1+PREMISSAS!$C$17)&lt;0,W243=""),0,(W243-13/12*Z243)*(1+PREMISSAS!$C$17))</f>
        <v>0</v>
      </c>
      <c r="X244" s="111">
        <f ca="1">IF(OR((X243-13/12*AA243)*(1+PREMISSAS!$C$17)&lt;0,X243=""),0,(X243-13/12*AA243)*(1+PREMISSAS!$C$17))</f>
        <v>0</v>
      </c>
      <c r="Y244" s="111">
        <f t="shared" ca="1" si="27"/>
        <v>0</v>
      </c>
      <c r="Z244" s="134">
        <f t="shared" ca="1" si="30"/>
        <v>0</v>
      </c>
      <c r="AA244" s="134">
        <f t="shared" ca="1" si="31"/>
        <v>0</v>
      </c>
    </row>
    <row r="245" spans="2:27" x14ac:dyDescent="0.3">
      <c r="B245" s="21">
        <f ca="1">IF(B244="","",IF(EOMONTH(B244,1)&gt;EOMONTH(ELEGIBILIDADE!$E$5,0),"",EOMONTH(B244,1)))</f>
        <v>52200</v>
      </c>
      <c r="C245" s="22">
        <f ca="1">IF(B245="","",IF(MONTH(B245)=1,C244*(1+PREMISSAS!$C$58),C244))</f>
        <v>0</v>
      </c>
      <c r="D245" s="22">
        <f ca="1">IF(RESULTADOS!$C$17="Normal",IFERROR(MAX(C245-PREMISSAS!$C$14,0),0),IF(PREMISSAS!$H$117=0,0,MAX(10*PREMISSAS!$C$39,RESULTADOS!$F$17)))</f>
        <v>0</v>
      </c>
      <c r="E245" s="4">
        <f ca="1">D245*IF(RESULTADOS!$C$17="Normal",RESULTADOS!$C$16,0)</f>
        <v>0</v>
      </c>
      <c r="F245" s="4">
        <f ca="1">IF(D245&lt;&gt;0,PREMISSAS!$N$83,0)</f>
        <v>0</v>
      </c>
      <c r="G245" s="4">
        <f ca="1">IFERROR(IF(RESULTADOS!$C$17="Normal",0,D245)*IF(RESULTADOS!$C$17="Normal",RESULTADOS!$C$18,RESULTADOS!$C$16),0)</f>
        <v>0</v>
      </c>
      <c r="H245" s="4">
        <f ca="1">IF(RESULTADOS!$C$17="Normal",E245,0)</f>
        <v>0</v>
      </c>
      <c r="I245" s="4">
        <f ca="1">(E245+H245+G245)*IFERROR(VLOOKUP(INT(COUNT($B$5:B245)/12),PREMISSAS!$B$62:$C$69,2,FALSE),PREMISSAS!$C$69)</f>
        <v>0</v>
      </c>
      <c r="J245" s="4">
        <f ca="1">D245*IF(RESULTADOS!$C$17="Normal",PREMISSAS!$C$71,0)</f>
        <v>0</v>
      </c>
      <c r="K245" s="87">
        <f ca="1">IFERROR(K244*(1+PREMISSAS!$C$19)+(E245+H245-IF(RESULTADOS!$C$17="Normal",I245,0)-J245)*IF(MONTH(B245)=12,2,1),0)</f>
        <v>0</v>
      </c>
      <c r="L245" s="87">
        <f ca="1">IFERROR((L244+G245-IF(RESULTADOS!$C$17="Normal",0,I245))*(1+PREMISSAS!$C$19)+F245,0)</f>
        <v>0</v>
      </c>
      <c r="N245" s="58">
        <f t="shared" ca="1" si="24"/>
        <v>0</v>
      </c>
      <c r="P245" s="131">
        <f t="shared" ca="1" si="25"/>
        <v>52200</v>
      </c>
      <c r="Q245" s="111">
        <f ca="1">IF(C245="","",Q244+(E245+H245-IF(RESULTADOS!$C$17="Normal",I245,0)-J245)/2+(F245+G245-IF(RESULTADOS!$C$17="Normal",0,I245)))</f>
        <v>0</v>
      </c>
      <c r="R245" s="111">
        <f ca="1">IF(C245="","",R244+(E245+H245-IF(RESULTADOS!$C$17="Normal",I245,0)-J245)/2)</f>
        <v>0</v>
      </c>
      <c r="S245" s="111">
        <f t="shared" ca="1" si="28"/>
        <v>0</v>
      </c>
      <c r="U245" s="131" t="str">
        <f t="shared" ca="1" si="29"/>
        <v/>
      </c>
      <c r="V245" s="131" t="str">
        <f t="shared" ca="1" si="26"/>
        <v/>
      </c>
      <c r="W245" s="111">
        <f ca="1">IF(OR((W244-13/12*Z244)*(1+PREMISSAS!$C$17)&lt;0,W244=""),0,(W244-13/12*Z244)*(1+PREMISSAS!$C$17))</f>
        <v>0</v>
      </c>
      <c r="X245" s="111">
        <f ca="1">IF(OR((X244-13/12*AA244)*(1+PREMISSAS!$C$17)&lt;0,X244=""),0,(X244-13/12*AA244)*(1+PREMISSAS!$C$17))</f>
        <v>0</v>
      </c>
      <c r="Y245" s="111">
        <f t="shared" ca="1" si="27"/>
        <v>0</v>
      </c>
      <c r="Z245" s="134">
        <f t="shared" ca="1" si="30"/>
        <v>0</v>
      </c>
      <c r="AA245" s="134">
        <f t="shared" ca="1" si="31"/>
        <v>0</v>
      </c>
    </row>
    <row r="246" spans="2:27" x14ac:dyDescent="0.3">
      <c r="B246" s="21" t="str">
        <f ca="1">IF(B245="","",IF(EOMONTH(B245,1)&gt;EOMONTH(ELEGIBILIDADE!$E$5,0),"",EOMONTH(B245,1)))</f>
        <v/>
      </c>
      <c r="C246" s="22" t="str">
        <f ca="1">IF(B246="","",IF(MONTH(B246)=1,C245*(1+PREMISSAS!$C$58),C245))</f>
        <v/>
      </c>
      <c r="D246" s="22">
        <f ca="1">IF(RESULTADOS!$C$17="Normal",IFERROR(MAX(C246-PREMISSAS!$C$14,0),0),IF(PREMISSAS!$H$117=0,0,MAX(10*PREMISSAS!$C$39,RESULTADOS!$F$17)))</f>
        <v>0</v>
      </c>
      <c r="E246" s="4">
        <f ca="1">D246*IF(RESULTADOS!$C$17="Normal",RESULTADOS!$C$16,0)</f>
        <v>0</v>
      </c>
      <c r="F246" s="4">
        <f ca="1">IF(D246&lt;&gt;0,PREMISSAS!$N$83,0)</f>
        <v>0</v>
      </c>
      <c r="G246" s="4">
        <f ca="1">IFERROR(IF(RESULTADOS!$C$17="Normal",0,D246)*IF(RESULTADOS!$C$17="Normal",RESULTADOS!$C$18,RESULTADOS!$C$16),0)</f>
        <v>0</v>
      </c>
      <c r="H246" s="4">
        <f ca="1">IF(RESULTADOS!$C$17="Normal",E246,0)</f>
        <v>0</v>
      </c>
      <c r="I246" s="4">
        <f ca="1">(E246+H246+G246)*IFERROR(VLOOKUP(INT(COUNT($B$5:B246)/12),PREMISSAS!$B$62:$C$69,2,FALSE),PREMISSAS!$C$69)</f>
        <v>0</v>
      </c>
      <c r="J246" s="4">
        <f ca="1">D246*IF(RESULTADOS!$C$17="Normal",PREMISSAS!$C$71,0)</f>
        <v>0</v>
      </c>
      <c r="K246" s="87">
        <f ca="1">IFERROR(K245*(1+PREMISSAS!$C$19)+(E246+H246-IF(RESULTADOS!$C$17="Normal",I246,0)-J246)*IF(MONTH(B246)=12,2,1),0)</f>
        <v>0</v>
      </c>
      <c r="L246" s="87">
        <f ca="1">IFERROR((L245+G246-IF(RESULTADOS!$C$17="Normal",0,I246))*(1+PREMISSAS!$C$19)+F246,0)</f>
        <v>0</v>
      </c>
      <c r="N246" s="58">
        <f t="shared" ca="1" si="24"/>
        <v>0</v>
      </c>
      <c r="P246" s="131" t="str">
        <f t="shared" ca="1" si="25"/>
        <v/>
      </c>
      <c r="Q246" s="111" t="str">
        <f ca="1">IF(C246="","",Q245+(E246+H246-IF(RESULTADOS!$C$17="Normal",I246,0)-J246)/2+(F246+G246-IF(RESULTADOS!$C$17="Normal",0,I246)))</f>
        <v/>
      </c>
      <c r="R246" s="111" t="str">
        <f ca="1">IF(C246="","",R245+(E246+H246-IF(RESULTADOS!$C$17="Normal",I246,0)-J246)/2)</f>
        <v/>
      </c>
      <c r="S246" s="111">
        <f t="shared" ca="1" si="28"/>
        <v>0</v>
      </c>
      <c r="U246" s="131" t="str">
        <f t="shared" ca="1" si="29"/>
        <v/>
      </c>
      <c r="V246" s="131" t="str">
        <f t="shared" ca="1" si="26"/>
        <v/>
      </c>
      <c r="W246" s="111">
        <f ca="1">IF(OR((W245-13/12*Z245)*(1+PREMISSAS!$C$17)&lt;0,W245=""),0,(W245-13/12*Z245)*(1+PREMISSAS!$C$17))</f>
        <v>0</v>
      </c>
      <c r="X246" s="111">
        <f ca="1">IF(OR((X245-13/12*AA245)*(1+PREMISSAS!$C$17)&lt;0,X245=""),0,(X245-13/12*AA245)*(1+PREMISSAS!$C$17))</f>
        <v>0</v>
      </c>
      <c r="Y246" s="111">
        <f t="shared" ca="1" si="27"/>
        <v>0</v>
      </c>
      <c r="Z246" s="134">
        <f t="shared" ca="1" si="30"/>
        <v>0</v>
      </c>
      <c r="AA246" s="134">
        <f t="shared" ca="1" si="31"/>
        <v>0</v>
      </c>
    </row>
    <row r="247" spans="2:27" x14ac:dyDescent="0.3">
      <c r="B247" s="21" t="str">
        <f ca="1">IF(B246="","",IF(EOMONTH(B246,1)&gt;EOMONTH(ELEGIBILIDADE!$E$5,0),"",EOMONTH(B246,1)))</f>
        <v/>
      </c>
      <c r="C247" s="22" t="str">
        <f ca="1">IF(B247="","",IF(MONTH(B247)=1,C246*(1+PREMISSAS!$C$58),C246))</f>
        <v/>
      </c>
      <c r="D247" s="22">
        <f ca="1">IF(RESULTADOS!$C$17="Normal",IFERROR(MAX(C247-PREMISSAS!$C$14,0),0),IF(PREMISSAS!$H$117=0,0,MAX(10*PREMISSAS!$C$39,RESULTADOS!$F$17)))</f>
        <v>0</v>
      </c>
      <c r="E247" s="4">
        <f ca="1">D247*IF(RESULTADOS!$C$17="Normal",RESULTADOS!$C$16,0)</f>
        <v>0</v>
      </c>
      <c r="F247" s="4">
        <f ca="1">IF(D247&lt;&gt;0,PREMISSAS!$N$83,0)</f>
        <v>0</v>
      </c>
      <c r="G247" s="4">
        <f ca="1">IFERROR(IF(RESULTADOS!$C$17="Normal",0,D247)*IF(RESULTADOS!$C$17="Normal",RESULTADOS!$C$18,RESULTADOS!$C$16),0)</f>
        <v>0</v>
      </c>
      <c r="H247" s="4">
        <f ca="1">IF(RESULTADOS!$C$17="Normal",E247,0)</f>
        <v>0</v>
      </c>
      <c r="I247" s="4">
        <f ca="1">(E247+H247+G247)*IFERROR(VLOOKUP(INT(COUNT($B$5:B247)/12),PREMISSAS!$B$62:$C$69,2,FALSE),PREMISSAS!$C$69)</f>
        <v>0</v>
      </c>
      <c r="J247" s="4">
        <f ca="1">D247*IF(RESULTADOS!$C$17="Normal",PREMISSAS!$C$71,0)</f>
        <v>0</v>
      </c>
      <c r="K247" s="87">
        <f ca="1">IFERROR(K246*(1+PREMISSAS!$C$19)+(E247+H247-IF(RESULTADOS!$C$17="Normal",I247,0)-J247)*IF(MONTH(B247)=12,2,1),0)</f>
        <v>0</v>
      </c>
      <c r="L247" s="87">
        <f ca="1">IFERROR((L246+G247-IF(RESULTADOS!$C$17="Normal",0,I247))*(1+PREMISSAS!$C$19)+F247,0)</f>
        <v>0</v>
      </c>
      <c r="N247" s="58">
        <f t="shared" ca="1" si="24"/>
        <v>0</v>
      </c>
      <c r="P247" s="131" t="str">
        <f t="shared" ca="1" si="25"/>
        <v/>
      </c>
      <c r="Q247" s="111" t="str">
        <f ca="1">IF(C247="","",Q246+(E247+H247-IF(RESULTADOS!$C$17="Normal",I247,0)-J247)/2+(F247+G247-IF(RESULTADOS!$C$17="Normal",0,I247)))</f>
        <v/>
      </c>
      <c r="R247" s="111" t="str">
        <f ca="1">IF(C247="","",R246+(E247+H247-IF(RESULTADOS!$C$17="Normal",I247,0)-J247)/2)</f>
        <v/>
      </c>
      <c r="S247" s="111">
        <f t="shared" ca="1" si="28"/>
        <v>0</v>
      </c>
      <c r="U247" s="131" t="str">
        <f t="shared" ca="1" si="29"/>
        <v/>
      </c>
      <c r="V247" s="131" t="str">
        <f t="shared" ca="1" si="26"/>
        <v/>
      </c>
      <c r="W247" s="111">
        <f ca="1">IF(OR((W246-13/12*Z246)*(1+PREMISSAS!$C$17)&lt;0,W246=""),0,(W246-13/12*Z246)*(1+PREMISSAS!$C$17))</f>
        <v>0</v>
      </c>
      <c r="X247" s="111">
        <f ca="1">IF(OR((X246-13/12*AA246)*(1+PREMISSAS!$C$17)&lt;0,X246=""),0,(X246-13/12*AA246)*(1+PREMISSAS!$C$17))</f>
        <v>0</v>
      </c>
      <c r="Y247" s="111">
        <f t="shared" ca="1" si="27"/>
        <v>0</v>
      </c>
      <c r="Z247" s="134">
        <f t="shared" ca="1" si="30"/>
        <v>0</v>
      </c>
      <c r="AA247" s="134">
        <f t="shared" ca="1" si="31"/>
        <v>0</v>
      </c>
    </row>
    <row r="248" spans="2:27" x14ac:dyDescent="0.3">
      <c r="B248" s="21" t="str">
        <f ca="1">IF(B247="","",IF(EOMONTH(B247,1)&gt;EOMONTH(ELEGIBILIDADE!$E$5,0),"",EOMONTH(B247,1)))</f>
        <v/>
      </c>
      <c r="C248" s="22" t="str">
        <f ca="1">IF(B248="","",IF(MONTH(B248)=1,C247*(1+PREMISSAS!$C$58),C247))</f>
        <v/>
      </c>
      <c r="D248" s="22">
        <f ca="1">IF(RESULTADOS!$C$17="Normal",IFERROR(MAX(C248-PREMISSAS!$C$14,0),0),IF(PREMISSAS!$H$117=0,0,MAX(10*PREMISSAS!$C$39,RESULTADOS!$F$17)))</f>
        <v>0</v>
      </c>
      <c r="E248" s="4">
        <f ca="1">D248*IF(RESULTADOS!$C$17="Normal",RESULTADOS!$C$16,0)</f>
        <v>0</v>
      </c>
      <c r="F248" s="4">
        <f ca="1">IF(D248&lt;&gt;0,PREMISSAS!$N$83,0)</f>
        <v>0</v>
      </c>
      <c r="G248" s="4">
        <f ca="1">IFERROR(IF(RESULTADOS!$C$17="Normal",0,D248)*IF(RESULTADOS!$C$17="Normal",RESULTADOS!$C$18,RESULTADOS!$C$16),0)</f>
        <v>0</v>
      </c>
      <c r="H248" s="4">
        <f ca="1">IF(RESULTADOS!$C$17="Normal",E248,0)</f>
        <v>0</v>
      </c>
      <c r="I248" s="4">
        <f ca="1">(E248+H248+G248)*IFERROR(VLOOKUP(INT(COUNT($B$5:B248)/12),PREMISSAS!$B$62:$C$69,2,FALSE),PREMISSAS!$C$69)</f>
        <v>0</v>
      </c>
      <c r="J248" s="4">
        <f ca="1">D248*IF(RESULTADOS!$C$17="Normal",PREMISSAS!$C$71,0)</f>
        <v>0</v>
      </c>
      <c r="K248" s="87">
        <f ca="1">IFERROR(K247*(1+PREMISSAS!$C$19)+(E248+H248-IF(RESULTADOS!$C$17="Normal",I248,0)-J248)*IF(MONTH(B248)=12,2,1),0)</f>
        <v>0</v>
      </c>
      <c r="L248" s="87">
        <f ca="1">IFERROR((L247+G248-IF(RESULTADOS!$C$17="Normal",0,I248))*(1+PREMISSAS!$C$19)+F248,0)</f>
        <v>0</v>
      </c>
      <c r="N248" s="58">
        <f t="shared" ca="1" si="24"/>
        <v>0</v>
      </c>
      <c r="P248" s="131" t="str">
        <f t="shared" ca="1" si="25"/>
        <v/>
      </c>
      <c r="Q248" s="111" t="str">
        <f ca="1">IF(C248="","",Q247+(E248+H248-IF(RESULTADOS!$C$17="Normal",I248,0)-J248)/2+(F248+G248-IF(RESULTADOS!$C$17="Normal",0,I248)))</f>
        <v/>
      </c>
      <c r="R248" s="111" t="str">
        <f ca="1">IF(C248="","",R247+(E248+H248-IF(RESULTADOS!$C$17="Normal",I248,0)-J248)/2)</f>
        <v/>
      </c>
      <c r="S248" s="111">
        <f t="shared" ca="1" si="28"/>
        <v>0</v>
      </c>
      <c r="U248" s="131" t="str">
        <f t="shared" ca="1" si="29"/>
        <v/>
      </c>
      <c r="V248" s="131" t="str">
        <f t="shared" ca="1" si="26"/>
        <v/>
      </c>
      <c r="W248" s="111">
        <f ca="1">IF(OR((W247-13/12*Z247)*(1+PREMISSAS!$C$17)&lt;0,W247=""),0,(W247-13/12*Z247)*(1+PREMISSAS!$C$17))</f>
        <v>0</v>
      </c>
      <c r="X248" s="111">
        <f ca="1">IF(OR((X247-13/12*AA247)*(1+PREMISSAS!$C$17)&lt;0,X247=""),0,(X247-13/12*AA247)*(1+PREMISSAS!$C$17))</f>
        <v>0</v>
      </c>
      <c r="Y248" s="111">
        <f t="shared" ca="1" si="27"/>
        <v>0</v>
      </c>
      <c r="Z248" s="134">
        <f t="shared" ca="1" si="30"/>
        <v>0</v>
      </c>
      <c r="AA248" s="134">
        <f t="shared" ca="1" si="31"/>
        <v>0</v>
      </c>
    </row>
    <row r="249" spans="2:27" x14ac:dyDescent="0.3">
      <c r="B249" s="21" t="str">
        <f ca="1">IF(B248="","",IF(EOMONTH(B248,1)&gt;EOMONTH(ELEGIBILIDADE!$E$5,0),"",EOMONTH(B248,1)))</f>
        <v/>
      </c>
      <c r="C249" s="22" t="str">
        <f ca="1">IF(B249="","",IF(MONTH(B249)=1,C248*(1+PREMISSAS!$C$58),C248))</f>
        <v/>
      </c>
      <c r="D249" s="22">
        <f ca="1">IF(RESULTADOS!$C$17="Normal",IFERROR(MAX(C249-PREMISSAS!$C$14,0),0),IF(PREMISSAS!$H$117=0,0,MAX(10*PREMISSAS!$C$39,RESULTADOS!$F$17)))</f>
        <v>0</v>
      </c>
      <c r="E249" s="4">
        <f ca="1">D249*IF(RESULTADOS!$C$17="Normal",RESULTADOS!$C$16,0)</f>
        <v>0</v>
      </c>
      <c r="F249" s="4">
        <f ca="1">IF(D249&lt;&gt;0,PREMISSAS!$N$83,0)</f>
        <v>0</v>
      </c>
      <c r="G249" s="4">
        <f ca="1">IFERROR(IF(RESULTADOS!$C$17="Normal",0,D249)*IF(RESULTADOS!$C$17="Normal",RESULTADOS!$C$18,RESULTADOS!$C$16),0)</f>
        <v>0</v>
      </c>
      <c r="H249" s="4">
        <f ca="1">IF(RESULTADOS!$C$17="Normal",E249,0)</f>
        <v>0</v>
      </c>
      <c r="I249" s="4">
        <f ca="1">(E249+H249+G249)*IFERROR(VLOOKUP(INT(COUNT($B$5:B249)/12),PREMISSAS!$B$62:$C$69,2,FALSE),PREMISSAS!$C$69)</f>
        <v>0</v>
      </c>
      <c r="J249" s="4">
        <f ca="1">D249*IF(RESULTADOS!$C$17="Normal",PREMISSAS!$C$71,0)</f>
        <v>0</v>
      </c>
      <c r="K249" s="87">
        <f ca="1">IFERROR(K248*(1+PREMISSAS!$C$19)+(E249+H249-IF(RESULTADOS!$C$17="Normal",I249,0)-J249)*IF(MONTH(B249)=12,2,1),0)</f>
        <v>0</v>
      </c>
      <c r="L249" s="87">
        <f ca="1">IFERROR((L248+G249-IF(RESULTADOS!$C$17="Normal",0,I249))*(1+PREMISSAS!$C$19)+F249,0)</f>
        <v>0</v>
      </c>
      <c r="N249" s="58">
        <f t="shared" ca="1" si="24"/>
        <v>0</v>
      </c>
      <c r="P249" s="131" t="str">
        <f t="shared" ca="1" si="25"/>
        <v/>
      </c>
      <c r="Q249" s="111" t="str">
        <f ca="1">IF(C249="","",Q248+(E249+H249-IF(RESULTADOS!$C$17="Normal",I249,0)-J249)/2+(F249+G249-IF(RESULTADOS!$C$17="Normal",0,I249)))</f>
        <v/>
      </c>
      <c r="R249" s="111" t="str">
        <f ca="1">IF(C249="","",R248+(E249+H249-IF(RESULTADOS!$C$17="Normal",I249,0)-J249)/2)</f>
        <v/>
      </c>
      <c r="S249" s="111">
        <f t="shared" ca="1" si="28"/>
        <v>0</v>
      </c>
      <c r="U249" s="131" t="str">
        <f t="shared" ca="1" si="29"/>
        <v/>
      </c>
      <c r="V249" s="131" t="str">
        <f t="shared" ca="1" si="26"/>
        <v/>
      </c>
      <c r="W249" s="111">
        <f ca="1">IF(OR((W248-13/12*Z248)*(1+PREMISSAS!$C$17)&lt;0,W248=""),0,(W248-13/12*Z248)*(1+PREMISSAS!$C$17))</f>
        <v>0</v>
      </c>
      <c r="X249" s="111">
        <f ca="1">IF(OR((X248-13/12*AA248)*(1+PREMISSAS!$C$17)&lt;0,X248=""),0,(X248-13/12*AA248)*(1+PREMISSAS!$C$17))</f>
        <v>0</v>
      </c>
      <c r="Y249" s="111">
        <f t="shared" ca="1" si="27"/>
        <v>0</v>
      </c>
      <c r="Z249" s="134">
        <f t="shared" ca="1" si="30"/>
        <v>0</v>
      </c>
      <c r="AA249" s="134">
        <f t="shared" ca="1" si="31"/>
        <v>0</v>
      </c>
    </row>
    <row r="250" spans="2:27" x14ac:dyDescent="0.3">
      <c r="B250" s="21" t="str">
        <f ca="1">IF(B249="","",IF(EOMONTH(B249,1)&gt;EOMONTH(ELEGIBILIDADE!$E$5,0),"",EOMONTH(B249,1)))</f>
        <v/>
      </c>
      <c r="C250" s="22" t="str">
        <f ca="1">IF(B250="","",IF(MONTH(B250)=1,C249*(1+PREMISSAS!$C$58),C249))</f>
        <v/>
      </c>
      <c r="D250" s="22">
        <f ca="1">IF(RESULTADOS!$C$17="Normal",IFERROR(MAX(C250-PREMISSAS!$C$14,0),0),IF(PREMISSAS!$H$117=0,0,MAX(10*PREMISSAS!$C$39,RESULTADOS!$F$17)))</f>
        <v>0</v>
      </c>
      <c r="E250" s="4">
        <f ca="1">D250*IF(RESULTADOS!$C$17="Normal",RESULTADOS!$C$16,0)</f>
        <v>0</v>
      </c>
      <c r="F250" s="4">
        <f ca="1">IF(D250&lt;&gt;0,PREMISSAS!$N$83,0)</f>
        <v>0</v>
      </c>
      <c r="G250" s="4">
        <f ca="1">IFERROR(IF(RESULTADOS!$C$17="Normal",0,D250)*IF(RESULTADOS!$C$17="Normal",RESULTADOS!$C$18,RESULTADOS!$C$16),0)</f>
        <v>0</v>
      </c>
      <c r="H250" s="4">
        <f ca="1">IF(RESULTADOS!$C$17="Normal",E250,0)</f>
        <v>0</v>
      </c>
      <c r="I250" s="4">
        <f ca="1">(E250+H250+G250)*IFERROR(VLOOKUP(INT(COUNT($B$5:B250)/12),PREMISSAS!$B$62:$C$69,2,FALSE),PREMISSAS!$C$69)</f>
        <v>0</v>
      </c>
      <c r="J250" s="4">
        <f ca="1">D250*IF(RESULTADOS!$C$17="Normal",PREMISSAS!$C$71,0)</f>
        <v>0</v>
      </c>
      <c r="K250" s="87">
        <f ca="1">IFERROR(K249*(1+PREMISSAS!$C$19)+(E250+H250-IF(RESULTADOS!$C$17="Normal",I250,0)-J250)*IF(MONTH(B250)=12,2,1),0)</f>
        <v>0</v>
      </c>
      <c r="L250" s="87">
        <f ca="1">IFERROR((L249+G250-IF(RESULTADOS!$C$17="Normal",0,I250))*(1+PREMISSAS!$C$19)+F250,0)</f>
        <v>0</v>
      </c>
      <c r="N250" s="58">
        <f t="shared" ca="1" si="24"/>
        <v>0</v>
      </c>
      <c r="P250" s="131" t="str">
        <f t="shared" ca="1" si="25"/>
        <v/>
      </c>
      <c r="Q250" s="111" t="str">
        <f ca="1">IF(C250="","",Q249+(E250+H250-IF(RESULTADOS!$C$17="Normal",I250,0)-J250)/2+(F250+G250-IF(RESULTADOS!$C$17="Normal",0,I250)))</f>
        <v/>
      </c>
      <c r="R250" s="111" t="str">
        <f ca="1">IF(C250="","",R249+(E250+H250-IF(RESULTADOS!$C$17="Normal",I250,0)-J250)/2)</f>
        <v/>
      </c>
      <c r="S250" s="111">
        <f t="shared" ca="1" si="28"/>
        <v>0</v>
      </c>
      <c r="U250" s="131" t="str">
        <f t="shared" ca="1" si="29"/>
        <v/>
      </c>
      <c r="V250" s="131" t="str">
        <f t="shared" ca="1" si="26"/>
        <v/>
      </c>
      <c r="W250" s="111">
        <f ca="1">IF(OR((W249-13/12*Z249)*(1+PREMISSAS!$C$17)&lt;0,W249=""),0,(W249-13/12*Z249)*(1+PREMISSAS!$C$17))</f>
        <v>0</v>
      </c>
      <c r="X250" s="111">
        <f ca="1">IF(OR((X249-13/12*AA249)*(1+PREMISSAS!$C$17)&lt;0,X249=""),0,(X249-13/12*AA249)*(1+PREMISSAS!$C$17))</f>
        <v>0</v>
      </c>
      <c r="Y250" s="111">
        <f t="shared" ca="1" si="27"/>
        <v>0</v>
      </c>
      <c r="Z250" s="134">
        <f t="shared" ca="1" si="30"/>
        <v>0</v>
      </c>
      <c r="AA250" s="134">
        <f t="shared" ca="1" si="31"/>
        <v>0</v>
      </c>
    </row>
    <row r="251" spans="2:27" x14ac:dyDescent="0.3">
      <c r="B251" s="21" t="str">
        <f ca="1">IF(B250="","",IF(EOMONTH(B250,1)&gt;EOMONTH(ELEGIBILIDADE!$E$5,0),"",EOMONTH(B250,1)))</f>
        <v/>
      </c>
      <c r="C251" s="22" t="str">
        <f ca="1">IF(B251="","",IF(MONTH(B251)=1,C250*(1+PREMISSAS!$C$58),C250))</f>
        <v/>
      </c>
      <c r="D251" s="22">
        <f ca="1">IF(RESULTADOS!$C$17="Normal",IFERROR(MAX(C251-PREMISSAS!$C$14,0),0),IF(PREMISSAS!$H$117=0,0,MAX(10*PREMISSAS!$C$39,RESULTADOS!$F$17)))</f>
        <v>0</v>
      </c>
      <c r="E251" s="4">
        <f ca="1">D251*IF(RESULTADOS!$C$17="Normal",RESULTADOS!$C$16,0)</f>
        <v>0</v>
      </c>
      <c r="F251" s="4">
        <f ca="1">IF(D251&lt;&gt;0,PREMISSAS!$N$83,0)</f>
        <v>0</v>
      </c>
      <c r="G251" s="4">
        <f ca="1">IFERROR(IF(RESULTADOS!$C$17="Normal",0,D251)*IF(RESULTADOS!$C$17="Normal",RESULTADOS!$C$18,RESULTADOS!$C$16),0)</f>
        <v>0</v>
      </c>
      <c r="H251" s="4">
        <f ca="1">IF(RESULTADOS!$C$17="Normal",E251,0)</f>
        <v>0</v>
      </c>
      <c r="I251" s="4">
        <f ca="1">(E251+H251+G251)*IFERROR(VLOOKUP(INT(COUNT($B$5:B251)/12),PREMISSAS!$B$62:$C$69,2,FALSE),PREMISSAS!$C$69)</f>
        <v>0</v>
      </c>
      <c r="J251" s="4">
        <f ca="1">D251*IF(RESULTADOS!$C$17="Normal",PREMISSAS!$C$71,0)</f>
        <v>0</v>
      </c>
      <c r="K251" s="87">
        <f ca="1">IFERROR(K250*(1+PREMISSAS!$C$19)+(E251+H251-IF(RESULTADOS!$C$17="Normal",I251,0)-J251)*IF(MONTH(B251)=12,2,1),0)</f>
        <v>0</v>
      </c>
      <c r="L251" s="87">
        <f ca="1">IFERROR((L250+G251-IF(RESULTADOS!$C$17="Normal",0,I251))*(1+PREMISSAS!$C$19)+F251,0)</f>
        <v>0</v>
      </c>
      <c r="N251" s="58">
        <f t="shared" ca="1" si="24"/>
        <v>0</v>
      </c>
      <c r="P251" s="131" t="str">
        <f t="shared" ca="1" si="25"/>
        <v/>
      </c>
      <c r="Q251" s="111" t="str">
        <f ca="1">IF(C251="","",Q250+(E251+H251-IF(RESULTADOS!$C$17="Normal",I251,0)-J251)/2+(F251+G251-IF(RESULTADOS!$C$17="Normal",0,I251)))</f>
        <v/>
      </c>
      <c r="R251" s="111" t="str">
        <f ca="1">IF(C251="","",R250+(E251+H251-IF(RESULTADOS!$C$17="Normal",I251,0)-J251)/2)</f>
        <v/>
      </c>
      <c r="S251" s="111">
        <f t="shared" ca="1" si="28"/>
        <v>0</v>
      </c>
      <c r="U251" s="131" t="str">
        <f t="shared" ca="1" si="29"/>
        <v/>
      </c>
      <c r="V251" s="131" t="str">
        <f t="shared" ca="1" si="26"/>
        <v/>
      </c>
      <c r="W251" s="111">
        <f ca="1">IF(OR((W250-13/12*Z250)*(1+PREMISSAS!$C$17)&lt;0,W250=""),0,(W250-13/12*Z250)*(1+PREMISSAS!$C$17))</f>
        <v>0</v>
      </c>
      <c r="X251" s="111">
        <f ca="1">IF(OR((X250-13/12*AA250)*(1+PREMISSAS!$C$17)&lt;0,X250=""),0,(X250-13/12*AA250)*(1+PREMISSAS!$C$17))</f>
        <v>0</v>
      </c>
      <c r="Y251" s="111">
        <f t="shared" ca="1" si="27"/>
        <v>0</v>
      </c>
      <c r="Z251" s="134">
        <f t="shared" ca="1" si="30"/>
        <v>0</v>
      </c>
      <c r="AA251" s="134">
        <f t="shared" ca="1" si="31"/>
        <v>0</v>
      </c>
    </row>
    <row r="252" spans="2:27" x14ac:dyDescent="0.3">
      <c r="B252" s="21" t="str">
        <f ca="1">IF(B251="","",IF(EOMONTH(B251,1)&gt;EOMONTH(ELEGIBILIDADE!$E$5,0),"",EOMONTH(B251,1)))</f>
        <v/>
      </c>
      <c r="C252" s="22" t="str">
        <f ca="1">IF(B252="","",IF(MONTH(B252)=1,C251*(1+PREMISSAS!$C$58),C251))</f>
        <v/>
      </c>
      <c r="D252" s="22">
        <f ca="1">IF(RESULTADOS!$C$17="Normal",IFERROR(MAX(C252-PREMISSAS!$C$14,0),0),IF(PREMISSAS!$H$117=0,0,MAX(10*PREMISSAS!$C$39,RESULTADOS!$F$17)))</f>
        <v>0</v>
      </c>
      <c r="E252" s="4">
        <f ca="1">D252*IF(RESULTADOS!$C$17="Normal",RESULTADOS!$C$16,0)</f>
        <v>0</v>
      </c>
      <c r="F252" s="4">
        <f ca="1">IF(D252&lt;&gt;0,PREMISSAS!$N$83,0)</f>
        <v>0</v>
      </c>
      <c r="G252" s="4">
        <f ca="1">IFERROR(IF(RESULTADOS!$C$17="Normal",0,D252)*IF(RESULTADOS!$C$17="Normal",RESULTADOS!$C$18,RESULTADOS!$C$16),0)</f>
        <v>0</v>
      </c>
      <c r="H252" s="4">
        <f ca="1">IF(RESULTADOS!$C$17="Normal",E252,0)</f>
        <v>0</v>
      </c>
      <c r="I252" s="4">
        <f ca="1">(E252+H252+G252)*IFERROR(VLOOKUP(INT(COUNT($B$5:B252)/12),PREMISSAS!$B$62:$C$69,2,FALSE),PREMISSAS!$C$69)</f>
        <v>0</v>
      </c>
      <c r="J252" s="4">
        <f ca="1">D252*IF(RESULTADOS!$C$17="Normal",PREMISSAS!$C$71,0)</f>
        <v>0</v>
      </c>
      <c r="K252" s="87">
        <f ca="1">IFERROR(K251*(1+PREMISSAS!$C$19)+(E252+H252-IF(RESULTADOS!$C$17="Normal",I252,0)-J252)*IF(MONTH(B252)=12,2,1),0)</f>
        <v>0</v>
      </c>
      <c r="L252" s="87">
        <f ca="1">IFERROR((L251+G252-IF(RESULTADOS!$C$17="Normal",0,I252))*(1+PREMISSAS!$C$19)+F252,0)</f>
        <v>0</v>
      </c>
      <c r="N252" s="58">
        <f t="shared" ca="1" si="24"/>
        <v>0</v>
      </c>
      <c r="P252" s="131" t="str">
        <f t="shared" ca="1" si="25"/>
        <v/>
      </c>
      <c r="Q252" s="111" t="str">
        <f ca="1">IF(C252="","",Q251+(E252+H252-IF(RESULTADOS!$C$17="Normal",I252,0)-J252)/2+(F252+G252-IF(RESULTADOS!$C$17="Normal",0,I252)))</f>
        <v/>
      </c>
      <c r="R252" s="111" t="str">
        <f ca="1">IF(C252="","",R251+(E252+H252-IF(RESULTADOS!$C$17="Normal",I252,0)-J252)/2)</f>
        <v/>
      </c>
      <c r="S252" s="111">
        <f t="shared" ca="1" si="28"/>
        <v>0</v>
      </c>
      <c r="U252" s="131" t="str">
        <f t="shared" ca="1" si="29"/>
        <v/>
      </c>
      <c r="V252" s="131" t="str">
        <f t="shared" ca="1" si="26"/>
        <v/>
      </c>
      <c r="W252" s="111">
        <f ca="1">IF(OR((W251-13/12*Z251)*(1+PREMISSAS!$C$17)&lt;0,W251=""),0,(W251-13/12*Z251)*(1+PREMISSAS!$C$17))</f>
        <v>0</v>
      </c>
      <c r="X252" s="111">
        <f ca="1">IF(OR((X251-13/12*AA251)*(1+PREMISSAS!$C$17)&lt;0,X251=""),0,(X251-13/12*AA251)*(1+PREMISSAS!$C$17))</f>
        <v>0</v>
      </c>
      <c r="Y252" s="111">
        <f t="shared" ca="1" si="27"/>
        <v>0</v>
      </c>
      <c r="Z252" s="134">
        <f t="shared" ca="1" si="30"/>
        <v>0</v>
      </c>
      <c r="AA252" s="134">
        <f t="shared" ca="1" si="31"/>
        <v>0</v>
      </c>
    </row>
    <row r="253" spans="2:27" x14ac:dyDescent="0.3">
      <c r="B253" s="21" t="str">
        <f ca="1">IF(B252="","",IF(EOMONTH(B252,1)&gt;EOMONTH(ELEGIBILIDADE!$E$5,0),"",EOMONTH(B252,1)))</f>
        <v/>
      </c>
      <c r="C253" s="22" t="str">
        <f ca="1">IF(B253="","",IF(MONTH(B253)=1,C252*(1+PREMISSAS!$C$58),C252))</f>
        <v/>
      </c>
      <c r="D253" s="22">
        <f ca="1">IF(RESULTADOS!$C$17="Normal",IFERROR(MAX(C253-PREMISSAS!$C$14,0),0),IF(PREMISSAS!$H$117=0,0,MAX(10*PREMISSAS!$C$39,RESULTADOS!$F$17)))</f>
        <v>0</v>
      </c>
      <c r="E253" s="4">
        <f ca="1">D253*IF(RESULTADOS!$C$17="Normal",RESULTADOS!$C$16,0)</f>
        <v>0</v>
      </c>
      <c r="F253" s="4">
        <f ca="1">IF(D253&lt;&gt;0,PREMISSAS!$N$83,0)</f>
        <v>0</v>
      </c>
      <c r="G253" s="4">
        <f ca="1">IFERROR(IF(RESULTADOS!$C$17="Normal",0,D253)*IF(RESULTADOS!$C$17="Normal",RESULTADOS!$C$18,RESULTADOS!$C$16),0)</f>
        <v>0</v>
      </c>
      <c r="H253" s="4">
        <f ca="1">IF(RESULTADOS!$C$17="Normal",E253,0)</f>
        <v>0</v>
      </c>
      <c r="I253" s="4">
        <f ca="1">(E253+H253+G253)*IFERROR(VLOOKUP(INT(COUNT($B$5:B253)/12),PREMISSAS!$B$62:$C$69,2,FALSE),PREMISSAS!$C$69)</f>
        <v>0</v>
      </c>
      <c r="J253" s="4">
        <f ca="1">D253*IF(RESULTADOS!$C$17="Normal",PREMISSAS!$C$71,0)</f>
        <v>0</v>
      </c>
      <c r="K253" s="87">
        <f ca="1">IFERROR(K252*(1+PREMISSAS!$C$19)+(E253+H253-IF(RESULTADOS!$C$17="Normal",I253,0)-J253)*IF(MONTH(B253)=12,2,1),0)</f>
        <v>0</v>
      </c>
      <c r="L253" s="87">
        <f ca="1">IFERROR((L252+G253-IF(RESULTADOS!$C$17="Normal",0,I253))*(1+PREMISSAS!$C$19)+F253,0)</f>
        <v>0</v>
      </c>
      <c r="N253" s="58">
        <f t="shared" ca="1" si="24"/>
        <v>0</v>
      </c>
      <c r="P253" s="131" t="str">
        <f t="shared" ca="1" si="25"/>
        <v/>
      </c>
      <c r="Q253" s="111" t="str">
        <f ca="1">IF(C253="","",Q252+(E253+H253-IF(RESULTADOS!$C$17="Normal",I253,0)-J253)/2+(F253+G253-IF(RESULTADOS!$C$17="Normal",0,I253)))</f>
        <v/>
      </c>
      <c r="R253" s="111" t="str">
        <f ca="1">IF(C253="","",R252+(E253+H253-IF(RESULTADOS!$C$17="Normal",I253,0)-J253)/2)</f>
        <v/>
      </c>
      <c r="S253" s="111">
        <f t="shared" ca="1" si="28"/>
        <v>0</v>
      </c>
      <c r="U253" s="131" t="str">
        <f t="shared" ca="1" si="29"/>
        <v/>
      </c>
      <c r="V253" s="131" t="str">
        <f t="shared" ca="1" si="26"/>
        <v/>
      </c>
      <c r="W253" s="111">
        <f ca="1">IF(OR((W252-13/12*Z252)*(1+PREMISSAS!$C$17)&lt;0,W252=""),0,(W252-13/12*Z252)*(1+PREMISSAS!$C$17))</f>
        <v>0</v>
      </c>
      <c r="X253" s="111">
        <f ca="1">IF(OR((X252-13/12*AA252)*(1+PREMISSAS!$C$17)&lt;0,X252=""),0,(X252-13/12*AA252)*(1+PREMISSAS!$C$17))</f>
        <v>0</v>
      </c>
      <c r="Y253" s="111">
        <f t="shared" ca="1" si="27"/>
        <v>0</v>
      </c>
      <c r="Z253" s="134">
        <f t="shared" ca="1" si="30"/>
        <v>0</v>
      </c>
      <c r="AA253" s="134">
        <f t="shared" ca="1" si="31"/>
        <v>0</v>
      </c>
    </row>
    <row r="254" spans="2:27" x14ac:dyDescent="0.3">
      <c r="B254" s="21" t="str">
        <f ca="1">IF(B253="","",IF(EOMONTH(B253,1)&gt;EOMONTH(ELEGIBILIDADE!$E$5,0),"",EOMONTH(B253,1)))</f>
        <v/>
      </c>
      <c r="C254" s="22" t="str">
        <f ca="1">IF(B254="","",IF(MONTH(B254)=1,C253*(1+PREMISSAS!$C$58),C253))</f>
        <v/>
      </c>
      <c r="D254" s="22">
        <f ca="1">IF(RESULTADOS!$C$17="Normal",IFERROR(MAX(C254-PREMISSAS!$C$14,0),0),IF(PREMISSAS!$H$117=0,0,MAX(10*PREMISSAS!$C$39,RESULTADOS!$F$17)))</f>
        <v>0</v>
      </c>
      <c r="E254" s="4">
        <f ca="1">D254*IF(RESULTADOS!$C$17="Normal",RESULTADOS!$C$16,0)</f>
        <v>0</v>
      </c>
      <c r="F254" s="4">
        <f ca="1">IF(D254&lt;&gt;0,PREMISSAS!$N$83,0)</f>
        <v>0</v>
      </c>
      <c r="G254" s="4">
        <f ca="1">IFERROR(IF(RESULTADOS!$C$17="Normal",0,D254)*IF(RESULTADOS!$C$17="Normal",RESULTADOS!$C$18,RESULTADOS!$C$16),0)</f>
        <v>0</v>
      </c>
      <c r="H254" s="4">
        <f ca="1">IF(RESULTADOS!$C$17="Normal",E254,0)</f>
        <v>0</v>
      </c>
      <c r="I254" s="4">
        <f ca="1">(E254+H254+G254)*IFERROR(VLOOKUP(INT(COUNT($B$5:B254)/12),PREMISSAS!$B$62:$C$69,2,FALSE),PREMISSAS!$C$69)</f>
        <v>0</v>
      </c>
      <c r="J254" s="4">
        <f ca="1">D254*IF(RESULTADOS!$C$17="Normal",PREMISSAS!$C$71,0)</f>
        <v>0</v>
      </c>
      <c r="K254" s="87">
        <f ca="1">IFERROR(K253*(1+PREMISSAS!$C$19)+(E254+H254-IF(RESULTADOS!$C$17="Normal",I254,0)-J254)*IF(MONTH(B254)=12,2,1),0)</f>
        <v>0</v>
      </c>
      <c r="L254" s="87">
        <f ca="1">IFERROR((L253+G254-IF(RESULTADOS!$C$17="Normal",0,I254))*(1+PREMISSAS!$C$19)+F254,0)</f>
        <v>0</v>
      </c>
      <c r="N254" s="58">
        <f t="shared" ca="1" si="24"/>
        <v>0</v>
      </c>
      <c r="P254" s="131" t="str">
        <f t="shared" ca="1" si="25"/>
        <v/>
      </c>
      <c r="Q254" s="111" t="str">
        <f ca="1">IF(C254="","",Q253+(E254+H254-IF(RESULTADOS!$C$17="Normal",I254,0)-J254)/2+(F254+G254-IF(RESULTADOS!$C$17="Normal",0,I254)))</f>
        <v/>
      </c>
      <c r="R254" s="111" t="str">
        <f ca="1">IF(C254="","",R253+(E254+H254-IF(RESULTADOS!$C$17="Normal",I254,0)-J254)/2)</f>
        <v/>
      </c>
      <c r="S254" s="111">
        <f t="shared" ca="1" si="28"/>
        <v>0</v>
      </c>
      <c r="U254" s="131" t="str">
        <f t="shared" ca="1" si="29"/>
        <v/>
      </c>
      <c r="V254" s="131" t="str">
        <f t="shared" ca="1" si="26"/>
        <v/>
      </c>
      <c r="W254" s="111">
        <f ca="1">IF(OR((W253-13/12*Z253)*(1+PREMISSAS!$C$17)&lt;0,W253=""),0,(W253-13/12*Z253)*(1+PREMISSAS!$C$17))</f>
        <v>0</v>
      </c>
      <c r="X254" s="111">
        <f ca="1">IF(OR((X253-13/12*AA253)*(1+PREMISSAS!$C$17)&lt;0,X253=""),0,(X253-13/12*AA253)*(1+PREMISSAS!$C$17))</f>
        <v>0</v>
      </c>
      <c r="Y254" s="111">
        <f t="shared" ca="1" si="27"/>
        <v>0</v>
      </c>
      <c r="Z254" s="134">
        <f t="shared" ca="1" si="30"/>
        <v>0</v>
      </c>
      <c r="AA254" s="134">
        <f t="shared" ca="1" si="31"/>
        <v>0</v>
      </c>
    </row>
    <row r="255" spans="2:27" x14ac:dyDescent="0.3">
      <c r="B255" s="21" t="str">
        <f ca="1">IF(B254="","",IF(EOMONTH(B254,1)&gt;EOMONTH(ELEGIBILIDADE!$E$5,0),"",EOMONTH(B254,1)))</f>
        <v/>
      </c>
      <c r="C255" s="22" t="str">
        <f ca="1">IF(B255="","",IF(MONTH(B255)=1,C254*(1+PREMISSAS!$C$58),C254))</f>
        <v/>
      </c>
      <c r="D255" s="22">
        <f ca="1">IF(RESULTADOS!$C$17="Normal",IFERROR(MAX(C255-PREMISSAS!$C$14,0),0),IF(PREMISSAS!$H$117=0,0,MAX(10*PREMISSAS!$C$39,RESULTADOS!$F$17)))</f>
        <v>0</v>
      </c>
      <c r="E255" s="4">
        <f ca="1">D255*IF(RESULTADOS!$C$17="Normal",RESULTADOS!$C$16,0)</f>
        <v>0</v>
      </c>
      <c r="F255" s="4">
        <f ca="1">IF(D255&lt;&gt;0,PREMISSAS!$N$83,0)</f>
        <v>0</v>
      </c>
      <c r="G255" s="4">
        <f ca="1">IFERROR(IF(RESULTADOS!$C$17="Normal",0,D255)*IF(RESULTADOS!$C$17="Normal",RESULTADOS!$C$18,RESULTADOS!$C$16),0)</f>
        <v>0</v>
      </c>
      <c r="H255" s="4">
        <f ca="1">IF(RESULTADOS!$C$17="Normal",E255,0)</f>
        <v>0</v>
      </c>
      <c r="I255" s="4">
        <f ca="1">(E255+H255+G255)*IFERROR(VLOOKUP(INT(COUNT($B$5:B255)/12),PREMISSAS!$B$62:$C$69,2,FALSE),PREMISSAS!$C$69)</f>
        <v>0</v>
      </c>
      <c r="J255" s="4">
        <f ca="1">D255*IF(RESULTADOS!$C$17="Normal",PREMISSAS!$C$71,0)</f>
        <v>0</v>
      </c>
      <c r="K255" s="87">
        <f ca="1">IFERROR(K254*(1+PREMISSAS!$C$19)+(E255+H255-IF(RESULTADOS!$C$17="Normal",I255,0)-J255)*IF(MONTH(B255)=12,2,1),0)</f>
        <v>0</v>
      </c>
      <c r="L255" s="87">
        <f ca="1">IFERROR((L254+G255-IF(RESULTADOS!$C$17="Normal",0,I255))*(1+PREMISSAS!$C$19)+F255,0)</f>
        <v>0</v>
      </c>
      <c r="N255" s="58">
        <f t="shared" ca="1" si="24"/>
        <v>0</v>
      </c>
      <c r="P255" s="131" t="str">
        <f t="shared" ca="1" si="25"/>
        <v/>
      </c>
      <c r="Q255" s="111" t="str">
        <f ca="1">IF(C255="","",Q254+(E255+H255-IF(RESULTADOS!$C$17="Normal",I255,0)-J255)/2+(F255+G255-IF(RESULTADOS!$C$17="Normal",0,I255)))</f>
        <v/>
      </c>
      <c r="R255" s="111" t="str">
        <f ca="1">IF(C255="","",R254+(E255+H255-IF(RESULTADOS!$C$17="Normal",I255,0)-J255)/2)</f>
        <v/>
      </c>
      <c r="S255" s="111">
        <f t="shared" ca="1" si="28"/>
        <v>0</v>
      </c>
      <c r="U255" s="131" t="str">
        <f t="shared" ca="1" si="29"/>
        <v/>
      </c>
      <c r="V255" s="131" t="str">
        <f t="shared" ca="1" si="26"/>
        <v/>
      </c>
      <c r="W255" s="111">
        <f ca="1">IF(OR((W254-13/12*Z254)*(1+PREMISSAS!$C$17)&lt;0,W254=""),0,(W254-13/12*Z254)*(1+PREMISSAS!$C$17))</f>
        <v>0</v>
      </c>
      <c r="X255" s="111">
        <f ca="1">IF(OR((X254-13/12*AA254)*(1+PREMISSAS!$C$17)&lt;0,X254=""),0,(X254-13/12*AA254)*(1+PREMISSAS!$C$17))</f>
        <v>0</v>
      </c>
      <c r="Y255" s="111">
        <f t="shared" ca="1" si="27"/>
        <v>0</v>
      </c>
      <c r="Z255" s="134">
        <f t="shared" ca="1" si="30"/>
        <v>0</v>
      </c>
      <c r="AA255" s="134">
        <f t="shared" ca="1" si="31"/>
        <v>0</v>
      </c>
    </row>
    <row r="256" spans="2:27" x14ac:dyDescent="0.3">
      <c r="B256" s="21" t="str">
        <f ca="1">IF(B255="","",IF(EOMONTH(B255,1)&gt;EOMONTH(ELEGIBILIDADE!$E$5,0),"",EOMONTH(B255,1)))</f>
        <v/>
      </c>
      <c r="C256" s="22" t="str">
        <f ca="1">IF(B256="","",IF(MONTH(B256)=1,C255*(1+PREMISSAS!$C$58),C255))</f>
        <v/>
      </c>
      <c r="D256" s="22">
        <f ca="1">IF(RESULTADOS!$C$17="Normal",IFERROR(MAX(C256-PREMISSAS!$C$14,0),0),IF(PREMISSAS!$H$117=0,0,MAX(10*PREMISSAS!$C$39,RESULTADOS!$F$17)))</f>
        <v>0</v>
      </c>
      <c r="E256" s="4">
        <f ca="1">D256*IF(RESULTADOS!$C$17="Normal",RESULTADOS!$C$16,0)</f>
        <v>0</v>
      </c>
      <c r="F256" s="4">
        <f ca="1">IF(D256&lt;&gt;0,PREMISSAS!$N$83,0)</f>
        <v>0</v>
      </c>
      <c r="G256" s="4">
        <f ca="1">IFERROR(IF(RESULTADOS!$C$17="Normal",0,D256)*IF(RESULTADOS!$C$17="Normal",RESULTADOS!$C$18,RESULTADOS!$C$16),0)</f>
        <v>0</v>
      </c>
      <c r="H256" s="4">
        <f ca="1">IF(RESULTADOS!$C$17="Normal",E256,0)</f>
        <v>0</v>
      </c>
      <c r="I256" s="4">
        <f ca="1">(E256+H256+G256)*IFERROR(VLOOKUP(INT(COUNT($B$5:B256)/12),PREMISSAS!$B$62:$C$69,2,FALSE),PREMISSAS!$C$69)</f>
        <v>0</v>
      </c>
      <c r="J256" s="4">
        <f ca="1">D256*IF(RESULTADOS!$C$17="Normal",PREMISSAS!$C$71,0)</f>
        <v>0</v>
      </c>
      <c r="K256" s="87">
        <f ca="1">IFERROR(K255*(1+PREMISSAS!$C$19)+(E256+H256-IF(RESULTADOS!$C$17="Normal",I256,0)-J256)*IF(MONTH(B256)=12,2,1),0)</f>
        <v>0</v>
      </c>
      <c r="L256" s="87">
        <f ca="1">IFERROR((L255+G256-IF(RESULTADOS!$C$17="Normal",0,I256))*(1+PREMISSAS!$C$19)+F256,0)</f>
        <v>0</v>
      </c>
      <c r="N256" s="58">
        <f t="shared" ca="1" si="24"/>
        <v>0</v>
      </c>
      <c r="P256" s="131" t="str">
        <f t="shared" ca="1" si="25"/>
        <v/>
      </c>
      <c r="Q256" s="111" t="str">
        <f ca="1">IF(C256="","",Q255+(E256+H256-IF(RESULTADOS!$C$17="Normal",I256,0)-J256)/2+(F256+G256-IF(RESULTADOS!$C$17="Normal",0,I256)))</f>
        <v/>
      </c>
      <c r="R256" s="111" t="str">
        <f ca="1">IF(C256="","",R255+(E256+H256-IF(RESULTADOS!$C$17="Normal",I256,0)-J256)/2)</f>
        <v/>
      </c>
      <c r="S256" s="111">
        <f t="shared" ca="1" si="28"/>
        <v>0</v>
      </c>
      <c r="U256" s="131" t="str">
        <f t="shared" ca="1" si="29"/>
        <v/>
      </c>
      <c r="V256" s="131" t="str">
        <f t="shared" ca="1" si="26"/>
        <v/>
      </c>
      <c r="W256" s="111">
        <f ca="1">IF(OR((W255-13/12*Z255)*(1+PREMISSAS!$C$17)&lt;0,W255=""),0,(W255-13/12*Z255)*(1+PREMISSAS!$C$17))</f>
        <v>0</v>
      </c>
      <c r="X256" s="111">
        <f ca="1">IF(OR((X255-13/12*AA255)*(1+PREMISSAS!$C$17)&lt;0,X255=""),0,(X255-13/12*AA255)*(1+PREMISSAS!$C$17))</f>
        <v>0</v>
      </c>
      <c r="Y256" s="111">
        <f t="shared" ca="1" si="27"/>
        <v>0</v>
      </c>
      <c r="Z256" s="134">
        <f t="shared" ca="1" si="30"/>
        <v>0</v>
      </c>
      <c r="AA256" s="134">
        <f t="shared" ca="1" si="31"/>
        <v>0</v>
      </c>
    </row>
    <row r="257" spans="2:27" x14ac:dyDescent="0.3">
      <c r="B257" s="21" t="str">
        <f ca="1">IF(B256="","",IF(EOMONTH(B256,1)&gt;EOMONTH(ELEGIBILIDADE!$E$5,0),"",EOMONTH(B256,1)))</f>
        <v/>
      </c>
      <c r="C257" s="22" t="str">
        <f ca="1">IF(B257="","",IF(MONTH(B257)=1,C256*(1+PREMISSAS!$C$58),C256))</f>
        <v/>
      </c>
      <c r="D257" s="22">
        <f ca="1">IF(RESULTADOS!$C$17="Normal",IFERROR(MAX(C257-PREMISSAS!$C$14,0),0),IF(PREMISSAS!$H$117=0,0,MAX(10*PREMISSAS!$C$39,RESULTADOS!$F$17)))</f>
        <v>0</v>
      </c>
      <c r="E257" s="4">
        <f ca="1">D257*IF(RESULTADOS!$C$17="Normal",RESULTADOS!$C$16,0)</f>
        <v>0</v>
      </c>
      <c r="F257" s="4">
        <f ca="1">IF(D257&lt;&gt;0,PREMISSAS!$N$83,0)</f>
        <v>0</v>
      </c>
      <c r="G257" s="4">
        <f ca="1">IFERROR(IF(RESULTADOS!$C$17="Normal",0,D257)*IF(RESULTADOS!$C$17="Normal",RESULTADOS!$C$18,RESULTADOS!$C$16),0)</f>
        <v>0</v>
      </c>
      <c r="H257" s="4">
        <f ca="1">IF(RESULTADOS!$C$17="Normal",E257,0)</f>
        <v>0</v>
      </c>
      <c r="I257" s="4">
        <f ca="1">(E257+H257+G257)*IFERROR(VLOOKUP(INT(COUNT($B$5:B257)/12),PREMISSAS!$B$62:$C$69,2,FALSE),PREMISSAS!$C$69)</f>
        <v>0</v>
      </c>
      <c r="J257" s="4">
        <f ca="1">D257*IF(RESULTADOS!$C$17="Normal",PREMISSAS!$C$71,0)</f>
        <v>0</v>
      </c>
      <c r="K257" s="87">
        <f ca="1">IFERROR(K256*(1+PREMISSAS!$C$19)+(E257+H257-IF(RESULTADOS!$C$17="Normal",I257,0)-J257)*IF(MONTH(B257)=12,2,1),0)</f>
        <v>0</v>
      </c>
      <c r="L257" s="87">
        <f ca="1">IFERROR((L256+G257-IF(RESULTADOS!$C$17="Normal",0,I257))*(1+PREMISSAS!$C$19)+F257,0)</f>
        <v>0</v>
      </c>
      <c r="N257" s="58">
        <f t="shared" ca="1" si="24"/>
        <v>0</v>
      </c>
      <c r="P257" s="131" t="str">
        <f t="shared" ca="1" si="25"/>
        <v/>
      </c>
      <c r="Q257" s="111" t="str">
        <f ca="1">IF(C257="","",Q256+(E257+H257-IF(RESULTADOS!$C$17="Normal",I257,0)-J257)/2+(F257+G257-IF(RESULTADOS!$C$17="Normal",0,I257)))</f>
        <v/>
      </c>
      <c r="R257" s="111" t="str">
        <f ca="1">IF(C257="","",R256+(E257+H257-IF(RESULTADOS!$C$17="Normal",I257,0)-J257)/2)</f>
        <v/>
      </c>
      <c r="S257" s="111">
        <f t="shared" ca="1" si="28"/>
        <v>0</v>
      </c>
      <c r="U257" s="131" t="str">
        <f t="shared" ca="1" si="29"/>
        <v/>
      </c>
      <c r="V257" s="131" t="str">
        <f t="shared" ca="1" si="26"/>
        <v/>
      </c>
      <c r="W257" s="111">
        <f ca="1">IF(OR((W256-13/12*Z256)*(1+PREMISSAS!$C$17)&lt;0,W256=""),0,(W256-13/12*Z256)*(1+PREMISSAS!$C$17))</f>
        <v>0</v>
      </c>
      <c r="X257" s="111">
        <f ca="1">IF(OR((X256-13/12*AA256)*(1+PREMISSAS!$C$17)&lt;0,X256=""),0,(X256-13/12*AA256)*(1+PREMISSAS!$C$17))</f>
        <v>0</v>
      </c>
      <c r="Y257" s="111">
        <f t="shared" ca="1" si="27"/>
        <v>0</v>
      </c>
      <c r="Z257" s="134">
        <f t="shared" ca="1" si="30"/>
        <v>0</v>
      </c>
      <c r="AA257" s="134">
        <f t="shared" ca="1" si="31"/>
        <v>0</v>
      </c>
    </row>
    <row r="258" spans="2:27" x14ac:dyDescent="0.3">
      <c r="B258" s="21" t="str">
        <f ca="1">IF(B257="","",IF(EOMONTH(B257,1)&gt;EOMONTH(ELEGIBILIDADE!$E$5,0),"",EOMONTH(B257,1)))</f>
        <v/>
      </c>
      <c r="C258" s="22" t="str">
        <f ca="1">IF(B258="","",IF(MONTH(B258)=1,C257*(1+PREMISSAS!$C$58),C257))</f>
        <v/>
      </c>
      <c r="D258" s="22">
        <f ca="1">IF(RESULTADOS!$C$17="Normal",IFERROR(MAX(C258-PREMISSAS!$C$14,0),0),IF(PREMISSAS!$H$117=0,0,MAX(10*PREMISSAS!$C$39,RESULTADOS!$F$17)))</f>
        <v>0</v>
      </c>
      <c r="E258" s="4">
        <f ca="1">D258*IF(RESULTADOS!$C$17="Normal",RESULTADOS!$C$16,0)</f>
        <v>0</v>
      </c>
      <c r="F258" s="4">
        <f ca="1">IF(D258&lt;&gt;0,PREMISSAS!$N$83,0)</f>
        <v>0</v>
      </c>
      <c r="G258" s="4">
        <f ca="1">IFERROR(IF(RESULTADOS!$C$17="Normal",0,D258)*IF(RESULTADOS!$C$17="Normal",RESULTADOS!$C$18,RESULTADOS!$C$16),0)</f>
        <v>0</v>
      </c>
      <c r="H258" s="4">
        <f ca="1">IF(RESULTADOS!$C$17="Normal",E258,0)</f>
        <v>0</v>
      </c>
      <c r="I258" s="4">
        <f ca="1">(E258+H258+G258)*IFERROR(VLOOKUP(INT(COUNT($B$5:B258)/12),PREMISSAS!$B$62:$C$69,2,FALSE),PREMISSAS!$C$69)</f>
        <v>0</v>
      </c>
      <c r="J258" s="4">
        <f ca="1">D258*IF(RESULTADOS!$C$17="Normal",PREMISSAS!$C$71,0)</f>
        <v>0</v>
      </c>
      <c r="K258" s="87">
        <f ca="1">IFERROR(K257*(1+PREMISSAS!$C$19)+(E258+H258-IF(RESULTADOS!$C$17="Normal",I258,0)-J258)*IF(MONTH(B258)=12,2,1),0)</f>
        <v>0</v>
      </c>
      <c r="L258" s="87">
        <f ca="1">IFERROR((L257+G258-IF(RESULTADOS!$C$17="Normal",0,I258))*(1+PREMISSAS!$C$19)+F258,0)</f>
        <v>0</v>
      </c>
      <c r="N258" s="58">
        <f t="shared" ca="1" si="24"/>
        <v>0</v>
      </c>
      <c r="P258" s="131" t="str">
        <f t="shared" ca="1" si="25"/>
        <v/>
      </c>
      <c r="Q258" s="111" t="str">
        <f ca="1">IF(C258="","",Q257+(E258+H258-IF(RESULTADOS!$C$17="Normal",I258,0)-J258)/2+(F258+G258-IF(RESULTADOS!$C$17="Normal",0,I258)))</f>
        <v/>
      </c>
      <c r="R258" s="111" t="str">
        <f ca="1">IF(C258="","",R257+(E258+H258-IF(RESULTADOS!$C$17="Normal",I258,0)-J258)/2)</f>
        <v/>
      </c>
      <c r="S258" s="111">
        <f t="shared" ca="1" si="28"/>
        <v>0</v>
      </c>
      <c r="U258" s="131" t="str">
        <f t="shared" ca="1" si="29"/>
        <v/>
      </c>
      <c r="V258" s="131" t="str">
        <f t="shared" ca="1" si="26"/>
        <v/>
      </c>
      <c r="W258" s="111">
        <f ca="1">IF(OR((W257-13/12*Z257)*(1+PREMISSAS!$C$17)&lt;0,W257=""),0,(W257-13/12*Z257)*(1+PREMISSAS!$C$17))</f>
        <v>0</v>
      </c>
      <c r="X258" s="111">
        <f ca="1">IF(OR((X257-13/12*AA257)*(1+PREMISSAS!$C$17)&lt;0,X257=""),0,(X257-13/12*AA257)*(1+PREMISSAS!$C$17))</f>
        <v>0</v>
      </c>
      <c r="Y258" s="111">
        <f t="shared" ca="1" si="27"/>
        <v>0</v>
      </c>
      <c r="Z258" s="134">
        <f t="shared" ca="1" si="30"/>
        <v>0</v>
      </c>
      <c r="AA258" s="134">
        <f t="shared" ca="1" si="31"/>
        <v>0</v>
      </c>
    </row>
    <row r="259" spans="2:27" x14ac:dyDescent="0.3">
      <c r="B259" s="21" t="str">
        <f ca="1">IF(B258="","",IF(EOMONTH(B258,1)&gt;EOMONTH(ELEGIBILIDADE!$E$5,0),"",EOMONTH(B258,1)))</f>
        <v/>
      </c>
      <c r="C259" s="22" t="str">
        <f ca="1">IF(B259="","",IF(MONTH(B259)=1,C258*(1+PREMISSAS!$C$58),C258))</f>
        <v/>
      </c>
      <c r="D259" s="22">
        <f ca="1">IF(RESULTADOS!$C$17="Normal",IFERROR(MAX(C259-PREMISSAS!$C$14,0),0),IF(PREMISSAS!$H$117=0,0,MAX(10*PREMISSAS!$C$39,RESULTADOS!$F$17)))</f>
        <v>0</v>
      </c>
      <c r="E259" s="4">
        <f ca="1">D259*IF(RESULTADOS!$C$17="Normal",RESULTADOS!$C$16,0)</f>
        <v>0</v>
      </c>
      <c r="F259" s="4">
        <f ca="1">IF(D259&lt;&gt;0,PREMISSAS!$N$83,0)</f>
        <v>0</v>
      </c>
      <c r="G259" s="4">
        <f ca="1">IFERROR(IF(RESULTADOS!$C$17="Normal",0,D259)*IF(RESULTADOS!$C$17="Normal",RESULTADOS!$C$18,RESULTADOS!$C$16),0)</f>
        <v>0</v>
      </c>
      <c r="H259" s="4">
        <f ca="1">IF(RESULTADOS!$C$17="Normal",E259,0)</f>
        <v>0</v>
      </c>
      <c r="I259" s="4">
        <f ca="1">(E259+H259+G259)*IFERROR(VLOOKUP(INT(COUNT($B$5:B259)/12),PREMISSAS!$B$62:$C$69,2,FALSE),PREMISSAS!$C$69)</f>
        <v>0</v>
      </c>
      <c r="J259" s="4">
        <f ca="1">D259*IF(RESULTADOS!$C$17="Normal",PREMISSAS!$C$71,0)</f>
        <v>0</v>
      </c>
      <c r="K259" s="87">
        <f ca="1">IFERROR(K258*(1+PREMISSAS!$C$19)+(E259+H259-IF(RESULTADOS!$C$17="Normal",I259,0)-J259)*IF(MONTH(B259)=12,2,1),0)</f>
        <v>0</v>
      </c>
      <c r="L259" s="87">
        <f ca="1">IFERROR((L258+G259-IF(RESULTADOS!$C$17="Normal",0,I259))*(1+PREMISSAS!$C$19)+F259,0)</f>
        <v>0</v>
      </c>
      <c r="N259" s="58">
        <f t="shared" ca="1" si="24"/>
        <v>0</v>
      </c>
      <c r="P259" s="131" t="str">
        <f t="shared" ca="1" si="25"/>
        <v/>
      </c>
      <c r="Q259" s="111" t="str">
        <f ca="1">IF(C259="","",Q258+(E259+H259-IF(RESULTADOS!$C$17="Normal",I259,0)-J259)/2+(F259+G259-IF(RESULTADOS!$C$17="Normal",0,I259)))</f>
        <v/>
      </c>
      <c r="R259" s="111" t="str">
        <f ca="1">IF(C259="","",R258+(E259+H259-IF(RESULTADOS!$C$17="Normal",I259,0)-J259)/2)</f>
        <v/>
      </c>
      <c r="S259" s="111">
        <f t="shared" ca="1" si="28"/>
        <v>0</v>
      </c>
      <c r="U259" s="131" t="str">
        <f t="shared" ca="1" si="29"/>
        <v/>
      </c>
      <c r="V259" s="131" t="str">
        <f t="shared" ca="1" si="26"/>
        <v/>
      </c>
      <c r="W259" s="111">
        <f ca="1">IF(OR((W258-13/12*Z258)*(1+PREMISSAS!$C$17)&lt;0,W258=""),0,(W258-13/12*Z258)*(1+PREMISSAS!$C$17))</f>
        <v>0</v>
      </c>
      <c r="X259" s="111">
        <f ca="1">IF(OR((X258-13/12*AA258)*(1+PREMISSAS!$C$17)&lt;0,X258=""),0,(X258-13/12*AA258)*(1+PREMISSAS!$C$17))</f>
        <v>0</v>
      </c>
      <c r="Y259" s="111">
        <f t="shared" ca="1" si="27"/>
        <v>0</v>
      </c>
      <c r="Z259" s="134">
        <f t="shared" ca="1" si="30"/>
        <v>0</v>
      </c>
      <c r="AA259" s="134">
        <f t="shared" ca="1" si="31"/>
        <v>0</v>
      </c>
    </row>
    <row r="260" spans="2:27" x14ac:dyDescent="0.3">
      <c r="B260" s="21" t="str">
        <f ca="1">IF(B259="","",IF(EOMONTH(B259,1)&gt;EOMONTH(ELEGIBILIDADE!$E$5,0),"",EOMONTH(B259,1)))</f>
        <v/>
      </c>
      <c r="C260" s="22" t="str">
        <f ca="1">IF(B260="","",IF(MONTH(B260)=1,C259*(1+PREMISSAS!$C$58),C259))</f>
        <v/>
      </c>
      <c r="D260" s="22">
        <f ca="1">IF(RESULTADOS!$C$17="Normal",IFERROR(MAX(C260-PREMISSAS!$C$14,0),0),IF(PREMISSAS!$H$117=0,0,MAX(10*PREMISSAS!$C$39,RESULTADOS!$F$17)))</f>
        <v>0</v>
      </c>
      <c r="E260" s="4">
        <f ca="1">D260*IF(RESULTADOS!$C$17="Normal",RESULTADOS!$C$16,0)</f>
        <v>0</v>
      </c>
      <c r="F260" s="4">
        <f ca="1">IF(D260&lt;&gt;0,PREMISSAS!$N$83,0)</f>
        <v>0</v>
      </c>
      <c r="G260" s="4">
        <f ca="1">IFERROR(IF(RESULTADOS!$C$17="Normal",0,D260)*IF(RESULTADOS!$C$17="Normal",RESULTADOS!$C$18,RESULTADOS!$C$16),0)</f>
        <v>0</v>
      </c>
      <c r="H260" s="4">
        <f ca="1">IF(RESULTADOS!$C$17="Normal",E260,0)</f>
        <v>0</v>
      </c>
      <c r="I260" s="4">
        <f ca="1">(E260+H260+G260)*IFERROR(VLOOKUP(INT(COUNT($B$5:B260)/12),PREMISSAS!$B$62:$C$69,2,FALSE),PREMISSAS!$C$69)</f>
        <v>0</v>
      </c>
      <c r="J260" s="4">
        <f ca="1">D260*IF(RESULTADOS!$C$17="Normal",PREMISSAS!$C$71,0)</f>
        <v>0</v>
      </c>
      <c r="K260" s="87">
        <f ca="1">IFERROR(K259*(1+PREMISSAS!$C$19)+(E260+H260-IF(RESULTADOS!$C$17="Normal",I260,0)-J260)*IF(MONTH(B260)=12,2,1),0)</f>
        <v>0</v>
      </c>
      <c r="L260" s="87">
        <f ca="1">IFERROR((L259+G260-IF(RESULTADOS!$C$17="Normal",0,I260))*(1+PREMISSAS!$C$19)+F260,0)</f>
        <v>0</v>
      </c>
      <c r="N260" s="58">
        <f t="shared" ca="1" si="24"/>
        <v>0</v>
      </c>
      <c r="P260" s="131" t="str">
        <f t="shared" ca="1" si="25"/>
        <v/>
      </c>
      <c r="Q260" s="111" t="str">
        <f ca="1">IF(C260="","",Q259+(E260+H260-IF(RESULTADOS!$C$17="Normal",I260,0)-J260)/2+(F260+G260-IF(RESULTADOS!$C$17="Normal",0,I260)))</f>
        <v/>
      </c>
      <c r="R260" s="111" t="str">
        <f ca="1">IF(C260="","",R259+(E260+H260-IF(RESULTADOS!$C$17="Normal",I260,0)-J260)/2)</f>
        <v/>
      </c>
      <c r="S260" s="111">
        <f t="shared" ca="1" si="28"/>
        <v>0</v>
      </c>
      <c r="U260" s="131" t="str">
        <f t="shared" ca="1" si="29"/>
        <v/>
      </c>
      <c r="V260" s="131" t="str">
        <f t="shared" ca="1" si="26"/>
        <v/>
      </c>
      <c r="W260" s="111">
        <f ca="1">IF(OR((W259-13/12*Z259)*(1+PREMISSAS!$C$17)&lt;0,W259=""),0,(W259-13/12*Z259)*(1+PREMISSAS!$C$17))</f>
        <v>0</v>
      </c>
      <c r="X260" s="111">
        <f ca="1">IF(OR((X259-13/12*AA259)*(1+PREMISSAS!$C$17)&lt;0,X259=""),0,(X259-13/12*AA259)*(1+PREMISSAS!$C$17))</f>
        <v>0</v>
      </c>
      <c r="Y260" s="111">
        <f t="shared" ca="1" si="27"/>
        <v>0</v>
      </c>
      <c r="Z260" s="134">
        <f t="shared" ca="1" si="30"/>
        <v>0</v>
      </c>
      <c r="AA260" s="134">
        <f t="shared" ca="1" si="31"/>
        <v>0</v>
      </c>
    </row>
    <row r="261" spans="2:27" x14ac:dyDescent="0.3">
      <c r="B261" s="21" t="str">
        <f ca="1">IF(B260="","",IF(EOMONTH(B260,1)&gt;EOMONTH(ELEGIBILIDADE!$E$5,0),"",EOMONTH(B260,1)))</f>
        <v/>
      </c>
      <c r="C261" s="22" t="str">
        <f ca="1">IF(B261="","",IF(MONTH(B261)=1,C260*(1+PREMISSAS!$C$58),C260))</f>
        <v/>
      </c>
      <c r="D261" s="22">
        <f ca="1">IF(RESULTADOS!$C$17="Normal",IFERROR(MAX(C261-PREMISSAS!$C$14,0),0),IF(PREMISSAS!$H$117=0,0,MAX(10*PREMISSAS!$C$39,RESULTADOS!$F$17)))</f>
        <v>0</v>
      </c>
      <c r="E261" s="4">
        <f ca="1">D261*IF(RESULTADOS!$C$17="Normal",RESULTADOS!$C$16,0)</f>
        <v>0</v>
      </c>
      <c r="F261" s="4">
        <f ca="1">IF(D261&lt;&gt;0,PREMISSAS!$N$83,0)</f>
        <v>0</v>
      </c>
      <c r="G261" s="4">
        <f ca="1">IFERROR(IF(RESULTADOS!$C$17="Normal",0,D261)*IF(RESULTADOS!$C$17="Normal",RESULTADOS!$C$18,RESULTADOS!$C$16),0)</f>
        <v>0</v>
      </c>
      <c r="H261" s="4">
        <f ca="1">IF(RESULTADOS!$C$17="Normal",E261,0)</f>
        <v>0</v>
      </c>
      <c r="I261" s="4">
        <f ca="1">(E261+H261+G261)*IFERROR(VLOOKUP(INT(COUNT($B$5:B261)/12),PREMISSAS!$B$62:$C$69,2,FALSE),PREMISSAS!$C$69)</f>
        <v>0</v>
      </c>
      <c r="J261" s="4">
        <f ca="1">D261*IF(RESULTADOS!$C$17="Normal",PREMISSAS!$C$71,0)</f>
        <v>0</v>
      </c>
      <c r="K261" s="87">
        <f ca="1">IFERROR(K260*(1+PREMISSAS!$C$19)+(E261+H261-IF(RESULTADOS!$C$17="Normal",I261,0)-J261)*IF(MONTH(B261)=12,2,1),0)</f>
        <v>0</v>
      </c>
      <c r="L261" s="87">
        <f ca="1">IFERROR((L260+G261-IF(RESULTADOS!$C$17="Normal",0,I261))*(1+PREMISSAS!$C$19)+F261,0)</f>
        <v>0</v>
      </c>
      <c r="N261" s="58">
        <f t="shared" ca="1" si="24"/>
        <v>0</v>
      </c>
      <c r="P261" s="131" t="str">
        <f t="shared" ca="1" si="25"/>
        <v/>
      </c>
      <c r="Q261" s="111" t="str">
        <f ca="1">IF(C261="","",Q260+(E261+H261-IF(RESULTADOS!$C$17="Normal",I261,0)-J261)/2+(F261+G261-IF(RESULTADOS!$C$17="Normal",0,I261)))</f>
        <v/>
      </c>
      <c r="R261" s="111" t="str">
        <f ca="1">IF(C261="","",R260+(E261+H261-IF(RESULTADOS!$C$17="Normal",I261,0)-J261)/2)</f>
        <v/>
      </c>
      <c r="S261" s="111">
        <f t="shared" ca="1" si="28"/>
        <v>0</v>
      </c>
      <c r="U261" s="131" t="str">
        <f t="shared" ca="1" si="29"/>
        <v/>
      </c>
      <c r="V261" s="131" t="str">
        <f t="shared" ca="1" si="26"/>
        <v/>
      </c>
      <c r="W261" s="111">
        <f ca="1">IF(OR((W260-13/12*Z260)*(1+PREMISSAS!$C$17)&lt;0,W260=""),0,(W260-13/12*Z260)*(1+PREMISSAS!$C$17))</f>
        <v>0</v>
      </c>
      <c r="X261" s="111">
        <f ca="1">IF(OR((X260-13/12*AA260)*(1+PREMISSAS!$C$17)&lt;0,X260=""),0,(X260-13/12*AA260)*(1+PREMISSAS!$C$17))</f>
        <v>0</v>
      </c>
      <c r="Y261" s="111">
        <f t="shared" ca="1" si="27"/>
        <v>0</v>
      </c>
      <c r="Z261" s="134">
        <f t="shared" ca="1" si="30"/>
        <v>0</v>
      </c>
      <c r="AA261" s="134">
        <f t="shared" ca="1" si="31"/>
        <v>0</v>
      </c>
    </row>
    <row r="262" spans="2:27" x14ac:dyDescent="0.3">
      <c r="B262" s="21" t="str">
        <f ca="1">IF(B261="","",IF(EOMONTH(B261,1)&gt;EOMONTH(ELEGIBILIDADE!$E$5,0),"",EOMONTH(B261,1)))</f>
        <v/>
      </c>
      <c r="C262" s="22" t="str">
        <f ca="1">IF(B262="","",IF(MONTH(B262)=1,C261*(1+PREMISSAS!$C$58),C261))</f>
        <v/>
      </c>
      <c r="D262" s="22">
        <f ca="1">IF(RESULTADOS!$C$17="Normal",IFERROR(MAX(C262-PREMISSAS!$C$14,0),0),IF(PREMISSAS!$H$117=0,0,MAX(10*PREMISSAS!$C$39,RESULTADOS!$F$17)))</f>
        <v>0</v>
      </c>
      <c r="E262" s="4">
        <f ca="1">D262*IF(RESULTADOS!$C$17="Normal",RESULTADOS!$C$16,0)</f>
        <v>0</v>
      </c>
      <c r="F262" s="4">
        <f ca="1">IF(D262&lt;&gt;0,PREMISSAS!$N$83,0)</f>
        <v>0</v>
      </c>
      <c r="G262" s="4">
        <f ca="1">IFERROR(IF(RESULTADOS!$C$17="Normal",0,D262)*IF(RESULTADOS!$C$17="Normal",RESULTADOS!$C$18,RESULTADOS!$C$16),0)</f>
        <v>0</v>
      </c>
      <c r="H262" s="4">
        <f ca="1">IF(RESULTADOS!$C$17="Normal",E262,0)</f>
        <v>0</v>
      </c>
      <c r="I262" s="4">
        <f ca="1">(E262+H262+G262)*IFERROR(VLOOKUP(INT(COUNT($B$5:B262)/12),PREMISSAS!$B$62:$C$69,2,FALSE),PREMISSAS!$C$69)</f>
        <v>0</v>
      </c>
      <c r="J262" s="4">
        <f ca="1">D262*IF(RESULTADOS!$C$17="Normal",PREMISSAS!$C$71,0)</f>
        <v>0</v>
      </c>
      <c r="K262" s="87">
        <f ca="1">IFERROR(K261*(1+PREMISSAS!$C$19)+(E262+H262-IF(RESULTADOS!$C$17="Normal",I262,0)-J262)*IF(MONTH(B262)=12,2,1),0)</f>
        <v>0</v>
      </c>
      <c r="L262" s="87">
        <f ca="1">IFERROR((L261+G262-IF(RESULTADOS!$C$17="Normal",0,I262))*(1+PREMISSAS!$C$19)+F262,0)</f>
        <v>0</v>
      </c>
      <c r="N262" s="58">
        <f t="shared" ref="N262:N325" ca="1" si="32">IFERROR((E262+F262+G262)/C262,0)</f>
        <v>0</v>
      </c>
      <c r="P262" s="131" t="str">
        <f t="shared" ref="P262:P325" ca="1" si="33">IF(C262="","",B262)</f>
        <v/>
      </c>
      <c r="Q262" s="111" t="str">
        <f ca="1">IF(C262="","",Q261+(E262+H262-IF(RESULTADOS!$C$17="Normal",I262,0)-J262)/2+(F262+G262-IF(RESULTADOS!$C$17="Normal",0,I262)))</f>
        <v/>
      </c>
      <c r="R262" s="111" t="str">
        <f ca="1">IF(C262="","",R261+(E262+H262-IF(RESULTADOS!$C$17="Normal",I262,0)-J262)/2)</f>
        <v/>
      </c>
      <c r="S262" s="111">
        <f t="shared" ca="1" si="28"/>
        <v>0</v>
      </c>
      <c r="U262" s="131" t="str">
        <f t="shared" ca="1" si="29"/>
        <v/>
      </c>
      <c r="V262" s="131" t="str">
        <f t="shared" ref="V262:V325" ca="1" si="34">IF(AA262&lt;&gt;"",U262,"")</f>
        <v/>
      </c>
      <c r="W262" s="111">
        <f ca="1">IF(OR((W261-13/12*Z261)*(1+PREMISSAS!$C$17)&lt;0,W261=""),0,(W261-13/12*Z261)*(1+PREMISSAS!$C$17))</f>
        <v>0</v>
      </c>
      <c r="X262" s="111">
        <f ca="1">IF(OR((X261-13/12*AA261)*(1+PREMISSAS!$C$17)&lt;0,X261=""),0,(X261-13/12*AA261)*(1+PREMISSAS!$C$17))</f>
        <v>0</v>
      </c>
      <c r="Y262" s="111">
        <f t="shared" ref="Y262:Y314" ca="1" si="35">SUM(W262:X262)</f>
        <v>0</v>
      </c>
      <c r="Z262" s="134">
        <f t="shared" ca="1" si="30"/>
        <v>0</v>
      </c>
      <c r="AA262" s="134">
        <f t="shared" ca="1" si="31"/>
        <v>0</v>
      </c>
    </row>
    <row r="263" spans="2:27" x14ac:dyDescent="0.3">
      <c r="B263" s="21" t="str">
        <f ca="1">IF(B262="","",IF(EOMONTH(B262,1)&gt;EOMONTH(ELEGIBILIDADE!$E$5,0),"",EOMONTH(B262,1)))</f>
        <v/>
      </c>
      <c r="C263" s="22" t="str">
        <f ca="1">IF(B263="","",IF(MONTH(B263)=1,C262*(1+PREMISSAS!$C$58),C262))</f>
        <v/>
      </c>
      <c r="D263" s="22">
        <f ca="1">IF(RESULTADOS!$C$17="Normal",IFERROR(MAX(C263-PREMISSAS!$C$14,0),0),IF(PREMISSAS!$H$117=0,0,MAX(10*PREMISSAS!$C$39,RESULTADOS!$F$17)))</f>
        <v>0</v>
      </c>
      <c r="E263" s="4">
        <f ca="1">D263*IF(RESULTADOS!$C$17="Normal",RESULTADOS!$C$16,0)</f>
        <v>0</v>
      </c>
      <c r="F263" s="4">
        <f ca="1">IF(D263&lt;&gt;0,PREMISSAS!$N$83,0)</f>
        <v>0</v>
      </c>
      <c r="G263" s="4">
        <f ca="1">IFERROR(IF(RESULTADOS!$C$17="Normal",0,D263)*IF(RESULTADOS!$C$17="Normal",RESULTADOS!$C$18,RESULTADOS!$C$16),0)</f>
        <v>0</v>
      </c>
      <c r="H263" s="4">
        <f ca="1">IF(RESULTADOS!$C$17="Normal",E263,0)</f>
        <v>0</v>
      </c>
      <c r="I263" s="4">
        <f ca="1">(E263+H263+G263)*IFERROR(VLOOKUP(INT(COUNT($B$5:B263)/12),PREMISSAS!$B$62:$C$69,2,FALSE),PREMISSAS!$C$69)</f>
        <v>0</v>
      </c>
      <c r="J263" s="4">
        <f ca="1">D263*IF(RESULTADOS!$C$17="Normal",PREMISSAS!$C$71,0)</f>
        <v>0</v>
      </c>
      <c r="K263" s="87">
        <f ca="1">IFERROR(K262*(1+PREMISSAS!$C$19)+(E263+H263-IF(RESULTADOS!$C$17="Normal",I263,0)-J263)*IF(MONTH(B263)=12,2,1),0)</f>
        <v>0</v>
      </c>
      <c r="L263" s="87">
        <f ca="1">IFERROR((L262+G263-IF(RESULTADOS!$C$17="Normal",0,I263))*(1+PREMISSAS!$C$19)+F263,0)</f>
        <v>0</v>
      </c>
      <c r="N263" s="58">
        <f t="shared" ca="1" si="32"/>
        <v>0</v>
      </c>
      <c r="P263" s="131" t="str">
        <f t="shared" ca="1" si="33"/>
        <v/>
      </c>
      <c r="Q263" s="111" t="str">
        <f ca="1">IF(C263="","",Q262+(E263+H263-IF(RESULTADOS!$C$17="Normal",I263,0)-J263)/2+(F263+G263-IF(RESULTADOS!$C$17="Normal",0,I263)))</f>
        <v/>
      </c>
      <c r="R263" s="111" t="str">
        <f ca="1">IF(C263="","",R262+(E263+H263-IF(RESULTADOS!$C$17="Normal",I263,0)-J263)/2)</f>
        <v/>
      </c>
      <c r="S263" s="111">
        <f t="shared" ref="S263:S326" ca="1" si="36">SUM(K263:L263)-SUM(Q263:R263)</f>
        <v>0</v>
      </c>
      <c r="U263" s="131" t="str">
        <f t="shared" ref="U263:U326" ca="1" si="37">IF(Y263=0,"",EOMONTH(U262,1))</f>
        <v/>
      </c>
      <c r="V263" s="131" t="str">
        <f t="shared" ca="1" si="34"/>
        <v/>
      </c>
      <c r="W263" s="111">
        <f ca="1">IF(OR((W262-13/12*Z262)*(1+PREMISSAS!$C$17)&lt;0,W262=""),0,(W262-13/12*Z262)*(1+PREMISSAS!$C$17))</f>
        <v>0</v>
      </c>
      <c r="X263" s="111">
        <f ca="1">IF(OR((X262-13/12*AA262)*(1+PREMISSAS!$C$17)&lt;0,X262=""),0,(X262-13/12*AA262)*(1+PREMISSAS!$C$17))</f>
        <v>0</v>
      </c>
      <c r="Y263" s="111">
        <f t="shared" ca="1" si="35"/>
        <v>0</v>
      </c>
      <c r="Z263" s="134">
        <f t="shared" ref="Z263:Z326" ca="1" si="38">IF(W263&lt;&gt;0,Z262,0)</f>
        <v>0</v>
      </c>
      <c r="AA263" s="134">
        <f t="shared" ref="AA263:AA326" ca="1" si="39">IF(X263&lt;&gt;0,AA262,0)</f>
        <v>0</v>
      </c>
    </row>
    <row r="264" spans="2:27" x14ac:dyDescent="0.3">
      <c r="B264" s="21" t="str">
        <f ca="1">IF(B263="","",IF(EOMONTH(B263,1)&gt;EOMONTH(ELEGIBILIDADE!$E$5,0),"",EOMONTH(B263,1)))</f>
        <v/>
      </c>
      <c r="C264" s="22" t="str">
        <f ca="1">IF(B264="","",IF(MONTH(B264)=1,C263*(1+PREMISSAS!$C$58),C263))</f>
        <v/>
      </c>
      <c r="D264" s="22">
        <f ca="1">IF(RESULTADOS!$C$17="Normal",IFERROR(MAX(C264-PREMISSAS!$C$14,0),0),IF(PREMISSAS!$H$117=0,0,MAX(10*PREMISSAS!$C$39,RESULTADOS!$F$17)))</f>
        <v>0</v>
      </c>
      <c r="E264" s="4">
        <f ca="1">D264*IF(RESULTADOS!$C$17="Normal",RESULTADOS!$C$16,0)</f>
        <v>0</v>
      </c>
      <c r="F264" s="4">
        <f ca="1">IF(D264&lt;&gt;0,PREMISSAS!$N$83,0)</f>
        <v>0</v>
      </c>
      <c r="G264" s="4">
        <f ca="1">IFERROR(IF(RESULTADOS!$C$17="Normal",0,D264)*IF(RESULTADOS!$C$17="Normal",RESULTADOS!$C$18,RESULTADOS!$C$16),0)</f>
        <v>0</v>
      </c>
      <c r="H264" s="4">
        <f ca="1">IF(RESULTADOS!$C$17="Normal",E264,0)</f>
        <v>0</v>
      </c>
      <c r="I264" s="4">
        <f ca="1">(E264+H264+G264)*IFERROR(VLOOKUP(INT(COUNT($B$5:B264)/12),PREMISSAS!$B$62:$C$69,2,FALSE),PREMISSAS!$C$69)</f>
        <v>0</v>
      </c>
      <c r="J264" s="4">
        <f ca="1">D264*IF(RESULTADOS!$C$17="Normal",PREMISSAS!$C$71,0)</f>
        <v>0</v>
      </c>
      <c r="K264" s="87">
        <f ca="1">IFERROR(K263*(1+PREMISSAS!$C$19)+(E264+H264-IF(RESULTADOS!$C$17="Normal",I264,0)-J264)*IF(MONTH(B264)=12,2,1),0)</f>
        <v>0</v>
      </c>
      <c r="L264" s="87">
        <f ca="1">IFERROR((L263+G264-IF(RESULTADOS!$C$17="Normal",0,I264))*(1+PREMISSAS!$C$19)+F264,0)</f>
        <v>0</v>
      </c>
      <c r="N264" s="58">
        <f t="shared" ca="1" si="32"/>
        <v>0</v>
      </c>
      <c r="P264" s="131" t="str">
        <f t="shared" ca="1" si="33"/>
        <v/>
      </c>
      <c r="Q264" s="111" t="str">
        <f ca="1">IF(C264="","",Q263+(E264+H264-IF(RESULTADOS!$C$17="Normal",I264,0)-J264)/2+(F264+G264-IF(RESULTADOS!$C$17="Normal",0,I264)))</f>
        <v/>
      </c>
      <c r="R264" s="111" t="str">
        <f ca="1">IF(C264="","",R263+(E264+H264-IF(RESULTADOS!$C$17="Normal",I264,0)-J264)/2)</f>
        <v/>
      </c>
      <c r="S264" s="111">
        <f t="shared" ca="1" si="36"/>
        <v>0</v>
      </c>
      <c r="U264" s="131" t="str">
        <f t="shared" ca="1" si="37"/>
        <v/>
      </c>
      <c r="V264" s="131" t="str">
        <f t="shared" ca="1" si="34"/>
        <v/>
      </c>
      <c r="W264" s="111">
        <f ca="1">IF(OR((W263-13/12*Z263)*(1+PREMISSAS!$C$17)&lt;0,W263=""),0,(W263-13/12*Z263)*(1+PREMISSAS!$C$17))</f>
        <v>0</v>
      </c>
      <c r="X264" s="111">
        <f ca="1">IF(OR((X263-13/12*AA263)*(1+PREMISSAS!$C$17)&lt;0,X263=""),0,(X263-13/12*AA263)*(1+PREMISSAS!$C$17))</f>
        <v>0</v>
      </c>
      <c r="Y264" s="111">
        <f t="shared" ca="1" si="35"/>
        <v>0</v>
      </c>
      <c r="Z264" s="134">
        <f t="shared" ca="1" si="38"/>
        <v>0</v>
      </c>
      <c r="AA264" s="134">
        <f t="shared" ca="1" si="39"/>
        <v>0</v>
      </c>
    </row>
    <row r="265" spans="2:27" x14ac:dyDescent="0.3">
      <c r="B265" s="21" t="str">
        <f ca="1">IF(B264="","",IF(EOMONTH(B264,1)&gt;EOMONTH(ELEGIBILIDADE!$E$5,0),"",EOMONTH(B264,1)))</f>
        <v/>
      </c>
      <c r="C265" s="22" t="str">
        <f ca="1">IF(B265="","",IF(MONTH(B265)=1,C264*(1+PREMISSAS!$C$58),C264))</f>
        <v/>
      </c>
      <c r="D265" s="22">
        <f ca="1">IF(RESULTADOS!$C$17="Normal",IFERROR(MAX(C265-PREMISSAS!$C$14,0),0),IF(PREMISSAS!$H$117=0,0,MAX(10*PREMISSAS!$C$39,RESULTADOS!$F$17)))</f>
        <v>0</v>
      </c>
      <c r="E265" s="4">
        <f ca="1">D265*IF(RESULTADOS!$C$17="Normal",RESULTADOS!$C$16,0)</f>
        <v>0</v>
      </c>
      <c r="F265" s="4">
        <f ca="1">IF(D265&lt;&gt;0,PREMISSAS!$N$83,0)</f>
        <v>0</v>
      </c>
      <c r="G265" s="4">
        <f ca="1">IFERROR(IF(RESULTADOS!$C$17="Normal",0,D265)*IF(RESULTADOS!$C$17="Normal",RESULTADOS!$C$18,RESULTADOS!$C$16),0)</f>
        <v>0</v>
      </c>
      <c r="H265" s="4">
        <f ca="1">IF(RESULTADOS!$C$17="Normal",E265,0)</f>
        <v>0</v>
      </c>
      <c r="I265" s="4">
        <f ca="1">(E265+H265+G265)*IFERROR(VLOOKUP(INT(COUNT($B$5:B265)/12),PREMISSAS!$B$62:$C$69,2,FALSE),PREMISSAS!$C$69)</f>
        <v>0</v>
      </c>
      <c r="J265" s="4">
        <f ca="1">D265*IF(RESULTADOS!$C$17="Normal",PREMISSAS!$C$71,0)</f>
        <v>0</v>
      </c>
      <c r="K265" s="87">
        <f ca="1">IFERROR(K264*(1+PREMISSAS!$C$19)+(E265+H265-IF(RESULTADOS!$C$17="Normal",I265,0)-J265)*IF(MONTH(B265)=12,2,1),0)</f>
        <v>0</v>
      </c>
      <c r="L265" s="87">
        <f ca="1">IFERROR((L264+G265-IF(RESULTADOS!$C$17="Normal",0,I265))*(1+PREMISSAS!$C$19)+F265,0)</f>
        <v>0</v>
      </c>
      <c r="N265" s="58">
        <f t="shared" ca="1" si="32"/>
        <v>0</v>
      </c>
      <c r="P265" s="131" t="str">
        <f t="shared" ca="1" si="33"/>
        <v/>
      </c>
      <c r="Q265" s="111" t="str">
        <f ca="1">IF(C265="","",Q264+(E265+H265-IF(RESULTADOS!$C$17="Normal",I265,0)-J265)/2+(F265+G265-IF(RESULTADOS!$C$17="Normal",0,I265)))</f>
        <v/>
      </c>
      <c r="R265" s="111" t="str">
        <f ca="1">IF(C265="","",R264+(E265+H265-IF(RESULTADOS!$C$17="Normal",I265,0)-J265)/2)</f>
        <v/>
      </c>
      <c r="S265" s="111">
        <f t="shared" ca="1" si="36"/>
        <v>0</v>
      </c>
      <c r="U265" s="131" t="str">
        <f t="shared" ca="1" si="37"/>
        <v/>
      </c>
      <c r="V265" s="131" t="str">
        <f t="shared" ca="1" si="34"/>
        <v/>
      </c>
      <c r="W265" s="111">
        <f ca="1">IF(OR((W264-13/12*Z264)*(1+PREMISSAS!$C$17)&lt;0,W264=""),0,(W264-13/12*Z264)*(1+PREMISSAS!$C$17))</f>
        <v>0</v>
      </c>
      <c r="X265" s="111">
        <f ca="1">IF(OR((X264-13/12*AA264)*(1+PREMISSAS!$C$17)&lt;0,X264=""),0,(X264-13/12*AA264)*(1+PREMISSAS!$C$17))</f>
        <v>0</v>
      </c>
      <c r="Y265" s="111">
        <f t="shared" ca="1" si="35"/>
        <v>0</v>
      </c>
      <c r="Z265" s="134">
        <f t="shared" ca="1" si="38"/>
        <v>0</v>
      </c>
      <c r="AA265" s="134">
        <f t="shared" ca="1" si="39"/>
        <v>0</v>
      </c>
    </row>
    <row r="266" spans="2:27" x14ac:dyDescent="0.3">
      <c r="B266" s="21" t="str">
        <f ca="1">IF(B265="","",IF(EOMONTH(B265,1)&gt;EOMONTH(ELEGIBILIDADE!$E$5,0),"",EOMONTH(B265,1)))</f>
        <v/>
      </c>
      <c r="C266" s="22" t="str">
        <f ca="1">IF(B266="","",IF(MONTH(B266)=1,C265*(1+PREMISSAS!$C$58),C265))</f>
        <v/>
      </c>
      <c r="D266" s="22">
        <f ca="1">IF(RESULTADOS!$C$17="Normal",IFERROR(MAX(C266-PREMISSAS!$C$14,0),0),IF(PREMISSAS!$H$117=0,0,MAX(10*PREMISSAS!$C$39,RESULTADOS!$F$17)))</f>
        <v>0</v>
      </c>
      <c r="E266" s="4">
        <f ca="1">D266*IF(RESULTADOS!$C$17="Normal",RESULTADOS!$C$16,0)</f>
        <v>0</v>
      </c>
      <c r="F266" s="4">
        <f ca="1">IF(D266&lt;&gt;0,PREMISSAS!$N$83,0)</f>
        <v>0</v>
      </c>
      <c r="G266" s="4">
        <f ca="1">IFERROR(IF(RESULTADOS!$C$17="Normal",0,D266)*IF(RESULTADOS!$C$17="Normal",RESULTADOS!$C$18,RESULTADOS!$C$16),0)</f>
        <v>0</v>
      </c>
      <c r="H266" s="4">
        <f ca="1">IF(RESULTADOS!$C$17="Normal",E266,0)</f>
        <v>0</v>
      </c>
      <c r="I266" s="4">
        <f ca="1">(E266+H266+G266)*IFERROR(VLOOKUP(INT(COUNT($B$5:B266)/12),PREMISSAS!$B$62:$C$69,2,FALSE),PREMISSAS!$C$69)</f>
        <v>0</v>
      </c>
      <c r="J266" s="4">
        <f ca="1">D266*IF(RESULTADOS!$C$17="Normal",PREMISSAS!$C$71,0)</f>
        <v>0</v>
      </c>
      <c r="K266" s="87">
        <f ca="1">IFERROR(K265*(1+PREMISSAS!$C$19)+(E266+H266-IF(RESULTADOS!$C$17="Normal",I266,0)-J266)*IF(MONTH(B266)=12,2,1),0)</f>
        <v>0</v>
      </c>
      <c r="L266" s="87">
        <f ca="1">IFERROR((L265+G266-IF(RESULTADOS!$C$17="Normal",0,I266))*(1+PREMISSAS!$C$19)+F266,0)</f>
        <v>0</v>
      </c>
      <c r="N266" s="58">
        <f t="shared" ca="1" si="32"/>
        <v>0</v>
      </c>
      <c r="P266" s="131" t="str">
        <f t="shared" ca="1" si="33"/>
        <v/>
      </c>
      <c r="Q266" s="111" t="str">
        <f ca="1">IF(C266="","",Q265+(E266+H266-IF(RESULTADOS!$C$17="Normal",I266,0)-J266)/2+(F266+G266-IF(RESULTADOS!$C$17="Normal",0,I266)))</f>
        <v/>
      </c>
      <c r="R266" s="111" t="str">
        <f ca="1">IF(C266="","",R265+(E266+H266-IF(RESULTADOS!$C$17="Normal",I266,0)-J266)/2)</f>
        <v/>
      </c>
      <c r="S266" s="111">
        <f t="shared" ca="1" si="36"/>
        <v>0</v>
      </c>
      <c r="U266" s="131" t="str">
        <f t="shared" ca="1" si="37"/>
        <v/>
      </c>
      <c r="V266" s="131" t="str">
        <f t="shared" ca="1" si="34"/>
        <v/>
      </c>
      <c r="W266" s="111">
        <f ca="1">IF(OR((W265-13/12*Z265)*(1+PREMISSAS!$C$17)&lt;0,W265=""),0,(W265-13/12*Z265)*(1+PREMISSAS!$C$17))</f>
        <v>0</v>
      </c>
      <c r="X266" s="111">
        <f ca="1">IF(OR((X265-13/12*AA265)*(1+PREMISSAS!$C$17)&lt;0,X265=""),0,(X265-13/12*AA265)*(1+PREMISSAS!$C$17))</f>
        <v>0</v>
      </c>
      <c r="Y266" s="111">
        <f t="shared" ca="1" si="35"/>
        <v>0</v>
      </c>
      <c r="Z266" s="134">
        <f t="shared" ca="1" si="38"/>
        <v>0</v>
      </c>
      <c r="AA266" s="134">
        <f t="shared" ca="1" si="39"/>
        <v>0</v>
      </c>
    </row>
    <row r="267" spans="2:27" x14ac:dyDescent="0.3">
      <c r="B267" s="21" t="str">
        <f ca="1">IF(B266="","",IF(EOMONTH(B266,1)&gt;EOMONTH(ELEGIBILIDADE!$E$5,0),"",EOMONTH(B266,1)))</f>
        <v/>
      </c>
      <c r="C267" s="22" t="str">
        <f ca="1">IF(B267="","",IF(MONTH(B267)=1,C266*(1+PREMISSAS!$C$58),C266))</f>
        <v/>
      </c>
      <c r="D267" s="22">
        <f ca="1">IF(RESULTADOS!$C$17="Normal",IFERROR(MAX(C267-PREMISSAS!$C$14,0),0),IF(PREMISSAS!$H$117=0,0,MAX(10*PREMISSAS!$C$39,RESULTADOS!$F$17)))</f>
        <v>0</v>
      </c>
      <c r="E267" s="4">
        <f ca="1">D267*IF(RESULTADOS!$C$17="Normal",RESULTADOS!$C$16,0)</f>
        <v>0</v>
      </c>
      <c r="F267" s="4">
        <f ca="1">IF(D267&lt;&gt;0,PREMISSAS!$N$83,0)</f>
        <v>0</v>
      </c>
      <c r="G267" s="4">
        <f ca="1">IFERROR(IF(RESULTADOS!$C$17="Normal",0,D267)*IF(RESULTADOS!$C$17="Normal",RESULTADOS!$C$18,RESULTADOS!$C$16),0)</f>
        <v>0</v>
      </c>
      <c r="H267" s="4">
        <f ca="1">IF(RESULTADOS!$C$17="Normal",E267,0)</f>
        <v>0</v>
      </c>
      <c r="I267" s="4">
        <f ca="1">(E267+H267+G267)*IFERROR(VLOOKUP(INT(COUNT($B$5:B267)/12),PREMISSAS!$B$62:$C$69,2,FALSE),PREMISSAS!$C$69)</f>
        <v>0</v>
      </c>
      <c r="J267" s="4">
        <f ca="1">D267*IF(RESULTADOS!$C$17="Normal",PREMISSAS!$C$71,0)</f>
        <v>0</v>
      </c>
      <c r="K267" s="87">
        <f ca="1">IFERROR(K266*(1+PREMISSAS!$C$19)+(E267+H267-IF(RESULTADOS!$C$17="Normal",I267,0)-J267)*IF(MONTH(B267)=12,2,1),0)</f>
        <v>0</v>
      </c>
      <c r="L267" s="87">
        <f ca="1">IFERROR((L266+G267-IF(RESULTADOS!$C$17="Normal",0,I267))*(1+PREMISSAS!$C$19)+F267,0)</f>
        <v>0</v>
      </c>
      <c r="N267" s="58">
        <f t="shared" ca="1" si="32"/>
        <v>0</v>
      </c>
      <c r="P267" s="131" t="str">
        <f t="shared" ca="1" si="33"/>
        <v/>
      </c>
      <c r="Q267" s="111" t="str">
        <f ca="1">IF(C267="","",Q266+(E267+H267-IF(RESULTADOS!$C$17="Normal",I267,0)-J267)/2+(F267+G267-IF(RESULTADOS!$C$17="Normal",0,I267)))</f>
        <v/>
      </c>
      <c r="R267" s="111" t="str">
        <f ca="1">IF(C267="","",R266+(E267+H267-IF(RESULTADOS!$C$17="Normal",I267,0)-J267)/2)</f>
        <v/>
      </c>
      <c r="S267" s="111">
        <f t="shared" ca="1" si="36"/>
        <v>0</v>
      </c>
      <c r="U267" s="131" t="str">
        <f t="shared" ca="1" si="37"/>
        <v/>
      </c>
      <c r="V267" s="131" t="str">
        <f t="shared" ca="1" si="34"/>
        <v/>
      </c>
      <c r="W267" s="111">
        <f ca="1">IF(OR((W266-13/12*Z266)*(1+PREMISSAS!$C$17)&lt;0,W266=""),0,(W266-13/12*Z266)*(1+PREMISSAS!$C$17))</f>
        <v>0</v>
      </c>
      <c r="X267" s="111">
        <f ca="1">IF(OR((X266-13/12*AA266)*(1+PREMISSAS!$C$17)&lt;0,X266=""),0,(X266-13/12*AA266)*(1+PREMISSAS!$C$17))</f>
        <v>0</v>
      </c>
      <c r="Y267" s="111">
        <f t="shared" ca="1" si="35"/>
        <v>0</v>
      </c>
      <c r="Z267" s="134">
        <f t="shared" ca="1" si="38"/>
        <v>0</v>
      </c>
      <c r="AA267" s="134">
        <f t="shared" ca="1" si="39"/>
        <v>0</v>
      </c>
    </row>
    <row r="268" spans="2:27" x14ac:dyDescent="0.3">
      <c r="B268" s="21" t="str">
        <f ca="1">IF(B267="","",IF(EOMONTH(B267,1)&gt;EOMONTH(ELEGIBILIDADE!$E$5,0),"",EOMONTH(B267,1)))</f>
        <v/>
      </c>
      <c r="C268" s="22" t="str">
        <f ca="1">IF(B268="","",IF(MONTH(B268)=1,C267*(1+PREMISSAS!$C$58),C267))</f>
        <v/>
      </c>
      <c r="D268" s="22">
        <f ca="1">IF(RESULTADOS!$C$17="Normal",IFERROR(MAX(C268-PREMISSAS!$C$14,0),0),IF(PREMISSAS!$H$117=0,0,MAX(10*PREMISSAS!$C$39,RESULTADOS!$F$17)))</f>
        <v>0</v>
      </c>
      <c r="E268" s="4">
        <f ca="1">D268*IF(RESULTADOS!$C$17="Normal",RESULTADOS!$C$16,0)</f>
        <v>0</v>
      </c>
      <c r="F268" s="4">
        <f ca="1">IF(D268&lt;&gt;0,PREMISSAS!$N$83,0)</f>
        <v>0</v>
      </c>
      <c r="G268" s="4">
        <f ca="1">IFERROR(IF(RESULTADOS!$C$17="Normal",0,D268)*IF(RESULTADOS!$C$17="Normal",RESULTADOS!$C$18,RESULTADOS!$C$16),0)</f>
        <v>0</v>
      </c>
      <c r="H268" s="4">
        <f ca="1">IF(RESULTADOS!$C$17="Normal",E268,0)</f>
        <v>0</v>
      </c>
      <c r="I268" s="4">
        <f ca="1">(E268+H268+G268)*IFERROR(VLOOKUP(INT(COUNT($B$5:B268)/12),PREMISSAS!$B$62:$C$69,2,FALSE),PREMISSAS!$C$69)</f>
        <v>0</v>
      </c>
      <c r="J268" s="4">
        <f ca="1">D268*IF(RESULTADOS!$C$17="Normal",PREMISSAS!$C$71,0)</f>
        <v>0</v>
      </c>
      <c r="K268" s="87">
        <f ca="1">IFERROR(K267*(1+PREMISSAS!$C$19)+(E268+H268-IF(RESULTADOS!$C$17="Normal",I268,0)-J268)*IF(MONTH(B268)=12,2,1),0)</f>
        <v>0</v>
      </c>
      <c r="L268" s="87">
        <f ca="1">IFERROR((L267+G268-IF(RESULTADOS!$C$17="Normal",0,I268))*(1+PREMISSAS!$C$19)+F268,0)</f>
        <v>0</v>
      </c>
      <c r="N268" s="58">
        <f t="shared" ca="1" si="32"/>
        <v>0</v>
      </c>
      <c r="P268" s="131" t="str">
        <f t="shared" ca="1" si="33"/>
        <v/>
      </c>
      <c r="Q268" s="111" t="str">
        <f ca="1">IF(C268="","",Q267+(E268+H268-IF(RESULTADOS!$C$17="Normal",I268,0)-J268)/2+(F268+G268-IF(RESULTADOS!$C$17="Normal",0,I268)))</f>
        <v/>
      </c>
      <c r="R268" s="111" t="str">
        <f ca="1">IF(C268="","",R267+(E268+H268-IF(RESULTADOS!$C$17="Normal",I268,0)-J268)/2)</f>
        <v/>
      </c>
      <c r="S268" s="111">
        <f t="shared" ca="1" si="36"/>
        <v>0</v>
      </c>
      <c r="U268" s="131" t="str">
        <f t="shared" ca="1" si="37"/>
        <v/>
      </c>
      <c r="V268" s="131" t="str">
        <f t="shared" ca="1" si="34"/>
        <v/>
      </c>
      <c r="W268" s="111">
        <f ca="1">IF(OR((W267-13/12*Z267)*(1+PREMISSAS!$C$17)&lt;0,W267=""),0,(W267-13/12*Z267)*(1+PREMISSAS!$C$17))</f>
        <v>0</v>
      </c>
      <c r="X268" s="111">
        <f ca="1">IF(OR((X267-13/12*AA267)*(1+PREMISSAS!$C$17)&lt;0,X267=""),0,(X267-13/12*AA267)*(1+PREMISSAS!$C$17))</f>
        <v>0</v>
      </c>
      <c r="Y268" s="111">
        <f t="shared" ca="1" si="35"/>
        <v>0</v>
      </c>
      <c r="Z268" s="134">
        <f t="shared" ca="1" si="38"/>
        <v>0</v>
      </c>
      <c r="AA268" s="134">
        <f t="shared" ca="1" si="39"/>
        <v>0</v>
      </c>
    </row>
    <row r="269" spans="2:27" x14ac:dyDescent="0.3">
      <c r="B269" s="21" t="str">
        <f ca="1">IF(B268="","",IF(EOMONTH(B268,1)&gt;EOMONTH(ELEGIBILIDADE!$E$5,0),"",EOMONTH(B268,1)))</f>
        <v/>
      </c>
      <c r="C269" s="22" t="str">
        <f ca="1">IF(B269="","",IF(MONTH(B269)=1,C268*(1+PREMISSAS!$C$58),C268))</f>
        <v/>
      </c>
      <c r="D269" s="22">
        <f ca="1">IF(RESULTADOS!$C$17="Normal",IFERROR(MAX(C269-PREMISSAS!$C$14,0),0),IF(PREMISSAS!$H$117=0,0,MAX(10*PREMISSAS!$C$39,RESULTADOS!$F$17)))</f>
        <v>0</v>
      </c>
      <c r="E269" s="4">
        <f ca="1">D269*IF(RESULTADOS!$C$17="Normal",RESULTADOS!$C$16,0)</f>
        <v>0</v>
      </c>
      <c r="F269" s="4">
        <f ca="1">IF(D269&lt;&gt;0,PREMISSAS!$N$83,0)</f>
        <v>0</v>
      </c>
      <c r="G269" s="4">
        <f ca="1">IFERROR(IF(RESULTADOS!$C$17="Normal",0,D269)*IF(RESULTADOS!$C$17="Normal",RESULTADOS!$C$18,RESULTADOS!$C$16),0)</f>
        <v>0</v>
      </c>
      <c r="H269" s="4">
        <f ca="1">IF(RESULTADOS!$C$17="Normal",E269,0)</f>
        <v>0</v>
      </c>
      <c r="I269" s="4">
        <f ca="1">(E269+H269+G269)*IFERROR(VLOOKUP(INT(COUNT($B$5:B269)/12),PREMISSAS!$B$62:$C$69,2,FALSE),PREMISSAS!$C$69)</f>
        <v>0</v>
      </c>
      <c r="J269" s="4">
        <f ca="1">D269*IF(RESULTADOS!$C$17="Normal",PREMISSAS!$C$71,0)</f>
        <v>0</v>
      </c>
      <c r="K269" s="87">
        <f ca="1">IFERROR(K268*(1+PREMISSAS!$C$19)+(E269+H269-IF(RESULTADOS!$C$17="Normal",I269,0)-J269)*IF(MONTH(B269)=12,2,1),0)</f>
        <v>0</v>
      </c>
      <c r="L269" s="87">
        <f ca="1">IFERROR((L268+G269-IF(RESULTADOS!$C$17="Normal",0,I269))*(1+PREMISSAS!$C$19)+F269,0)</f>
        <v>0</v>
      </c>
      <c r="N269" s="58">
        <f t="shared" ca="1" si="32"/>
        <v>0</v>
      </c>
      <c r="P269" s="131" t="str">
        <f t="shared" ca="1" si="33"/>
        <v/>
      </c>
      <c r="Q269" s="111" t="str">
        <f ca="1">IF(C269="","",Q268+(E269+H269-IF(RESULTADOS!$C$17="Normal",I269,0)-J269)/2+(F269+G269-IF(RESULTADOS!$C$17="Normal",0,I269)))</f>
        <v/>
      </c>
      <c r="R269" s="111" t="str">
        <f ca="1">IF(C269="","",R268+(E269+H269-IF(RESULTADOS!$C$17="Normal",I269,0)-J269)/2)</f>
        <v/>
      </c>
      <c r="S269" s="111">
        <f t="shared" ca="1" si="36"/>
        <v>0</v>
      </c>
      <c r="U269" s="131" t="str">
        <f t="shared" ca="1" si="37"/>
        <v/>
      </c>
      <c r="V269" s="131" t="str">
        <f t="shared" ca="1" si="34"/>
        <v/>
      </c>
      <c r="W269" s="111">
        <f ca="1">IF(OR((W268-13/12*Z268)*(1+PREMISSAS!$C$17)&lt;0,W268=""),0,(W268-13/12*Z268)*(1+PREMISSAS!$C$17))</f>
        <v>0</v>
      </c>
      <c r="X269" s="111">
        <f ca="1">IF(OR((X268-13/12*AA268)*(1+PREMISSAS!$C$17)&lt;0,X268=""),0,(X268-13/12*AA268)*(1+PREMISSAS!$C$17))</f>
        <v>0</v>
      </c>
      <c r="Y269" s="111">
        <f t="shared" ca="1" si="35"/>
        <v>0</v>
      </c>
      <c r="Z269" s="134">
        <f t="shared" ca="1" si="38"/>
        <v>0</v>
      </c>
      <c r="AA269" s="134">
        <f t="shared" ca="1" si="39"/>
        <v>0</v>
      </c>
    </row>
    <row r="270" spans="2:27" x14ac:dyDescent="0.3">
      <c r="B270" s="21" t="str">
        <f ca="1">IF(B269="","",IF(EOMONTH(B269,1)&gt;EOMONTH(ELEGIBILIDADE!$E$5,0),"",EOMONTH(B269,1)))</f>
        <v/>
      </c>
      <c r="C270" s="22" t="str">
        <f ca="1">IF(B270="","",IF(MONTH(B270)=1,C269*(1+PREMISSAS!$C$58),C269))</f>
        <v/>
      </c>
      <c r="D270" s="22">
        <f ca="1">IF(RESULTADOS!$C$17="Normal",IFERROR(MAX(C270-PREMISSAS!$C$14,0),0),IF(PREMISSAS!$H$117=0,0,MAX(10*PREMISSAS!$C$39,RESULTADOS!$F$17)))</f>
        <v>0</v>
      </c>
      <c r="E270" s="4">
        <f ca="1">D270*IF(RESULTADOS!$C$17="Normal",RESULTADOS!$C$16,0)</f>
        <v>0</v>
      </c>
      <c r="F270" s="4">
        <f ca="1">IF(D270&lt;&gt;0,PREMISSAS!$N$83,0)</f>
        <v>0</v>
      </c>
      <c r="G270" s="4">
        <f ca="1">IFERROR(IF(RESULTADOS!$C$17="Normal",0,D270)*IF(RESULTADOS!$C$17="Normal",RESULTADOS!$C$18,RESULTADOS!$C$16),0)</f>
        <v>0</v>
      </c>
      <c r="H270" s="4">
        <f ca="1">IF(RESULTADOS!$C$17="Normal",E270,0)</f>
        <v>0</v>
      </c>
      <c r="I270" s="4">
        <f ca="1">(E270+H270+G270)*IFERROR(VLOOKUP(INT(COUNT($B$5:B270)/12),PREMISSAS!$B$62:$C$69,2,FALSE),PREMISSAS!$C$69)</f>
        <v>0</v>
      </c>
      <c r="J270" s="4">
        <f ca="1">D270*IF(RESULTADOS!$C$17="Normal",PREMISSAS!$C$71,0)</f>
        <v>0</v>
      </c>
      <c r="K270" s="87">
        <f ca="1">IFERROR(K269*(1+PREMISSAS!$C$19)+(E270+H270-IF(RESULTADOS!$C$17="Normal",I270,0)-J270)*IF(MONTH(B270)=12,2,1),0)</f>
        <v>0</v>
      </c>
      <c r="L270" s="87">
        <f ca="1">IFERROR((L269+G270-IF(RESULTADOS!$C$17="Normal",0,I270))*(1+PREMISSAS!$C$19)+F270,0)</f>
        <v>0</v>
      </c>
      <c r="N270" s="58">
        <f t="shared" ca="1" si="32"/>
        <v>0</v>
      </c>
      <c r="P270" s="131" t="str">
        <f t="shared" ca="1" si="33"/>
        <v/>
      </c>
      <c r="Q270" s="111" t="str">
        <f ca="1">IF(C270="","",Q269+(E270+H270-IF(RESULTADOS!$C$17="Normal",I270,0)-J270)/2+(F270+G270-IF(RESULTADOS!$C$17="Normal",0,I270)))</f>
        <v/>
      </c>
      <c r="R270" s="111" t="str">
        <f ca="1">IF(C270="","",R269+(E270+H270-IF(RESULTADOS!$C$17="Normal",I270,0)-J270)/2)</f>
        <v/>
      </c>
      <c r="S270" s="111">
        <f t="shared" ca="1" si="36"/>
        <v>0</v>
      </c>
      <c r="U270" s="131" t="str">
        <f t="shared" ca="1" si="37"/>
        <v/>
      </c>
      <c r="V270" s="131" t="str">
        <f t="shared" ca="1" si="34"/>
        <v/>
      </c>
      <c r="W270" s="111">
        <f ca="1">IF(OR((W269-13/12*Z269)*(1+PREMISSAS!$C$17)&lt;0,W269=""),0,(W269-13/12*Z269)*(1+PREMISSAS!$C$17))</f>
        <v>0</v>
      </c>
      <c r="X270" s="111">
        <f ca="1">IF(OR((X269-13/12*AA269)*(1+PREMISSAS!$C$17)&lt;0,X269=""),0,(X269-13/12*AA269)*(1+PREMISSAS!$C$17))</f>
        <v>0</v>
      </c>
      <c r="Y270" s="111">
        <f t="shared" ca="1" si="35"/>
        <v>0</v>
      </c>
      <c r="Z270" s="134">
        <f t="shared" ca="1" si="38"/>
        <v>0</v>
      </c>
      <c r="AA270" s="134">
        <f t="shared" ca="1" si="39"/>
        <v>0</v>
      </c>
    </row>
    <row r="271" spans="2:27" x14ac:dyDescent="0.3">
      <c r="B271" s="21" t="str">
        <f ca="1">IF(B270="","",IF(EOMONTH(B270,1)&gt;EOMONTH(ELEGIBILIDADE!$E$5,0),"",EOMONTH(B270,1)))</f>
        <v/>
      </c>
      <c r="C271" s="22" t="str">
        <f ca="1">IF(B271="","",IF(MONTH(B271)=1,C270*(1+PREMISSAS!$C$58),C270))</f>
        <v/>
      </c>
      <c r="D271" s="22">
        <f ca="1">IF(RESULTADOS!$C$17="Normal",IFERROR(MAX(C271-PREMISSAS!$C$14,0),0),IF(PREMISSAS!$H$117=0,0,MAX(10*PREMISSAS!$C$39,RESULTADOS!$F$17)))</f>
        <v>0</v>
      </c>
      <c r="E271" s="4">
        <f ca="1">D271*IF(RESULTADOS!$C$17="Normal",RESULTADOS!$C$16,0)</f>
        <v>0</v>
      </c>
      <c r="F271" s="4">
        <f ca="1">IF(D271&lt;&gt;0,PREMISSAS!$N$83,0)</f>
        <v>0</v>
      </c>
      <c r="G271" s="4">
        <f ca="1">IFERROR(IF(RESULTADOS!$C$17="Normal",0,D271)*IF(RESULTADOS!$C$17="Normal",RESULTADOS!$C$18,RESULTADOS!$C$16),0)</f>
        <v>0</v>
      </c>
      <c r="H271" s="4">
        <f ca="1">IF(RESULTADOS!$C$17="Normal",E271,0)</f>
        <v>0</v>
      </c>
      <c r="I271" s="4">
        <f ca="1">(E271+H271+G271)*IFERROR(VLOOKUP(INT(COUNT($B$5:B271)/12),PREMISSAS!$B$62:$C$69,2,FALSE),PREMISSAS!$C$69)</f>
        <v>0</v>
      </c>
      <c r="J271" s="4">
        <f ca="1">D271*IF(RESULTADOS!$C$17="Normal",PREMISSAS!$C$71,0)</f>
        <v>0</v>
      </c>
      <c r="K271" s="87">
        <f ca="1">IFERROR(K270*(1+PREMISSAS!$C$19)+(E271+H271-IF(RESULTADOS!$C$17="Normal",I271,0)-J271)*IF(MONTH(B271)=12,2,1),0)</f>
        <v>0</v>
      </c>
      <c r="L271" s="87">
        <f ca="1">IFERROR((L270+G271-IF(RESULTADOS!$C$17="Normal",0,I271))*(1+PREMISSAS!$C$19)+F271,0)</f>
        <v>0</v>
      </c>
      <c r="N271" s="58">
        <f t="shared" ca="1" si="32"/>
        <v>0</v>
      </c>
      <c r="P271" s="131" t="str">
        <f t="shared" ca="1" si="33"/>
        <v/>
      </c>
      <c r="Q271" s="111" t="str">
        <f ca="1">IF(C271="","",Q270+(E271+H271-IF(RESULTADOS!$C$17="Normal",I271,0)-J271)/2+(F271+G271-IF(RESULTADOS!$C$17="Normal",0,I271)))</f>
        <v/>
      </c>
      <c r="R271" s="111" t="str">
        <f ca="1">IF(C271="","",R270+(E271+H271-IF(RESULTADOS!$C$17="Normal",I271,0)-J271)/2)</f>
        <v/>
      </c>
      <c r="S271" s="111">
        <f t="shared" ca="1" si="36"/>
        <v>0</v>
      </c>
      <c r="U271" s="131" t="str">
        <f t="shared" ca="1" si="37"/>
        <v/>
      </c>
      <c r="V271" s="131" t="str">
        <f t="shared" ca="1" si="34"/>
        <v/>
      </c>
      <c r="W271" s="111">
        <f ca="1">IF(OR((W270-13/12*Z270)*(1+PREMISSAS!$C$17)&lt;0,W270=""),0,(W270-13/12*Z270)*(1+PREMISSAS!$C$17))</f>
        <v>0</v>
      </c>
      <c r="X271" s="111">
        <f ca="1">IF(OR((X270-13/12*AA270)*(1+PREMISSAS!$C$17)&lt;0,X270=""),0,(X270-13/12*AA270)*(1+PREMISSAS!$C$17))</f>
        <v>0</v>
      </c>
      <c r="Y271" s="111">
        <f t="shared" ca="1" si="35"/>
        <v>0</v>
      </c>
      <c r="Z271" s="134">
        <f t="shared" ca="1" si="38"/>
        <v>0</v>
      </c>
      <c r="AA271" s="134">
        <f t="shared" ca="1" si="39"/>
        <v>0</v>
      </c>
    </row>
    <row r="272" spans="2:27" x14ac:dyDescent="0.3">
      <c r="B272" s="21" t="str">
        <f ca="1">IF(B271="","",IF(EOMONTH(B271,1)&gt;EOMONTH(ELEGIBILIDADE!$E$5,0),"",EOMONTH(B271,1)))</f>
        <v/>
      </c>
      <c r="C272" s="22" t="str">
        <f ca="1">IF(B272="","",IF(MONTH(B272)=1,C271*(1+PREMISSAS!$C$58),C271))</f>
        <v/>
      </c>
      <c r="D272" s="22">
        <f ca="1">IF(RESULTADOS!$C$17="Normal",IFERROR(MAX(C272-PREMISSAS!$C$14,0),0),IF(PREMISSAS!$H$117=0,0,MAX(10*PREMISSAS!$C$39,RESULTADOS!$F$17)))</f>
        <v>0</v>
      </c>
      <c r="E272" s="4">
        <f ca="1">D272*IF(RESULTADOS!$C$17="Normal",RESULTADOS!$C$16,0)</f>
        <v>0</v>
      </c>
      <c r="F272" s="4">
        <f ca="1">IF(D272&lt;&gt;0,PREMISSAS!$N$83,0)</f>
        <v>0</v>
      </c>
      <c r="G272" s="4">
        <f ca="1">IFERROR(IF(RESULTADOS!$C$17="Normal",0,D272)*IF(RESULTADOS!$C$17="Normal",RESULTADOS!$C$18,RESULTADOS!$C$16),0)</f>
        <v>0</v>
      </c>
      <c r="H272" s="4">
        <f ca="1">IF(RESULTADOS!$C$17="Normal",E272,0)</f>
        <v>0</v>
      </c>
      <c r="I272" s="4">
        <f ca="1">(E272+H272+G272)*IFERROR(VLOOKUP(INT(COUNT($B$5:B272)/12),PREMISSAS!$B$62:$C$69,2,FALSE),PREMISSAS!$C$69)</f>
        <v>0</v>
      </c>
      <c r="J272" s="4">
        <f ca="1">D272*IF(RESULTADOS!$C$17="Normal",PREMISSAS!$C$71,0)</f>
        <v>0</v>
      </c>
      <c r="K272" s="87">
        <f ca="1">IFERROR(K271*(1+PREMISSAS!$C$19)+(E272+H272-IF(RESULTADOS!$C$17="Normal",I272,0)-J272)*IF(MONTH(B272)=12,2,1),0)</f>
        <v>0</v>
      </c>
      <c r="L272" s="87">
        <f ca="1">IFERROR((L271+G272-IF(RESULTADOS!$C$17="Normal",0,I272))*(1+PREMISSAS!$C$19)+F272,0)</f>
        <v>0</v>
      </c>
      <c r="N272" s="58">
        <f t="shared" ca="1" si="32"/>
        <v>0</v>
      </c>
      <c r="P272" s="131" t="str">
        <f t="shared" ca="1" si="33"/>
        <v/>
      </c>
      <c r="Q272" s="111" t="str">
        <f ca="1">IF(C272="","",Q271+(E272+H272-IF(RESULTADOS!$C$17="Normal",I272,0)-J272)/2+(F272+G272-IF(RESULTADOS!$C$17="Normal",0,I272)))</f>
        <v/>
      </c>
      <c r="R272" s="111" t="str">
        <f ca="1">IF(C272="","",R271+(E272+H272-IF(RESULTADOS!$C$17="Normal",I272,0)-J272)/2)</f>
        <v/>
      </c>
      <c r="S272" s="111">
        <f t="shared" ca="1" si="36"/>
        <v>0</v>
      </c>
      <c r="U272" s="131" t="str">
        <f t="shared" ca="1" si="37"/>
        <v/>
      </c>
      <c r="V272" s="131" t="str">
        <f t="shared" ca="1" si="34"/>
        <v/>
      </c>
      <c r="W272" s="111">
        <f ca="1">IF(OR((W271-13/12*Z271)*(1+PREMISSAS!$C$17)&lt;0,W271=""),0,(W271-13/12*Z271)*(1+PREMISSAS!$C$17))</f>
        <v>0</v>
      </c>
      <c r="X272" s="111">
        <f ca="1">IF(OR((X271-13/12*AA271)*(1+PREMISSAS!$C$17)&lt;0,X271=""),0,(X271-13/12*AA271)*(1+PREMISSAS!$C$17))</f>
        <v>0</v>
      </c>
      <c r="Y272" s="111">
        <f t="shared" ca="1" si="35"/>
        <v>0</v>
      </c>
      <c r="Z272" s="134">
        <f t="shared" ca="1" si="38"/>
        <v>0</v>
      </c>
      <c r="AA272" s="134">
        <f t="shared" ca="1" si="39"/>
        <v>0</v>
      </c>
    </row>
    <row r="273" spans="2:27" x14ac:dyDescent="0.3">
      <c r="B273" s="21" t="str">
        <f ca="1">IF(B272="","",IF(EOMONTH(B272,1)&gt;EOMONTH(ELEGIBILIDADE!$E$5,0),"",EOMONTH(B272,1)))</f>
        <v/>
      </c>
      <c r="C273" s="22" t="str">
        <f ca="1">IF(B273="","",IF(MONTH(B273)=1,C272*(1+PREMISSAS!$C$58),C272))</f>
        <v/>
      </c>
      <c r="D273" s="22">
        <f ca="1">IF(RESULTADOS!$C$17="Normal",IFERROR(MAX(C273-PREMISSAS!$C$14,0),0),IF(PREMISSAS!$H$117=0,0,MAX(10*PREMISSAS!$C$39,RESULTADOS!$F$17)))</f>
        <v>0</v>
      </c>
      <c r="E273" s="4">
        <f ca="1">D273*IF(RESULTADOS!$C$17="Normal",RESULTADOS!$C$16,0)</f>
        <v>0</v>
      </c>
      <c r="F273" s="4">
        <f ca="1">IF(D273&lt;&gt;0,PREMISSAS!$N$83,0)</f>
        <v>0</v>
      </c>
      <c r="G273" s="4">
        <f ca="1">IFERROR(IF(RESULTADOS!$C$17="Normal",0,D273)*IF(RESULTADOS!$C$17="Normal",RESULTADOS!$C$18,RESULTADOS!$C$16),0)</f>
        <v>0</v>
      </c>
      <c r="H273" s="4">
        <f ca="1">IF(RESULTADOS!$C$17="Normal",E273,0)</f>
        <v>0</v>
      </c>
      <c r="I273" s="4">
        <f ca="1">(E273+H273+G273)*IFERROR(VLOOKUP(INT(COUNT($B$5:B273)/12),PREMISSAS!$B$62:$C$69,2,FALSE),PREMISSAS!$C$69)</f>
        <v>0</v>
      </c>
      <c r="J273" s="4">
        <f ca="1">D273*IF(RESULTADOS!$C$17="Normal",PREMISSAS!$C$71,0)</f>
        <v>0</v>
      </c>
      <c r="K273" s="87">
        <f ca="1">IFERROR(K272*(1+PREMISSAS!$C$19)+(E273+H273-IF(RESULTADOS!$C$17="Normal",I273,0)-J273)*IF(MONTH(B273)=12,2,1),0)</f>
        <v>0</v>
      </c>
      <c r="L273" s="87">
        <f ca="1">IFERROR((L272+G273-IF(RESULTADOS!$C$17="Normal",0,I273))*(1+PREMISSAS!$C$19)+F273,0)</f>
        <v>0</v>
      </c>
      <c r="N273" s="58">
        <f t="shared" ca="1" si="32"/>
        <v>0</v>
      </c>
      <c r="P273" s="131" t="str">
        <f t="shared" ca="1" si="33"/>
        <v/>
      </c>
      <c r="Q273" s="111" t="str">
        <f ca="1">IF(C273="","",Q272+(E273+H273-IF(RESULTADOS!$C$17="Normal",I273,0)-J273)/2+(F273+G273-IF(RESULTADOS!$C$17="Normal",0,I273)))</f>
        <v/>
      </c>
      <c r="R273" s="111" t="str">
        <f ca="1">IF(C273="","",R272+(E273+H273-IF(RESULTADOS!$C$17="Normal",I273,0)-J273)/2)</f>
        <v/>
      </c>
      <c r="S273" s="111">
        <f t="shared" ca="1" si="36"/>
        <v>0</v>
      </c>
      <c r="U273" s="131" t="str">
        <f t="shared" ca="1" si="37"/>
        <v/>
      </c>
      <c r="V273" s="131" t="str">
        <f t="shared" ca="1" si="34"/>
        <v/>
      </c>
      <c r="W273" s="111">
        <f ca="1">IF(OR((W272-13/12*Z272)*(1+PREMISSAS!$C$17)&lt;0,W272=""),0,(W272-13/12*Z272)*(1+PREMISSAS!$C$17))</f>
        <v>0</v>
      </c>
      <c r="X273" s="111">
        <f ca="1">IF(OR((X272-13/12*AA272)*(1+PREMISSAS!$C$17)&lt;0,X272=""),0,(X272-13/12*AA272)*(1+PREMISSAS!$C$17))</f>
        <v>0</v>
      </c>
      <c r="Y273" s="111">
        <f t="shared" ca="1" si="35"/>
        <v>0</v>
      </c>
      <c r="Z273" s="134">
        <f t="shared" ca="1" si="38"/>
        <v>0</v>
      </c>
      <c r="AA273" s="134">
        <f t="shared" ca="1" si="39"/>
        <v>0</v>
      </c>
    </row>
    <row r="274" spans="2:27" x14ac:dyDescent="0.3">
      <c r="B274" s="21" t="str">
        <f ca="1">IF(B273="","",IF(EOMONTH(B273,1)&gt;EOMONTH(ELEGIBILIDADE!$E$5,0),"",EOMONTH(B273,1)))</f>
        <v/>
      </c>
      <c r="C274" s="22" t="str">
        <f ca="1">IF(B274="","",IF(MONTH(B274)=1,C273*(1+PREMISSAS!$C$58),C273))</f>
        <v/>
      </c>
      <c r="D274" s="22">
        <f ca="1">IF(RESULTADOS!$C$17="Normal",IFERROR(MAX(C274-PREMISSAS!$C$14,0),0),IF(PREMISSAS!$H$117=0,0,MAX(10*PREMISSAS!$C$39,RESULTADOS!$F$17)))</f>
        <v>0</v>
      </c>
      <c r="E274" s="4">
        <f ca="1">D274*IF(RESULTADOS!$C$17="Normal",RESULTADOS!$C$16,0)</f>
        <v>0</v>
      </c>
      <c r="F274" s="4">
        <f ca="1">IF(D274&lt;&gt;0,PREMISSAS!$N$83,0)</f>
        <v>0</v>
      </c>
      <c r="G274" s="4">
        <f ca="1">IFERROR(IF(RESULTADOS!$C$17="Normal",0,D274)*IF(RESULTADOS!$C$17="Normal",RESULTADOS!$C$18,RESULTADOS!$C$16),0)</f>
        <v>0</v>
      </c>
      <c r="H274" s="4">
        <f ca="1">IF(RESULTADOS!$C$17="Normal",E274,0)</f>
        <v>0</v>
      </c>
      <c r="I274" s="4">
        <f ca="1">(E274+H274+G274)*IFERROR(VLOOKUP(INT(COUNT($B$5:B274)/12),PREMISSAS!$B$62:$C$69,2,FALSE),PREMISSAS!$C$69)</f>
        <v>0</v>
      </c>
      <c r="J274" s="4">
        <f ca="1">D274*IF(RESULTADOS!$C$17="Normal",PREMISSAS!$C$71,0)</f>
        <v>0</v>
      </c>
      <c r="K274" s="87">
        <f ca="1">IFERROR(K273*(1+PREMISSAS!$C$19)+(E274+H274-IF(RESULTADOS!$C$17="Normal",I274,0)-J274)*IF(MONTH(B274)=12,2,1),0)</f>
        <v>0</v>
      </c>
      <c r="L274" s="87">
        <f ca="1">IFERROR((L273+G274-IF(RESULTADOS!$C$17="Normal",0,I274))*(1+PREMISSAS!$C$19)+F274,0)</f>
        <v>0</v>
      </c>
      <c r="N274" s="58">
        <f t="shared" ca="1" si="32"/>
        <v>0</v>
      </c>
      <c r="P274" s="131" t="str">
        <f t="shared" ca="1" si="33"/>
        <v/>
      </c>
      <c r="Q274" s="111" t="str">
        <f ca="1">IF(C274="","",Q273+(E274+H274-IF(RESULTADOS!$C$17="Normal",I274,0)-J274)/2+(F274+G274-IF(RESULTADOS!$C$17="Normal",0,I274)))</f>
        <v/>
      </c>
      <c r="R274" s="111" t="str">
        <f ca="1">IF(C274="","",R273+(E274+H274-IF(RESULTADOS!$C$17="Normal",I274,0)-J274)/2)</f>
        <v/>
      </c>
      <c r="S274" s="111">
        <f t="shared" ca="1" si="36"/>
        <v>0</v>
      </c>
      <c r="U274" s="131" t="str">
        <f t="shared" ca="1" si="37"/>
        <v/>
      </c>
      <c r="V274" s="131" t="str">
        <f t="shared" ca="1" si="34"/>
        <v/>
      </c>
      <c r="W274" s="111">
        <f ca="1">IF(OR((W273-13/12*Z273)*(1+PREMISSAS!$C$17)&lt;0,W273=""),0,(W273-13/12*Z273)*(1+PREMISSAS!$C$17))</f>
        <v>0</v>
      </c>
      <c r="X274" s="111">
        <f ca="1">IF(OR((X273-13/12*AA273)*(1+PREMISSAS!$C$17)&lt;0,X273=""),0,(X273-13/12*AA273)*(1+PREMISSAS!$C$17))</f>
        <v>0</v>
      </c>
      <c r="Y274" s="111">
        <f t="shared" ca="1" si="35"/>
        <v>0</v>
      </c>
      <c r="Z274" s="134">
        <f t="shared" ca="1" si="38"/>
        <v>0</v>
      </c>
      <c r="AA274" s="134">
        <f t="shared" ca="1" si="39"/>
        <v>0</v>
      </c>
    </row>
    <row r="275" spans="2:27" x14ac:dyDescent="0.3">
      <c r="B275" s="21" t="str">
        <f ca="1">IF(B274="","",IF(EOMONTH(B274,1)&gt;EOMONTH(ELEGIBILIDADE!$E$5,0),"",EOMONTH(B274,1)))</f>
        <v/>
      </c>
      <c r="C275" s="22" t="str">
        <f ca="1">IF(B275="","",IF(MONTH(B275)=1,C274*(1+PREMISSAS!$C$58),C274))</f>
        <v/>
      </c>
      <c r="D275" s="22">
        <f ca="1">IF(RESULTADOS!$C$17="Normal",IFERROR(MAX(C275-PREMISSAS!$C$14,0),0),IF(PREMISSAS!$H$117=0,0,MAX(10*PREMISSAS!$C$39,RESULTADOS!$F$17)))</f>
        <v>0</v>
      </c>
      <c r="E275" s="4">
        <f ca="1">D275*IF(RESULTADOS!$C$17="Normal",RESULTADOS!$C$16,0)</f>
        <v>0</v>
      </c>
      <c r="F275" s="4">
        <f ca="1">IF(D275&lt;&gt;0,PREMISSAS!$N$83,0)</f>
        <v>0</v>
      </c>
      <c r="G275" s="4">
        <f ca="1">IFERROR(IF(RESULTADOS!$C$17="Normal",0,D275)*IF(RESULTADOS!$C$17="Normal",RESULTADOS!$C$18,RESULTADOS!$C$16),0)</f>
        <v>0</v>
      </c>
      <c r="H275" s="4">
        <f ca="1">IF(RESULTADOS!$C$17="Normal",E275,0)</f>
        <v>0</v>
      </c>
      <c r="I275" s="4">
        <f ca="1">(E275+H275+G275)*IFERROR(VLOOKUP(INT(COUNT($B$5:B275)/12),PREMISSAS!$B$62:$C$69,2,FALSE),PREMISSAS!$C$69)</f>
        <v>0</v>
      </c>
      <c r="J275" s="4">
        <f ca="1">D275*IF(RESULTADOS!$C$17="Normal",PREMISSAS!$C$71,0)</f>
        <v>0</v>
      </c>
      <c r="K275" s="87">
        <f ca="1">IFERROR(K274*(1+PREMISSAS!$C$19)+(E275+H275-IF(RESULTADOS!$C$17="Normal",I275,0)-J275)*IF(MONTH(B275)=12,2,1),0)</f>
        <v>0</v>
      </c>
      <c r="L275" s="87">
        <f ca="1">IFERROR((L274+G275-IF(RESULTADOS!$C$17="Normal",0,I275))*(1+PREMISSAS!$C$19)+F275,0)</f>
        <v>0</v>
      </c>
      <c r="N275" s="58">
        <f t="shared" ca="1" si="32"/>
        <v>0</v>
      </c>
      <c r="P275" s="131" t="str">
        <f t="shared" ca="1" si="33"/>
        <v/>
      </c>
      <c r="Q275" s="111" t="str">
        <f ca="1">IF(C275="","",Q274+(E275+H275-IF(RESULTADOS!$C$17="Normal",I275,0)-J275)/2+(F275+G275-IF(RESULTADOS!$C$17="Normal",0,I275)))</f>
        <v/>
      </c>
      <c r="R275" s="111" t="str">
        <f ca="1">IF(C275="","",R274+(E275+H275-IF(RESULTADOS!$C$17="Normal",I275,0)-J275)/2)</f>
        <v/>
      </c>
      <c r="S275" s="111">
        <f t="shared" ca="1" si="36"/>
        <v>0</v>
      </c>
      <c r="U275" s="131" t="str">
        <f t="shared" ca="1" si="37"/>
        <v/>
      </c>
      <c r="V275" s="131" t="str">
        <f t="shared" ca="1" si="34"/>
        <v/>
      </c>
      <c r="W275" s="111">
        <f ca="1">IF(OR((W274-13/12*Z274)*(1+PREMISSAS!$C$17)&lt;0,W274=""),0,(W274-13/12*Z274)*(1+PREMISSAS!$C$17))</f>
        <v>0</v>
      </c>
      <c r="X275" s="111">
        <f ca="1">IF(OR((X274-13/12*AA274)*(1+PREMISSAS!$C$17)&lt;0,X274=""),0,(X274-13/12*AA274)*(1+PREMISSAS!$C$17))</f>
        <v>0</v>
      </c>
      <c r="Y275" s="111">
        <f t="shared" ca="1" si="35"/>
        <v>0</v>
      </c>
      <c r="Z275" s="134">
        <f t="shared" ca="1" si="38"/>
        <v>0</v>
      </c>
      <c r="AA275" s="134">
        <f t="shared" ca="1" si="39"/>
        <v>0</v>
      </c>
    </row>
    <row r="276" spans="2:27" x14ac:dyDescent="0.3">
      <c r="B276" s="21" t="str">
        <f ca="1">IF(B275="","",IF(EOMONTH(B275,1)&gt;EOMONTH(ELEGIBILIDADE!$E$5,0),"",EOMONTH(B275,1)))</f>
        <v/>
      </c>
      <c r="C276" s="22" t="str">
        <f ca="1">IF(B276="","",IF(MONTH(B276)=1,C275*(1+PREMISSAS!$C$58),C275))</f>
        <v/>
      </c>
      <c r="D276" s="22">
        <f ca="1">IF(RESULTADOS!$C$17="Normal",IFERROR(MAX(C276-PREMISSAS!$C$14,0),0),IF(PREMISSAS!$H$117=0,0,MAX(10*PREMISSAS!$C$39,RESULTADOS!$F$17)))</f>
        <v>0</v>
      </c>
      <c r="E276" s="4">
        <f ca="1">D276*IF(RESULTADOS!$C$17="Normal",RESULTADOS!$C$16,0)</f>
        <v>0</v>
      </c>
      <c r="F276" s="4">
        <f ca="1">IF(D276&lt;&gt;0,PREMISSAS!$N$83,0)</f>
        <v>0</v>
      </c>
      <c r="G276" s="4">
        <f ca="1">IFERROR(IF(RESULTADOS!$C$17="Normal",0,D276)*IF(RESULTADOS!$C$17="Normal",RESULTADOS!$C$18,RESULTADOS!$C$16),0)</f>
        <v>0</v>
      </c>
      <c r="H276" s="4">
        <f ca="1">IF(RESULTADOS!$C$17="Normal",E276,0)</f>
        <v>0</v>
      </c>
      <c r="I276" s="4">
        <f ca="1">(E276+H276+G276)*IFERROR(VLOOKUP(INT(COUNT($B$5:B276)/12),PREMISSAS!$B$62:$C$69,2,FALSE),PREMISSAS!$C$69)</f>
        <v>0</v>
      </c>
      <c r="J276" s="4">
        <f ca="1">D276*IF(RESULTADOS!$C$17="Normal",PREMISSAS!$C$71,0)</f>
        <v>0</v>
      </c>
      <c r="K276" s="87">
        <f ca="1">IFERROR(K275*(1+PREMISSAS!$C$19)+(E276+H276-IF(RESULTADOS!$C$17="Normal",I276,0)-J276)*IF(MONTH(B276)=12,2,1),0)</f>
        <v>0</v>
      </c>
      <c r="L276" s="87">
        <f ca="1">IFERROR((L275+G276-IF(RESULTADOS!$C$17="Normal",0,I276))*(1+PREMISSAS!$C$19)+F276,0)</f>
        <v>0</v>
      </c>
      <c r="N276" s="58">
        <f t="shared" ca="1" si="32"/>
        <v>0</v>
      </c>
      <c r="P276" s="131" t="str">
        <f t="shared" ca="1" si="33"/>
        <v/>
      </c>
      <c r="Q276" s="111" t="str">
        <f ca="1">IF(C276="","",Q275+(E276+H276-IF(RESULTADOS!$C$17="Normal",I276,0)-J276)/2+(F276+G276-IF(RESULTADOS!$C$17="Normal",0,I276)))</f>
        <v/>
      </c>
      <c r="R276" s="111" t="str">
        <f ca="1">IF(C276="","",R275+(E276+H276-IF(RESULTADOS!$C$17="Normal",I276,0)-J276)/2)</f>
        <v/>
      </c>
      <c r="S276" s="111">
        <f t="shared" ca="1" si="36"/>
        <v>0</v>
      </c>
      <c r="U276" s="131" t="str">
        <f t="shared" ca="1" si="37"/>
        <v/>
      </c>
      <c r="V276" s="131" t="str">
        <f t="shared" ca="1" si="34"/>
        <v/>
      </c>
      <c r="W276" s="111">
        <f ca="1">IF(OR((W275-13/12*Z275)*(1+PREMISSAS!$C$17)&lt;0,W275=""),0,(W275-13/12*Z275)*(1+PREMISSAS!$C$17))</f>
        <v>0</v>
      </c>
      <c r="X276" s="111">
        <f ca="1">IF(OR((X275-13/12*AA275)*(1+PREMISSAS!$C$17)&lt;0,X275=""),0,(X275-13/12*AA275)*(1+PREMISSAS!$C$17))</f>
        <v>0</v>
      </c>
      <c r="Y276" s="111">
        <f t="shared" ca="1" si="35"/>
        <v>0</v>
      </c>
      <c r="Z276" s="134">
        <f t="shared" ca="1" si="38"/>
        <v>0</v>
      </c>
      <c r="AA276" s="134">
        <f t="shared" ca="1" si="39"/>
        <v>0</v>
      </c>
    </row>
    <row r="277" spans="2:27" x14ac:dyDescent="0.3">
      <c r="B277" s="21" t="str">
        <f ca="1">IF(B276="","",IF(EOMONTH(B276,1)&gt;EOMONTH(ELEGIBILIDADE!$E$5,0),"",EOMONTH(B276,1)))</f>
        <v/>
      </c>
      <c r="C277" s="22" t="str">
        <f ca="1">IF(B277="","",IF(MONTH(B277)=1,C276*(1+PREMISSAS!$C$58),C276))</f>
        <v/>
      </c>
      <c r="D277" s="22">
        <f ca="1">IF(RESULTADOS!$C$17="Normal",IFERROR(MAX(C277-PREMISSAS!$C$14,0),0),IF(PREMISSAS!$H$117=0,0,MAX(10*PREMISSAS!$C$39,RESULTADOS!$F$17)))</f>
        <v>0</v>
      </c>
      <c r="E277" s="4">
        <f ca="1">D277*IF(RESULTADOS!$C$17="Normal",RESULTADOS!$C$16,0)</f>
        <v>0</v>
      </c>
      <c r="F277" s="4">
        <f ca="1">IF(D277&lt;&gt;0,PREMISSAS!$N$83,0)</f>
        <v>0</v>
      </c>
      <c r="G277" s="4">
        <f ca="1">IFERROR(IF(RESULTADOS!$C$17="Normal",0,D277)*IF(RESULTADOS!$C$17="Normal",RESULTADOS!$C$18,RESULTADOS!$C$16),0)</f>
        <v>0</v>
      </c>
      <c r="H277" s="4">
        <f ca="1">IF(RESULTADOS!$C$17="Normal",E277,0)</f>
        <v>0</v>
      </c>
      <c r="I277" s="4">
        <f ca="1">(E277+H277+G277)*IFERROR(VLOOKUP(INT(COUNT($B$5:B277)/12),PREMISSAS!$B$62:$C$69,2,FALSE),PREMISSAS!$C$69)</f>
        <v>0</v>
      </c>
      <c r="J277" s="4">
        <f ca="1">D277*IF(RESULTADOS!$C$17="Normal",PREMISSAS!$C$71,0)</f>
        <v>0</v>
      </c>
      <c r="K277" s="87">
        <f ca="1">IFERROR(K276*(1+PREMISSAS!$C$19)+(E277+H277-IF(RESULTADOS!$C$17="Normal",I277,0)-J277)*IF(MONTH(B277)=12,2,1),0)</f>
        <v>0</v>
      </c>
      <c r="L277" s="87">
        <f ca="1">IFERROR((L276+G277-IF(RESULTADOS!$C$17="Normal",0,I277))*(1+PREMISSAS!$C$19)+F277,0)</f>
        <v>0</v>
      </c>
      <c r="N277" s="58">
        <f t="shared" ca="1" si="32"/>
        <v>0</v>
      </c>
      <c r="P277" s="131" t="str">
        <f t="shared" ca="1" si="33"/>
        <v/>
      </c>
      <c r="Q277" s="111" t="str">
        <f ca="1">IF(C277="","",Q276+(E277+H277-IF(RESULTADOS!$C$17="Normal",I277,0)-J277)/2+(F277+G277-IF(RESULTADOS!$C$17="Normal",0,I277)))</f>
        <v/>
      </c>
      <c r="R277" s="111" t="str">
        <f ca="1">IF(C277="","",R276+(E277+H277-IF(RESULTADOS!$C$17="Normal",I277,0)-J277)/2)</f>
        <v/>
      </c>
      <c r="S277" s="111">
        <f t="shared" ca="1" si="36"/>
        <v>0</v>
      </c>
      <c r="U277" s="131" t="str">
        <f t="shared" ca="1" si="37"/>
        <v/>
      </c>
      <c r="V277" s="131" t="str">
        <f t="shared" ca="1" si="34"/>
        <v/>
      </c>
      <c r="W277" s="111">
        <f ca="1">IF(OR((W276-13/12*Z276)*(1+PREMISSAS!$C$17)&lt;0,W276=""),0,(W276-13/12*Z276)*(1+PREMISSAS!$C$17))</f>
        <v>0</v>
      </c>
      <c r="X277" s="111">
        <f ca="1">IF(OR((X276-13/12*AA276)*(1+PREMISSAS!$C$17)&lt;0,X276=""),0,(X276-13/12*AA276)*(1+PREMISSAS!$C$17))</f>
        <v>0</v>
      </c>
      <c r="Y277" s="111">
        <f t="shared" ca="1" si="35"/>
        <v>0</v>
      </c>
      <c r="Z277" s="134">
        <f t="shared" ca="1" si="38"/>
        <v>0</v>
      </c>
      <c r="AA277" s="134">
        <f t="shared" ca="1" si="39"/>
        <v>0</v>
      </c>
    </row>
    <row r="278" spans="2:27" x14ac:dyDescent="0.3">
      <c r="B278" s="21" t="str">
        <f ca="1">IF(B277="","",IF(EOMONTH(B277,1)&gt;EOMONTH(ELEGIBILIDADE!$E$5,0),"",EOMONTH(B277,1)))</f>
        <v/>
      </c>
      <c r="C278" s="22" t="str">
        <f ca="1">IF(B278="","",IF(MONTH(B278)=1,C277*(1+PREMISSAS!$C$58),C277))</f>
        <v/>
      </c>
      <c r="D278" s="22">
        <f ca="1">IF(RESULTADOS!$C$17="Normal",IFERROR(MAX(C278-PREMISSAS!$C$14,0),0),IF(PREMISSAS!$H$117=0,0,MAX(10*PREMISSAS!$C$39,RESULTADOS!$F$17)))</f>
        <v>0</v>
      </c>
      <c r="E278" s="4">
        <f ca="1">D278*IF(RESULTADOS!$C$17="Normal",RESULTADOS!$C$16,0)</f>
        <v>0</v>
      </c>
      <c r="F278" s="4">
        <f ca="1">IF(D278&lt;&gt;0,PREMISSAS!$N$83,0)</f>
        <v>0</v>
      </c>
      <c r="G278" s="4">
        <f ca="1">IFERROR(IF(RESULTADOS!$C$17="Normal",0,D278)*IF(RESULTADOS!$C$17="Normal",RESULTADOS!$C$18,RESULTADOS!$C$16),0)</f>
        <v>0</v>
      </c>
      <c r="H278" s="4">
        <f ca="1">IF(RESULTADOS!$C$17="Normal",E278,0)</f>
        <v>0</v>
      </c>
      <c r="I278" s="4">
        <f ca="1">(E278+H278+G278)*IFERROR(VLOOKUP(INT(COUNT($B$5:B278)/12),PREMISSAS!$B$62:$C$69,2,FALSE),PREMISSAS!$C$69)</f>
        <v>0</v>
      </c>
      <c r="J278" s="4">
        <f ca="1">D278*IF(RESULTADOS!$C$17="Normal",PREMISSAS!$C$71,0)</f>
        <v>0</v>
      </c>
      <c r="K278" s="87">
        <f ca="1">IFERROR(K277*(1+PREMISSAS!$C$19)+(E278+H278-IF(RESULTADOS!$C$17="Normal",I278,0)-J278)*IF(MONTH(B278)=12,2,1),0)</f>
        <v>0</v>
      </c>
      <c r="L278" s="87">
        <f ca="1">IFERROR((L277+G278-IF(RESULTADOS!$C$17="Normal",0,I278))*(1+PREMISSAS!$C$19)+F278,0)</f>
        <v>0</v>
      </c>
      <c r="N278" s="58">
        <f t="shared" ca="1" si="32"/>
        <v>0</v>
      </c>
      <c r="P278" s="131" t="str">
        <f t="shared" ca="1" si="33"/>
        <v/>
      </c>
      <c r="Q278" s="111" t="str">
        <f ca="1">IF(C278="","",Q277+(E278+H278-IF(RESULTADOS!$C$17="Normal",I278,0)-J278)/2+(F278+G278-IF(RESULTADOS!$C$17="Normal",0,I278)))</f>
        <v/>
      </c>
      <c r="R278" s="111" t="str">
        <f ca="1">IF(C278="","",R277+(E278+H278-IF(RESULTADOS!$C$17="Normal",I278,0)-J278)/2)</f>
        <v/>
      </c>
      <c r="S278" s="111">
        <f t="shared" ca="1" si="36"/>
        <v>0</v>
      </c>
      <c r="U278" s="131" t="str">
        <f t="shared" ca="1" si="37"/>
        <v/>
      </c>
      <c r="V278" s="131" t="str">
        <f t="shared" ca="1" si="34"/>
        <v/>
      </c>
      <c r="W278" s="111">
        <f ca="1">IF(OR((W277-13/12*Z277)*(1+PREMISSAS!$C$17)&lt;0,W277=""),0,(W277-13/12*Z277)*(1+PREMISSAS!$C$17))</f>
        <v>0</v>
      </c>
      <c r="X278" s="111">
        <f ca="1">IF(OR((X277-13/12*AA277)*(1+PREMISSAS!$C$17)&lt;0,X277=""),0,(X277-13/12*AA277)*(1+PREMISSAS!$C$17))</f>
        <v>0</v>
      </c>
      <c r="Y278" s="111">
        <f t="shared" ca="1" si="35"/>
        <v>0</v>
      </c>
      <c r="Z278" s="134">
        <f t="shared" ca="1" si="38"/>
        <v>0</v>
      </c>
      <c r="AA278" s="134">
        <f t="shared" ca="1" si="39"/>
        <v>0</v>
      </c>
    </row>
    <row r="279" spans="2:27" x14ac:dyDescent="0.3">
      <c r="B279" s="21" t="str">
        <f ca="1">IF(B278="","",IF(EOMONTH(B278,1)&gt;EOMONTH(ELEGIBILIDADE!$E$5,0),"",EOMONTH(B278,1)))</f>
        <v/>
      </c>
      <c r="C279" s="22" t="str">
        <f ca="1">IF(B279="","",IF(MONTH(B279)=1,C278*(1+PREMISSAS!$C$58),C278))</f>
        <v/>
      </c>
      <c r="D279" s="22">
        <f ca="1">IF(RESULTADOS!$C$17="Normal",IFERROR(MAX(C279-PREMISSAS!$C$14,0),0),IF(PREMISSAS!$H$117=0,0,MAX(10*PREMISSAS!$C$39,RESULTADOS!$F$17)))</f>
        <v>0</v>
      </c>
      <c r="E279" s="4">
        <f ca="1">D279*IF(RESULTADOS!$C$17="Normal",RESULTADOS!$C$16,0)</f>
        <v>0</v>
      </c>
      <c r="F279" s="4">
        <f ca="1">IF(D279&lt;&gt;0,PREMISSAS!$N$83,0)</f>
        <v>0</v>
      </c>
      <c r="G279" s="4">
        <f ca="1">IFERROR(IF(RESULTADOS!$C$17="Normal",0,D279)*IF(RESULTADOS!$C$17="Normal",RESULTADOS!$C$18,RESULTADOS!$C$16),0)</f>
        <v>0</v>
      </c>
      <c r="H279" s="4">
        <f ca="1">IF(RESULTADOS!$C$17="Normal",E279,0)</f>
        <v>0</v>
      </c>
      <c r="I279" s="4">
        <f ca="1">(E279+H279+G279)*IFERROR(VLOOKUP(INT(COUNT($B$5:B279)/12),PREMISSAS!$B$62:$C$69,2,FALSE),PREMISSAS!$C$69)</f>
        <v>0</v>
      </c>
      <c r="J279" s="4">
        <f ca="1">D279*IF(RESULTADOS!$C$17="Normal",PREMISSAS!$C$71,0)</f>
        <v>0</v>
      </c>
      <c r="K279" s="87">
        <f ca="1">IFERROR(K278*(1+PREMISSAS!$C$19)+(E279+H279-IF(RESULTADOS!$C$17="Normal",I279,0)-J279)*IF(MONTH(B279)=12,2,1),0)</f>
        <v>0</v>
      </c>
      <c r="L279" s="87">
        <f ca="1">IFERROR((L278+G279-IF(RESULTADOS!$C$17="Normal",0,I279))*(1+PREMISSAS!$C$19)+F279,0)</f>
        <v>0</v>
      </c>
      <c r="N279" s="58">
        <f t="shared" ca="1" si="32"/>
        <v>0</v>
      </c>
      <c r="P279" s="131" t="str">
        <f t="shared" ca="1" si="33"/>
        <v/>
      </c>
      <c r="Q279" s="111" t="str">
        <f ca="1">IF(C279="","",Q278+(E279+H279-IF(RESULTADOS!$C$17="Normal",I279,0)-J279)/2+(F279+G279-IF(RESULTADOS!$C$17="Normal",0,I279)))</f>
        <v/>
      </c>
      <c r="R279" s="111" t="str">
        <f ca="1">IF(C279="","",R278+(E279+H279-IF(RESULTADOS!$C$17="Normal",I279,0)-J279)/2)</f>
        <v/>
      </c>
      <c r="S279" s="111">
        <f t="shared" ca="1" si="36"/>
        <v>0</v>
      </c>
      <c r="U279" s="131" t="str">
        <f t="shared" ca="1" si="37"/>
        <v/>
      </c>
      <c r="V279" s="131" t="str">
        <f t="shared" ca="1" si="34"/>
        <v/>
      </c>
      <c r="W279" s="111">
        <f ca="1">IF(OR((W278-13/12*Z278)*(1+PREMISSAS!$C$17)&lt;0,W278=""),0,(W278-13/12*Z278)*(1+PREMISSAS!$C$17))</f>
        <v>0</v>
      </c>
      <c r="X279" s="111">
        <f ca="1">IF(OR((X278-13/12*AA278)*(1+PREMISSAS!$C$17)&lt;0,X278=""),0,(X278-13/12*AA278)*(1+PREMISSAS!$C$17))</f>
        <v>0</v>
      </c>
      <c r="Y279" s="111">
        <f t="shared" ca="1" si="35"/>
        <v>0</v>
      </c>
      <c r="Z279" s="134">
        <f t="shared" ca="1" si="38"/>
        <v>0</v>
      </c>
      <c r="AA279" s="134">
        <f t="shared" ca="1" si="39"/>
        <v>0</v>
      </c>
    </row>
    <row r="280" spans="2:27" x14ac:dyDescent="0.3">
      <c r="B280" s="21" t="str">
        <f ca="1">IF(B279="","",IF(EOMONTH(B279,1)&gt;EOMONTH(ELEGIBILIDADE!$E$5,0),"",EOMONTH(B279,1)))</f>
        <v/>
      </c>
      <c r="C280" s="22" t="str">
        <f ca="1">IF(B280="","",IF(MONTH(B280)=1,C279*(1+PREMISSAS!$C$58),C279))</f>
        <v/>
      </c>
      <c r="D280" s="22">
        <f ca="1">IF(RESULTADOS!$C$17="Normal",IFERROR(MAX(C280-PREMISSAS!$C$14,0),0),IF(PREMISSAS!$H$117=0,0,MAX(10*PREMISSAS!$C$39,RESULTADOS!$F$17)))</f>
        <v>0</v>
      </c>
      <c r="E280" s="4">
        <f ca="1">D280*IF(RESULTADOS!$C$17="Normal",RESULTADOS!$C$16,0)</f>
        <v>0</v>
      </c>
      <c r="F280" s="4">
        <f ca="1">IF(D280&lt;&gt;0,PREMISSAS!$N$83,0)</f>
        <v>0</v>
      </c>
      <c r="G280" s="4">
        <f ca="1">IFERROR(IF(RESULTADOS!$C$17="Normal",0,D280)*IF(RESULTADOS!$C$17="Normal",RESULTADOS!$C$18,RESULTADOS!$C$16),0)</f>
        <v>0</v>
      </c>
      <c r="H280" s="4">
        <f ca="1">IF(RESULTADOS!$C$17="Normal",E280,0)</f>
        <v>0</v>
      </c>
      <c r="I280" s="4">
        <f ca="1">(E280+H280+G280)*IFERROR(VLOOKUP(INT(COUNT($B$5:B280)/12),PREMISSAS!$B$62:$C$69,2,FALSE),PREMISSAS!$C$69)</f>
        <v>0</v>
      </c>
      <c r="J280" s="4">
        <f ca="1">D280*IF(RESULTADOS!$C$17="Normal",PREMISSAS!$C$71,0)</f>
        <v>0</v>
      </c>
      <c r="K280" s="87">
        <f ca="1">IFERROR(K279*(1+PREMISSAS!$C$19)+(E280+H280-IF(RESULTADOS!$C$17="Normal",I280,0)-J280)*IF(MONTH(B280)=12,2,1),0)</f>
        <v>0</v>
      </c>
      <c r="L280" s="87">
        <f ca="1">IFERROR((L279+G280-IF(RESULTADOS!$C$17="Normal",0,I280))*(1+PREMISSAS!$C$19)+F280,0)</f>
        <v>0</v>
      </c>
      <c r="N280" s="58">
        <f t="shared" ca="1" si="32"/>
        <v>0</v>
      </c>
      <c r="P280" s="131" t="str">
        <f t="shared" ca="1" si="33"/>
        <v/>
      </c>
      <c r="Q280" s="111" t="str">
        <f ca="1">IF(C280="","",Q279+(E280+H280-IF(RESULTADOS!$C$17="Normal",I280,0)-J280)/2+(F280+G280-IF(RESULTADOS!$C$17="Normal",0,I280)))</f>
        <v/>
      </c>
      <c r="R280" s="111" t="str">
        <f ca="1">IF(C280="","",R279+(E280+H280-IF(RESULTADOS!$C$17="Normal",I280,0)-J280)/2)</f>
        <v/>
      </c>
      <c r="S280" s="111">
        <f t="shared" ca="1" si="36"/>
        <v>0</v>
      </c>
      <c r="U280" s="131" t="str">
        <f t="shared" ca="1" si="37"/>
        <v/>
      </c>
      <c r="V280" s="131" t="str">
        <f t="shared" ca="1" si="34"/>
        <v/>
      </c>
      <c r="W280" s="111">
        <f ca="1">IF(OR((W279-13/12*Z279)*(1+PREMISSAS!$C$17)&lt;0,W279=""),0,(W279-13/12*Z279)*(1+PREMISSAS!$C$17))</f>
        <v>0</v>
      </c>
      <c r="X280" s="111">
        <f ca="1">IF(OR((X279-13/12*AA279)*(1+PREMISSAS!$C$17)&lt;0,X279=""),0,(X279-13/12*AA279)*(1+PREMISSAS!$C$17))</f>
        <v>0</v>
      </c>
      <c r="Y280" s="111">
        <f t="shared" ca="1" si="35"/>
        <v>0</v>
      </c>
      <c r="Z280" s="134">
        <f t="shared" ca="1" si="38"/>
        <v>0</v>
      </c>
      <c r="AA280" s="134">
        <f t="shared" ca="1" si="39"/>
        <v>0</v>
      </c>
    </row>
    <row r="281" spans="2:27" x14ac:dyDescent="0.3">
      <c r="B281" s="21" t="str">
        <f ca="1">IF(B280="","",IF(EOMONTH(B280,1)&gt;EOMONTH(ELEGIBILIDADE!$E$5,0),"",EOMONTH(B280,1)))</f>
        <v/>
      </c>
      <c r="C281" s="22" t="str">
        <f ca="1">IF(B281="","",IF(MONTH(B281)=1,C280*(1+PREMISSAS!$C$58),C280))</f>
        <v/>
      </c>
      <c r="D281" s="22">
        <f ca="1">IF(RESULTADOS!$C$17="Normal",IFERROR(MAX(C281-PREMISSAS!$C$14,0),0),IF(PREMISSAS!$H$117=0,0,MAX(10*PREMISSAS!$C$39,RESULTADOS!$F$17)))</f>
        <v>0</v>
      </c>
      <c r="E281" s="4">
        <f ca="1">D281*IF(RESULTADOS!$C$17="Normal",RESULTADOS!$C$16,0)</f>
        <v>0</v>
      </c>
      <c r="F281" s="4">
        <f ca="1">IF(D281&lt;&gt;0,PREMISSAS!$N$83,0)</f>
        <v>0</v>
      </c>
      <c r="G281" s="4">
        <f ca="1">IFERROR(IF(RESULTADOS!$C$17="Normal",0,D281)*IF(RESULTADOS!$C$17="Normal",RESULTADOS!$C$18,RESULTADOS!$C$16),0)</f>
        <v>0</v>
      </c>
      <c r="H281" s="4">
        <f ca="1">IF(RESULTADOS!$C$17="Normal",E281,0)</f>
        <v>0</v>
      </c>
      <c r="I281" s="4">
        <f ca="1">(E281+H281+G281)*IFERROR(VLOOKUP(INT(COUNT($B$5:B281)/12),PREMISSAS!$B$62:$C$69,2,FALSE),PREMISSAS!$C$69)</f>
        <v>0</v>
      </c>
      <c r="J281" s="4">
        <f ca="1">D281*IF(RESULTADOS!$C$17="Normal",PREMISSAS!$C$71,0)</f>
        <v>0</v>
      </c>
      <c r="K281" s="87">
        <f ca="1">IFERROR(K280*(1+PREMISSAS!$C$19)+(E281+H281-IF(RESULTADOS!$C$17="Normal",I281,0)-J281)*IF(MONTH(B281)=12,2,1),0)</f>
        <v>0</v>
      </c>
      <c r="L281" s="87">
        <f ca="1">IFERROR((L280+G281-IF(RESULTADOS!$C$17="Normal",0,I281))*(1+PREMISSAS!$C$19)+F281,0)</f>
        <v>0</v>
      </c>
      <c r="N281" s="58">
        <f t="shared" ca="1" si="32"/>
        <v>0</v>
      </c>
      <c r="P281" s="131" t="str">
        <f t="shared" ca="1" si="33"/>
        <v/>
      </c>
      <c r="Q281" s="111" t="str">
        <f ca="1">IF(C281="","",Q280+(E281+H281-IF(RESULTADOS!$C$17="Normal",I281,0)-J281)/2+(F281+G281-IF(RESULTADOS!$C$17="Normal",0,I281)))</f>
        <v/>
      </c>
      <c r="R281" s="111" t="str">
        <f ca="1">IF(C281="","",R280+(E281+H281-IF(RESULTADOS!$C$17="Normal",I281,0)-J281)/2)</f>
        <v/>
      </c>
      <c r="S281" s="111">
        <f t="shared" ca="1" si="36"/>
        <v>0</v>
      </c>
      <c r="U281" s="131" t="str">
        <f t="shared" ca="1" si="37"/>
        <v/>
      </c>
      <c r="V281" s="131" t="str">
        <f t="shared" ca="1" si="34"/>
        <v/>
      </c>
      <c r="W281" s="111">
        <f ca="1">IF(OR((W280-13/12*Z280)*(1+PREMISSAS!$C$17)&lt;0,W280=""),0,(W280-13/12*Z280)*(1+PREMISSAS!$C$17))</f>
        <v>0</v>
      </c>
      <c r="X281" s="111">
        <f ca="1">IF(OR((X280-13/12*AA280)*(1+PREMISSAS!$C$17)&lt;0,X280=""),0,(X280-13/12*AA280)*(1+PREMISSAS!$C$17))</f>
        <v>0</v>
      </c>
      <c r="Y281" s="111">
        <f t="shared" ca="1" si="35"/>
        <v>0</v>
      </c>
      <c r="Z281" s="134">
        <f t="shared" ca="1" si="38"/>
        <v>0</v>
      </c>
      <c r="AA281" s="134">
        <f t="shared" ca="1" si="39"/>
        <v>0</v>
      </c>
    </row>
    <row r="282" spans="2:27" x14ac:dyDescent="0.3">
      <c r="B282" s="21" t="str">
        <f ca="1">IF(B281="","",IF(EOMONTH(B281,1)&gt;EOMONTH(ELEGIBILIDADE!$E$5,0),"",EOMONTH(B281,1)))</f>
        <v/>
      </c>
      <c r="C282" s="22" t="str">
        <f ca="1">IF(B282="","",IF(MONTH(B282)=1,C281*(1+PREMISSAS!$C$58),C281))</f>
        <v/>
      </c>
      <c r="D282" s="22">
        <f ca="1">IF(RESULTADOS!$C$17="Normal",IFERROR(MAX(C282-PREMISSAS!$C$14,0),0),IF(PREMISSAS!$H$117=0,0,MAX(10*PREMISSAS!$C$39,RESULTADOS!$F$17)))</f>
        <v>0</v>
      </c>
      <c r="E282" s="4">
        <f ca="1">D282*IF(RESULTADOS!$C$17="Normal",RESULTADOS!$C$16,0)</f>
        <v>0</v>
      </c>
      <c r="F282" s="4">
        <f ca="1">IF(D282&lt;&gt;0,PREMISSAS!$N$83,0)</f>
        <v>0</v>
      </c>
      <c r="G282" s="4">
        <f ca="1">IFERROR(IF(RESULTADOS!$C$17="Normal",0,D282)*IF(RESULTADOS!$C$17="Normal",RESULTADOS!$C$18,RESULTADOS!$C$16),0)</f>
        <v>0</v>
      </c>
      <c r="H282" s="4">
        <f ca="1">IF(RESULTADOS!$C$17="Normal",E282,0)</f>
        <v>0</v>
      </c>
      <c r="I282" s="4">
        <f ca="1">(E282+H282+G282)*IFERROR(VLOOKUP(INT(COUNT($B$5:B282)/12),PREMISSAS!$B$62:$C$69,2,FALSE),PREMISSAS!$C$69)</f>
        <v>0</v>
      </c>
      <c r="J282" s="4">
        <f ca="1">D282*IF(RESULTADOS!$C$17="Normal",PREMISSAS!$C$71,0)</f>
        <v>0</v>
      </c>
      <c r="K282" s="87">
        <f ca="1">IFERROR(K281*(1+PREMISSAS!$C$19)+(E282+H282-IF(RESULTADOS!$C$17="Normal",I282,0)-J282)*IF(MONTH(B282)=12,2,1),0)</f>
        <v>0</v>
      </c>
      <c r="L282" s="87">
        <f ca="1">IFERROR((L281+G282-IF(RESULTADOS!$C$17="Normal",0,I282))*(1+PREMISSAS!$C$19)+F282,0)</f>
        <v>0</v>
      </c>
      <c r="N282" s="58">
        <f t="shared" ca="1" si="32"/>
        <v>0</v>
      </c>
      <c r="P282" s="131" t="str">
        <f t="shared" ca="1" si="33"/>
        <v/>
      </c>
      <c r="Q282" s="111" t="str">
        <f ca="1">IF(C282="","",Q281+(E282+H282-IF(RESULTADOS!$C$17="Normal",I282,0)-J282)/2+(F282+G282-IF(RESULTADOS!$C$17="Normal",0,I282)))</f>
        <v/>
      </c>
      <c r="R282" s="111" t="str">
        <f ca="1">IF(C282="","",R281+(E282+H282-IF(RESULTADOS!$C$17="Normal",I282,0)-J282)/2)</f>
        <v/>
      </c>
      <c r="S282" s="111">
        <f t="shared" ca="1" si="36"/>
        <v>0</v>
      </c>
      <c r="U282" s="131" t="str">
        <f t="shared" ca="1" si="37"/>
        <v/>
      </c>
      <c r="V282" s="131" t="str">
        <f t="shared" ca="1" si="34"/>
        <v/>
      </c>
      <c r="W282" s="111">
        <f ca="1">IF(OR((W281-13/12*Z281)*(1+PREMISSAS!$C$17)&lt;0,W281=""),0,(W281-13/12*Z281)*(1+PREMISSAS!$C$17))</f>
        <v>0</v>
      </c>
      <c r="X282" s="111">
        <f ca="1">IF(OR((X281-13/12*AA281)*(1+PREMISSAS!$C$17)&lt;0,X281=""),0,(X281-13/12*AA281)*(1+PREMISSAS!$C$17))</f>
        <v>0</v>
      </c>
      <c r="Y282" s="111">
        <f t="shared" ca="1" si="35"/>
        <v>0</v>
      </c>
      <c r="Z282" s="134">
        <f t="shared" ca="1" si="38"/>
        <v>0</v>
      </c>
      <c r="AA282" s="134">
        <f t="shared" ca="1" si="39"/>
        <v>0</v>
      </c>
    </row>
    <row r="283" spans="2:27" x14ac:dyDescent="0.3">
      <c r="B283" s="21" t="str">
        <f ca="1">IF(B282="","",IF(EOMONTH(B282,1)&gt;EOMONTH(ELEGIBILIDADE!$E$5,0),"",EOMONTH(B282,1)))</f>
        <v/>
      </c>
      <c r="C283" s="22" t="str">
        <f ca="1">IF(B283="","",IF(MONTH(B283)=1,C282*(1+PREMISSAS!$C$58),C282))</f>
        <v/>
      </c>
      <c r="D283" s="22">
        <f ca="1">IF(RESULTADOS!$C$17="Normal",IFERROR(MAX(C283-PREMISSAS!$C$14,0),0),IF(PREMISSAS!$H$117=0,0,MAX(10*PREMISSAS!$C$39,RESULTADOS!$F$17)))</f>
        <v>0</v>
      </c>
      <c r="E283" s="4">
        <f ca="1">D283*IF(RESULTADOS!$C$17="Normal",RESULTADOS!$C$16,0)</f>
        <v>0</v>
      </c>
      <c r="F283" s="4">
        <f ca="1">IF(D283&lt;&gt;0,PREMISSAS!$N$83,0)</f>
        <v>0</v>
      </c>
      <c r="G283" s="4">
        <f ca="1">IFERROR(IF(RESULTADOS!$C$17="Normal",0,D283)*IF(RESULTADOS!$C$17="Normal",RESULTADOS!$C$18,RESULTADOS!$C$16),0)</f>
        <v>0</v>
      </c>
      <c r="H283" s="4">
        <f ca="1">IF(RESULTADOS!$C$17="Normal",E283,0)</f>
        <v>0</v>
      </c>
      <c r="I283" s="4">
        <f ca="1">(E283+H283+G283)*IFERROR(VLOOKUP(INT(COUNT($B$5:B283)/12),PREMISSAS!$B$62:$C$69,2,FALSE),PREMISSAS!$C$69)</f>
        <v>0</v>
      </c>
      <c r="J283" s="4">
        <f ca="1">D283*IF(RESULTADOS!$C$17="Normal",PREMISSAS!$C$71,0)</f>
        <v>0</v>
      </c>
      <c r="K283" s="87">
        <f ca="1">IFERROR(K282*(1+PREMISSAS!$C$19)+(E283+H283-IF(RESULTADOS!$C$17="Normal",I283,0)-J283)*IF(MONTH(B283)=12,2,1),0)</f>
        <v>0</v>
      </c>
      <c r="L283" s="87">
        <f ca="1">IFERROR((L282+G283-IF(RESULTADOS!$C$17="Normal",0,I283))*(1+PREMISSAS!$C$19)+F283,0)</f>
        <v>0</v>
      </c>
      <c r="N283" s="58">
        <f t="shared" ca="1" si="32"/>
        <v>0</v>
      </c>
      <c r="P283" s="131" t="str">
        <f t="shared" ca="1" si="33"/>
        <v/>
      </c>
      <c r="Q283" s="111" t="str">
        <f ca="1">IF(C283="","",Q282+(E283+H283-IF(RESULTADOS!$C$17="Normal",I283,0)-J283)/2+(F283+G283-IF(RESULTADOS!$C$17="Normal",0,I283)))</f>
        <v/>
      </c>
      <c r="R283" s="111" t="str">
        <f ca="1">IF(C283="","",R282+(E283+H283-IF(RESULTADOS!$C$17="Normal",I283,0)-J283)/2)</f>
        <v/>
      </c>
      <c r="S283" s="111">
        <f t="shared" ca="1" si="36"/>
        <v>0</v>
      </c>
      <c r="U283" s="131" t="str">
        <f t="shared" ca="1" si="37"/>
        <v/>
      </c>
      <c r="V283" s="131" t="str">
        <f t="shared" ca="1" si="34"/>
        <v/>
      </c>
      <c r="W283" s="111">
        <f ca="1">IF(OR((W282-13/12*Z282)*(1+PREMISSAS!$C$17)&lt;0,W282=""),0,(W282-13/12*Z282)*(1+PREMISSAS!$C$17))</f>
        <v>0</v>
      </c>
      <c r="X283" s="111">
        <f ca="1">IF(OR((X282-13/12*AA282)*(1+PREMISSAS!$C$17)&lt;0,X282=""),0,(X282-13/12*AA282)*(1+PREMISSAS!$C$17))</f>
        <v>0</v>
      </c>
      <c r="Y283" s="111">
        <f t="shared" ca="1" si="35"/>
        <v>0</v>
      </c>
      <c r="Z283" s="134">
        <f t="shared" ca="1" si="38"/>
        <v>0</v>
      </c>
      <c r="AA283" s="134">
        <f t="shared" ca="1" si="39"/>
        <v>0</v>
      </c>
    </row>
    <row r="284" spans="2:27" x14ac:dyDescent="0.3">
      <c r="B284" s="21" t="str">
        <f ca="1">IF(B283="","",IF(EOMONTH(B283,1)&gt;EOMONTH(ELEGIBILIDADE!$E$5,0),"",EOMONTH(B283,1)))</f>
        <v/>
      </c>
      <c r="C284" s="22" t="str">
        <f ca="1">IF(B284="","",IF(MONTH(B284)=1,C283*(1+PREMISSAS!$C$58),C283))</f>
        <v/>
      </c>
      <c r="D284" s="22">
        <f ca="1">IF(RESULTADOS!$C$17="Normal",IFERROR(MAX(C284-PREMISSAS!$C$14,0),0),IF(PREMISSAS!$H$117=0,0,MAX(10*PREMISSAS!$C$39,RESULTADOS!$F$17)))</f>
        <v>0</v>
      </c>
      <c r="E284" s="4">
        <f ca="1">D284*IF(RESULTADOS!$C$17="Normal",RESULTADOS!$C$16,0)</f>
        <v>0</v>
      </c>
      <c r="F284" s="4">
        <f ca="1">IF(D284&lt;&gt;0,PREMISSAS!$N$83,0)</f>
        <v>0</v>
      </c>
      <c r="G284" s="4">
        <f ca="1">IFERROR(IF(RESULTADOS!$C$17="Normal",0,D284)*IF(RESULTADOS!$C$17="Normal",RESULTADOS!$C$18,RESULTADOS!$C$16),0)</f>
        <v>0</v>
      </c>
      <c r="H284" s="4">
        <f ca="1">IF(RESULTADOS!$C$17="Normal",E284,0)</f>
        <v>0</v>
      </c>
      <c r="I284" s="4">
        <f ca="1">(E284+H284+G284)*IFERROR(VLOOKUP(INT(COUNT($B$5:B284)/12),PREMISSAS!$B$62:$C$69,2,FALSE),PREMISSAS!$C$69)</f>
        <v>0</v>
      </c>
      <c r="J284" s="4">
        <f ca="1">D284*IF(RESULTADOS!$C$17="Normal",PREMISSAS!$C$71,0)</f>
        <v>0</v>
      </c>
      <c r="K284" s="87">
        <f ca="1">IFERROR(K283*(1+PREMISSAS!$C$19)+(E284+H284-IF(RESULTADOS!$C$17="Normal",I284,0)-J284)*IF(MONTH(B284)=12,2,1),0)</f>
        <v>0</v>
      </c>
      <c r="L284" s="87">
        <f ca="1">IFERROR((L283+G284-IF(RESULTADOS!$C$17="Normal",0,I284))*(1+PREMISSAS!$C$19)+F284,0)</f>
        <v>0</v>
      </c>
      <c r="N284" s="58">
        <f t="shared" ca="1" si="32"/>
        <v>0</v>
      </c>
      <c r="P284" s="131" t="str">
        <f t="shared" ca="1" si="33"/>
        <v/>
      </c>
      <c r="Q284" s="111" t="str">
        <f ca="1">IF(C284="","",Q283+(E284+H284-IF(RESULTADOS!$C$17="Normal",I284,0)-J284)/2+(F284+G284-IF(RESULTADOS!$C$17="Normal",0,I284)))</f>
        <v/>
      </c>
      <c r="R284" s="111" t="str">
        <f ca="1">IF(C284="","",R283+(E284+H284-IF(RESULTADOS!$C$17="Normal",I284,0)-J284)/2)</f>
        <v/>
      </c>
      <c r="S284" s="111">
        <f t="shared" ca="1" si="36"/>
        <v>0</v>
      </c>
      <c r="U284" s="131" t="str">
        <f t="shared" ca="1" si="37"/>
        <v/>
      </c>
      <c r="V284" s="131" t="str">
        <f t="shared" ca="1" si="34"/>
        <v/>
      </c>
      <c r="W284" s="111">
        <f ca="1">IF(OR((W283-13/12*Z283)*(1+PREMISSAS!$C$17)&lt;0,W283=""),0,(W283-13/12*Z283)*(1+PREMISSAS!$C$17))</f>
        <v>0</v>
      </c>
      <c r="X284" s="111">
        <f ca="1">IF(OR((X283-13/12*AA283)*(1+PREMISSAS!$C$17)&lt;0,X283=""),0,(X283-13/12*AA283)*(1+PREMISSAS!$C$17))</f>
        <v>0</v>
      </c>
      <c r="Y284" s="111">
        <f t="shared" ca="1" si="35"/>
        <v>0</v>
      </c>
      <c r="Z284" s="134">
        <f t="shared" ca="1" si="38"/>
        <v>0</v>
      </c>
      <c r="AA284" s="134">
        <f t="shared" ca="1" si="39"/>
        <v>0</v>
      </c>
    </row>
    <row r="285" spans="2:27" x14ac:dyDescent="0.3">
      <c r="B285" s="21" t="str">
        <f ca="1">IF(B284="","",IF(EOMONTH(B284,1)&gt;EOMONTH(ELEGIBILIDADE!$E$5,0),"",EOMONTH(B284,1)))</f>
        <v/>
      </c>
      <c r="C285" s="22" t="str">
        <f ca="1">IF(B285="","",IF(MONTH(B285)=1,C284*(1+PREMISSAS!$C$58),C284))</f>
        <v/>
      </c>
      <c r="D285" s="22">
        <f ca="1">IF(RESULTADOS!$C$17="Normal",IFERROR(MAX(C285-PREMISSAS!$C$14,0),0),IF(PREMISSAS!$H$117=0,0,MAX(10*PREMISSAS!$C$39,RESULTADOS!$F$17)))</f>
        <v>0</v>
      </c>
      <c r="E285" s="4">
        <f ca="1">D285*IF(RESULTADOS!$C$17="Normal",RESULTADOS!$C$16,0)</f>
        <v>0</v>
      </c>
      <c r="F285" s="4">
        <f ca="1">IF(D285&lt;&gt;0,PREMISSAS!$N$83,0)</f>
        <v>0</v>
      </c>
      <c r="G285" s="4">
        <f ca="1">IFERROR(IF(RESULTADOS!$C$17="Normal",0,D285)*IF(RESULTADOS!$C$17="Normal",RESULTADOS!$C$18,RESULTADOS!$C$16),0)</f>
        <v>0</v>
      </c>
      <c r="H285" s="4">
        <f ca="1">IF(RESULTADOS!$C$17="Normal",E285,0)</f>
        <v>0</v>
      </c>
      <c r="I285" s="4">
        <f ca="1">(E285+H285+G285)*IFERROR(VLOOKUP(INT(COUNT($B$5:B285)/12),PREMISSAS!$B$62:$C$69,2,FALSE),PREMISSAS!$C$69)</f>
        <v>0</v>
      </c>
      <c r="J285" s="4">
        <f ca="1">D285*IF(RESULTADOS!$C$17="Normal",PREMISSAS!$C$71,0)</f>
        <v>0</v>
      </c>
      <c r="K285" s="87">
        <f ca="1">IFERROR(K284*(1+PREMISSAS!$C$19)+(E285+H285-IF(RESULTADOS!$C$17="Normal",I285,0)-J285)*IF(MONTH(B285)=12,2,1),0)</f>
        <v>0</v>
      </c>
      <c r="L285" s="87">
        <f ca="1">IFERROR((L284+G285-IF(RESULTADOS!$C$17="Normal",0,I285))*(1+PREMISSAS!$C$19)+F285,0)</f>
        <v>0</v>
      </c>
      <c r="N285" s="58">
        <f t="shared" ca="1" si="32"/>
        <v>0</v>
      </c>
      <c r="P285" s="131" t="str">
        <f t="shared" ca="1" si="33"/>
        <v/>
      </c>
      <c r="Q285" s="111" t="str">
        <f ca="1">IF(C285="","",Q284+(E285+H285-IF(RESULTADOS!$C$17="Normal",I285,0)-J285)/2+(F285+G285-IF(RESULTADOS!$C$17="Normal",0,I285)))</f>
        <v/>
      </c>
      <c r="R285" s="111" t="str">
        <f ca="1">IF(C285="","",R284+(E285+H285-IF(RESULTADOS!$C$17="Normal",I285,0)-J285)/2)</f>
        <v/>
      </c>
      <c r="S285" s="111">
        <f t="shared" ca="1" si="36"/>
        <v>0</v>
      </c>
      <c r="U285" s="131" t="str">
        <f t="shared" ca="1" si="37"/>
        <v/>
      </c>
      <c r="V285" s="131" t="str">
        <f t="shared" ca="1" si="34"/>
        <v/>
      </c>
      <c r="W285" s="111">
        <f ca="1">IF(OR((W284-13/12*Z284)*(1+PREMISSAS!$C$17)&lt;0,W284=""),0,(W284-13/12*Z284)*(1+PREMISSAS!$C$17))</f>
        <v>0</v>
      </c>
      <c r="X285" s="111">
        <f ca="1">IF(OR((X284-13/12*AA284)*(1+PREMISSAS!$C$17)&lt;0,X284=""),0,(X284-13/12*AA284)*(1+PREMISSAS!$C$17))</f>
        <v>0</v>
      </c>
      <c r="Y285" s="111">
        <f t="shared" ca="1" si="35"/>
        <v>0</v>
      </c>
      <c r="Z285" s="134">
        <f t="shared" ca="1" si="38"/>
        <v>0</v>
      </c>
      <c r="AA285" s="134">
        <f t="shared" ca="1" si="39"/>
        <v>0</v>
      </c>
    </row>
    <row r="286" spans="2:27" x14ac:dyDescent="0.3">
      <c r="B286" s="21" t="str">
        <f ca="1">IF(B285="","",IF(EOMONTH(B285,1)&gt;EOMONTH(ELEGIBILIDADE!$E$5,0),"",EOMONTH(B285,1)))</f>
        <v/>
      </c>
      <c r="C286" s="22" t="str">
        <f ca="1">IF(B286="","",IF(MONTH(B286)=1,C285*(1+PREMISSAS!$C$58),C285))</f>
        <v/>
      </c>
      <c r="D286" s="22">
        <f ca="1">IF(RESULTADOS!$C$17="Normal",IFERROR(MAX(C286-PREMISSAS!$C$14,0),0),IF(PREMISSAS!$H$117=0,0,MAX(10*PREMISSAS!$C$39,RESULTADOS!$F$17)))</f>
        <v>0</v>
      </c>
      <c r="E286" s="4">
        <f ca="1">D286*IF(RESULTADOS!$C$17="Normal",RESULTADOS!$C$16,0)</f>
        <v>0</v>
      </c>
      <c r="F286" s="4">
        <f ca="1">IF(D286&lt;&gt;0,PREMISSAS!$N$83,0)</f>
        <v>0</v>
      </c>
      <c r="G286" s="4">
        <f ca="1">IFERROR(IF(RESULTADOS!$C$17="Normal",0,D286)*IF(RESULTADOS!$C$17="Normal",RESULTADOS!$C$18,RESULTADOS!$C$16),0)</f>
        <v>0</v>
      </c>
      <c r="H286" s="4">
        <f ca="1">IF(RESULTADOS!$C$17="Normal",E286,0)</f>
        <v>0</v>
      </c>
      <c r="I286" s="4">
        <f ca="1">(E286+H286+G286)*IFERROR(VLOOKUP(INT(COUNT($B$5:B286)/12),PREMISSAS!$B$62:$C$69,2,FALSE),PREMISSAS!$C$69)</f>
        <v>0</v>
      </c>
      <c r="J286" s="4">
        <f ca="1">D286*IF(RESULTADOS!$C$17="Normal",PREMISSAS!$C$71,0)</f>
        <v>0</v>
      </c>
      <c r="K286" s="87">
        <f ca="1">IFERROR(K285*(1+PREMISSAS!$C$19)+(E286+H286-IF(RESULTADOS!$C$17="Normal",I286,0)-J286)*IF(MONTH(B286)=12,2,1),0)</f>
        <v>0</v>
      </c>
      <c r="L286" s="87">
        <f ca="1">IFERROR((L285+G286-IF(RESULTADOS!$C$17="Normal",0,I286))*(1+PREMISSAS!$C$19)+F286,0)</f>
        <v>0</v>
      </c>
      <c r="N286" s="58">
        <f t="shared" ca="1" si="32"/>
        <v>0</v>
      </c>
      <c r="P286" s="131" t="str">
        <f t="shared" ca="1" si="33"/>
        <v/>
      </c>
      <c r="Q286" s="111" t="str">
        <f ca="1">IF(C286="","",Q285+(E286+H286-IF(RESULTADOS!$C$17="Normal",I286,0)-J286)/2+(F286+G286-IF(RESULTADOS!$C$17="Normal",0,I286)))</f>
        <v/>
      </c>
      <c r="R286" s="111" t="str">
        <f ca="1">IF(C286="","",R285+(E286+H286-IF(RESULTADOS!$C$17="Normal",I286,0)-J286)/2)</f>
        <v/>
      </c>
      <c r="S286" s="111">
        <f t="shared" ca="1" si="36"/>
        <v>0</v>
      </c>
      <c r="U286" s="131" t="str">
        <f t="shared" ca="1" si="37"/>
        <v/>
      </c>
      <c r="V286" s="131" t="str">
        <f t="shared" ca="1" si="34"/>
        <v/>
      </c>
      <c r="W286" s="111">
        <f ca="1">IF(OR((W285-13/12*Z285)*(1+PREMISSAS!$C$17)&lt;0,W285=""),0,(W285-13/12*Z285)*(1+PREMISSAS!$C$17))</f>
        <v>0</v>
      </c>
      <c r="X286" s="111">
        <f ca="1">IF(OR((X285-13/12*AA285)*(1+PREMISSAS!$C$17)&lt;0,X285=""),0,(X285-13/12*AA285)*(1+PREMISSAS!$C$17))</f>
        <v>0</v>
      </c>
      <c r="Y286" s="111">
        <f t="shared" ca="1" si="35"/>
        <v>0</v>
      </c>
      <c r="Z286" s="134">
        <f t="shared" ca="1" si="38"/>
        <v>0</v>
      </c>
      <c r="AA286" s="134">
        <f t="shared" ca="1" si="39"/>
        <v>0</v>
      </c>
    </row>
    <row r="287" spans="2:27" x14ac:dyDescent="0.3">
      <c r="B287" s="21" t="str">
        <f ca="1">IF(B286="","",IF(EOMONTH(B286,1)&gt;EOMONTH(ELEGIBILIDADE!$E$5,0),"",EOMONTH(B286,1)))</f>
        <v/>
      </c>
      <c r="C287" s="22" t="str">
        <f ca="1">IF(B287="","",IF(MONTH(B287)=1,C286*(1+PREMISSAS!$C$58),C286))</f>
        <v/>
      </c>
      <c r="D287" s="22">
        <f ca="1">IF(RESULTADOS!$C$17="Normal",IFERROR(MAX(C287-PREMISSAS!$C$14,0),0),IF(PREMISSAS!$H$117=0,0,MAX(10*PREMISSAS!$C$39,RESULTADOS!$F$17)))</f>
        <v>0</v>
      </c>
      <c r="E287" s="4">
        <f ca="1">D287*IF(RESULTADOS!$C$17="Normal",RESULTADOS!$C$16,0)</f>
        <v>0</v>
      </c>
      <c r="F287" s="4">
        <f ca="1">IF(D287&lt;&gt;0,PREMISSAS!$N$83,0)</f>
        <v>0</v>
      </c>
      <c r="G287" s="4">
        <f ca="1">IFERROR(IF(RESULTADOS!$C$17="Normal",0,D287)*IF(RESULTADOS!$C$17="Normal",RESULTADOS!$C$18,RESULTADOS!$C$16),0)</f>
        <v>0</v>
      </c>
      <c r="H287" s="4">
        <f ca="1">IF(RESULTADOS!$C$17="Normal",E287,0)</f>
        <v>0</v>
      </c>
      <c r="I287" s="4">
        <f ca="1">(E287+H287+G287)*IFERROR(VLOOKUP(INT(COUNT($B$5:B287)/12),PREMISSAS!$B$62:$C$69,2,FALSE),PREMISSAS!$C$69)</f>
        <v>0</v>
      </c>
      <c r="J287" s="4">
        <f ca="1">D287*IF(RESULTADOS!$C$17="Normal",PREMISSAS!$C$71,0)</f>
        <v>0</v>
      </c>
      <c r="K287" s="87">
        <f ca="1">IFERROR(K286*(1+PREMISSAS!$C$19)+(E287+H287-IF(RESULTADOS!$C$17="Normal",I287,0)-J287)*IF(MONTH(B287)=12,2,1),0)</f>
        <v>0</v>
      </c>
      <c r="L287" s="87">
        <f ca="1">IFERROR((L286+G287-IF(RESULTADOS!$C$17="Normal",0,I287))*(1+PREMISSAS!$C$19)+F287,0)</f>
        <v>0</v>
      </c>
      <c r="N287" s="58">
        <f t="shared" ca="1" si="32"/>
        <v>0</v>
      </c>
      <c r="P287" s="131" t="str">
        <f t="shared" ca="1" si="33"/>
        <v/>
      </c>
      <c r="Q287" s="111" t="str">
        <f ca="1">IF(C287="","",Q286+(E287+H287-IF(RESULTADOS!$C$17="Normal",I287,0)-J287)/2+(F287+G287-IF(RESULTADOS!$C$17="Normal",0,I287)))</f>
        <v/>
      </c>
      <c r="R287" s="111" t="str">
        <f ca="1">IF(C287="","",R286+(E287+H287-IF(RESULTADOS!$C$17="Normal",I287,0)-J287)/2)</f>
        <v/>
      </c>
      <c r="S287" s="111">
        <f t="shared" ca="1" si="36"/>
        <v>0</v>
      </c>
      <c r="U287" s="131" t="str">
        <f t="shared" ca="1" si="37"/>
        <v/>
      </c>
      <c r="V287" s="131" t="str">
        <f t="shared" ca="1" si="34"/>
        <v/>
      </c>
      <c r="W287" s="111">
        <f ca="1">IF(OR((W286-13/12*Z286)*(1+PREMISSAS!$C$17)&lt;0,W286=""),0,(W286-13/12*Z286)*(1+PREMISSAS!$C$17))</f>
        <v>0</v>
      </c>
      <c r="X287" s="111">
        <f ca="1">IF(OR((X286-13/12*AA286)*(1+PREMISSAS!$C$17)&lt;0,X286=""),0,(X286-13/12*AA286)*(1+PREMISSAS!$C$17))</f>
        <v>0</v>
      </c>
      <c r="Y287" s="111">
        <f t="shared" ca="1" si="35"/>
        <v>0</v>
      </c>
      <c r="Z287" s="134">
        <f t="shared" ca="1" si="38"/>
        <v>0</v>
      </c>
      <c r="AA287" s="134">
        <f t="shared" ca="1" si="39"/>
        <v>0</v>
      </c>
    </row>
    <row r="288" spans="2:27" x14ac:dyDescent="0.3">
      <c r="B288" s="21" t="str">
        <f ca="1">IF(B287="","",IF(EOMONTH(B287,1)&gt;EOMONTH(ELEGIBILIDADE!$E$5,0),"",EOMONTH(B287,1)))</f>
        <v/>
      </c>
      <c r="C288" s="22" t="str">
        <f ca="1">IF(B288="","",IF(MONTH(B288)=1,C287*(1+PREMISSAS!$C$58),C287))</f>
        <v/>
      </c>
      <c r="D288" s="22">
        <f ca="1">IF(RESULTADOS!$C$17="Normal",IFERROR(MAX(C288-PREMISSAS!$C$14,0),0),IF(PREMISSAS!$H$117=0,0,MAX(10*PREMISSAS!$C$39,RESULTADOS!$F$17)))</f>
        <v>0</v>
      </c>
      <c r="E288" s="4">
        <f ca="1">D288*IF(RESULTADOS!$C$17="Normal",RESULTADOS!$C$16,0)</f>
        <v>0</v>
      </c>
      <c r="F288" s="4">
        <f ca="1">IF(D288&lt;&gt;0,PREMISSAS!$N$83,0)</f>
        <v>0</v>
      </c>
      <c r="G288" s="4">
        <f ca="1">IFERROR(IF(RESULTADOS!$C$17="Normal",0,D288)*IF(RESULTADOS!$C$17="Normal",RESULTADOS!$C$18,RESULTADOS!$C$16),0)</f>
        <v>0</v>
      </c>
      <c r="H288" s="4">
        <f ca="1">IF(RESULTADOS!$C$17="Normal",E288,0)</f>
        <v>0</v>
      </c>
      <c r="I288" s="4">
        <f ca="1">(E288+H288+G288)*IFERROR(VLOOKUP(INT(COUNT($B$5:B288)/12),PREMISSAS!$B$62:$C$69,2,FALSE),PREMISSAS!$C$69)</f>
        <v>0</v>
      </c>
      <c r="J288" s="4">
        <f ca="1">D288*IF(RESULTADOS!$C$17="Normal",PREMISSAS!$C$71,0)</f>
        <v>0</v>
      </c>
      <c r="K288" s="87">
        <f ca="1">IFERROR(K287*(1+PREMISSAS!$C$19)+(E288+H288-IF(RESULTADOS!$C$17="Normal",I288,0)-J288)*IF(MONTH(B288)=12,2,1),0)</f>
        <v>0</v>
      </c>
      <c r="L288" s="87">
        <f ca="1">IFERROR((L287+G288-IF(RESULTADOS!$C$17="Normal",0,I288))*(1+PREMISSAS!$C$19)+F288,0)</f>
        <v>0</v>
      </c>
      <c r="N288" s="58">
        <f t="shared" ca="1" si="32"/>
        <v>0</v>
      </c>
      <c r="P288" s="131" t="str">
        <f t="shared" ca="1" si="33"/>
        <v/>
      </c>
      <c r="Q288" s="111" t="str">
        <f ca="1">IF(C288="","",Q287+(E288+H288-IF(RESULTADOS!$C$17="Normal",I288,0)-J288)/2+(F288+G288-IF(RESULTADOS!$C$17="Normal",0,I288)))</f>
        <v/>
      </c>
      <c r="R288" s="111" t="str">
        <f ca="1">IF(C288="","",R287+(E288+H288-IF(RESULTADOS!$C$17="Normal",I288,0)-J288)/2)</f>
        <v/>
      </c>
      <c r="S288" s="111">
        <f t="shared" ca="1" si="36"/>
        <v>0</v>
      </c>
      <c r="U288" s="131" t="str">
        <f t="shared" ca="1" si="37"/>
        <v/>
      </c>
      <c r="V288" s="131" t="str">
        <f t="shared" ca="1" si="34"/>
        <v/>
      </c>
      <c r="W288" s="111">
        <f ca="1">IF(OR((W287-13/12*Z287)*(1+PREMISSAS!$C$17)&lt;0,W287=""),0,(W287-13/12*Z287)*(1+PREMISSAS!$C$17))</f>
        <v>0</v>
      </c>
      <c r="X288" s="111">
        <f ca="1">IF(OR((X287-13/12*AA287)*(1+PREMISSAS!$C$17)&lt;0,X287=""),0,(X287-13/12*AA287)*(1+PREMISSAS!$C$17))</f>
        <v>0</v>
      </c>
      <c r="Y288" s="111">
        <f t="shared" ca="1" si="35"/>
        <v>0</v>
      </c>
      <c r="Z288" s="134">
        <f t="shared" ca="1" si="38"/>
        <v>0</v>
      </c>
      <c r="AA288" s="134">
        <f t="shared" ca="1" si="39"/>
        <v>0</v>
      </c>
    </row>
    <row r="289" spans="2:27" x14ac:dyDescent="0.3">
      <c r="B289" s="21" t="str">
        <f ca="1">IF(B288="","",IF(EOMONTH(B288,1)&gt;EOMONTH(ELEGIBILIDADE!$E$5,0),"",EOMONTH(B288,1)))</f>
        <v/>
      </c>
      <c r="C289" s="22" t="str">
        <f ca="1">IF(B289="","",IF(MONTH(B289)=1,C288*(1+PREMISSAS!$C$58),C288))</f>
        <v/>
      </c>
      <c r="D289" s="22">
        <f ca="1">IF(RESULTADOS!$C$17="Normal",IFERROR(MAX(C289-PREMISSAS!$C$14,0),0),IF(PREMISSAS!$H$117=0,0,MAX(10*PREMISSAS!$C$39,RESULTADOS!$F$17)))</f>
        <v>0</v>
      </c>
      <c r="E289" s="4">
        <f ca="1">D289*IF(RESULTADOS!$C$17="Normal",RESULTADOS!$C$16,0)</f>
        <v>0</v>
      </c>
      <c r="F289" s="4">
        <f ca="1">IF(D289&lt;&gt;0,PREMISSAS!$N$83,0)</f>
        <v>0</v>
      </c>
      <c r="G289" s="4">
        <f ca="1">IFERROR(IF(RESULTADOS!$C$17="Normal",0,D289)*IF(RESULTADOS!$C$17="Normal",RESULTADOS!$C$18,RESULTADOS!$C$16),0)</f>
        <v>0</v>
      </c>
      <c r="H289" s="4">
        <f ca="1">IF(RESULTADOS!$C$17="Normal",E289,0)</f>
        <v>0</v>
      </c>
      <c r="I289" s="4">
        <f ca="1">(E289+H289+G289)*IFERROR(VLOOKUP(INT(COUNT($B$5:B289)/12),PREMISSAS!$B$62:$C$69,2,FALSE),PREMISSAS!$C$69)</f>
        <v>0</v>
      </c>
      <c r="J289" s="4">
        <f ca="1">D289*IF(RESULTADOS!$C$17="Normal",PREMISSAS!$C$71,0)</f>
        <v>0</v>
      </c>
      <c r="K289" s="87">
        <f ca="1">IFERROR(K288*(1+PREMISSAS!$C$19)+(E289+H289-IF(RESULTADOS!$C$17="Normal",I289,0)-J289)*IF(MONTH(B289)=12,2,1),0)</f>
        <v>0</v>
      </c>
      <c r="L289" s="87">
        <f ca="1">IFERROR((L288+G289-IF(RESULTADOS!$C$17="Normal",0,I289))*(1+PREMISSAS!$C$19)+F289,0)</f>
        <v>0</v>
      </c>
      <c r="N289" s="58">
        <f t="shared" ca="1" si="32"/>
        <v>0</v>
      </c>
      <c r="P289" s="131" t="str">
        <f t="shared" ca="1" si="33"/>
        <v/>
      </c>
      <c r="Q289" s="111" t="str">
        <f ca="1">IF(C289="","",Q288+(E289+H289-IF(RESULTADOS!$C$17="Normal",I289,0)-J289)/2+(F289+G289-IF(RESULTADOS!$C$17="Normal",0,I289)))</f>
        <v/>
      </c>
      <c r="R289" s="111" t="str">
        <f ca="1">IF(C289="","",R288+(E289+H289-IF(RESULTADOS!$C$17="Normal",I289,0)-J289)/2)</f>
        <v/>
      </c>
      <c r="S289" s="111">
        <f t="shared" ca="1" si="36"/>
        <v>0</v>
      </c>
      <c r="U289" s="131" t="str">
        <f t="shared" ca="1" si="37"/>
        <v/>
      </c>
      <c r="V289" s="131" t="str">
        <f t="shared" ca="1" si="34"/>
        <v/>
      </c>
      <c r="W289" s="111">
        <f ca="1">IF(OR((W288-13/12*Z288)*(1+PREMISSAS!$C$17)&lt;0,W288=""),0,(W288-13/12*Z288)*(1+PREMISSAS!$C$17))</f>
        <v>0</v>
      </c>
      <c r="X289" s="111">
        <f ca="1">IF(OR((X288-13/12*AA288)*(1+PREMISSAS!$C$17)&lt;0,X288=""),0,(X288-13/12*AA288)*(1+PREMISSAS!$C$17))</f>
        <v>0</v>
      </c>
      <c r="Y289" s="111">
        <f t="shared" ca="1" si="35"/>
        <v>0</v>
      </c>
      <c r="Z289" s="134">
        <f t="shared" ca="1" si="38"/>
        <v>0</v>
      </c>
      <c r="AA289" s="134">
        <f t="shared" ca="1" si="39"/>
        <v>0</v>
      </c>
    </row>
    <row r="290" spans="2:27" x14ac:dyDescent="0.3">
      <c r="B290" s="21" t="str">
        <f ca="1">IF(B289="","",IF(EOMONTH(B289,1)&gt;EOMONTH(ELEGIBILIDADE!$E$5,0),"",EOMONTH(B289,1)))</f>
        <v/>
      </c>
      <c r="C290" s="22" t="str">
        <f ca="1">IF(B290="","",IF(MONTH(B290)=1,C289*(1+PREMISSAS!$C$58),C289))</f>
        <v/>
      </c>
      <c r="D290" s="22">
        <f ca="1">IF(RESULTADOS!$C$17="Normal",IFERROR(MAX(C290-PREMISSAS!$C$14,0),0),IF(PREMISSAS!$H$117=0,0,MAX(10*PREMISSAS!$C$39,RESULTADOS!$F$17)))</f>
        <v>0</v>
      </c>
      <c r="E290" s="4">
        <f ca="1">D290*IF(RESULTADOS!$C$17="Normal",RESULTADOS!$C$16,0)</f>
        <v>0</v>
      </c>
      <c r="F290" s="4">
        <f ca="1">IF(D290&lt;&gt;0,PREMISSAS!$N$83,0)</f>
        <v>0</v>
      </c>
      <c r="G290" s="4">
        <f ca="1">IFERROR(IF(RESULTADOS!$C$17="Normal",0,D290)*IF(RESULTADOS!$C$17="Normal",RESULTADOS!$C$18,RESULTADOS!$C$16),0)</f>
        <v>0</v>
      </c>
      <c r="H290" s="4">
        <f ca="1">IF(RESULTADOS!$C$17="Normal",E290,0)</f>
        <v>0</v>
      </c>
      <c r="I290" s="4">
        <f ca="1">(E290+H290+G290)*IFERROR(VLOOKUP(INT(COUNT($B$5:B290)/12),PREMISSAS!$B$62:$C$69,2,FALSE),PREMISSAS!$C$69)</f>
        <v>0</v>
      </c>
      <c r="J290" s="4">
        <f ca="1">D290*IF(RESULTADOS!$C$17="Normal",PREMISSAS!$C$71,0)</f>
        <v>0</v>
      </c>
      <c r="K290" s="87">
        <f ca="1">IFERROR(K289*(1+PREMISSAS!$C$19)+(E290+H290-IF(RESULTADOS!$C$17="Normal",I290,0)-J290)*IF(MONTH(B290)=12,2,1),0)</f>
        <v>0</v>
      </c>
      <c r="L290" s="87">
        <f ca="1">IFERROR((L289+G290-IF(RESULTADOS!$C$17="Normal",0,I290))*(1+PREMISSAS!$C$19)+F290,0)</f>
        <v>0</v>
      </c>
      <c r="N290" s="58">
        <f t="shared" ca="1" si="32"/>
        <v>0</v>
      </c>
      <c r="P290" s="131" t="str">
        <f t="shared" ca="1" si="33"/>
        <v/>
      </c>
      <c r="Q290" s="111" t="str">
        <f ca="1">IF(C290="","",Q289+(E290+H290-IF(RESULTADOS!$C$17="Normal",I290,0)-J290)/2+(F290+G290-IF(RESULTADOS!$C$17="Normal",0,I290)))</f>
        <v/>
      </c>
      <c r="R290" s="111" t="str">
        <f ca="1">IF(C290="","",R289+(E290+H290-IF(RESULTADOS!$C$17="Normal",I290,0)-J290)/2)</f>
        <v/>
      </c>
      <c r="S290" s="111">
        <f t="shared" ca="1" si="36"/>
        <v>0</v>
      </c>
      <c r="U290" s="131" t="str">
        <f t="shared" ca="1" si="37"/>
        <v/>
      </c>
      <c r="V290" s="131" t="str">
        <f t="shared" ca="1" si="34"/>
        <v/>
      </c>
      <c r="W290" s="111">
        <f ca="1">IF(OR((W289-13/12*Z289)*(1+PREMISSAS!$C$17)&lt;0,W289=""),0,(W289-13/12*Z289)*(1+PREMISSAS!$C$17))</f>
        <v>0</v>
      </c>
      <c r="X290" s="111">
        <f ca="1">IF(OR((X289-13/12*AA289)*(1+PREMISSAS!$C$17)&lt;0,X289=""),0,(X289-13/12*AA289)*(1+PREMISSAS!$C$17))</f>
        <v>0</v>
      </c>
      <c r="Y290" s="111">
        <f t="shared" ca="1" si="35"/>
        <v>0</v>
      </c>
      <c r="Z290" s="134">
        <f t="shared" ca="1" si="38"/>
        <v>0</v>
      </c>
      <c r="AA290" s="134">
        <f t="shared" ca="1" si="39"/>
        <v>0</v>
      </c>
    </row>
    <row r="291" spans="2:27" x14ac:dyDescent="0.3">
      <c r="B291" s="21" t="str">
        <f ca="1">IF(B290="","",IF(EOMONTH(B290,1)&gt;EOMONTH(ELEGIBILIDADE!$E$5,0),"",EOMONTH(B290,1)))</f>
        <v/>
      </c>
      <c r="C291" s="22" t="str">
        <f ca="1">IF(B291="","",IF(MONTH(B291)=1,C290*(1+PREMISSAS!$C$58),C290))</f>
        <v/>
      </c>
      <c r="D291" s="22">
        <f ca="1">IF(RESULTADOS!$C$17="Normal",IFERROR(MAX(C291-PREMISSAS!$C$14,0),0),IF(PREMISSAS!$H$117=0,0,MAX(10*PREMISSAS!$C$39,RESULTADOS!$F$17)))</f>
        <v>0</v>
      </c>
      <c r="E291" s="4">
        <f ca="1">D291*IF(RESULTADOS!$C$17="Normal",RESULTADOS!$C$16,0)</f>
        <v>0</v>
      </c>
      <c r="F291" s="4">
        <f ca="1">IF(D291&lt;&gt;0,PREMISSAS!$N$83,0)</f>
        <v>0</v>
      </c>
      <c r="G291" s="4">
        <f ca="1">IFERROR(IF(RESULTADOS!$C$17="Normal",0,D291)*IF(RESULTADOS!$C$17="Normal",RESULTADOS!$C$18,RESULTADOS!$C$16),0)</f>
        <v>0</v>
      </c>
      <c r="H291" s="4">
        <f ca="1">IF(RESULTADOS!$C$17="Normal",E291,0)</f>
        <v>0</v>
      </c>
      <c r="I291" s="4">
        <f ca="1">(E291+H291+G291)*IFERROR(VLOOKUP(INT(COUNT($B$5:B291)/12),PREMISSAS!$B$62:$C$69,2,FALSE),PREMISSAS!$C$69)</f>
        <v>0</v>
      </c>
      <c r="J291" s="4">
        <f ca="1">D291*IF(RESULTADOS!$C$17="Normal",PREMISSAS!$C$71,0)</f>
        <v>0</v>
      </c>
      <c r="K291" s="87">
        <f ca="1">IFERROR(K290*(1+PREMISSAS!$C$19)+(E291+H291-IF(RESULTADOS!$C$17="Normal",I291,0)-J291)*IF(MONTH(B291)=12,2,1),0)</f>
        <v>0</v>
      </c>
      <c r="L291" s="87">
        <f ca="1">IFERROR((L290+G291-IF(RESULTADOS!$C$17="Normal",0,I291))*(1+PREMISSAS!$C$19)+F291,0)</f>
        <v>0</v>
      </c>
      <c r="N291" s="58">
        <f t="shared" ca="1" si="32"/>
        <v>0</v>
      </c>
      <c r="P291" s="131" t="str">
        <f t="shared" ca="1" si="33"/>
        <v/>
      </c>
      <c r="Q291" s="111" t="str">
        <f ca="1">IF(C291="","",Q290+(E291+H291-IF(RESULTADOS!$C$17="Normal",I291,0)-J291)/2+(F291+G291-IF(RESULTADOS!$C$17="Normal",0,I291)))</f>
        <v/>
      </c>
      <c r="R291" s="111" t="str">
        <f ca="1">IF(C291="","",R290+(E291+H291-IF(RESULTADOS!$C$17="Normal",I291,0)-J291)/2)</f>
        <v/>
      </c>
      <c r="S291" s="111">
        <f t="shared" ca="1" si="36"/>
        <v>0</v>
      </c>
      <c r="U291" s="131" t="str">
        <f t="shared" ca="1" si="37"/>
        <v/>
      </c>
      <c r="V291" s="131" t="str">
        <f t="shared" ca="1" si="34"/>
        <v/>
      </c>
      <c r="W291" s="111">
        <f ca="1">IF(OR((W290-13/12*Z290)*(1+PREMISSAS!$C$17)&lt;0,W290=""),0,(W290-13/12*Z290)*(1+PREMISSAS!$C$17))</f>
        <v>0</v>
      </c>
      <c r="X291" s="111">
        <f ca="1">IF(OR((X290-13/12*AA290)*(1+PREMISSAS!$C$17)&lt;0,X290=""),0,(X290-13/12*AA290)*(1+PREMISSAS!$C$17))</f>
        <v>0</v>
      </c>
      <c r="Y291" s="111">
        <f t="shared" ca="1" si="35"/>
        <v>0</v>
      </c>
      <c r="Z291" s="134">
        <f t="shared" ca="1" si="38"/>
        <v>0</v>
      </c>
      <c r="AA291" s="134">
        <f t="shared" ca="1" si="39"/>
        <v>0</v>
      </c>
    </row>
    <row r="292" spans="2:27" x14ac:dyDescent="0.3">
      <c r="B292" s="21" t="str">
        <f ca="1">IF(B291="","",IF(EOMONTH(B291,1)&gt;EOMONTH(ELEGIBILIDADE!$E$5,0),"",EOMONTH(B291,1)))</f>
        <v/>
      </c>
      <c r="C292" s="22" t="str">
        <f ca="1">IF(B292="","",IF(MONTH(B292)=1,C291*(1+PREMISSAS!$C$58),C291))</f>
        <v/>
      </c>
      <c r="D292" s="22">
        <f ca="1">IF(RESULTADOS!$C$17="Normal",IFERROR(MAX(C292-PREMISSAS!$C$14,0),0),IF(PREMISSAS!$H$117=0,0,MAX(10*PREMISSAS!$C$39,RESULTADOS!$F$17)))</f>
        <v>0</v>
      </c>
      <c r="E292" s="4">
        <f ca="1">D292*IF(RESULTADOS!$C$17="Normal",RESULTADOS!$C$16,0)</f>
        <v>0</v>
      </c>
      <c r="F292" s="4">
        <f ca="1">IF(D292&lt;&gt;0,PREMISSAS!$N$83,0)</f>
        <v>0</v>
      </c>
      <c r="G292" s="4">
        <f ca="1">IFERROR(IF(RESULTADOS!$C$17="Normal",0,D292)*IF(RESULTADOS!$C$17="Normal",RESULTADOS!$C$18,RESULTADOS!$C$16),0)</f>
        <v>0</v>
      </c>
      <c r="H292" s="4">
        <f ca="1">IF(RESULTADOS!$C$17="Normal",E292,0)</f>
        <v>0</v>
      </c>
      <c r="I292" s="4">
        <f ca="1">(E292+H292+G292)*IFERROR(VLOOKUP(INT(COUNT($B$5:B292)/12),PREMISSAS!$B$62:$C$69,2,FALSE),PREMISSAS!$C$69)</f>
        <v>0</v>
      </c>
      <c r="J292" s="4">
        <f ca="1">D292*IF(RESULTADOS!$C$17="Normal",PREMISSAS!$C$71,0)</f>
        <v>0</v>
      </c>
      <c r="K292" s="87">
        <f ca="1">IFERROR(K291*(1+PREMISSAS!$C$19)+(E292+H292-IF(RESULTADOS!$C$17="Normal",I292,0)-J292)*IF(MONTH(B292)=12,2,1),0)</f>
        <v>0</v>
      </c>
      <c r="L292" s="87">
        <f ca="1">IFERROR((L291+G292-IF(RESULTADOS!$C$17="Normal",0,I292))*(1+PREMISSAS!$C$19)+F292,0)</f>
        <v>0</v>
      </c>
      <c r="N292" s="58">
        <f t="shared" ca="1" si="32"/>
        <v>0</v>
      </c>
      <c r="P292" s="131" t="str">
        <f t="shared" ca="1" si="33"/>
        <v/>
      </c>
      <c r="Q292" s="111" t="str">
        <f ca="1">IF(C292="","",Q291+(E292+H292-IF(RESULTADOS!$C$17="Normal",I292,0)-J292)/2+(F292+G292-IF(RESULTADOS!$C$17="Normal",0,I292)))</f>
        <v/>
      </c>
      <c r="R292" s="111" t="str">
        <f ca="1">IF(C292="","",R291+(E292+H292-IF(RESULTADOS!$C$17="Normal",I292,0)-J292)/2)</f>
        <v/>
      </c>
      <c r="S292" s="111">
        <f t="shared" ca="1" si="36"/>
        <v>0</v>
      </c>
      <c r="U292" s="131" t="str">
        <f t="shared" ca="1" si="37"/>
        <v/>
      </c>
      <c r="V292" s="131" t="str">
        <f t="shared" ca="1" si="34"/>
        <v/>
      </c>
      <c r="W292" s="111">
        <f ca="1">IF(OR((W291-13/12*Z291)*(1+PREMISSAS!$C$17)&lt;0,W291=""),0,(W291-13/12*Z291)*(1+PREMISSAS!$C$17))</f>
        <v>0</v>
      </c>
      <c r="X292" s="111">
        <f ca="1">IF(OR((X291-13/12*AA291)*(1+PREMISSAS!$C$17)&lt;0,X291=""),0,(X291-13/12*AA291)*(1+PREMISSAS!$C$17))</f>
        <v>0</v>
      </c>
      <c r="Y292" s="111">
        <f t="shared" ca="1" si="35"/>
        <v>0</v>
      </c>
      <c r="Z292" s="134">
        <f t="shared" ca="1" si="38"/>
        <v>0</v>
      </c>
      <c r="AA292" s="134">
        <f t="shared" ca="1" si="39"/>
        <v>0</v>
      </c>
    </row>
    <row r="293" spans="2:27" x14ac:dyDescent="0.3">
      <c r="B293" s="21" t="str">
        <f ca="1">IF(B292="","",IF(EOMONTH(B292,1)&gt;EOMONTH(ELEGIBILIDADE!$E$5,0),"",EOMONTH(B292,1)))</f>
        <v/>
      </c>
      <c r="C293" s="22" t="str">
        <f ca="1">IF(B293="","",IF(MONTH(B293)=1,C292*(1+PREMISSAS!$C$58),C292))</f>
        <v/>
      </c>
      <c r="D293" s="22">
        <f ca="1">IF(RESULTADOS!$C$17="Normal",IFERROR(MAX(C293-PREMISSAS!$C$14,0),0),IF(PREMISSAS!$H$117=0,0,MAX(10*PREMISSAS!$C$39,RESULTADOS!$F$17)))</f>
        <v>0</v>
      </c>
      <c r="E293" s="4">
        <f ca="1">D293*IF(RESULTADOS!$C$17="Normal",RESULTADOS!$C$16,0)</f>
        <v>0</v>
      </c>
      <c r="F293" s="4">
        <f ca="1">IF(D293&lt;&gt;0,PREMISSAS!$N$83,0)</f>
        <v>0</v>
      </c>
      <c r="G293" s="4">
        <f ca="1">IFERROR(IF(RESULTADOS!$C$17="Normal",0,D293)*IF(RESULTADOS!$C$17="Normal",RESULTADOS!$C$18,RESULTADOS!$C$16),0)</f>
        <v>0</v>
      </c>
      <c r="H293" s="4">
        <f ca="1">IF(RESULTADOS!$C$17="Normal",E293,0)</f>
        <v>0</v>
      </c>
      <c r="I293" s="4">
        <f ca="1">(E293+H293+G293)*IFERROR(VLOOKUP(INT(COUNT($B$5:B293)/12),PREMISSAS!$B$62:$C$69,2,FALSE),PREMISSAS!$C$69)</f>
        <v>0</v>
      </c>
      <c r="J293" s="4">
        <f ca="1">D293*IF(RESULTADOS!$C$17="Normal",PREMISSAS!$C$71,0)</f>
        <v>0</v>
      </c>
      <c r="K293" s="87">
        <f ca="1">IFERROR(K292*(1+PREMISSAS!$C$19)+(E293+H293-IF(RESULTADOS!$C$17="Normal",I293,0)-J293)*IF(MONTH(B293)=12,2,1),0)</f>
        <v>0</v>
      </c>
      <c r="L293" s="87">
        <f ca="1">IFERROR((L292+G293-IF(RESULTADOS!$C$17="Normal",0,I293))*(1+PREMISSAS!$C$19)+F293,0)</f>
        <v>0</v>
      </c>
      <c r="N293" s="58">
        <f t="shared" ca="1" si="32"/>
        <v>0</v>
      </c>
      <c r="P293" s="131" t="str">
        <f t="shared" ca="1" si="33"/>
        <v/>
      </c>
      <c r="Q293" s="111" t="str">
        <f ca="1">IF(C293="","",Q292+(E293+H293-IF(RESULTADOS!$C$17="Normal",I293,0)-J293)/2+(F293+G293-IF(RESULTADOS!$C$17="Normal",0,I293)))</f>
        <v/>
      </c>
      <c r="R293" s="111" t="str">
        <f ca="1">IF(C293="","",R292+(E293+H293-IF(RESULTADOS!$C$17="Normal",I293,0)-J293)/2)</f>
        <v/>
      </c>
      <c r="S293" s="111">
        <f t="shared" ca="1" si="36"/>
        <v>0</v>
      </c>
      <c r="U293" s="131" t="str">
        <f t="shared" ca="1" si="37"/>
        <v/>
      </c>
      <c r="V293" s="131" t="str">
        <f t="shared" ca="1" si="34"/>
        <v/>
      </c>
      <c r="W293" s="111">
        <f ca="1">IF(OR((W292-13/12*Z292)*(1+PREMISSAS!$C$17)&lt;0,W292=""),0,(W292-13/12*Z292)*(1+PREMISSAS!$C$17))</f>
        <v>0</v>
      </c>
      <c r="X293" s="111">
        <f ca="1">IF(OR((X292-13/12*AA292)*(1+PREMISSAS!$C$17)&lt;0,X292=""),0,(X292-13/12*AA292)*(1+PREMISSAS!$C$17))</f>
        <v>0</v>
      </c>
      <c r="Y293" s="111">
        <f t="shared" ca="1" si="35"/>
        <v>0</v>
      </c>
      <c r="Z293" s="134">
        <f t="shared" ca="1" si="38"/>
        <v>0</v>
      </c>
      <c r="AA293" s="134">
        <f t="shared" ca="1" si="39"/>
        <v>0</v>
      </c>
    </row>
    <row r="294" spans="2:27" x14ac:dyDescent="0.3">
      <c r="B294" s="21" t="str">
        <f ca="1">IF(B293="","",IF(EOMONTH(B293,1)&gt;EOMONTH(ELEGIBILIDADE!$E$5,0),"",EOMONTH(B293,1)))</f>
        <v/>
      </c>
      <c r="C294" s="22" t="str">
        <f ca="1">IF(B294="","",IF(MONTH(B294)=1,C293*(1+PREMISSAS!$C$58),C293))</f>
        <v/>
      </c>
      <c r="D294" s="22">
        <f ca="1">IF(RESULTADOS!$C$17="Normal",IFERROR(MAX(C294-PREMISSAS!$C$14,0),0),IF(PREMISSAS!$H$117=0,0,MAX(10*PREMISSAS!$C$39,RESULTADOS!$F$17)))</f>
        <v>0</v>
      </c>
      <c r="E294" s="4">
        <f ca="1">D294*IF(RESULTADOS!$C$17="Normal",RESULTADOS!$C$16,0)</f>
        <v>0</v>
      </c>
      <c r="F294" s="4">
        <f ca="1">IF(D294&lt;&gt;0,PREMISSAS!$N$83,0)</f>
        <v>0</v>
      </c>
      <c r="G294" s="4">
        <f ca="1">IFERROR(IF(RESULTADOS!$C$17="Normal",0,D294)*IF(RESULTADOS!$C$17="Normal",RESULTADOS!$C$18,RESULTADOS!$C$16),0)</f>
        <v>0</v>
      </c>
      <c r="H294" s="4">
        <f ca="1">IF(RESULTADOS!$C$17="Normal",E294,0)</f>
        <v>0</v>
      </c>
      <c r="I294" s="4">
        <f ca="1">(E294+H294+G294)*IFERROR(VLOOKUP(INT(COUNT($B$5:B294)/12),PREMISSAS!$B$62:$C$69,2,FALSE),PREMISSAS!$C$69)</f>
        <v>0</v>
      </c>
      <c r="J294" s="4">
        <f ca="1">D294*IF(RESULTADOS!$C$17="Normal",PREMISSAS!$C$71,0)</f>
        <v>0</v>
      </c>
      <c r="K294" s="87">
        <f ca="1">IFERROR(K293*(1+PREMISSAS!$C$19)+(E294+H294-IF(RESULTADOS!$C$17="Normal",I294,0)-J294)*IF(MONTH(B294)=12,2,1),0)</f>
        <v>0</v>
      </c>
      <c r="L294" s="87">
        <f ca="1">IFERROR((L293+G294-IF(RESULTADOS!$C$17="Normal",0,I294))*(1+PREMISSAS!$C$19)+F294,0)</f>
        <v>0</v>
      </c>
      <c r="N294" s="58">
        <f t="shared" ca="1" si="32"/>
        <v>0</v>
      </c>
      <c r="P294" s="131" t="str">
        <f t="shared" ca="1" si="33"/>
        <v/>
      </c>
      <c r="Q294" s="111" t="str">
        <f ca="1">IF(C294="","",Q293+(E294+H294-IF(RESULTADOS!$C$17="Normal",I294,0)-J294)/2+(F294+G294-IF(RESULTADOS!$C$17="Normal",0,I294)))</f>
        <v/>
      </c>
      <c r="R294" s="111" t="str">
        <f ca="1">IF(C294="","",R293+(E294+H294-IF(RESULTADOS!$C$17="Normal",I294,0)-J294)/2)</f>
        <v/>
      </c>
      <c r="S294" s="111">
        <f t="shared" ca="1" si="36"/>
        <v>0</v>
      </c>
      <c r="U294" s="131" t="str">
        <f t="shared" ca="1" si="37"/>
        <v/>
      </c>
      <c r="V294" s="131" t="str">
        <f t="shared" ca="1" si="34"/>
        <v/>
      </c>
      <c r="W294" s="111">
        <f ca="1">IF(OR((W293-13/12*Z293)*(1+PREMISSAS!$C$17)&lt;0,W293=""),0,(W293-13/12*Z293)*(1+PREMISSAS!$C$17))</f>
        <v>0</v>
      </c>
      <c r="X294" s="111">
        <f ca="1">IF(OR((X293-13/12*AA293)*(1+PREMISSAS!$C$17)&lt;0,X293=""),0,(X293-13/12*AA293)*(1+PREMISSAS!$C$17))</f>
        <v>0</v>
      </c>
      <c r="Y294" s="111">
        <f t="shared" ca="1" si="35"/>
        <v>0</v>
      </c>
      <c r="Z294" s="134">
        <f t="shared" ca="1" si="38"/>
        <v>0</v>
      </c>
      <c r="AA294" s="134">
        <f t="shared" ca="1" si="39"/>
        <v>0</v>
      </c>
    </row>
    <row r="295" spans="2:27" x14ac:dyDescent="0.3">
      <c r="B295" s="21" t="str">
        <f ca="1">IF(B294="","",IF(EOMONTH(B294,1)&gt;EOMONTH(ELEGIBILIDADE!$E$5,0),"",EOMONTH(B294,1)))</f>
        <v/>
      </c>
      <c r="C295" s="22" t="str">
        <f ca="1">IF(B295="","",IF(MONTH(B295)=1,C294*(1+PREMISSAS!$C$58),C294))</f>
        <v/>
      </c>
      <c r="D295" s="22">
        <f ca="1">IF(RESULTADOS!$C$17="Normal",IFERROR(MAX(C295-PREMISSAS!$C$14,0),0),IF(PREMISSAS!$H$117=0,0,MAX(10*PREMISSAS!$C$39,RESULTADOS!$F$17)))</f>
        <v>0</v>
      </c>
      <c r="E295" s="4">
        <f ca="1">D295*IF(RESULTADOS!$C$17="Normal",RESULTADOS!$C$16,0)</f>
        <v>0</v>
      </c>
      <c r="F295" s="4">
        <f ca="1">IF(D295&lt;&gt;0,PREMISSAS!$N$83,0)</f>
        <v>0</v>
      </c>
      <c r="G295" s="4">
        <f ca="1">IFERROR(IF(RESULTADOS!$C$17="Normal",0,D295)*IF(RESULTADOS!$C$17="Normal",RESULTADOS!$C$18,RESULTADOS!$C$16),0)</f>
        <v>0</v>
      </c>
      <c r="H295" s="4">
        <f ca="1">IF(RESULTADOS!$C$17="Normal",E295,0)</f>
        <v>0</v>
      </c>
      <c r="I295" s="4">
        <f ca="1">(E295+H295+G295)*IFERROR(VLOOKUP(INT(COUNT($B$5:B295)/12),PREMISSAS!$B$62:$C$69,2,FALSE),PREMISSAS!$C$69)</f>
        <v>0</v>
      </c>
      <c r="J295" s="4">
        <f ca="1">D295*IF(RESULTADOS!$C$17="Normal",PREMISSAS!$C$71,0)</f>
        <v>0</v>
      </c>
      <c r="K295" s="87">
        <f ca="1">IFERROR(K294*(1+PREMISSAS!$C$19)+(E295+H295-IF(RESULTADOS!$C$17="Normal",I295,0)-J295)*IF(MONTH(B295)=12,2,1),0)</f>
        <v>0</v>
      </c>
      <c r="L295" s="87">
        <f ca="1">IFERROR((L294+G295-IF(RESULTADOS!$C$17="Normal",0,I295))*(1+PREMISSAS!$C$19)+F295,0)</f>
        <v>0</v>
      </c>
      <c r="N295" s="58">
        <f t="shared" ca="1" si="32"/>
        <v>0</v>
      </c>
      <c r="P295" s="131" t="str">
        <f t="shared" ca="1" si="33"/>
        <v/>
      </c>
      <c r="Q295" s="111" t="str">
        <f ca="1">IF(C295="","",Q294+(E295+H295-IF(RESULTADOS!$C$17="Normal",I295,0)-J295)/2+(F295+G295-IF(RESULTADOS!$C$17="Normal",0,I295)))</f>
        <v/>
      </c>
      <c r="R295" s="111" t="str">
        <f ca="1">IF(C295="","",R294+(E295+H295-IF(RESULTADOS!$C$17="Normal",I295,0)-J295)/2)</f>
        <v/>
      </c>
      <c r="S295" s="111">
        <f t="shared" ca="1" si="36"/>
        <v>0</v>
      </c>
      <c r="U295" s="131" t="str">
        <f t="shared" ca="1" si="37"/>
        <v/>
      </c>
      <c r="V295" s="131" t="str">
        <f t="shared" ca="1" si="34"/>
        <v/>
      </c>
      <c r="W295" s="111">
        <f ca="1">IF(OR((W294-13/12*Z294)*(1+PREMISSAS!$C$17)&lt;0,W294=""),0,(W294-13/12*Z294)*(1+PREMISSAS!$C$17))</f>
        <v>0</v>
      </c>
      <c r="X295" s="111">
        <f ca="1">IF(OR((X294-13/12*AA294)*(1+PREMISSAS!$C$17)&lt;0,X294=""),0,(X294-13/12*AA294)*(1+PREMISSAS!$C$17))</f>
        <v>0</v>
      </c>
      <c r="Y295" s="111">
        <f t="shared" ca="1" si="35"/>
        <v>0</v>
      </c>
      <c r="Z295" s="134">
        <f t="shared" ca="1" si="38"/>
        <v>0</v>
      </c>
      <c r="AA295" s="134">
        <f t="shared" ca="1" si="39"/>
        <v>0</v>
      </c>
    </row>
    <row r="296" spans="2:27" x14ac:dyDescent="0.3">
      <c r="B296" s="21" t="str">
        <f ca="1">IF(B295="","",IF(EOMONTH(B295,1)&gt;EOMONTH(ELEGIBILIDADE!$E$5,0),"",EOMONTH(B295,1)))</f>
        <v/>
      </c>
      <c r="C296" s="22" t="str">
        <f ca="1">IF(B296="","",IF(MONTH(B296)=1,C295*(1+PREMISSAS!$C$58),C295))</f>
        <v/>
      </c>
      <c r="D296" s="22">
        <f ca="1">IF(RESULTADOS!$C$17="Normal",IFERROR(MAX(C296-PREMISSAS!$C$14,0),0),IF(PREMISSAS!$H$117=0,0,MAX(10*PREMISSAS!$C$39,RESULTADOS!$F$17)))</f>
        <v>0</v>
      </c>
      <c r="E296" s="4">
        <f ca="1">D296*IF(RESULTADOS!$C$17="Normal",RESULTADOS!$C$16,0)</f>
        <v>0</v>
      </c>
      <c r="F296" s="4">
        <f ca="1">IF(D296&lt;&gt;0,PREMISSAS!$N$83,0)</f>
        <v>0</v>
      </c>
      <c r="G296" s="4">
        <f ca="1">IFERROR(IF(RESULTADOS!$C$17="Normal",0,D296)*IF(RESULTADOS!$C$17="Normal",RESULTADOS!$C$18,RESULTADOS!$C$16),0)</f>
        <v>0</v>
      </c>
      <c r="H296" s="4">
        <f ca="1">IF(RESULTADOS!$C$17="Normal",E296,0)</f>
        <v>0</v>
      </c>
      <c r="I296" s="4">
        <f ca="1">(E296+H296+G296)*IFERROR(VLOOKUP(INT(COUNT($B$5:B296)/12),PREMISSAS!$B$62:$C$69,2,FALSE),PREMISSAS!$C$69)</f>
        <v>0</v>
      </c>
      <c r="J296" s="4">
        <f ca="1">D296*IF(RESULTADOS!$C$17="Normal",PREMISSAS!$C$71,0)</f>
        <v>0</v>
      </c>
      <c r="K296" s="87">
        <f ca="1">IFERROR(K295*(1+PREMISSAS!$C$19)+(E296+H296-IF(RESULTADOS!$C$17="Normal",I296,0)-J296)*IF(MONTH(B296)=12,2,1),0)</f>
        <v>0</v>
      </c>
      <c r="L296" s="87">
        <f ca="1">IFERROR((L295+G296-IF(RESULTADOS!$C$17="Normal",0,I296))*(1+PREMISSAS!$C$19)+F296,0)</f>
        <v>0</v>
      </c>
      <c r="N296" s="58">
        <f t="shared" ca="1" si="32"/>
        <v>0</v>
      </c>
      <c r="P296" s="131" t="str">
        <f t="shared" ca="1" si="33"/>
        <v/>
      </c>
      <c r="Q296" s="111" t="str">
        <f ca="1">IF(C296="","",Q295+(E296+H296-IF(RESULTADOS!$C$17="Normal",I296,0)-J296)/2+(F296+G296-IF(RESULTADOS!$C$17="Normal",0,I296)))</f>
        <v/>
      </c>
      <c r="R296" s="111" t="str">
        <f ca="1">IF(C296="","",R295+(E296+H296-IF(RESULTADOS!$C$17="Normal",I296,0)-J296)/2)</f>
        <v/>
      </c>
      <c r="S296" s="111">
        <f t="shared" ca="1" si="36"/>
        <v>0</v>
      </c>
      <c r="U296" s="131" t="str">
        <f t="shared" ca="1" si="37"/>
        <v/>
      </c>
      <c r="V296" s="131" t="str">
        <f t="shared" ca="1" si="34"/>
        <v/>
      </c>
      <c r="W296" s="111">
        <f ca="1">IF(OR((W295-13/12*Z295)*(1+PREMISSAS!$C$17)&lt;0,W295=""),0,(W295-13/12*Z295)*(1+PREMISSAS!$C$17))</f>
        <v>0</v>
      </c>
      <c r="X296" s="111">
        <f ca="1">IF(OR((X295-13/12*AA295)*(1+PREMISSAS!$C$17)&lt;0,X295=""),0,(X295-13/12*AA295)*(1+PREMISSAS!$C$17))</f>
        <v>0</v>
      </c>
      <c r="Y296" s="111">
        <f t="shared" ca="1" si="35"/>
        <v>0</v>
      </c>
      <c r="Z296" s="134">
        <f t="shared" ca="1" si="38"/>
        <v>0</v>
      </c>
      <c r="AA296" s="134">
        <f t="shared" ca="1" si="39"/>
        <v>0</v>
      </c>
    </row>
    <row r="297" spans="2:27" x14ac:dyDescent="0.3">
      <c r="B297" s="21" t="str">
        <f ca="1">IF(B296="","",IF(EOMONTH(B296,1)&gt;EOMONTH(ELEGIBILIDADE!$E$5,0),"",EOMONTH(B296,1)))</f>
        <v/>
      </c>
      <c r="C297" s="22" t="str">
        <f ca="1">IF(B297="","",IF(MONTH(B297)=1,C296*(1+PREMISSAS!$C$58),C296))</f>
        <v/>
      </c>
      <c r="D297" s="22">
        <f ca="1">IF(RESULTADOS!$C$17="Normal",IFERROR(MAX(C297-PREMISSAS!$C$14,0),0),IF(PREMISSAS!$H$117=0,0,MAX(10*PREMISSAS!$C$39,RESULTADOS!$F$17)))</f>
        <v>0</v>
      </c>
      <c r="E297" s="4">
        <f ca="1">D297*IF(RESULTADOS!$C$17="Normal",RESULTADOS!$C$16,0)</f>
        <v>0</v>
      </c>
      <c r="F297" s="4">
        <f ca="1">IF(D297&lt;&gt;0,PREMISSAS!$N$83,0)</f>
        <v>0</v>
      </c>
      <c r="G297" s="4">
        <f ca="1">IFERROR(IF(RESULTADOS!$C$17="Normal",0,D297)*IF(RESULTADOS!$C$17="Normal",RESULTADOS!$C$18,RESULTADOS!$C$16),0)</f>
        <v>0</v>
      </c>
      <c r="H297" s="4">
        <f ca="1">IF(RESULTADOS!$C$17="Normal",E297,0)</f>
        <v>0</v>
      </c>
      <c r="I297" s="4">
        <f ca="1">(E297+H297+G297)*IFERROR(VLOOKUP(INT(COUNT($B$5:B297)/12),PREMISSAS!$B$62:$C$69,2,FALSE),PREMISSAS!$C$69)</f>
        <v>0</v>
      </c>
      <c r="J297" s="4">
        <f ca="1">D297*IF(RESULTADOS!$C$17="Normal",PREMISSAS!$C$71,0)</f>
        <v>0</v>
      </c>
      <c r="K297" s="87">
        <f ca="1">IFERROR(K296*(1+PREMISSAS!$C$19)+(E297+H297-IF(RESULTADOS!$C$17="Normal",I297,0)-J297)*IF(MONTH(B297)=12,2,1),0)</f>
        <v>0</v>
      </c>
      <c r="L297" s="87">
        <f ca="1">IFERROR((L296+G297-IF(RESULTADOS!$C$17="Normal",0,I297))*(1+PREMISSAS!$C$19)+F297,0)</f>
        <v>0</v>
      </c>
      <c r="N297" s="58">
        <f t="shared" ca="1" si="32"/>
        <v>0</v>
      </c>
      <c r="P297" s="131" t="str">
        <f t="shared" ca="1" si="33"/>
        <v/>
      </c>
      <c r="Q297" s="111" t="str">
        <f ca="1">IF(C297="","",Q296+(E297+H297-IF(RESULTADOS!$C$17="Normal",I297,0)-J297)/2+(F297+G297-IF(RESULTADOS!$C$17="Normal",0,I297)))</f>
        <v/>
      </c>
      <c r="R297" s="111" t="str">
        <f ca="1">IF(C297="","",R296+(E297+H297-IF(RESULTADOS!$C$17="Normal",I297,0)-J297)/2)</f>
        <v/>
      </c>
      <c r="S297" s="111">
        <f t="shared" ca="1" si="36"/>
        <v>0</v>
      </c>
      <c r="U297" s="131" t="str">
        <f t="shared" ca="1" si="37"/>
        <v/>
      </c>
      <c r="V297" s="131" t="str">
        <f t="shared" ca="1" si="34"/>
        <v/>
      </c>
      <c r="W297" s="111">
        <f ca="1">IF(OR((W296-13/12*Z296)*(1+PREMISSAS!$C$17)&lt;0,W296=""),0,(W296-13/12*Z296)*(1+PREMISSAS!$C$17))</f>
        <v>0</v>
      </c>
      <c r="X297" s="111">
        <f ca="1">IF(OR((X296-13/12*AA296)*(1+PREMISSAS!$C$17)&lt;0,X296=""),0,(X296-13/12*AA296)*(1+PREMISSAS!$C$17))</f>
        <v>0</v>
      </c>
      <c r="Y297" s="111">
        <f t="shared" ca="1" si="35"/>
        <v>0</v>
      </c>
      <c r="Z297" s="134">
        <f t="shared" ca="1" si="38"/>
        <v>0</v>
      </c>
      <c r="AA297" s="134">
        <f t="shared" ca="1" si="39"/>
        <v>0</v>
      </c>
    </row>
    <row r="298" spans="2:27" x14ac:dyDescent="0.3">
      <c r="B298" s="21" t="str">
        <f ca="1">IF(B297="","",IF(EOMONTH(B297,1)&gt;EOMONTH(ELEGIBILIDADE!$E$5,0),"",EOMONTH(B297,1)))</f>
        <v/>
      </c>
      <c r="C298" s="22" t="str">
        <f ca="1">IF(B298="","",IF(MONTH(B298)=1,C297*(1+PREMISSAS!$C$58),C297))</f>
        <v/>
      </c>
      <c r="D298" s="22">
        <f ca="1">IF(RESULTADOS!$C$17="Normal",IFERROR(MAX(C298-PREMISSAS!$C$14,0),0),IF(PREMISSAS!$H$117=0,0,MAX(10*PREMISSAS!$C$39,RESULTADOS!$F$17)))</f>
        <v>0</v>
      </c>
      <c r="E298" s="4">
        <f ca="1">D298*IF(RESULTADOS!$C$17="Normal",RESULTADOS!$C$16,0)</f>
        <v>0</v>
      </c>
      <c r="F298" s="4">
        <f ca="1">IF(D298&lt;&gt;0,PREMISSAS!$N$83,0)</f>
        <v>0</v>
      </c>
      <c r="G298" s="4">
        <f ca="1">IFERROR(IF(RESULTADOS!$C$17="Normal",0,D298)*IF(RESULTADOS!$C$17="Normal",RESULTADOS!$C$18,RESULTADOS!$C$16),0)</f>
        <v>0</v>
      </c>
      <c r="H298" s="4">
        <f ca="1">IF(RESULTADOS!$C$17="Normal",E298,0)</f>
        <v>0</v>
      </c>
      <c r="I298" s="4">
        <f ca="1">(E298+H298+G298)*IFERROR(VLOOKUP(INT(COUNT($B$5:B298)/12),PREMISSAS!$B$62:$C$69,2,FALSE),PREMISSAS!$C$69)</f>
        <v>0</v>
      </c>
      <c r="J298" s="4">
        <f ca="1">D298*IF(RESULTADOS!$C$17="Normal",PREMISSAS!$C$71,0)</f>
        <v>0</v>
      </c>
      <c r="K298" s="87">
        <f ca="1">IFERROR(K297*(1+PREMISSAS!$C$19)+(E298+H298-IF(RESULTADOS!$C$17="Normal",I298,0)-J298)*IF(MONTH(B298)=12,2,1),0)</f>
        <v>0</v>
      </c>
      <c r="L298" s="87">
        <f ca="1">IFERROR((L297+G298-IF(RESULTADOS!$C$17="Normal",0,I298))*(1+PREMISSAS!$C$19)+F298,0)</f>
        <v>0</v>
      </c>
      <c r="N298" s="58">
        <f t="shared" ca="1" si="32"/>
        <v>0</v>
      </c>
      <c r="P298" s="131" t="str">
        <f t="shared" ca="1" si="33"/>
        <v/>
      </c>
      <c r="Q298" s="111" t="str">
        <f ca="1">IF(C298="","",Q297+(E298+H298-IF(RESULTADOS!$C$17="Normal",I298,0)-J298)/2+(F298+G298-IF(RESULTADOS!$C$17="Normal",0,I298)))</f>
        <v/>
      </c>
      <c r="R298" s="111" t="str">
        <f ca="1">IF(C298="","",R297+(E298+H298-IF(RESULTADOS!$C$17="Normal",I298,0)-J298)/2)</f>
        <v/>
      </c>
      <c r="S298" s="111">
        <f t="shared" ca="1" si="36"/>
        <v>0</v>
      </c>
      <c r="U298" s="131" t="str">
        <f t="shared" ca="1" si="37"/>
        <v/>
      </c>
      <c r="V298" s="131" t="str">
        <f t="shared" ca="1" si="34"/>
        <v/>
      </c>
      <c r="W298" s="111">
        <f ca="1">IF(OR((W297-13/12*Z297)*(1+PREMISSAS!$C$17)&lt;0,W297=""),0,(W297-13/12*Z297)*(1+PREMISSAS!$C$17))</f>
        <v>0</v>
      </c>
      <c r="X298" s="111">
        <f ca="1">IF(OR((X297-13/12*AA297)*(1+PREMISSAS!$C$17)&lt;0,X297=""),0,(X297-13/12*AA297)*(1+PREMISSAS!$C$17))</f>
        <v>0</v>
      </c>
      <c r="Y298" s="111">
        <f t="shared" ca="1" si="35"/>
        <v>0</v>
      </c>
      <c r="Z298" s="134">
        <f t="shared" ca="1" si="38"/>
        <v>0</v>
      </c>
      <c r="AA298" s="134">
        <f t="shared" ca="1" si="39"/>
        <v>0</v>
      </c>
    </row>
    <row r="299" spans="2:27" x14ac:dyDescent="0.3">
      <c r="B299" s="21" t="str">
        <f ca="1">IF(B298="","",IF(EOMONTH(B298,1)&gt;EOMONTH(ELEGIBILIDADE!$E$5,0),"",EOMONTH(B298,1)))</f>
        <v/>
      </c>
      <c r="C299" s="22" t="str">
        <f ca="1">IF(B299="","",IF(MONTH(B299)=1,C298*(1+PREMISSAS!$C$58),C298))</f>
        <v/>
      </c>
      <c r="D299" s="22">
        <f ca="1">IF(RESULTADOS!$C$17="Normal",IFERROR(MAX(C299-PREMISSAS!$C$14,0),0),IF(PREMISSAS!$H$117=0,0,MAX(10*PREMISSAS!$C$39,RESULTADOS!$F$17)))</f>
        <v>0</v>
      </c>
      <c r="E299" s="4">
        <f ca="1">D299*IF(RESULTADOS!$C$17="Normal",RESULTADOS!$C$16,0)</f>
        <v>0</v>
      </c>
      <c r="F299" s="4">
        <f ca="1">IF(D299&lt;&gt;0,PREMISSAS!$N$83,0)</f>
        <v>0</v>
      </c>
      <c r="G299" s="4">
        <f ca="1">IFERROR(IF(RESULTADOS!$C$17="Normal",0,D299)*IF(RESULTADOS!$C$17="Normal",RESULTADOS!$C$18,RESULTADOS!$C$16),0)</f>
        <v>0</v>
      </c>
      <c r="H299" s="4">
        <f ca="1">IF(RESULTADOS!$C$17="Normal",E299,0)</f>
        <v>0</v>
      </c>
      <c r="I299" s="4">
        <f ca="1">(E299+H299+G299)*IFERROR(VLOOKUP(INT(COUNT($B$5:B299)/12),PREMISSAS!$B$62:$C$69,2,FALSE),PREMISSAS!$C$69)</f>
        <v>0</v>
      </c>
      <c r="J299" s="4">
        <f ca="1">D299*IF(RESULTADOS!$C$17="Normal",PREMISSAS!$C$71,0)</f>
        <v>0</v>
      </c>
      <c r="K299" s="87">
        <f ca="1">IFERROR(K298*(1+PREMISSAS!$C$19)+(E299+H299-IF(RESULTADOS!$C$17="Normal",I299,0)-J299)*IF(MONTH(B299)=12,2,1),0)</f>
        <v>0</v>
      </c>
      <c r="L299" s="87">
        <f ca="1">IFERROR((L298+G299-IF(RESULTADOS!$C$17="Normal",0,I299))*(1+PREMISSAS!$C$19)+F299,0)</f>
        <v>0</v>
      </c>
      <c r="N299" s="58">
        <f t="shared" ca="1" si="32"/>
        <v>0</v>
      </c>
      <c r="P299" s="131" t="str">
        <f t="shared" ca="1" si="33"/>
        <v/>
      </c>
      <c r="Q299" s="111" t="str">
        <f ca="1">IF(C299="","",Q298+(E299+H299-IF(RESULTADOS!$C$17="Normal",I299,0)-J299)/2+(F299+G299-IF(RESULTADOS!$C$17="Normal",0,I299)))</f>
        <v/>
      </c>
      <c r="R299" s="111" t="str">
        <f ca="1">IF(C299="","",R298+(E299+H299-IF(RESULTADOS!$C$17="Normal",I299,0)-J299)/2)</f>
        <v/>
      </c>
      <c r="S299" s="111">
        <f t="shared" ca="1" si="36"/>
        <v>0</v>
      </c>
      <c r="U299" s="131" t="str">
        <f t="shared" ca="1" si="37"/>
        <v/>
      </c>
      <c r="V299" s="131" t="str">
        <f t="shared" ca="1" si="34"/>
        <v/>
      </c>
      <c r="W299" s="111">
        <f ca="1">IF(OR((W298-13/12*Z298)*(1+PREMISSAS!$C$17)&lt;0,W298=""),0,(W298-13/12*Z298)*(1+PREMISSAS!$C$17))</f>
        <v>0</v>
      </c>
      <c r="X299" s="111">
        <f ca="1">IF(OR((X298-13/12*AA298)*(1+PREMISSAS!$C$17)&lt;0,X298=""),0,(X298-13/12*AA298)*(1+PREMISSAS!$C$17))</f>
        <v>0</v>
      </c>
      <c r="Y299" s="111">
        <f t="shared" ca="1" si="35"/>
        <v>0</v>
      </c>
      <c r="Z299" s="134">
        <f t="shared" ca="1" si="38"/>
        <v>0</v>
      </c>
      <c r="AA299" s="134">
        <f t="shared" ca="1" si="39"/>
        <v>0</v>
      </c>
    </row>
    <row r="300" spans="2:27" x14ac:dyDescent="0.3">
      <c r="B300" s="21" t="str">
        <f ca="1">IF(B299="","",IF(EOMONTH(B299,1)&gt;EOMONTH(ELEGIBILIDADE!$E$5,0),"",EOMONTH(B299,1)))</f>
        <v/>
      </c>
      <c r="C300" s="22" t="str">
        <f ca="1">IF(B300="","",IF(MONTH(B300)=1,C299*(1+PREMISSAS!$C$58),C299))</f>
        <v/>
      </c>
      <c r="D300" s="22">
        <f ca="1">IF(RESULTADOS!$C$17="Normal",IFERROR(MAX(C300-PREMISSAS!$C$14,0),0),IF(PREMISSAS!$H$117=0,0,MAX(10*PREMISSAS!$C$39,RESULTADOS!$F$17)))</f>
        <v>0</v>
      </c>
      <c r="E300" s="4">
        <f ca="1">D300*IF(RESULTADOS!$C$17="Normal",RESULTADOS!$C$16,0)</f>
        <v>0</v>
      </c>
      <c r="F300" s="4">
        <f ca="1">IF(D300&lt;&gt;0,PREMISSAS!$N$83,0)</f>
        <v>0</v>
      </c>
      <c r="G300" s="4">
        <f ca="1">IFERROR(IF(RESULTADOS!$C$17="Normal",0,D300)*IF(RESULTADOS!$C$17="Normal",RESULTADOS!$C$18,RESULTADOS!$C$16),0)</f>
        <v>0</v>
      </c>
      <c r="H300" s="4">
        <f ca="1">IF(RESULTADOS!$C$17="Normal",E300,0)</f>
        <v>0</v>
      </c>
      <c r="I300" s="4">
        <f ca="1">(E300+H300+G300)*IFERROR(VLOOKUP(INT(COUNT($B$5:B300)/12),PREMISSAS!$B$62:$C$69,2,FALSE),PREMISSAS!$C$69)</f>
        <v>0</v>
      </c>
      <c r="J300" s="4">
        <f ca="1">D300*IF(RESULTADOS!$C$17="Normal",PREMISSAS!$C$71,0)</f>
        <v>0</v>
      </c>
      <c r="K300" s="87">
        <f ca="1">IFERROR(K299*(1+PREMISSAS!$C$19)+(E300+H300-IF(RESULTADOS!$C$17="Normal",I300,0)-J300)*IF(MONTH(B300)=12,2,1),0)</f>
        <v>0</v>
      </c>
      <c r="L300" s="87">
        <f ca="1">IFERROR((L299+G300-IF(RESULTADOS!$C$17="Normal",0,I300))*(1+PREMISSAS!$C$19)+F300,0)</f>
        <v>0</v>
      </c>
      <c r="N300" s="58">
        <f t="shared" ca="1" si="32"/>
        <v>0</v>
      </c>
      <c r="P300" s="131" t="str">
        <f t="shared" ca="1" si="33"/>
        <v/>
      </c>
      <c r="Q300" s="111" t="str">
        <f ca="1">IF(C300="","",Q299+(E300+H300-IF(RESULTADOS!$C$17="Normal",I300,0)-J300)/2+(F300+G300-IF(RESULTADOS!$C$17="Normal",0,I300)))</f>
        <v/>
      </c>
      <c r="R300" s="111" t="str">
        <f ca="1">IF(C300="","",R299+(E300+H300-IF(RESULTADOS!$C$17="Normal",I300,0)-J300)/2)</f>
        <v/>
      </c>
      <c r="S300" s="111">
        <f t="shared" ca="1" si="36"/>
        <v>0</v>
      </c>
      <c r="U300" s="131" t="str">
        <f t="shared" ca="1" si="37"/>
        <v/>
      </c>
      <c r="V300" s="131" t="str">
        <f t="shared" ca="1" si="34"/>
        <v/>
      </c>
      <c r="W300" s="111">
        <f ca="1">IF(OR((W299-13/12*Z299)*(1+PREMISSAS!$C$17)&lt;0,W299=""),0,(W299-13/12*Z299)*(1+PREMISSAS!$C$17))</f>
        <v>0</v>
      </c>
      <c r="X300" s="111">
        <f ca="1">IF(OR((X299-13/12*AA299)*(1+PREMISSAS!$C$17)&lt;0,X299=""),0,(X299-13/12*AA299)*(1+PREMISSAS!$C$17))</f>
        <v>0</v>
      </c>
      <c r="Y300" s="111">
        <f t="shared" ca="1" si="35"/>
        <v>0</v>
      </c>
      <c r="Z300" s="134">
        <f t="shared" ca="1" si="38"/>
        <v>0</v>
      </c>
      <c r="AA300" s="134">
        <f t="shared" ca="1" si="39"/>
        <v>0</v>
      </c>
    </row>
    <row r="301" spans="2:27" x14ac:dyDescent="0.3">
      <c r="B301" s="21" t="str">
        <f ca="1">IF(B300="","",IF(EOMONTH(B300,1)&gt;EOMONTH(ELEGIBILIDADE!$E$5,0),"",EOMONTH(B300,1)))</f>
        <v/>
      </c>
      <c r="C301" s="22" t="str">
        <f ca="1">IF(B301="","",IF(MONTH(B301)=1,C300*(1+PREMISSAS!$C$58),C300))</f>
        <v/>
      </c>
      <c r="D301" s="22">
        <f ca="1">IF(RESULTADOS!$C$17="Normal",IFERROR(MAX(C301-PREMISSAS!$C$14,0),0),IF(PREMISSAS!$H$117=0,0,MAX(10*PREMISSAS!$C$39,RESULTADOS!$F$17)))</f>
        <v>0</v>
      </c>
      <c r="E301" s="4">
        <f ca="1">D301*IF(RESULTADOS!$C$17="Normal",RESULTADOS!$C$16,0)</f>
        <v>0</v>
      </c>
      <c r="F301" s="4">
        <f ca="1">IF(D301&lt;&gt;0,PREMISSAS!$N$83,0)</f>
        <v>0</v>
      </c>
      <c r="G301" s="4">
        <f ca="1">IFERROR(IF(RESULTADOS!$C$17="Normal",0,D301)*IF(RESULTADOS!$C$17="Normal",RESULTADOS!$C$18,RESULTADOS!$C$16),0)</f>
        <v>0</v>
      </c>
      <c r="H301" s="4">
        <f ca="1">IF(RESULTADOS!$C$17="Normal",E301,0)</f>
        <v>0</v>
      </c>
      <c r="I301" s="4">
        <f ca="1">(E301+H301+G301)*IFERROR(VLOOKUP(INT(COUNT($B$5:B301)/12),PREMISSAS!$B$62:$C$69,2,FALSE),PREMISSAS!$C$69)</f>
        <v>0</v>
      </c>
      <c r="J301" s="4">
        <f ca="1">D301*IF(RESULTADOS!$C$17="Normal",PREMISSAS!$C$71,0)</f>
        <v>0</v>
      </c>
      <c r="K301" s="87">
        <f ca="1">IFERROR(K300*(1+PREMISSAS!$C$19)+(E301+H301-IF(RESULTADOS!$C$17="Normal",I301,0)-J301)*IF(MONTH(B301)=12,2,1),0)</f>
        <v>0</v>
      </c>
      <c r="L301" s="87">
        <f ca="1">IFERROR((L300+G301-IF(RESULTADOS!$C$17="Normal",0,I301))*(1+PREMISSAS!$C$19)+F301,0)</f>
        <v>0</v>
      </c>
      <c r="N301" s="58">
        <f t="shared" ca="1" si="32"/>
        <v>0</v>
      </c>
      <c r="P301" s="131" t="str">
        <f t="shared" ca="1" si="33"/>
        <v/>
      </c>
      <c r="Q301" s="111" t="str">
        <f ca="1">IF(C301="","",Q300+(E301+H301-IF(RESULTADOS!$C$17="Normal",I301,0)-J301)/2+(F301+G301-IF(RESULTADOS!$C$17="Normal",0,I301)))</f>
        <v/>
      </c>
      <c r="R301" s="111" t="str">
        <f ca="1">IF(C301="","",R300+(E301+H301-IF(RESULTADOS!$C$17="Normal",I301,0)-J301)/2)</f>
        <v/>
      </c>
      <c r="S301" s="111">
        <f t="shared" ca="1" si="36"/>
        <v>0</v>
      </c>
      <c r="U301" s="131" t="str">
        <f t="shared" ca="1" si="37"/>
        <v/>
      </c>
      <c r="V301" s="131" t="str">
        <f t="shared" ca="1" si="34"/>
        <v/>
      </c>
      <c r="W301" s="111">
        <f ca="1">IF(OR((W300-13/12*Z300)*(1+PREMISSAS!$C$17)&lt;0,W300=""),0,(W300-13/12*Z300)*(1+PREMISSAS!$C$17))</f>
        <v>0</v>
      </c>
      <c r="X301" s="111">
        <f ca="1">IF(OR((X300-13/12*AA300)*(1+PREMISSAS!$C$17)&lt;0,X300=""),0,(X300-13/12*AA300)*(1+PREMISSAS!$C$17))</f>
        <v>0</v>
      </c>
      <c r="Y301" s="111">
        <f t="shared" ca="1" si="35"/>
        <v>0</v>
      </c>
      <c r="Z301" s="134">
        <f t="shared" ca="1" si="38"/>
        <v>0</v>
      </c>
      <c r="AA301" s="134">
        <f t="shared" ca="1" si="39"/>
        <v>0</v>
      </c>
    </row>
    <row r="302" spans="2:27" x14ac:dyDescent="0.3">
      <c r="B302" s="21" t="str">
        <f ca="1">IF(B301="","",IF(EOMONTH(B301,1)&gt;EOMONTH(ELEGIBILIDADE!$E$5,0),"",EOMONTH(B301,1)))</f>
        <v/>
      </c>
      <c r="C302" s="22" t="str">
        <f ca="1">IF(B302="","",IF(MONTH(B302)=1,C301*(1+PREMISSAS!$C$58),C301))</f>
        <v/>
      </c>
      <c r="D302" s="22">
        <f ca="1">IF(RESULTADOS!$C$17="Normal",IFERROR(MAX(C302-PREMISSAS!$C$14,0),0),IF(PREMISSAS!$H$117=0,0,MAX(10*PREMISSAS!$C$39,RESULTADOS!$F$17)))</f>
        <v>0</v>
      </c>
      <c r="E302" s="4">
        <f ca="1">D302*IF(RESULTADOS!$C$17="Normal",RESULTADOS!$C$16,0)</f>
        <v>0</v>
      </c>
      <c r="F302" s="4">
        <f ca="1">IF(D302&lt;&gt;0,PREMISSAS!$N$83,0)</f>
        <v>0</v>
      </c>
      <c r="G302" s="4">
        <f ca="1">IFERROR(IF(RESULTADOS!$C$17="Normal",0,D302)*IF(RESULTADOS!$C$17="Normal",RESULTADOS!$C$18,RESULTADOS!$C$16),0)</f>
        <v>0</v>
      </c>
      <c r="H302" s="4">
        <f ca="1">IF(RESULTADOS!$C$17="Normal",E302,0)</f>
        <v>0</v>
      </c>
      <c r="I302" s="4">
        <f ca="1">(E302+H302+G302)*IFERROR(VLOOKUP(INT(COUNT($B$5:B302)/12),PREMISSAS!$B$62:$C$69,2,FALSE),PREMISSAS!$C$69)</f>
        <v>0</v>
      </c>
      <c r="J302" s="4">
        <f ca="1">D302*IF(RESULTADOS!$C$17="Normal",PREMISSAS!$C$71,0)</f>
        <v>0</v>
      </c>
      <c r="K302" s="87">
        <f ca="1">IFERROR(K301*(1+PREMISSAS!$C$19)+(E302+H302-IF(RESULTADOS!$C$17="Normal",I302,0)-J302)*IF(MONTH(B302)=12,2,1),0)</f>
        <v>0</v>
      </c>
      <c r="L302" s="87">
        <f ca="1">IFERROR((L301+G302-IF(RESULTADOS!$C$17="Normal",0,I302))*(1+PREMISSAS!$C$19)+F302,0)</f>
        <v>0</v>
      </c>
      <c r="N302" s="58">
        <f t="shared" ca="1" si="32"/>
        <v>0</v>
      </c>
      <c r="P302" s="131" t="str">
        <f t="shared" ca="1" si="33"/>
        <v/>
      </c>
      <c r="Q302" s="111" t="str">
        <f ca="1">IF(C302="","",Q301+(E302+H302-IF(RESULTADOS!$C$17="Normal",I302,0)-J302)/2+(F302+G302-IF(RESULTADOS!$C$17="Normal",0,I302)))</f>
        <v/>
      </c>
      <c r="R302" s="111" t="str">
        <f ca="1">IF(C302="","",R301+(E302+H302-IF(RESULTADOS!$C$17="Normal",I302,0)-J302)/2)</f>
        <v/>
      </c>
      <c r="S302" s="111">
        <f t="shared" ca="1" si="36"/>
        <v>0</v>
      </c>
      <c r="U302" s="131" t="str">
        <f t="shared" ca="1" si="37"/>
        <v/>
      </c>
      <c r="V302" s="131" t="str">
        <f t="shared" ca="1" si="34"/>
        <v/>
      </c>
      <c r="W302" s="111">
        <f ca="1">IF(OR((W301-13/12*Z301)*(1+PREMISSAS!$C$17)&lt;0,W301=""),0,(W301-13/12*Z301)*(1+PREMISSAS!$C$17))</f>
        <v>0</v>
      </c>
      <c r="X302" s="111">
        <f ca="1">IF(OR((X301-13/12*AA301)*(1+PREMISSAS!$C$17)&lt;0,X301=""),0,(X301-13/12*AA301)*(1+PREMISSAS!$C$17))</f>
        <v>0</v>
      </c>
      <c r="Y302" s="111">
        <f t="shared" ca="1" si="35"/>
        <v>0</v>
      </c>
      <c r="Z302" s="134">
        <f t="shared" ca="1" si="38"/>
        <v>0</v>
      </c>
      <c r="AA302" s="134">
        <f t="shared" ca="1" si="39"/>
        <v>0</v>
      </c>
    </row>
    <row r="303" spans="2:27" x14ac:dyDescent="0.3">
      <c r="B303" s="21" t="str">
        <f ca="1">IF(B302="","",IF(EOMONTH(B302,1)&gt;EOMONTH(ELEGIBILIDADE!$E$5,0),"",EOMONTH(B302,1)))</f>
        <v/>
      </c>
      <c r="C303" s="22" t="str">
        <f ca="1">IF(B303="","",IF(MONTH(B303)=1,C302*(1+PREMISSAS!$C$58),C302))</f>
        <v/>
      </c>
      <c r="D303" s="22">
        <f ca="1">IF(RESULTADOS!$C$17="Normal",IFERROR(MAX(C303-PREMISSAS!$C$14,0),0),IF(PREMISSAS!$H$117=0,0,MAX(10*PREMISSAS!$C$39,RESULTADOS!$F$17)))</f>
        <v>0</v>
      </c>
      <c r="E303" s="4">
        <f ca="1">D303*IF(RESULTADOS!$C$17="Normal",RESULTADOS!$C$16,0)</f>
        <v>0</v>
      </c>
      <c r="F303" s="4">
        <f ca="1">IF(D303&lt;&gt;0,PREMISSAS!$N$83,0)</f>
        <v>0</v>
      </c>
      <c r="G303" s="4">
        <f ca="1">IFERROR(IF(RESULTADOS!$C$17="Normal",0,D303)*IF(RESULTADOS!$C$17="Normal",RESULTADOS!$C$18,RESULTADOS!$C$16),0)</f>
        <v>0</v>
      </c>
      <c r="H303" s="4">
        <f ca="1">IF(RESULTADOS!$C$17="Normal",E303,0)</f>
        <v>0</v>
      </c>
      <c r="I303" s="4">
        <f ca="1">(E303+H303+G303)*IFERROR(VLOOKUP(INT(COUNT($B$5:B303)/12),PREMISSAS!$B$62:$C$69,2,FALSE),PREMISSAS!$C$69)</f>
        <v>0</v>
      </c>
      <c r="J303" s="4">
        <f ca="1">D303*IF(RESULTADOS!$C$17="Normal",PREMISSAS!$C$71,0)</f>
        <v>0</v>
      </c>
      <c r="K303" s="87">
        <f ca="1">IFERROR(K302*(1+PREMISSAS!$C$19)+(E303+H303-IF(RESULTADOS!$C$17="Normal",I303,0)-J303)*IF(MONTH(B303)=12,2,1),0)</f>
        <v>0</v>
      </c>
      <c r="L303" s="87">
        <f ca="1">IFERROR((L302+G303-IF(RESULTADOS!$C$17="Normal",0,I303))*(1+PREMISSAS!$C$19)+F303,0)</f>
        <v>0</v>
      </c>
      <c r="N303" s="58">
        <f t="shared" ca="1" si="32"/>
        <v>0</v>
      </c>
      <c r="P303" s="131" t="str">
        <f t="shared" ca="1" si="33"/>
        <v/>
      </c>
      <c r="Q303" s="111" t="str">
        <f ca="1">IF(C303="","",Q302+(E303+H303-IF(RESULTADOS!$C$17="Normal",I303,0)-J303)/2+(F303+G303-IF(RESULTADOS!$C$17="Normal",0,I303)))</f>
        <v/>
      </c>
      <c r="R303" s="111" t="str">
        <f ca="1">IF(C303="","",R302+(E303+H303-IF(RESULTADOS!$C$17="Normal",I303,0)-J303)/2)</f>
        <v/>
      </c>
      <c r="S303" s="111">
        <f t="shared" ca="1" si="36"/>
        <v>0</v>
      </c>
      <c r="U303" s="131" t="str">
        <f t="shared" ca="1" si="37"/>
        <v/>
      </c>
      <c r="V303" s="131" t="str">
        <f t="shared" ca="1" si="34"/>
        <v/>
      </c>
      <c r="W303" s="111">
        <f ca="1">IF(OR((W302-13/12*Z302)*(1+PREMISSAS!$C$17)&lt;0,W302=""),0,(W302-13/12*Z302)*(1+PREMISSAS!$C$17))</f>
        <v>0</v>
      </c>
      <c r="X303" s="111">
        <f ca="1">IF(OR((X302-13/12*AA302)*(1+PREMISSAS!$C$17)&lt;0,X302=""),0,(X302-13/12*AA302)*(1+PREMISSAS!$C$17))</f>
        <v>0</v>
      </c>
      <c r="Y303" s="111">
        <f t="shared" ca="1" si="35"/>
        <v>0</v>
      </c>
      <c r="Z303" s="134">
        <f t="shared" ca="1" si="38"/>
        <v>0</v>
      </c>
      <c r="AA303" s="134">
        <f t="shared" ca="1" si="39"/>
        <v>0</v>
      </c>
    </row>
    <row r="304" spans="2:27" x14ac:dyDescent="0.3">
      <c r="B304" s="21" t="str">
        <f ca="1">IF(B303="","",IF(EOMONTH(B303,1)&gt;EOMONTH(ELEGIBILIDADE!$E$5,0),"",EOMONTH(B303,1)))</f>
        <v/>
      </c>
      <c r="C304" s="22" t="str">
        <f ca="1">IF(B304="","",IF(MONTH(B304)=1,C303*(1+PREMISSAS!$C$58),C303))</f>
        <v/>
      </c>
      <c r="D304" s="22">
        <f ca="1">IF(RESULTADOS!$C$17="Normal",IFERROR(MAX(C304-PREMISSAS!$C$14,0),0),IF(PREMISSAS!$H$117=0,0,MAX(10*PREMISSAS!$C$39,RESULTADOS!$F$17)))</f>
        <v>0</v>
      </c>
      <c r="E304" s="4">
        <f ca="1">D304*IF(RESULTADOS!$C$17="Normal",RESULTADOS!$C$16,0)</f>
        <v>0</v>
      </c>
      <c r="F304" s="4">
        <f ca="1">IF(D304&lt;&gt;0,PREMISSAS!$N$83,0)</f>
        <v>0</v>
      </c>
      <c r="G304" s="4">
        <f ca="1">IFERROR(IF(RESULTADOS!$C$17="Normal",0,D304)*IF(RESULTADOS!$C$17="Normal",RESULTADOS!$C$18,RESULTADOS!$C$16),0)</f>
        <v>0</v>
      </c>
      <c r="H304" s="4">
        <f ca="1">IF(RESULTADOS!$C$17="Normal",E304,0)</f>
        <v>0</v>
      </c>
      <c r="I304" s="4">
        <f ca="1">(E304+H304+G304)*IFERROR(VLOOKUP(INT(COUNT($B$5:B304)/12),PREMISSAS!$B$62:$C$69,2,FALSE),PREMISSAS!$C$69)</f>
        <v>0</v>
      </c>
      <c r="J304" s="4">
        <f ca="1">D304*IF(RESULTADOS!$C$17="Normal",PREMISSAS!$C$71,0)</f>
        <v>0</v>
      </c>
      <c r="K304" s="87">
        <f ca="1">IFERROR(K303*(1+PREMISSAS!$C$19)+(E304+H304-IF(RESULTADOS!$C$17="Normal",I304,0)-J304)*IF(MONTH(B304)=12,2,1),0)</f>
        <v>0</v>
      </c>
      <c r="L304" s="87">
        <f ca="1">IFERROR((L303+G304-IF(RESULTADOS!$C$17="Normal",0,I304))*(1+PREMISSAS!$C$19)+F304,0)</f>
        <v>0</v>
      </c>
      <c r="N304" s="58">
        <f t="shared" ca="1" si="32"/>
        <v>0</v>
      </c>
      <c r="P304" s="131" t="str">
        <f t="shared" ca="1" si="33"/>
        <v/>
      </c>
      <c r="Q304" s="111" t="str">
        <f ca="1">IF(C304="","",Q303+(E304+H304-IF(RESULTADOS!$C$17="Normal",I304,0)-J304)/2+(F304+G304-IF(RESULTADOS!$C$17="Normal",0,I304)))</f>
        <v/>
      </c>
      <c r="R304" s="111" t="str">
        <f ca="1">IF(C304="","",R303+(E304+H304-IF(RESULTADOS!$C$17="Normal",I304,0)-J304)/2)</f>
        <v/>
      </c>
      <c r="S304" s="111">
        <f t="shared" ca="1" si="36"/>
        <v>0</v>
      </c>
      <c r="U304" s="131" t="str">
        <f t="shared" ca="1" si="37"/>
        <v/>
      </c>
      <c r="V304" s="131" t="str">
        <f t="shared" ca="1" si="34"/>
        <v/>
      </c>
      <c r="W304" s="111">
        <f ca="1">IF(OR((W303-13/12*Z303)*(1+PREMISSAS!$C$17)&lt;0,W303=""),0,(W303-13/12*Z303)*(1+PREMISSAS!$C$17))</f>
        <v>0</v>
      </c>
      <c r="X304" s="111">
        <f ca="1">IF(OR((X303-13/12*AA303)*(1+PREMISSAS!$C$17)&lt;0,X303=""),0,(X303-13/12*AA303)*(1+PREMISSAS!$C$17))</f>
        <v>0</v>
      </c>
      <c r="Y304" s="111">
        <f t="shared" ca="1" si="35"/>
        <v>0</v>
      </c>
      <c r="Z304" s="134">
        <f t="shared" ca="1" si="38"/>
        <v>0</v>
      </c>
      <c r="AA304" s="134">
        <f t="shared" ca="1" si="39"/>
        <v>0</v>
      </c>
    </row>
    <row r="305" spans="2:27" x14ac:dyDescent="0.3">
      <c r="B305" s="21" t="str">
        <f ca="1">IF(B304="","",IF(EOMONTH(B304,1)&gt;EOMONTH(ELEGIBILIDADE!$E$5,0),"",EOMONTH(B304,1)))</f>
        <v/>
      </c>
      <c r="C305" s="22" t="str">
        <f ca="1">IF(B305="","",IF(MONTH(B305)=1,C304*(1+PREMISSAS!$C$58),C304))</f>
        <v/>
      </c>
      <c r="D305" s="22">
        <f ca="1">IF(RESULTADOS!$C$17="Normal",IFERROR(MAX(C305-PREMISSAS!$C$14,0),0),IF(PREMISSAS!$H$117=0,0,MAX(10*PREMISSAS!$C$39,RESULTADOS!$F$17)))</f>
        <v>0</v>
      </c>
      <c r="E305" s="4">
        <f ca="1">D305*IF(RESULTADOS!$C$17="Normal",RESULTADOS!$C$16,0)</f>
        <v>0</v>
      </c>
      <c r="F305" s="4">
        <f ca="1">IF(D305&lt;&gt;0,PREMISSAS!$N$83,0)</f>
        <v>0</v>
      </c>
      <c r="G305" s="4">
        <f ca="1">IFERROR(IF(RESULTADOS!$C$17="Normal",0,D305)*IF(RESULTADOS!$C$17="Normal",RESULTADOS!$C$18,RESULTADOS!$C$16),0)</f>
        <v>0</v>
      </c>
      <c r="H305" s="4">
        <f ca="1">IF(RESULTADOS!$C$17="Normal",E305,0)</f>
        <v>0</v>
      </c>
      <c r="I305" s="4">
        <f ca="1">(E305+H305+G305)*IFERROR(VLOOKUP(INT(COUNT($B$5:B305)/12),PREMISSAS!$B$62:$C$69,2,FALSE),PREMISSAS!$C$69)</f>
        <v>0</v>
      </c>
      <c r="J305" s="4">
        <f ca="1">D305*IF(RESULTADOS!$C$17="Normal",PREMISSAS!$C$71,0)</f>
        <v>0</v>
      </c>
      <c r="K305" s="87">
        <f ca="1">IFERROR(K304*(1+PREMISSAS!$C$19)+(E305+H305-IF(RESULTADOS!$C$17="Normal",I305,0)-J305)*IF(MONTH(B305)=12,2,1),0)</f>
        <v>0</v>
      </c>
      <c r="L305" s="87">
        <f ca="1">IFERROR((L304+G305-IF(RESULTADOS!$C$17="Normal",0,I305))*(1+PREMISSAS!$C$19)+F305,0)</f>
        <v>0</v>
      </c>
      <c r="N305" s="58">
        <f t="shared" ca="1" si="32"/>
        <v>0</v>
      </c>
      <c r="P305" s="131" t="str">
        <f t="shared" ca="1" si="33"/>
        <v/>
      </c>
      <c r="Q305" s="111" t="str">
        <f ca="1">IF(C305="","",Q304+(E305+H305-IF(RESULTADOS!$C$17="Normal",I305,0)-J305)/2+(F305+G305-IF(RESULTADOS!$C$17="Normal",0,I305)))</f>
        <v/>
      </c>
      <c r="R305" s="111" t="str">
        <f ca="1">IF(C305="","",R304+(E305+H305-IF(RESULTADOS!$C$17="Normal",I305,0)-J305)/2)</f>
        <v/>
      </c>
      <c r="S305" s="111">
        <f t="shared" ca="1" si="36"/>
        <v>0</v>
      </c>
      <c r="U305" s="131" t="str">
        <f t="shared" ca="1" si="37"/>
        <v/>
      </c>
      <c r="V305" s="131" t="str">
        <f t="shared" ca="1" si="34"/>
        <v/>
      </c>
      <c r="W305" s="111">
        <f ca="1">IF(OR((W304-13/12*Z304)*(1+PREMISSAS!$C$17)&lt;0,W304=""),0,(W304-13/12*Z304)*(1+PREMISSAS!$C$17))</f>
        <v>0</v>
      </c>
      <c r="X305" s="111">
        <f ca="1">IF(OR((X304-13/12*AA304)*(1+PREMISSAS!$C$17)&lt;0,X304=""),0,(X304-13/12*AA304)*(1+PREMISSAS!$C$17))</f>
        <v>0</v>
      </c>
      <c r="Y305" s="111">
        <f t="shared" ca="1" si="35"/>
        <v>0</v>
      </c>
      <c r="Z305" s="134">
        <f t="shared" ca="1" si="38"/>
        <v>0</v>
      </c>
      <c r="AA305" s="134">
        <f t="shared" ca="1" si="39"/>
        <v>0</v>
      </c>
    </row>
    <row r="306" spans="2:27" x14ac:dyDescent="0.3">
      <c r="B306" s="21" t="str">
        <f ca="1">IF(B305="","",IF(EOMONTH(B305,1)&gt;EOMONTH(ELEGIBILIDADE!$E$5,0),"",EOMONTH(B305,1)))</f>
        <v/>
      </c>
      <c r="C306" s="22" t="str">
        <f ca="1">IF(B306="","",IF(MONTH(B306)=1,C305*(1+PREMISSAS!$C$58),C305))</f>
        <v/>
      </c>
      <c r="D306" s="22">
        <f ca="1">IF(RESULTADOS!$C$17="Normal",IFERROR(MAX(C306-PREMISSAS!$C$14,0),0),IF(PREMISSAS!$H$117=0,0,MAX(10*PREMISSAS!$C$39,RESULTADOS!$F$17)))</f>
        <v>0</v>
      </c>
      <c r="E306" s="4">
        <f ca="1">D306*IF(RESULTADOS!$C$17="Normal",RESULTADOS!$C$16,0)</f>
        <v>0</v>
      </c>
      <c r="F306" s="4">
        <f ca="1">IF(D306&lt;&gt;0,PREMISSAS!$N$83,0)</f>
        <v>0</v>
      </c>
      <c r="G306" s="4">
        <f ca="1">IFERROR(IF(RESULTADOS!$C$17="Normal",0,D306)*IF(RESULTADOS!$C$17="Normal",RESULTADOS!$C$18,RESULTADOS!$C$16),0)</f>
        <v>0</v>
      </c>
      <c r="H306" s="4">
        <f ca="1">IF(RESULTADOS!$C$17="Normal",E306,0)</f>
        <v>0</v>
      </c>
      <c r="I306" s="4">
        <f ca="1">(E306+H306+G306)*IFERROR(VLOOKUP(INT(COUNT($B$5:B306)/12),PREMISSAS!$B$62:$C$69,2,FALSE),PREMISSAS!$C$69)</f>
        <v>0</v>
      </c>
      <c r="J306" s="4">
        <f ca="1">D306*IF(RESULTADOS!$C$17="Normal",PREMISSAS!$C$71,0)</f>
        <v>0</v>
      </c>
      <c r="K306" s="87">
        <f ca="1">IFERROR(K305*(1+PREMISSAS!$C$19)+(E306+H306-IF(RESULTADOS!$C$17="Normal",I306,0)-J306)*IF(MONTH(B306)=12,2,1),0)</f>
        <v>0</v>
      </c>
      <c r="L306" s="87">
        <f ca="1">IFERROR((L305+G306-IF(RESULTADOS!$C$17="Normal",0,I306))*(1+PREMISSAS!$C$19)+F306,0)</f>
        <v>0</v>
      </c>
      <c r="N306" s="58">
        <f t="shared" ca="1" si="32"/>
        <v>0</v>
      </c>
      <c r="P306" s="131" t="str">
        <f t="shared" ca="1" si="33"/>
        <v/>
      </c>
      <c r="Q306" s="111" t="str">
        <f ca="1">IF(C306="","",Q305+(E306+H306-IF(RESULTADOS!$C$17="Normal",I306,0)-J306)/2+(F306+G306-IF(RESULTADOS!$C$17="Normal",0,I306)))</f>
        <v/>
      </c>
      <c r="R306" s="111" t="str">
        <f ca="1">IF(C306="","",R305+(E306+H306-IF(RESULTADOS!$C$17="Normal",I306,0)-J306)/2)</f>
        <v/>
      </c>
      <c r="S306" s="111">
        <f t="shared" ca="1" si="36"/>
        <v>0</v>
      </c>
      <c r="U306" s="131" t="str">
        <f t="shared" ca="1" si="37"/>
        <v/>
      </c>
      <c r="V306" s="131" t="str">
        <f t="shared" ca="1" si="34"/>
        <v/>
      </c>
      <c r="W306" s="111">
        <f ca="1">IF(OR((W305-13/12*Z305)*(1+PREMISSAS!$C$17)&lt;0,W305=""),0,(W305-13/12*Z305)*(1+PREMISSAS!$C$17))</f>
        <v>0</v>
      </c>
      <c r="X306" s="111">
        <f ca="1">IF(OR((X305-13/12*AA305)*(1+PREMISSAS!$C$17)&lt;0,X305=""),0,(X305-13/12*AA305)*(1+PREMISSAS!$C$17))</f>
        <v>0</v>
      </c>
      <c r="Y306" s="111">
        <f t="shared" ca="1" si="35"/>
        <v>0</v>
      </c>
      <c r="Z306" s="134">
        <f t="shared" ca="1" si="38"/>
        <v>0</v>
      </c>
      <c r="AA306" s="134">
        <f t="shared" ca="1" si="39"/>
        <v>0</v>
      </c>
    </row>
    <row r="307" spans="2:27" x14ac:dyDescent="0.3">
      <c r="B307" s="21" t="str">
        <f ca="1">IF(B306="","",IF(EOMONTH(B306,1)&gt;EOMONTH(ELEGIBILIDADE!$E$5,0),"",EOMONTH(B306,1)))</f>
        <v/>
      </c>
      <c r="C307" s="22" t="str">
        <f ca="1">IF(B307="","",IF(MONTH(B307)=1,C306*(1+PREMISSAS!$C$58),C306))</f>
        <v/>
      </c>
      <c r="D307" s="22">
        <f ca="1">IF(RESULTADOS!$C$17="Normal",IFERROR(MAX(C307-PREMISSAS!$C$14,0),0),IF(PREMISSAS!$H$117=0,0,MAX(10*PREMISSAS!$C$39,RESULTADOS!$F$17)))</f>
        <v>0</v>
      </c>
      <c r="E307" s="4">
        <f ca="1">D307*IF(RESULTADOS!$C$17="Normal",RESULTADOS!$C$16,0)</f>
        <v>0</v>
      </c>
      <c r="F307" s="4">
        <f ca="1">IF(D307&lt;&gt;0,PREMISSAS!$N$83,0)</f>
        <v>0</v>
      </c>
      <c r="G307" s="4">
        <f ca="1">IFERROR(IF(RESULTADOS!$C$17="Normal",0,D307)*IF(RESULTADOS!$C$17="Normal",RESULTADOS!$C$18,RESULTADOS!$C$16),0)</f>
        <v>0</v>
      </c>
      <c r="H307" s="4">
        <f ca="1">IF(RESULTADOS!$C$17="Normal",E307,0)</f>
        <v>0</v>
      </c>
      <c r="I307" s="4">
        <f ca="1">(E307+H307+G307)*IFERROR(VLOOKUP(INT(COUNT($B$5:B307)/12),PREMISSAS!$B$62:$C$69,2,FALSE),PREMISSAS!$C$69)</f>
        <v>0</v>
      </c>
      <c r="J307" s="4">
        <f ca="1">D307*IF(RESULTADOS!$C$17="Normal",PREMISSAS!$C$71,0)</f>
        <v>0</v>
      </c>
      <c r="K307" s="87">
        <f ca="1">IFERROR(K306*(1+PREMISSAS!$C$19)+(E307+H307-IF(RESULTADOS!$C$17="Normal",I307,0)-J307)*IF(MONTH(B307)=12,2,1),0)</f>
        <v>0</v>
      </c>
      <c r="L307" s="87">
        <f ca="1">IFERROR((L306+G307-IF(RESULTADOS!$C$17="Normal",0,I307))*(1+PREMISSAS!$C$19)+F307,0)</f>
        <v>0</v>
      </c>
      <c r="N307" s="58">
        <f t="shared" ca="1" si="32"/>
        <v>0</v>
      </c>
      <c r="P307" s="131" t="str">
        <f t="shared" ca="1" si="33"/>
        <v/>
      </c>
      <c r="Q307" s="111" t="str">
        <f ca="1">IF(C307="","",Q306+(E307+H307-IF(RESULTADOS!$C$17="Normal",I307,0)-J307)/2+(F307+G307-IF(RESULTADOS!$C$17="Normal",0,I307)))</f>
        <v/>
      </c>
      <c r="R307" s="111" t="str">
        <f ca="1">IF(C307="","",R306+(E307+H307-IF(RESULTADOS!$C$17="Normal",I307,0)-J307)/2)</f>
        <v/>
      </c>
      <c r="S307" s="111">
        <f t="shared" ca="1" si="36"/>
        <v>0</v>
      </c>
      <c r="U307" s="131" t="str">
        <f t="shared" ca="1" si="37"/>
        <v/>
      </c>
      <c r="V307" s="131" t="str">
        <f t="shared" ca="1" si="34"/>
        <v/>
      </c>
      <c r="W307" s="111">
        <f ca="1">IF(OR((W306-13/12*Z306)*(1+PREMISSAS!$C$17)&lt;0,W306=""),0,(W306-13/12*Z306)*(1+PREMISSAS!$C$17))</f>
        <v>0</v>
      </c>
      <c r="X307" s="111">
        <f ca="1">IF(OR((X306-13/12*AA306)*(1+PREMISSAS!$C$17)&lt;0,X306=""),0,(X306-13/12*AA306)*(1+PREMISSAS!$C$17))</f>
        <v>0</v>
      </c>
      <c r="Y307" s="111">
        <f t="shared" ca="1" si="35"/>
        <v>0</v>
      </c>
      <c r="Z307" s="134">
        <f t="shared" ca="1" si="38"/>
        <v>0</v>
      </c>
      <c r="AA307" s="134">
        <f t="shared" ca="1" si="39"/>
        <v>0</v>
      </c>
    </row>
    <row r="308" spans="2:27" x14ac:dyDescent="0.3">
      <c r="B308" s="21" t="str">
        <f ca="1">IF(B307="","",IF(EOMONTH(B307,1)&gt;EOMONTH(ELEGIBILIDADE!$E$5,0),"",EOMONTH(B307,1)))</f>
        <v/>
      </c>
      <c r="C308" s="22" t="str">
        <f ca="1">IF(B308="","",IF(MONTH(B308)=1,C307*(1+PREMISSAS!$C$58),C307))</f>
        <v/>
      </c>
      <c r="D308" s="22">
        <f ca="1">IF(RESULTADOS!$C$17="Normal",IFERROR(MAX(C308-PREMISSAS!$C$14,0),0),IF(PREMISSAS!$H$117=0,0,MAX(10*PREMISSAS!$C$39,RESULTADOS!$F$17)))</f>
        <v>0</v>
      </c>
      <c r="E308" s="4">
        <f ca="1">D308*IF(RESULTADOS!$C$17="Normal",RESULTADOS!$C$16,0)</f>
        <v>0</v>
      </c>
      <c r="F308" s="4">
        <f ca="1">IF(D308&lt;&gt;0,PREMISSAS!$N$83,0)</f>
        <v>0</v>
      </c>
      <c r="G308" s="4">
        <f ca="1">IFERROR(IF(RESULTADOS!$C$17="Normal",0,D308)*IF(RESULTADOS!$C$17="Normal",RESULTADOS!$C$18,RESULTADOS!$C$16),0)</f>
        <v>0</v>
      </c>
      <c r="H308" s="4">
        <f ca="1">IF(RESULTADOS!$C$17="Normal",E308,0)</f>
        <v>0</v>
      </c>
      <c r="I308" s="4">
        <f ca="1">(E308+H308+G308)*IFERROR(VLOOKUP(INT(COUNT($B$5:B308)/12),PREMISSAS!$B$62:$C$69,2,FALSE),PREMISSAS!$C$69)</f>
        <v>0</v>
      </c>
      <c r="J308" s="4">
        <f ca="1">D308*IF(RESULTADOS!$C$17="Normal",PREMISSAS!$C$71,0)</f>
        <v>0</v>
      </c>
      <c r="K308" s="87">
        <f ca="1">IFERROR(K307*(1+PREMISSAS!$C$19)+(E308+H308-IF(RESULTADOS!$C$17="Normal",I308,0)-J308)*IF(MONTH(B308)=12,2,1),0)</f>
        <v>0</v>
      </c>
      <c r="L308" s="87">
        <f ca="1">IFERROR((L307+G308-IF(RESULTADOS!$C$17="Normal",0,I308))*(1+PREMISSAS!$C$19)+F308,0)</f>
        <v>0</v>
      </c>
      <c r="N308" s="58">
        <f t="shared" ca="1" si="32"/>
        <v>0</v>
      </c>
      <c r="P308" s="131" t="str">
        <f t="shared" ca="1" si="33"/>
        <v/>
      </c>
      <c r="Q308" s="111" t="str">
        <f ca="1">IF(C308="","",Q307+(E308+H308-IF(RESULTADOS!$C$17="Normal",I308,0)-J308)/2+(F308+G308-IF(RESULTADOS!$C$17="Normal",0,I308)))</f>
        <v/>
      </c>
      <c r="R308" s="111" t="str">
        <f ca="1">IF(C308="","",R307+(E308+H308-IF(RESULTADOS!$C$17="Normal",I308,0)-J308)/2)</f>
        <v/>
      </c>
      <c r="S308" s="111">
        <f t="shared" ca="1" si="36"/>
        <v>0</v>
      </c>
      <c r="U308" s="131" t="str">
        <f t="shared" ca="1" si="37"/>
        <v/>
      </c>
      <c r="V308" s="131" t="str">
        <f t="shared" ca="1" si="34"/>
        <v/>
      </c>
      <c r="W308" s="111">
        <f ca="1">IF(OR((W307-13/12*Z307)*(1+PREMISSAS!$C$17)&lt;0,W307=""),0,(W307-13/12*Z307)*(1+PREMISSAS!$C$17))</f>
        <v>0</v>
      </c>
      <c r="X308" s="111">
        <f ca="1">IF(OR((X307-13/12*AA307)*(1+PREMISSAS!$C$17)&lt;0,X307=""),0,(X307-13/12*AA307)*(1+PREMISSAS!$C$17))</f>
        <v>0</v>
      </c>
      <c r="Y308" s="111">
        <f t="shared" ca="1" si="35"/>
        <v>0</v>
      </c>
      <c r="Z308" s="134">
        <f t="shared" ca="1" si="38"/>
        <v>0</v>
      </c>
      <c r="AA308" s="134">
        <f t="shared" ca="1" si="39"/>
        <v>0</v>
      </c>
    </row>
    <row r="309" spans="2:27" x14ac:dyDescent="0.3">
      <c r="B309" s="21" t="str">
        <f ca="1">IF(B308="","",IF(EOMONTH(B308,1)&gt;EOMONTH(ELEGIBILIDADE!$E$5,0),"",EOMONTH(B308,1)))</f>
        <v/>
      </c>
      <c r="C309" s="22" t="str">
        <f ca="1">IF(B309="","",IF(MONTH(B309)=1,C308*(1+PREMISSAS!$C$58),C308))</f>
        <v/>
      </c>
      <c r="D309" s="22">
        <f ca="1">IF(RESULTADOS!$C$17="Normal",IFERROR(MAX(C309-PREMISSAS!$C$14,0),0),IF(PREMISSAS!$H$117=0,0,MAX(10*PREMISSAS!$C$39,RESULTADOS!$F$17)))</f>
        <v>0</v>
      </c>
      <c r="E309" s="4">
        <f ca="1">D309*IF(RESULTADOS!$C$17="Normal",RESULTADOS!$C$16,0)</f>
        <v>0</v>
      </c>
      <c r="F309" s="4">
        <f ca="1">IF(D309&lt;&gt;0,PREMISSAS!$N$83,0)</f>
        <v>0</v>
      </c>
      <c r="G309" s="4">
        <f ca="1">IFERROR(IF(RESULTADOS!$C$17="Normal",0,D309)*IF(RESULTADOS!$C$17="Normal",RESULTADOS!$C$18,RESULTADOS!$C$16),0)</f>
        <v>0</v>
      </c>
      <c r="H309" s="4">
        <f ca="1">IF(RESULTADOS!$C$17="Normal",E309,0)</f>
        <v>0</v>
      </c>
      <c r="I309" s="4">
        <f ca="1">(E309+H309+G309)*IFERROR(VLOOKUP(INT(COUNT($B$5:B309)/12),PREMISSAS!$B$62:$C$69,2,FALSE),PREMISSAS!$C$69)</f>
        <v>0</v>
      </c>
      <c r="J309" s="4">
        <f ca="1">D309*IF(RESULTADOS!$C$17="Normal",PREMISSAS!$C$71,0)</f>
        <v>0</v>
      </c>
      <c r="K309" s="87">
        <f ca="1">IFERROR(K308*(1+PREMISSAS!$C$19)+(E309+H309-IF(RESULTADOS!$C$17="Normal",I309,0)-J309)*IF(MONTH(B309)=12,2,1),0)</f>
        <v>0</v>
      </c>
      <c r="L309" s="87">
        <f ca="1">IFERROR((L308+G309-IF(RESULTADOS!$C$17="Normal",0,I309))*(1+PREMISSAS!$C$19)+F309,0)</f>
        <v>0</v>
      </c>
      <c r="N309" s="58">
        <f t="shared" ca="1" si="32"/>
        <v>0</v>
      </c>
      <c r="P309" s="131" t="str">
        <f t="shared" ca="1" si="33"/>
        <v/>
      </c>
      <c r="Q309" s="111" t="str">
        <f ca="1">IF(C309="","",Q308+(E309+H309-IF(RESULTADOS!$C$17="Normal",I309,0)-J309)/2+(F309+G309-IF(RESULTADOS!$C$17="Normal",0,I309)))</f>
        <v/>
      </c>
      <c r="R309" s="111" t="str">
        <f ca="1">IF(C309="","",R308+(E309+H309-IF(RESULTADOS!$C$17="Normal",I309,0)-J309)/2)</f>
        <v/>
      </c>
      <c r="S309" s="111">
        <f t="shared" ca="1" si="36"/>
        <v>0</v>
      </c>
      <c r="U309" s="131" t="str">
        <f t="shared" ca="1" si="37"/>
        <v/>
      </c>
      <c r="V309" s="131" t="str">
        <f t="shared" ca="1" si="34"/>
        <v/>
      </c>
      <c r="W309" s="111">
        <f ca="1">IF(OR((W308-13/12*Z308)*(1+PREMISSAS!$C$17)&lt;0,W308=""),0,(W308-13/12*Z308)*(1+PREMISSAS!$C$17))</f>
        <v>0</v>
      </c>
      <c r="X309" s="111">
        <f ca="1">IF(OR((X308-13/12*AA308)*(1+PREMISSAS!$C$17)&lt;0,X308=""),0,(X308-13/12*AA308)*(1+PREMISSAS!$C$17))</f>
        <v>0</v>
      </c>
      <c r="Y309" s="111">
        <f t="shared" ca="1" si="35"/>
        <v>0</v>
      </c>
      <c r="Z309" s="134">
        <f t="shared" ca="1" si="38"/>
        <v>0</v>
      </c>
      <c r="AA309" s="134">
        <f t="shared" ca="1" si="39"/>
        <v>0</v>
      </c>
    </row>
    <row r="310" spans="2:27" x14ac:dyDescent="0.3">
      <c r="B310" s="21" t="str">
        <f ca="1">IF(B309="","",IF(EOMONTH(B309,1)&gt;EOMONTH(ELEGIBILIDADE!$E$5,0),"",EOMONTH(B309,1)))</f>
        <v/>
      </c>
      <c r="C310" s="22" t="str">
        <f ca="1">IF(B310="","",IF(MONTH(B310)=1,C309*(1+PREMISSAS!$C$58),C309))</f>
        <v/>
      </c>
      <c r="D310" s="22">
        <f ca="1">IF(RESULTADOS!$C$17="Normal",IFERROR(MAX(C310-PREMISSAS!$C$14,0),0),IF(PREMISSAS!$H$117=0,0,MAX(10*PREMISSAS!$C$39,RESULTADOS!$F$17)))</f>
        <v>0</v>
      </c>
      <c r="E310" s="4">
        <f ca="1">D310*IF(RESULTADOS!$C$17="Normal",RESULTADOS!$C$16,0)</f>
        <v>0</v>
      </c>
      <c r="F310" s="4">
        <f ca="1">IF(D310&lt;&gt;0,PREMISSAS!$N$83,0)</f>
        <v>0</v>
      </c>
      <c r="G310" s="4">
        <f ca="1">IFERROR(IF(RESULTADOS!$C$17="Normal",0,D310)*IF(RESULTADOS!$C$17="Normal",RESULTADOS!$C$18,RESULTADOS!$C$16),0)</f>
        <v>0</v>
      </c>
      <c r="H310" s="4">
        <f ca="1">IF(RESULTADOS!$C$17="Normal",E310,0)</f>
        <v>0</v>
      </c>
      <c r="I310" s="4">
        <f ca="1">(E310+H310+G310)*IFERROR(VLOOKUP(INT(COUNT($B$5:B310)/12),PREMISSAS!$B$62:$C$69,2,FALSE),PREMISSAS!$C$69)</f>
        <v>0</v>
      </c>
      <c r="J310" s="4">
        <f ca="1">D310*IF(RESULTADOS!$C$17="Normal",PREMISSAS!$C$71,0)</f>
        <v>0</v>
      </c>
      <c r="K310" s="87">
        <f ca="1">IFERROR(K309*(1+PREMISSAS!$C$19)+(E310+H310-IF(RESULTADOS!$C$17="Normal",I310,0)-J310)*IF(MONTH(B310)=12,2,1),0)</f>
        <v>0</v>
      </c>
      <c r="L310" s="87">
        <f ca="1">IFERROR((L309+G310-IF(RESULTADOS!$C$17="Normal",0,I310))*(1+PREMISSAS!$C$19)+F310,0)</f>
        <v>0</v>
      </c>
      <c r="N310" s="58">
        <f t="shared" ca="1" si="32"/>
        <v>0</v>
      </c>
      <c r="P310" s="131" t="str">
        <f t="shared" ca="1" si="33"/>
        <v/>
      </c>
      <c r="Q310" s="111" t="str">
        <f ca="1">IF(C310="","",Q309+(E310+H310-IF(RESULTADOS!$C$17="Normal",I310,0)-J310)/2+(F310+G310-IF(RESULTADOS!$C$17="Normal",0,I310)))</f>
        <v/>
      </c>
      <c r="R310" s="111" t="str">
        <f ca="1">IF(C310="","",R309+(E310+H310-IF(RESULTADOS!$C$17="Normal",I310,0)-J310)/2)</f>
        <v/>
      </c>
      <c r="S310" s="111">
        <f t="shared" ca="1" si="36"/>
        <v>0</v>
      </c>
      <c r="U310" s="131" t="str">
        <f t="shared" ca="1" si="37"/>
        <v/>
      </c>
      <c r="V310" s="131" t="str">
        <f t="shared" ca="1" si="34"/>
        <v/>
      </c>
      <c r="W310" s="111">
        <f ca="1">IF(OR((W309-13/12*Z309)*(1+PREMISSAS!$C$17)&lt;0,W309=""),0,(W309-13/12*Z309)*(1+PREMISSAS!$C$17))</f>
        <v>0</v>
      </c>
      <c r="X310" s="111">
        <f ca="1">IF(OR((X309-13/12*AA309)*(1+PREMISSAS!$C$17)&lt;0,X309=""),0,(X309-13/12*AA309)*(1+PREMISSAS!$C$17))</f>
        <v>0</v>
      </c>
      <c r="Y310" s="111">
        <f t="shared" ca="1" si="35"/>
        <v>0</v>
      </c>
      <c r="Z310" s="134">
        <f t="shared" ca="1" si="38"/>
        <v>0</v>
      </c>
      <c r="AA310" s="134">
        <f t="shared" ca="1" si="39"/>
        <v>0</v>
      </c>
    </row>
    <row r="311" spans="2:27" x14ac:dyDescent="0.3">
      <c r="B311" s="21" t="str">
        <f ca="1">IF(B310="","",IF(EOMONTH(B310,1)&gt;EOMONTH(ELEGIBILIDADE!$E$5,0),"",EOMONTH(B310,1)))</f>
        <v/>
      </c>
      <c r="C311" s="22" t="str">
        <f ca="1">IF(B311="","",IF(MONTH(B311)=1,C310*(1+PREMISSAS!$C$58),C310))</f>
        <v/>
      </c>
      <c r="D311" s="22">
        <f ca="1">IF(RESULTADOS!$C$17="Normal",IFERROR(MAX(C311-PREMISSAS!$C$14,0),0),IF(PREMISSAS!$H$117=0,0,MAX(10*PREMISSAS!$C$39,RESULTADOS!$F$17)))</f>
        <v>0</v>
      </c>
      <c r="E311" s="4">
        <f ca="1">D311*IF(RESULTADOS!$C$17="Normal",RESULTADOS!$C$16,0)</f>
        <v>0</v>
      </c>
      <c r="F311" s="4">
        <f ca="1">IF(D311&lt;&gt;0,PREMISSAS!$N$83,0)</f>
        <v>0</v>
      </c>
      <c r="G311" s="4">
        <f ca="1">IFERROR(IF(RESULTADOS!$C$17="Normal",0,D311)*IF(RESULTADOS!$C$17="Normal",RESULTADOS!$C$18,RESULTADOS!$C$16),0)</f>
        <v>0</v>
      </c>
      <c r="H311" s="4">
        <f ca="1">IF(RESULTADOS!$C$17="Normal",E311,0)</f>
        <v>0</v>
      </c>
      <c r="I311" s="4">
        <f ca="1">(E311+H311+G311)*IFERROR(VLOOKUP(INT(COUNT($B$5:B311)/12),PREMISSAS!$B$62:$C$69,2,FALSE),PREMISSAS!$C$69)</f>
        <v>0</v>
      </c>
      <c r="J311" s="4">
        <f ca="1">D311*IF(RESULTADOS!$C$17="Normal",PREMISSAS!$C$71,0)</f>
        <v>0</v>
      </c>
      <c r="K311" s="87">
        <f ca="1">IFERROR(K310*(1+PREMISSAS!$C$19)+(E311+H311-IF(RESULTADOS!$C$17="Normal",I311,0)-J311)*IF(MONTH(B311)=12,2,1),0)</f>
        <v>0</v>
      </c>
      <c r="L311" s="87">
        <f ca="1">IFERROR((L310+G311-IF(RESULTADOS!$C$17="Normal",0,I311))*(1+PREMISSAS!$C$19)+F311,0)</f>
        <v>0</v>
      </c>
      <c r="N311" s="58">
        <f t="shared" ca="1" si="32"/>
        <v>0</v>
      </c>
      <c r="P311" s="131" t="str">
        <f t="shared" ca="1" si="33"/>
        <v/>
      </c>
      <c r="Q311" s="111" t="str">
        <f ca="1">IF(C311="","",Q310+(E311+H311-IF(RESULTADOS!$C$17="Normal",I311,0)-J311)/2+(F311+G311-IF(RESULTADOS!$C$17="Normal",0,I311)))</f>
        <v/>
      </c>
      <c r="R311" s="111" t="str">
        <f ca="1">IF(C311="","",R310+(E311+H311-IF(RESULTADOS!$C$17="Normal",I311,0)-J311)/2)</f>
        <v/>
      </c>
      <c r="S311" s="111">
        <f t="shared" ca="1" si="36"/>
        <v>0</v>
      </c>
      <c r="U311" s="131" t="str">
        <f t="shared" ca="1" si="37"/>
        <v/>
      </c>
      <c r="V311" s="131" t="str">
        <f t="shared" ca="1" si="34"/>
        <v/>
      </c>
      <c r="W311" s="111">
        <f ca="1">IF(OR((W310-13/12*Z310)*(1+PREMISSAS!$C$17)&lt;0,W310=""),0,(W310-13/12*Z310)*(1+PREMISSAS!$C$17))</f>
        <v>0</v>
      </c>
      <c r="X311" s="111">
        <f ca="1">IF(OR((X310-13/12*AA310)*(1+PREMISSAS!$C$17)&lt;0,X310=""),0,(X310-13/12*AA310)*(1+PREMISSAS!$C$17))</f>
        <v>0</v>
      </c>
      <c r="Y311" s="111">
        <f t="shared" ca="1" si="35"/>
        <v>0</v>
      </c>
      <c r="Z311" s="134">
        <f t="shared" ca="1" si="38"/>
        <v>0</v>
      </c>
      <c r="AA311" s="134">
        <f t="shared" ca="1" si="39"/>
        <v>0</v>
      </c>
    </row>
    <row r="312" spans="2:27" x14ac:dyDescent="0.3">
      <c r="B312" s="21" t="str">
        <f ca="1">IF(B311="","",IF(EOMONTH(B311,1)&gt;EOMONTH(ELEGIBILIDADE!$E$5,0),"",EOMONTH(B311,1)))</f>
        <v/>
      </c>
      <c r="C312" s="22" t="str">
        <f ca="1">IF(B312="","",IF(MONTH(B312)=1,C311*(1+PREMISSAS!$C$58),C311))</f>
        <v/>
      </c>
      <c r="D312" s="22">
        <f ca="1">IF(RESULTADOS!$C$17="Normal",IFERROR(MAX(C312-PREMISSAS!$C$14,0),0),IF(PREMISSAS!$H$117=0,0,MAX(10*PREMISSAS!$C$39,RESULTADOS!$F$17)))</f>
        <v>0</v>
      </c>
      <c r="E312" s="4">
        <f ca="1">D312*IF(RESULTADOS!$C$17="Normal",RESULTADOS!$C$16,0)</f>
        <v>0</v>
      </c>
      <c r="F312" s="4">
        <f ca="1">IF(D312&lt;&gt;0,PREMISSAS!$N$83,0)</f>
        <v>0</v>
      </c>
      <c r="G312" s="4">
        <f ca="1">IFERROR(IF(RESULTADOS!$C$17="Normal",0,D312)*IF(RESULTADOS!$C$17="Normal",RESULTADOS!$C$18,RESULTADOS!$C$16),0)</f>
        <v>0</v>
      </c>
      <c r="H312" s="4">
        <f ca="1">IF(RESULTADOS!$C$17="Normal",E312,0)</f>
        <v>0</v>
      </c>
      <c r="I312" s="4">
        <f ca="1">(E312+H312+G312)*IFERROR(VLOOKUP(INT(COUNT($B$5:B312)/12),PREMISSAS!$B$62:$C$69,2,FALSE),PREMISSAS!$C$69)</f>
        <v>0</v>
      </c>
      <c r="J312" s="4">
        <f ca="1">D312*IF(RESULTADOS!$C$17="Normal",PREMISSAS!$C$71,0)</f>
        <v>0</v>
      </c>
      <c r="K312" s="87">
        <f ca="1">IFERROR(K311*(1+PREMISSAS!$C$19)+(E312+H312-IF(RESULTADOS!$C$17="Normal",I312,0)-J312)*IF(MONTH(B312)=12,2,1),0)</f>
        <v>0</v>
      </c>
      <c r="L312" s="87">
        <f ca="1">IFERROR((L311+G312-IF(RESULTADOS!$C$17="Normal",0,I312))*(1+PREMISSAS!$C$19)+F312,0)</f>
        <v>0</v>
      </c>
      <c r="N312" s="58">
        <f t="shared" ca="1" si="32"/>
        <v>0</v>
      </c>
      <c r="P312" s="131" t="str">
        <f t="shared" ca="1" si="33"/>
        <v/>
      </c>
      <c r="Q312" s="111" t="str">
        <f ca="1">IF(C312="","",Q311+(E312+H312-IF(RESULTADOS!$C$17="Normal",I312,0)-J312)/2+(F312+G312-IF(RESULTADOS!$C$17="Normal",0,I312)))</f>
        <v/>
      </c>
      <c r="R312" s="111" t="str">
        <f ca="1">IF(C312="","",R311+(E312+H312-IF(RESULTADOS!$C$17="Normal",I312,0)-J312)/2)</f>
        <v/>
      </c>
      <c r="S312" s="111">
        <f t="shared" ca="1" si="36"/>
        <v>0</v>
      </c>
      <c r="U312" s="131" t="str">
        <f t="shared" ca="1" si="37"/>
        <v/>
      </c>
      <c r="V312" s="131" t="str">
        <f t="shared" ca="1" si="34"/>
        <v/>
      </c>
      <c r="W312" s="111">
        <f ca="1">IF(OR((W311-13/12*Z311)*(1+PREMISSAS!$C$17)&lt;0,W311=""),0,(W311-13/12*Z311)*(1+PREMISSAS!$C$17))</f>
        <v>0</v>
      </c>
      <c r="X312" s="111">
        <f ca="1">IF(OR((X311-13/12*AA311)*(1+PREMISSAS!$C$17)&lt;0,X311=""),0,(X311-13/12*AA311)*(1+PREMISSAS!$C$17))</f>
        <v>0</v>
      </c>
      <c r="Y312" s="111">
        <f t="shared" ca="1" si="35"/>
        <v>0</v>
      </c>
      <c r="Z312" s="134">
        <f t="shared" ca="1" si="38"/>
        <v>0</v>
      </c>
      <c r="AA312" s="134">
        <f t="shared" ca="1" si="39"/>
        <v>0</v>
      </c>
    </row>
    <row r="313" spans="2:27" x14ac:dyDescent="0.3">
      <c r="B313" s="21" t="str">
        <f ca="1">IF(B312="","",IF(EOMONTH(B312,1)&gt;EOMONTH(ELEGIBILIDADE!$E$5,0),"",EOMONTH(B312,1)))</f>
        <v/>
      </c>
      <c r="C313" s="22" t="str">
        <f ca="1">IF(B313="","",IF(MONTH(B313)=1,C312*(1+PREMISSAS!$C$58),C312))</f>
        <v/>
      </c>
      <c r="D313" s="22">
        <f ca="1">IF(RESULTADOS!$C$17="Normal",IFERROR(MAX(C313-PREMISSAS!$C$14,0),0),IF(PREMISSAS!$H$117=0,0,MAX(10*PREMISSAS!$C$39,RESULTADOS!$F$17)))</f>
        <v>0</v>
      </c>
      <c r="E313" s="4">
        <f ca="1">D313*IF(RESULTADOS!$C$17="Normal",RESULTADOS!$C$16,0)</f>
        <v>0</v>
      </c>
      <c r="F313" s="4">
        <f ca="1">IF(D313&lt;&gt;0,PREMISSAS!$N$83,0)</f>
        <v>0</v>
      </c>
      <c r="G313" s="4">
        <f ca="1">IFERROR(IF(RESULTADOS!$C$17="Normal",0,D313)*IF(RESULTADOS!$C$17="Normal",RESULTADOS!$C$18,RESULTADOS!$C$16),0)</f>
        <v>0</v>
      </c>
      <c r="H313" s="4">
        <f ca="1">IF(RESULTADOS!$C$17="Normal",E313,0)</f>
        <v>0</v>
      </c>
      <c r="I313" s="4">
        <f ca="1">(E313+H313+G313)*IFERROR(VLOOKUP(INT(COUNT($B$5:B313)/12),PREMISSAS!$B$62:$C$69,2,FALSE),PREMISSAS!$C$69)</f>
        <v>0</v>
      </c>
      <c r="J313" s="4">
        <f ca="1">D313*IF(RESULTADOS!$C$17="Normal",PREMISSAS!$C$71,0)</f>
        <v>0</v>
      </c>
      <c r="K313" s="87">
        <f ca="1">IFERROR(K312*(1+PREMISSAS!$C$19)+(E313+H313-IF(RESULTADOS!$C$17="Normal",I313,0)-J313)*IF(MONTH(B313)=12,2,1),0)</f>
        <v>0</v>
      </c>
      <c r="L313" s="87">
        <f ca="1">IFERROR((L312+G313-IF(RESULTADOS!$C$17="Normal",0,I313))*(1+PREMISSAS!$C$19)+F313,0)</f>
        <v>0</v>
      </c>
      <c r="N313" s="58">
        <f t="shared" ca="1" si="32"/>
        <v>0</v>
      </c>
      <c r="P313" s="131" t="str">
        <f t="shared" ca="1" si="33"/>
        <v/>
      </c>
      <c r="Q313" s="111" t="str">
        <f ca="1">IF(C313="","",Q312+(E313+H313-IF(RESULTADOS!$C$17="Normal",I313,0)-J313)/2+(F313+G313-IF(RESULTADOS!$C$17="Normal",0,I313)))</f>
        <v/>
      </c>
      <c r="R313" s="111" t="str">
        <f ca="1">IF(C313="","",R312+(E313+H313-IF(RESULTADOS!$C$17="Normal",I313,0)-J313)/2)</f>
        <v/>
      </c>
      <c r="S313" s="111">
        <f t="shared" ca="1" si="36"/>
        <v>0</v>
      </c>
      <c r="U313" s="131" t="str">
        <f t="shared" ca="1" si="37"/>
        <v/>
      </c>
      <c r="V313" s="131" t="str">
        <f t="shared" ca="1" si="34"/>
        <v/>
      </c>
      <c r="W313" s="111">
        <f ca="1">IF(OR((W312-13/12*Z312)*(1+PREMISSAS!$C$17)&lt;0,W312=""),0,(W312-13/12*Z312)*(1+PREMISSAS!$C$17))</f>
        <v>0</v>
      </c>
      <c r="X313" s="111">
        <f ca="1">IF(OR((X312-13/12*AA312)*(1+PREMISSAS!$C$17)&lt;0,X312=""),0,(X312-13/12*AA312)*(1+PREMISSAS!$C$17))</f>
        <v>0</v>
      </c>
      <c r="Y313" s="111">
        <f t="shared" ca="1" si="35"/>
        <v>0</v>
      </c>
      <c r="Z313" s="134">
        <f t="shared" ca="1" si="38"/>
        <v>0</v>
      </c>
      <c r="AA313" s="134">
        <f t="shared" ca="1" si="39"/>
        <v>0</v>
      </c>
    </row>
    <row r="314" spans="2:27" x14ac:dyDescent="0.3">
      <c r="B314" s="21" t="str">
        <f ca="1">IF(B313="","",IF(EOMONTH(B313,1)&gt;EOMONTH(ELEGIBILIDADE!$E$5,0),"",EOMONTH(B313,1)))</f>
        <v/>
      </c>
      <c r="C314" s="22" t="str">
        <f ca="1">IF(B314="","",IF(MONTH(B314)=1,C313*(1+PREMISSAS!$C$58),C313))</f>
        <v/>
      </c>
      <c r="D314" s="22">
        <f ca="1">IF(RESULTADOS!$C$17="Normal",IFERROR(MAX(C314-PREMISSAS!$C$14,0),0),IF(PREMISSAS!$H$117=0,0,MAX(10*PREMISSAS!$C$39,RESULTADOS!$F$17)))</f>
        <v>0</v>
      </c>
      <c r="E314" s="4">
        <f ca="1">D314*IF(RESULTADOS!$C$17="Normal",RESULTADOS!$C$16,0)</f>
        <v>0</v>
      </c>
      <c r="F314" s="4">
        <f ca="1">IF(D314&lt;&gt;0,PREMISSAS!$N$83,0)</f>
        <v>0</v>
      </c>
      <c r="G314" s="4">
        <f ca="1">IFERROR(IF(RESULTADOS!$C$17="Normal",0,D314)*IF(RESULTADOS!$C$17="Normal",RESULTADOS!$C$18,RESULTADOS!$C$16),0)</f>
        <v>0</v>
      </c>
      <c r="H314" s="4">
        <f ca="1">IF(RESULTADOS!$C$17="Normal",E314,0)</f>
        <v>0</v>
      </c>
      <c r="I314" s="4">
        <f ca="1">(E314+H314+G314)*IFERROR(VLOOKUP(INT(COUNT($B$5:B314)/12),PREMISSAS!$B$62:$C$69,2,FALSE),PREMISSAS!$C$69)</f>
        <v>0</v>
      </c>
      <c r="J314" s="4">
        <f ca="1">D314*IF(RESULTADOS!$C$17="Normal",PREMISSAS!$C$71,0)</f>
        <v>0</v>
      </c>
      <c r="K314" s="87">
        <f ca="1">IFERROR(K313*(1+PREMISSAS!$C$19)+(E314+H314-IF(RESULTADOS!$C$17="Normal",I314,0)-J314)*IF(MONTH(B314)=12,2,1),0)</f>
        <v>0</v>
      </c>
      <c r="L314" s="87">
        <f ca="1">IFERROR((L313+G314-IF(RESULTADOS!$C$17="Normal",0,I314))*(1+PREMISSAS!$C$19)+F314,0)</f>
        <v>0</v>
      </c>
      <c r="N314" s="58">
        <f t="shared" ca="1" si="32"/>
        <v>0</v>
      </c>
      <c r="P314" s="131" t="str">
        <f t="shared" ca="1" si="33"/>
        <v/>
      </c>
      <c r="Q314" s="111" t="str">
        <f ca="1">IF(C314="","",Q313+(E314+H314-IF(RESULTADOS!$C$17="Normal",I314,0)-J314)/2+(F314+G314-IF(RESULTADOS!$C$17="Normal",0,I314)))</f>
        <v/>
      </c>
      <c r="R314" s="111" t="str">
        <f ca="1">IF(C314="","",R313+(E314+H314-IF(RESULTADOS!$C$17="Normal",I314,0)-J314)/2)</f>
        <v/>
      </c>
      <c r="S314" s="111">
        <f t="shared" ca="1" si="36"/>
        <v>0</v>
      </c>
      <c r="U314" s="131" t="str">
        <f t="shared" ca="1" si="37"/>
        <v/>
      </c>
      <c r="V314" s="131" t="str">
        <f t="shared" ca="1" si="34"/>
        <v/>
      </c>
      <c r="W314" s="111">
        <f ca="1">IF(OR((W313-13/12*Z313)*(1+PREMISSAS!$C$17)&lt;0,W313=""),0,(W313-13/12*Z313)*(1+PREMISSAS!$C$17))</f>
        <v>0</v>
      </c>
      <c r="X314" s="111">
        <f ca="1">IF(OR((X313-13/12*AA313)*(1+PREMISSAS!$C$17)&lt;0,X313=""),0,(X313-13/12*AA313)*(1+PREMISSAS!$C$17))</f>
        <v>0</v>
      </c>
      <c r="Y314" s="111">
        <f t="shared" ca="1" si="35"/>
        <v>0</v>
      </c>
      <c r="Z314" s="134">
        <f t="shared" ca="1" si="38"/>
        <v>0</v>
      </c>
      <c r="AA314" s="134">
        <f t="shared" ca="1" si="39"/>
        <v>0</v>
      </c>
    </row>
    <row r="315" spans="2:27" x14ac:dyDescent="0.3">
      <c r="B315" s="21" t="str">
        <f ca="1">IF(B314="","",IF(EOMONTH(B314,1)&gt;EOMONTH(ELEGIBILIDADE!$E$5,0),"",EOMONTH(B314,1)))</f>
        <v/>
      </c>
      <c r="C315" s="22" t="str">
        <f ca="1">IF(B315="","",IF(MONTH(B315)=1,C314*(1+PREMISSAS!$C$58),C314))</f>
        <v/>
      </c>
      <c r="D315" s="22">
        <f ca="1">IF(RESULTADOS!$C$17="Normal",IFERROR(MAX(C315-PREMISSAS!$C$14,0),0),IF(PREMISSAS!$H$117=0,0,MAX(10*PREMISSAS!$C$39,RESULTADOS!$F$17)))</f>
        <v>0</v>
      </c>
      <c r="E315" s="4">
        <f ca="1">D315*IF(RESULTADOS!$C$17="Normal",RESULTADOS!$C$16,0)</f>
        <v>0</v>
      </c>
      <c r="F315" s="4">
        <f ca="1">IF(D315&lt;&gt;0,PREMISSAS!$N$83,0)</f>
        <v>0</v>
      </c>
      <c r="G315" s="4">
        <f ca="1">IFERROR(IF(RESULTADOS!$C$17="Normal",0,D315)*IF(RESULTADOS!$C$17="Normal",RESULTADOS!$C$18,RESULTADOS!$C$16),0)</f>
        <v>0</v>
      </c>
      <c r="H315" s="4">
        <f ca="1">IF(RESULTADOS!$C$17="Normal",E315,0)</f>
        <v>0</v>
      </c>
      <c r="I315" s="4">
        <f ca="1">(E315+H315+G315)*IFERROR(VLOOKUP(INT(COUNT($B$5:B315)/12),PREMISSAS!$B$62:$C$69,2,FALSE),PREMISSAS!$C$69)</f>
        <v>0</v>
      </c>
      <c r="J315" s="4">
        <f ca="1">D315*IF(RESULTADOS!$C$17="Normal",PREMISSAS!$C$71,0)</f>
        <v>0</v>
      </c>
      <c r="K315" s="87">
        <f ca="1">IFERROR(K314*(1+PREMISSAS!$C$19)+(E315+H315-IF(RESULTADOS!$C$17="Normal",I315,0)-J315)*IF(MONTH(B315)=12,2,1),0)</f>
        <v>0</v>
      </c>
      <c r="L315" s="87">
        <f ca="1">IFERROR((L314+G315-IF(RESULTADOS!$C$17="Normal",0,I315))*(1+PREMISSAS!$C$19)+F315,0)</f>
        <v>0</v>
      </c>
      <c r="N315" s="58">
        <f t="shared" ca="1" si="32"/>
        <v>0</v>
      </c>
      <c r="P315" s="131" t="str">
        <f t="shared" ca="1" si="33"/>
        <v/>
      </c>
      <c r="Q315" s="111" t="str">
        <f ca="1">IF(C315="","",Q314+(E315+H315-IF(RESULTADOS!$C$17="Normal",I315,0)-J315)/2+(F315+G315-IF(RESULTADOS!$C$17="Normal",0,I315)))</f>
        <v/>
      </c>
      <c r="R315" s="111" t="str">
        <f ca="1">IF(C315="","",R314+(E315+H315-IF(RESULTADOS!$C$17="Normal",I315,0)-J315)/2)</f>
        <v/>
      </c>
      <c r="S315" s="111">
        <f t="shared" ca="1" si="36"/>
        <v>0</v>
      </c>
      <c r="U315" s="131" t="str">
        <f t="shared" ca="1" si="37"/>
        <v/>
      </c>
      <c r="V315" s="131" t="str">
        <f t="shared" ca="1" si="34"/>
        <v/>
      </c>
      <c r="W315" s="111">
        <f ca="1">IF(OR((W314-13/12*Z314)*(1+PREMISSAS!$C$17)&lt;0,W314=""),0,(W314-13/12*Z314)*(1+PREMISSAS!$C$17))</f>
        <v>0</v>
      </c>
      <c r="X315" s="111">
        <f ca="1">IF(OR((X314-13/12*AA314)*(1+PREMISSAS!$C$17)&lt;0,X314=""),0,(X314-13/12*AA314)*(1+PREMISSAS!$C$17))</f>
        <v>0</v>
      </c>
      <c r="Y315" s="111">
        <f t="shared" ref="Y315:Y378" ca="1" si="40">SUM(W315:X315)</f>
        <v>0</v>
      </c>
      <c r="Z315" s="134">
        <f t="shared" ca="1" si="38"/>
        <v>0</v>
      </c>
      <c r="AA315" s="134">
        <f t="shared" ca="1" si="39"/>
        <v>0</v>
      </c>
    </row>
    <row r="316" spans="2:27" x14ac:dyDescent="0.3">
      <c r="B316" s="21" t="str">
        <f ca="1">IF(B315="","",IF(EOMONTH(B315,1)&gt;EOMONTH(ELEGIBILIDADE!$E$5,0),"",EOMONTH(B315,1)))</f>
        <v/>
      </c>
      <c r="C316" s="22" t="str">
        <f ca="1">IF(B316="","",IF(MONTH(B316)=1,C315*(1+PREMISSAS!$C$58),C315))</f>
        <v/>
      </c>
      <c r="D316" s="22">
        <f ca="1">IF(RESULTADOS!$C$17="Normal",IFERROR(MAX(C316-PREMISSAS!$C$14,0),0),IF(PREMISSAS!$H$117=0,0,MAX(10*PREMISSAS!$C$39,RESULTADOS!$F$17)))</f>
        <v>0</v>
      </c>
      <c r="E316" s="4">
        <f ca="1">D316*IF(RESULTADOS!$C$17="Normal",RESULTADOS!$C$16,0)</f>
        <v>0</v>
      </c>
      <c r="F316" s="4">
        <f ca="1">IF(D316&lt;&gt;0,PREMISSAS!$N$83,0)</f>
        <v>0</v>
      </c>
      <c r="G316" s="4">
        <f ca="1">IFERROR(IF(RESULTADOS!$C$17="Normal",0,D316)*IF(RESULTADOS!$C$17="Normal",RESULTADOS!$C$18,RESULTADOS!$C$16),0)</f>
        <v>0</v>
      </c>
      <c r="H316" s="4">
        <f ca="1">IF(RESULTADOS!$C$17="Normal",E316,0)</f>
        <v>0</v>
      </c>
      <c r="I316" s="4">
        <f ca="1">(E316+H316+G316)*IFERROR(VLOOKUP(INT(COUNT($B$5:B316)/12),PREMISSAS!$B$62:$C$69,2,FALSE),PREMISSAS!$C$69)</f>
        <v>0</v>
      </c>
      <c r="J316" s="4">
        <f ca="1">D316*IF(RESULTADOS!$C$17="Normal",PREMISSAS!$C$71,0)</f>
        <v>0</v>
      </c>
      <c r="K316" s="87">
        <f ca="1">IFERROR(K315*(1+PREMISSAS!$C$19)+(E316+H316-IF(RESULTADOS!$C$17="Normal",I316,0)-J316)*IF(MONTH(B316)=12,2,1),0)</f>
        <v>0</v>
      </c>
      <c r="L316" s="87">
        <f ca="1">IFERROR((L315+G316-IF(RESULTADOS!$C$17="Normal",0,I316))*(1+PREMISSAS!$C$19)+F316,0)</f>
        <v>0</v>
      </c>
      <c r="N316" s="58">
        <f t="shared" ca="1" si="32"/>
        <v>0</v>
      </c>
      <c r="P316" s="131" t="str">
        <f t="shared" ca="1" si="33"/>
        <v/>
      </c>
      <c r="Q316" s="111" t="str">
        <f ca="1">IF(C316="","",Q315+(E316+H316-IF(RESULTADOS!$C$17="Normal",I316,0)-J316)/2+(F316+G316-IF(RESULTADOS!$C$17="Normal",0,I316)))</f>
        <v/>
      </c>
      <c r="R316" s="111" t="str">
        <f ca="1">IF(C316="","",R315+(E316+H316-IF(RESULTADOS!$C$17="Normal",I316,0)-J316)/2)</f>
        <v/>
      </c>
      <c r="S316" s="111">
        <f t="shared" ca="1" si="36"/>
        <v>0</v>
      </c>
      <c r="U316" s="131" t="str">
        <f t="shared" ca="1" si="37"/>
        <v/>
      </c>
      <c r="V316" s="131" t="str">
        <f t="shared" ca="1" si="34"/>
        <v/>
      </c>
      <c r="W316" s="111">
        <f ca="1">IF(OR((W315-13/12*Z315)*(1+PREMISSAS!$C$17)&lt;0,W315=""),0,(W315-13/12*Z315)*(1+PREMISSAS!$C$17))</f>
        <v>0</v>
      </c>
      <c r="X316" s="111">
        <f ca="1">IF(OR((X315-13/12*AA315)*(1+PREMISSAS!$C$17)&lt;0,X315=""),0,(X315-13/12*AA315)*(1+PREMISSAS!$C$17))</f>
        <v>0</v>
      </c>
      <c r="Y316" s="111">
        <f t="shared" ca="1" si="40"/>
        <v>0</v>
      </c>
      <c r="Z316" s="134">
        <f t="shared" ca="1" si="38"/>
        <v>0</v>
      </c>
      <c r="AA316" s="134">
        <f t="shared" ca="1" si="39"/>
        <v>0</v>
      </c>
    </row>
    <row r="317" spans="2:27" x14ac:dyDescent="0.3">
      <c r="B317" s="21" t="str">
        <f ca="1">IF(B316="","",IF(EOMONTH(B316,1)&gt;EOMONTH(ELEGIBILIDADE!$E$5,0),"",EOMONTH(B316,1)))</f>
        <v/>
      </c>
      <c r="C317" s="22" t="str">
        <f ca="1">IF(B317="","",IF(MONTH(B317)=1,C316*(1+PREMISSAS!$C$58),C316))</f>
        <v/>
      </c>
      <c r="D317" s="22">
        <f ca="1">IF(RESULTADOS!$C$17="Normal",IFERROR(MAX(C317-PREMISSAS!$C$14,0),0),IF(PREMISSAS!$H$117=0,0,MAX(10*PREMISSAS!$C$39,RESULTADOS!$F$17)))</f>
        <v>0</v>
      </c>
      <c r="E317" s="4">
        <f ca="1">D317*IF(RESULTADOS!$C$17="Normal",RESULTADOS!$C$16,0)</f>
        <v>0</v>
      </c>
      <c r="F317" s="4">
        <f ca="1">IF(D317&lt;&gt;0,PREMISSAS!$N$83,0)</f>
        <v>0</v>
      </c>
      <c r="G317" s="4">
        <f ca="1">IFERROR(IF(RESULTADOS!$C$17="Normal",0,D317)*IF(RESULTADOS!$C$17="Normal",RESULTADOS!$C$18,RESULTADOS!$C$16),0)</f>
        <v>0</v>
      </c>
      <c r="H317" s="4">
        <f ca="1">IF(RESULTADOS!$C$17="Normal",E317,0)</f>
        <v>0</v>
      </c>
      <c r="I317" s="4">
        <f ca="1">(E317+H317+G317)*IFERROR(VLOOKUP(INT(COUNT($B$5:B317)/12),PREMISSAS!$B$62:$C$69,2,FALSE),PREMISSAS!$C$69)</f>
        <v>0</v>
      </c>
      <c r="J317" s="4">
        <f ca="1">D317*IF(RESULTADOS!$C$17="Normal",PREMISSAS!$C$71,0)</f>
        <v>0</v>
      </c>
      <c r="K317" s="87">
        <f ca="1">IFERROR(K316*(1+PREMISSAS!$C$19)+(E317+H317-IF(RESULTADOS!$C$17="Normal",I317,0)-J317)*IF(MONTH(B317)=12,2,1),0)</f>
        <v>0</v>
      </c>
      <c r="L317" s="87">
        <f ca="1">IFERROR((L316+G317-IF(RESULTADOS!$C$17="Normal",0,I317))*(1+PREMISSAS!$C$19)+F317,0)</f>
        <v>0</v>
      </c>
      <c r="N317" s="58">
        <f t="shared" ca="1" si="32"/>
        <v>0</v>
      </c>
      <c r="P317" s="131" t="str">
        <f t="shared" ca="1" si="33"/>
        <v/>
      </c>
      <c r="Q317" s="111" t="str">
        <f ca="1">IF(C317="","",Q316+(E317+H317-IF(RESULTADOS!$C$17="Normal",I317,0)-J317)/2+(F317+G317-IF(RESULTADOS!$C$17="Normal",0,I317)))</f>
        <v/>
      </c>
      <c r="R317" s="111" t="str">
        <f ca="1">IF(C317="","",R316+(E317+H317-IF(RESULTADOS!$C$17="Normal",I317,0)-J317)/2)</f>
        <v/>
      </c>
      <c r="S317" s="111">
        <f t="shared" ca="1" si="36"/>
        <v>0</v>
      </c>
      <c r="U317" s="131" t="str">
        <f t="shared" ca="1" si="37"/>
        <v/>
      </c>
      <c r="V317" s="131" t="str">
        <f t="shared" ca="1" si="34"/>
        <v/>
      </c>
      <c r="W317" s="111">
        <f ca="1">IF(OR((W316-13/12*Z316)*(1+PREMISSAS!$C$17)&lt;0,W316=""),0,(W316-13/12*Z316)*(1+PREMISSAS!$C$17))</f>
        <v>0</v>
      </c>
      <c r="X317" s="111">
        <f ca="1">IF(OR((X316-13/12*AA316)*(1+PREMISSAS!$C$17)&lt;0,X316=""),0,(X316-13/12*AA316)*(1+PREMISSAS!$C$17))</f>
        <v>0</v>
      </c>
      <c r="Y317" s="111">
        <f t="shared" ca="1" si="40"/>
        <v>0</v>
      </c>
      <c r="Z317" s="134">
        <f t="shared" ca="1" si="38"/>
        <v>0</v>
      </c>
      <c r="AA317" s="134">
        <f t="shared" ca="1" si="39"/>
        <v>0</v>
      </c>
    </row>
    <row r="318" spans="2:27" x14ac:dyDescent="0.3">
      <c r="B318" s="21" t="str">
        <f ca="1">IF(B317="","",IF(EOMONTH(B317,1)&gt;EOMONTH(ELEGIBILIDADE!$E$5,0),"",EOMONTH(B317,1)))</f>
        <v/>
      </c>
      <c r="C318" s="22" t="str">
        <f ca="1">IF(B318="","",IF(MONTH(B318)=1,C317*(1+PREMISSAS!$C$58),C317))</f>
        <v/>
      </c>
      <c r="D318" s="22">
        <f ca="1">IF(RESULTADOS!$C$17="Normal",IFERROR(MAX(C318-PREMISSAS!$C$14,0),0),IF(PREMISSAS!$H$117=0,0,MAX(10*PREMISSAS!$C$39,RESULTADOS!$F$17)))</f>
        <v>0</v>
      </c>
      <c r="E318" s="4">
        <f ca="1">D318*IF(RESULTADOS!$C$17="Normal",RESULTADOS!$C$16,0)</f>
        <v>0</v>
      </c>
      <c r="F318" s="4">
        <f ca="1">IF(D318&lt;&gt;0,PREMISSAS!$N$83,0)</f>
        <v>0</v>
      </c>
      <c r="G318" s="4">
        <f ca="1">IFERROR(IF(RESULTADOS!$C$17="Normal",0,D318)*IF(RESULTADOS!$C$17="Normal",RESULTADOS!$C$18,RESULTADOS!$C$16),0)</f>
        <v>0</v>
      </c>
      <c r="H318" s="4">
        <f ca="1">IF(RESULTADOS!$C$17="Normal",E318,0)</f>
        <v>0</v>
      </c>
      <c r="I318" s="4">
        <f ca="1">(E318+H318+G318)*IFERROR(VLOOKUP(INT(COUNT($B$5:B318)/12),PREMISSAS!$B$62:$C$69,2,FALSE),PREMISSAS!$C$69)</f>
        <v>0</v>
      </c>
      <c r="J318" s="4">
        <f ca="1">D318*IF(RESULTADOS!$C$17="Normal",PREMISSAS!$C$71,0)</f>
        <v>0</v>
      </c>
      <c r="K318" s="87">
        <f ca="1">IFERROR(K317*(1+PREMISSAS!$C$19)+(E318+H318-IF(RESULTADOS!$C$17="Normal",I318,0)-J318)*IF(MONTH(B318)=12,2,1),0)</f>
        <v>0</v>
      </c>
      <c r="L318" s="87">
        <f ca="1">IFERROR((L317+G318-IF(RESULTADOS!$C$17="Normal",0,I318))*(1+PREMISSAS!$C$19)+F318,0)</f>
        <v>0</v>
      </c>
      <c r="N318" s="58">
        <f t="shared" ca="1" si="32"/>
        <v>0</v>
      </c>
      <c r="P318" s="131" t="str">
        <f t="shared" ca="1" si="33"/>
        <v/>
      </c>
      <c r="Q318" s="111" t="str">
        <f ca="1">IF(C318="","",Q317+(E318+H318-IF(RESULTADOS!$C$17="Normal",I318,0)-J318)/2+(F318+G318-IF(RESULTADOS!$C$17="Normal",0,I318)))</f>
        <v/>
      </c>
      <c r="R318" s="111" t="str">
        <f ca="1">IF(C318="","",R317+(E318+H318-IF(RESULTADOS!$C$17="Normal",I318,0)-J318)/2)</f>
        <v/>
      </c>
      <c r="S318" s="111">
        <f t="shared" ca="1" si="36"/>
        <v>0</v>
      </c>
      <c r="U318" s="131" t="str">
        <f t="shared" ca="1" si="37"/>
        <v/>
      </c>
      <c r="V318" s="131" t="str">
        <f t="shared" ca="1" si="34"/>
        <v/>
      </c>
      <c r="W318" s="111">
        <f ca="1">IF(OR((W317-13/12*Z317)*(1+PREMISSAS!$C$17)&lt;0,W317=""),0,(W317-13/12*Z317)*(1+PREMISSAS!$C$17))</f>
        <v>0</v>
      </c>
      <c r="X318" s="111">
        <f ca="1">IF(OR((X317-13/12*AA317)*(1+PREMISSAS!$C$17)&lt;0,X317=""),0,(X317-13/12*AA317)*(1+PREMISSAS!$C$17))</f>
        <v>0</v>
      </c>
      <c r="Y318" s="111">
        <f t="shared" ca="1" si="40"/>
        <v>0</v>
      </c>
      <c r="Z318" s="134">
        <f t="shared" ca="1" si="38"/>
        <v>0</v>
      </c>
      <c r="AA318" s="134">
        <f t="shared" ca="1" si="39"/>
        <v>0</v>
      </c>
    </row>
    <row r="319" spans="2:27" x14ac:dyDescent="0.3">
      <c r="B319" s="21" t="str">
        <f ca="1">IF(B318="","",IF(EOMONTH(B318,1)&gt;EOMONTH(ELEGIBILIDADE!$E$5,0),"",EOMONTH(B318,1)))</f>
        <v/>
      </c>
      <c r="C319" s="22" t="str">
        <f ca="1">IF(B319="","",IF(MONTH(B319)=1,C318*(1+PREMISSAS!$C$58),C318))</f>
        <v/>
      </c>
      <c r="D319" s="22">
        <f ca="1">IF(RESULTADOS!$C$17="Normal",IFERROR(MAX(C319-PREMISSAS!$C$14,0),0),IF(PREMISSAS!$H$117=0,0,MAX(10*PREMISSAS!$C$39,RESULTADOS!$F$17)))</f>
        <v>0</v>
      </c>
      <c r="E319" s="4">
        <f ca="1">D319*IF(RESULTADOS!$C$17="Normal",RESULTADOS!$C$16,0)</f>
        <v>0</v>
      </c>
      <c r="F319" s="4">
        <f ca="1">IF(D319&lt;&gt;0,PREMISSAS!$N$83,0)</f>
        <v>0</v>
      </c>
      <c r="G319" s="4">
        <f ca="1">IFERROR(IF(RESULTADOS!$C$17="Normal",0,D319)*IF(RESULTADOS!$C$17="Normal",RESULTADOS!$C$18,RESULTADOS!$C$16),0)</f>
        <v>0</v>
      </c>
      <c r="H319" s="4">
        <f ca="1">IF(RESULTADOS!$C$17="Normal",E319,0)</f>
        <v>0</v>
      </c>
      <c r="I319" s="4">
        <f ca="1">(E319+H319+G319)*IFERROR(VLOOKUP(INT(COUNT($B$5:B319)/12),PREMISSAS!$B$62:$C$69,2,FALSE),PREMISSAS!$C$69)</f>
        <v>0</v>
      </c>
      <c r="J319" s="4">
        <f ca="1">D319*IF(RESULTADOS!$C$17="Normal",PREMISSAS!$C$71,0)</f>
        <v>0</v>
      </c>
      <c r="K319" s="87">
        <f ca="1">IFERROR(K318*(1+PREMISSAS!$C$19)+(E319+H319-IF(RESULTADOS!$C$17="Normal",I319,0)-J319)*IF(MONTH(B319)=12,2,1),0)</f>
        <v>0</v>
      </c>
      <c r="L319" s="87">
        <f ca="1">IFERROR((L318+G319-IF(RESULTADOS!$C$17="Normal",0,I319))*(1+PREMISSAS!$C$19)+F319,0)</f>
        <v>0</v>
      </c>
      <c r="N319" s="58">
        <f t="shared" ca="1" si="32"/>
        <v>0</v>
      </c>
      <c r="P319" s="131" t="str">
        <f t="shared" ca="1" si="33"/>
        <v/>
      </c>
      <c r="Q319" s="111" t="str">
        <f ca="1">IF(C319="","",Q318+(E319+H319-IF(RESULTADOS!$C$17="Normal",I319,0)-J319)/2+(F319+G319-IF(RESULTADOS!$C$17="Normal",0,I319)))</f>
        <v/>
      </c>
      <c r="R319" s="111" t="str">
        <f ca="1">IF(C319="","",R318+(E319+H319-IF(RESULTADOS!$C$17="Normal",I319,0)-J319)/2)</f>
        <v/>
      </c>
      <c r="S319" s="111">
        <f t="shared" ca="1" si="36"/>
        <v>0</v>
      </c>
      <c r="U319" s="131" t="str">
        <f t="shared" ca="1" si="37"/>
        <v/>
      </c>
      <c r="V319" s="131" t="str">
        <f t="shared" ca="1" si="34"/>
        <v/>
      </c>
      <c r="W319" s="111">
        <f ca="1">IF(OR((W318-13/12*Z318)*(1+PREMISSAS!$C$17)&lt;0,W318=""),0,(W318-13/12*Z318)*(1+PREMISSAS!$C$17))</f>
        <v>0</v>
      </c>
      <c r="X319" s="111">
        <f ca="1">IF(OR((X318-13/12*AA318)*(1+PREMISSAS!$C$17)&lt;0,X318=""),0,(X318-13/12*AA318)*(1+PREMISSAS!$C$17))</f>
        <v>0</v>
      </c>
      <c r="Y319" s="111">
        <f t="shared" ca="1" si="40"/>
        <v>0</v>
      </c>
      <c r="Z319" s="134">
        <f t="shared" ca="1" si="38"/>
        <v>0</v>
      </c>
      <c r="AA319" s="134">
        <f t="shared" ca="1" si="39"/>
        <v>0</v>
      </c>
    </row>
    <row r="320" spans="2:27" x14ac:dyDescent="0.3">
      <c r="B320" s="21" t="str">
        <f ca="1">IF(B319="","",IF(EOMONTH(B319,1)&gt;EOMONTH(ELEGIBILIDADE!$E$5,0),"",EOMONTH(B319,1)))</f>
        <v/>
      </c>
      <c r="C320" s="22" t="str">
        <f ca="1">IF(B320="","",IF(MONTH(B320)=1,C319*(1+PREMISSAS!$C$58),C319))</f>
        <v/>
      </c>
      <c r="D320" s="22">
        <f ca="1">IF(RESULTADOS!$C$17="Normal",IFERROR(MAX(C320-PREMISSAS!$C$14,0),0),IF(PREMISSAS!$H$117=0,0,MAX(10*PREMISSAS!$C$39,RESULTADOS!$F$17)))</f>
        <v>0</v>
      </c>
      <c r="E320" s="4">
        <f ca="1">D320*IF(RESULTADOS!$C$17="Normal",RESULTADOS!$C$16,0)</f>
        <v>0</v>
      </c>
      <c r="F320" s="4">
        <f ca="1">IF(D320&lt;&gt;0,PREMISSAS!$N$83,0)</f>
        <v>0</v>
      </c>
      <c r="G320" s="4">
        <f ca="1">IFERROR(IF(RESULTADOS!$C$17="Normal",0,D320)*IF(RESULTADOS!$C$17="Normal",RESULTADOS!$C$18,RESULTADOS!$C$16),0)</f>
        <v>0</v>
      </c>
      <c r="H320" s="4">
        <f ca="1">IF(RESULTADOS!$C$17="Normal",E320,0)</f>
        <v>0</v>
      </c>
      <c r="I320" s="4">
        <f ca="1">(E320+H320+G320)*IFERROR(VLOOKUP(INT(COUNT($B$5:B320)/12),PREMISSAS!$B$62:$C$69,2,FALSE),PREMISSAS!$C$69)</f>
        <v>0</v>
      </c>
      <c r="J320" s="4">
        <f ca="1">D320*IF(RESULTADOS!$C$17="Normal",PREMISSAS!$C$71,0)</f>
        <v>0</v>
      </c>
      <c r="K320" s="87">
        <f ca="1">IFERROR(K319*(1+PREMISSAS!$C$19)+(E320+H320-IF(RESULTADOS!$C$17="Normal",I320,0)-J320)*IF(MONTH(B320)=12,2,1),0)</f>
        <v>0</v>
      </c>
      <c r="L320" s="87">
        <f ca="1">IFERROR((L319+G320-IF(RESULTADOS!$C$17="Normal",0,I320))*(1+PREMISSAS!$C$19)+F320,0)</f>
        <v>0</v>
      </c>
      <c r="N320" s="58">
        <f t="shared" ca="1" si="32"/>
        <v>0</v>
      </c>
      <c r="P320" s="131" t="str">
        <f t="shared" ca="1" si="33"/>
        <v/>
      </c>
      <c r="Q320" s="111" t="str">
        <f ca="1">IF(C320="","",Q319+(E320+H320-IF(RESULTADOS!$C$17="Normal",I320,0)-J320)/2+(F320+G320-IF(RESULTADOS!$C$17="Normal",0,I320)))</f>
        <v/>
      </c>
      <c r="R320" s="111" t="str">
        <f ca="1">IF(C320="","",R319+(E320+H320-IF(RESULTADOS!$C$17="Normal",I320,0)-J320)/2)</f>
        <v/>
      </c>
      <c r="S320" s="111">
        <f t="shared" ca="1" si="36"/>
        <v>0</v>
      </c>
      <c r="U320" s="131" t="str">
        <f t="shared" ca="1" si="37"/>
        <v/>
      </c>
      <c r="V320" s="131" t="str">
        <f t="shared" ca="1" si="34"/>
        <v/>
      </c>
      <c r="W320" s="111">
        <f ca="1">IF(OR((W319-13/12*Z319)*(1+PREMISSAS!$C$17)&lt;0,W319=""),0,(W319-13/12*Z319)*(1+PREMISSAS!$C$17))</f>
        <v>0</v>
      </c>
      <c r="X320" s="111">
        <f ca="1">IF(OR((X319-13/12*AA319)*(1+PREMISSAS!$C$17)&lt;0,X319=""),0,(X319-13/12*AA319)*(1+PREMISSAS!$C$17))</f>
        <v>0</v>
      </c>
      <c r="Y320" s="111">
        <f t="shared" ca="1" si="40"/>
        <v>0</v>
      </c>
      <c r="Z320" s="134">
        <f t="shared" ca="1" si="38"/>
        <v>0</v>
      </c>
      <c r="AA320" s="134">
        <f t="shared" ca="1" si="39"/>
        <v>0</v>
      </c>
    </row>
    <row r="321" spans="2:27" x14ac:dyDescent="0.3">
      <c r="B321" s="21" t="str">
        <f ca="1">IF(B320="","",IF(EOMONTH(B320,1)&gt;EOMONTH(ELEGIBILIDADE!$E$5,0),"",EOMONTH(B320,1)))</f>
        <v/>
      </c>
      <c r="C321" s="22" t="str">
        <f ca="1">IF(B321="","",IF(MONTH(B321)=1,C320*(1+PREMISSAS!$C$58),C320))</f>
        <v/>
      </c>
      <c r="D321" s="22">
        <f ca="1">IF(RESULTADOS!$C$17="Normal",IFERROR(MAX(C321-PREMISSAS!$C$14,0),0),IF(PREMISSAS!$H$117=0,0,MAX(10*PREMISSAS!$C$39,RESULTADOS!$F$17)))</f>
        <v>0</v>
      </c>
      <c r="E321" s="4">
        <f ca="1">D321*IF(RESULTADOS!$C$17="Normal",RESULTADOS!$C$16,0)</f>
        <v>0</v>
      </c>
      <c r="F321" s="4">
        <f ca="1">IF(D321&lt;&gt;0,PREMISSAS!$N$83,0)</f>
        <v>0</v>
      </c>
      <c r="G321" s="4">
        <f ca="1">IFERROR(IF(RESULTADOS!$C$17="Normal",0,D321)*IF(RESULTADOS!$C$17="Normal",RESULTADOS!$C$18,RESULTADOS!$C$16),0)</f>
        <v>0</v>
      </c>
      <c r="H321" s="4">
        <f ca="1">IF(RESULTADOS!$C$17="Normal",E321,0)</f>
        <v>0</v>
      </c>
      <c r="I321" s="4">
        <f ca="1">(E321+H321+G321)*IFERROR(VLOOKUP(INT(COUNT($B$5:B321)/12),PREMISSAS!$B$62:$C$69,2,FALSE),PREMISSAS!$C$69)</f>
        <v>0</v>
      </c>
      <c r="J321" s="4">
        <f ca="1">D321*IF(RESULTADOS!$C$17="Normal",PREMISSAS!$C$71,0)</f>
        <v>0</v>
      </c>
      <c r="K321" s="87">
        <f ca="1">IFERROR(K320*(1+PREMISSAS!$C$19)+(E321+H321-IF(RESULTADOS!$C$17="Normal",I321,0)-J321)*IF(MONTH(B321)=12,2,1),0)</f>
        <v>0</v>
      </c>
      <c r="L321" s="87">
        <f ca="1">IFERROR((L320+G321-IF(RESULTADOS!$C$17="Normal",0,I321))*(1+PREMISSAS!$C$19)+F321,0)</f>
        <v>0</v>
      </c>
      <c r="N321" s="58">
        <f t="shared" ca="1" si="32"/>
        <v>0</v>
      </c>
      <c r="P321" s="131" t="str">
        <f t="shared" ca="1" si="33"/>
        <v/>
      </c>
      <c r="Q321" s="111" t="str">
        <f ca="1">IF(C321="","",Q320+(E321+H321-IF(RESULTADOS!$C$17="Normal",I321,0)-J321)/2+(F321+G321-IF(RESULTADOS!$C$17="Normal",0,I321)))</f>
        <v/>
      </c>
      <c r="R321" s="111" t="str">
        <f ca="1">IF(C321="","",R320+(E321+H321-IF(RESULTADOS!$C$17="Normal",I321,0)-J321)/2)</f>
        <v/>
      </c>
      <c r="S321" s="111">
        <f t="shared" ca="1" si="36"/>
        <v>0</v>
      </c>
      <c r="U321" s="131" t="str">
        <f t="shared" ca="1" si="37"/>
        <v/>
      </c>
      <c r="V321" s="131" t="str">
        <f t="shared" ca="1" si="34"/>
        <v/>
      </c>
      <c r="W321" s="111">
        <f ca="1">IF(OR((W320-13/12*Z320)*(1+PREMISSAS!$C$17)&lt;0,W320=""),0,(W320-13/12*Z320)*(1+PREMISSAS!$C$17))</f>
        <v>0</v>
      </c>
      <c r="X321" s="111">
        <f ca="1">IF(OR((X320-13/12*AA320)*(1+PREMISSAS!$C$17)&lt;0,X320=""),0,(X320-13/12*AA320)*(1+PREMISSAS!$C$17))</f>
        <v>0</v>
      </c>
      <c r="Y321" s="111">
        <f t="shared" ca="1" si="40"/>
        <v>0</v>
      </c>
      <c r="Z321" s="134">
        <f t="shared" ca="1" si="38"/>
        <v>0</v>
      </c>
      <c r="AA321" s="134">
        <f t="shared" ca="1" si="39"/>
        <v>0</v>
      </c>
    </row>
    <row r="322" spans="2:27" x14ac:dyDescent="0.3">
      <c r="B322" s="21" t="str">
        <f ca="1">IF(B321="","",IF(EOMONTH(B321,1)&gt;EOMONTH(ELEGIBILIDADE!$E$5,0),"",EOMONTH(B321,1)))</f>
        <v/>
      </c>
      <c r="C322" s="22" t="str">
        <f ca="1">IF(B322="","",IF(MONTH(B322)=1,C321*(1+PREMISSAS!$C$58),C321))</f>
        <v/>
      </c>
      <c r="D322" s="22">
        <f ca="1">IF(RESULTADOS!$C$17="Normal",IFERROR(MAX(C322-PREMISSAS!$C$14,0),0),IF(PREMISSAS!$H$117=0,0,MAX(10*PREMISSAS!$C$39,RESULTADOS!$F$17)))</f>
        <v>0</v>
      </c>
      <c r="E322" s="4">
        <f ca="1">D322*IF(RESULTADOS!$C$17="Normal",RESULTADOS!$C$16,0)</f>
        <v>0</v>
      </c>
      <c r="F322" s="4">
        <f ca="1">IF(D322&lt;&gt;0,PREMISSAS!$N$83,0)</f>
        <v>0</v>
      </c>
      <c r="G322" s="4">
        <f ca="1">IFERROR(IF(RESULTADOS!$C$17="Normal",0,D322)*IF(RESULTADOS!$C$17="Normal",RESULTADOS!$C$18,RESULTADOS!$C$16),0)</f>
        <v>0</v>
      </c>
      <c r="H322" s="4">
        <f ca="1">IF(RESULTADOS!$C$17="Normal",E322,0)</f>
        <v>0</v>
      </c>
      <c r="I322" s="4">
        <f ca="1">(E322+H322+G322)*IFERROR(VLOOKUP(INT(COUNT($B$5:B322)/12),PREMISSAS!$B$62:$C$69,2,FALSE),PREMISSAS!$C$69)</f>
        <v>0</v>
      </c>
      <c r="J322" s="4">
        <f ca="1">D322*IF(RESULTADOS!$C$17="Normal",PREMISSAS!$C$71,0)</f>
        <v>0</v>
      </c>
      <c r="K322" s="87">
        <f ca="1">IFERROR(K321*(1+PREMISSAS!$C$19)+(E322+H322-IF(RESULTADOS!$C$17="Normal",I322,0)-J322)*IF(MONTH(B322)=12,2,1),0)</f>
        <v>0</v>
      </c>
      <c r="L322" s="87">
        <f ca="1">IFERROR((L321+G322-IF(RESULTADOS!$C$17="Normal",0,I322))*(1+PREMISSAS!$C$19)+F322,0)</f>
        <v>0</v>
      </c>
      <c r="N322" s="58">
        <f t="shared" ca="1" si="32"/>
        <v>0</v>
      </c>
      <c r="P322" s="131" t="str">
        <f t="shared" ca="1" si="33"/>
        <v/>
      </c>
      <c r="Q322" s="111" t="str">
        <f ca="1">IF(C322="","",Q321+(E322+H322-IF(RESULTADOS!$C$17="Normal",I322,0)-J322)/2+(F322+G322-IF(RESULTADOS!$C$17="Normal",0,I322)))</f>
        <v/>
      </c>
      <c r="R322" s="111" t="str">
        <f ca="1">IF(C322="","",R321+(E322+H322-IF(RESULTADOS!$C$17="Normal",I322,0)-J322)/2)</f>
        <v/>
      </c>
      <c r="S322" s="111">
        <f t="shared" ca="1" si="36"/>
        <v>0</v>
      </c>
      <c r="U322" s="131" t="str">
        <f t="shared" ca="1" si="37"/>
        <v/>
      </c>
      <c r="V322" s="131" t="str">
        <f t="shared" ca="1" si="34"/>
        <v/>
      </c>
      <c r="W322" s="111">
        <f ca="1">IF(OR((W321-13/12*Z321)*(1+PREMISSAS!$C$17)&lt;0,W321=""),0,(W321-13/12*Z321)*(1+PREMISSAS!$C$17))</f>
        <v>0</v>
      </c>
      <c r="X322" s="111">
        <f ca="1">IF(OR((X321-13/12*AA321)*(1+PREMISSAS!$C$17)&lt;0,X321=""),0,(X321-13/12*AA321)*(1+PREMISSAS!$C$17))</f>
        <v>0</v>
      </c>
      <c r="Y322" s="111">
        <f t="shared" ca="1" si="40"/>
        <v>0</v>
      </c>
      <c r="Z322" s="134">
        <f t="shared" ca="1" si="38"/>
        <v>0</v>
      </c>
      <c r="AA322" s="134">
        <f t="shared" ca="1" si="39"/>
        <v>0</v>
      </c>
    </row>
    <row r="323" spans="2:27" x14ac:dyDescent="0.3">
      <c r="B323" s="21" t="str">
        <f ca="1">IF(B322="","",IF(EOMONTH(B322,1)&gt;EOMONTH(ELEGIBILIDADE!$E$5,0),"",EOMONTH(B322,1)))</f>
        <v/>
      </c>
      <c r="C323" s="22" t="str">
        <f ca="1">IF(B323="","",IF(MONTH(B323)=1,C322*(1+PREMISSAS!$C$58),C322))</f>
        <v/>
      </c>
      <c r="D323" s="22">
        <f ca="1">IF(RESULTADOS!$C$17="Normal",IFERROR(MAX(C323-PREMISSAS!$C$14,0),0),IF(PREMISSAS!$H$117=0,0,MAX(10*PREMISSAS!$C$39,RESULTADOS!$F$17)))</f>
        <v>0</v>
      </c>
      <c r="E323" s="4">
        <f ca="1">D323*IF(RESULTADOS!$C$17="Normal",RESULTADOS!$C$16,0)</f>
        <v>0</v>
      </c>
      <c r="F323" s="4">
        <f ca="1">IF(D323&lt;&gt;0,PREMISSAS!$N$83,0)</f>
        <v>0</v>
      </c>
      <c r="G323" s="4">
        <f ca="1">IFERROR(IF(RESULTADOS!$C$17="Normal",0,D323)*IF(RESULTADOS!$C$17="Normal",RESULTADOS!$C$18,RESULTADOS!$C$16),0)</f>
        <v>0</v>
      </c>
      <c r="H323" s="4">
        <f ca="1">IF(RESULTADOS!$C$17="Normal",E323,0)</f>
        <v>0</v>
      </c>
      <c r="I323" s="4">
        <f ca="1">(E323+H323+G323)*IFERROR(VLOOKUP(INT(COUNT($B$5:B323)/12),PREMISSAS!$B$62:$C$69,2,FALSE),PREMISSAS!$C$69)</f>
        <v>0</v>
      </c>
      <c r="J323" s="4">
        <f ca="1">D323*IF(RESULTADOS!$C$17="Normal",PREMISSAS!$C$71,0)</f>
        <v>0</v>
      </c>
      <c r="K323" s="87">
        <f ca="1">IFERROR(K322*(1+PREMISSAS!$C$19)+(E323+H323-IF(RESULTADOS!$C$17="Normal",I323,0)-J323)*IF(MONTH(B323)=12,2,1),0)</f>
        <v>0</v>
      </c>
      <c r="L323" s="87">
        <f ca="1">IFERROR((L322+G323-IF(RESULTADOS!$C$17="Normal",0,I323))*(1+PREMISSAS!$C$19)+F323,0)</f>
        <v>0</v>
      </c>
      <c r="N323" s="58">
        <f t="shared" ca="1" si="32"/>
        <v>0</v>
      </c>
      <c r="P323" s="131" t="str">
        <f t="shared" ca="1" si="33"/>
        <v/>
      </c>
      <c r="Q323" s="111" t="str">
        <f ca="1">IF(C323="","",Q322+(E323+H323-IF(RESULTADOS!$C$17="Normal",I323,0)-J323)/2+(F323+G323-IF(RESULTADOS!$C$17="Normal",0,I323)))</f>
        <v/>
      </c>
      <c r="R323" s="111" t="str">
        <f ca="1">IF(C323="","",R322+(E323+H323-IF(RESULTADOS!$C$17="Normal",I323,0)-J323)/2)</f>
        <v/>
      </c>
      <c r="S323" s="111">
        <f t="shared" ca="1" si="36"/>
        <v>0</v>
      </c>
      <c r="U323" s="131" t="str">
        <f t="shared" ca="1" si="37"/>
        <v/>
      </c>
      <c r="V323" s="131" t="str">
        <f t="shared" ca="1" si="34"/>
        <v/>
      </c>
      <c r="W323" s="111">
        <f ca="1">IF(OR((W322-13/12*Z322)*(1+PREMISSAS!$C$17)&lt;0,W322=""),0,(W322-13/12*Z322)*(1+PREMISSAS!$C$17))</f>
        <v>0</v>
      </c>
      <c r="X323" s="111">
        <f ca="1">IF(OR((X322-13/12*AA322)*(1+PREMISSAS!$C$17)&lt;0,X322=""),0,(X322-13/12*AA322)*(1+PREMISSAS!$C$17))</f>
        <v>0</v>
      </c>
      <c r="Y323" s="111">
        <f t="shared" ca="1" si="40"/>
        <v>0</v>
      </c>
      <c r="Z323" s="134">
        <f t="shared" ca="1" si="38"/>
        <v>0</v>
      </c>
      <c r="AA323" s="134">
        <f t="shared" ca="1" si="39"/>
        <v>0</v>
      </c>
    </row>
    <row r="324" spans="2:27" x14ac:dyDescent="0.3">
      <c r="B324" s="21" t="str">
        <f ca="1">IF(B323="","",IF(EOMONTH(B323,1)&gt;EOMONTH(ELEGIBILIDADE!$E$5,0),"",EOMONTH(B323,1)))</f>
        <v/>
      </c>
      <c r="C324" s="22" t="str">
        <f ca="1">IF(B324="","",IF(MONTH(B324)=1,C323*(1+PREMISSAS!$C$58),C323))</f>
        <v/>
      </c>
      <c r="D324" s="22">
        <f ca="1">IF(RESULTADOS!$C$17="Normal",IFERROR(MAX(C324-PREMISSAS!$C$14,0),0),IF(PREMISSAS!$H$117=0,0,MAX(10*PREMISSAS!$C$39,RESULTADOS!$F$17)))</f>
        <v>0</v>
      </c>
      <c r="E324" s="4">
        <f ca="1">D324*IF(RESULTADOS!$C$17="Normal",RESULTADOS!$C$16,0)</f>
        <v>0</v>
      </c>
      <c r="F324" s="4">
        <f ca="1">IF(D324&lt;&gt;0,PREMISSAS!$N$83,0)</f>
        <v>0</v>
      </c>
      <c r="G324" s="4">
        <f ca="1">IFERROR(IF(RESULTADOS!$C$17="Normal",0,D324)*IF(RESULTADOS!$C$17="Normal",RESULTADOS!$C$18,RESULTADOS!$C$16),0)</f>
        <v>0</v>
      </c>
      <c r="H324" s="4">
        <f ca="1">IF(RESULTADOS!$C$17="Normal",E324,0)</f>
        <v>0</v>
      </c>
      <c r="I324" s="4">
        <f ca="1">(E324+H324+G324)*IFERROR(VLOOKUP(INT(COUNT($B$5:B324)/12),PREMISSAS!$B$62:$C$69,2,FALSE),PREMISSAS!$C$69)</f>
        <v>0</v>
      </c>
      <c r="J324" s="4">
        <f ca="1">D324*IF(RESULTADOS!$C$17="Normal",PREMISSAS!$C$71,0)</f>
        <v>0</v>
      </c>
      <c r="K324" s="87">
        <f ca="1">IFERROR(K323*(1+PREMISSAS!$C$19)+(E324+H324-IF(RESULTADOS!$C$17="Normal",I324,0)-J324)*IF(MONTH(B324)=12,2,1),0)</f>
        <v>0</v>
      </c>
      <c r="L324" s="87">
        <f ca="1">IFERROR((L323+G324-IF(RESULTADOS!$C$17="Normal",0,I324))*(1+PREMISSAS!$C$19)+F324,0)</f>
        <v>0</v>
      </c>
      <c r="N324" s="58">
        <f t="shared" ca="1" si="32"/>
        <v>0</v>
      </c>
      <c r="P324" s="131" t="str">
        <f t="shared" ca="1" si="33"/>
        <v/>
      </c>
      <c r="Q324" s="111" t="str">
        <f ca="1">IF(C324="","",Q323+(E324+H324-IF(RESULTADOS!$C$17="Normal",I324,0)-J324)/2+(F324+G324-IF(RESULTADOS!$C$17="Normal",0,I324)))</f>
        <v/>
      </c>
      <c r="R324" s="111" t="str">
        <f ca="1">IF(C324="","",R323+(E324+H324-IF(RESULTADOS!$C$17="Normal",I324,0)-J324)/2)</f>
        <v/>
      </c>
      <c r="S324" s="111">
        <f t="shared" ca="1" si="36"/>
        <v>0</v>
      </c>
      <c r="U324" s="131" t="str">
        <f t="shared" ca="1" si="37"/>
        <v/>
      </c>
      <c r="V324" s="131" t="str">
        <f t="shared" ca="1" si="34"/>
        <v/>
      </c>
      <c r="W324" s="111">
        <f ca="1">IF(OR((W323-13/12*Z323)*(1+PREMISSAS!$C$17)&lt;0,W323=""),0,(W323-13/12*Z323)*(1+PREMISSAS!$C$17))</f>
        <v>0</v>
      </c>
      <c r="X324" s="111">
        <f ca="1">IF(OR((X323-13/12*AA323)*(1+PREMISSAS!$C$17)&lt;0,X323=""),0,(X323-13/12*AA323)*(1+PREMISSAS!$C$17))</f>
        <v>0</v>
      </c>
      <c r="Y324" s="111">
        <f t="shared" ca="1" si="40"/>
        <v>0</v>
      </c>
      <c r="Z324" s="134">
        <f t="shared" ca="1" si="38"/>
        <v>0</v>
      </c>
      <c r="AA324" s="134">
        <f t="shared" ca="1" si="39"/>
        <v>0</v>
      </c>
    </row>
    <row r="325" spans="2:27" x14ac:dyDescent="0.3">
      <c r="B325" s="21" t="str">
        <f ca="1">IF(B324="","",IF(EOMONTH(B324,1)&gt;EOMONTH(ELEGIBILIDADE!$E$5,0),"",EOMONTH(B324,1)))</f>
        <v/>
      </c>
      <c r="C325" s="22" t="str">
        <f ca="1">IF(B325="","",IF(MONTH(B325)=1,C324*(1+PREMISSAS!$C$58),C324))</f>
        <v/>
      </c>
      <c r="D325" s="22">
        <f ca="1">IF(RESULTADOS!$C$17="Normal",IFERROR(MAX(C325-PREMISSAS!$C$14,0),0),IF(PREMISSAS!$H$117=0,0,MAX(10*PREMISSAS!$C$39,RESULTADOS!$F$17)))</f>
        <v>0</v>
      </c>
      <c r="E325" s="4">
        <f ca="1">D325*IF(RESULTADOS!$C$17="Normal",RESULTADOS!$C$16,0)</f>
        <v>0</v>
      </c>
      <c r="F325" s="4">
        <f ca="1">IF(D325&lt;&gt;0,PREMISSAS!$N$83,0)</f>
        <v>0</v>
      </c>
      <c r="G325" s="4">
        <f ca="1">IFERROR(IF(RESULTADOS!$C$17="Normal",0,D325)*IF(RESULTADOS!$C$17="Normal",RESULTADOS!$C$18,RESULTADOS!$C$16),0)</f>
        <v>0</v>
      </c>
      <c r="H325" s="4">
        <f ca="1">IF(RESULTADOS!$C$17="Normal",E325,0)</f>
        <v>0</v>
      </c>
      <c r="I325" s="4">
        <f ca="1">(E325+H325+G325)*IFERROR(VLOOKUP(INT(COUNT($B$5:B325)/12),PREMISSAS!$B$62:$C$69,2,FALSE),PREMISSAS!$C$69)</f>
        <v>0</v>
      </c>
      <c r="J325" s="4">
        <f ca="1">D325*IF(RESULTADOS!$C$17="Normal",PREMISSAS!$C$71,0)</f>
        <v>0</v>
      </c>
      <c r="K325" s="87">
        <f ca="1">IFERROR(K324*(1+PREMISSAS!$C$19)+(E325+H325-IF(RESULTADOS!$C$17="Normal",I325,0)-J325)*IF(MONTH(B325)=12,2,1),0)</f>
        <v>0</v>
      </c>
      <c r="L325" s="87">
        <f ca="1">IFERROR((L324+G325-IF(RESULTADOS!$C$17="Normal",0,I325))*(1+PREMISSAS!$C$19)+F325,0)</f>
        <v>0</v>
      </c>
      <c r="N325" s="58">
        <f t="shared" ca="1" si="32"/>
        <v>0</v>
      </c>
      <c r="P325" s="131" t="str">
        <f t="shared" ca="1" si="33"/>
        <v/>
      </c>
      <c r="Q325" s="111" t="str">
        <f ca="1">IF(C325="","",Q324+(E325+H325-IF(RESULTADOS!$C$17="Normal",I325,0)-J325)/2+(F325+G325-IF(RESULTADOS!$C$17="Normal",0,I325)))</f>
        <v/>
      </c>
      <c r="R325" s="111" t="str">
        <f ca="1">IF(C325="","",R324+(E325+H325-IF(RESULTADOS!$C$17="Normal",I325,0)-J325)/2)</f>
        <v/>
      </c>
      <c r="S325" s="111">
        <f t="shared" ca="1" si="36"/>
        <v>0</v>
      </c>
      <c r="U325" s="131" t="str">
        <f t="shared" ca="1" si="37"/>
        <v/>
      </c>
      <c r="V325" s="131" t="str">
        <f t="shared" ca="1" si="34"/>
        <v/>
      </c>
      <c r="W325" s="111">
        <f ca="1">IF(OR((W324-13/12*Z324)*(1+PREMISSAS!$C$17)&lt;0,W324=""),0,(W324-13/12*Z324)*(1+PREMISSAS!$C$17))</f>
        <v>0</v>
      </c>
      <c r="X325" s="111">
        <f ca="1">IF(OR((X324-13/12*AA324)*(1+PREMISSAS!$C$17)&lt;0,X324=""),0,(X324-13/12*AA324)*(1+PREMISSAS!$C$17))</f>
        <v>0</v>
      </c>
      <c r="Y325" s="111">
        <f t="shared" ca="1" si="40"/>
        <v>0</v>
      </c>
      <c r="Z325" s="134">
        <f t="shared" ca="1" si="38"/>
        <v>0</v>
      </c>
      <c r="AA325" s="134">
        <f t="shared" ca="1" si="39"/>
        <v>0</v>
      </c>
    </row>
    <row r="326" spans="2:27" x14ac:dyDescent="0.3">
      <c r="B326" s="21" t="str">
        <f ca="1">IF(B325="","",IF(EOMONTH(B325,1)&gt;EOMONTH(ELEGIBILIDADE!$E$5,0),"",EOMONTH(B325,1)))</f>
        <v/>
      </c>
      <c r="C326" s="22" t="str">
        <f ca="1">IF(B326="","",IF(MONTH(B326)=1,C325*(1+PREMISSAS!$C$58),C325))</f>
        <v/>
      </c>
      <c r="D326" s="22">
        <f ca="1">IF(RESULTADOS!$C$17="Normal",IFERROR(MAX(C326-PREMISSAS!$C$14,0),0),IF(PREMISSAS!$H$117=0,0,MAX(10*PREMISSAS!$C$39,RESULTADOS!$F$17)))</f>
        <v>0</v>
      </c>
      <c r="E326" s="4">
        <f ca="1">D326*IF(RESULTADOS!$C$17="Normal",RESULTADOS!$C$16,0)</f>
        <v>0</v>
      </c>
      <c r="F326" s="4">
        <f ca="1">IF(D326&lt;&gt;0,PREMISSAS!$N$83,0)</f>
        <v>0</v>
      </c>
      <c r="G326" s="4">
        <f ca="1">IFERROR(IF(RESULTADOS!$C$17="Normal",0,D326)*IF(RESULTADOS!$C$17="Normal",RESULTADOS!$C$18,RESULTADOS!$C$16),0)</f>
        <v>0</v>
      </c>
      <c r="H326" s="4">
        <f ca="1">IF(RESULTADOS!$C$17="Normal",E326,0)</f>
        <v>0</v>
      </c>
      <c r="I326" s="4">
        <f ca="1">(E326+H326+G326)*IFERROR(VLOOKUP(INT(COUNT($B$5:B326)/12),PREMISSAS!$B$62:$C$69,2,FALSE),PREMISSAS!$C$69)</f>
        <v>0</v>
      </c>
      <c r="J326" s="4">
        <f ca="1">D326*IF(RESULTADOS!$C$17="Normal",PREMISSAS!$C$71,0)</f>
        <v>0</v>
      </c>
      <c r="K326" s="87">
        <f ca="1">IFERROR(K325*(1+PREMISSAS!$C$19)+(E326+H326-IF(RESULTADOS!$C$17="Normal",I326,0)-J326)*IF(MONTH(B326)=12,2,1),0)</f>
        <v>0</v>
      </c>
      <c r="L326" s="87">
        <f ca="1">IFERROR((L325+G326-IF(RESULTADOS!$C$17="Normal",0,I326))*(1+PREMISSAS!$C$19)+F326,0)</f>
        <v>0</v>
      </c>
      <c r="N326" s="58">
        <f t="shared" ref="N326:N389" ca="1" si="41">IFERROR((E326+F326+G326)/C326,0)</f>
        <v>0</v>
      </c>
      <c r="P326" s="131" t="str">
        <f t="shared" ref="P326:P389" ca="1" si="42">IF(C326="","",B326)</f>
        <v/>
      </c>
      <c r="Q326" s="111" t="str">
        <f ca="1">IF(C326="","",Q325+(E326+H326-IF(RESULTADOS!$C$17="Normal",I326,0)-J326)/2+(F326+G326-IF(RESULTADOS!$C$17="Normal",0,I326)))</f>
        <v/>
      </c>
      <c r="R326" s="111" t="str">
        <f ca="1">IF(C326="","",R325+(E326+H326-IF(RESULTADOS!$C$17="Normal",I326,0)-J326)/2)</f>
        <v/>
      </c>
      <c r="S326" s="111">
        <f t="shared" ca="1" si="36"/>
        <v>0</v>
      </c>
      <c r="U326" s="131" t="str">
        <f t="shared" ca="1" si="37"/>
        <v/>
      </c>
      <c r="V326" s="131" t="str">
        <f t="shared" ref="V326:V389" ca="1" si="43">IF(AA326&lt;&gt;"",U326,"")</f>
        <v/>
      </c>
      <c r="W326" s="111">
        <f ca="1">IF(OR((W325-13/12*Z325)*(1+PREMISSAS!$C$17)&lt;0,W325=""),0,(W325-13/12*Z325)*(1+PREMISSAS!$C$17))</f>
        <v>0</v>
      </c>
      <c r="X326" s="111">
        <f ca="1">IF(OR((X325-13/12*AA325)*(1+PREMISSAS!$C$17)&lt;0,X325=""),0,(X325-13/12*AA325)*(1+PREMISSAS!$C$17))</f>
        <v>0</v>
      </c>
      <c r="Y326" s="111">
        <f t="shared" ca="1" si="40"/>
        <v>0</v>
      </c>
      <c r="Z326" s="134">
        <f t="shared" ca="1" si="38"/>
        <v>0</v>
      </c>
      <c r="AA326" s="134">
        <f t="shared" ca="1" si="39"/>
        <v>0</v>
      </c>
    </row>
    <row r="327" spans="2:27" x14ac:dyDescent="0.3">
      <c r="B327" s="21" t="str">
        <f ca="1">IF(B326="","",IF(EOMONTH(B326,1)&gt;EOMONTH(ELEGIBILIDADE!$E$5,0),"",EOMONTH(B326,1)))</f>
        <v/>
      </c>
      <c r="C327" s="22" t="str">
        <f ca="1">IF(B327="","",IF(MONTH(B327)=1,C326*(1+PREMISSAS!$C$58),C326))</f>
        <v/>
      </c>
      <c r="D327" s="22">
        <f ca="1">IF(RESULTADOS!$C$17="Normal",IFERROR(MAX(C327-PREMISSAS!$C$14,0),0),IF(PREMISSAS!$H$117=0,0,MAX(10*PREMISSAS!$C$39,RESULTADOS!$F$17)))</f>
        <v>0</v>
      </c>
      <c r="E327" s="4">
        <f ca="1">D327*IF(RESULTADOS!$C$17="Normal",RESULTADOS!$C$16,0)</f>
        <v>0</v>
      </c>
      <c r="F327" s="4">
        <f ca="1">IF(D327&lt;&gt;0,PREMISSAS!$N$83,0)</f>
        <v>0</v>
      </c>
      <c r="G327" s="4">
        <f ca="1">IFERROR(IF(RESULTADOS!$C$17="Normal",0,D327)*IF(RESULTADOS!$C$17="Normal",RESULTADOS!$C$18,RESULTADOS!$C$16),0)</f>
        <v>0</v>
      </c>
      <c r="H327" s="4">
        <f ca="1">IF(RESULTADOS!$C$17="Normal",E327,0)</f>
        <v>0</v>
      </c>
      <c r="I327" s="4">
        <f ca="1">(E327+H327+G327)*IFERROR(VLOOKUP(INT(COUNT($B$5:B327)/12),PREMISSAS!$B$62:$C$69,2,FALSE),PREMISSAS!$C$69)</f>
        <v>0</v>
      </c>
      <c r="J327" s="4">
        <f ca="1">D327*IF(RESULTADOS!$C$17="Normal",PREMISSAS!$C$71,0)</f>
        <v>0</v>
      </c>
      <c r="K327" s="87">
        <f ca="1">IFERROR(K326*(1+PREMISSAS!$C$19)+(E327+H327-IF(RESULTADOS!$C$17="Normal",I327,0)-J327)*IF(MONTH(B327)=12,2,1),0)</f>
        <v>0</v>
      </c>
      <c r="L327" s="87">
        <f ca="1">IFERROR((L326+G327-IF(RESULTADOS!$C$17="Normal",0,I327))*(1+PREMISSAS!$C$19)+F327,0)</f>
        <v>0</v>
      </c>
      <c r="N327" s="58">
        <f t="shared" ca="1" si="41"/>
        <v>0</v>
      </c>
      <c r="P327" s="131" t="str">
        <f t="shared" ca="1" si="42"/>
        <v/>
      </c>
      <c r="Q327" s="111" t="str">
        <f ca="1">IF(C327="","",Q326+(E327+H327-IF(RESULTADOS!$C$17="Normal",I327,0)-J327)/2+(F327+G327-IF(RESULTADOS!$C$17="Normal",0,I327)))</f>
        <v/>
      </c>
      <c r="R327" s="111" t="str">
        <f ca="1">IF(C327="","",R326+(E327+H327-IF(RESULTADOS!$C$17="Normal",I327,0)-J327)/2)</f>
        <v/>
      </c>
      <c r="S327" s="111">
        <f t="shared" ref="S327:S390" ca="1" si="44">SUM(K327:L327)-SUM(Q327:R327)</f>
        <v>0</v>
      </c>
      <c r="U327" s="131" t="str">
        <f t="shared" ref="U327:U390" ca="1" si="45">IF(Y327=0,"",EOMONTH(U326,1))</f>
        <v/>
      </c>
      <c r="V327" s="131" t="str">
        <f t="shared" ca="1" si="43"/>
        <v/>
      </c>
      <c r="W327" s="111">
        <f ca="1">IF(OR((W326-13/12*Z326)*(1+PREMISSAS!$C$17)&lt;0,W326=""),0,(W326-13/12*Z326)*(1+PREMISSAS!$C$17))</f>
        <v>0</v>
      </c>
      <c r="X327" s="111">
        <f ca="1">IF(OR((X326-13/12*AA326)*(1+PREMISSAS!$C$17)&lt;0,X326=""),0,(X326-13/12*AA326)*(1+PREMISSAS!$C$17))</f>
        <v>0</v>
      </c>
      <c r="Y327" s="111">
        <f t="shared" ca="1" si="40"/>
        <v>0</v>
      </c>
      <c r="Z327" s="134">
        <f t="shared" ref="Z327:Z390" ca="1" si="46">IF(W327&lt;&gt;0,Z326,0)</f>
        <v>0</v>
      </c>
      <c r="AA327" s="134">
        <f t="shared" ref="AA327:AA390" ca="1" si="47">IF(X327&lt;&gt;0,AA326,0)</f>
        <v>0</v>
      </c>
    </row>
    <row r="328" spans="2:27" x14ac:dyDescent="0.3">
      <c r="B328" s="21" t="str">
        <f ca="1">IF(B327="","",IF(EOMONTH(B327,1)&gt;EOMONTH(ELEGIBILIDADE!$E$5,0),"",EOMONTH(B327,1)))</f>
        <v/>
      </c>
      <c r="C328" s="22" t="str">
        <f ca="1">IF(B328="","",IF(MONTH(B328)=1,C327*(1+PREMISSAS!$C$58),C327))</f>
        <v/>
      </c>
      <c r="D328" s="22">
        <f ca="1">IF(RESULTADOS!$C$17="Normal",IFERROR(MAX(C328-PREMISSAS!$C$14,0),0),IF(PREMISSAS!$H$117=0,0,MAX(10*PREMISSAS!$C$39,RESULTADOS!$F$17)))</f>
        <v>0</v>
      </c>
      <c r="E328" s="4">
        <f ca="1">D328*IF(RESULTADOS!$C$17="Normal",RESULTADOS!$C$16,0)</f>
        <v>0</v>
      </c>
      <c r="F328" s="4">
        <f ca="1">IF(D328&lt;&gt;0,PREMISSAS!$N$83,0)</f>
        <v>0</v>
      </c>
      <c r="G328" s="4">
        <f ca="1">IFERROR(IF(RESULTADOS!$C$17="Normal",0,D328)*IF(RESULTADOS!$C$17="Normal",RESULTADOS!$C$18,RESULTADOS!$C$16),0)</f>
        <v>0</v>
      </c>
      <c r="H328" s="4">
        <f ca="1">IF(RESULTADOS!$C$17="Normal",E328,0)</f>
        <v>0</v>
      </c>
      <c r="I328" s="4">
        <f ca="1">(E328+H328+G328)*IFERROR(VLOOKUP(INT(COUNT($B$5:B328)/12),PREMISSAS!$B$62:$C$69,2,FALSE),PREMISSAS!$C$69)</f>
        <v>0</v>
      </c>
      <c r="J328" s="4">
        <f ca="1">D328*IF(RESULTADOS!$C$17="Normal",PREMISSAS!$C$71,0)</f>
        <v>0</v>
      </c>
      <c r="K328" s="87">
        <f ca="1">IFERROR(K327*(1+PREMISSAS!$C$19)+(E328+H328-IF(RESULTADOS!$C$17="Normal",I328,0)-J328)*IF(MONTH(B328)=12,2,1),0)</f>
        <v>0</v>
      </c>
      <c r="L328" s="87">
        <f ca="1">IFERROR((L327+G328-IF(RESULTADOS!$C$17="Normal",0,I328))*(1+PREMISSAS!$C$19)+F328,0)</f>
        <v>0</v>
      </c>
      <c r="N328" s="58">
        <f t="shared" ca="1" si="41"/>
        <v>0</v>
      </c>
      <c r="P328" s="131" t="str">
        <f t="shared" ca="1" si="42"/>
        <v/>
      </c>
      <c r="Q328" s="111" t="str">
        <f ca="1">IF(C328="","",Q327+(E328+H328-IF(RESULTADOS!$C$17="Normal",I328,0)-J328)/2+(F328+G328-IF(RESULTADOS!$C$17="Normal",0,I328)))</f>
        <v/>
      </c>
      <c r="R328" s="111" t="str">
        <f ca="1">IF(C328="","",R327+(E328+H328-IF(RESULTADOS!$C$17="Normal",I328,0)-J328)/2)</f>
        <v/>
      </c>
      <c r="S328" s="111">
        <f t="shared" ca="1" si="44"/>
        <v>0</v>
      </c>
      <c r="U328" s="131" t="str">
        <f t="shared" ca="1" si="45"/>
        <v/>
      </c>
      <c r="V328" s="131" t="str">
        <f t="shared" ca="1" si="43"/>
        <v/>
      </c>
      <c r="W328" s="111">
        <f ca="1">IF(OR((W327-13/12*Z327)*(1+PREMISSAS!$C$17)&lt;0,W327=""),0,(W327-13/12*Z327)*(1+PREMISSAS!$C$17))</f>
        <v>0</v>
      </c>
      <c r="X328" s="111">
        <f ca="1">IF(OR((X327-13/12*AA327)*(1+PREMISSAS!$C$17)&lt;0,X327=""),0,(X327-13/12*AA327)*(1+PREMISSAS!$C$17))</f>
        <v>0</v>
      </c>
      <c r="Y328" s="111">
        <f t="shared" ca="1" si="40"/>
        <v>0</v>
      </c>
      <c r="Z328" s="134">
        <f t="shared" ca="1" si="46"/>
        <v>0</v>
      </c>
      <c r="AA328" s="134">
        <f t="shared" ca="1" si="47"/>
        <v>0</v>
      </c>
    </row>
    <row r="329" spans="2:27" x14ac:dyDescent="0.3">
      <c r="B329" s="21" t="str">
        <f ca="1">IF(B328="","",IF(EOMONTH(B328,1)&gt;EOMONTH(ELEGIBILIDADE!$E$5,0),"",EOMONTH(B328,1)))</f>
        <v/>
      </c>
      <c r="C329" s="22" t="str">
        <f ca="1">IF(B329="","",IF(MONTH(B329)=1,C328*(1+PREMISSAS!$C$58),C328))</f>
        <v/>
      </c>
      <c r="D329" s="22">
        <f ca="1">IF(RESULTADOS!$C$17="Normal",IFERROR(MAX(C329-PREMISSAS!$C$14,0),0),IF(PREMISSAS!$H$117=0,0,MAX(10*PREMISSAS!$C$39,RESULTADOS!$F$17)))</f>
        <v>0</v>
      </c>
      <c r="E329" s="4">
        <f ca="1">D329*IF(RESULTADOS!$C$17="Normal",RESULTADOS!$C$16,0)</f>
        <v>0</v>
      </c>
      <c r="F329" s="4">
        <f ca="1">IF(D329&lt;&gt;0,PREMISSAS!$N$83,0)</f>
        <v>0</v>
      </c>
      <c r="G329" s="4">
        <f ca="1">IFERROR(IF(RESULTADOS!$C$17="Normal",0,D329)*IF(RESULTADOS!$C$17="Normal",RESULTADOS!$C$18,RESULTADOS!$C$16),0)</f>
        <v>0</v>
      </c>
      <c r="H329" s="4">
        <f ca="1">IF(RESULTADOS!$C$17="Normal",E329,0)</f>
        <v>0</v>
      </c>
      <c r="I329" s="4">
        <f ca="1">(E329+H329+G329)*IFERROR(VLOOKUP(INT(COUNT($B$5:B329)/12),PREMISSAS!$B$62:$C$69,2,FALSE),PREMISSAS!$C$69)</f>
        <v>0</v>
      </c>
      <c r="J329" s="4">
        <f ca="1">D329*IF(RESULTADOS!$C$17="Normal",PREMISSAS!$C$71,0)</f>
        <v>0</v>
      </c>
      <c r="K329" s="87">
        <f ca="1">IFERROR(K328*(1+PREMISSAS!$C$19)+(E329+H329-IF(RESULTADOS!$C$17="Normal",I329,0)-J329)*IF(MONTH(B329)=12,2,1),0)</f>
        <v>0</v>
      </c>
      <c r="L329" s="87">
        <f ca="1">IFERROR((L328+G329-IF(RESULTADOS!$C$17="Normal",0,I329))*(1+PREMISSAS!$C$19)+F329,0)</f>
        <v>0</v>
      </c>
      <c r="N329" s="58">
        <f t="shared" ca="1" si="41"/>
        <v>0</v>
      </c>
      <c r="P329" s="131" t="str">
        <f t="shared" ca="1" si="42"/>
        <v/>
      </c>
      <c r="Q329" s="111" t="str">
        <f ca="1">IF(C329="","",Q328+(E329+H329-IF(RESULTADOS!$C$17="Normal",I329,0)-J329)/2+(F329+G329-IF(RESULTADOS!$C$17="Normal",0,I329)))</f>
        <v/>
      </c>
      <c r="R329" s="111" t="str">
        <f ca="1">IF(C329="","",R328+(E329+H329-IF(RESULTADOS!$C$17="Normal",I329,0)-J329)/2)</f>
        <v/>
      </c>
      <c r="S329" s="111">
        <f t="shared" ca="1" si="44"/>
        <v>0</v>
      </c>
      <c r="U329" s="131" t="str">
        <f t="shared" ca="1" si="45"/>
        <v/>
      </c>
      <c r="V329" s="131" t="str">
        <f t="shared" ca="1" si="43"/>
        <v/>
      </c>
      <c r="W329" s="111">
        <f ca="1">IF(OR((W328-13/12*Z328)*(1+PREMISSAS!$C$17)&lt;0,W328=""),0,(W328-13/12*Z328)*(1+PREMISSAS!$C$17))</f>
        <v>0</v>
      </c>
      <c r="X329" s="111">
        <f ca="1">IF(OR((X328-13/12*AA328)*(1+PREMISSAS!$C$17)&lt;0,X328=""),0,(X328-13/12*AA328)*(1+PREMISSAS!$C$17))</f>
        <v>0</v>
      </c>
      <c r="Y329" s="111">
        <f t="shared" ca="1" si="40"/>
        <v>0</v>
      </c>
      <c r="Z329" s="134">
        <f t="shared" ca="1" si="46"/>
        <v>0</v>
      </c>
      <c r="AA329" s="134">
        <f t="shared" ca="1" si="47"/>
        <v>0</v>
      </c>
    </row>
    <row r="330" spans="2:27" x14ac:dyDescent="0.3">
      <c r="B330" s="21" t="str">
        <f ca="1">IF(B329="","",IF(EOMONTH(B329,1)&gt;EOMONTH(ELEGIBILIDADE!$E$5,0),"",EOMONTH(B329,1)))</f>
        <v/>
      </c>
      <c r="C330" s="22" t="str">
        <f ca="1">IF(B330="","",IF(MONTH(B330)=1,C329*(1+PREMISSAS!$C$58),C329))</f>
        <v/>
      </c>
      <c r="D330" s="22">
        <f ca="1">IF(RESULTADOS!$C$17="Normal",IFERROR(MAX(C330-PREMISSAS!$C$14,0),0),IF(PREMISSAS!$H$117=0,0,MAX(10*PREMISSAS!$C$39,RESULTADOS!$F$17)))</f>
        <v>0</v>
      </c>
      <c r="E330" s="4">
        <f ca="1">D330*IF(RESULTADOS!$C$17="Normal",RESULTADOS!$C$16,0)</f>
        <v>0</v>
      </c>
      <c r="F330" s="4">
        <f ca="1">IF(D330&lt;&gt;0,PREMISSAS!$N$83,0)</f>
        <v>0</v>
      </c>
      <c r="G330" s="4">
        <f ca="1">IFERROR(IF(RESULTADOS!$C$17="Normal",0,D330)*IF(RESULTADOS!$C$17="Normal",RESULTADOS!$C$18,RESULTADOS!$C$16),0)</f>
        <v>0</v>
      </c>
      <c r="H330" s="4">
        <f ca="1">IF(RESULTADOS!$C$17="Normal",E330,0)</f>
        <v>0</v>
      </c>
      <c r="I330" s="4">
        <f ca="1">(E330+H330+G330)*IFERROR(VLOOKUP(INT(COUNT($B$5:B330)/12),PREMISSAS!$B$62:$C$69,2,FALSE),PREMISSAS!$C$69)</f>
        <v>0</v>
      </c>
      <c r="J330" s="4">
        <f ca="1">D330*IF(RESULTADOS!$C$17="Normal",PREMISSAS!$C$71,0)</f>
        <v>0</v>
      </c>
      <c r="K330" s="87">
        <f ca="1">IFERROR(K329*(1+PREMISSAS!$C$19)+(E330+H330-IF(RESULTADOS!$C$17="Normal",I330,0)-J330)*IF(MONTH(B330)=12,2,1),0)</f>
        <v>0</v>
      </c>
      <c r="L330" s="87">
        <f ca="1">IFERROR((L329+G330-IF(RESULTADOS!$C$17="Normal",0,I330))*(1+PREMISSAS!$C$19)+F330,0)</f>
        <v>0</v>
      </c>
      <c r="N330" s="58">
        <f t="shared" ca="1" si="41"/>
        <v>0</v>
      </c>
      <c r="P330" s="131" t="str">
        <f t="shared" ca="1" si="42"/>
        <v/>
      </c>
      <c r="Q330" s="111" t="str">
        <f ca="1">IF(C330="","",Q329+(E330+H330-IF(RESULTADOS!$C$17="Normal",I330,0)-J330)/2+(F330+G330-IF(RESULTADOS!$C$17="Normal",0,I330)))</f>
        <v/>
      </c>
      <c r="R330" s="111" t="str">
        <f ca="1">IF(C330="","",R329+(E330+H330-IF(RESULTADOS!$C$17="Normal",I330,0)-J330)/2)</f>
        <v/>
      </c>
      <c r="S330" s="111">
        <f t="shared" ca="1" si="44"/>
        <v>0</v>
      </c>
      <c r="U330" s="131" t="str">
        <f t="shared" ca="1" si="45"/>
        <v/>
      </c>
      <c r="V330" s="131" t="str">
        <f t="shared" ca="1" si="43"/>
        <v/>
      </c>
      <c r="W330" s="111">
        <f ca="1">IF(OR((W329-13/12*Z329)*(1+PREMISSAS!$C$17)&lt;0,W329=""),0,(W329-13/12*Z329)*(1+PREMISSAS!$C$17))</f>
        <v>0</v>
      </c>
      <c r="X330" s="111">
        <f ca="1">IF(OR((X329-13/12*AA329)*(1+PREMISSAS!$C$17)&lt;0,X329=""),0,(X329-13/12*AA329)*(1+PREMISSAS!$C$17))</f>
        <v>0</v>
      </c>
      <c r="Y330" s="111">
        <f t="shared" ca="1" si="40"/>
        <v>0</v>
      </c>
      <c r="Z330" s="134">
        <f t="shared" ca="1" si="46"/>
        <v>0</v>
      </c>
      <c r="AA330" s="134">
        <f t="shared" ca="1" si="47"/>
        <v>0</v>
      </c>
    </row>
    <row r="331" spans="2:27" x14ac:dyDescent="0.3">
      <c r="B331" s="21" t="str">
        <f ca="1">IF(B330="","",IF(EOMONTH(B330,1)&gt;EOMONTH(ELEGIBILIDADE!$E$5,0),"",EOMONTH(B330,1)))</f>
        <v/>
      </c>
      <c r="C331" s="22" t="str">
        <f ca="1">IF(B331="","",IF(MONTH(B331)=1,C330*(1+PREMISSAS!$C$58),C330))</f>
        <v/>
      </c>
      <c r="D331" s="22">
        <f ca="1">IF(RESULTADOS!$C$17="Normal",IFERROR(MAX(C331-PREMISSAS!$C$14,0),0),IF(PREMISSAS!$H$117=0,0,MAX(10*PREMISSAS!$C$39,RESULTADOS!$F$17)))</f>
        <v>0</v>
      </c>
      <c r="E331" s="4">
        <f ca="1">D331*IF(RESULTADOS!$C$17="Normal",RESULTADOS!$C$16,0)</f>
        <v>0</v>
      </c>
      <c r="F331" s="4">
        <f ca="1">IF(D331&lt;&gt;0,PREMISSAS!$N$83,0)</f>
        <v>0</v>
      </c>
      <c r="G331" s="4">
        <f ca="1">IFERROR(IF(RESULTADOS!$C$17="Normal",0,D331)*IF(RESULTADOS!$C$17="Normal",RESULTADOS!$C$18,RESULTADOS!$C$16),0)</f>
        <v>0</v>
      </c>
      <c r="H331" s="4">
        <f ca="1">IF(RESULTADOS!$C$17="Normal",E331,0)</f>
        <v>0</v>
      </c>
      <c r="I331" s="4">
        <f ca="1">(E331+H331+G331)*IFERROR(VLOOKUP(INT(COUNT($B$5:B331)/12),PREMISSAS!$B$62:$C$69,2,FALSE),PREMISSAS!$C$69)</f>
        <v>0</v>
      </c>
      <c r="J331" s="4">
        <f ca="1">D331*IF(RESULTADOS!$C$17="Normal",PREMISSAS!$C$71,0)</f>
        <v>0</v>
      </c>
      <c r="K331" s="87">
        <f ca="1">IFERROR(K330*(1+PREMISSAS!$C$19)+(E331+H331-IF(RESULTADOS!$C$17="Normal",I331,0)-J331)*IF(MONTH(B331)=12,2,1),0)</f>
        <v>0</v>
      </c>
      <c r="L331" s="87">
        <f ca="1">IFERROR((L330+G331-IF(RESULTADOS!$C$17="Normal",0,I331))*(1+PREMISSAS!$C$19)+F331,0)</f>
        <v>0</v>
      </c>
      <c r="N331" s="58">
        <f t="shared" ca="1" si="41"/>
        <v>0</v>
      </c>
      <c r="P331" s="131" t="str">
        <f t="shared" ca="1" si="42"/>
        <v/>
      </c>
      <c r="Q331" s="111" t="str">
        <f ca="1">IF(C331="","",Q330+(E331+H331-IF(RESULTADOS!$C$17="Normal",I331,0)-J331)/2+(F331+G331-IF(RESULTADOS!$C$17="Normal",0,I331)))</f>
        <v/>
      </c>
      <c r="R331" s="111" t="str">
        <f ca="1">IF(C331="","",R330+(E331+H331-IF(RESULTADOS!$C$17="Normal",I331,0)-J331)/2)</f>
        <v/>
      </c>
      <c r="S331" s="111">
        <f t="shared" ca="1" si="44"/>
        <v>0</v>
      </c>
      <c r="U331" s="131" t="str">
        <f t="shared" ca="1" si="45"/>
        <v/>
      </c>
      <c r="V331" s="131" t="str">
        <f t="shared" ca="1" si="43"/>
        <v/>
      </c>
      <c r="W331" s="111">
        <f ca="1">IF(OR((W330-13/12*Z330)*(1+PREMISSAS!$C$17)&lt;0,W330=""),0,(W330-13/12*Z330)*(1+PREMISSAS!$C$17))</f>
        <v>0</v>
      </c>
      <c r="X331" s="111">
        <f ca="1">IF(OR((X330-13/12*AA330)*(1+PREMISSAS!$C$17)&lt;0,X330=""),0,(X330-13/12*AA330)*(1+PREMISSAS!$C$17))</f>
        <v>0</v>
      </c>
      <c r="Y331" s="111">
        <f t="shared" ca="1" si="40"/>
        <v>0</v>
      </c>
      <c r="Z331" s="134">
        <f t="shared" ca="1" si="46"/>
        <v>0</v>
      </c>
      <c r="AA331" s="134">
        <f t="shared" ca="1" si="47"/>
        <v>0</v>
      </c>
    </row>
    <row r="332" spans="2:27" x14ac:dyDescent="0.3">
      <c r="B332" s="21" t="str">
        <f ca="1">IF(B331="","",IF(EOMONTH(B331,1)&gt;EOMONTH(ELEGIBILIDADE!$E$5,0),"",EOMONTH(B331,1)))</f>
        <v/>
      </c>
      <c r="C332" s="22" t="str">
        <f ca="1">IF(B332="","",IF(MONTH(B332)=1,C331*(1+PREMISSAS!$C$58),C331))</f>
        <v/>
      </c>
      <c r="D332" s="22">
        <f ca="1">IF(RESULTADOS!$C$17="Normal",IFERROR(MAX(C332-PREMISSAS!$C$14,0),0),IF(PREMISSAS!$H$117=0,0,MAX(10*PREMISSAS!$C$39,RESULTADOS!$F$17)))</f>
        <v>0</v>
      </c>
      <c r="E332" s="4">
        <f ca="1">D332*IF(RESULTADOS!$C$17="Normal",RESULTADOS!$C$16,0)</f>
        <v>0</v>
      </c>
      <c r="F332" s="4">
        <f ca="1">IF(D332&lt;&gt;0,PREMISSAS!$N$83,0)</f>
        <v>0</v>
      </c>
      <c r="G332" s="4">
        <f ca="1">IFERROR(IF(RESULTADOS!$C$17="Normal",0,D332)*IF(RESULTADOS!$C$17="Normal",RESULTADOS!$C$18,RESULTADOS!$C$16),0)</f>
        <v>0</v>
      </c>
      <c r="H332" s="4">
        <f ca="1">IF(RESULTADOS!$C$17="Normal",E332,0)</f>
        <v>0</v>
      </c>
      <c r="I332" s="4">
        <f ca="1">(E332+H332+G332)*IFERROR(VLOOKUP(INT(COUNT($B$5:B332)/12),PREMISSAS!$B$62:$C$69,2,FALSE),PREMISSAS!$C$69)</f>
        <v>0</v>
      </c>
      <c r="J332" s="4">
        <f ca="1">D332*IF(RESULTADOS!$C$17="Normal",PREMISSAS!$C$71,0)</f>
        <v>0</v>
      </c>
      <c r="K332" s="87">
        <f ca="1">IFERROR(K331*(1+PREMISSAS!$C$19)+(E332+H332-IF(RESULTADOS!$C$17="Normal",I332,0)-J332)*IF(MONTH(B332)=12,2,1),0)</f>
        <v>0</v>
      </c>
      <c r="L332" s="87">
        <f ca="1">IFERROR((L331+G332-IF(RESULTADOS!$C$17="Normal",0,I332))*(1+PREMISSAS!$C$19)+F332,0)</f>
        <v>0</v>
      </c>
      <c r="N332" s="58">
        <f t="shared" ca="1" si="41"/>
        <v>0</v>
      </c>
      <c r="P332" s="131" t="str">
        <f t="shared" ca="1" si="42"/>
        <v/>
      </c>
      <c r="Q332" s="111" t="str">
        <f ca="1">IF(C332="","",Q331+(E332+H332-IF(RESULTADOS!$C$17="Normal",I332,0)-J332)/2+(F332+G332-IF(RESULTADOS!$C$17="Normal",0,I332)))</f>
        <v/>
      </c>
      <c r="R332" s="111" t="str">
        <f ca="1">IF(C332="","",R331+(E332+H332-IF(RESULTADOS!$C$17="Normal",I332,0)-J332)/2)</f>
        <v/>
      </c>
      <c r="S332" s="111">
        <f t="shared" ca="1" si="44"/>
        <v>0</v>
      </c>
      <c r="U332" s="131" t="str">
        <f t="shared" ca="1" si="45"/>
        <v/>
      </c>
      <c r="V332" s="131" t="str">
        <f t="shared" ca="1" si="43"/>
        <v/>
      </c>
      <c r="W332" s="111">
        <f ca="1">IF(OR((W331-13/12*Z331)*(1+PREMISSAS!$C$17)&lt;0,W331=""),0,(W331-13/12*Z331)*(1+PREMISSAS!$C$17))</f>
        <v>0</v>
      </c>
      <c r="X332" s="111">
        <f ca="1">IF(OR((X331-13/12*AA331)*(1+PREMISSAS!$C$17)&lt;0,X331=""),0,(X331-13/12*AA331)*(1+PREMISSAS!$C$17))</f>
        <v>0</v>
      </c>
      <c r="Y332" s="111">
        <f t="shared" ca="1" si="40"/>
        <v>0</v>
      </c>
      <c r="Z332" s="134">
        <f t="shared" ca="1" si="46"/>
        <v>0</v>
      </c>
      <c r="AA332" s="134">
        <f t="shared" ca="1" si="47"/>
        <v>0</v>
      </c>
    </row>
    <row r="333" spans="2:27" x14ac:dyDescent="0.3">
      <c r="B333" s="21" t="str">
        <f ca="1">IF(B332="","",IF(EOMONTH(B332,1)&gt;EOMONTH(ELEGIBILIDADE!$E$5,0),"",EOMONTH(B332,1)))</f>
        <v/>
      </c>
      <c r="C333" s="22" t="str">
        <f ca="1">IF(B333="","",IF(MONTH(B333)=1,C332*(1+PREMISSAS!$C$58),C332))</f>
        <v/>
      </c>
      <c r="D333" s="22">
        <f ca="1">IF(RESULTADOS!$C$17="Normal",IFERROR(MAX(C333-PREMISSAS!$C$14,0),0),IF(PREMISSAS!$H$117=0,0,MAX(10*PREMISSAS!$C$39,RESULTADOS!$F$17)))</f>
        <v>0</v>
      </c>
      <c r="E333" s="4">
        <f ca="1">D333*IF(RESULTADOS!$C$17="Normal",RESULTADOS!$C$16,0)</f>
        <v>0</v>
      </c>
      <c r="F333" s="4">
        <f ca="1">IF(D333&lt;&gt;0,PREMISSAS!$N$83,0)</f>
        <v>0</v>
      </c>
      <c r="G333" s="4">
        <f ca="1">IFERROR(IF(RESULTADOS!$C$17="Normal",0,D333)*IF(RESULTADOS!$C$17="Normal",RESULTADOS!$C$18,RESULTADOS!$C$16),0)</f>
        <v>0</v>
      </c>
      <c r="H333" s="4">
        <f ca="1">IF(RESULTADOS!$C$17="Normal",E333,0)</f>
        <v>0</v>
      </c>
      <c r="I333" s="4">
        <f ca="1">(E333+H333+G333)*IFERROR(VLOOKUP(INT(COUNT($B$5:B333)/12),PREMISSAS!$B$62:$C$69,2,FALSE),PREMISSAS!$C$69)</f>
        <v>0</v>
      </c>
      <c r="J333" s="4">
        <f ca="1">D333*IF(RESULTADOS!$C$17="Normal",PREMISSAS!$C$71,0)</f>
        <v>0</v>
      </c>
      <c r="K333" s="87">
        <f ca="1">IFERROR(K332*(1+PREMISSAS!$C$19)+(E333+H333-IF(RESULTADOS!$C$17="Normal",I333,0)-J333)*IF(MONTH(B333)=12,2,1),0)</f>
        <v>0</v>
      </c>
      <c r="L333" s="87">
        <f ca="1">IFERROR((L332+G333-IF(RESULTADOS!$C$17="Normal",0,I333))*(1+PREMISSAS!$C$19)+F333,0)</f>
        <v>0</v>
      </c>
      <c r="N333" s="58">
        <f t="shared" ca="1" si="41"/>
        <v>0</v>
      </c>
      <c r="P333" s="131" t="str">
        <f t="shared" ca="1" si="42"/>
        <v/>
      </c>
      <c r="Q333" s="111" t="str">
        <f ca="1">IF(C333="","",Q332+(E333+H333-IF(RESULTADOS!$C$17="Normal",I333,0)-J333)/2+(F333+G333-IF(RESULTADOS!$C$17="Normal",0,I333)))</f>
        <v/>
      </c>
      <c r="R333" s="111" t="str">
        <f ca="1">IF(C333="","",R332+(E333+H333-IF(RESULTADOS!$C$17="Normal",I333,0)-J333)/2)</f>
        <v/>
      </c>
      <c r="S333" s="111">
        <f t="shared" ca="1" si="44"/>
        <v>0</v>
      </c>
      <c r="U333" s="131" t="str">
        <f t="shared" ca="1" si="45"/>
        <v/>
      </c>
      <c r="V333" s="131" t="str">
        <f t="shared" ca="1" si="43"/>
        <v/>
      </c>
      <c r="W333" s="111">
        <f ca="1">IF(OR((W332-13/12*Z332)*(1+PREMISSAS!$C$17)&lt;0,W332=""),0,(W332-13/12*Z332)*(1+PREMISSAS!$C$17))</f>
        <v>0</v>
      </c>
      <c r="X333" s="111">
        <f ca="1">IF(OR((X332-13/12*AA332)*(1+PREMISSAS!$C$17)&lt;0,X332=""),0,(X332-13/12*AA332)*(1+PREMISSAS!$C$17))</f>
        <v>0</v>
      </c>
      <c r="Y333" s="111">
        <f t="shared" ca="1" si="40"/>
        <v>0</v>
      </c>
      <c r="Z333" s="134">
        <f t="shared" ca="1" si="46"/>
        <v>0</v>
      </c>
      <c r="AA333" s="134">
        <f t="shared" ca="1" si="47"/>
        <v>0</v>
      </c>
    </row>
    <row r="334" spans="2:27" x14ac:dyDescent="0.3">
      <c r="B334" s="21" t="str">
        <f ca="1">IF(B333="","",IF(EOMONTH(B333,1)&gt;EOMONTH(ELEGIBILIDADE!$E$5,0),"",EOMONTH(B333,1)))</f>
        <v/>
      </c>
      <c r="C334" s="22" t="str">
        <f ca="1">IF(B334="","",IF(MONTH(B334)=1,C333*(1+PREMISSAS!$C$58),C333))</f>
        <v/>
      </c>
      <c r="D334" s="22">
        <f ca="1">IF(RESULTADOS!$C$17="Normal",IFERROR(MAX(C334-PREMISSAS!$C$14,0),0),IF(PREMISSAS!$H$117=0,0,MAX(10*PREMISSAS!$C$39,RESULTADOS!$F$17)))</f>
        <v>0</v>
      </c>
      <c r="E334" s="4">
        <f ca="1">D334*IF(RESULTADOS!$C$17="Normal",RESULTADOS!$C$16,0)</f>
        <v>0</v>
      </c>
      <c r="F334" s="4">
        <f ca="1">IF(D334&lt;&gt;0,PREMISSAS!$N$83,0)</f>
        <v>0</v>
      </c>
      <c r="G334" s="4">
        <f ca="1">IFERROR(IF(RESULTADOS!$C$17="Normal",0,D334)*IF(RESULTADOS!$C$17="Normal",RESULTADOS!$C$18,RESULTADOS!$C$16),0)</f>
        <v>0</v>
      </c>
      <c r="H334" s="4">
        <f ca="1">IF(RESULTADOS!$C$17="Normal",E334,0)</f>
        <v>0</v>
      </c>
      <c r="I334" s="4">
        <f ca="1">(E334+H334+G334)*IFERROR(VLOOKUP(INT(COUNT($B$5:B334)/12),PREMISSAS!$B$62:$C$69,2,FALSE),PREMISSAS!$C$69)</f>
        <v>0</v>
      </c>
      <c r="J334" s="4">
        <f ca="1">D334*IF(RESULTADOS!$C$17="Normal",PREMISSAS!$C$71,0)</f>
        <v>0</v>
      </c>
      <c r="K334" s="87">
        <f ca="1">IFERROR(K333*(1+PREMISSAS!$C$19)+(E334+H334-IF(RESULTADOS!$C$17="Normal",I334,0)-J334)*IF(MONTH(B334)=12,2,1),0)</f>
        <v>0</v>
      </c>
      <c r="L334" s="87">
        <f ca="1">IFERROR((L333+G334-IF(RESULTADOS!$C$17="Normal",0,I334))*(1+PREMISSAS!$C$19)+F334,0)</f>
        <v>0</v>
      </c>
      <c r="N334" s="58">
        <f t="shared" ca="1" si="41"/>
        <v>0</v>
      </c>
      <c r="P334" s="131" t="str">
        <f t="shared" ca="1" si="42"/>
        <v/>
      </c>
      <c r="Q334" s="111" t="str">
        <f ca="1">IF(C334="","",Q333+(E334+H334-IF(RESULTADOS!$C$17="Normal",I334,0)-J334)/2+(F334+G334-IF(RESULTADOS!$C$17="Normal",0,I334)))</f>
        <v/>
      </c>
      <c r="R334" s="111" t="str">
        <f ca="1">IF(C334="","",R333+(E334+H334-IF(RESULTADOS!$C$17="Normal",I334,0)-J334)/2)</f>
        <v/>
      </c>
      <c r="S334" s="111">
        <f t="shared" ca="1" si="44"/>
        <v>0</v>
      </c>
      <c r="U334" s="131" t="str">
        <f t="shared" ca="1" si="45"/>
        <v/>
      </c>
      <c r="V334" s="131" t="str">
        <f t="shared" ca="1" si="43"/>
        <v/>
      </c>
      <c r="W334" s="111">
        <f ca="1">IF(OR((W333-13/12*Z333)*(1+PREMISSAS!$C$17)&lt;0,W333=""),0,(W333-13/12*Z333)*(1+PREMISSAS!$C$17))</f>
        <v>0</v>
      </c>
      <c r="X334" s="111">
        <f ca="1">IF(OR((X333-13/12*AA333)*(1+PREMISSAS!$C$17)&lt;0,X333=""),0,(X333-13/12*AA333)*(1+PREMISSAS!$C$17))</f>
        <v>0</v>
      </c>
      <c r="Y334" s="111">
        <f t="shared" ca="1" si="40"/>
        <v>0</v>
      </c>
      <c r="Z334" s="134">
        <f t="shared" ca="1" si="46"/>
        <v>0</v>
      </c>
      <c r="AA334" s="134">
        <f t="shared" ca="1" si="47"/>
        <v>0</v>
      </c>
    </row>
    <row r="335" spans="2:27" x14ac:dyDescent="0.3">
      <c r="B335" s="21" t="str">
        <f ca="1">IF(B334="","",IF(EOMONTH(B334,1)&gt;EOMONTH(ELEGIBILIDADE!$E$5,0),"",EOMONTH(B334,1)))</f>
        <v/>
      </c>
      <c r="C335" s="22" t="str">
        <f ca="1">IF(B335="","",IF(MONTH(B335)=1,C334*(1+PREMISSAS!$C$58),C334))</f>
        <v/>
      </c>
      <c r="D335" s="22">
        <f ca="1">IF(RESULTADOS!$C$17="Normal",IFERROR(MAX(C335-PREMISSAS!$C$14,0),0),IF(PREMISSAS!$H$117=0,0,MAX(10*PREMISSAS!$C$39,RESULTADOS!$F$17)))</f>
        <v>0</v>
      </c>
      <c r="E335" s="4">
        <f ca="1">D335*IF(RESULTADOS!$C$17="Normal",RESULTADOS!$C$16,0)</f>
        <v>0</v>
      </c>
      <c r="F335" s="4">
        <f ca="1">IF(D335&lt;&gt;0,PREMISSAS!$N$83,0)</f>
        <v>0</v>
      </c>
      <c r="G335" s="4">
        <f ca="1">IFERROR(IF(RESULTADOS!$C$17="Normal",0,D335)*IF(RESULTADOS!$C$17="Normal",RESULTADOS!$C$18,RESULTADOS!$C$16),0)</f>
        <v>0</v>
      </c>
      <c r="H335" s="4">
        <f ca="1">IF(RESULTADOS!$C$17="Normal",E335,0)</f>
        <v>0</v>
      </c>
      <c r="I335" s="4">
        <f ca="1">(E335+H335+G335)*IFERROR(VLOOKUP(INT(COUNT($B$5:B335)/12),PREMISSAS!$B$62:$C$69,2,FALSE),PREMISSAS!$C$69)</f>
        <v>0</v>
      </c>
      <c r="J335" s="4">
        <f ca="1">D335*IF(RESULTADOS!$C$17="Normal",PREMISSAS!$C$71,0)</f>
        <v>0</v>
      </c>
      <c r="K335" s="87">
        <f ca="1">IFERROR(K334*(1+PREMISSAS!$C$19)+(E335+H335-IF(RESULTADOS!$C$17="Normal",I335,0)-J335)*IF(MONTH(B335)=12,2,1),0)</f>
        <v>0</v>
      </c>
      <c r="L335" s="87">
        <f ca="1">IFERROR((L334+G335-IF(RESULTADOS!$C$17="Normal",0,I335))*(1+PREMISSAS!$C$19)+F335,0)</f>
        <v>0</v>
      </c>
      <c r="N335" s="58">
        <f t="shared" ca="1" si="41"/>
        <v>0</v>
      </c>
      <c r="P335" s="131" t="str">
        <f t="shared" ca="1" si="42"/>
        <v/>
      </c>
      <c r="Q335" s="111" t="str">
        <f ca="1">IF(C335="","",Q334+(E335+H335-IF(RESULTADOS!$C$17="Normal",I335,0)-J335)/2+(F335+G335-IF(RESULTADOS!$C$17="Normal",0,I335)))</f>
        <v/>
      </c>
      <c r="R335" s="111" t="str">
        <f ca="1">IF(C335="","",R334+(E335+H335-IF(RESULTADOS!$C$17="Normal",I335,0)-J335)/2)</f>
        <v/>
      </c>
      <c r="S335" s="111">
        <f t="shared" ca="1" si="44"/>
        <v>0</v>
      </c>
      <c r="U335" s="131" t="str">
        <f t="shared" ca="1" si="45"/>
        <v/>
      </c>
      <c r="V335" s="131" t="str">
        <f t="shared" ca="1" si="43"/>
        <v/>
      </c>
      <c r="W335" s="111">
        <f ca="1">IF(OR((W334-13/12*Z334)*(1+PREMISSAS!$C$17)&lt;0,W334=""),0,(W334-13/12*Z334)*(1+PREMISSAS!$C$17))</f>
        <v>0</v>
      </c>
      <c r="X335" s="111">
        <f ca="1">IF(OR((X334-13/12*AA334)*(1+PREMISSAS!$C$17)&lt;0,X334=""),0,(X334-13/12*AA334)*(1+PREMISSAS!$C$17))</f>
        <v>0</v>
      </c>
      <c r="Y335" s="111">
        <f t="shared" ca="1" si="40"/>
        <v>0</v>
      </c>
      <c r="Z335" s="134">
        <f t="shared" ca="1" si="46"/>
        <v>0</v>
      </c>
      <c r="AA335" s="134">
        <f t="shared" ca="1" si="47"/>
        <v>0</v>
      </c>
    </row>
    <row r="336" spans="2:27" x14ac:dyDescent="0.3">
      <c r="B336" s="21" t="str">
        <f ca="1">IF(B335="","",IF(EOMONTH(B335,1)&gt;EOMONTH(ELEGIBILIDADE!$E$5,0),"",EOMONTH(B335,1)))</f>
        <v/>
      </c>
      <c r="C336" s="22" t="str">
        <f ca="1">IF(B336="","",IF(MONTH(B336)=1,C335*(1+PREMISSAS!$C$58),C335))</f>
        <v/>
      </c>
      <c r="D336" s="22">
        <f ca="1">IF(RESULTADOS!$C$17="Normal",IFERROR(MAX(C336-PREMISSAS!$C$14,0),0),IF(PREMISSAS!$H$117=0,0,MAX(10*PREMISSAS!$C$39,RESULTADOS!$F$17)))</f>
        <v>0</v>
      </c>
      <c r="E336" s="4">
        <f ca="1">D336*IF(RESULTADOS!$C$17="Normal",RESULTADOS!$C$16,0)</f>
        <v>0</v>
      </c>
      <c r="F336" s="4">
        <f ca="1">IF(D336&lt;&gt;0,PREMISSAS!$N$83,0)</f>
        <v>0</v>
      </c>
      <c r="G336" s="4">
        <f ca="1">IFERROR(IF(RESULTADOS!$C$17="Normal",0,D336)*IF(RESULTADOS!$C$17="Normal",RESULTADOS!$C$18,RESULTADOS!$C$16),0)</f>
        <v>0</v>
      </c>
      <c r="H336" s="4">
        <f ca="1">IF(RESULTADOS!$C$17="Normal",E336,0)</f>
        <v>0</v>
      </c>
      <c r="I336" s="4">
        <f ca="1">(E336+H336+G336)*IFERROR(VLOOKUP(INT(COUNT($B$5:B336)/12),PREMISSAS!$B$62:$C$69,2,FALSE),PREMISSAS!$C$69)</f>
        <v>0</v>
      </c>
      <c r="J336" s="4">
        <f ca="1">D336*IF(RESULTADOS!$C$17="Normal",PREMISSAS!$C$71,0)</f>
        <v>0</v>
      </c>
      <c r="K336" s="87">
        <f ca="1">IFERROR(K335*(1+PREMISSAS!$C$19)+(E336+H336-IF(RESULTADOS!$C$17="Normal",I336,0)-J336)*IF(MONTH(B336)=12,2,1),0)</f>
        <v>0</v>
      </c>
      <c r="L336" s="87">
        <f ca="1">IFERROR((L335+G336-IF(RESULTADOS!$C$17="Normal",0,I336))*(1+PREMISSAS!$C$19)+F336,0)</f>
        <v>0</v>
      </c>
      <c r="N336" s="58">
        <f t="shared" ca="1" si="41"/>
        <v>0</v>
      </c>
      <c r="P336" s="131" t="str">
        <f t="shared" ca="1" si="42"/>
        <v/>
      </c>
      <c r="Q336" s="111" t="str">
        <f ca="1">IF(C336="","",Q335+(E336+H336-IF(RESULTADOS!$C$17="Normal",I336,0)-J336)/2+(F336+G336-IF(RESULTADOS!$C$17="Normal",0,I336)))</f>
        <v/>
      </c>
      <c r="R336" s="111" t="str">
        <f ca="1">IF(C336="","",R335+(E336+H336-IF(RESULTADOS!$C$17="Normal",I336,0)-J336)/2)</f>
        <v/>
      </c>
      <c r="S336" s="111">
        <f t="shared" ca="1" si="44"/>
        <v>0</v>
      </c>
      <c r="U336" s="131" t="str">
        <f t="shared" ca="1" si="45"/>
        <v/>
      </c>
      <c r="V336" s="131" t="str">
        <f t="shared" ca="1" si="43"/>
        <v/>
      </c>
      <c r="W336" s="111">
        <f ca="1">IF(OR((W335-13/12*Z335)*(1+PREMISSAS!$C$17)&lt;0,W335=""),0,(W335-13/12*Z335)*(1+PREMISSAS!$C$17))</f>
        <v>0</v>
      </c>
      <c r="X336" s="111">
        <f ca="1">IF(OR((X335-13/12*AA335)*(1+PREMISSAS!$C$17)&lt;0,X335=""),0,(X335-13/12*AA335)*(1+PREMISSAS!$C$17))</f>
        <v>0</v>
      </c>
      <c r="Y336" s="111">
        <f t="shared" ca="1" si="40"/>
        <v>0</v>
      </c>
      <c r="Z336" s="134">
        <f t="shared" ca="1" si="46"/>
        <v>0</v>
      </c>
      <c r="AA336" s="134">
        <f t="shared" ca="1" si="47"/>
        <v>0</v>
      </c>
    </row>
    <row r="337" spans="2:27" x14ac:dyDescent="0.3">
      <c r="B337" s="21" t="str">
        <f ca="1">IF(B336="","",IF(EOMONTH(B336,1)&gt;EOMONTH(ELEGIBILIDADE!$E$5,0),"",EOMONTH(B336,1)))</f>
        <v/>
      </c>
      <c r="C337" s="22" t="str">
        <f ca="1">IF(B337="","",IF(MONTH(B337)=1,C336*(1+PREMISSAS!$C$58),C336))</f>
        <v/>
      </c>
      <c r="D337" s="22">
        <f ca="1">IF(RESULTADOS!$C$17="Normal",IFERROR(MAX(C337-PREMISSAS!$C$14,0),0),IF(PREMISSAS!$H$117=0,0,MAX(10*PREMISSAS!$C$39,RESULTADOS!$F$17)))</f>
        <v>0</v>
      </c>
      <c r="E337" s="4">
        <f ca="1">D337*IF(RESULTADOS!$C$17="Normal",RESULTADOS!$C$16,0)</f>
        <v>0</v>
      </c>
      <c r="F337" s="4">
        <f ca="1">IF(D337&lt;&gt;0,PREMISSAS!$N$83,0)</f>
        <v>0</v>
      </c>
      <c r="G337" s="4">
        <f ca="1">IFERROR(IF(RESULTADOS!$C$17="Normal",0,D337)*IF(RESULTADOS!$C$17="Normal",RESULTADOS!$C$18,RESULTADOS!$C$16),0)</f>
        <v>0</v>
      </c>
      <c r="H337" s="4">
        <f ca="1">IF(RESULTADOS!$C$17="Normal",E337,0)</f>
        <v>0</v>
      </c>
      <c r="I337" s="4">
        <f ca="1">(E337+H337+G337)*IFERROR(VLOOKUP(INT(COUNT($B$5:B337)/12),PREMISSAS!$B$62:$C$69,2,FALSE),PREMISSAS!$C$69)</f>
        <v>0</v>
      </c>
      <c r="J337" s="4">
        <f ca="1">D337*IF(RESULTADOS!$C$17="Normal",PREMISSAS!$C$71,0)</f>
        <v>0</v>
      </c>
      <c r="K337" s="87">
        <f ca="1">IFERROR(K336*(1+PREMISSAS!$C$19)+(E337+H337-IF(RESULTADOS!$C$17="Normal",I337,0)-J337)*IF(MONTH(B337)=12,2,1),0)</f>
        <v>0</v>
      </c>
      <c r="L337" s="87">
        <f ca="1">IFERROR((L336+G337-IF(RESULTADOS!$C$17="Normal",0,I337))*(1+PREMISSAS!$C$19)+F337,0)</f>
        <v>0</v>
      </c>
      <c r="N337" s="58">
        <f t="shared" ca="1" si="41"/>
        <v>0</v>
      </c>
      <c r="P337" s="131" t="str">
        <f t="shared" ca="1" si="42"/>
        <v/>
      </c>
      <c r="Q337" s="111" t="str">
        <f ca="1">IF(C337="","",Q336+(E337+H337-IF(RESULTADOS!$C$17="Normal",I337,0)-J337)/2+(F337+G337-IF(RESULTADOS!$C$17="Normal",0,I337)))</f>
        <v/>
      </c>
      <c r="R337" s="111" t="str">
        <f ca="1">IF(C337="","",R336+(E337+H337-IF(RESULTADOS!$C$17="Normal",I337,0)-J337)/2)</f>
        <v/>
      </c>
      <c r="S337" s="111">
        <f t="shared" ca="1" si="44"/>
        <v>0</v>
      </c>
      <c r="U337" s="131" t="str">
        <f t="shared" ca="1" si="45"/>
        <v/>
      </c>
      <c r="V337" s="131" t="str">
        <f t="shared" ca="1" si="43"/>
        <v/>
      </c>
      <c r="W337" s="111">
        <f ca="1">IF(OR((W336-13/12*Z336)*(1+PREMISSAS!$C$17)&lt;0,W336=""),0,(W336-13/12*Z336)*(1+PREMISSAS!$C$17))</f>
        <v>0</v>
      </c>
      <c r="X337" s="111">
        <f ca="1">IF(OR((X336-13/12*AA336)*(1+PREMISSAS!$C$17)&lt;0,X336=""),0,(X336-13/12*AA336)*(1+PREMISSAS!$C$17))</f>
        <v>0</v>
      </c>
      <c r="Y337" s="111">
        <f t="shared" ca="1" si="40"/>
        <v>0</v>
      </c>
      <c r="Z337" s="134">
        <f t="shared" ca="1" si="46"/>
        <v>0</v>
      </c>
      <c r="AA337" s="134">
        <f t="shared" ca="1" si="47"/>
        <v>0</v>
      </c>
    </row>
    <row r="338" spans="2:27" x14ac:dyDescent="0.3">
      <c r="B338" s="21" t="str">
        <f ca="1">IF(B337="","",IF(EOMONTH(B337,1)&gt;EOMONTH(ELEGIBILIDADE!$E$5,0),"",EOMONTH(B337,1)))</f>
        <v/>
      </c>
      <c r="C338" s="22" t="str">
        <f ca="1">IF(B338="","",IF(MONTH(B338)=1,C337*(1+PREMISSAS!$C$58),C337))</f>
        <v/>
      </c>
      <c r="D338" s="22">
        <f ca="1">IF(RESULTADOS!$C$17="Normal",IFERROR(MAX(C338-PREMISSAS!$C$14,0),0),IF(PREMISSAS!$H$117=0,0,MAX(10*PREMISSAS!$C$39,RESULTADOS!$F$17)))</f>
        <v>0</v>
      </c>
      <c r="E338" s="4">
        <f ca="1">D338*IF(RESULTADOS!$C$17="Normal",RESULTADOS!$C$16,0)</f>
        <v>0</v>
      </c>
      <c r="F338" s="4">
        <f ca="1">IF(D338&lt;&gt;0,PREMISSAS!$N$83,0)</f>
        <v>0</v>
      </c>
      <c r="G338" s="4">
        <f ca="1">IFERROR(IF(RESULTADOS!$C$17="Normal",0,D338)*IF(RESULTADOS!$C$17="Normal",RESULTADOS!$C$18,RESULTADOS!$C$16),0)</f>
        <v>0</v>
      </c>
      <c r="H338" s="4">
        <f ca="1">IF(RESULTADOS!$C$17="Normal",E338,0)</f>
        <v>0</v>
      </c>
      <c r="I338" s="4">
        <f ca="1">(E338+H338+G338)*IFERROR(VLOOKUP(INT(COUNT($B$5:B338)/12),PREMISSAS!$B$62:$C$69,2,FALSE),PREMISSAS!$C$69)</f>
        <v>0</v>
      </c>
      <c r="J338" s="4">
        <f ca="1">D338*IF(RESULTADOS!$C$17="Normal",PREMISSAS!$C$71,0)</f>
        <v>0</v>
      </c>
      <c r="K338" s="87">
        <f ca="1">IFERROR(K337*(1+PREMISSAS!$C$19)+(E338+H338-IF(RESULTADOS!$C$17="Normal",I338,0)-J338)*IF(MONTH(B338)=12,2,1),0)</f>
        <v>0</v>
      </c>
      <c r="L338" s="87">
        <f ca="1">IFERROR((L337+G338-IF(RESULTADOS!$C$17="Normal",0,I338))*(1+PREMISSAS!$C$19)+F338,0)</f>
        <v>0</v>
      </c>
      <c r="N338" s="58">
        <f t="shared" ca="1" si="41"/>
        <v>0</v>
      </c>
      <c r="P338" s="131" t="str">
        <f t="shared" ca="1" si="42"/>
        <v/>
      </c>
      <c r="Q338" s="111" t="str">
        <f ca="1">IF(C338="","",Q337+(E338+H338-IF(RESULTADOS!$C$17="Normal",I338,0)-J338)/2+(F338+G338-IF(RESULTADOS!$C$17="Normal",0,I338)))</f>
        <v/>
      </c>
      <c r="R338" s="111" t="str">
        <f ca="1">IF(C338="","",R337+(E338+H338-IF(RESULTADOS!$C$17="Normal",I338,0)-J338)/2)</f>
        <v/>
      </c>
      <c r="S338" s="111">
        <f t="shared" ca="1" si="44"/>
        <v>0</v>
      </c>
      <c r="U338" s="131" t="str">
        <f t="shared" ca="1" si="45"/>
        <v/>
      </c>
      <c r="V338" s="131" t="str">
        <f t="shared" ca="1" si="43"/>
        <v/>
      </c>
      <c r="W338" s="111">
        <f ca="1">IF(OR((W337-13/12*Z337)*(1+PREMISSAS!$C$17)&lt;0,W337=""),0,(W337-13/12*Z337)*(1+PREMISSAS!$C$17))</f>
        <v>0</v>
      </c>
      <c r="X338" s="111">
        <f ca="1">IF(OR((X337-13/12*AA337)*(1+PREMISSAS!$C$17)&lt;0,X337=""),0,(X337-13/12*AA337)*(1+PREMISSAS!$C$17))</f>
        <v>0</v>
      </c>
      <c r="Y338" s="111">
        <f t="shared" ca="1" si="40"/>
        <v>0</v>
      </c>
      <c r="Z338" s="134">
        <f t="shared" ca="1" si="46"/>
        <v>0</v>
      </c>
      <c r="AA338" s="134">
        <f t="shared" ca="1" si="47"/>
        <v>0</v>
      </c>
    </row>
    <row r="339" spans="2:27" x14ac:dyDescent="0.3">
      <c r="B339" s="21" t="str">
        <f ca="1">IF(B338="","",IF(EOMONTH(B338,1)&gt;EOMONTH(ELEGIBILIDADE!$E$5,0),"",EOMONTH(B338,1)))</f>
        <v/>
      </c>
      <c r="C339" s="22" t="str">
        <f ca="1">IF(B339="","",IF(MONTH(B339)=1,C338*(1+PREMISSAS!$C$58),C338))</f>
        <v/>
      </c>
      <c r="D339" s="22">
        <f ca="1">IF(RESULTADOS!$C$17="Normal",IFERROR(MAX(C339-PREMISSAS!$C$14,0),0),IF(PREMISSAS!$H$117=0,0,MAX(10*PREMISSAS!$C$39,RESULTADOS!$F$17)))</f>
        <v>0</v>
      </c>
      <c r="E339" s="4">
        <f ca="1">D339*IF(RESULTADOS!$C$17="Normal",RESULTADOS!$C$16,0)</f>
        <v>0</v>
      </c>
      <c r="F339" s="4">
        <f ca="1">IF(D339&lt;&gt;0,PREMISSAS!$N$83,0)</f>
        <v>0</v>
      </c>
      <c r="G339" s="4">
        <f ca="1">IFERROR(IF(RESULTADOS!$C$17="Normal",0,D339)*IF(RESULTADOS!$C$17="Normal",RESULTADOS!$C$18,RESULTADOS!$C$16),0)</f>
        <v>0</v>
      </c>
      <c r="H339" s="4">
        <f ca="1">IF(RESULTADOS!$C$17="Normal",E339,0)</f>
        <v>0</v>
      </c>
      <c r="I339" s="4">
        <f ca="1">(E339+H339+G339)*IFERROR(VLOOKUP(INT(COUNT($B$5:B339)/12),PREMISSAS!$B$62:$C$69,2,FALSE),PREMISSAS!$C$69)</f>
        <v>0</v>
      </c>
      <c r="J339" s="4">
        <f ca="1">D339*IF(RESULTADOS!$C$17="Normal",PREMISSAS!$C$71,0)</f>
        <v>0</v>
      </c>
      <c r="K339" s="87">
        <f ca="1">IFERROR(K338*(1+PREMISSAS!$C$19)+(E339+H339-IF(RESULTADOS!$C$17="Normal",I339,0)-J339)*IF(MONTH(B339)=12,2,1),0)</f>
        <v>0</v>
      </c>
      <c r="L339" s="87">
        <f ca="1">IFERROR((L338+G339-IF(RESULTADOS!$C$17="Normal",0,I339))*(1+PREMISSAS!$C$19)+F339,0)</f>
        <v>0</v>
      </c>
      <c r="N339" s="58">
        <f t="shared" ca="1" si="41"/>
        <v>0</v>
      </c>
      <c r="P339" s="131" t="str">
        <f t="shared" ca="1" si="42"/>
        <v/>
      </c>
      <c r="Q339" s="111" t="str">
        <f ca="1">IF(C339="","",Q338+(E339+H339-IF(RESULTADOS!$C$17="Normal",I339,0)-J339)/2+(F339+G339-IF(RESULTADOS!$C$17="Normal",0,I339)))</f>
        <v/>
      </c>
      <c r="R339" s="111" t="str">
        <f ca="1">IF(C339="","",R338+(E339+H339-IF(RESULTADOS!$C$17="Normal",I339,0)-J339)/2)</f>
        <v/>
      </c>
      <c r="S339" s="111">
        <f t="shared" ca="1" si="44"/>
        <v>0</v>
      </c>
      <c r="U339" s="131" t="str">
        <f t="shared" ca="1" si="45"/>
        <v/>
      </c>
      <c r="V339" s="131" t="str">
        <f t="shared" ca="1" si="43"/>
        <v/>
      </c>
      <c r="W339" s="111">
        <f ca="1">IF(OR((W338-13/12*Z338)*(1+PREMISSAS!$C$17)&lt;0,W338=""),0,(W338-13/12*Z338)*(1+PREMISSAS!$C$17))</f>
        <v>0</v>
      </c>
      <c r="X339" s="111">
        <f ca="1">IF(OR((X338-13/12*AA338)*(1+PREMISSAS!$C$17)&lt;0,X338=""),0,(X338-13/12*AA338)*(1+PREMISSAS!$C$17))</f>
        <v>0</v>
      </c>
      <c r="Y339" s="111">
        <f t="shared" ca="1" si="40"/>
        <v>0</v>
      </c>
      <c r="Z339" s="134">
        <f t="shared" ca="1" si="46"/>
        <v>0</v>
      </c>
      <c r="AA339" s="134">
        <f t="shared" ca="1" si="47"/>
        <v>0</v>
      </c>
    </row>
    <row r="340" spans="2:27" x14ac:dyDescent="0.3">
      <c r="B340" s="21" t="str">
        <f ca="1">IF(B339="","",IF(EOMONTH(B339,1)&gt;EOMONTH(ELEGIBILIDADE!$E$5,0),"",EOMONTH(B339,1)))</f>
        <v/>
      </c>
      <c r="C340" s="22" t="str">
        <f ca="1">IF(B340="","",IF(MONTH(B340)=1,C339*(1+PREMISSAS!$C$58),C339))</f>
        <v/>
      </c>
      <c r="D340" s="22">
        <f ca="1">IF(RESULTADOS!$C$17="Normal",IFERROR(MAX(C340-PREMISSAS!$C$14,0),0),IF(PREMISSAS!$H$117=0,0,MAX(10*PREMISSAS!$C$39,RESULTADOS!$F$17)))</f>
        <v>0</v>
      </c>
      <c r="E340" s="4">
        <f ca="1">D340*IF(RESULTADOS!$C$17="Normal",RESULTADOS!$C$16,0)</f>
        <v>0</v>
      </c>
      <c r="F340" s="4">
        <f ca="1">IF(D340&lt;&gt;0,PREMISSAS!$N$83,0)</f>
        <v>0</v>
      </c>
      <c r="G340" s="4">
        <f ca="1">IFERROR(IF(RESULTADOS!$C$17="Normal",0,D340)*IF(RESULTADOS!$C$17="Normal",RESULTADOS!$C$18,RESULTADOS!$C$16),0)</f>
        <v>0</v>
      </c>
      <c r="H340" s="4">
        <f ca="1">IF(RESULTADOS!$C$17="Normal",E340,0)</f>
        <v>0</v>
      </c>
      <c r="I340" s="4">
        <f ca="1">(E340+H340+G340)*IFERROR(VLOOKUP(INT(COUNT($B$5:B340)/12),PREMISSAS!$B$62:$C$69,2,FALSE),PREMISSAS!$C$69)</f>
        <v>0</v>
      </c>
      <c r="J340" s="4">
        <f ca="1">D340*IF(RESULTADOS!$C$17="Normal",PREMISSAS!$C$71,0)</f>
        <v>0</v>
      </c>
      <c r="K340" s="87">
        <f ca="1">IFERROR(K339*(1+PREMISSAS!$C$19)+(E340+H340-IF(RESULTADOS!$C$17="Normal",I340,0)-J340)*IF(MONTH(B340)=12,2,1),0)</f>
        <v>0</v>
      </c>
      <c r="L340" s="87">
        <f ca="1">IFERROR((L339+G340-IF(RESULTADOS!$C$17="Normal",0,I340))*(1+PREMISSAS!$C$19)+F340,0)</f>
        <v>0</v>
      </c>
      <c r="N340" s="58">
        <f t="shared" ca="1" si="41"/>
        <v>0</v>
      </c>
      <c r="P340" s="131" t="str">
        <f t="shared" ca="1" si="42"/>
        <v/>
      </c>
      <c r="Q340" s="111" t="str">
        <f ca="1">IF(C340="","",Q339+(E340+H340-IF(RESULTADOS!$C$17="Normal",I340,0)-J340)/2+(F340+G340-IF(RESULTADOS!$C$17="Normal",0,I340)))</f>
        <v/>
      </c>
      <c r="R340" s="111" t="str">
        <f ca="1">IF(C340="","",R339+(E340+H340-IF(RESULTADOS!$C$17="Normal",I340,0)-J340)/2)</f>
        <v/>
      </c>
      <c r="S340" s="111">
        <f t="shared" ca="1" si="44"/>
        <v>0</v>
      </c>
      <c r="U340" s="131" t="str">
        <f t="shared" ca="1" si="45"/>
        <v/>
      </c>
      <c r="V340" s="131" t="str">
        <f t="shared" ca="1" si="43"/>
        <v/>
      </c>
      <c r="W340" s="111">
        <f ca="1">IF(OR((W339-13/12*Z339)*(1+PREMISSAS!$C$17)&lt;0,W339=""),0,(W339-13/12*Z339)*(1+PREMISSAS!$C$17))</f>
        <v>0</v>
      </c>
      <c r="X340" s="111">
        <f ca="1">IF(OR((X339-13/12*AA339)*(1+PREMISSAS!$C$17)&lt;0,X339=""),0,(X339-13/12*AA339)*(1+PREMISSAS!$C$17))</f>
        <v>0</v>
      </c>
      <c r="Y340" s="111">
        <f t="shared" ca="1" si="40"/>
        <v>0</v>
      </c>
      <c r="Z340" s="134">
        <f t="shared" ca="1" si="46"/>
        <v>0</v>
      </c>
      <c r="AA340" s="134">
        <f t="shared" ca="1" si="47"/>
        <v>0</v>
      </c>
    </row>
    <row r="341" spans="2:27" x14ac:dyDescent="0.3">
      <c r="B341" s="21" t="str">
        <f ca="1">IF(B340="","",IF(EOMONTH(B340,1)&gt;EOMONTH(ELEGIBILIDADE!$E$5,0),"",EOMONTH(B340,1)))</f>
        <v/>
      </c>
      <c r="C341" s="22" t="str">
        <f ca="1">IF(B341="","",IF(MONTH(B341)=1,C340*(1+PREMISSAS!$C$58),C340))</f>
        <v/>
      </c>
      <c r="D341" s="22">
        <f ca="1">IF(RESULTADOS!$C$17="Normal",IFERROR(MAX(C341-PREMISSAS!$C$14,0),0),IF(PREMISSAS!$H$117=0,0,MAX(10*PREMISSAS!$C$39,RESULTADOS!$F$17)))</f>
        <v>0</v>
      </c>
      <c r="E341" s="4">
        <f ca="1">D341*IF(RESULTADOS!$C$17="Normal",RESULTADOS!$C$16,0)</f>
        <v>0</v>
      </c>
      <c r="F341" s="4">
        <f ca="1">IF(D341&lt;&gt;0,PREMISSAS!$N$83,0)</f>
        <v>0</v>
      </c>
      <c r="G341" s="4">
        <f ca="1">IFERROR(IF(RESULTADOS!$C$17="Normal",0,D341)*IF(RESULTADOS!$C$17="Normal",RESULTADOS!$C$18,RESULTADOS!$C$16),0)</f>
        <v>0</v>
      </c>
      <c r="H341" s="4">
        <f ca="1">IF(RESULTADOS!$C$17="Normal",E341,0)</f>
        <v>0</v>
      </c>
      <c r="I341" s="4">
        <f ca="1">(E341+H341+G341)*IFERROR(VLOOKUP(INT(COUNT($B$5:B341)/12),PREMISSAS!$B$62:$C$69,2,FALSE),PREMISSAS!$C$69)</f>
        <v>0</v>
      </c>
      <c r="J341" s="4">
        <f ca="1">D341*IF(RESULTADOS!$C$17="Normal",PREMISSAS!$C$71,0)</f>
        <v>0</v>
      </c>
      <c r="K341" s="87">
        <f ca="1">IFERROR(K340*(1+PREMISSAS!$C$19)+(E341+H341-IF(RESULTADOS!$C$17="Normal",I341,0)-J341)*IF(MONTH(B341)=12,2,1),0)</f>
        <v>0</v>
      </c>
      <c r="L341" s="87">
        <f ca="1">IFERROR((L340+G341-IF(RESULTADOS!$C$17="Normal",0,I341))*(1+PREMISSAS!$C$19)+F341,0)</f>
        <v>0</v>
      </c>
      <c r="N341" s="58">
        <f t="shared" ca="1" si="41"/>
        <v>0</v>
      </c>
      <c r="P341" s="131" t="str">
        <f t="shared" ca="1" si="42"/>
        <v/>
      </c>
      <c r="Q341" s="111" t="str">
        <f ca="1">IF(C341="","",Q340+(E341+H341-IF(RESULTADOS!$C$17="Normal",I341,0)-J341)/2+(F341+G341-IF(RESULTADOS!$C$17="Normal",0,I341)))</f>
        <v/>
      </c>
      <c r="R341" s="111" t="str">
        <f ca="1">IF(C341="","",R340+(E341+H341-IF(RESULTADOS!$C$17="Normal",I341,0)-J341)/2)</f>
        <v/>
      </c>
      <c r="S341" s="111">
        <f t="shared" ca="1" si="44"/>
        <v>0</v>
      </c>
      <c r="U341" s="131" t="str">
        <f t="shared" ca="1" si="45"/>
        <v/>
      </c>
      <c r="V341" s="131" t="str">
        <f t="shared" ca="1" si="43"/>
        <v/>
      </c>
      <c r="W341" s="111">
        <f ca="1">IF(OR((W340-13/12*Z340)*(1+PREMISSAS!$C$17)&lt;0,W340=""),0,(W340-13/12*Z340)*(1+PREMISSAS!$C$17))</f>
        <v>0</v>
      </c>
      <c r="X341" s="111">
        <f ca="1">IF(OR((X340-13/12*AA340)*(1+PREMISSAS!$C$17)&lt;0,X340=""),0,(X340-13/12*AA340)*(1+PREMISSAS!$C$17))</f>
        <v>0</v>
      </c>
      <c r="Y341" s="111">
        <f t="shared" ca="1" si="40"/>
        <v>0</v>
      </c>
      <c r="Z341" s="134">
        <f t="shared" ca="1" si="46"/>
        <v>0</v>
      </c>
      <c r="AA341" s="134">
        <f t="shared" ca="1" si="47"/>
        <v>0</v>
      </c>
    </row>
    <row r="342" spans="2:27" x14ac:dyDescent="0.3">
      <c r="B342" s="21" t="str">
        <f ca="1">IF(B341="","",IF(EOMONTH(B341,1)&gt;EOMONTH(ELEGIBILIDADE!$E$5,0),"",EOMONTH(B341,1)))</f>
        <v/>
      </c>
      <c r="C342" s="22" t="str">
        <f ca="1">IF(B342="","",IF(MONTH(B342)=1,C341*(1+PREMISSAS!$C$58),C341))</f>
        <v/>
      </c>
      <c r="D342" s="22">
        <f ca="1">IF(RESULTADOS!$C$17="Normal",IFERROR(MAX(C342-PREMISSAS!$C$14,0),0),IF(PREMISSAS!$H$117=0,0,MAX(10*PREMISSAS!$C$39,RESULTADOS!$F$17)))</f>
        <v>0</v>
      </c>
      <c r="E342" s="4">
        <f ca="1">D342*IF(RESULTADOS!$C$17="Normal",RESULTADOS!$C$16,0)</f>
        <v>0</v>
      </c>
      <c r="F342" s="4">
        <f ca="1">IF(D342&lt;&gt;0,PREMISSAS!$N$83,0)</f>
        <v>0</v>
      </c>
      <c r="G342" s="4">
        <f ca="1">IFERROR(IF(RESULTADOS!$C$17="Normal",0,D342)*IF(RESULTADOS!$C$17="Normal",RESULTADOS!$C$18,RESULTADOS!$C$16),0)</f>
        <v>0</v>
      </c>
      <c r="H342" s="4">
        <f ca="1">IF(RESULTADOS!$C$17="Normal",E342,0)</f>
        <v>0</v>
      </c>
      <c r="I342" s="4">
        <f ca="1">(E342+H342+G342)*IFERROR(VLOOKUP(INT(COUNT($B$5:B342)/12),PREMISSAS!$B$62:$C$69,2,FALSE),PREMISSAS!$C$69)</f>
        <v>0</v>
      </c>
      <c r="J342" s="4">
        <f ca="1">D342*IF(RESULTADOS!$C$17="Normal",PREMISSAS!$C$71,0)</f>
        <v>0</v>
      </c>
      <c r="K342" s="87">
        <f ca="1">IFERROR(K341*(1+PREMISSAS!$C$19)+(E342+H342-IF(RESULTADOS!$C$17="Normal",I342,0)-J342)*IF(MONTH(B342)=12,2,1),0)</f>
        <v>0</v>
      </c>
      <c r="L342" s="87">
        <f ca="1">IFERROR((L341+G342-IF(RESULTADOS!$C$17="Normal",0,I342))*(1+PREMISSAS!$C$19)+F342,0)</f>
        <v>0</v>
      </c>
      <c r="N342" s="58">
        <f t="shared" ca="1" si="41"/>
        <v>0</v>
      </c>
      <c r="P342" s="131" t="str">
        <f t="shared" ca="1" si="42"/>
        <v/>
      </c>
      <c r="Q342" s="111" t="str">
        <f ca="1">IF(C342="","",Q341+(E342+H342-IF(RESULTADOS!$C$17="Normal",I342,0)-J342)/2+(F342+G342-IF(RESULTADOS!$C$17="Normal",0,I342)))</f>
        <v/>
      </c>
      <c r="R342" s="111" t="str">
        <f ca="1">IF(C342="","",R341+(E342+H342-IF(RESULTADOS!$C$17="Normal",I342,0)-J342)/2)</f>
        <v/>
      </c>
      <c r="S342" s="111">
        <f t="shared" ca="1" si="44"/>
        <v>0</v>
      </c>
      <c r="U342" s="131" t="str">
        <f t="shared" ca="1" si="45"/>
        <v/>
      </c>
      <c r="V342" s="131" t="str">
        <f t="shared" ca="1" si="43"/>
        <v/>
      </c>
      <c r="W342" s="111">
        <f ca="1">IF(OR((W341-13/12*Z341)*(1+PREMISSAS!$C$17)&lt;0,W341=""),0,(W341-13/12*Z341)*(1+PREMISSAS!$C$17))</f>
        <v>0</v>
      </c>
      <c r="X342" s="111">
        <f ca="1">IF(OR((X341-13/12*AA341)*(1+PREMISSAS!$C$17)&lt;0,X341=""),0,(X341-13/12*AA341)*(1+PREMISSAS!$C$17))</f>
        <v>0</v>
      </c>
      <c r="Y342" s="111">
        <f t="shared" ca="1" si="40"/>
        <v>0</v>
      </c>
      <c r="Z342" s="134">
        <f t="shared" ca="1" si="46"/>
        <v>0</v>
      </c>
      <c r="AA342" s="134">
        <f t="shared" ca="1" si="47"/>
        <v>0</v>
      </c>
    </row>
    <row r="343" spans="2:27" x14ac:dyDescent="0.3">
      <c r="B343" s="21" t="str">
        <f ca="1">IF(B342="","",IF(EOMONTH(B342,1)&gt;EOMONTH(ELEGIBILIDADE!$E$5,0),"",EOMONTH(B342,1)))</f>
        <v/>
      </c>
      <c r="C343" s="22" t="str">
        <f ca="1">IF(B343="","",IF(MONTH(B343)=1,C342*(1+PREMISSAS!$C$58),C342))</f>
        <v/>
      </c>
      <c r="D343" s="22">
        <f ca="1">IF(RESULTADOS!$C$17="Normal",IFERROR(MAX(C343-PREMISSAS!$C$14,0),0),IF(PREMISSAS!$H$117=0,0,MAX(10*PREMISSAS!$C$39,RESULTADOS!$F$17)))</f>
        <v>0</v>
      </c>
      <c r="E343" s="4">
        <f ca="1">D343*IF(RESULTADOS!$C$17="Normal",RESULTADOS!$C$16,0)</f>
        <v>0</v>
      </c>
      <c r="F343" s="4">
        <f ca="1">IF(D343&lt;&gt;0,PREMISSAS!$N$83,0)</f>
        <v>0</v>
      </c>
      <c r="G343" s="4">
        <f ca="1">IFERROR(IF(RESULTADOS!$C$17="Normal",0,D343)*IF(RESULTADOS!$C$17="Normal",RESULTADOS!$C$18,RESULTADOS!$C$16),0)</f>
        <v>0</v>
      </c>
      <c r="H343" s="4">
        <f ca="1">IF(RESULTADOS!$C$17="Normal",E343,0)</f>
        <v>0</v>
      </c>
      <c r="I343" s="4">
        <f ca="1">(E343+H343+G343)*IFERROR(VLOOKUP(INT(COUNT($B$5:B343)/12),PREMISSAS!$B$62:$C$69,2,FALSE),PREMISSAS!$C$69)</f>
        <v>0</v>
      </c>
      <c r="J343" s="4">
        <f ca="1">D343*IF(RESULTADOS!$C$17="Normal",PREMISSAS!$C$71,0)</f>
        <v>0</v>
      </c>
      <c r="K343" s="87">
        <f ca="1">IFERROR(K342*(1+PREMISSAS!$C$19)+(E343+H343-IF(RESULTADOS!$C$17="Normal",I343,0)-J343)*IF(MONTH(B343)=12,2,1),0)</f>
        <v>0</v>
      </c>
      <c r="L343" s="87">
        <f ca="1">IFERROR((L342+G343-IF(RESULTADOS!$C$17="Normal",0,I343))*(1+PREMISSAS!$C$19)+F343,0)</f>
        <v>0</v>
      </c>
      <c r="N343" s="58">
        <f t="shared" ca="1" si="41"/>
        <v>0</v>
      </c>
      <c r="P343" s="131" t="str">
        <f t="shared" ca="1" si="42"/>
        <v/>
      </c>
      <c r="Q343" s="111" t="str">
        <f ca="1">IF(C343="","",Q342+(E343+H343-IF(RESULTADOS!$C$17="Normal",I343,0)-J343)/2+(F343+G343-IF(RESULTADOS!$C$17="Normal",0,I343)))</f>
        <v/>
      </c>
      <c r="R343" s="111" t="str">
        <f ca="1">IF(C343="","",R342+(E343+H343-IF(RESULTADOS!$C$17="Normal",I343,0)-J343)/2)</f>
        <v/>
      </c>
      <c r="S343" s="111">
        <f t="shared" ca="1" si="44"/>
        <v>0</v>
      </c>
      <c r="U343" s="131" t="str">
        <f t="shared" ca="1" si="45"/>
        <v/>
      </c>
      <c r="V343" s="131" t="str">
        <f t="shared" ca="1" si="43"/>
        <v/>
      </c>
      <c r="W343" s="111">
        <f ca="1">IF(OR((W342-13/12*Z342)*(1+PREMISSAS!$C$17)&lt;0,W342=""),0,(W342-13/12*Z342)*(1+PREMISSAS!$C$17))</f>
        <v>0</v>
      </c>
      <c r="X343" s="111">
        <f ca="1">IF(OR((X342-13/12*AA342)*(1+PREMISSAS!$C$17)&lt;0,X342=""),0,(X342-13/12*AA342)*(1+PREMISSAS!$C$17))</f>
        <v>0</v>
      </c>
      <c r="Y343" s="111">
        <f t="shared" ca="1" si="40"/>
        <v>0</v>
      </c>
      <c r="Z343" s="134">
        <f t="shared" ca="1" si="46"/>
        <v>0</v>
      </c>
      <c r="AA343" s="134">
        <f t="shared" ca="1" si="47"/>
        <v>0</v>
      </c>
    </row>
    <row r="344" spans="2:27" x14ac:dyDescent="0.3">
      <c r="B344" s="21" t="str">
        <f ca="1">IF(B343="","",IF(EOMONTH(B343,1)&gt;EOMONTH(ELEGIBILIDADE!$E$5,0),"",EOMONTH(B343,1)))</f>
        <v/>
      </c>
      <c r="C344" s="22" t="str">
        <f ca="1">IF(B344="","",IF(MONTH(B344)=1,C343*(1+PREMISSAS!$C$58),C343))</f>
        <v/>
      </c>
      <c r="D344" s="22">
        <f ca="1">IF(RESULTADOS!$C$17="Normal",IFERROR(MAX(C344-PREMISSAS!$C$14,0),0),IF(PREMISSAS!$H$117=0,0,MAX(10*PREMISSAS!$C$39,RESULTADOS!$F$17)))</f>
        <v>0</v>
      </c>
      <c r="E344" s="4">
        <f ca="1">D344*IF(RESULTADOS!$C$17="Normal",RESULTADOS!$C$16,0)</f>
        <v>0</v>
      </c>
      <c r="F344" s="4">
        <f ca="1">IF(D344&lt;&gt;0,PREMISSAS!$N$83,0)</f>
        <v>0</v>
      </c>
      <c r="G344" s="4">
        <f ca="1">IFERROR(IF(RESULTADOS!$C$17="Normal",0,D344)*IF(RESULTADOS!$C$17="Normal",RESULTADOS!$C$18,RESULTADOS!$C$16),0)</f>
        <v>0</v>
      </c>
      <c r="H344" s="4">
        <f ca="1">IF(RESULTADOS!$C$17="Normal",E344,0)</f>
        <v>0</v>
      </c>
      <c r="I344" s="4">
        <f ca="1">(E344+H344+G344)*IFERROR(VLOOKUP(INT(COUNT($B$5:B344)/12),PREMISSAS!$B$62:$C$69,2,FALSE),PREMISSAS!$C$69)</f>
        <v>0</v>
      </c>
      <c r="J344" s="4">
        <f ca="1">D344*IF(RESULTADOS!$C$17="Normal",PREMISSAS!$C$71,0)</f>
        <v>0</v>
      </c>
      <c r="K344" s="87">
        <f ca="1">IFERROR(K343*(1+PREMISSAS!$C$19)+(E344+H344-IF(RESULTADOS!$C$17="Normal",I344,0)-J344)*IF(MONTH(B344)=12,2,1),0)</f>
        <v>0</v>
      </c>
      <c r="L344" s="87">
        <f ca="1">IFERROR((L343+G344-IF(RESULTADOS!$C$17="Normal",0,I344))*(1+PREMISSAS!$C$19)+F344,0)</f>
        <v>0</v>
      </c>
      <c r="N344" s="58">
        <f t="shared" ca="1" si="41"/>
        <v>0</v>
      </c>
      <c r="P344" s="131" t="str">
        <f t="shared" ca="1" si="42"/>
        <v/>
      </c>
      <c r="Q344" s="111" t="str">
        <f ca="1">IF(C344="","",Q343+(E344+H344-IF(RESULTADOS!$C$17="Normal",I344,0)-J344)/2+(F344+G344-IF(RESULTADOS!$C$17="Normal",0,I344)))</f>
        <v/>
      </c>
      <c r="R344" s="111" t="str">
        <f ca="1">IF(C344="","",R343+(E344+H344-IF(RESULTADOS!$C$17="Normal",I344,0)-J344)/2)</f>
        <v/>
      </c>
      <c r="S344" s="111">
        <f t="shared" ca="1" si="44"/>
        <v>0</v>
      </c>
      <c r="U344" s="131" t="str">
        <f t="shared" ca="1" si="45"/>
        <v/>
      </c>
      <c r="V344" s="131" t="str">
        <f t="shared" ca="1" si="43"/>
        <v/>
      </c>
      <c r="W344" s="111">
        <f ca="1">IF(OR((W343-13/12*Z343)*(1+PREMISSAS!$C$17)&lt;0,W343=""),0,(W343-13/12*Z343)*(1+PREMISSAS!$C$17))</f>
        <v>0</v>
      </c>
      <c r="X344" s="111">
        <f ca="1">IF(OR((X343-13/12*AA343)*(1+PREMISSAS!$C$17)&lt;0,X343=""),0,(X343-13/12*AA343)*(1+PREMISSAS!$C$17))</f>
        <v>0</v>
      </c>
      <c r="Y344" s="111">
        <f t="shared" ca="1" si="40"/>
        <v>0</v>
      </c>
      <c r="Z344" s="134">
        <f t="shared" ca="1" si="46"/>
        <v>0</v>
      </c>
      <c r="AA344" s="134">
        <f t="shared" ca="1" si="47"/>
        <v>0</v>
      </c>
    </row>
    <row r="345" spans="2:27" x14ac:dyDescent="0.3">
      <c r="B345" s="21" t="str">
        <f ca="1">IF(B344="","",IF(EOMONTH(B344,1)&gt;EOMONTH(ELEGIBILIDADE!$E$5,0),"",EOMONTH(B344,1)))</f>
        <v/>
      </c>
      <c r="C345" s="22" t="str">
        <f ca="1">IF(B345="","",IF(MONTH(B345)=1,C344*(1+PREMISSAS!$C$58),C344))</f>
        <v/>
      </c>
      <c r="D345" s="22">
        <f ca="1">IF(RESULTADOS!$C$17="Normal",IFERROR(MAX(C345-PREMISSAS!$C$14,0),0),IF(PREMISSAS!$H$117=0,0,MAX(10*PREMISSAS!$C$39,RESULTADOS!$F$17)))</f>
        <v>0</v>
      </c>
      <c r="E345" s="4">
        <f ca="1">D345*IF(RESULTADOS!$C$17="Normal",RESULTADOS!$C$16,0)</f>
        <v>0</v>
      </c>
      <c r="F345" s="4">
        <f ca="1">IF(D345&lt;&gt;0,PREMISSAS!$N$83,0)</f>
        <v>0</v>
      </c>
      <c r="G345" s="4">
        <f ca="1">IFERROR(IF(RESULTADOS!$C$17="Normal",0,D345)*IF(RESULTADOS!$C$17="Normal",RESULTADOS!$C$18,RESULTADOS!$C$16),0)</f>
        <v>0</v>
      </c>
      <c r="H345" s="4">
        <f ca="1">IF(RESULTADOS!$C$17="Normal",E345,0)</f>
        <v>0</v>
      </c>
      <c r="I345" s="4">
        <f ca="1">(E345+H345+G345)*IFERROR(VLOOKUP(INT(COUNT($B$5:B345)/12),PREMISSAS!$B$62:$C$69,2,FALSE),PREMISSAS!$C$69)</f>
        <v>0</v>
      </c>
      <c r="J345" s="4">
        <f ca="1">D345*IF(RESULTADOS!$C$17="Normal",PREMISSAS!$C$71,0)</f>
        <v>0</v>
      </c>
      <c r="K345" s="87">
        <f ca="1">IFERROR(K344*(1+PREMISSAS!$C$19)+(E345+H345-IF(RESULTADOS!$C$17="Normal",I345,0)-J345)*IF(MONTH(B345)=12,2,1),0)</f>
        <v>0</v>
      </c>
      <c r="L345" s="87">
        <f ca="1">IFERROR((L344+G345-IF(RESULTADOS!$C$17="Normal",0,I345))*(1+PREMISSAS!$C$19)+F345,0)</f>
        <v>0</v>
      </c>
      <c r="N345" s="58">
        <f t="shared" ca="1" si="41"/>
        <v>0</v>
      </c>
      <c r="P345" s="131" t="str">
        <f t="shared" ca="1" si="42"/>
        <v/>
      </c>
      <c r="Q345" s="111" t="str">
        <f ca="1">IF(C345="","",Q344+(E345+H345-IF(RESULTADOS!$C$17="Normal",I345,0)-J345)/2+(F345+G345-IF(RESULTADOS!$C$17="Normal",0,I345)))</f>
        <v/>
      </c>
      <c r="R345" s="111" t="str">
        <f ca="1">IF(C345="","",R344+(E345+H345-IF(RESULTADOS!$C$17="Normal",I345,0)-J345)/2)</f>
        <v/>
      </c>
      <c r="S345" s="111">
        <f t="shared" ca="1" si="44"/>
        <v>0</v>
      </c>
      <c r="U345" s="131" t="str">
        <f t="shared" ca="1" si="45"/>
        <v/>
      </c>
      <c r="V345" s="131" t="str">
        <f t="shared" ca="1" si="43"/>
        <v/>
      </c>
      <c r="W345" s="111">
        <f ca="1">IF(OR((W344-13/12*Z344)*(1+PREMISSAS!$C$17)&lt;0,W344=""),0,(W344-13/12*Z344)*(1+PREMISSAS!$C$17))</f>
        <v>0</v>
      </c>
      <c r="X345" s="111">
        <f ca="1">IF(OR((X344-13/12*AA344)*(1+PREMISSAS!$C$17)&lt;0,X344=""),0,(X344-13/12*AA344)*(1+PREMISSAS!$C$17))</f>
        <v>0</v>
      </c>
      <c r="Y345" s="111">
        <f t="shared" ca="1" si="40"/>
        <v>0</v>
      </c>
      <c r="Z345" s="134">
        <f t="shared" ca="1" si="46"/>
        <v>0</v>
      </c>
      <c r="AA345" s="134">
        <f t="shared" ca="1" si="47"/>
        <v>0</v>
      </c>
    </row>
    <row r="346" spans="2:27" x14ac:dyDescent="0.3">
      <c r="B346" s="21" t="str">
        <f ca="1">IF(B345="","",IF(EOMONTH(B345,1)&gt;EOMONTH(ELEGIBILIDADE!$E$5,0),"",EOMONTH(B345,1)))</f>
        <v/>
      </c>
      <c r="C346" s="22" t="str">
        <f ca="1">IF(B346="","",IF(MONTH(B346)=1,C345*(1+PREMISSAS!$C$58),C345))</f>
        <v/>
      </c>
      <c r="D346" s="22">
        <f ca="1">IF(RESULTADOS!$C$17="Normal",IFERROR(MAX(C346-PREMISSAS!$C$14,0),0),IF(PREMISSAS!$H$117=0,0,MAX(10*PREMISSAS!$C$39,RESULTADOS!$F$17)))</f>
        <v>0</v>
      </c>
      <c r="E346" s="4">
        <f ca="1">D346*IF(RESULTADOS!$C$17="Normal",RESULTADOS!$C$16,0)</f>
        <v>0</v>
      </c>
      <c r="F346" s="4">
        <f ca="1">IF(D346&lt;&gt;0,PREMISSAS!$N$83,0)</f>
        <v>0</v>
      </c>
      <c r="G346" s="4">
        <f ca="1">IFERROR(IF(RESULTADOS!$C$17="Normal",0,D346)*IF(RESULTADOS!$C$17="Normal",RESULTADOS!$C$18,RESULTADOS!$C$16),0)</f>
        <v>0</v>
      </c>
      <c r="H346" s="4">
        <f ca="1">IF(RESULTADOS!$C$17="Normal",E346,0)</f>
        <v>0</v>
      </c>
      <c r="I346" s="4">
        <f ca="1">(E346+H346+G346)*IFERROR(VLOOKUP(INT(COUNT($B$5:B346)/12),PREMISSAS!$B$62:$C$69,2,FALSE),PREMISSAS!$C$69)</f>
        <v>0</v>
      </c>
      <c r="J346" s="4">
        <f ca="1">D346*IF(RESULTADOS!$C$17="Normal",PREMISSAS!$C$71,0)</f>
        <v>0</v>
      </c>
      <c r="K346" s="87">
        <f ca="1">IFERROR(K345*(1+PREMISSAS!$C$19)+(E346+H346-IF(RESULTADOS!$C$17="Normal",I346,0)-J346)*IF(MONTH(B346)=12,2,1),0)</f>
        <v>0</v>
      </c>
      <c r="L346" s="87">
        <f ca="1">IFERROR((L345+G346-IF(RESULTADOS!$C$17="Normal",0,I346))*(1+PREMISSAS!$C$19)+F346,0)</f>
        <v>0</v>
      </c>
      <c r="N346" s="58">
        <f t="shared" ca="1" si="41"/>
        <v>0</v>
      </c>
      <c r="P346" s="131" t="str">
        <f t="shared" ca="1" si="42"/>
        <v/>
      </c>
      <c r="Q346" s="111" t="str">
        <f ca="1">IF(C346="","",Q345+(E346+H346-IF(RESULTADOS!$C$17="Normal",I346,0)-J346)/2+(F346+G346-IF(RESULTADOS!$C$17="Normal",0,I346)))</f>
        <v/>
      </c>
      <c r="R346" s="111" t="str">
        <f ca="1">IF(C346="","",R345+(E346+H346-IF(RESULTADOS!$C$17="Normal",I346,0)-J346)/2)</f>
        <v/>
      </c>
      <c r="S346" s="111">
        <f t="shared" ca="1" si="44"/>
        <v>0</v>
      </c>
      <c r="U346" s="131" t="str">
        <f t="shared" ca="1" si="45"/>
        <v/>
      </c>
      <c r="V346" s="131" t="str">
        <f t="shared" ca="1" si="43"/>
        <v/>
      </c>
      <c r="W346" s="111">
        <f ca="1">IF(OR((W345-13/12*Z345)*(1+PREMISSAS!$C$17)&lt;0,W345=""),0,(W345-13/12*Z345)*(1+PREMISSAS!$C$17))</f>
        <v>0</v>
      </c>
      <c r="X346" s="111">
        <f ca="1">IF(OR((X345-13/12*AA345)*(1+PREMISSAS!$C$17)&lt;0,X345=""),0,(X345-13/12*AA345)*(1+PREMISSAS!$C$17))</f>
        <v>0</v>
      </c>
      <c r="Y346" s="111">
        <f t="shared" ca="1" si="40"/>
        <v>0</v>
      </c>
      <c r="Z346" s="134">
        <f t="shared" ca="1" si="46"/>
        <v>0</v>
      </c>
      <c r="AA346" s="134">
        <f t="shared" ca="1" si="47"/>
        <v>0</v>
      </c>
    </row>
    <row r="347" spans="2:27" x14ac:dyDescent="0.3">
      <c r="B347" s="21" t="str">
        <f ca="1">IF(B346="","",IF(EOMONTH(B346,1)&gt;EOMONTH(ELEGIBILIDADE!$E$5,0),"",EOMONTH(B346,1)))</f>
        <v/>
      </c>
      <c r="C347" s="22" t="str">
        <f ca="1">IF(B347="","",IF(MONTH(B347)=1,C346*(1+PREMISSAS!$C$58),C346))</f>
        <v/>
      </c>
      <c r="D347" s="22">
        <f ca="1">IF(RESULTADOS!$C$17="Normal",IFERROR(MAX(C347-PREMISSAS!$C$14,0),0),IF(PREMISSAS!$H$117=0,0,MAX(10*PREMISSAS!$C$39,RESULTADOS!$F$17)))</f>
        <v>0</v>
      </c>
      <c r="E347" s="4">
        <f ca="1">D347*IF(RESULTADOS!$C$17="Normal",RESULTADOS!$C$16,0)</f>
        <v>0</v>
      </c>
      <c r="F347" s="4">
        <f ca="1">IF(D347&lt;&gt;0,PREMISSAS!$N$83,0)</f>
        <v>0</v>
      </c>
      <c r="G347" s="4">
        <f ca="1">IFERROR(IF(RESULTADOS!$C$17="Normal",0,D347)*IF(RESULTADOS!$C$17="Normal",RESULTADOS!$C$18,RESULTADOS!$C$16),0)</f>
        <v>0</v>
      </c>
      <c r="H347" s="4">
        <f ca="1">IF(RESULTADOS!$C$17="Normal",E347,0)</f>
        <v>0</v>
      </c>
      <c r="I347" s="4">
        <f ca="1">(E347+H347+G347)*IFERROR(VLOOKUP(INT(COUNT($B$5:B347)/12),PREMISSAS!$B$62:$C$69,2,FALSE),PREMISSAS!$C$69)</f>
        <v>0</v>
      </c>
      <c r="J347" s="4">
        <f ca="1">D347*IF(RESULTADOS!$C$17="Normal",PREMISSAS!$C$71,0)</f>
        <v>0</v>
      </c>
      <c r="K347" s="87">
        <f ca="1">IFERROR(K346*(1+PREMISSAS!$C$19)+(E347+H347-IF(RESULTADOS!$C$17="Normal",I347,0)-J347)*IF(MONTH(B347)=12,2,1),0)</f>
        <v>0</v>
      </c>
      <c r="L347" s="87">
        <f ca="1">IFERROR((L346+G347-IF(RESULTADOS!$C$17="Normal",0,I347))*(1+PREMISSAS!$C$19)+F347,0)</f>
        <v>0</v>
      </c>
      <c r="N347" s="58">
        <f t="shared" ca="1" si="41"/>
        <v>0</v>
      </c>
      <c r="P347" s="131" t="str">
        <f t="shared" ca="1" si="42"/>
        <v/>
      </c>
      <c r="Q347" s="111" t="str">
        <f ca="1">IF(C347="","",Q346+(E347+H347-IF(RESULTADOS!$C$17="Normal",I347,0)-J347)/2+(F347+G347-IF(RESULTADOS!$C$17="Normal",0,I347)))</f>
        <v/>
      </c>
      <c r="R347" s="111" t="str">
        <f ca="1">IF(C347="","",R346+(E347+H347-IF(RESULTADOS!$C$17="Normal",I347,0)-J347)/2)</f>
        <v/>
      </c>
      <c r="S347" s="111">
        <f t="shared" ca="1" si="44"/>
        <v>0</v>
      </c>
      <c r="U347" s="131" t="str">
        <f t="shared" ca="1" si="45"/>
        <v/>
      </c>
      <c r="V347" s="131" t="str">
        <f t="shared" ca="1" si="43"/>
        <v/>
      </c>
      <c r="W347" s="111">
        <f ca="1">IF(OR((W346-13/12*Z346)*(1+PREMISSAS!$C$17)&lt;0,W346=""),0,(W346-13/12*Z346)*(1+PREMISSAS!$C$17))</f>
        <v>0</v>
      </c>
      <c r="X347" s="111">
        <f ca="1">IF(OR((X346-13/12*AA346)*(1+PREMISSAS!$C$17)&lt;0,X346=""),0,(X346-13/12*AA346)*(1+PREMISSAS!$C$17))</f>
        <v>0</v>
      </c>
      <c r="Y347" s="111">
        <f t="shared" ca="1" si="40"/>
        <v>0</v>
      </c>
      <c r="Z347" s="134">
        <f t="shared" ca="1" si="46"/>
        <v>0</v>
      </c>
      <c r="AA347" s="134">
        <f t="shared" ca="1" si="47"/>
        <v>0</v>
      </c>
    </row>
    <row r="348" spans="2:27" x14ac:dyDescent="0.3">
      <c r="B348" s="21" t="str">
        <f ca="1">IF(B347="","",IF(EOMONTH(B347,1)&gt;EOMONTH(ELEGIBILIDADE!$E$5,0),"",EOMONTH(B347,1)))</f>
        <v/>
      </c>
      <c r="C348" s="22" t="str">
        <f ca="1">IF(B348="","",IF(MONTH(B348)=1,C347*(1+PREMISSAS!$C$58),C347))</f>
        <v/>
      </c>
      <c r="D348" s="22">
        <f ca="1">IF(RESULTADOS!$C$17="Normal",IFERROR(MAX(C348-PREMISSAS!$C$14,0),0),IF(PREMISSAS!$H$117=0,0,MAX(10*PREMISSAS!$C$39,RESULTADOS!$F$17)))</f>
        <v>0</v>
      </c>
      <c r="E348" s="4">
        <f ca="1">D348*IF(RESULTADOS!$C$17="Normal",RESULTADOS!$C$16,0)</f>
        <v>0</v>
      </c>
      <c r="F348" s="4">
        <f ca="1">IF(D348&lt;&gt;0,PREMISSAS!$N$83,0)</f>
        <v>0</v>
      </c>
      <c r="G348" s="4">
        <f ca="1">IFERROR(IF(RESULTADOS!$C$17="Normal",0,D348)*IF(RESULTADOS!$C$17="Normal",RESULTADOS!$C$18,RESULTADOS!$C$16),0)</f>
        <v>0</v>
      </c>
      <c r="H348" s="4">
        <f ca="1">IF(RESULTADOS!$C$17="Normal",E348,0)</f>
        <v>0</v>
      </c>
      <c r="I348" s="4">
        <f ca="1">(E348+H348+G348)*IFERROR(VLOOKUP(INT(COUNT($B$5:B348)/12),PREMISSAS!$B$62:$C$69,2,FALSE),PREMISSAS!$C$69)</f>
        <v>0</v>
      </c>
      <c r="J348" s="4">
        <f ca="1">D348*IF(RESULTADOS!$C$17="Normal",PREMISSAS!$C$71,0)</f>
        <v>0</v>
      </c>
      <c r="K348" s="87">
        <f ca="1">IFERROR(K347*(1+PREMISSAS!$C$19)+(E348+H348-IF(RESULTADOS!$C$17="Normal",I348,0)-J348)*IF(MONTH(B348)=12,2,1),0)</f>
        <v>0</v>
      </c>
      <c r="L348" s="87">
        <f ca="1">IFERROR((L347+G348-IF(RESULTADOS!$C$17="Normal",0,I348))*(1+PREMISSAS!$C$19)+F348,0)</f>
        <v>0</v>
      </c>
      <c r="N348" s="58">
        <f t="shared" ca="1" si="41"/>
        <v>0</v>
      </c>
      <c r="P348" s="131" t="str">
        <f t="shared" ca="1" si="42"/>
        <v/>
      </c>
      <c r="Q348" s="111" t="str">
        <f ca="1">IF(C348="","",Q347+(E348+H348-IF(RESULTADOS!$C$17="Normal",I348,0)-J348)/2+(F348+G348-IF(RESULTADOS!$C$17="Normal",0,I348)))</f>
        <v/>
      </c>
      <c r="R348" s="111" t="str">
        <f ca="1">IF(C348="","",R347+(E348+H348-IF(RESULTADOS!$C$17="Normal",I348,0)-J348)/2)</f>
        <v/>
      </c>
      <c r="S348" s="111">
        <f t="shared" ca="1" si="44"/>
        <v>0</v>
      </c>
      <c r="U348" s="131" t="str">
        <f t="shared" ca="1" si="45"/>
        <v/>
      </c>
      <c r="V348" s="131" t="str">
        <f t="shared" ca="1" si="43"/>
        <v/>
      </c>
      <c r="W348" s="111">
        <f ca="1">IF(OR((W347-13/12*Z347)*(1+PREMISSAS!$C$17)&lt;0,W347=""),0,(W347-13/12*Z347)*(1+PREMISSAS!$C$17))</f>
        <v>0</v>
      </c>
      <c r="X348" s="111">
        <f ca="1">IF(OR((X347-13/12*AA347)*(1+PREMISSAS!$C$17)&lt;0,X347=""),0,(X347-13/12*AA347)*(1+PREMISSAS!$C$17))</f>
        <v>0</v>
      </c>
      <c r="Y348" s="111">
        <f t="shared" ca="1" si="40"/>
        <v>0</v>
      </c>
      <c r="Z348" s="134">
        <f t="shared" ca="1" si="46"/>
        <v>0</v>
      </c>
      <c r="AA348" s="134">
        <f t="shared" ca="1" si="47"/>
        <v>0</v>
      </c>
    </row>
    <row r="349" spans="2:27" x14ac:dyDescent="0.3">
      <c r="B349" s="21" t="str">
        <f ca="1">IF(B348="","",IF(EOMONTH(B348,1)&gt;EOMONTH(ELEGIBILIDADE!$E$5,0),"",EOMONTH(B348,1)))</f>
        <v/>
      </c>
      <c r="C349" s="22" t="str">
        <f ca="1">IF(B349="","",IF(MONTH(B349)=1,C348*(1+PREMISSAS!$C$58),C348))</f>
        <v/>
      </c>
      <c r="D349" s="22">
        <f ca="1">IF(RESULTADOS!$C$17="Normal",IFERROR(MAX(C349-PREMISSAS!$C$14,0),0),IF(PREMISSAS!$H$117=0,0,MAX(10*PREMISSAS!$C$39,RESULTADOS!$F$17)))</f>
        <v>0</v>
      </c>
      <c r="E349" s="4">
        <f ca="1">D349*IF(RESULTADOS!$C$17="Normal",RESULTADOS!$C$16,0)</f>
        <v>0</v>
      </c>
      <c r="F349" s="4">
        <f ca="1">IF(D349&lt;&gt;0,PREMISSAS!$N$83,0)</f>
        <v>0</v>
      </c>
      <c r="G349" s="4">
        <f ca="1">IFERROR(IF(RESULTADOS!$C$17="Normal",0,D349)*IF(RESULTADOS!$C$17="Normal",RESULTADOS!$C$18,RESULTADOS!$C$16),0)</f>
        <v>0</v>
      </c>
      <c r="H349" s="4">
        <f ca="1">IF(RESULTADOS!$C$17="Normal",E349,0)</f>
        <v>0</v>
      </c>
      <c r="I349" s="4">
        <f ca="1">(E349+H349+G349)*IFERROR(VLOOKUP(INT(COUNT($B$5:B349)/12),PREMISSAS!$B$62:$C$69,2,FALSE),PREMISSAS!$C$69)</f>
        <v>0</v>
      </c>
      <c r="J349" s="4">
        <f ca="1">D349*IF(RESULTADOS!$C$17="Normal",PREMISSAS!$C$71,0)</f>
        <v>0</v>
      </c>
      <c r="K349" s="87">
        <f ca="1">IFERROR(K348*(1+PREMISSAS!$C$19)+(E349+H349-IF(RESULTADOS!$C$17="Normal",I349,0)-J349)*IF(MONTH(B349)=12,2,1),0)</f>
        <v>0</v>
      </c>
      <c r="L349" s="87">
        <f ca="1">IFERROR((L348+G349-IF(RESULTADOS!$C$17="Normal",0,I349))*(1+PREMISSAS!$C$19)+F349,0)</f>
        <v>0</v>
      </c>
      <c r="N349" s="58">
        <f t="shared" ca="1" si="41"/>
        <v>0</v>
      </c>
      <c r="P349" s="131" t="str">
        <f t="shared" ca="1" si="42"/>
        <v/>
      </c>
      <c r="Q349" s="111" t="str">
        <f ca="1">IF(C349="","",Q348+(E349+H349-IF(RESULTADOS!$C$17="Normal",I349,0)-J349)/2+(F349+G349-IF(RESULTADOS!$C$17="Normal",0,I349)))</f>
        <v/>
      </c>
      <c r="R349" s="111" t="str">
        <f ca="1">IF(C349="","",R348+(E349+H349-IF(RESULTADOS!$C$17="Normal",I349,0)-J349)/2)</f>
        <v/>
      </c>
      <c r="S349" s="111">
        <f t="shared" ca="1" si="44"/>
        <v>0</v>
      </c>
      <c r="U349" s="131" t="str">
        <f t="shared" ca="1" si="45"/>
        <v/>
      </c>
      <c r="V349" s="131" t="str">
        <f t="shared" ca="1" si="43"/>
        <v/>
      </c>
      <c r="W349" s="111">
        <f ca="1">IF(OR((W348-13/12*Z348)*(1+PREMISSAS!$C$17)&lt;0,W348=""),0,(W348-13/12*Z348)*(1+PREMISSAS!$C$17))</f>
        <v>0</v>
      </c>
      <c r="X349" s="111">
        <f ca="1">IF(OR((X348-13/12*AA348)*(1+PREMISSAS!$C$17)&lt;0,X348=""),0,(X348-13/12*AA348)*(1+PREMISSAS!$C$17))</f>
        <v>0</v>
      </c>
      <c r="Y349" s="111">
        <f t="shared" ca="1" si="40"/>
        <v>0</v>
      </c>
      <c r="Z349" s="134">
        <f t="shared" ca="1" si="46"/>
        <v>0</v>
      </c>
      <c r="AA349" s="134">
        <f t="shared" ca="1" si="47"/>
        <v>0</v>
      </c>
    </row>
    <row r="350" spans="2:27" x14ac:dyDescent="0.3">
      <c r="B350" s="21" t="str">
        <f ca="1">IF(B349="","",IF(EOMONTH(B349,1)&gt;EOMONTH(ELEGIBILIDADE!$E$5,0),"",EOMONTH(B349,1)))</f>
        <v/>
      </c>
      <c r="C350" s="22" t="str">
        <f ca="1">IF(B350="","",IF(MONTH(B350)=1,C349*(1+PREMISSAS!$C$58),C349))</f>
        <v/>
      </c>
      <c r="D350" s="22">
        <f ca="1">IF(RESULTADOS!$C$17="Normal",IFERROR(MAX(C350-PREMISSAS!$C$14,0),0),IF(PREMISSAS!$H$117=0,0,MAX(10*PREMISSAS!$C$39,RESULTADOS!$F$17)))</f>
        <v>0</v>
      </c>
      <c r="E350" s="4">
        <f ca="1">D350*IF(RESULTADOS!$C$17="Normal",RESULTADOS!$C$16,0)</f>
        <v>0</v>
      </c>
      <c r="F350" s="4">
        <f ca="1">IF(D350&lt;&gt;0,PREMISSAS!$N$83,0)</f>
        <v>0</v>
      </c>
      <c r="G350" s="4">
        <f ca="1">IFERROR(IF(RESULTADOS!$C$17="Normal",0,D350)*IF(RESULTADOS!$C$17="Normal",RESULTADOS!$C$18,RESULTADOS!$C$16),0)</f>
        <v>0</v>
      </c>
      <c r="H350" s="4">
        <f ca="1">IF(RESULTADOS!$C$17="Normal",E350,0)</f>
        <v>0</v>
      </c>
      <c r="I350" s="4">
        <f ca="1">(E350+H350+G350)*IFERROR(VLOOKUP(INT(COUNT($B$5:B350)/12),PREMISSAS!$B$62:$C$69,2,FALSE),PREMISSAS!$C$69)</f>
        <v>0</v>
      </c>
      <c r="J350" s="4">
        <f ca="1">D350*IF(RESULTADOS!$C$17="Normal",PREMISSAS!$C$71,0)</f>
        <v>0</v>
      </c>
      <c r="K350" s="87">
        <f ca="1">IFERROR(K349*(1+PREMISSAS!$C$19)+(E350+H350-IF(RESULTADOS!$C$17="Normal",I350,0)-J350)*IF(MONTH(B350)=12,2,1),0)</f>
        <v>0</v>
      </c>
      <c r="L350" s="87">
        <f ca="1">IFERROR((L349+G350-IF(RESULTADOS!$C$17="Normal",0,I350))*(1+PREMISSAS!$C$19)+F350,0)</f>
        <v>0</v>
      </c>
      <c r="N350" s="58">
        <f t="shared" ca="1" si="41"/>
        <v>0</v>
      </c>
      <c r="P350" s="131" t="str">
        <f t="shared" ca="1" si="42"/>
        <v/>
      </c>
      <c r="Q350" s="111" t="str">
        <f ca="1">IF(C350="","",Q349+(E350+H350-IF(RESULTADOS!$C$17="Normal",I350,0)-J350)/2+(F350+G350-IF(RESULTADOS!$C$17="Normal",0,I350)))</f>
        <v/>
      </c>
      <c r="R350" s="111" t="str">
        <f ca="1">IF(C350="","",R349+(E350+H350-IF(RESULTADOS!$C$17="Normal",I350,0)-J350)/2)</f>
        <v/>
      </c>
      <c r="S350" s="111">
        <f t="shared" ca="1" si="44"/>
        <v>0</v>
      </c>
      <c r="U350" s="131" t="str">
        <f t="shared" ca="1" si="45"/>
        <v/>
      </c>
      <c r="V350" s="131" t="str">
        <f t="shared" ca="1" si="43"/>
        <v/>
      </c>
      <c r="W350" s="111">
        <f ca="1">IF(OR((W349-13/12*Z349)*(1+PREMISSAS!$C$17)&lt;0,W349=""),0,(W349-13/12*Z349)*(1+PREMISSAS!$C$17))</f>
        <v>0</v>
      </c>
      <c r="X350" s="111">
        <f ca="1">IF(OR((X349-13/12*AA349)*(1+PREMISSAS!$C$17)&lt;0,X349=""),0,(X349-13/12*AA349)*(1+PREMISSAS!$C$17))</f>
        <v>0</v>
      </c>
      <c r="Y350" s="111">
        <f t="shared" ca="1" si="40"/>
        <v>0</v>
      </c>
      <c r="Z350" s="134">
        <f t="shared" ca="1" si="46"/>
        <v>0</v>
      </c>
      <c r="AA350" s="134">
        <f t="shared" ca="1" si="47"/>
        <v>0</v>
      </c>
    </row>
    <row r="351" spans="2:27" x14ac:dyDescent="0.3">
      <c r="B351" s="21" t="str">
        <f ca="1">IF(B350="","",IF(EOMONTH(B350,1)&gt;EOMONTH(ELEGIBILIDADE!$E$5,0),"",EOMONTH(B350,1)))</f>
        <v/>
      </c>
      <c r="C351" s="22" t="str">
        <f ca="1">IF(B351="","",IF(MONTH(B351)=1,C350*(1+PREMISSAS!$C$58),C350))</f>
        <v/>
      </c>
      <c r="D351" s="22">
        <f ca="1">IF(RESULTADOS!$C$17="Normal",IFERROR(MAX(C351-PREMISSAS!$C$14,0),0),IF(PREMISSAS!$H$117=0,0,MAX(10*PREMISSAS!$C$39,RESULTADOS!$F$17)))</f>
        <v>0</v>
      </c>
      <c r="E351" s="4">
        <f ca="1">D351*IF(RESULTADOS!$C$17="Normal",RESULTADOS!$C$16,0)</f>
        <v>0</v>
      </c>
      <c r="F351" s="4">
        <f ca="1">IF(D351&lt;&gt;0,PREMISSAS!$N$83,0)</f>
        <v>0</v>
      </c>
      <c r="G351" s="4">
        <f ca="1">IFERROR(IF(RESULTADOS!$C$17="Normal",0,D351)*IF(RESULTADOS!$C$17="Normal",RESULTADOS!$C$18,RESULTADOS!$C$16),0)</f>
        <v>0</v>
      </c>
      <c r="H351" s="4">
        <f ca="1">IF(RESULTADOS!$C$17="Normal",E351,0)</f>
        <v>0</v>
      </c>
      <c r="I351" s="4">
        <f ca="1">(E351+H351+G351)*IFERROR(VLOOKUP(INT(COUNT($B$5:B351)/12),PREMISSAS!$B$62:$C$69,2,FALSE),PREMISSAS!$C$69)</f>
        <v>0</v>
      </c>
      <c r="J351" s="4">
        <f ca="1">D351*IF(RESULTADOS!$C$17="Normal",PREMISSAS!$C$71,0)</f>
        <v>0</v>
      </c>
      <c r="K351" s="87">
        <f ca="1">IFERROR(K350*(1+PREMISSAS!$C$19)+(E351+H351-IF(RESULTADOS!$C$17="Normal",I351,0)-J351)*IF(MONTH(B351)=12,2,1),0)</f>
        <v>0</v>
      </c>
      <c r="L351" s="87">
        <f ca="1">IFERROR((L350+G351-IF(RESULTADOS!$C$17="Normal",0,I351))*(1+PREMISSAS!$C$19)+F351,0)</f>
        <v>0</v>
      </c>
      <c r="N351" s="58">
        <f t="shared" ca="1" si="41"/>
        <v>0</v>
      </c>
      <c r="P351" s="131" t="str">
        <f t="shared" ca="1" si="42"/>
        <v/>
      </c>
      <c r="Q351" s="111" t="str">
        <f ca="1">IF(C351="","",Q350+(E351+H351-IF(RESULTADOS!$C$17="Normal",I351,0)-J351)/2+(F351+G351-IF(RESULTADOS!$C$17="Normal",0,I351)))</f>
        <v/>
      </c>
      <c r="R351" s="111" t="str">
        <f ca="1">IF(C351="","",R350+(E351+H351-IF(RESULTADOS!$C$17="Normal",I351,0)-J351)/2)</f>
        <v/>
      </c>
      <c r="S351" s="111">
        <f t="shared" ca="1" si="44"/>
        <v>0</v>
      </c>
      <c r="U351" s="131" t="str">
        <f t="shared" ca="1" si="45"/>
        <v/>
      </c>
      <c r="V351" s="131" t="str">
        <f t="shared" ca="1" si="43"/>
        <v/>
      </c>
      <c r="W351" s="111">
        <f ca="1">IF(OR((W350-13/12*Z350)*(1+PREMISSAS!$C$17)&lt;0,W350=""),0,(W350-13/12*Z350)*(1+PREMISSAS!$C$17))</f>
        <v>0</v>
      </c>
      <c r="X351" s="111">
        <f ca="1">IF(OR((X350-13/12*AA350)*(1+PREMISSAS!$C$17)&lt;0,X350=""),0,(X350-13/12*AA350)*(1+PREMISSAS!$C$17))</f>
        <v>0</v>
      </c>
      <c r="Y351" s="111">
        <f t="shared" ca="1" si="40"/>
        <v>0</v>
      </c>
      <c r="Z351" s="134">
        <f t="shared" ca="1" si="46"/>
        <v>0</v>
      </c>
      <c r="AA351" s="134">
        <f t="shared" ca="1" si="47"/>
        <v>0</v>
      </c>
    </row>
    <row r="352" spans="2:27" x14ac:dyDescent="0.3">
      <c r="B352" s="21" t="str">
        <f ca="1">IF(B351="","",IF(EOMONTH(B351,1)&gt;EOMONTH(ELEGIBILIDADE!$E$5,0),"",EOMONTH(B351,1)))</f>
        <v/>
      </c>
      <c r="C352" s="22" t="str">
        <f ca="1">IF(B352="","",IF(MONTH(B352)=1,C351*(1+PREMISSAS!$C$58),C351))</f>
        <v/>
      </c>
      <c r="D352" s="22">
        <f ca="1">IF(RESULTADOS!$C$17="Normal",IFERROR(MAX(C352-PREMISSAS!$C$14,0),0),IF(PREMISSAS!$H$117=0,0,MAX(10*PREMISSAS!$C$39,RESULTADOS!$F$17)))</f>
        <v>0</v>
      </c>
      <c r="E352" s="4">
        <f ca="1">D352*IF(RESULTADOS!$C$17="Normal",RESULTADOS!$C$16,0)</f>
        <v>0</v>
      </c>
      <c r="F352" s="4">
        <f ca="1">IF(D352&lt;&gt;0,PREMISSAS!$N$83,0)</f>
        <v>0</v>
      </c>
      <c r="G352" s="4">
        <f ca="1">IFERROR(IF(RESULTADOS!$C$17="Normal",0,D352)*IF(RESULTADOS!$C$17="Normal",RESULTADOS!$C$18,RESULTADOS!$C$16),0)</f>
        <v>0</v>
      </c>
      <c r="H352" s="4">
        <f ca="1">IF(RESULTADOS!$C$17="Normal",E352,0)</f>
        <v>0</v>
      </c>
      <c r="I352" s="4">
        <f ca="1">(E352+H352+G352)*IFERROR(VLOOKUP(INT(COUNT($B$5:B352)/12),PREMISSAS!$B$62:$C$69,2,FALSE),PREMISSAS!$C$69)</f>
        <v>0</v>
      </c>
      <c r="J352" s="4">
        <f ca="1">D352*IF(RESULTADOS!$C$17="Normal",PREMISSAS!$C$71,0)</f>
        <v>0</v>
      </c>
      <c r="K352" s="87">
        <f ca="1">IFERROR(K351*(1+PREMISSAS!$C$19)+(E352+H352-IF(RESULTADOS!$C$17="Normal",I352,0)-J352)*IF(MONTH(B352)=12,2,1),0)</f>
        <v>0</v>
      </c>
      <c r="L352" s="87">
        <f ca="1">IFERROR((L351+G352-IF(RESULTADOS!$C$17="Normal",0,I352))*(1+PREMISSAS!$C$19)+F352,0)</f>
        <v>0</v>
      </c>
      <c r="N352" s="58">
        <f t="shared" ca="1" si="41"/>
        <v>0</v>
      </c>
      <c r="P352" s="131" t="str">
        <f t="shared" ca="1" si="42"/>
        <v/>
      </c>
      <c r="Q352" s="111" t="str">
        <f ca="1">IF(C352="","",Q351+(E352+H352-IF(RESULTADOS!$C$17="Normal",I352,0)-J352)/2+(F352+G352-IF(RESULTADOS!$C$17="Normal",0,I352)))</f>
        <v/>
      </c>
      <c r="R352" s="111" t="str">
        <f ca="1">IF(C352="","",R351+(E352+H352-IF(RESULTADOS!$C$17="Normal",I352,0)-J352)/2)</f>
        <v/>
      </c>
      <c r="S352" s="111">
        <f t="shared" ca="1" si="44"/>
        <v>0</v>
      </c>
      <c r="U352" s="131" t="str">
        <f t="shared" ca="1" si="45"/>
        <v/>
      </c>
      <c r="V352" s="131" t="str">
        <f t="shared" ca="1" si="43"/>
        <v/>
      </c>
      <c r="W352" s="111">
        <f ca="1">IF(OR((W351-13/12*Z351)*(1+PREMISSAS!$C$17)&lt;0,W351=""),0,(W351-13/12*Z351)*(1+PREMISSAS!$C$17))</f>
        <v>0</v>
      </c>
      <c r="X352" s="111">
        <f ca="1">IF(OR((X351-13/12*AA351)*(1+PREMISSAS!$C$17)&lt;0,X351=""),0,(X351-13/12*AA351)*(1+PREMISSAS!$C$17))</f>
        <v>0</v>
      </c>
      <c r="Y352" s="111">
        <f t="shared" ca="1" si="40"/>
        <v>0</v>
      </c>
      <c r="Z352" s="134">
        <f t="shared" ca="1" si="46"/>
        <v>0</v>
      </c>
      <c r="AA352" s="134">
        <f t="shared" ca="1" si="47"/>
        <v>0</v>
      </c>
    </row>
    <row r="353" spans="2:27" x14ac:dyDescent="0.3">
      <c r="B353" s="21" t="str">
        <f ca="1">IF(B352="","",IF(EOMONTH(B352,1)&gt;EOMONTH(ELEGIBILIDADE!$E$5,0),"",EOMONTH(B352,1)))</f>
        <v/>
      </c>
      <c r="C353" s="22" t="str">
        <f ca="1">IF(B353="","",IF(MONTH(B353)=1,C352*(1+PREMISSAS!$C$58),C352))</f>
        <v/>
      </c>
      <c r="D353" s="22">
        <f ca="1">IF(RESULTADOS!$C$17="Normal",IFERROR(MAX(C353-PREMISSAS!$C$14,0),0),IF(PREMISSAS!$H$117=0,0,MAX(10*PREMISSAS!$C$39,RESULTADOS!$F$17)))</f>
        <v>0</v>
      </c>
      <c r="E353" s="4">
        <f ca="1">D353*IF(RESULTADOS!$C$17="Normal",RESULTADOS!$C$16,0)</f>
        <v>0</v>
      </c>
      <c r="F353" s="4">
        <f ca="1">IF(D353&lt;&gt;0,PREMISSAS!$N$83,0)</f>
        <v>0</v>
      </c>
      <c r="G353" s="4">
        <f ca="1">IFERROR(IF(RESULTADOS!$C$17="Normal",0,D353)*IF(RESULTADOS!$C$17="Normal",RESULTADOS!$C$18,RESULTADOS!$C$16),0)</f>
        <v>0</v>
      </c>
      <c r="H353" s="4">
        <f ca="1">IF(RESULTADOS!$C$17="Normal",E353,0)</f>
        <v>0</v>
      </c>
      <c r="I353" s="4">
        <f ca="1">(E353+H353+G353)*IFERROR(VLOOKUP(INT(COUNT($B$5:B353)/12),PREMISSAS!$B$62:$C$69,2,FALSE),PREMISSAS!$C$69)</f>
        <v>0</v>
      </c>
      <c r="J353" s="4">
        <f ca="1">D353*IF(RESULTADOS!$C$17="Normal",PREMISSAS!$C$71,0)</f>
        <v>0</v>
      </c>
      <c r="K353" s="87">
        <f ca="1">IFERROR(K352*(1+PREMISSAS!$C$19)+(E353+H353-IF(RESULTADOS!$C$17="Normal",I353,0)-J353)*IF(MONTH(B353)=12,2,1),0)</f>
        <v>0</v>
      </c>
      <c r="L353" s="87">
        <f ca="1">IFERROR((L352+G353-IF(RESULTADOS!$C$17="Normal",0,I353))*(1+PREMISSAS!$C$19)+F353,0)</f>
        <v>0</v>
      </c>
      <c r="N353" s="58">
        <f t="shared" ca="1" si="41"/>
        <v>0</v>
      </c>
      <c r="P353" s="131" t="str">
        <f t="shared" ca="1" si="42"/>
        <v/>
      </c>
      <c r="Q353" s="111" t="str">
        <f ca="1">IF(C353="","",Q352+(E353+H353-IF(RESULTADOS!$C$17="Normal",I353,0)-J353)/2+(F353+G353-IF(RESULTADOS!$C$17="Normal",0,I353)))</f>
        <v/>
      </c>
      <c r="R353" s="111" t="str">
        <f ca="1">IF(C353="","",R352+(E353+H353-IF(RESULTADOS!$C$17="Normal",I353,0)-J353)/2)</f>
        <v/>
      </c>
      <c r="S353" s="111">
        <f t="shared" ca="1" si="44"/>
        <v>0</v>
      </c>
      <c r="U353" s="131" t="str">
        <f t="shared" ca="1" si="45"/>
        <v/>
      </c>
      <c r="V353" s="131" t="str">
        <f t="shared" ca="1" si="43"/>
        <v/>
      </c>
      <c r="W353" s="111">
        <f ca="1">IF(OR((W352-13/12*Z352)*(1+PREMISSAS!$C$17)&lt;0,W352=""),0,(W352-13/12*Z352)*(1+PREMISSAS!$C$17))</f>
        <v>0</v>
      </c>
      <c r="X353" s="111">
        <f ca="1">IF(OR((X352-13/12*AA352)*(1+PREMISSAS!$C$17)&lt;0,X352=""),0,(X352-13/12*AA352)*(1+PREMISSAS!$C$17))</f>
        <v>0</v>
      </c>
      <c r="Y353" s="111">
        <f t="shared" ca="1" si="40"/>
        <v>0</v>
      </c>
      <c r="Z353" s="134">
        <f t="shared" ca="1" si="46"/>
        <v>0</v>
      </c>
      <c r="AA353" s="134">
        <f t="shared" ca="1" si="47"/>
        <v>0</v>
      </c>
    </row>
    <row r="354" spans="2:27" x14ac:dyDescent="0.3">
      <c r="B354" s="21" t="str">
        <f ca="1">IF(B353="","",IF(EOMONTH(B353,1)&gt;EOMONTH(ELEGIBILIDADE!$E$5,0),"",EOMONTH(B353,1)))</f>
        <v/>
      </c>
      <c r="C354" s="22" t="str">
        <f ca="1">IF(B354="","",IF(MONTH(B354)=1,C353*(1+PREMISSAS!$C$58),C353))</f>
        <v/>
      </c>
      <c r="D354" s="22">
        <f ca="1">IF(RESULTADOS!$C$17="Normal",IFERROR(MAX(C354-PREMISSAS!$C$14,0),0),IF(PREMISSAS!$H$117=0,0,MAX(10*PREMISSAS!$C$39,RESULTADOS!$F$17)))</f>
        <v>0</v>
      </c>
      <c r="E354" s="4">
        <f ca="1">D354*IF(RESULTADOS!$C$17="Normal",RESULTADOS!$C$16,0)</f>
        <v>0</v>
      </c>
      <c r="F354" s="4">
        <f ca="1">IF(D354&lt;&gt;0,PREMISSAS!$N$83,0)</f>
        <v>0</v>
      </c>
      <c r="G354" s="4">
        <f ca="1">IFERROR(IF(RESULTADOS!$C$17="Normal",0,D354)*IF(RESULTADOS!$C$17="Normal",RESULTADOS!$C$18,RESULTADOS!$C$16),0)</f>
        <v>0</v>
      </c>
      <c r="H354" s="4">
        <f ca="1">IF(RESULTADOS!$C$17="Normal",E354,0)</f>
        <v>0</v>
      </c>
      <c r="I354" s="4">
        <f ca="1">(E354+H354+G354)*IFERROR(VLOOKUP(INT(COUNT($B$5:B354)/12),PREMISSAS!$B$62:$C$69,2,FALSE),PREMISSAS!$C$69)</f>
        <v>0</v>
      </c>
      <c r="J354" s="4">
        <f ca="1">D354*IF(RESULTADOS!$C$17="Normal",PREMISSAS!$C$71,0)</f>
        <v>0</v>
      </c>
      <c r="K354" s="87">
        <f ca="1">IFERROR(K353*(1+PREMISSAS!$C$19)+(E354+H354-IF(RESULTADOS!$C$17="Normal",I354,0)-J354)*IF(MONTH(B354)=12,2,1),0)</f>
        <v>0</v>
      </c>
      <c r="L354" s="87">
        <f ca="1">IFERROR((L353+G354-IF(RESULTADOS!$C$17="Normal",0,I354))*(1+PREMISSAS!$C$19)+F354,0)</f>
        <v>0</v>
      </c>
      <c r="N354" s="58">
        <f t="shared" ca="1" si="41"/>
        <v>0</v>
      </c>
      <c r="P354" s="131" t="str">
        <f t="shared" ca="1" si="42"/>
        <v/>
      </c>
      <c r="Q354" s="111" t="str">
        <f ca="1">IF(C354="","",Q353+(E354+H354-IF(RESULTADOS!$C$17="Normal",I354,0)-J354)/2+(F354+G354-IF(RESULTADOS!$C$17="Normal",0,I354)))</f>
        <v/>
      </c>
      <c r="R354" s="111" t="str">
        <f ca="1">IF(C354="","",R353+(E354+H354-IF(RESULTADOS!$C$17="Normal",I354,0)-J354)/2)</f>
        <v/>
      </c>
      <c r="S354" s="111">
        <f t="shared" ca="1" si="44"/>
        <v>0</v>
      </c>
      <c r="U354" s="131" t="str">
        <f t="shared" ca="1" si="45"/>
        <v/>
      </c>
      <c r="V354" s="131" t="str">
        <f t="shared" ca="1" si="43"/>
        <v/>
      </c>
      <c r="W354" s="111">
        <f ca="1">IF(OR((W353-13/12*Z353)*(1+PREMISSAS!$C$17)&lt;0,W353=""),0,(W353-13/12*Z353)*(1+PREMISSAS!$C$17))</f>
        <v>0</v>
      </c>
      <c r="X354" s="111">
        <f ca="1">IF(OR((X353-13/12*AA353)*(1+PREMISSAS!$C$17)&lt;0,X353=""),0,(X353-13/12*AA353)*(1+PREMISSAS!$C$17))</f>
        <v>0</v>
      </c>
      <c r="Y354" s="111">
        <f t="shared" ca="1" si="40"/>
        <v>0</v>
      </c>
      <c r="Z354" s="134">
        <f t="shared" ca="1" si="46"/>
        <v>0</v>
      </c>
      <c r="AA354" s="134">
        <f t="shared" ca="1" si="47"/>
        <v>0</v>
      </c>
    </row>
    <row r="355" spans="2:27" x14ac:dyDescent="0.3">
      <c r="B355" s="21" t="str">
        <f ca="1">IF(B354="","",IF(EOMONTH(B354,1)&gt;EOMONTH(ELEGIBILIDADE!$E$5,0),"",EOMONTH(B354,1)))</f>
        <v/>
      </c>
      <c r="C355" s="22" t="str">
        <f ca="1">IF(B355="","",IF(MONTH(B355)=1,C354*(1+PREMISSAS!$C$58),C354))</f>
        <v/>
      </c>
      <c r="D355" s="22">
        <f ca="1">IF(RESULTADOS!$C$17="Normal",IFERROR(MAX(C355-PREMISSAS!$C$14,0),0),IF(PREMISSAS!$H$117=0,0,MAX(10*PREMISSAS!$C$39,RESULTADOS!$F$17)))</f>
        <v>0</v>
      </c>
      <c r="E355" s="4">
        <f ca="1">D355*IF(RESULTADOS!$C$17="Normal",RESULTADOS!$C$16,0)</f>
        <v>0</v>
      </c>
      <c r="F355" s="4">
        <f ca="1">IF(D355&lt;&gt;0,PREMISSAS!$N$83,0)</f>
        <v>0</v>
      </c>
      <c r="G355" s="4">
        <f ca="1">IFERROR(IF(RESULTADOS!$C$17="Normal",0,D355)*IF(RESULTADOS!$C$17="Normal",RESULTADOS!$C$18,RESULTADOS!$C$16),0)</f>
        <v>0</v>
      </c>
      <c r="H355" s="4">
        <f ca="1">IF(RESULTADOS!$C$17="Normal",E355,0)</f>
        <v>0</v>
      </c>
      <c r="I355" s="4">
        <f ca="1">(E355+H355+G355)*IFERROR(VLOOKUP(INT(COUNT($B$5:B355)/12),PREMISSAS!$B$62:$C$69,2,FALSE),PREMISSAS!$C$69)</f>
        <v>0</v>
      </c>
      <c r="J355" s="4">
        <f ca="1">D355*IF(RESULTADOS!$C$17="Normal",PREMISSAS!$C$71,0)</f>
        <v>0</v>
      </c>
      <c r="K355" s="87">
        <f ca="1">IFERROR(K354*(1+PREMISSAS!$C$19)+(E355+H355-IF(RESULTADOS!$C$17="Normal",I355,0)-J355)*IF(MONTH(B355)=12,2,1),0)</f>
        <v>0</v>
      </c>
      <c r="L355" s="87">
        <f ca="1">IFERROR((L354+G355-IF(RESULTADOS!$C$17="Normal",0,I355))*(1+PREMISSAS!$C$19)+F355,0)</f>
        <v>0</v>
      </c>
      <c r="N355" s="58">
        <f t="shared" ca="1" si="41"/>
        <v>0</v>
      </c>
      <c r="P355" s="131" t="str">
        <f t="shared" ca="1" si="42"/>
        <v/>
      </c>
      <c r="Q355" s="111" t="str">
        <f ca="1">IF(C355="","",Q354+(E355+H355-IF(RESULTADOS!$C$17="Normal",I355,0)-J355)/2+(F355+G355-IF(RESULTADOS!$C$17="Normal",0,I355)))</f>
        <v/>
      </c>
      <c r="R355" s="111" t="str">
        <f ca="1">IF(C355="","",R354+(E355+H355-IF(RESULTADOS!$C$17="Normal",I355,0)-J355)/2)</f>
        <v/>
      </c>
      <c r="S355" s="111">
        <f t="shared" ca="1" si="44"/>
        <v>0</v>
      </c>
      <c r="U355" s="131" t="str">
        <f t="shared" ca="1" si="45"/>
        <v/>
      </c>
      <c r="V355" s="131" t="str">
        <f t="shared" ca="1" si="43"/>
        <v/>
      </c>
      <c r="W355" s="111">
        <f ca="1">IF(OR((W354-13/12*Z354)*(1+PREMISSAS!$C$17)&lt;0,W354=""),0,(W354-13/12*Z354)*(1+PREMISSAS!$C$17))</f>
        <v>0</v>
      </c>
      <c r="X355" s="111">
        <f ca="1">IF(OR((X354-13/12*AA354)*(1+PREMISSAS!$C$17)&lt;0,X354=""),0,(X354-13/12*AA354)*(1+PREMISSAS!$C$17))</f>
        <v>0</v>
      </c>
      <c r="Y355" s="111">
        <f t="shared" ca="1" si="40"/>
        <v>0</v>
      </c>
      <c r="Z355" s="134">
        <f t="shared" ca="1" si="46"/>
        <v>0</v>
      </c>
      <c r="AA355" s="134">
        <f t="shared" ca="1" si="47"/>
        <v>0</v>
      </c>
    </row>
    <row r="356" spans="2:27" x14ac:dyDescent="0.3">
      <c r="B356" s="21" t="str">
        <f ca="1">IF(B355="","",IF(EOMONTH(B355,1)&gt;EOMONTH(ELEGIBILIDADE!$E$5,0),"",EOMONTH(B355,1)))</f>
        <v/>
      </c>
      <c r="C356" s="22" t="str">
        <f ca="1">IF(B356="","",IF(MONTH(B356)=1,C355*(1+PREMISSAS!$C$58),C355))</f>
        <v/>
      </c>
      <c r="D356" s="22">
        <f ca="1">IF(RESULTADOS!$C$17="Normal",IFERROR(MAX(C356-PREMISSAS!$C$14,0),0),IF(PREMISSAS!$H$117=0,0,MAX(10*PREMISSAS!$C$39,RESULTADOS!$F$17)))</f>
        <v>0</v>
      </c>
      <c r="E356" s="4">
        <f ca="1">D356*IF(RESULTADOS!$C$17="Normal",RESULTADOS!$C$16,0)</f>
        <v>0</v>
      </c>
      <c r="F356" s="4">
        <f ca="1">IF(D356&lt;&gt;0,PREMISSAS!$N$83,0)</f>
        <v>0</v>
      </c>
      <c r="G356" s="4">
        <f ca="1">IFERROR(IF(RESULTADOS!$C$17="Normal",0,D356)*IF(RESULTADOS!$C$17="Normal",RESULTADOS!$C$18,RESULTADOS!$C$16),0)</f>
        <v>0</v>
      </c>
      <c r="H356" s="4">
        <f ca="1">IF(RESULTADOS!$C$17="Normal",E356,0)</f>
        <v>0</v>
      </c>
      <c r="I356" s="4">
        <f ca="1">(E356+H356+G356)*IFERROR(VLOOKUP(INT(COUNT($B$5:B356)/12),PREMISSAS!$B$62:$C$69,2,FALSE),PREMISSAS!$C$69)</f>
        <v>0</v>
      </c>
      <c r="J356" s="4">
        <f ca="1">D356*IF(RESULTADOS!$C$17="Normal",PREMISSAS!$C$71,0)</f>
        <v>0</v>
      </c>
      <c r="K356" s="87">
        <f ca="1">IFERROR(K355*(1+PREMISSAS!$C$19)+(E356+H356-IF(RESULTADOS!$C$17="Normal",I356,0)-J356)*IF(MONTH(B356)=12,2,1),0)</f>
        <v>0</v>
      </c>
      <c r="L356" s="87">
        <f ca="1">IFERROR((L355+G356-IF(RESULTADOS!$C$17="Normal",0,I356))*(1+PREMISSAS!$C$19)+F356,0)</f>
        <v>0</v>
      </c>
      <c r="N356" s="58">
        <f t="shared" ca="1" si="41"/>
        <v>0</v>
      </c>
      <c r="P356" s="131" t="str">
        <f t="shared" ca="1" si="42"/>
        <v/>
      </c>
      <c r="Q356" s="111" t="str">
        <f ca="1">IF(C356="","",Q355+(E356+H356-IF(RESULTADOS!$C$17="Normal",I356,0)-J356)/2+(F356+G356-IF(RESULTADOS!$C$17="Normal",0,I356)))</f>
        <v/>
      </c>
      <c r="R356" s="111" t="str">
        <f ca="1">IF(C356="","",R355+(E356+H356-IF(RESULTADOS!$C$17="Normal",I356,0)-J356)/2)</f>
        <v/>
      </c>
      <c r="S356" s="111">
        <f t="shared" ca="1" si="44"/>
        <v>0</v>
      </c>
      <c r="U356" s="131" t="str">
        <f t="shared" ca="1" si="45"/>
        <v/>
      </c>
      <c r="V356" s="131" t="str">
        <f t="shared" ca="1" si="43"/>
        <v/>
      </c>
      <c r="W356" s="111">
        <f ca="1">IF(OR((W355-13/12*Z355)*(1+PREMISSAS!$C$17)&lt;0,W355=""),0,(W355-13/12*Z355)*(1+PREMISSAS!$C$17))</f>
        <v>0</v>
      </c>
      <c r="X356" s="111">
        <f ca="1">IF(OR((X355-13/12*AA355)*(1+PREMISSAS!$C$17)&lt;0,X355=""),0,(X355-13/12*AA355)*(1+PREMISSAS!$C$17))</f>
        <v>0</v>
      </c>
      <c r="Y356" s="111">
        <f t="shared" ca="1" si="40"/>
        <v>0</v>
      </c>
      <c r="Z356" s="134">
        <f t="shared" ca="1" si="46"/>
        <v>0</v>
      </c>
      <c r="AA356" s="134">
        <f t="shared" ca="1" si="47"/>
        <v>0</v>
      </c>
    </row>
    <row r="357" spans="2:27" x14ac:dyDescent="0.3">
      <c r="B357" s="21" t="str">
        <f ca="1">IF(B356="","",IF(EOMONTH(B356,1)&gt;EOMONTH(ELEGIBILIDADE!$E$5,0),"",EOMONTH(B356,1)))</f>
        <v/>
      </c>
      <c r="C357" s="22" t="str">
        <f ca="1">IF(B357="","",IF(MONTH(B357)=1,C356*(1+PREMISSAS!$C$58),C356))</f>
        <v/>
      </c>
      <c r="D357" s="22">
        <f ca="1">IF(RESULTADOS!$C$17="Normal",IFERROR(MAX(C357-PREMISSAS!$C$14,0),0),IF(PREMISSAS!$H$117=0,0,MAX(10*PREMISSAS!$C$39,RESULTADOS!$F$17)))</f>
        <v>0</v>
      </c>
      <c r="E357" s="4">
        <f ca="1">D357*IF(RESULTADOS!$C$17="Normal",RESULTADOS!$C$16,0)</f>
        <v>0</v>
      </c>
      <c r="F357" s="4">
        <f ca="1">IF(D357&lt;&gt;0,PREMISSAS!$N$83,0)</f>
        <v>0</v>
      </c>
      <c r="G357" s="4">
        <f ca="1">IFERROR(IF(RESULTADOS!$C$17="Normal",0,D357)*IF(RESULTADOS!$C$17="Normal",RESULTADOS!$C$18,RESULTADOS!$C$16),0)</f>
        <v>0</v>
      </c>
      <c r="H357" s="4">
        <f ca="1">IF(RESULTADOS!$C$17="Normal",E357,0)</f>
        <v>0</v>
      </c>
      <c r="I357" s="4">
        <f ca="1">(E357+H357+G357)*IFERROR(VLOOKUP(INT(COUNT($B$5:B357)/12),PREMISSAS!$B$62:$C$69,2,FALSE),PREMISSAS!$C$69)</f>
        <v>0</v>
      </c>
      <c r="J357" s="4">
        <f ca="1">D357*IF(RESULTADOS!$C$17="Normal",PREMISSAS!$C$71,0)</f>
        <v>0</v>
      </c>
      <c r="K357" s="87">
        <f ca="1">IFERROR(K356*(1+PREMISSAS!$C$19)+(E357+H357-IF(RESULTADOS!$C$17="Normal",I357,0)-J357)*IF(MONTH(B357)=12,2,1),0)</f>
        <v>0</v>
      </c>
      <c r="L357" s="87">
        <f ca="1">IFERROR((L356+G357-IF(RESULTADOS!$C$17="Normal",0,I357))*(1+PREMISSAS!$C$19)+F357,0)</f>
        <v>0</v>
      </c>
      <c r="N357" s="58">
        <f t="shared" ca="1" si="41"/>
        <v>0</v>
      </c>
      <c r="P357" s="131" t="str">
        <f t="shared" ca="1" si="42"/>
        <v/>
      </c>
      <c r="Q357" s="111" t="str">
        <f ca="1">IF(C357="","",Q356+(E357+H357-IF(RESULTADOS!$C$17="Normal",I357,0)-J357)/2+(F357+G357-IF(RESULTADOS!$C$17="Normal",0,I357)))</f>
        <v/>
      </c>
      <c r="R357" s="111" t="str">
        <f ca="1">IF(C357="","",R356+(E357+H357-IF(RESULTADOS!$C$17="Normal",I357,0)-J357)/2)</f>
        <v/>
      </c>
      <c r="S357" s="111">
        <f t="shared" ca="1" si="44"/>
        <v>0</v>
      </c>
      <c r="U357" s="131" t="str">
        <f t="shared" ca="1" si="45"/>
        <v/>
      </c>
      <c r="V357" s="131" t="str">
        <f t="shared" ca="1" si="43"/>
        <v/>
      </c>
      <c r="W357" s="111">
        <f ca="1">IF(OR((W356-13/12*Z356)*(1+PREMISSAS!$C$17)&lt;0,W356=""),0,(W356-13/12*Z356)*(1+PREMISSAS!$C$17))</f>
        <v>0</v>
      </c>
      <c r="X357" s="111">
        <f ca="1">IF(OR((X356-13/12*AA356)*(1+PREMISSAS!$C$17)&lt;0,X356=""),0,(X356-13/12*AA356)*(1+PREMISSAS!$C$17))</f>
        <v>0</v>
      </c>
      <c r="Y357" s="111">
        <f t="shared" ca="1" si="40"/>
        <v>0</v>
      </c>
      <c r="Z357" s="134">
        <f t="shared" ca="1" si="46"/>
        <v>0</v>
      </c>
      <c r="AA357" s="134">
        <f t="shared" ca="1" si="47"/>
        <v>0</v>
      </c>
    </row>
    <row r="358" spans="2:27" x14ac:dyDescent="0.3">
      <c r="B358" s="21" t="str">
        <f ca="1">IF(B357="","",IF(EOMONTH(B357,1)&gt;EOMONTH(ELEGIBILIDADE!$E$5,0),"",EOMONTH(B357,1)))</f>
        <v/>
      </c>
      <c r="C358" s="22" t="str">
        <f ca="1">IF(B358="","",IF(MONTH(B358)=1,C357*(1+PREMISSAS!$C$58),C357))</f>
        <v/>
      </c>
      <c r="D358" s="22">
        <f ca="1">IF(RESULTADOS!$C$17="Normal",IFERROR(MAX(C358-PREMISSAS!$C$14,0),0),IF(PREMISSAS!$H$117=0,0,MAX(10*PREMISSAS!$C$39,RESULTADOS!$F$17)))</f>
        <v>0</v>
      </c>
      <c r="E358" s="4">
        <f ca="1">D358*IF(RESULTADOS!$C$17="Normal",RESULTADOS!$C$16,0)</f>
        <v>0</v>
      </c>
      <c r="F358" s="4">
        <f ca="1">IF(D358&lt;&gt;0,PREMISSAS!$N$83,0)</f>
        <v>0</v>
      </c>
      <c r="G358" s="4">
        <f ca="1">IFERROR(IF(RESULTADOS!$C$17="Normal",0,D358)*IF(RESULTADOS!$C$17="Normal",RESULTADOS!$C$18,RESULTADOS!$C$16),0)</f>
        <v>0</v>
      </c>
      <c r="H358" s="4">
        <f ca="1">IF(RESULTADOS!$C$17="Normal",E358,0)</f>
        <v>0</v>
      </c>
      <c r="I358" s="4">
        <f ca="1">(E358+H358+G358)*IFERROR(VLOOKUP(INT(COUNT($B$5:B358)/12),PREMISSAS!$B$62:$C$69,2,FALSE),PREMISSAS!$C$69)</f>
        <v>0</v>
      </c>
      <c r="J358" s="4">
        <f ca="1">D358*IF(RESULTADOS!$C$17="Normal",PREMISSAS!$C$71,0)</f>
        <v>0</v>
      </c>
      <c r="K358" s="87">
        <f ca="1">IFERROR(K357*(1+PREMISSAS!$C$19)+(E358+H358-IF(RESULTADOS!$C$17="Normal",I358,0)-J358)*IF(MONTH(B358)=12,2,1),0)</f>
        <v>0</v>
      </c>
      <c r="L358" s="87">
        <f ca="1">IFERROR((L357+G358-IF(RESULTADOS!$C$17="Normal",0,I358))*(1+PREMISSAS!$C$19)+F358,0)</f>
        <v>0</v>
      </c>
      <c r="N358" s="58">
        <f t="shared" ca="1" si="41"/>
        <v>0</v>
      </c>
      <c r="P358" s="131" t="str">
        <f t="shared" ca="1" si="42"/>
        <v/>
      </c>
      <c r="Q358" s="111" t="str">
        <f ca="1">IF(C358="","",Q357+(E358+H358-IF(RESULTADOS!$C$17="Normal",I358,0)-J358)/2+(F358+G358-IF(RESULTADOS!$C$17="Normal",0,I358)))</f>
        <v/>
      </c>
      <c r="R358" s="111" t="str">
        <f ca="1">IF(C358="","",R357+(E358+H358-IF(RESULTADOS!$C$17="Normal",I358,0)-J358)/2)</f>
        <v/>
      </c>
      <c r="S358" s="111">
        <f t="shared" ca="1" si="44"/>
        <v>0</v>
      </c>
      <c r="U358" s="131" t="str">
        <f t="shared" ca="1" si="45"/>
        <v/>
      </c>
      <c r="V358" s="131" t="str">
        <f t="shared" ca="1" si="43"/>
        <v/>
      </c>
      <c r="W358" s="111">
        <f ca="1">IF(OR((W357-13/12*Z357)*(1+PREMISSAS!$C$17)&lt;0,W357=""),0,(W357-13/12*Z357)*(1+PREMISSAS!$C$17))</f>
        <v>0</v>
      </c>
      <c r="X358" s="111">
        <f ca="1">IF(OR((X357-13/12*AA357)*(1+PREMISSAS!$C$17)&lt;0,X357=""),0,(X357-13/12*AA357)*(1+PREMISSAS!$C$17))</f>
        <v>0</v>
      </c>
      <c r="Y358" s="111">
        <f t="shared" ca="1" si="40"/>
        <v>0</v>
      </c>
      <c r="Z358" s="134">
        <f t="shared" ca="1" si="46"/>
        <v>0</v>
      </c>
      <c r="AA358" s="134">
        <f t="shared" ca="1" si="47"/>
        <v>0</v>
      </c>
    </row>
    <row r="359" spans="2:27" x14ac:dyDescent="0.3">
      <c r="B359" s="21" t="str">
        <f ca="1">IF(B358="","",IF(EOMONTH(B358,1)&gt;EOMONTH(ELEGIBILIDADE!$E$5,0),"",EOMONTH(B358,1)))</f>
        <v/>
      </c>
      <c r="C359" s="22" t="str">
        <f ca="1">IF(B359="","",IF(MONTH(B359)=1,C358*(1+PREMISSAS!$C$58),C358))</f>
        <v/>
      </c>
      <c r="D359" s="22">
        <f ca="1">IF(RESULTADOS!$C$17="Normal",IFERROR(MAX(C359-PREMISSAS!$C$14,0),0),IF(PREMISSAS!$H$117=0,0,MAX(10*PREMISSAS!$C$39,RESULTADOS!$F$17)))</f>
        <v>0</v>
      </c>
      <c r="E359" s="4">
        <f ca="1">D359*IF(RESULTADOS!$C$17="Normal",RESULTADOS!$C$16,0)</f>
        <v>0</v>
      </c>
      <c r="F359" s="4">
        <f ca="1">IF(D359&lt;&gt;0,PREMISSAS!$N$83,0)</f>
        <v>0</v>
      </c>
      <c r="G359" s="4">
        <f ca="1">IFERROR(IF(RESULTADOS!$C$17="Normal",0,D359)*IF(RESULTADOS!$C$17="Normal",RESULTADOS!$C$18,RESULTADOS!$C$16),0)</f>
        <v>0</v>
      </c>
      <c r="H359" s="4">
        <f ca="1">IF(RESULTADOS!$C$17="Normal",E359,0)</f>
        <v>0</v>
      </c>
      <c r="I359" s="4">
        <f ca="1">(E359+H359+G359)*IFERROR(VLOOKUP(INT(COUNT($B$5:B359)/12),PREMISSAS!$B$62:$C$69,2,FALSE),PREMISSAS!$C$69)</f>
        <v>0</v>
      </c>
      <c r="J359" s="4">
        <f ca="1">D359*IF(RESULTADOS!$C$17="Normal",PREMISSAS!$C$71,0)</f>
        <v>0</v>
      </c>
      <c r="K359" s="87">
        <f ca="1">IFERROR(K358*(1+PREMISSAS!$C$19)+(E359+H359-IF(RESULTADOS!$C$17="Normal",I359,0)-J359)*IF(MONTH(B359)=12,2,1),0)</f>
        <v>0</v>
      </c>
      <c r="L359" s="87">
        <f ca="1">IFERROR((L358+G359-IF(RESULTADOS!$C$17="Normal",0,I359))*(1+PREMISSAS!$C$19)+F359,0)</f>
        <v>0</v>
      </c>
      <c r="N359" s="58">
        <f t="shared" ca="1" si="41"/>
        <v>0</v>
      </c>
      <c r="P359" s="131" t="str">
        <f t="shared" ca="1" si="42"/>
        <v/>
      </c>
      <c r="Q359" s="111" t="str">
        <f ca="1">IF(C359="","",Q358+(E359+H359-IF(RESULTADOS!$C$17="Normal",I359,0)-J359)/2+(F359+G359-IF(RESULTADOS!$C$17="Normal",0,I359)))</f>
        <v/>
      </c>
      <c r="R359" s="111" t="str">
        <f ca="1">IF(C359="","",R358+(E359+H359-IF(RESULTADOS!$C$17="Normal",I359,0)-J359)/2)</f>
        <v/>
      </c>
      <c r="S359" s="111">
        <f t="shared" ca="1" si="44"/>
        <v>0</v>
      </c>
      <c r="U359" s="131" t="str">
        <f t="shared" ca="1" si="45"/>
        <v/>
      </c>
      <c r="V359" s="131" t="str">
        <f t="shared" ca="1" si="43"/>
        <v/>
      </c>
      <c r="W359" s="111">
        <f ca="1">IF(OR((W358-13/12*Z358)*(1+PREMISSAS!$C$17)&lt;0,W358=""),0,(W358-13/12*Z358)*(1+PREMISSAS!$C$17))</f>
        <v>0</v>
      </c>
      <c r="X359" s="111">
        <f ca="1">IF(OR((X358-13/12*AA358)*(1+PREMISSAS!$C$17)&lt;0,X358=""),0,(X358-13/12*AA358)*(1+PREMISSAS!$C$17))</f>
        <v>0</v>
      </c>
      <c r="Y359" s="111">
        <f t="shared" ca="1" si="40"/>
        <v>0</v>
      </c>
      <c r="Z359" s="134">
        <f t="shared" ca="1" si="46"/>
        <v>0</v>
      </c>
      <c r="AA359" s="134">
        <f t="shared" ca="1" si="47"/>
        <v>0</v>
      </c>
    </row>
    <row r="360" spans="2:27" x14ac:dyDescent="0.3">
      <c r="B360" s="21" t="str">
        <f ca="1">IF(B359="","",IF(EOMONTH(B359,1)&gt;EOMONTH(ELEGIBILIDADE!$E$5,0),"",EOMONTH(B359,1)))</f>
        <v/>
      </c>
      <c r="C360" s="22" t="str">
        <f ca="1">IF(B360="","",IF(MONTH(B360)=1,C359*(1+PREMISSAS!$C$58),C359))</f>
        <v/>
      </c>
      <c r="D360" s="22">
        <f ca="1">IF(RESULTADOS!$C$17="Normal",IFERROR(MAX(C360-PREMISSAS!$C$14,0),0),IF(PREMISSAS!$H$117=0,0,MAX(10*PREMISSAS!$C$39,RESULTADOS!$F$17)))</f>
        <v>0</v>
      </c>
      <c r="E360" s="4">
        <f ca="1">D360*IF(RESULTADOS!$C$17="Normal",RESULTADOS!$C$16,0)</f>
        <v>0</v>
      </c>
      <c r="F360" s="4">
        <f ca="1">IF(D360&lt;&gt;0,PREMISSAS!$N$83,0)</f>
        <v>0</v>
      </c>
      <c r="G360" s="4">
        <f ca="1">IFERROR(IF(RESULTADOS!$C$17="Normal",0,D360)*IF(RESULTADOS!$C$17="Normal",RESULTADOS!$C$18,RESULTADOS!$C$16),0)</f>
        <v>0</v>
      </c>
      <c r="H360" s="4">
        <f ca="1">IF(RESULTADOS!$C$17="Normal",E360,0)</f>
        <v>0</v>
      </c>
      <c r="I360" s="4">
        <f ca="1">(E360+H360+G360)*IFERROR(VLOOKUP(INT(COUNT($B$5:B360)/12),PREMISSAS!$B$62:$C$69,2,FALSE),PREMISSAS!$C$69)</f>
        <v>0</v>
      </c>
      <c r="J360" s="4">
        <f ca="1">D360*IF(RESULTADOS!$C$17="Normal",PREMISSAS!$C$71,0)</f>
        <v>0</v>
      </c>
      <c r="K360" s="87">
        <f ca="1">IFERROR(K359*(1+PREMISSAS!$C$19)+(E360+H360-IF(RESULTADOS!$C$17="Normal",I360,0)-J360)*IF(MONTH(B360)=12,2,1),0)</f>
        <v>0</v>
      </c>
      <c r="L360" s="87">
        <f ca="1">IFERROR((L359+G360-IF(RESULTADOS!$C$17="Normal",0,I360))*(1+PREMISSAS!$C$19)+F360,0)</f>
        <v>0</v>
      </c>
      <c r="N360" s="58">
        <f t="shared" ca="1" si="41"/>
        <v>0</v>
      </c>
      <c r="P360" s="131" t="str">
        <f t="shared" ca="1" si="42"/>
        <v/>
      </c>
      <c r="Q360" s="111" t="str">
        <f ca="1">IF(C360="","",Q359+(E360+H360-IF(RESULTADOS!$C$17="Normal",I360,0)-J360)/2+(F360+G360-IF(RESULTADOS!$C$17="Normal",0,I360)))</f>
        <v/>
      </c>
      <c r="R360" s="111" t="str">
        <f ca="1">IF(C360="","",R359+(E360+H360-IF(RESULTADOS!$C$17="Normal",I360,0)-J360)/2)</f>
        <v/>
      </c>
      <c r="S360" s="111">
        <f t="shared" ca="1" si="44"/>
        <v>0</v>
      </c>
      <c r="U360" s="131" t="str">
        <f t="shared" ca="1" si="45"/>
        <v/>
      </c>
      <c r="V360" s="131" t="str">
        <f t="shared" ca="1" si="43"/>
        <v/>
      </c>
      <c r="W360" s="111">
        <f ca="1">IF(OR((W359-13/12*Z359)*(1+PREMISSAS!$C$17)&lt;0,W359=""),0,(W359-13/12*Z359)*(1+PREMISSAS!$C$17))</f>
        <v>0</v>
      </c>
      <c r="X360" s="111">
        <f ca="1">IF(OR((X359-13/12*AA359)*(1+PREMISSAS!$C$17)&lt;0,X359=""),0,(X359-13/12*AA359)*(1+PREMISSAS!$C$17))</f>
        <v>0</v>
      </c>
      <c r="Y360" s="111">
        <f t="shared" ca="1" si="40"/>
        <v>0</v>
      </c>
      <c r="Z360" s="134">
        <f t="shared" ca="1" si="46"/>
        <v>0</v>
      </c>
      <c r="AA360" s="134">
        <f t="shared" ca="1" si="47"/>
        <v>0</v>
      </c>
    </row>
    <row r="361" spans="2:27" x14ac:dyDescent="0.3">
      <c r="B361" s="21" t="str">
        <f ca="1">IF(B360="","",IF(EOMONTH(B360,1)&gt;EOMONTH(ELEGIBILIDADE!$E$5,0),"",EOMONTH(B360,1)))</f>
        <v/>
      </c>
      <c r="C361" s="22" t="str">
        <f ca="1">IF(B361="","",IF(MONTH(B361)=1,C360*(1+PREMISSAS!$C$58),C360))</f>
        <v/>
      </c>
      <c r="D361" s="22">
        <f ca="1">IF(RESULTADOS!$C$17="Normal",IFERROR(MAX(C361-PREMISSAS!$C$14,0),0),IF(PREMISSAS!$H$117=0,0,MAX(10*PREMISSAS!$C$39,RESULTADOS!$F$17)))</f>
        <v>0</v>
      </c>
      <c r="E361" s="4">
        <f ca="1">D361*IF(RESULTADOS!$C$17="Normal",RESULTADOS!$C$16,0)</f>
        <v>0</v>
      </c>
      <c r="F361" s="4">
        <f ca="1">IF(D361&lt;&gt;0,PREMISSAS!$N$83,0)</f>
        <v>0</v>
      </c>
      <c r="G361" s="4">
        <f ca="1">IFERROR(IF(RESULTADOS!$C$17="Normal",0,D361)*IF(RESULTADOS!$C$17="Normal",RESULTADOS!$C$18,RESULTADOS!$C$16),0)</f>
        <v>0</v>
      </c>
      <c r="H361" s="4">
        <f ca="1">IF(RESULTADOS!$C$17="Normal",E361,0)</f>
        <v>0</v>
      </c>
      <c r="I361" s="4">
        <f ca="1">(E361+H361+G361)*IFERROR(VLOOKUP(INT(COUNT($B$5:B361)/12),PREMISSAS!$B$62:$C$69,2,FALSE),PREMISSAS!$C$69)</f>
        <v>0</v>
      </c>
      <c r="J361" s="4">
        <f ca="1">D361*IF(RESULTADOS!$C$17="Normal",PREMISSAS!$C$71,0)</f>
        <v>0</v>
      </c>
      <c r="K361" s="87">
        <f ca="1">IFERROR(K360*(1+PREMISSAS!$C$19)+(E361+H361-IF(RESULTADOS!$C$17="Normal",I361,0)-J361)*IF(MONTH(B361)=12,2,1),0)</f>
        <v>0</v>
      </c>
      <c r="L361" s="87">
        <f ca="1">IFERROR((L360+G361-IF(RESULTADOS!$C$17="Normal",0,I361))*(1+PREMISSAS!$C$19)+F361,0)</f>
        <v>0</v>
      </c>
      <c r="N361" s="58">
        <f t="shared" ca="1" si="41"/>
        <v>0</v>
      </c>
      <c r="P361" s="131" t="str">
        <f t="shared" ca="1" si="42"/>
        <v/>
      </c>
      <c r="Q361" s="111" t="str">
        <f ca="1">IF(C361="","",Q360+(E361+H361-IF(RESULTADOS!$C$17="Normal",I361,0)-J361)/2+(F361+G361-IF(RESULTADOS!$C$17="Normal",0,I361)))</f>
        <v/>
      </c>
      <c r="R361" s="111" t="str">
        <f ca="1">IF(C361="","",R360+(E361+H361-IF(RESULTADOS!$C$17="Normal",I361,0)-J361)/2)</f>
        <v/>
      </c>
      <c r="S361" s="111">
        <f t="shared" ca="1" si="44"/>
        <v>0</v>
      </c>
      <c r="U361" s="131" t="str">
        <f t="shared" ca="1" si="45"/>
        <v/>
      </c>
      <c r="V361" s="131" t="str">
        <f t="shared" ca="1" si="43"/>
        <v/>
      </c>
      <c r="W361" s="111">
        <f ca="1">IF(OR((W360-13/12*Z360)*(1+PREMISSAS!$C$17)&lt;0,W360=""),0,(W360-13/12*Z360)*(1+PREMISSAS!$C$17))</f>
        <v>0</v>
      </c>
      <c r="X361" s="111">
        <f ca="1">IF(OR((X360-13/12*AA360)*(1+PREMISSAS!$C$17)&lt;0,X360=""),0,(X360-13/12*AA360)*(1+PREMISSAS!$C$17))</f>
        <v>0</v>
      </c>
      <c r="Y361" s="111">
        <f t="shared" ca="1" si="40"/>
        <v>0</v>
      </c>
      <c r="Z361" s="134">
        <f t="shared" ca="1" si="46"/>
        <v>0</v>
      </c>
      <c r="AA361" s="134">
        <f t="shared" ca="1" si="47"/>
        <v>0</v>
      </c>
    </row>
    <row r="362" spans="2:27" x14ac:dyDescent="0.3">
      <c r="B362" s="21" t="str">
        <f ca="1">IF(B361="","",IF(EOMONTH(B361,1)&gt;EOMONTH(ELEGIBILIDADE!$E$5,0),"",EOMONTH(B361,1)))</f>
        <v/>
      </c>
      <c r="C362" s="22" t="str">
        <f ca="1">IF(B362="","",IF(MONTH(B362)=1,C361*(1+PREMISSAS!$C$58),C361))</f>
        <v/>
      </c>
      <c r="D362" s="22">
        <f ca="1">IF(RESULTADOS!$C$17="Normal",IFERROR(MAX(C362-PREMISSAS!$C$14,0),0),IF(PREMISSAS!$H$117=0,0,MAX(10*PREMISSAS!$C$39,RESULTADOS!$F$17)))</f>
        <v>0</v>
      </c>
      <c r="E362" s="4">
        <f ca="1">D362*IF(RESULTADOS!$C$17="Normal",RESULTADOS!$C$16,0)</f>
        <v>0</v>
      </c>
      <c r="F362" s="4">
        <f ca="1">IF(D362&lt;&gt;0,PREMISSAS!$N$83,0)</f>
        <v>0</v>
      </c>
      <c r="G362" s="4">
        <f ca="1">IFERROR(IF(RESULTADOS!$C$17="Normal",0,D362)*IF(RESULTADOS!$C$17="Normal",RESULTADOS!$C$18,RESULTADOS!$C$16),0)</f>
        <v>0</v>
      </c>
      <c r="H362" s="4">
        <f ca="1">IF(RESULTADOS!$C$17="Normal",E362,0)</f>
        <v>0</v>
      </c>
      <c r="I362" s="4">
        <f ca="1">(E362+H362+G362)*IFERROR(VLOOKUP(INT(COUNT($B$5:B362)/12),PREMISSAS!$B$62:$C$69,2,FALSE),PREMISSAS!$C$69)</f>
        <v>0</v>
      </c>
      <c r="J362" s="4">
        <f ca="1">D362*IF(RESULTADOS!$C$17="Normal",PREMISSAS!$C$71,0)</f>
        <v>0</v>
      </c>
      <c r="K362" s="87">
        <f ca="1">IFERROR(K361*(1+PREMISSAS!$C$19)+(E362+H362-IF(RESULTADOS!$C$17="Normal",I362,0)-J362)*IF(MONTH(B362)=12,2,1),0)</f>
        <v>0</v>
      </c>
      <c r="L362" s="87">
        <f ca="1">IFERROR((L361+G362-IF(RESULTADOS!$C$17="Normal",0,I362))*(1+PREMISSAS!$C$19)+F362,0)</f>
        <v>0</v>
      </c>
      <c r="N362" s="58">
        <f t="shared" ca="1" si="41"/>
        <v>0</v>
      </c>
      <c r="P362" s="131" t="str">
        <f t="shared" ca="1" si="42"/>
        <v/>
      </c>
      <c r="Q362" s="111" t="str">
        <f ca="1">IF(C362="","",Q361+(E362+H362-IF(RESULTADOS!$C$17="Normal",I362,0)-J362)/2+(F362+G362-IF(RESULTADOS!$C$17="Normal",0,I362)))</f>
        <v/>
      </c>
      <c r="R362" s="111" t="str">
        <f ca="1">IF(C362="","",R361+(E362+H362-IF(RESULTADOS!$C$17="Normal",I362,0)-J362)/2)</f>
        <v/>
      </c>
      <c r="S362" s="111">
        <f t="shared" ca="1" si="44"/>
        <v>0</v>
      </c>
      <c r="U362" s="131" t="str">
        <f t="shared" ca="1" si="45"/>
        <v/>
      </c>
      <c r="V362" s="131" t="str">
        <f t="shared" ca="1" si="43"/>
        <v/>
      </c>
      <c r="W362" s="111">
        <f ca="1">IF(OR((W361-13/12*Z361)*(1+PREMISSAS!$C$17)&lt;0,W361=""),0,(W361-13/12*Z361)*(1+PREMISSAS!$C$17))</f>
        <v>0</v>
      </c>
      <c r="X362" s="111">
        <f ca="1">IF(OR((X361-13/12*AA361)*(1+PREMISSAS!$C$17)&lt;0,X361=""),0,(X361-13/12*AA361)*(1+PREMISSAS!$C$17))</f>
        <v>0</v>
      </c>
      <c r="Y362" s="111">
        <f t="shared" ca="1" si="40"/>
        <v>0</v>
      </c>
      <c r="Z362" s="134">
        <f t="shared" ca="1" si="46"/>
        <v>0</v>
      </c>
      <c r="AA362" s="134">
        <f t="shared" ca="1" si="47"/>
        <v>0</v>
      </c>
    </row>
    <row r="363" spans="2:27" x14ac:dyDescent="0.3">
      <c r="B363" s="21" t="str">
        <f ca="1">IF(B362="","",IF(EOMONTH(B362,1)&gt;EOMONTH(ELEGIBILIDADE!$E$5,0),"",EOMONTH(B362,1)))</f>
        <v/>
      </c>
      <c r="C363" s="22" t="str">
        <f ca="1">IF(B363="","",IF(MONTH(B363)=1,C362*(1+PREMISSAS!$C$58),C362))</f>
        <v/>
      </c>
      <c r="D363" s="22">
        <f ca="1">IF(RESULTADOS!$C$17="Normal",IFERROR(MAX(C363-PREMISSAS!$C$14,0),0),IF(PREMISSAS!$H$117=0,0,MAX(10*PREMISSAS!$C$39,RESULTADOS!$F$17)))</f>
        <v>0</v>
      </c>
      <c r="E363" s="4">
        <f ca="1">D363*IF(RESULTADOS!$C$17="Normal",RESULTADOS!$C$16,0)</f>
        <v>0</v>
      </c>
      <c r="F363" s="4">
        <f ca="1">IF(D363&lt;&gt;0,PREMISSAS!$N$83,0)</f>
        <v>0</v>
      </c>
      <c r="G363" s="4">
        <f ca="1">IFERROR(IF(RESULTADOS!$C$17="Normal",0,D363)*IF(RESULTADOS!$C$17="Normal",RESULTADOS!$C$18,RESULTADOS!$C$16),0)</f>
        <v>0</v>
      </c>
      <c r="H363" s="4">
        <f ca="1">IF(RESULTADOS!$C$17="Normal",E363,0)</f>
        <v>0</v>
      </c>
      <c r="I363" s="4">
        <f ca="1">(E363+H363+G363)*IFERROR(VLOOKUP(INT(COUNT($B$5:B363)/12),PREMISSAS!$B$62:$C$69,2,FALSE),PREMISSAS!$C$69)</f>
        <v>0</v>
      </c>
      <c r="J363" s="4">
        <f ca="1">D363*IF(RESULTADOS!$C$17="Normal",PREMISSAS!$C$71,0)</f>
        <v>0</v>
      </c>
      <c r="K363" s="87">
        <f ca="1">IFERROR(K362*(1+PREMISSAS!$C$19)+(E363+H363-IF(RESULTADOS!$C$17="Normal",I363,0)-J363)*IF(MONTH(B363)=12,2,1),0)</f>
        <v>0</v>
      </c>
      <c r="L363" s="87">
        <f ca="1">IFERROR((L362+G363-IF(RESULTADOS!$C$17="Normal",0,I363))*(1+PREMISSAS!$C$19)+F363,0)</f>
        <v>0</v>
      </c>
      <c r="N363" s="58">
        <f t="shared" ca="1" si="41"/>
        <v>0</v>
      </c>
      <c r="P363" s="131" t="str">
        <f t="shared" ca="1" si="42"/>
        <v/>
      </c>
      <c r="Q363" s="111" t="str">
        <f ca="1">IF(C363="","",Q362+(E363+H363-IF(RESULTADOS!$C$17="Normal",I363,0)-J363)/2+(F363+G363-IF(RESULTADOS!$C$17="Normal",0,I363)))</f>
        <v/>
      </c>
      <c r="R363" s="111" t="str">
        <f ca="1">IF(C363="","",R362+(E363+H363-IF(RESULTADOS!$C$17="Normal",I363,0)-J363)/2)</f>
        <v/>
      </c>
      <c r="S363" s="111">
        <f t="shared" ca="1" si="44"/>
        <v>0</v>
      </c>
      <c r="U363" s="131" t="str">
        <f t="shared" ca="1" si="45"/>
        <v/>
      </c>
      <c r="V363" s="131" t="str">
        <f t="shared" ca="1" si="43"/>
        <v/>
      </c>
      <c r="W363" s="111">
        <f ca="1">IF(OR((W362-13/12*Z362)*(1+PREMISSAS!$C$17)&lt;0,W362=""),0,(W362-13/12*Z362)*(1+PREMISSAS!$C$17))</f>
        <v>0</v>
      </c>
      <c r="X363" s="111">
        <f ca="1">IF(OR((X362-13/12*AA362)*(1+PREMISSAS!$C$17)&lt;0,X362=""),0,(X362-13/12*AA362)*(1+PREMISSAS!$C$17))</f>
        <v>0</v>
      </c>
      <c r="Y363" s="111">
        <f t="shared" ca="1" si="40"/>
        <v>0</v>
      </c>
      <c r="Z363" s="134">
        <f t="shared" ca="1" si="46"/>
        <v>0</v>
      </c>
      <c r="AA363" s="134">
        <f t="shared" ca="1" si="47"/>
        <v>0</v>
      </c>
    </row>
    <row r="364" spans="2:27" x14ac:dyDescent="0.3">
      <c r="B364" s="21" t="str">
        <f ca="1">IF(B363="","",IF(EOMONTH(B363,1)&gt;EOMONTH(ELEGIBILIDADE!$E$5,0),"",EOMONTH(B363,1)))</f>
        <v/>
      </c>
      <c r="C364" s="22" t="str">
        <f ca="1">IF(B364="","",IF(MONTH(B364)=1,C363*(1+PREMISSAS!$C$58),C363))</f>
        <v/>
      </c>
      <c r="D364" s="22">
        <f ca="1">IF(RESULTADOS!$C$17="Normal",IFERROR(MAX(C364-PREMISSAS!$C$14,0),0),IF(PREMISSAS!$H$117=0,0,MAX(10*PREMISSAS!$C$39,RESULTADOS!$F$17)))</f>
        <v>0</v>
      </c>
      <c r="E364" s="4">
        <f ca="1">D364*IF(RESULTADOS!$C$17="Normal",RESULTADOS!$C$16,0)</f>
        <v>0</v>
      </c>
      <c r="F364" s="4">
        <f ca="1">IF(D364&lt;&gt;0,PREMISSAS!$N$83,0)</f>
        <v>0</v>
      </c>
      <c r="G364" s="4">
        <f ca="1">IFERROR(IF(RESULTADOS!$C$17="Normal",0,D364)*IF(RESULTADOS!$C$17="Normal",RESULTADOS!$C$18,RESULTADOS!$C$16),0)</f>
        <v>0</v>
      </c>
      <c r="H364" s="4">
        <f ca="1">IF(RESULTADOS!$C$17="Normal",E364,0)</f>
        <v>0</v>
      </c>
      <c r="I364" s="4">
        <f ca="1">(E364+H364+G364)*IFERROR(VLOOKUP(INT(COUNT($B$5:B364)/12),PREMISSAS!$B$62:$C$69,2,FALSE),PREMISSAS!$C$69)</f>
        <v>0</v>
      </c>
      <c r="J364" s="4">
        <f ca="1">D364*IF(RESULTADOS!$C$17="Normal",PREMISSAS!$C$71,0)</f>
        <v>0</v>
      </c>
      <c r="K364" s="87">
        <f ca="1">IFERROR(K363*(1+PREMISSAS!$C$19)+(E364+H364-IF(RESULTADOS!$C$17="Normal",I364,0)-J364)*IF(MONTH(B364)=12,2,1),0)</f>
        <v>0</v>
      </c>
      <c r="L364" s="87">
        <f ca="1">IFERROR((L363+G364-IF(RESULTADOS!$C$17="Normal",0,I364))*(1+PREMISSAS!$C$19)+F364,0)</f>
        <v>0</v>
      </c>
      <c r="N364" s="58">
        <f t="shared" ca="1" si="41"/>
        <v>0</v>
      </c>
      <c r="P364" s="131" t="str">
        <f t="shared" ca="1" si="42"/>
        <v/>
      </c>
      <c r="Q364" s="111" t="str">
        <f ca="1">IF(C364="","",Q363+(E364+H364-IF(RESULTADOS!$C$17="Normal",I364,0)-J364)/2+(F364+G364-IF(RESULTADOS!$C$17="Normal",0,I364)))</f>
        <v/>
      </c>
      <c r="R364" s="111" t="str">
        <f ca="1">IF(C364="","",R363+(E364+H364-IF(RESULTADOS!$C$17="Normal",I364,0)-J364)/2)</f>
        <v/>
      </c>
      <c r="S364" s="111">
        <f t="shared" ca="1" si="44"/>
        <v>0</v>
      </c>
      <c r="U364" s="131" t="str">
        <f t="shared" ca="1" si="45"/>
        <v/>
      </c>
      <c r="V364" s="131" t="str">
        <f t="shared" ca="1" si="43"/>
        <v/>
      </c>
      <c r="W364" s="111">
        <f ca="1">IF(OR((W363-13/12*Z363)*(1+PREMISSAS!$C$17)&lt;0,W363=""),0,(W363-13/12*Z363)*(1+PREMISSAS!$C$17))</f>
        <v>0</v>
      </c>
      <c r="X364" s="111">
        <f ca="1">IF(OR((X363-13/12*AA363)*(1+PREMISSAS!$C$17)&lt;0,X363=""),0,(X363-13/12*AA363)*(1+PREMISSAS!$C$17))</f>
        <v>0</v>
      </c>
      <c r="Y364" s="111">
        <f t="shared" ca="1" si="40"/>
        <v>0</v>
      </c>
      <c r="Z364" s="134">
        <f t="shared" ca="1" si="46"/>
        <v>0</v>
      </c>
      <c r="AA364" s="134">
        <f t="shared" ca="1" si="47"/>
        <v>0</v>
      </c>
    </row>
    <row r="365" spans="2:27" x14ac:dyDescent="0.3">
      <c r="B365" s="21" t="str">
        <f ca="1">IF(B364="","",IF(EOMONTH(B364,1)&gt;EOMONTH(ELEGIBILIDADE!$E$5,0),"",EOMONTH(B364,1)))</f>
        <v/>
      </c>
      <c r="C365" s="22" t="str">
        <f ca="1">IF(B365="","",IF(MONTH(B365)=1,C364*(1+PREMISSAS!$C$58),C364))</f>
        <v/>
      </c>
      <c r="D365" s="22">
        <f ca="1">IF(RESULTADOS!$C$17="Normal",IFERROR(MAX(C365-PREMISSAS!$C$14,0),0),IF(PREMISSAS!$H$117=0,0,MAX(10*PREMISSAS!$C$39,RESULTADOS!$F$17)))</f>
        <v>0</v>
      </c>
      <c r="E365" s="4">
        <f ca="1">D365*IF(RESULTADOS!$C$17="Normal",RESULTADOS!$C$16,0)</f>
        <v>0</v>
      </c>
      <c r="F365" s="4">
        <f ca="1">IF(D365&lt;&gt;0,PREMISSAS!$N$83,0)</f>
        <v>0</v>
      </c>
      <c r="G365" s="4">
        <f ca="1">IFERROR(IF(RESULTADOS!$C$17="Normal",0,D365)*IF(RESULTADOS!$C$17="Normal",RESULTADOS!$C$18,RESULTADOS!$C$16),0)</f>
        <v>0</v>
      </c>
      <c r="H365" s="4">
        <f ca="1">IF(RESULTADOS!$C$17="Normal",E365,0)</f>
        <v>0</v>
      </c>
      <c r="I365" s="4">
        <f ca="1">(E365+H365+G365)*IFERROR(VLOOKUP(INT(COUNT($B$5:B365)/12),PREMISSAS!$B$62:$C$69,2,FALSE),PREMISSAS!$C$69)</f>
        <v>0</v>
      </c>
      <c r="J365" s="4">
        <f ca="1">D365*IF(RESULTADOS!$C$17="Normal",PREMISSAS!$C$71,0)</f>
        <v>0</v>
      </c>
      <c r="K365" s="87">
        <f ca="1">IFERROR(K364*(1+PREMISSAS!$C$19)+(E365+H365-IF(RESULTADOS!$C$17="Normal",I365,0)-J365)*IF(MONTH(B365)=12,2,1),0)</f>
        <v>0</v>
      </c>
      <c r="L365" s="87">
        <f ca="1">IFERROR((L364+G365-IF(RESULTADOS!$C$17="Normal",0,I365))*(1+PREMISSAS!$C$19)+F365,0)</f>
        <v>0</v>
      </c>
      <c r="N365" s="58">
        <f t="shared" ca="1" si="41"/>
        <v>0</v>
      </c>
      <c r="P365" s="131" t="str">
        <f t="shared" ca="1" si="42"/>
        <v/>
      </c>
      <c r="Q365" s="111" t="str">
        <f ca="1">IF(C365="","",Q364+(E365+H365-IF(RESULTADOS!$C$17="Normal",I365,0)-J365)/2+(F365+G365-IF(RESULTADOS!$C$17="Normal",0,I365)))</f>
        <v/>
      </c>
      <c r="R365" s="111" t="str">
        <f ca="1">IF(C365="","",R364+(E365+H365-IF(RESULTADOS!$C$17="Normal",I365,0)-J365)/2)</f>
        <v/>
      </c>
      <c r="S365" s="111">
        <f t="shared" ca="1" si="44"/>
        <v>0</v>
      </c>
      <c r="U365" s="131" t="str">
        <f t="shared" ca="1" si="45"/>
        <v/>
      </c>
      <c r="V365" s="131" t="str">
        <f t="shared" ca="1" si="43"/>
        <v/>
      </c>
      <c r="W365" s="111">
        <f ca="1">IF(OR((W364-13/12*Z364)*(1+PREMISSAS!$C$17)&lt;0,W364=""),0,(W364-13/12*Z364)*(1+PREMISSAS!$C$17))</f>
        <v>0</v>
      </c>
      <c r="X365" s="111">
        <f ca="1">IF(OR((X364-13/12*AA364)*(1+PREMISSAS!$C$17)&lt;0,X364=""),0,(X364-13/12*AA364)*(1+PREMISSAS!$C$17))</f>
        <v>0</v>
      </c>
      <c r="Y365" s="111">
        <f t="shared" ca="1" si="40"/>
        <v>0</v>
      </c>
      <c r="Z365" s="134">
        <f t="shared" ca="1" si="46"/>
        <v>0</v>
      </c>
      <c r="AA365" s="134">
        <f t="shared" ca="1" si="47"/>
        <v>0</v>
      </c>
    </row>
    <row r="366" spans="2:27" x14ac:dyDescent="0.3">
      <c r="B366" s="21" t="str">
        <f ca="1">IF(B365="","",IF(EOMONTH(B365,1)&gt;EOMONTH(ELEGIBILIDADE!$E$5,0),"",EOMONTH(B365,1)))</f>
        <v/>
      </c>
      <c r="C366" s="22" t="str">
        <f ca="1">IF(B366="","",IF(MONTH(B366)=1,C365*(1+PREMISSAS!$C$58),C365))</f>
        <v/>
      </c>
      <c r="D366" s="22">
        <f ca="1">IF(RESULTADOS!$C$17="Normal",IFERROR(MAX(C366-PREMISSAS!$C$14,0),0),IF(PREMISSAS!$H$117=0,0,MAX(10*PREMISSAS!$C$39,RESULTADOS!$F$17)))</f>
        <v>0</v>
      </c>
      <c r="E366" s="4">
        <f ca="1">D366*IF(RESULTADOS!$C$17="Normal",RESULTADOS!$C$16,0)</f>
        <v>0</v>
      </c>
      <c r="F366" s="4">
        <f ca="1">IF(D366&lt;&gt;0,PREMISSAS!$N$83,0)</f>
        <v>0</v>
      </c>
      <c r="G366" s="4">
        <f ca="1">IFERROR(IF(RESULTADOS!$C$17="Normal",0,D366)*IF(RESULTADOS!$C$17="Normal",RESULTADOS!$C$18,RESULTADOS!$C$16),0)</f>
        <v>0</v>
      </c>
      <c r="H366" s="4">
        <f ca="1">IF(RESULTADOS!$C$17="Normal",E366,0)</f>
        <v>0</v>
      </c>
      <c r="I366" s="4">
        <f ca="1">(E366+H366+G366)*IFERROR(VLOOKUP(INT(COUNT($B$5:B366)/12),PREMISSAS!$B$62:$C$69,2,FALSE),PREMISSAS!$C$69)</f>
        <v>0</v>
      </c>
      <c r="J366" s="4">
        <f ca="1">D366*IF(RESULTADOS!$C$17="Normal",PREMISSAS!$C$71,0)</f>
        <v>0</v>
      </c>
      <c r="K366" s="87">
        <f ca="1">IFERROR(K365*(1+PREMISSAS!$C$19)+(E366+H366-IF(RESULTADOS!$C$17="Normal",I366,0)-J366)*IF(MONTH(B366)=12,2,1),0)</f>
        <v>0</v>
      </c>
      <c r="L366" s="87">
        <f ca="1">IFERROR((L365+G366-IF(RESULTADOS!$C$17="Normal",0,I366))*(1+PREMISSAS!$C$19)+F366,0)</f>
        <v>0</v>
      </c>
      <c r="N366" s="58">
        <f t="shared" ca="1" si="41"/>
        <v>0</v>
      </c>
      <c r="P366" s="131" t="str">
        <f t="shared" ca="1" si="42"/>
        <v/>
      </c>
      <c r="Q366" s="111" t="str">
        <f ca="1">IF(C366="","",Q365+(E366+H366-IF(RESULTADOS!$C$17="Normal",I366,0)-J366)/2+(F366+G366-IF(RESULTADOS!$C$17="Normal",0,I366)))</f>
        <v/>
      </c>
      <c r="R366" s="111" t="str">
        <f ca="1">IF(C366="","",R365+(E366+H366-IF(RESULTADOS!$C$17="Normal",I366,0)-J366)/2)</f>
        <v/>
      </c>
      <c r="S366" s="111">
        <f t="shared" ca="1" si="44"/>
        <v>0</v>
      </c>
      <c r="U366" s="131" t="str">
        <f t="shared" ca="1" si="45"/>
        <v/>
      </c>
      <c r="V366" s="131" t="str">
        <f t="shared" ca="1" si="43"/>
        <v/>
      </c>
      <c r="W366" s="111">
        <f ca="1">IF(OR((W365-13/12*Z365)*(1+PREMISSAS!$C$17)&lt;0,W365=""),0,(W365-13/12*Z365)*(1+PREMISSAS!$C$17))</f>
        <v>0</v>
      </c>
      <c r="X366" s="111">
        <f ca="1">IF(OR((X365-13/12*AA365)*(1+PREMISSAS!$C$17)&lt;0,X365=""),0,(X365-13/12*AA365)*(1+PREMISSAS!$C$17))</f>
        <v>0</v>
      </c>
      <c r="Y366" s="111">
        <f t="shared" ca="1" si="40"/>
        <v>0</v>
      </c>
      <c r="Z366" s="134">
        <f t="shared" ca="1" si="46"/>
        <v>0</v>
      </c>
      <c r="AA366" s="134">
        <f t="shared" ca="1" si="47"/>
        <v>0</v>
      </c>
    </row>
    <row r="367" spans="2:27" x14ac:dyDescent="0.3">
      <c r="B367" s="21" t="str">
        <f ca="1">IF(B366="","",IF(EOMONTH(B366,1)&gt;EOMONTH(ELEGIBILIDADE!$E$5,0),"",EOMONTH(B366,1)))</f>
        <v/>
      </c>
      <c r="C367" s="22" t="str">
        <f ca="1">IF(B367="","",IF(MONTH(B367)=1,C366*(1+PREMISSAS!$C$58),C366))</f>
        <v/>
      </c>
      <c r="D367" s="22">
        <f ca="1">IF(RESULTADOS!$C$17="Normal",IFERROR(MAX(C367-PREMISSAS!$C$14,0),0),IF(PREMISSAS!$H$117=0,0,MAX(10*PREMISSAS!$C$39,RESULTADOS!$F$17)))</f>
        <v>0</v>
      </c>
      <c r="E367" s="4">
        <f ca="1">D367*IF(RESULTADOS!$C$17="Normal",RESULTADOS!$C$16,0)</f>
        <v>0</v>
      </c>
      <c r="F367" s="4">
        <f ca="1">IF(D367&lt;&gt;0,PREMISSAS!$N$83,0)</f>
        <v>0</v>
      </c>
      <c r="G367" s="4">
        <f ca="1">IFERROR(IF(RESULTADOS!$C$17="Normal",0,D367)*IF(RESULTADOS!$C$17="Normal",RESULTADOS!$C$18,RESULTADOS!$C$16),0)</f>
        <v>0</v>
      </c>
      <c r="H367" s="4">
        <f ca="1">IF(RESULTADOS!$C$17="Normal",E367,0)</f>
        <v>0</v>
      </c>
      <c r="I367" s="4">
        <f ca="1">(E367+H367+G367)*IFERROR(VLOOKUP(INT(COUNT($B$5:B367)/12),PREMISSAS!$B$62:$C$69,2,FALSE),PREMISSAS!$C$69)</f>
        <v>0</v>
      </c>
      <c r="J367" s="4">
        <f ca="1">D367*IF(RESULTADOS!$C$17="Normal",PREMISSAS!$C$71,0)</f>
        <v>0</v>
      </c>
      <c r="K367" s="87">
        <f ca="1">IFERROR(K366*(1+PREMISSAS!$C$19)+(E367+H367-IF(RESULTADOS!$C$17="Normal",I367,0)-J367)*IF(MONTH(B367)=12,2,1),0)</f>
        <v>0</v>
      </c>
      <c r="L367" s="87">
        <f ca="1">IFERROR((L366+G367-IF(RESULTADOS!$C$17="Normal",0,I367))*(1+PREMISSAS!$C$19)+F367,0)</f>
        <v>0</v>
      </c>
      <c r="N367" s="58">
        <f t="shared" ca="1" si="41"/>
        <v>0</v>
      </c>
      <c r="P367" s="131" t="str">
        <f t="shared" ca="1" si="42"/>
        <v/>
      </c>
      <c r="Q367" s="111" t="str">
        <f ca="1">IF(C367="","",Q366+(E367+H367-IF(RESULTADOS!$C$17="Normal",I367,0)-J367)/2+(F367+G367-IF(RESULTADOS!$C$17="Normal",0,I367)))</f>
        <v/>
      </c>
      <c r="R367" s="111" t="str">
        <f ca="1">IF(C367="","",R366+(E367+H367-IF(RESULTADOS!$C$17="Normal",I367,0)-J367)/2)</f>
        <v/>
      </c>
      <c r="S367" s="111">
        <f t="shared" ca="1" si="44"/>
        <v>0</v>
      </c>
      <c r="U367" s="131" t="str">
        <f t="shared" ca="1" si="45"/>
        <v/>
      </c>
      <c r="V367" s="131" t="str">
        <f t="shared" ca="1" si="43"/>
        <v/>
      </c>
      <c r="W367" s="111">
        <f ca="1">IF(OR((W366-13/12*Z366)*(1+PREMISSAS!$C$17)&lt;0,W366=""),0,(W366-13/12*Z366)*(1+PREMISSAS!$C$17))</f>
        <v>0</v>
      </c>
      <c r="X367" s="111">
        <f ca="1">IF(OR((X366-13/12*AA366)*(1+PREMISSAS!$C$17)&lt;0,X366=""),0,(X366-13/12*AA366)*(1+PREMISSAS!$C$17))</f>
        <v>0</v>
      </c>
      <c r="Y367" s="111">
        <f t="shared" ca="1" si="40"/>
        <v>0</v>
      </c>
      <c r="Z367" s="134">
        <f t="shared" ca="1" si="46"/>
        <v>0</v>
      </c>
      <c r="AA367" s="134">
        <f t="shared" ca="1" si="47"/>
        <v>0</v>
      </c>
    </row>
    <row r="368" spans="2:27" x14ac:dyDescent="0.3">
      <c r="B368" s="21" t="str">
        <f ca="1">IF(B367="","",IF(EOMONTH(B367,1)&gt;EOMONTH(ELEGIBILIDADE!$E$5,0),"",EOMONTH(B367,1)))</f>
        <v/>
      </c>
      <c r="C368" s="22" t="str">
        <f ca="1">IF(B368="","",IF(MONTH(B368)=1,C367*(1+PREMISSAS!$C$58),C367))</f>
        <v/>
      </c>
      <c r="D368" s="22">
        <f ca="1">IF(RESULTADOS!$C$17="Normal",IFERROR(MAX(C368-PREMISSAS!$C$14,0),0),IF(PREMISSAS!$H$117=0,0,MAX(10*PREMISSAS!$C$39,RESULTADOS!$F$17)))</f>
        <v>0</v>
      </c>
      <c r="E368" s="4">
        <f ca="1">D368*IF(RESULTADOS!$C$17="Normal",RESULTADOS!$C$16,0)</f>
        <v>0</v>
      </c>
      <c r="F368" s="4">
        <f ca="1">IF(D368&lt;&gt;0,PREMISSAS!$N$83,0)</f>
        <v>0</v>
      </c>
      <c r="G368" s="4">
        <f ca="1">IFERROR(IF(RESULTADOS!$C$17="Normal",0,D368)*IF(RESULTADOS!$C$17="Normal",RESULTADOS!$C$18,RESULTADOS!$C$16),0)</f>
        <v>0</v>
      </c>
      <c r="H368" s="4">
        <f ca="1">IF(RESULTADOS!$C$17="Normal",E368,0)</f>
        <v>0</v>
      </c>
      <c r="I368" s="4">
        <f ca="1">(E368+H368+G368)*IFERROR(VLOOKUP(INT(COUNT($B$5:B368)/12),PREMISSAS!$B$62:$C$69,2,FALSE),PREMISSAS!$C$69)</f>
        <v>0</v>
      </c>
      <c r="J368" s="4">
        <f ca="1">D368*IF(RESULTADOS!$C$17="Normal",PREMISSAS!$C$71,0)</f>
        <v>0</v>
      </c>
      <c r="K368" s="87">
        <f ca="1">IFERROR(K367*(1+PREMISSAS!$C$19)+(E368+H368-IF(RESULTADOS!$C$17="Normal",I368,0)-J368)*IF(MONTH(B368)=12,2,1),0)</f>
        <v>0</v>
      </c>
      <c r="L368" s="87">
        <f ca="1">IFERROR((L367+G368-IF(RESULTADOS!$C$17="Normal",0,I368))*(1+PREMISSAS!$C$19)+F368,0)</f>
        <v>0</v>
      </c>
      <c r="N368" s="58">
        <f t="shared" ca="1" si="41"/>
        <v>0</v>
      </c>
      <c r="P368" s="131" t="str">
        <f t="shared" ca="1" si="42"/>
        <v/>
      </c>
      <c r="Q368" s="111" t="str">
        <f ca="1">IF(C368="","",Q367+(E368+H368-IF(RESULTADOS!$C$17="Normal",I368,0)-J368)/2+(F368+G368-IF(RESULTADOS!$C$17="Normal",0,I368)))</f>
        <v/>
      </c>
      <c r="R368" s="111" t="str">
        <f ca="1">IF(C368="","",R367+(E368+H368-IF(RESULTADOS!$C$17="Normal",I368,0)-J368)/2)</f>
        <v/>
      </c>
      <c r="S368" s="111">
        <f t="shared" ca="1" si="44"/>
        <v>0</v>
      </c>
      <c r="U368" s="131" t="str">
        <f t="shared" ca="1" si="45"/>
        <v/>
      </c>
      <c r="V368" s="131" t="str">
        <f t="shared" ca="1" si="43"/>
        <v/>
      </c>
      <c r="W368" s="111">
        <f ca="1">IF(OR((W367-13/12*Z367)*(1+PREMISSAS!$C$17)&lt;0,W367=""),0,(W367-13/12*Z367)*(1+PREMISSAS!$C$17))</f>
        <v>0</v>
      </c>
      <c r="X368" s="111">
        <f ca="1">IF(OR((X367-13/12*AA367)*(1+PREMISSAS!$C$17)&lt;0,X367=""),0,(X367-13/12*AA367)*(1+PREMISSAS!$C$17))</f>
        <v>0</v>
      </c>
      <c r="Y368" s="111">
        <f t="shared" ca="1" si="40"/>
        <v>0</v>
      </c>
      <c r="Z368" s="134">
        <f t="shared" ca="1" si="46"/>
        <v>0</v>
      </c>
      <c r="AA368" s="134">
        <f t="shared" ca="1" si="47"/>
        <v>0</v>
      </c>
    </row>
    <row r="369" spans="2:27" x14ac:dyDescent="0.3">
      <c r="B369" s="21" t="str">
        <f ca="1">IF(B368="","",IF(EOMONTH(B368,1)&gt;EOMONTH(ELEGIBILIDADE!$E$5,0),"",EOMONTH(B368,1)))</f>
        <v/>
      </c>
      <c r="C369" s="22" t="str">
        <f ca="1">IF(B369="","",IF(MONTH(B369)=1,C368*(1+PREMISSAS!$C$58),C368))</f>
        <v/>
      </c>
      <c r="D369" s="22">
        <f ca="1">IF(RESULTADOS!$C$17="Normal",IFERROR(MAX(C369-PREMISSAS!$C$14,0),0),IF(PREMISSAS!$H$117=0,0,MAX(10*PREMISSAS!$C$39,RESULTADOS!$F$17)))</f>
        <v>0</v>
      </c>
      <c r="E369" s="4">
        <f ca="1">D369*IF(RESULTADOS!$C$17="Normal",RESULTADOS!$C$16,0)</f>
        <v>0</v>
      </c>
      <c r="F369" s="4">
        <f ca="1">IF(D369&lt;&gt;0,PREMISSAS!$N$83,0)</f>
        <v>0</v>
      </c>
      <c r="G369" s="4">
        <f ca="1">IFERROR(IF(RESULTADOS!$C$17="Normal",0,D369)*IF(RESULTADOS!$C$17="Normal",RESULTADOS!$C$18,RESULTADOS!$C$16),0)</f>
        <v>0</v>
      </c>
      <c r="H369" s="4">
        <f ca="1">IF(RESULTADOS!$C$17="Normal",E369,0)</f>
        <v>0</v>
      </c>
      <c r="I369" s="4">
        <f ca="1">(E369+H369+G369)*IFERROR(VLOOKUP(INT(COUNT($B$5:B369)/12),PREMISSAS!$B$62:$C$69,2,FALSE),PREMISSAS!$C$69)</f>
        <v>0</v>
      </c>
      <c r="J369" s="4">
        <f ca="1">D369*IF(RESULTADOS!$C$17="Normal",PREMISSAS!$C$71,0)</f>
        <v>0</v>
      </c>
      <c r="K369" s="87">
        <f ca="1">IFERROR(K368*(1+PREMISSAS!$C$19)+(E369+H369-IF(RESULTADOS!$C$17="Normal",I369,0)-J369)*IF(MONTH(B369)=12,2,1),0)</f>
        <v>0</v>
      </c>
      <c r="L369" s="87">
        <f ca="1">IFERROR((L368+G369-IF(RESULTADOS!$C$17="Normal",0,I369))*(1+PREMISSAS!$C$19)+F369,0)</f>
        <v>0</v>
      </c>
      <c r="N369" s="58">
        <f t="shared" ca="1" si="41"/>
        <v>0</v>
      </c>
      <c r="P369" s="131" t="str">
        <f t="shared" ca="1" si="42"/>
        <v/>
      </c>
      <c r="Q369" s="111" t="str">
        <f ca="1">IF(C369="","",Q368+(E369+H369-IF(RESULTADOS!$C$17="Normal",I369,0)-J369)/2+(F369+G369-IF(RESULTADOS!$C$17="Normal",0,I369)))</f>
        <v/>
      </c>
      <c r="R369" s="111" t="str">
        <f ca="1">IF(C369="","",R368+(E369+H369-IF(RESULTADOS!$C$17="Normal",I369,0)-J369)/2)</f>
        <v/>
      </c>
      <c r="S369" s="111">
        <f t="shared" ca="1" si="44"/>
        <v>0</v>
      </c>
      <c r="U369" s="131" t="str">
        <f t="shared" ca="1" si="45"/>
        <v/>
      </c>
      <c r="V369" s="131" t="str">
        <f t="shared" ca="1" si="43"/>
        <v/>
      </c>
      <c r="W369" s="111">
        <f ca="1">IF(OR((W368-13/12*Z368)*(1+PREMISSAS!$C$17)&lt;0,W368=""),0,(W368-13/12*Z368)*(1+PREMISSAS!$C$17))</f>
        <v>0</v>
      </c>
      <c r="X369" s="111">
        <f ca="1">IF(OR((X368-13/12*AA368)*(1+PREMISSAS!$C$17)&lt;0,X368=""),0,(X368-13/12*AA368)*(1+PREMISSAS!$C$17))</f>
        <v>0</v>
      </c>
      <c r="Y369" s="111">
        <f t="shared" ca="1" si="40"/>
        <v>0</v>
      </c>
      <c r="Z369" s="134">
        <f t="shared" ca="1" si="46"/>
        <v>0</v>
      </c>
      <c r="AA369" s="134">
        <f t="shared" ca="1" si="47"/>
        <v>0</v>
      </c>
    </row>
    <row r="370" spans="2:27" x14ac:dyDescent="0.3">
      <c r="B370" s="21" t="str">
        <f ca="1">IF(B369="","",IF(EOMONTH(B369,1)&gt;EOMONTH(ELEGIBILIDADE!$E$5,0),"",EOMONTH(B369,1)))</f>
        <v/>
      </c>
      <c r="C370" s="22" t="str">
        <f ca="1">IF(B370="","",IF(MONTH(B370)=1,C369*(1+PREMISSAS!$C$58),C369))</f>
        <v/>
      </c>
      <c r="D370" s="22">
        <f ca="1">IF(RESULTADOS!$C$17="Normal",IFERROR(MAX(C370-PREMISSAS!$C$14,0),0),IF(PREMISSAS!$H$117=0,0,MAX(10*PREMISSAS!$C$39,RESULTADOS!$F$17)))</f>
        <v>0</v>
      </c>
      <c r="E370" s="4">
        <f ca="1">D370*IF(RESULTADOS!$C$17="Normal",RESULTADOS!$C$16,0)</f>
        <v>0</v>
      </c>
      <c r="F370" s="4">
        <f ca="1">IF(D370&lt;&gt;0,PREMISSAS!$N$83,0)</f>
        <v>0</v>
      </c>
      <c r="G370" s="4">
        <f ca="1">IFERROR(IF(RESULTADOS!$C$17="Normal",0,D370)*IF(RESULTADOS!$C$17="Normal",RESULTADOS!$C$18,RESULTADOS!$C$16),0)</f>
        <v>0</v>
      </c>
      <c r="H370" s="4">
        <f ca="1">IF(RESULTADOS!$C$17="Normal",E370,0)</f>
        <v>0</v>
      </c>
      <c r="I370" s="4">
        <f ca="1">(E370+H370+G370)*IFERROR(VLOOKUP(INT(COUNT($B$5:B370)/12),PREMISSAS!$B$62:$C$69,2,FALSE),PREMISSAS!$C$69)</f>
        <v>0</v>
      </c>
      <c r="J370" s="4">
        <f ca="1">D370*IF(RESULTADOS!$C$17="Normal",PREMISSAS!$C$71,0)</f>
        <v>0</v>
      </c>
      <c r="K370" s="87">
        <f ca="1">IFERROR(K369*(1+PREMISSAS!$C$19)+(E370+H370-IF(RESULTADOS!$C$17="Normal",I370,0)-J370)*IF(MONTH(B370)=12,2,1),0)</f>
        <v>0</v>
      </c>
      <c r="L370" s="87">
        <f ca="1">IFERROR((L369+G370-IF(RESULTADOS!$C$17="Normal",0,I370))*(1+PREMISSAS!$C$19)+F370,0)</f>
        <v>0</v>
      </c>
      <c r="N370" s="58">
        <f t="shared" ca="1" si="41"/>
        <v>0</v>
      </c>
      <c r="P370" s="131" t="str">
        <f t="shared" ca="1" si="42"/>
        <v/>
      </c>
      <c r="Q370" s="111" t="str">
        <f ca="1">IF(C370="","",Q369+(E370+H370-IF(RESULTADOS!$C$17="Normal",I370,0)-J370)/2+(F370+G370-IF(RESULTADOS!$C$17="Normal",0,I370)))</f>
        <v/>
      </c>
      <c r="R370" s="111" t="str">
        <f ca="1">IF(C370="","",R369+(E370+H370-IF(RESULTADOS!$C$17="Normal",I370,0)-J370)/2)</f>
        <v/>
      </c>
      <c r="S370" s="111">
        <f t="shared" ca="1" si="44"/>
        <v>0</v>
      </c>
      <c r="U370" s="131" t="str">
        <f t="shared" ca="1" si="45"/>
        <v/>
      </c>
      <c r="V370" s="131" t="str">
        <f t="shared" ca="1" si="43"/>
        <v/>
      </c>
      <c r="W370" s="111">
        <f ca="1">IF(OR((W369-13/12*Z369)*(1+PREMISSAS!$C$17)&lt;0,W369=""),0,(W369-13/12*Z369)*(1+PREMISSAS!$C$17))</f>
        <v>0</v>
      </c>
      <c r="X370" s="111">
        <f ca="1">IF(OR((X369-13/12*AA369)*(1+PREMISSAS!$C$17)&lt;0,X369=""),0,(X369-13/12*AA369)*(1+PREMISSAS!$C$17))</f>
        <v>0</v>
      </c>
      <c r="Y370" s="111">
        <f t="shared" ca="1" si="40"/>
        <v>0</v>
      </c>
      <c r="Z370" s="134">
        <f t="shared" ca="1" si="46"/>
        <v>0</v>
      </c>
      <c r="AA370" s="134">
        <f t="shared" ca="1" si="47"/>
        <v>0</v>
      </c>
    </row>
    <row r="371" spans="2:27" x14ac:dyDescent="0.3">
      <c r="B371" s="21" t="str">
        <f ca="1">IF(B370="","",IF(EOMONTH(B370,1)&gt;EOMONTH(ELEGIBILIDADE!$E$5,0),"",EOMONTH(B370,1)))</f>
        <v/>
      </c>
      <c r="C371" s="22" t="str">
        <f ca="1">IF(B371="","",IF(MONTH(B371)=1,C370*(1+PREMISSAS!$C$58),C370))</f>
        <v/>
      </c>
      <c r="D371" s="22">
        <f ca="1">IF(RESULTADOS!$C$17="Normal",IFERROR(MAX(C371-PREMISSAS!$C$14,0),0),IF(PREMISSAS!$H$117=0,0,MAX(10*PREMISSAS!$C$39,RESULTADOS!$F$17)))</f>
        <v>0</v>
      </c>
      <c r="E371" s="4">
        <f ca="1">D371*IF(RESULTADOS!$C$17="Normal",RESULTADOS!$C$16,0)</f>
        <v>0</v>
      </c>
      <c r="F371" s="4">
        <f ca="1">IF(D371&lt;&gt;0,PREMISSAS!$N$83,0)</f>
        <v>0</v>
      </c>
      <c r="G371" s="4">
        <f ca="1">IFERROR(IF(RESULTADOS!$C$17="Normal",0,D371)*IF(RESULTADOS!$C$17="Normal",RESULTADOS!$C$18,RESULTADOS!$C$16),0)</f>
        <v>0</v>
      </c>
      <c r="H371" s="4">
        <f ca="1">IF(RESULTADOS!$C$17="Normal",E371,0)</f>
        <v>0</v>
      </c>
      <c r="I371" s="4">
        <f ca="1">(E371+H371+G371)*IFERROR(VLOOKUP(INT(COUNT($B$5:B371)/12),PREMISSAS!$B$62:$C$69,2,FALSE),PREMISSAS!$C$69)</f>
        <v>0</v>
      </c>
      <c r="J371" s="4">
        <f ca="1">D371*IF(RESULTADOS!$C$17="Normal",PREMISSAS!$C$71,0)</f>
        <v>0</v>
      </c>
      <c r="K371" s="87">
        <f ca="1">IFERROR(K370*(1+PREMISSAS!$C$19)+(E371+H371-IF(RESULTADOS!$C$17="Normal",I371,0)-J371)*IF(MONTH(B371)=12,2,1),0)</f>
        <v>0</v>
      </c>
      <c r="L371" s="87">
        <f ca="1">IFERROR((L370+G371-IF(RESULTADOS!$C$17="Normal",0,I371))*(1+PREMISSAS!$C$19)+F371,0)</f>
        <v>0</v>
      </c>
      <c r="N371" s="58">
        <f t="shared" ca="1" si="41"/>
        <v>0</v>
      </c>
      <c r="P371" s="131" t="str">
        <f t="shared" ca="1" si="42"/>
        <v/>
      </c>
      <c r="Q371" s="111" t="str">
        <f ca="1">IF(C371="","",Q370+(E371+H371-IF(RESULTADOS!$C$17="Normal",I371,0)-J371)/2+(F371+G371-IF(RESULTADOS!$C$17="Normal",0,I371)))</f>
        <v/>
      </c>
      <c r="R371" s="111" t="str">
        <f ca="1">IF(C371="","",R370+(E371+H371-IF(RESULTADOS!$C$17="Normal",I371,0)-J371)/2)</f>
        <v/>
      </c>
      <c r="S371" s="111">
        <f t="shared" ca="1" si="44"/>
        <v>0</v>
      </c>
      <c r="U371" s="131" t="str">
        <f t="shared" ca="1" si="45"/>
        <v/>
      </c>
      <c r="V371" s="131" t="str">
        <f t="shared" ca="1" si="43"/>
        <v/>
      </c>
      <c r="W371" s="111">
        <f ca="1">IF(OR((W370-13/12*Z370)*(1+PREMISSAS!$C$17)&lt;0,W370=""),0,(W370-13/12*Z370)*(1+PREMISSAS!$C$17))</f>
        <v>0</v>
      </c>
      <c r="X371" s="111">
        <f ca="1">IF(OR((X370-13/12*AA370)*(1+PREMISSAS!$C$17)&lt;0,X370=""),0,(X370-13/12*AA370)*(1+PREMISSAS!$C$17))</f>
        <v>0</v>
      </c>
      <c r="Y371" s="111">
        <f t="shared" ca="1" si="40"/>
        <v>0</v>
      </c>
      <c r="Z371" s="134">
        <f t="shared" ca="1" si="46"/>
        <v>0</v>
      </c>
      <c r="AA371" s="134">
        <f t="shared" ca="1" si="47"/>
        <v>0</v>
      </c>
    </row>
    <row r="372" spans="2:27" x14ac:dyDescent="0.3">
      <c r="B372" s="21" t="str">
        <f ca="1">IF(B371="","",IF(EOMONTH(B371,1)&gt;EOMONTH(ELEGIBILIDADE!$E$5,0),"",EOMONTH(B371,1)))</f>
        <v/>
      </c>
      <c r="C372" s="22" t="str">
        <f ca="1">IF(B372="","",IF(MONTH(B372)=1,C371*(1+PREMISSAS!$C$58),C371))</f>
        <v/>
      </c>
      <c r="D372" s="22">
        <f ca="1">IF(RESULTADOS!$C$17="Normal",IFERROR(MAX(C372-PREMISSAS!$C$14,0),0),IF(PREMISSAS!$H$117=0,0,MAX(10*PREMISSAS!$C$39,RESULTADOS!$F$17)))</f>
        <v>0</v>
      </c>
      <c r="E372" s="4">
        <f ca="1">D372*IF(RESULTADOS!$C$17="Normal",RESULTADOS!$C$16,0)</f>
        <v>0</v>
      </c>
      <c r="F372" s="4">
        <f ca="1">IF(D372&lt;&gt;0,PREMISSAS!$N$83,0)</f>
        <v>0</v>
      </c>
      <c r="G372" s="4">
        <f ca="1">IFERROR(IF(RESULTADOS!$C$17="Normal",0,D372)*IF(RESULTADOS!$C$17="Normal",RESULTADOS!$C$18,RESULTADOS!$C$16),0)</f>
        <v>0</v>
      </c>
      <c r="H372" s="4">
        <f ca="1">IF(RESULTADOS!$C$17="Normal",E372,0)</f>
        <v>0</v>
      </c>
      <c r="I372" s="4">
        <f ca="1">(E372+H372+G372)*IFERROR(VLOOKUP(INT(COUNT($B$5:B372)/12),PREMISSAS!$B$62:$C$69,2,FALSE),PREMISSAS!$C$69)</f>
        <v>0</v>
      </c>
      <c r="J372" s="4">
        <f ca="1">D372*IF(RESULTADOS!$C$17="Normal",PREMISSAS!$C$71,0)</f>
        <v>0</v>
      </c>
      <c r="K372" s="87">
        <f ca="1">IFERROR(K371*(1+PREMISSAS!$C$19)+(E372+H372-IF(RESULTADOS!$C$17="Normal",I372,0)-J372)*IF(MONTH(B372)=12,2,1),0)</f>
        <v>0</v>
      </c>
      <c r="L372" s="87">
        <f ca="1">IFERROR((L371+G372-IF(RESULTADOS!$C$17="Normal",0,I372))*(1+PREMISSAS!$C$19)+F372,0)</f>
        <v>0</v>
      </c>
      <c r="N372" s="58">
        <f t="shared" ca="1" si="41"/>
        <v>0</v>
      </c>
      <c r="P372" s="131" t="str">
        <f t="shared" ca="1" si="42"/>
        <v/>
      </c>
      <c r="Q372" s="111" t="str">
        <f ca="1">IF(C372="","",Q371+(E372+H372-IF(RESULTADOS!$C$17="Normal",I372,0)-J372)/2+(F372+G372-IF(RESULTADOS!$C$17="Normal",0,I372)))</f>
        <v/>
      </c>
      <c r="R372" s="111" t="str">
        <f ca="1">IF(C372="","",R371+(E372+H372-IF(RESULTADOS!$C$17="Normal",I372,0)-J372)/2)</f>
        <v/>
      </c>
      <c r="S372" s="111">
        <f t="shared" ca="1" si="44"/>
        <v>0</v>
      </c>
      <c r="U372" s="131" t="str">
        <f t="shared" ca="1" si="45"/>
        <v/>
      </c>
      <c r="V372" s="131" t="str">
        <f t="shared" ca="1" si="43"/>
        <v/>
      </c>
      <c r="W372" s="111">
        <f ca="1">IF(OR((W371-13/12*Z371)*(1+PREMISSAS!$C$17)&lt;0,W371=""),0,(W371-13/12*Z371)*(1+PREMISSAS!$C$17))</f>
        <v>0</v>
      </c>
      <c r="X372" s="111">
        <f ca="1">IF(OR((X371-13/12*AA371)*(1+PREMISSAS!$C$17)&lt;0,X371=""),0,(X371-13/12*AA371)*(1+PREMISSAS!$C$17))</f>
        <v>0</v>
      </c>
      <c r="Y372" s="111">
        <f t="shared" ca="1" si="40"/>
        <v>0</v>
      </c>
      <c r="Z372" s="134">
        <f t="shared" ca="1" si="46"/>
        <v>0</v>
      </c>
      <c r="AA372" s="134">
        <f t="shared" ca="1" si="47"/>
        <v>0</v>
      </c>
    </row>
    <row r="373" spans="2:27" x14ac:dyDescent="0.3">
      <c r="B373" s="21" t="str">
        <f ca="1">IF(B372="","",IF(EOMONTH(B372,1)&gt;EOMONTH(ELEGIBILIDADE!$E$5,0),"",EOMONTH(B372,1)))</f>
        <v/>
      </c>
      <c r="C373" s="22" t="str">
        <f ca="1">IF(B373="","",IF(MONTH(B373)=1,C372*(1+PREMISSAS!$C$58),C372))</f>
        <v/>
      </c>
      <c r="D373" s="22">
        <f ca="1">IF(RESULTADOS!$C$17="Normal",IFERROR(MAX(C373-PREMISSAS!$C$14,0),0),IF(PREMISSAS!$H$117=0,0,MAX(10*PREMISSAS!$C$39,RESULTADOS!$F$17)))</f>
        <v>0</v>
      </c>
      <c r="E373" s="4">
        <f ca="1">D373*IF(RESULTADOS!$C$17="Normal",RESULTADOS!$C$16,0)</f>
        <v>0</v>
      </c>
      <c r="F373" s="4">
        <f ca="1">IF(D373&lt;&gt;0,PREMISSAS!$N$83,0)</f>
        <v>0</v>
      </c>
      <c r="G373" s="4">
        <f ca="1">IFERROR(IF(RESULTADOS!$C$17="Normal",0,D373)*IF(RESULTADOS!$C$17="Normal",RESULTADOS!$C$18,RESULTADOS!$C$16),0)</f>
        <v>0</v>
      </c>
      <c r="H373" s="4">
        <f ca="1">IF(RESULTADOS!$C$17="Normal",E373,0)</f>
        <v>0</v>
      </c>
      <c r="I373" s="4">
        <f ca="1">(E373+H373+G373)*IFERROR(VLOOKUP(INT(COUNT($B$5:B373)/12),PREMISSAS!$B$62:$C$69,2,FALSE),PREMISSAS!$C$69)</f>
        <v>0</v>
      </c>
      <c r="J373" s="4">
        <f ca="1">D373*IF(RESULTADOS!$C$17="Normal",PREMISSAS!$C$71,0)</f>
        <v>0</v>
      </c>
      <c r="K373" s="87">
        <f ca="1">IFERROR(K372*(1+PREMISSAS!$C$19)+(E373+H373-IF(RESULTADOS!$C$17="Normal",I373,0)-J373)*IF(MONTH(B373)=12,2,1),0)</f>
        <v>0</v>
      </c>
      <c r="L373" s="87">
        <f ca="1">IFERROR((L372+G373-IF(RESULTADOS!$C$17="Normal",0,I373))*(1+PREMISSAS!$C$19)+F373,0)</f>
        <v>0</v>
      </c>
      <c r="N373" s="58">
        <f t="shared" ca="1" si="41"/>
        <v>0</v>
      </c>
      <c r="P373" s="131" t="str">
        <f t="shared" ca="1" si="42"/>
        <v/>
      </c>
      <c r="Q373" s="111" t="str">
        <f ca="1">IF(C373="","",Q372+(E373+H373-IF(RESULTADOS!$C$17="Normal",I373,0)-J373)/2+(F373+G373-IF(RESULTADOS!$C$17="Normal",0,I373)))</f>
        <v/>
      </c>
      <c r="R373" s="111" t="str">
        <f ca="1">IF(C373="","",R372+(E373+H373-IF(RESULTADOS!$C$17="Normal",I373,0)-J373)/2)</f>
        <v/>
      </c>
      <c r="S373" s="111">
        <f t="shared" ca="1" si="44"/>
        <v>0</v>
      </c>
      <c r="U373" s="131" t="str">
        <f t="shared" ca="1" si="45"/>
        <v/>
      </c>
      <c r="V373" s="131" t="str">
        <f t="shared" ca="1" si="43"/>
        <v/>
      </c>
      <c r="W373" s="111">
        <f ca="1">IF(OR((W372-13/12*Z372)*(1+PREMISSAS!$C$17)&lt;0,W372=""),0,(W372-13/12*Z372)*(1+PREMISSAS!$C$17))</f>
        <v>0</v>
      </c>
      <c r="X373" s="111">
        <f ca="1">IF(OR((X372-13/12*AA372)*(1+PREMISSAS!$C$17)&lt;0,X372=""),0,(X372-13/12*AA372)*(1+PREMISSAS!$C$17))</f>
        <v>0</v>
      </c>
      <c r="Y373" s="111">
        <f t="shared" ca="1" si="40"/>
        <v>0</v>
      </c>
      <c r="Z373" s="134">
        <f t="shared" ca="1" si="46"/>
        <v>0</v>
      </c>
      <c r="AA373" s="134">
        <f t="shared" ca="1" si="47"/>
        <v>0</v>
      </c>
    </row>
    <row r="374" spans="2:27" x14ac:dyDescent="0.3">
      <c r="B374" s="21" t="str">
        <f ca="1">IF(B373="","",IF(EOMONTH(B373,1)&gt;EOMONTH(ELEGIBILIDADE!$E$5,0),"",EOMONTH(B373,1)))</f>
        <v/>
      </c>
      <c r="C374" s="22" t="str">
        <f ca="1">IF(B374="","",IF(MONTH(B374)=1,C373*(1+PREMISSAS!$C$58),C373))</f>
        <v/>
      </c>
      <c r="D374" s="22">
        <f ca="1">IF(RESULTADOS!$C$17="Normal",IFERROR(MAX(C374-PREMISSAS!$C$14,0),0),IF(PREMISSAS!$H$117=0,0,MAX(10*PREMISSAS!$C$39,RESULTADOS!$F$17)))</f>
        <v>0</v>
      </c>
      <c r="E374" s="4">
        <f ca="1">D374*IF(RESULTADOS!$C$17="Normal",RESULTADOS!$C$16,0)</f>
        <v>0</v>
      </c>
      <c r="F374" s="4">
        <f ca="1">IF(D374&lt;&gt;0,PREMISSAS!$N$83,0)</f>
        <v>0</v>
      </c>
      <c r="G374" s="4">
        <f ca="1">IFERROR(IF(RESULTADOS!$C$17="Normal",0,D374)*IF(RESULTADOS!$C$17="Normal",RESULTADOS!$C$18,RESULTADOS!$C$16),0)</f>
        <v>0</v>
      </c>
      <c r="H374" s="4">
        <f ca="1">IF(RESULTADOS!$C$17="Normal",E374,0)</f>
        <v>0</v>
      </c>
      <c r="I374" s="4">
        <f ca="1">(E374+H374+G374)*IFERROR(VLOOKUP(INT(COUNT($B$5:B374)/12),PREMISSAS!$B$62:$C$69,2,FALSE),PREMISSAS!$C$69)</f>
        <v>0</v>
      </c>
      <c r="J374" s="4">
        <f ca="1">D374*IF(RESULTADOS!$C$17="Normal",PREMISSAS!$C$71,0)</f>
        <v>0</v>
      </c>
      <c r="K374" s="87">
        <f ca="1">IFERROR(K373*(1+PREMISSAS!$C$19)+(E374+H374-IF(RESULTADOS!$C$17="Normal",I374,0)-J374)*IF(MONTH(B374)=12,2,1),0)</f>
        <v>0</v>
      </c>
      <c r="L374" s="87">
        <f ca="1">IFERROR((L373+G374-IF(RESULTADOS!$C$17="Normal",0,I374))*(1+PREMISSAS!$C$19)+F374,0)</f>
        <v>0</v>
      </c>
      <c r="N374" s="58">
        <f t="shared" ca="1" si="41"/>
        <v>0</v>
      </c>
      <c r="P374" s="131" t="str">
        <f t="shared" ca="1" si="42"/>
        <v/>
      </c>
      <c r="Q374" s="111" t="str">
        <f ca="1">IF(C374="","",Q373+(E374+H374-IF(RESULTADOS!$C$17="Normal",I374,0)-J374)/2+(F374+G374-IF(RESULTADOS!$C$17="Normal",0,I374)))</f>
        <v/>
      </c>
      <c r="R374" s="111" t="str">
        <f ca="1">IF(C374="","",R373+(E374+H374-IF(RESULTADOS!$C$17="Normal",I374,0)-J374)/2)</f>
        <v/>
      </c>
      <c r="S374" s="111">
        <f t="shared" ca="1" si="44"/>
        <v>0</v>
      </c>
      <c r="U374" s="131" t="str">
        <f t="shared" ca="1" si="45"/>
        <v/>
      </c>
      <c r="V374" s="131" t="str">
        <f t="shared" ca="1" si="43"/>
        <v/>
      </c>
      <c r="W374" s="111">
        <f ca="1">IF(OR((W373-13/12*Z373)*(1+PREMISSAS!$C$17)&lt;0,W373=""),0,(W373-13/12*Z373)*(1+PREMISSAS!$C$17))</f>
        <v>0</v>
      </c>
      <c r="X374" s="111">
        <f ca="1">IF(OR((X373-13/12*AA373)*(1+PREMISSAS!$C$17)&lt;0,X373=""),0,(X373-13/12*AA373)*(1+PREMISSAS!$C$17))</f>
        <v>0</v>
      </c>
      <c r="Y374" s="111">
        <f t="shared" ca="1" si="40"/>
        <v>0</v>
      </c>
      <c r="Z374" s="134">
        <f t="shared" ca="1" si="46"/>
        <v>0</v>
      </c>
      <c r="AA374" s="134">
        <f t="shared" ca="1" si="47"/>
        <v>0</v>
      </c>
    </row>
    <row r="375" spans="2:27" x14ac:dyDescent="0.3">
      <c r="B375" s="21" t="str">
        <f ca="1">IF(B374="","",IF(EOMONTH(B374,1)&gt;EOMONTH(ELEGIBILIDADE!$E$5,0),"",EOMONTH(B374,1)))</f>
        <v/>
      </c>
      <c r="C375" s="22" t="str">
        <f ca="1">IF(B375="","",IF(MONTH(B375)=1,C374*(1+PREMISSAS!$C$58),C374))</f>
        <v/>
      </c>
      <c r="D375" s="22">
        <f ca="1">IF(RESULTADOS!$C$17="Normal",IFERROR(MAX(C375-PREMISSAS!$C$14,0),0),IF(PREMISSAS!$H$117=0,0,MAX(10*PREMISSAS!$C$39,RESULTADOS!$F$17)))</f>
        <v>0</v>
      </c>
      <c r="E375" s="4">
        <f ca="1">D375*IF(RESULTADOS!$C$17="Normal",RESULTADOS!$C$16,0)</f>
        <v>0</v>
      </c>
      <c r="F375" s="4">
        <f ca="1">IF(D375&lt;&gt;0,PREMISSAS!$N$83,0)</f>
        <v>0</v>
      </c>
      <c r="G375" s="4">
        <f ca="1">IFERROR(IF(RESULTADOS!$C$17="Normal",0,D375)*IF(RESULTADOS!$C$17="Normal",RESULTADOS!$C$18,RESULTADOS!$C$16),0)</f>
        <v>0</v>
      </c>
      <c r="H375" s="4">
        <f ca="1">IF(RESULTADOS!$C$17="Normal",E375,0)</f>
        <v>0</v>
      </c>
      <c r="I375" s="4">
        <f ca="1">(E375+H375+G375)*IFERROR(VLOOKUP(INT(COUNT($B$5:B375)/12),PREMISSAS!$B$62:$C$69,2,FALSE),PREMISSAS!$C$69)</f>
        <v>0</v>
      </c>
      <c r="J375" s="4">
        <f ca="1">D375*IF(RESULTADOS!$C$17="Normal",PREMISSAS!$C$71,0)</f>
        <v>0</v>
      </c>
      <c r="K375" s="87">
        <f ca="1">IFERROR(K374*(1+PREMISSAS!$C$19)+(E375+H375-IF(RESULTADOS!$C$17="Normal",I375,0)-J375)*IF(MONTH(B375)=12,2,1),0)</f>
        <v>0</v>
      </c>
      <c r="L375" s="87">
        <f ca="1">IFERROR((L374+G375-IF(RESULTADOS!$C$17="Normal",0,I375))*(1+PREMISSAS!$C$19)+F375,0)</f>
        <v>0</v>
      </c>
      <c r="N375" s="58">
        <f t="shared" ca="1" si="41"/>
        <v>0</v>
      </c>
      <c r="P375" s="131" t="str">
        <f t="shared" ca="1" si="42"/>
        <v/>
      </c>
      <c r="Q375" s="111" t="str">
        <f ca="1">IF(C375="","",Q374+(E375+H375-IF(RESULTADOS!$C$17="Normal",I375,0)-J375)/2+(F375+G375-IF(RESULTADOS!$C$17="Normal",0,I375)))</f>
        <v/>
      </c>
      <c r="R375" s="111" t="str">
        <f ca="1">IF(C375="","",R374+(E375+H375-IF(RESULTADOS!$C$17="Normal",I375,0)-J375)/2)</f>
        <v/>
      </c>
      <c r="S375" s="111">
        <f t="shared" ca="1" si="44"/>
        <v>0</v>
      </c>
      <c r="U375" s="131" t="str">
        <f t="shared" ca="1" si="45"/>
        <v/>
      </c>
      <c r="V375" s="131" t="str">
        <f t="shared" ca="1" si="43"/>
        <v/>
      </c>
      <c r="W375" s="111">
        <f ca="1">IF(OR((W374-13/12*Z374)*(1+PREMISSAS!$C$17)&lt;0,W374=""),0,(W374-13/12*Z374)*(1+PREMISSAS!$C$17))</f>
        <v>0</v>
      </c>
      <c r="X375" s="111">
        <f ca="1">IF(OR((X374-13/12*AA374)*(1+PREMISSAS!$C$17)&lt;0,X374=""),0,(X374-13/12*AA374)*(1+PREMISSAS!$C$17))</f>
        <v>0</v>
      </c>
      <c r="Y375" s="111">
        <f t="shared" ca="1" si="40"/>
        <v>0</v>
      </c>
      <c r="Z375" s="134">
        <f t="shared" ca="1" si="46"/>
        <v>0</v>
      </c>
      <c r="AA375" s="134">
        <f t="shared" ca="1" si="47"/>
        <v>0</v>
      </c>
    </row>
    <row r="376" spans="2:27" x14ac:dyDescent="0.3">
      <c r="B376" s="21" t="str">
        <f ca="1">IF(B375="","",IF(EOMONTH(B375,1)&gt;EOMONTH(ELEGIBILIDADE!$E$5,0),"",EOMONTH(B375,1)))</f>
        <v/>
      </c>
      <c r="C376" s="22" t="str">
        <f ca="1">IF(B376="","",IF(MONTH(B376)=1,C375*(1+PREMISSAS!$C$58),C375))</f>
        <v/>
      </c>
      <c r="D376" s="22">
        <f ca="1">IF(RESULTADOS!$C$17="Normal",IFERROR(MAX(C376-PREMISSAS!$C$14,0),0),IF(PREMISSAS!$H$117=0,0,MAX(10*PREMISSAS!$C$39,RESULTADOS!$F$17)))</f>
        <v>0</v>
      </c>
      <c r="E376" s="4">
        <f ca="1">D376*IF(RESULTADOS!$C$17="Normal",RESULTADOS!$C$16,0)</f>
        <v>0</v>
      </c>
      <c r="F376" s="4">
        <f ca="1">IF(D376&lt;&gt;0,PREMISSAS!$N$83,0)</f>
        <v>0</v>
      </c>
      <c r="G376" s="4">
        <f ca="1">IFERROR(IF(RESULTADOS!$C$17="Normal",0,D376)*IF(RESULTADOS!$C$17="Normal",RESULTADOS!$C$18,RESULTADOS!$C$16),0)</f>
        <v>0</v>
      </c>
      <c r="H376" s="4">
        <f ca="1">IF(RESULTADOS!$C$17="Normal",E376,0)</f>
        <v>0</v>
      </c>
      <c r="I376" s="4">
        <f ca="1">(E376+H376+G376)*IFERROR(VLOOKUP(INT(COUNT($B$5:B376)/12),PREMISSAS!$B$62:$C$69,2,FALSE),PREMISSAS!$C$69)</f>
        <v>0</v>
      </c>
      <c r="J376" s="4">
        <f ca="1">D376*IF(RESULTADOS!$C$17="Normal",PREMISSAS!$C$71,0)</f>
        <v>0</v>
      </c>
      <c r="K376" s="87">
        <f ca="1">IFERROR(K375*(1+PREMISSAS!$C$19)+(E376+H376-IF(RESULTADOS!$C$17="Normal",I376,0)-J376)*IF(MONTH(B376)=12,2,1),0)</f>
        <v>0</v>
      </c>
      <c r="L376" s="87">
        <f ca="1">IFERROR((L375+G376-IF(RESULTADOS!$C$17="Normal",0,I376))*(1+PREMISSAS!$C$19)+F376,0)</f>
        <v>0</v>
      </c>
      <c r="N376" s="58">
        <f t="shared" ca="1" si="41"/>
        <v>0</v>
      </c>
      <c r="P376" s="131" t="str">
        <f t="shared" ca="1" si="42"/>
        <v/>
      </c>
      <c r="Q376" s="111" t="str">
        <f ca="1">IF(C376="","",Q375+(E376+H376-IF(RESULTADOS!$C$17="Normal",I376,0)-J376)/2+(F376+G376-IF(RESULTADOS!$C$17="Normal",0,I376)))</f>
        <v/>
      </c>
      <c r="R376" s="111" t="str">
        <f ca="1">IF(C376="","",R375+(E376+H376-IF(RESULTADOS!$C$17="Normal",I376,0)-J376)/2)</f>
        <v/>
      </c>
      <c r="S376" s="111">
        <f t="shared" ca="1" si="44"/>
        <v>0</v>
      </c>
      <c r="U376" s="131" t="str">
        <f t="shared" ca="1" si="45"/>
        <v/>
      </c>
      <c r="V376" s="131" t="str">
        <f t="shared" ca="1" si="43"/>
        <v/>
      </c>
      <c r="W376" s="111">
        <f ca="1">IF(OR((W375-13/12*Z375)*(1+PREMISSAS!$C$17)&lt;0,W375=""),0,(W375-13/12*Z375)*(1+PREMISSAS!$C$17))</f>
        <v>0</v>
      </c>
      <c r="X376" s="111">
        <f ca="1">IF(OR((X375-13/12*AA375)*(1+PREMISSAS!$C$17)&lt;0,X375=""),0,(X375-13/12*AA375)*(1+PREMISSAS!$C$17))</f>
        <v>0</v>
      </c>
      <c r="Y376" s="111">
        <f t="shared" ca="1" si="40"/>
        <v>0</v>
      </c>
      <c r="Z376" s="134">
        <f t="shared" ca="1" si="46"/>
        <v>0</v>
      </c>
      <c r="AA376" s="134">
        <f t="shared" ca="1" si="47"/>
        <v>0</v>
      </c>
    </row>
    <row r="377" spans="2:27" x14ac:dyDescent="0.3">
      <c r="B377" s="21" t="str">
        <f ca="1">IF(B376="","",IF(EOMONTH(B376,1)&gt;EOMONTH(ELEGIBILIDADE!$E$5,0),"",EOMONTH(B376,1)))</f>
        <v/>
      </c>
      <c r="C377" s="22" t="str">
        <f ca="1">IF(B377="","",IF(MONTH(B377)=1,C376*(1+PREMISSAS!$C$58),C376))</f>
        <v/>
      </c>
      <c r="D377" s="22">
        <f ca="1">IF(RESULTADOS!$C$17="Normal",IFERROR(MAX(C377-PREMISSAS!$C$14,0),0),IF(PREMISSAS!$H$117=0,0,MAX(10*PREMISSAS!$C$39,RESULTADOS!$F$17)))</f>
        <v>0</v>
      </c>
      <c r="E377" s="4">
        <f ca="1">D377*IF(RESULTADOS!$C$17="Normal",RESULTADOS!$C$16,0)</f>
        <v>0</v>
      </c>
      <c r="F377" s="4">
        <f ca="1">IF(D377&lt;&gt;0,PREMISSAS!$N$83,0)</f>
        <v>0</v>
      </c>
      <c r="G377" s="4">
        <f ca="1">IFERROR(IF(RESULTADOS!$C$17="Normal",0,D377)*IF(RESULTADOS!$C$17="Normal",RESULTADOS!$C$18,RESULTADOS!$C$16),0)</f>
        <v>0</v>
      </c>
      <c r="H377" s="4">
        <f ca="1">IF(RESULTADOS!$C$17="Normal",E377,0)</f>
        <v>0</v>
      </c>
      <c r="I377" s="4">
        <f ca="1">(E377+H377+G377)*IFERROR(VLOOKUP(INT(COUNT($B$5:B377)/12),PREMISSAS!$B$62:$C$69,2,FALSE),PREMISSAS!$C$69)</f>
        <v>0</v>
      </c>
      <c r="J377" s="4">
        <f ca="1">D377*IF(RESULTADOS!$C$17="Normal",PREMISSAS!$C$71,0)</f>
        <v>0</v>
      </c>
      <c r="K377" s="87">
        <f ca="1">IFERROR(K376*(1+PREMISSAS!$C$19)+(E377+H377-IF(RESULTADOS!$C$17="Normal",I377,0)-J377)*IF(MONTH(B377)=12,2,1),0)</f>
        <v>0</v>
      </c>
      <c r="L377" s="87">
        <f ca="1">IFERROR((L376+G377-IF(RESULTADOS!$C$17="Normal",0,I377))*(1+PREMISSAS!$C$19)+F377,0)</f>
        <v>0</v>
      </c>
      <c r="N377" s="58">
        <f t="shared" ca="1" si="41"/>
        <v>0</v>
      </c>
      <c r="P377" s="131" t="str">
        <f t="shared" ca="1" si="42"/>
        <v/>
      </c>
      <c r="Q377" s="111" t="str">
        <f ca="1">IF(C377="","",Q376+(E377+H377-IF(RESULTADOS!$C$17="Normal",I377,0)-J377)/2+(F377+G377-IF(RESULTADOS!$C$17="Normal",0,I377)))</f>
        <v/>
      </c>
      <c r="R377" s="111" t="str">
        <f ca="1">IF(C377="","",R376+(E377+H377-IF(RESULTADOS!$C$17="Normal",I377,0)-J377)/2)</f>
        <v/>
      </c>
      <c r="S377" s="111">
        <f t="shared" ca="1" si="44"/>
        <v>0</v>
      </c>
      <c r="U377" s="131" t="str">
        <f t="shared" ca="1" si="45"/>
        <v/>
      </c>
      <c r="V377" s="131" t="str">
        <f t="shared" ca="1" si="43"/>
        <v/>
      </c>
      <c r="W377" s="111">
        <f ca="1">IF(OR((W376-13/12*Z376)*(1+PREMISSAS!$C$17)&lt;0,W376=""),0,(W376-13/12*Z376)*(1+PREMISSAS!$C$17))</f>
        <v>0</v>
      </c>
      <c r="X377" s="111">
        <f ca="1">IF(OR((X376-13/12*AA376)*(1+PREMISSAS!$C$17)&lt;0,X376=""),0,(X376-13/12*AA376)*(1+PREMISSAS!$C$17))</f>
        <v>0</v>
      </c>
      <c r="Y377" s="111">
        <f t="shared" ca="1" si="40"/>
        <v>0</v>
      </c>
      <c r="Z377" s="134">
        <f t="shared" ca="1" si="46"/>
        <v>0</v>
      </c>
      <c r="AA377" s="134">
        <f t="shared" ca="1" si="47"/>
        <v>0</v>
      </c>
    </row>
    <row r="378" spans="2:27" x14ac:dyDescent="0.3">
      <c r="B378" s="21" t="str">
        <f ca="1">IF(B377="","",IF(EOMONTH(B377,1)&gt;EOMONTH(ELEGIBILIDADE!$E$5,0),"",EOMONTH(B377,1)))</f>
        <v/>
      </c>
      <c r="C378" s="22" t="str">
        <f ca="1">IF(B378="","",IF(MONTH(B378)=1,C377*(1+PREMISSAS!$C$58),C377))</f>
        <v/>
      </c>
      <c r="D378" s="22">
        <f ca="1">IF(RESULTADOS!$C$17="Normal",IFERROR(MAX(C378-PREMISSAS!$C$14,0),0),IF(PREMISSAS!$H$117=0,0,MAX(10*PREMISSAS!$C$39,RESULTADOS!$F$17)))</f>
        <v>0</v>
      </c>
      <c r="E378" s="4">
        <f ca="1">D378*IF(RESULTADOS!$C$17="Normal",RESULTADOS!$C$16,0)</f>
        <v>0</v>
      </c>
      <c r="F378" s="4">
        <f ca="1">IF(D378&lt;&gt;0,PREMISSAS!$N$83,0)</f>
        <v>0</v>
      </c>
      <c r="G378" s="4">
        <f ca="1">IFERROR(IF(RESULTADOS!$C$17="Normal",0,D378)*IF(RESULTADOS!$C$17="Normal",RESULTADOS!$C$18,RESULTADOS!$C$16),0)</f>
        <v>0</v>
      </c>
      <c r="H378" s="4">
        <f ca="1">IF(RESULTADOS!$C$17="Normal",E378,0)</f>
        <v>0</v>
      </c>
      <c r="I378" s="4">
        <f ca="1">(E378+H378+G378)*IFERROR(VLOOKUP(INT(COUNT($B$5:B378)/12),PREMISSAS!$B$62:$C$69,2,FALSE),PREMISSAS!$C$69)</f>
        <v>0</v>
      </c>
      <c r="J378" s="4">
        <f ca="1">D378*IF(RESULTADOS!$C$17="Normal",PREMISSAS!$C$71,0)</f>
        <v>0</v>
      </c>
      <c r="K378" s="87">
        <f ca="1">IFERROR(K377*(1+PREMISSAS!$C$19)+(E378+H378-IF(RESULTADOS!$C$17="Normal",I378,0)-J378)*IF(MONTH(B378)=12,2,1),0)</f>
        <v>0</v>
      </c>
      <c r="L378" s="87">
        <f ca="1">IFERROR((L377+G378-IF(RESULTADOS!$C$17="Normal",0,I378))*(1+PREMISSAS!$C$19)+F378,0)</f>
        <v>0</v>
      </c>
      <c r="N378" s="58">
        <f t="shared" ca="1" si="41"/>
        <v>0</v>
      </c>
      <c r="P378" s="131" t="str">
        <f t="shared" ca="1" si="42"/>
        <v/>
      </c>
      <c r="Q378" s="111" t="str">
        <f ca="1">IF(C378="","",Q377+(E378+H378-IF(RESULTADOS!$C$17="Normal",I378,0)-J378)/2+(F378+G378-IF(RESULTADOS!$C$17="Normal",0,I378)))</f>
        <v/>
      </c>
      <c r="R378" s="111" t="str">
        <f ca="1">IF(C378="","",R377+(E378+H378-IF(RESULTADOS!$C$17="Normal",I378,0)-J378)/2)</f>
        <v/>
      </c>
      <c r="S378" s="111">
        <f t="shared" ca="1" si="44"/>
        <v>0</v>
      </c>
      <c r="U378" s="131" t="str">
        <f t="shared" ca="1" si="45"/>
        <v/>
      </c>
      <c r="V378" s="131" t="str">
        <f t="shared" ca="1" si="43"/>
        <v/>
      </c>
      <c r="W378" s="111">
        <f ca="1">IF(OR((W377-13/12*Z377)*(1+PREMISSAS!$C$17)&lt;0,W377=""),0,(W377-13/12*Z377)*(1+PREMISSAS!$C$17))</f>
        <v>0</v>
      </c>
      <c r="X378" s="111">
        <f ca="1">IF(OR((X377-13/12*AA377)*(1+PREMISSAS!$C$17)&lt;0,X377=""),0,(X377-13/12*AA377)*(1+PREMISSAS!$C$17))</f>
        <v>0</v>
      </c>
      <c r="Y378" s="111">
        <f t="shared" ca="1" si="40"/>
        <v>0</v>
      </c>
      <c r="Z378" s="134">
        <f t="shared" ca="1" si="46"/>
        <v>0</v>
      </c>
      <c r="AA378" s="134">
        <f t="shared" ca="1" si="47"/>
        <v>0</v>
      </c>
    </row>
    <row r="379" spans="2:27" x14ac:dyDescent="0.3">
      <c r="B379" s="21" t="str">
        <f ca="1">IF(B378="","",IF(EOMONTH(B378,1)&gt;EOMONTH(ELEGIBILIDADE!$E$5,0),"",EOMONTH(B378,1)))</f>
        <v/>
      </c>
      <c r="C379" s="22" t="str">
        <f ca="1">IF(B379="","",IF(MONTH(B379)=1,C378*(1+PREMISSAS!$C$58),C378))</f>
        <v/>
      </c>
      <c r="D379" s="22">
        <f ca="1">IF(RESULTADOS!$C$17="Normal",IFERROR(MAX(C379-PREMISSAS!$C$14,0),0),IF(PREMISSAS!$H$117=0,0,MAX(10*PREMISSAS!$C$39,RESULTADOS!$F$17)))</f>
        <v>0</v>
      </c>
      <c r="E379" s="4">
        <f ca="1">D379*IF(RESULTADOS!$C$17="Normal",RESULTADOS!$C$16,0)</f>
        <v>0</v>
      </c>
      <c r="F379" s="4">
        <f ca="1">IF(D379&lt;&gt;0,PREMISSAS!$N$83,0)</f>
        <v>0</v>
      </c>
      <c r="G379" s="4">
        <f ca="1">IFERROR(IF(RESULTADOS!$C$17="Normal",0,D379)*IF(RESULTADOS!$C$17="Normal",RESULTADOS!$C$18,RESULTADOS!$C$16),0)</f>
        <v>0</v>
      </c>
      <c r="H379" s="4">
        <f ca="1">IF(RESULTADOS!$C$17="Normal",E379,0)</f>
        <v>0</v>
      </c>
      <c r="I379" s="4">
        <f ca="1">(E379+H379+G379)*IFERROR(VLOOKUP(INT(COUNT($B$5:B379)/12),PREMISSAS!$B$62:$C$69,2,FALSE),PREMISSAS!$C$69)</f>
        <v>0</v>
      </c>
      <c r="J379" s="4">
        <f ca="1">D379*IF(RESULTADOS!$C$17="Normal",PREMISSAS!$C$71,0)</f>
        <v>0</v>
      </c>
      <c r="K379" s="87">
        <f ca="1">IFERROR(K378*(1+PREMISSAS!$C$19)+(E379+H379-IF(RESULTADOS!$C$17="Normal",I379,0)-J379)*IF(MONTH(B379)=12,2,1),0)</f>
        <v>0</v>
      </c>
      <c r="L379" s="87">
        <f ca="1">IFERROR((L378+G379-IF(RESULTADOS!$C$17="Normal",0,I379))*(1+PREMISSAS!$C$19)+F379,0)</f>
        <v>0</v>
      </c>
      <c r="N379" s="58">
        <f t="shared" ca="1" si="41"/>
        <v>0</v>
      </c>
      <c r="P379" s="131" t="str">
        <f t="shared" ca="1" si="42"/>
        <v/>
      </c>
      <c r="Q379" s="111" t="str">
        <f ca="1">IF(C379="","",Q378+(E379+H379-IF(RESULTADOS!$C$17="Normal",I379,0)-J379)/2+(F379+G379-IF(RESULTADOS!$C$17="Normal",0,I379)))</f>
        <v/>
      </c>
      <c r="R379" s="111" t="str">
        <f ca="1">IF(C379="","",R378+(E379+H379-IF(RESULTADOS!$C$17="Normal",I379,0)-J379)/2)</f>
        <v/>
      </c>
      <c r="S379" s="111">
        <f t="shared" ca="1" si="44"/>
        <v>0</v>
      </c>
      <c r="U379" s="131" t="str">
        <f t="shared" ca="1" si="45"/>
        <v/>
      </c>
      <c r="V379" s="131" t="str">
        <f t="shared" ca="1" si="43"/>
        <v/>
      </c>
      <c r="W379" s="111">
        <f ca="1">IF(OR((W378-13/12*Z378)*(1+PREMISSAS!$C$17)&lt;0,W378=""),0,(W378-13/12*Z378)*(1+PREMISSAS!$C$17))</f>
        <v>0</v>
      </c>
      <c r="X379" s="111">
        <f ca="1">IF(OR((X378-13/12*AA378)*(1+PREMISSAS!$C$17)&lt;0,X378=""),0,(X378-13/12*AA378)*(1+PREMISSAS!$C$17))</f>
        <v>0</v>
      </c>
      <c r="Y379" s="111">
        <f t="shared" ref="Y379:Y442" ca="1" si="48">SUM(W379:X379)</f>
        <v>0</v>
      </c>
      <c r="Z379" s="134">
        <f t="shared" ca="1" si="46"/>
        <v>0</v>
      </c>
      <c r="AA379" s="134">
        <f t="shared" ca="1" si="47"/>
        <v>0</v>
      </c>
    </row>
    <row r="380" spans="2:27" x14ac:dyDescent="0.3">
      <c r="B380" s="21" t="str">
        <f ca="1">IF(B379="","",IF(EOMONTH(B379,1)&gt;EOMONTH(ELEGIBILIDADE!$E$5,0),"",EOMONTH(B379,1)))</f>
        <v/>
      </c>
      <c r="C380" s="22" t="str">
        <f ca="1">IF(B380="","",IF(MONTH(B380)=1,C379*(1+PREMISSAS!$C$58),C379))</f>
        <v/>
      </c>
      <c r="D380" s="22">
        <f ca="1">IF(RESULTADOS!$C$17="Normal",IFERROR(MAX(C380-PREMISSAS!$C$14,0),0),IF(PREMISSAS!$H$117=0,0,MAX(10*PREMISSAS!$C$39,RESULTADOS!$F$17)))</f>
        <v>0</v>
      </c>
      <c r="E380" s="4">
        <f ca="1">D380*IF(RESULTADOS!$C$17="Normal",RESULTADOS!$C$16,0)</f>
        <v>0</v>
      </c>
      <c r="F380" s="4">
        <f ca="1">IF(D380&lt;&gt;0,PREMISSAS!$N$83,0)</f>
        <v>0</v>
      </c>
      <c r="G380" s="4">
        <f ca="1">IFERROR(IF(RESULTADOS!$C$17="Normal",0,D380)*IF(RESULTADOS!$C$17="Normal",RESULTADOS!$C$18,RESULTADOS!$C$16),0)</f>
        <v>0</v>
      </c>
      <c r="H380" s="4">
        <f ca="1">IF(RESULTADOS!$C$17="Normal",E380,0)</f>
        <v>0</v>
      </c>
      <c r="I380" s="4">
        <f ca="1">(E380+H380+G380)*IFERROR(VLOOKUP(INT(COUNT($B$5:B380)/12),PREMISSAS!$B$62:$C$69,2,FALSE),PREMISSAS!$C$69)</f>
        <v>0</v>
      </c>
      <c r="J380" s="4">
        <f ca="1">D380*IF(RESULTADOS!$C$17="Normal",PREMISSAS!$C$71,0)</f>
        <v>0</v>
      </c>
      <c r="K380" s="87">
        <f ca="1">IFERROR(K379*(1+PREMISSAS!$C$19)+(E380+H380-IF(RESULTADOS!$C$17="Normal",I380,0)-J380)*IF(MONTH(B380)=12,2,1),0)</f>
        <v>0</v>
      </c>
      <c r="L380" s="87">
        <f ca="1">IFERROR((L379+G380-IF(RESULTADOS!$C$17="Normal",0,I380))*(1+PREMISSAS!$C$19)+F380,0)</f>
        <v>0</v>
      </c>
      <c r="N380" s="58">
        <f t="shared" ca="1" si="41"/>
        <v>0</v>
      </c>
      <c r="P380" s="131" t="str">
        <f t="shared" ca="1" si="42"/>
        <v/>
      </c>
      <c r="Q380" s="111" t="str">
        <f ca="1">IF(C380="","",Q379+(E380+H380-IF(RESULTADOS!$C$17="Normal",I380,0)-J380)/2+(F380+G380-IF(RESULTADOS!$C$17="Normal",0,I380)))</f>
        <v/>
      </c>
      <c r="R380" s="111" t="str">
        <f ca="1">IF(C380="","",R379+(E380+H380-IF(RESULTADOS!$C$17="Normal",I380,0)-J380)/2)</f>
        <v/>
      </c>
      <c r="S380" s="111">
        <f t="shared" ca="1" si="44"/>
        <v>0</v>
      </c>
      <c r="U380" s="131" t="str">
        <f t="shared" ca="1" si="45"/>
        <v/>
      </c>
      <c r="V380" s="131" t="str">
        <f t="shared" ca="1" si="43"/>
        <v/>
      </c>
      <c r="W380" s="111">
        <f ca="1">IF(OR((W379-13/12*Z379)*(1+PREMISSAS!$C$17)&lt;0,W379=""),0,(W379-13/12*Z379)*(1+PREMISSAS!$C$17))</f>
        <v>0</v>
      </c>
      <c r="X380" s="111">
        <f ca="1">IF(OR((X379-13/12*AA379)*(1+PREMISSAS!$C$17)&lt;0,X379=""),0,(X379-13/12*AA379)*(1+PREMISSAS!$C$17))</f>
        <v>0</v>
      </c>
      <c r="Y380" s="111">
        <f t="shared" ca="1" si="48"/>
        <v>0</v>
      </c>
      <c r="Z380" s="134">
        <f t="shared" ca="1" si="46"/>
        <v>0</v>
      </c>
      <c r="AA380" s="134">
        <f t="shared" ca="1" si="47"/>
        <v>0</v>
      </c>
    </row>
    <row r="381" spans="2:27" x14ac:dyDescent="0.3">
      <c r="B381" s="21" t="str">
        <f ca="1">IF(B380="","",IF(EOMONTH(B380,1)&gt;EOMONTH(ELEGIBILIDADE!$E$5,0),"",EOMONTH(B380,1)))</f>
        <v/>
      </c>
      <c r="C381" s="22" t="str">
        <f ca="1">IF(B381="","",IF(MONTH(B381)=1,C380*(1+PREMISSAS!$C$58),C380))</f>
        <v/>
      </c>
      <c r="D381" s="22">
        <f ca="1">IF(RESULTADOS!$C$17="Normal",IFERROR(MAX(C381-PREMISSAS!$C$14,0),0),IF(PREMISSAS!$H$117=0,0,MAX(10*PREMISSAS!$C$39,RESULTADOS!$F$17)))</f>
        <v>0</v>
      </c>
      <c r="E381" s="4">
        <f ca="1">D381*IF(RESULTADOS!$C$17="Normal",RESULTADOS!$C$16,0)</f>
        <v>0</v>
      </c>
      <c r="F381" s="4">
        <f ca="1">IF(D381&lt;&gt;0,PREMISSAS!$N$83,0)</f>
        <v>0</v>
      </c>
      <c r="G381" s="4">
        <f ca="1">IFERROR(IF(RESULTADOS!$C$17="Normal",0,D381)*IF(RESULTADOS!$C$17="Normal",RESULTADOS!$C$18,RESULTADOS!$C$16),0)</f>
        <v>0</v>
      </c>
      <c r="H381" s="4">
        <f ca="1">IF(RESULTADOS!$C$17="Normal",E381,0)</f>
        <v>0</v>
      </c>
      <c r="I381" s="4">
        <f ca="1">(E381+H381+G381)*IFERROR(VLOOKUP(INT(COUNT($B$5:B381)/12),PREMISSAS!$B$62:$C$69,2,FALSE),PREMISSAS!$C$69)</f>
        <v>0</v>
      </c>
      <c r="J381" s="4">
        <f ca="1">D381*IF(RESULTADOS!$C$17="Normal",PREMISSAS!$C$71,0)</f>
        <v>0</v>
      </c>
      <c r="K381" s="87">
        <f ca="1">IFERROR(K380*(1+PREMISSAS!$C$19)+(E381+H381-IF(RESULTADOS!$C$17="Normal",I381,0)-J381)*IF(MONTH(B381)=12,2,1),0)</f>
        <v>0</v>
      </c>
      <c r="L381" s="87">
        <f ca="1">IFERROR((L380+G381-IF(RESULTADOS!$C$17="Normal",0,I381))*(1+PREMISSAS!$C$19)+F381,0)</f>
        <v>0</v>
      </c>
      <c r="N381" s="58">
        <f t="shared" ca="1" si="41"/>
        <v>0</v>
      </c>
      <c r="P381" s="131" t="str">
        <f t="shared" ca="1" si="42"/>
        <v/>
      </c>
      <c r="Q381" s="111" t="str">
        <f ca="1">IF(C381="","",Q380+(E381+H381-IF(RESULTADOS!$C$17="Normal",I381,0)-J381)/2+(F381+G381-IF(RESULTADOS!$C$17="Normal",0,I381)))</f>
        <v/>
      </c>
      <c r="R381" s="111" t="str">
        <f ca="1">IF(C381="","",R380+(E381+H381-IF(RESULTADOS!$C$17="Normal",I381,0)-J381)/2)</f>
        <v/>
      </c>
      <c r="S381" s="111">
        <f t="shared" ca="1" si="44"/>
        <v>0</v>
      </c>
      <c r="U381" s="131" t="str">
        <f t="shared" ca="1" si="45"/>
        <v/>
      </c>
      <c r="V381" s="131" t="str">
        <f t="shared" ca="1" si="43"/>
        <v/>
      </c>
      <c r="W381" s="111">
        <f ca="1">IF(OR((W380-13/12*Z380)*(1+PREMISSAS!$C$17)&lt;0,W380=""),0,(W380-13/12*Z380)*(1+PREMISSAS!$C$17))</f>
        <v>0</v>
      </c>
      <c r="X381" s="111">
        <f ca="1">IF(OR((X380-13/12*AA380)*(1+PREMISSAS!$C$17)&lt;0,X380=""),0,(X380-13/12*AA380)*(1+PREMISSAS!$C$17))</f>
        <v>0</v>
      </c>
      <c r="Y381" s="111">
        <f t="shared" ca="1" si="48"/>
        <v>0</v>
      </c>
      <c r="Z381" s="134">
        <f t="shared" ca="1" si="46"/>
        <v>0</v>
      </c>
      <c r="AA381" s="134">
        <f t="shared" ca="1" si="47"/>
        <v>0</v>
      </c>
    </row>
    <row r="382" spans="2:27" x14ac:dyDescent="0.3">
      <c r="B382" s="21" t="str">
        <f ca="1">IF(B381="","",IF(EOMONTH(B381,1)&gt;EOMONTH(ELEGIBILIDADE!$E$5,0),"",EOMONTH(B381,1)))</f>
        <v/>
      </c>
      <c r="C382" s="22" t="str">
        <f ca="1">IF(B382="","",IF(MONTH(B382)=1,C381*(1+PREMISSAS!$C$58),C381))</f>
        <v/>
      </c>
      <c r="D382" s="22">
        <f ca="1">IF(RESULTADOS!$C$17="Normal",IFERROR(MAX(C382-PREMISSAS!$C$14,0),0),IF(PREMISSAS!$H$117=0,0,MAX(10*PREMISSAS!$C$39,RESULTADOS!$F$17)))</f>
        <v>0</v>
      </c>
      <c r="E382" s="4">
        <f ca="1">D382*IF(RESULTADOS!$C$17="Normal",RESULTADOS!$C$16,0)</f>
        <v>0</v>
      </c>
      <c r="F382" s="4">
        <f ca="1">IF(D382&lt;&gt;0,PREMISSAS!$N$83,0)</f>
        <v>0</v>
      </c>
      <c r="G382" s="4">
        <f ca="1">IFERROR(IF(RESULTADOS!$C$17="Normal",0,D382)*IF(RESULTADOS!$C$17="Normal",RESULTADOS!$C$18,RESULTADOS!$C$16),0)</f>
        <v>0</v>
      </c>
      <c r="H382" s="4">
        <f ca="1">IF(RESULTADOS!$C$17="Normal",E382,0)</f>
        <v>0</v>
      </c>
      <c r="I382" s="4">
        <f ca="1">(E382+H382+G382)*IFERROR(VLOOKUP(INT(COUNT($B$5:B382)/12),PREMISSAS!$B$62:$C$69,2,FALSE),PREMISSAS!$C$69)</f>
        <v>0</v>
      </c>
      <c r="J382" s="4">
        <f ca="1">D382*IF(RESULTADOS!$C$17="Normal",PREMISSAS!$C$71,0)</f>
        <v>0</v>
      </c>
      <c r="K382" s="87">
        <f ca="1">IFERROR(K381*(1+PREMISSAS!$C$19)+(E382+H382-IF(RESULTADOS!$C$17="Normal",I382,0)-J382)*IF(MONTH(B382)=12,2,1),0)</f>
        <v>0</v>
      </c>
      <c r="L382" s="87">
        <f ca="1">IFERROR((L381+G382-IF(RESULTADOS!$C$17="Normal",0,I382))*(1+PREMISSAS!$C$19)+F382,0)</f>
        <v>0</v>
      </c>
      <c r="N382" s="58">
        <f t="shared" ca="1" si="41"/>
        <v>0</v>
      </c>
      <c r="P382" s="131" t="str">
        <f t="shared" ca="1" si="42"/>
        <v/>
      </c>
      <c r="Q382" s="111" t="str">
        <f ca="1">IF(C382="","",Q381+(E382+H382-IF(RESULTADOS!$C$17="Normal",I382,0)-J382)/2+(F382+G382-IF(RESULTADOS!$C$17="Normal",0,I382)))</f>
        <v/>
      </c>
      <c r="R382" s="111" t="str">
        <f ca="1">IF(C382="","",R381+(E382+H382-IF(RESULTADOS!$C$17="Normal",I382,0)-J382)/2)</f>
        <v/>
      </c>
      <c r="S382" s="111">
        <f t="shared" ca="1" si="44"/>
        <v>0</v>
      </c>
      <c r="U382" s="131" t="str">
        <f t="shared" ca="1" si="45"/>
        <v/>
      </c>
      <c r="V382" s="131" t="str">
        <f t="shared" ca="1" si="43"/>
        <v/>
      </c>
      <c r="W382" s="111">
        <f ca="1">IF(OR((W381-13/12*Z381)*(1+PREMISSAS!$C$17)&lt;0,W381=""),0,(W381-13/12*Z381)*(1+PREMISSAS!$C$17))</f>
        <v>0</v>
      </c>
      <c r="X382" s="111">
        <f ca="1">IF(OR((X381-13/12*AA381)*(1+PREMISSAS!$C$17)&lt;0,X381=""),0,(X381-13/12*AA381)*(1+PREMISSAS!$C$17))</f>
        <v>0</v>
      </c>
      <c r="Y382" s="111">
        <f t="shared" ca="1" si="48"/>
        <v>0</v>
      </c>
      <c r="Z382" s="134">
        <f t="shared" ca="1" si="46"/>
        <v>0</v>
      </c>
      <c r="AA382" s="134">
        <f t="shared" ca="1" si="47"/>
        <v>0</v>
      </c>
    </row>
    <row r="383" spans="2:27" x14ac:dyDescent="0.3">
      <c r="B383" s="21" t="str">
        <f ca="1">IF(B382="","",IF(EOMONTH(B382,1)&gt;EOMONTH(ELEGIBILIDADE!$E$5,0),"",EOMONTH(B382,1)))</f>
        <v/>
      </c>
      <c r="C383" s="22" t="str">
        <f ca="1">IF(B383="","",IF(MONTH(B383)=1,C382*(1+PREMISSAS!$C$58),C382))</f>
        <v/>
      </c>
      <c r="D383" s="22">
        <f ca="1">IF(RESULTADOS!$C$17="Normal",IFERROR(MAX(C383-PREMISSAS!$C$14,0),0),IF(PREMISSAS!$H$117=0,0,MAX(10*PREMISSAS!$C$39,RESULTADOS!$F$17)))</f>
        <v>0</v>
      </c>
      <c r="E383" s="4">
        <f ca="1">D383*IF(RESULTADOS!$C$17="Normal",RESULTADOS!$C$16,0)</f>
        <v>0</v>
      </c>
      <c r="F383" s="4">
        <f ca="1">IF(D383&lt;&gt;0,PREMISSAS!$N$83,0)</f>
        <v>0</v>
      </c>
      <c r="G383" s="4">
        <f ca="1">IFERROR(IF(RESULTADOS!$C$17="Normal",0,D383)*IF(RESULTADOS!$C$17="Normal",RESULTADOS!$C$18,RESULTADOS!$C$16),0)</f>
        <v>0</v>
      </c>
      <c r="H383" s="4">
        <f ca="1">IF(RESULTADOS!$C$17="Normal",E383,0)</f>
        <v>0</v>
      </c>
      <c r="I383" s="4">
        <f ca="1">(E383+H383+G383)*IFERROR(VLOOKUP(INT(COUNT($B$5:B383)/12),PREMISSAS!$B$62:$C$69,2,FALSE),PREMISSAS!$C$69)</f>
        <v>0</v>
      </c>
      <c r="J383" s="4">
        <f ca="1">D383*IF(RESULTADOS!$C$17="Normal",PREMISSAS!$C$71,0)</f>
        <v>0</v>
      </c>
      <c r="K383" s="87">
        <f ca="1">IFERROR(K382*(1+PREMISSAS!$C$19)+(E383+H383-IF(RESULTADOS!$C$17="Normal",I383,0)-J383)*IF(MONTH(B383)=12,2,1),0)</f>
        <v>0</v>
      </c>
      <c r="L383" s="87">
        <f ca="1">IFERROR((L382+G383-IF(RESULTADOS!$C$17="Normal",0,I383))*(1+PREMISSAS!$C$19)+F383,0)</f>
        <v>0</v>
      </c>
      <c r="N383" s="58">
        <f t="shared" ca="1" si="41"/>
        <v>0</v>
      </c>
      <c r="P383" s="131" t="str">
        <f t="shared" ca="1" si="42"/>
        <v/>
      </c>
      <c r="Q383" s="111" t="str">
        <f ca="1">IF(C383="","",Q382+(E383+H383-IF(RESULTADOS!$C$17="Normal",I383,0)-J383)/2+(F383+G383-IF(RESULTADOS!$C$17="Normal",0,I383)))</f>
        <v/>
      </c>
      <c r="R383" s="111" t="str">
        <f ca="1">IF(C383="","",R382+(E383+H383-IF(RESULTADOS!$C$17="Normal",I383,0)-J383)/2)</f>
        <v/>
      </c>
      <c r="S383" s="111">
        <f t="shared" ca="1" si="44"/>
        <v>0</v>
      </c>
      <c r="U383" s="131" t="str">
        <f t="shared" ca="1" si="45"/>
        <v/>
      </c>
      <c r="V383" s="131" t="str">
        <f t="shared" ca="1" si="43"/>
        <v/>
      </c>
      <c r="W383" s="111">
        <f ca="1">IF(OR((W382-13/12*Z382)*(1+PREMISSAS!$C$17)&lt;0,W382=""),0,(W382-13/12*Z382)*(1+PREMISSAS!$C$17))</f>
        <v>0</v>
      </c>
      <c r="X383" s="111">
        <f ca="1">IF(OR((X382-13/12*AA382)*(1+PREMISSAS!$C$17)&lt;0,X382=""),0,(X382-13/12*AA382)*(1+PREMISSAS!$C$17))</f>
        <v>0</v>
      </c>
      <c r="Y383" s="111">
        <f t="shared" ca="1" si="48"/>
        <v>0</v>
      </c>
      <c r="Z383" s="134">
        <f t="shared" ca="1" si="46"/>
        <v>0</v>
      </c>
      <c r="AA383" s="134">
        <f t="shared" ca="1" si="47"/>
        <v>0</v>
      </c>
    </row>
    <row r="384" spans="2:27" x14ac:dyDescent="0.3">
      <c r="B384" s="21" t="str">
        <f ca="1">IF(B383="","",IF(EOMONTH(B383,1)&gt;EOMONTH(ELEGIBILIDADE!$E$5,0),"",EOMONTH(B383,1)))</f>
        <v/>
      </c>
      <c r="C384" s="22" t="str">
        <f ca="1">IF(B384="","",IF(MONTH(B384)=1,C383*(1+PREMISSAS!$C$58),C383))</f>
        <v/>
      </c>
      <c r="D384" s="22">
        <f ca="1">IF(RESULTADOS!$C$17="Normal",IFERROR(MAX(C384-PREMISSAS!$C$14,0),0),IF(PREMISSAS!$H$117=0,0,MAX(10*PREMISSAS!$C$39,RESULTADOS!$F$17)))</f>
        <v>0</v>
      </c>
      <c r="E384" s="4">
        <f ca="1">D384*IF(RESULTADOS!$C$17="Normal",RESULTADOS!$C$16,0)</f>
        <v>0</v>
      </c>
      <c r="F384" s="4">
        <f ca="1">IF(D384&lt;&gt;0,PREMISSAS!$N$83,0)</f>
        <v>0</v>
      </c>
      <c r="G384" s="4">
        <f ca="1">IFERROR(IF(RESULTADOS!$C$17="Normal",0,D384)*IF(RESULTADOS!$C$17="Normal",RESULTADOS!$C$18,RESULTADOS!$C$16),0)</f>
        <v>0</v>
      </c>
      <c r="H384" s="4">
        <f ca="1">IF(RESULTADOS!$C$17="Normal",E384,0)</f>
        <v>0</v>
      </c>
      <c r="I384" s="4">
        <f ca="1">(E384+H384+G384)*IFERROR(VLOOKUP(INT(COUNT($B$5:B384)/12),PREMISSAS!$B$62:$C$69,2,FALSE),PREMISSAS!$C$69)</f>
        <v>0</v>
      </c>
      <c r="J384" s="4">
        <f ca="1">D384*IF(RESULTADOS!$C$17="Normal",PREMISSAS!$C$71,0)</f>
        <v>0</v>
      </c>
      <c r="K384" s="87">
        <f ca="1">IFERROR(K383*(1+PREMISSAS!$C$19)+(E384+H384-IF(RESULTADOS!$C$17="Normal",I384,0)-J384)*IF(MONTH(B384)=12,2,1),0)</f>
        <v>0</v>
      </c>
      <c r="L384" s="87">
        <f ca="1">IFERROR((L383+G384-IF(RESULTADOS!$C$17="Normal",0,I384))*(1+PREMISSAS!$C$19)+F384,0)</f>
        <v>0</v>
      </c>
      <c r="N384" s="58">
        <f t="shared" ca="1" si="41"/>
        <v>0</v>
      </c>
      <c r="P384" s="131" t="str">
        <f t="shared" ca="1" si="42"/>
        <v/>
      </c>
      <c r="Q384" s="111" t="str">
        <f ca="1">IF(C384="","",Q383+(E384+H384-IF(RESULTADOS!$C$17="Normal",I384,0)-J384)/2+(F384+G384-IF(RESULTADOS!$C$17="Normal",0,I384)))</f>
        <v/>
      </c>
      <c r="R384" s="111" t="str">
        <f ca="1">IF(C384="","",R383+(E384+H384-IF(RESULTADOS!$C$17="Normal",I384,0)-J384)/2)</f>
        <v/>
      </c>
      <c r="S384" s="111">
        <f t="shared" ca="1" si="44"/>
        <v>0</v>
      </c>
      <c r="U384" s="131" t="str">
        <f t="shared" ca="1" si="45"/>
        <v/>
      </c>
      <c r="V384" s="131" t="str">
        <f t="shared" ca="1" si="43"/>
        <v/>
      </c>
      <c r="W384" s="111">
        <f ca="1">IF(OR((W383-13/12*Z383)*(1+PREMISSAS!$C$17)&lt;0,W383=""),0,(W383-13/12*Z383)*(1+PREMISSAS!$C$17))</f>
        <v>0</v>
      </c>
      <c r="X384" s="111">
        <f ca="1">IF(OR((X383-13/12*AA383)*(1+PREMISSAS!$C$17)&lt;0,X383=""),0,(X383-13/12*AA383)*(1+PREMISSAS!$C$17))</f>
        <v>0</v>
      </c>
      <c r="Y384" s="111">
        <f t="shared" ca="1" si="48"/>
        <v>0</v>
      </c>
      <c r="Z384" s="134">
        <f t="shared" ca="1" si="46"/>
        <v>0</v>
      </c>
      <c r="AA384" s="134">
        <f t="shared" ca="1" si="47"/>
        <v>0</v>
      </c>
    </row>
    <row r="385" spans="2:27" x14ac:dyDescent="0.3">
      <c r="B385" s="21" t="str">
        <f ca="1">IF(B384="","",IF(EOMONTH(B384,1)&gt;EOMONTH(ELEGIBILIDADE!$E$5,0),"",EOMONTH(B384,1)))</f>
        <v/>
      </c>
      <c r="C385" s="22" t="str">
        <f ca="1">IF(B385="","",IF(MONTH(B385)=1,C384*(1+PREMISSAS!$C$58),C384))</f>
        <v/>
      </c>
      <c r="D385" s="22">
        <f ca="1">IF(RESULTADOS!$C$17="Normal",IFERROR(MAX(C385-PREMISSAS!$C$14,0),0),IF(PREMISSAS!$H$117=0,0,MAX(10*PREMISSAS!$C$39,RESULTADOS!$F$17)))</f>
        <v>0</v>
      </c>
      <c r="E385" s="4">
        <f ca="1">D385*IF(RESULTADOS!$C$17="Normal",RESULTADOS!$C$16,0)</f>
        <v>0</v>
      </c>
      <c r="F385" s="4">
        <f ca="1">IF(D385&lt;&gt;0,PREMISSAS!$N$83,0)</f>
        <v>0</v>
      </c>
      <c r="G385" s="4">
        <f ca="1">IFERROR(IF(RESULTADOS!$C$17="Normal",0,D385)*IF(RESULTADOS!$C$17="Normal",RESULTADOS!$C$18,RESULTADOS!$C$16),0)</f>
        <v>0</v>
      </c>
      <c r="H385" s="4">
        <f ca="1">IF(RESULTADOS!$C$17="Normal",E385,0)</f>
        <v>0</v>
      </c>
      <c r="I385" s="4">
        <f ca="1">(E385+H385+G385)*IFERROR(VLOOKUP(INT(COUNT($B$5:B385)/12),PREMISSAS!$B$62:$C$69,2,FALSE),PREMISSAS!$C$69)</f>
        <v>0</v>
      </c>
      <c r="J385" s="4">
        <f ca="1">D385*IF(RESULTADOS!$C$17="Normal",PREMISSAS!$C$71,0)</f>
        <v>0</v>
      </c>
      <c r="K385" s="87">
        <f ca="1">IFERROR(K384*(1+PREMISSAS!$C$19)+(E385+H385-IF(RESULTADOS!$C$17="Normal",I385,0)-J385)*IF(MONTH(B385)=12,2,1),0)</f>
        <v>0</v>
      </c>
      <c r="L385" s="87">
        <f ca="1">IFERROR((L384+G385-IF(RESULTADOS!$C$17="Normal",0,I385))*(1+PREMISSAS!$C$19)+F385,0)</f>
        <v>0</v>
      </c>
      <c r="N385" s="58">
        <f t="shared" ca="1" si="41"/>
        <v>0</v>
      </c>
      <c r="P385" s="131" t="str">
        <f t="shared" ca="1" si="42"/>
        <v/>
      </c>
      <c r="Q385" s="111" t="str">
        <f ca="1">IF(C385="","",Q384+(E385+H385-IF(RESULTADOS!$C$17="Normal",I385,0)-J385)/2+(F385+G385-IF(RESULTADOS!$C$17="Normal",0,I385)))</f>
        <v/>
      </c>
      <c r="R385" s="111" t="str">
        <f ca="1">IF(C385="","",R384+(E385+H385-IF(RESULTADOS!$C$17="Normal",I385,0)-J385)/2)</f>
        <v/>
      </c>
      <c r="S385" s="111">
        <f t="shared" ca="1" si="44"/>
        <v>0</v>
      </c>
      <c r="U385" s="131" t="str">
        <f t="shared" ca="1" si="45"/>
        <v/>
      </c>
      <c r="V385" s="131" t="str">
        <f t="shared" ca="1" si="43"/>
        <v/>
      </c>
      <c r="W385" s="111">
        <f ca="1">IF(OR((W384-13/12*Z384)*(1+PREMISSAS!$C$17)&lt;0,W384=""),0,(W384-13/12*Z384)*(1+PREMISSAS!$C$17))</f>
        <v>0</v>
      </c>
      <c r="X385" s="111">
        <f ca="1">IF(OR((X384-13/12*AA384)*(1+PREMISSAS!$C$17)&lt;0,X384=""),0,(X384-13/12*AA384)*(1+PREMISSAS!$C$17))</f>
        <v>0</v>
      </c>
      <c r="Y385" s="111">
        <f t="shared" ca="1" si="48"/>
        <v>0</v>
      </c>
      <c r="Z385" s="134">
        <f t="shared" ca="1" si="46"/>
        <v>0</v>
      </c>
      <c r="AA385" s="134">
        <f t="shared" ca="1" si="47"/>
        <v>0</v>
      </c>
    </row>
    <row r="386" spans="2:27" x14ac:dyDescent="0.3">
      <c r="B386" s="21" t="str">
        <f ca="1">IF(B385="","",IF(EOMONTH(B385,1)&gt;EOMONTH(ELEGIBILIDADE!$E$5,0),"",EOMONTH(B385,1)))</f>
        <v/>
      </c>
      <c r="C386" s="22" t="str">
        <f ca="1">IF(B386="","",IF(MONTH(B386)=1,C385*(1+PREMISSAS!$C$58),C385))</f>
        <v/>
      </c>
      <c r="D386" s="22">
        <f ca="1">IF(RESULTADOS!$C$17="Normal",IFERROR(MAX(C386-PREMISSAS!$C$14,0),0),IF(PREMISSAS!$H$117=0,0,MAX(10*PREMISSAS!$C$39,RESULTADOS!$F$17)))</f>
        <v>0</v>
      </c>
      <c r="E386" s="4">
        <f ca="1">D386*IF(RESULTADOS!$C$17="Normal",RESULTADOS!$C$16,0)</f>
        <v>0</v>
      </c>
      <c r="F386" s="4">
        <f ca="1">IF(D386&lt;&gt;0,PREMISSAS!$N$83,0)</f>
        <v>0</v>
      </c>
      <c r="G386" s="4">
        <f ca="1">IFERROR(IF(RESULTADOS!$C$17="Normal",0,D386)*IF(RESULTADOS!$C$17="Normal",RESULTADOS!$C$18,RESULTADOS!$C$16),0)</f>
        <v>0</v>
      </c>
      <c r="H386" s="4">
        <f ca="1">IF(RESULTADOS!$C$17="Normal",E386,0)</f>
        <v>0</v>
      </c>
      <c r="I386" s="4">
        <f ca="1">(E386+H386+G386)*IFERROR(VLOOKUP(INT(COUNT($B$5:B386)/12),PREMISSAS!$B$62:$C$69,2,FALSE),PREMISSAS!$C$69)</f>
        <v>0</v>
      </c>
      <c r="J386" s="4">
        <f ca="1">D386*IF(RESULTADOS!$C$17="Normal",PREMISSAS!$C$71,0)</f>
        <v>0</v>
      </c>
      <c r="K386" s="87">
        <f ca="1">IFERROR(K385*(1+PREMISSAS!$C$19)+(E386+H386-IF(RESULTADOS!$C$17="Normal",I386,0)-J386)*IF(MONTH(B386)=12,2,1),0)</f>
        <v>0</v>
      </c>
      <c r="L386" s="87">
        <f ca="1">IFERROR((L385+G386-IF(RESULTADOS!$C$17="Normal",0,I386))*(1+PREMISSAS!$C$19)+F386,0)</f>
        <v>0</v>
      </c>
      <c r="N386" s="58">
        <f t="shared" ca="1" si="41"/>
        <v>0</v>
      </c>
      <c r="P386" s="131" t="str">
        <f t="shared" ca="1" si="42"/>
        <v/>
      </c>
      <c r="Q386" s="111" t="str">
        <f ca="1">IF(C386="","",Q385+(E386+H386-IF(RESULTADOS!$C$17="Normal",I386,0)-J386)/2+(F386+G386-IF(RESULTADOS!$C$17="Normal",0,I386)))</f>
        <v/>
      </c>
      <c r="R386" s="111" t="str">
        <f ca="1">IF(C386="","",R385+(E386+H386-IF(RESULTADOS!$C$17="Normal",I386,0)-J386)/2)</f>
        <v/>
      </c>
      <c r="S386" s="111">
        <f t="shared" ca="1" si="44"/>
        <v>0</v>
      </c>
      <c r="U386" s="131" t="str">
        <f t="shared" ca="1" si="45"/>
        <v/>
      </c>
      <c r="V386" s="131" t="str">
        <f t="shared" ca="1" si="43"/>
        <v/>
      </c>
      <c r="W386" s="111">
        <f ca="1">IF(OR((W385-13/12*Z385)*(1+PREMISSAS!$C$17)&lt;0,W385=""),0,(W385-13/12*Z385)*(1+PREMISSAS!$C$17))</f>
        <v>0</v>
      </c>
      <c r="X386" s="111">
        <f ca="1">IF(OR((X385-13/12*AA385)*(1+PREMISSAS!$C$17)&lt;0,X385=""),0,(X385-13/12*AA385)*(1+PREMISSAS!$C$17))</f>
        <v>0</v>
      </c>
      <c r="Y386" s="111">
        <f t="shared" ca="1" si="48"/>
        <v>0</v>
      </c>
      <c r="Z386" s="134">
        <f t="shared" ca="1" si="46"/>
        <v>0</v>
      </c>
      <c r="AA386" s="134">
        <f t="shared" ca="1" si="47"/>
        <v>0</v>
      </c>
    </row>
    <row r="387" spans="2:27" x14ac:dyDescent="0.3">
      <c r="B387" s="21" t="str">
        <f ca="1">IF(B386="","",IF(EOMONTH(B386,1)&gt;EOMONTH(ELEGIBILIDADE!$E$5,0),"",EOMONTH(B386,1)))</f>
        <v/>
      </c>
      <c r="C387" s="22" t="str">
        <f ca="1">IF(B387="","",IF(MONTH(B387)=1,C386*(1+PREMISSAS!$C$58),C386))</f>
        <v/>
      </c>
      <c r="D387" s="22">
        <f ca="1">IF(RESULTADOS!$C$17="Normal",IFERROR(MAX(C387-PREMISSAS!$C$14,0),0),IF(PREMISSAS!$H$117=0,0,MAX(10*PREMISSAS!$C$39,RESULTADOS!$F$17)))</f>
        <v>0</v>
      </c>
      <c r="E387" s="4">
        <f ca="1">D387*IF(RESULTADOS!$C$17="Normal",RESULTADOS!$C$16,0)</f>
        <v>0</v>
      </c>
      <c r="F387" s="4">
        <f ca="1">IF(D387&lt;&gt;0,PREMISSAS!$N$83,0)</f>
        <v>0</v>
      </c>
      <c r="G387" s="4">
        <f ca="1">IFERROR(IF(RESULTADOS!$C$17="Normal",0,D387)*IF(RESULTADOS!$C$17="Normal",RESULTADOS!$C$18,RESULTADOS!$C$16),0)</f>
        <v>0</v>
      </c>
      <c r="H387" s="4">
        <f ca="1">IF(RESULTADOS!$C$17="Normal",E387,0)</f>
        <v>0</v>
      </c>
      <c r="I387" s="4">
        <f ca="1">(E387+H387+G387)*IFERROR(VLOOKUP(INT(COUNT($B$5:B387)/12),PREMISSAS!$B$62:$C$69,2,FALSE),PREMISSAS!$C$69)</f>
        <v>0</v>
      </c>
      <c r="J387" s="4">
        <f ca="1">D387*IF(RESULTADOS!$C$17="Normal",PREMISSAS!$C$71,0)</f>
        <v>0</v>
      </c>
      <c r="K387" s="87">
        <f ca="1">IFERROR(K386*(1+PREMISSAS!$C$19)+(E387+H387-IF(RESULTADOS!$C$17="Normal",I387,0)-J387)*IF(MONTH(B387)=12,2,1),0)</f>
        <v>0</v>
      </c>
      <c r="L387" s="87">
        <f ca="1">IFERROR((L386+G387-IF(RESULTADOS!$C$17="Normal",0,I387))*(1+PREMISSAS!$C$19)+F387,0)</f>
        <v>0</v>
      </c>
      <c r="N387" s="58">
        <f t="shared" ca="1" si="41"/>
        <v>0</v>
      </c>
      <c r="P387" s="131" t="str">
        <f t="shared" ca="1" si="42"/>
        <v/>
      </c>
      <c r="Q387" s="111" t="str">
        <f ca="1">IF(C387="","",Q386+(E387+H387-IF(RESULTADOS!$C$17="Normal",I387,0)-J387)/2+(F387+G387-IF(RESULTADOS!$C$17="Normal",0,I387)))</f>
        <v/>
      </c>
      <c r="R387" s="111" t="str">
        <f ca="1">IF(C387="","",R386+(E387+H387-IF(RESULTADOS!$C$17="Normal",I387,0)-J387)/2)</f>
        <v/>
      </c>
      <c r="S387" s="111">
        <f t="shared" ca="1" si="44"/>
        <v>0</v>
      </c>
      <c r="U387" s="131" t="str">
        <f t="shared" ca="1" si="45"/>
        <v/>
      </c>
      <c r="V387" s="131" t="str">
        <f t="shared" ca="1" si="43"/>
        <v/>
      </c>
      <c r="W387" s="111">
        <f ca="1">IF(OR((W386-13/12*Z386)*(1+PREMISSAS!$C$17)&lt;0,W386=""),0,(W386-13/12*Z386)*(1+PREMISSAS!$C$17))</f>
        <v>0</v>
      </c>
      <c r="X387" s="111">
        <f ca="1">IF(OR((X386-13/12*AA386)*(1+PREMISSAS!$C$17)&lt;0,X386=""),0,(X386-13/12*AA386)*(1+PREMISSAS!$C$17))</f>
        <v>0</v>
      </c>
      <c r="Y387" s="111">
        <f t="shared" ca="1" si="48"/>
        <v>0</v>
      </c>
      <c r="Z387" s="134">
        <f t="shared" ca="1" si="46"/>
        <v>0</v>
      </c>
      <c r="AA387" s="134">
        <f t="shared" ca="1" si="47"/>
        <v>0</v>
      </c>
    </row>
    <row r="388" spans="2:27" x14ac:dyDescent="0.3">
      <c r="B388" s="21" t="str">
        <f ca="1">IF(B387="","",IF(EOMONTH(B387,1)&gt;EOMONTH(ELEGIBILIDADE!$E$5,0),"",EOMONTH(B387,1)))</f>
        <v/>
      </c>
      <c r="C388" s="22" t="str">
        <f ca="1">IF(B388="","",IF(MONTH(B388)=1,C387*(1+PREMISSAS!$C$58),C387))</f>
        <v/>
      </c>
      <c r="D388" s="22">
        <f ca="1">IF(RESULTADOS!$C$17="Normal",IFERROR(MAX(C388-PREMISSAS!$C$14,0),0),IF(PREMISSAS!$H$117=0,0,MAX(10*PREMISSAS!$C$39,RESULTADOS!$F$17)))</f>
        <v>0</v>
      </c>
      <c r="E388" s="4">
        <f ca="1">D388*IF(RESULTADOS!$C$17="Normal",RESULTADOS!$C$16,0)</f>
        <v>0</v>
      </c>
      <c r="F388" s="4">
        <f ca="1">IF(D388&lt;&gt;0,PREMISSAS!$N$83,0)</f>
        <v>0</v>
      </c>
      <c r="G388" s="4">
        <f ca="1">IFERROR(IF(RESULTADOS!$C$17="Normal",0,D388)*IF(RESULTADOS!$C$17="Normal",RESULTADOS!$C$18,RESULTADOS!$C$16),0)</f>
        <v>0</v>
      </c>
      <c r="H388" s="4">
        <f ca="1">IF(RESULTADOS!$C$17="Normal",E388,0)</f>
        <v>0</v>
      </c>
      <c r="I388" s="4">
        <f ca="1">(E388+H388+G388)*IFERROR(VLOOKUP(INT(COUNT($B$5:B388)/12),PREMISSAS!$B$62:$C$69,2,FALSE),PREMISSAS!$C$69)</f>
        <v>0</v>
      </c>
      <c r="J388" s="4">
        <f ca="1">D388*IF(RESULTADOS!$C$17="Normal",PREMISSAS!$C$71,0)</f>
        <v>0</v>
      </c>
      <c r="K388" s="87">
        <f ca="1">IFERROR(K387*(1+PREMISSAS!$C$19)+(E388+H388-IF(RESULTADOS!$C$17="Normal",I388,0)-J388)*IF(MONTH(B388)=12,2,1),0)</f>
        <v>0</v>
      </c>
      <c r="L388" s="87">
        <f ca="1">IFERROR((L387+G388-IF(RESULTADOS!$C$17="Normal",0,I388))*(1+PREMISSAS!$C$19)+F388,0)</f>
        <v>0</v>
      </c>
      <c r="N388" s="58">
        <f t="shared" ca="1" si="41"/>
        <v>0</v>
      </c>
      <c r="P388" s="131" t="str">
        <f t="shared" ca="1" si="42"/>
        <v/>
      </c>
      <c r="Q388" s="111" t="str">
        <f ca="1">IF(C388="","",Q387+(E388+H388-IF(RESULTADOS!$C$17="Normal",I388,0)-J388)/2+(F388+G388-IF(RESULTADOS!$C$17="Normal",0,I388)))</f>
        <v/>
      </c>
      <c r="R388" s="111" t="str">
        <f ca="1">IF(C388="","",R387+(E388+H388-IF(RESULTADOS!$C$17="Normal",I388,0)-J388)/2)</f>
        <v/>
      </c>
      <c r="S388" s="111">
        <f t="shared" ca="1" si="44"/>
        <v>0</v>
      </c>
      <c r="U388" s="131" t="str">
        <f t="shared" ca="1" si="45"/>
        <v/>
      </c>
      <c r="V388" s="131" t="str">
        <f t="shared" ca="1" si="43"/>
        <v/>
      </c>
      <c r="W388" s="111">
        <f ca="1">IF(OR((W387-13/12*Z387)*(1+PREMISSAS!$C$17)&lt;0,W387=""),0,(W387-13/12*Z387)*(1+PREMISSAS!$C$17))</f>
        <v>0</v>
      </c>
      <c r="X388" s="111">
        <f ca="1">IF(OR((X387-13/12*AA387)*(1+PREMISSAS!$C$17)&lt;0,X387=""),0,(X387-13/12*AA387)*(1+PREMISSAS!$C$17))</f>
        <v>0</v>
      </c>
      <c r="Y388" s="111">
        <f t="shared" ca="1" si="48"/>
        <v>0</v>
      </c>
      <c r="Z388" s="134">
        <f t="shared" ca="1" si="46"/>
        <v>0</v>
      </c>
      <c r="AA388" s="134">
        <f t="shared" ca="1" si="47"/>
        <v>0</v>
      </c>
    </row>
    <row r="389" spans="2:27" x14ac:dyDescent="0.3">
      <c r="B389" s="21" t="str">
        <f ca="1">IF(B388="","",IF(EOMONTH(B388,1)&gt;EOMONTH(ELEGIBILIDADE!$E$5,0),"",EOMONTH(B388,1)))</f>
        <v/>
      </c>
      <c r="C389" s="22" t="str">
        <f ca="1">IF(B389="","",IF(MONTH(B389)=1,C388*(1+PREMISSAS!$C$58),C388))</f>
        <v/>
      </c>
      <c r="D389" s="22">
        <f ca="1">IF(RESULTADOS!$C$17="Normal",IFERROR(MAX(C389-PREMISSAS!$C$14,0),0),IF(PREMISSAS!$H$117=0,0,MAX(10*PREMISSAS!$C$39,RESULTADOS!$F$17)))</f>
        <v>0</v>
      </c>
      <c r="E389" s="4">
        <f ca="1">D389*IF(RESULTADOS!$C$17="Normal",RESULTADOS!$C$16,0)</f>
        <v>0</v>
      </c>
      <c r="F389" s="4">
        <f ca="1">IF(D389&lt;&gt;0,PREMISSAS!$N$83,0)</f>
        <v>0</v>
      </c>
      <c r="G389" s="4">
        <f ca="1">IFERROR(IF(RESULTADOS!$C$17="Normal",0,D389)*IF(RESULTADOS!$C$17="Normal",RESULTADOS!$C$18,RESULTADOS!$C$16),0)</f>
        <v>0</v>
      </c>
      <c r="H389" s="4">
        <f ca="1">IF(RESULTADOS!$C$17="Normal",E389,0)</f>
        <v>0</v>
      </c>
      <c r="I389" s="4">
        <f ca="1">(E389+H389+G389)*IFERROR(VLOOKUP(INT(COUNT($B$5:B389)/12),PREMISSAS!$B$62:$C$69,2,FALSE),PREMISSAS!$C$69)</f>
        <v>0</v>
      </c>
      <c r="J389" s="4">
        <f ca="1">D389*IF(RESULTADOS!$C$17="Normal",PREMISSAS!$C$71,0)</f>
        <v>0</v>
      </c>
      <c r="K389" s="87">
        <f ca="1">IFERROR(K388*(1+PREMISSAS!$C$19)+(E389+H389-IF(RESULTADOS!$C$17="Normal",I389,0)-J389)*IF(MONTH(B389)=12,2,1),0)</f>
        <v>0</v>
      </c>
      <c r="L389" s="87">
        <f ca="1">IFERROR((L388+G389-IF(RESULTADOS!$C$17="Normal",0,I389))*(1+PREMISSAS!$C$19)+F389,0)</f>
        <v>0</v>
      </c>
      <c r="N389" s="58">
        <f t="shared" ca="1" si="41"/>
        <v>0</v>
      </c>
      <c r="P389" s="131" t="str">
        <f t="shared" ca="1" si="42"/>
        <v/>
      </c>
      <c r="Q389" s="111" t="str">
        <f ca="1">IF(C389="","",Q388+(E389+H389-IF(RESULTADOS!$C$17="Normal",I389,0)-J389)/2+(F389+G389-IF(RESULTADOS!$C$17="Normal",0,I389)))</f>
        <v/>
      </c>
      <c r="R389" s="111" t="str">
        <f ca="1">IF(C389="","",R388+(E389+H389-IF(RESULTADOS!$C$17="Normal",I389,0)-J389)/2)</f>
        <v/>
      </c>
      <c r="S389" s="111">
        <f t="shared" ca="1" si="44"/>
        <v>0</v>
      </c>
      <c r="U389" s="131" t="str">
        <f t="shared" ca="1" si="45"/>
        <v/>
      </c>
      <c r="V389" s="131" t="str">
        <f t="shared" ca="1" si="43"/>
        <v/>
      </c>
      <c r="W389" s="111">
        <f ca="1">IF(OR((W388-13/12*Z388)*(1+PREMISSAS!$C$17)&lt;0,W388=""),0,(W388-13/12*Z388)*(1+PREMISSAS!$C$17))</f>
        <v>0</v>
      </c>
      <c r="X389" s="111">
        <f ca="1">IF(OR((X388-13/12*AA388)*(1+PREMISSAS!$C$17)&lt;0,X388=""),0,(X388-13/12*AA388)*(1+PREMISSAS!$C$17))</f>
        <v>0</v>
      </c>
      <c r="Y389" s="111">
        <f t="shared" ca="1" si="48"/>
        <v>0</v>
      </c>
      <c r="Z389" s="134">
        <f t="shared" ca="1" si="46"/>
        <v>0</v>
      </c>
      <c r="AA389" s="134">
        <f t="shared" ca="1" si="47"/>
        <v>0</v>
      </c>
    </row>
    <row r="390" spans="2:27" x14ac:dyDescent="0.3">
      <c r="B390" s="21" t="str">
        <f ca="1">IF(B389="","",IF(EOMONTH(B389,1)&gt;EOMONTH(ELEGIBILIDADE!$E$5,0),"",EOMONTH(B389,1)))</f>
        <v/>
      </c>
      <c r="C390" s="22" t="str">
        <f ca="1">IF(B390="","",IF(MONTH(B390)=1,C389*(1+PREMISSAS!$C$58),C389))</f>
        <v/>
      </c>
      <c r="D390" s="22">
        <f ca="1">IF(RESULTADOS!$C$17="Normal",IFERROR(MAX(C390-PREMISSAS!$C$14,0),0),IF(PREMISSAS!$H$117=0,0,MAX(10*PREMISSAS!$C$39,RESULTADOS!$F$17)))</f>
        <v>0</v>
      </c>
      <c r="E390" s="4">
        <f ca="1">D390*IF(RESULTADOS!$C$17="Normal",RESULTADOS!$C$16,0)</f>
        <v>0</v>
      </c>
      <c r="F390" s="4">
        <f ca="1">IF(D390&lt;&gt;0,PREMISSAS!$N$83,0)</f>
        <v>0</v>
      </c>
      <c r="G390" s="4">
        <f ca="1">IFERROR(IF(RESULTADOS!$C$17="Normal",0,D390)*IF(RESULTADOS!$C$17="Normal",RESULTADOS!$C$18,RESULTADOS!$C$16),0)</f>
        <v>0</v>
      </c>
      <c r="H390" s="4">
        <f ca="1">IF(RESULTADOS!$C$17="Normal",E390,0)</f>
        <v>0</v>
      </c>
      <c r="I390" s="4">
        <f ca="1">(E390+H390+G390)*IFERROR(VLOOKUP(INT(COUNT($B$5:B390)/12),PREMISSAS!$B$62:$C$69,2,FALSE),PREMISSAS!$C$69)</f>
        <v>0</v>
      </c>
      <c r="J390" s="4">
        <f ca="1">D390*IF(RESULTADOS!$C$17="Normal",PREMISSAS!$C$71,0)</f>
        <v>0</v>
      </c>
      <c r="K390" s="87">
        <f ca="1">IFERROR(K389*(1+PREMISSAS!$C$19)+(E390+H390-IF(RESULTADOS!$C$17="Normal",I390,0)-J390)*IF(MONTH(B390)=12,2,1),0)</f>
        <v>0</v>
      </c>
      <c r="L390" s="87">
        <f ca="1">IFERROR((L389+G390-IF(RESULTADOS!$C$17="Normal",0,I390))*(1+PREMISSAS!$C$19)+F390,0)</f>
        <v>0</v>
      </c>
      <c r="N390" s="58">
        <f t="shared" ref="N390:N453" ca="1" si="49">IFERROR((E390+F390+G390)/C390,0)</f>
        <v>0</v>
      </c>
      <c r="P390" s="131" t="str">
        <f t="shared" ref="P390:P453" ca="1" si="50">IF(C390="","",B390)</f>
        <v/>
      </c>
      <c r="Q390" s="111" t="str">
        <f ca="1">IF(C390="","",Q389+(E390+H390-IF(RESULTADOS!$C$17="Normal",I390,0)-J390)/2+(F390+G390-IF(RESULTADOS!$C$17="Normal",0,I390)))</f>
        <v/>
      </c>
      <c r="R390" s="111" t="str">
        <f ca="1">IF(C390="","",R389+(E390+H390-IF(RESULTADOS!$C$17="Normal",I390,0)-J390)/2)</f>
        <v/>
      </c>
      <c r="S390" s="111">
        <f t="shared" ca="1" si="44"/>
        <v>0</v>
      </c>
      <c r="U390" s="131" t="str">
        <f t="shared" ca="1" si="45"/>
        <v/>
      </c>
      <c r="V390" s="131" t="str">
        <f t="shared" ref="V390:V453" ca="1" si="51">IF(AA390&lt;&gt;"",U390,"")</f>
        <v/>
      </c>
      <c r="W390" s="111">
        <f ca="1">IF(OR((W389-13/12*Z389)*(1+PREMISSAS!$C$17)&lt;0,W389=""),0,(W389-13/12*Z389)*(1+PREMISSAS!$C$17))</f>
        <v>0</v>
      </c>
      <c r="X390" s="111">
        <f ca="1">IF(OR((X389-13/12*AA389)*(1+PREMISSAS!$C$17)&lt;0,X389=""),0,(X389-13/12*AA389)*(1+PREMISSAS!$C$17))</f>
        <v>0</v>
      </c>
      <c r="Y390" s="111">
        <f t="shared" ca="1" si="48"/>
        <v>0</v>
      </c>
      <c r="Z390" s="134">
        <f t="shared" ca="1" si="46"/>
        <v>0</v>
      </c>
      <c r="AA390" s="134">
        <f t="shared" ca="1" si="47"/>
        <v>0</v>
      </c>
    </row>
    <row r="391" spans="2:27" x14ac:dyDescent="0.3">
      <c r="B391" s="21" t="str">
        <f ca="1">IF(B390="","",IF(EOMONTH(B390,1)&gt;EOMONTH(ELEGIBILIDADE!$E$5,0),"",EOMONTH(B390,1)))</f>
        <v/>
      </c>
      <c r="C391" s="22" t="str">
        <f ca="1">IF(B391="","",IF(MONTH(B391)=1,C390*(1+PREMISSAS!$C$58),C390))</f>
        <v/>
      </c>
      <c r="D391" s="22">
        <f ca="1">IF(RESULTADOS!$C$17="Normal",IFERROR(MAX(C391-PREMISSAS!$C$14,0),0),IF(PREMISSAS!$H$117=0,0,MAX(10*PREMISSAS!$C$39,RESULTADOS!$F$17)))</f>
        <v>0</v>
      </c>
      <c r="E391" s="4">
        <f ca="1">D391*IF(RESULTADOS!$C$17="Normal",RESULTADOS!$C$16,0)</f>
        <v>0</v>
      </c>
      <c r="F391" s="4">
        <f ca="1">IF(D391&lt;&gt;0,PREMISSAS!$N$83,0)</f>
        <v>0</v>
      </c>
      <c r="G391" s="4">
        <f ca="1">IFERROR(IF(RESULTADOS!$C$17="Normal",0,D391)*IF(RESULTADOS!$C$17="Normal",RESULTADOS!$C$18,RESULTADOS!$C$16),0)</f>
        <v>0</v>
      </c>
      <c r="H391" s="4">
        <f ca="1">IF(RESULTADOS!$C$17="Normal",E391,0)</f>
        <v>0</v>
      </c>
      <c r="I391" s="4">
        <f ca="1">(E391+H391+G391)*IFERROR(VLOOKUP(INT(COUNT($B$5:B391)/12),PREMISSAS!$B$62:$C$69,2,FALSE),PREMISSAS!$C$69)</f>
        <v>0</v>
      </c>
      <c r="J391" s="4">
        <f ca="1">D391*IF(RESULTADOS!$C$17="Normal",PREMISSAS!$C$71,0)</f>
        <v>0</v>
      </c>
      <c r="K391" s="87">
        <f ca="1">IFERROR(K390*(1+PREMISSAS!$C$19)+(E391+H391-IF(RESULTADOS!$C$17="Normal",I391,0)-J391)*IF(MONTH(B391)=12,2,1),0)</f>
        <v>0</v>
      </c>
      <c r="L391" s="87">
        <f ca="1">IFERROR((L390+G391-IF(RESULTADOS!$C$17="Normal",0,I391))*(1+PREMISSAS!$C$19)+F391,0)</f>
        <v>0</v>
      </c>
      <c r="N391" s="58">
        <f t="shared" ca="1" si="49"/>
        <v>0</v>
      </c>
      <c r="P391" s="131" t="str">
        <f t="shared" ca="1" si="50"/>
        <v/>
      </c>
      <c r="Q391" s="111" t="str">
        <f ca="1">IF(C391="","",Q390+(E391+H391-IF(RESULTADOS!$C$17="Normal",I391,0)-J391)/2+(F391+G391-IF(RESULTADOS!$C$17="Normal",0,I391)))</f>
        <v/>
      </c>
      <c r="R391" s="111" t="str">
        <f ca="1">IF(C391="","",R390+(E391+H391-IF(RESULTADOS!$C$17="Normal",I391,0)-J391)/2)</f>
        <v/>
      </c>
      <c r="S391" s="111">
        <f t="shared" ref="S391:S454" ca="1" si="52">SUM(K391:L391)-SUM(Q391:R391)</f>
        <v>0</v>
      </c>
      <c r="U391" s="131" t="str">
        <f t="shared" ref="U391:U454" ca="1" si="53">IF(Y391=0,"",EOMONTH(U390,1))</f>
        <v/>
      </c>
      <c r="V391" s="131" t="str">
        <f t="shared" ca="1" si="51"/>
        <v/>
      </c>
      <c r="W391" s="111">
        <f ca="1">IF(OR((W390-13/12*Z390)*(1+PREMISSAS!$C$17)&lt;0,W390=""),0,(W390-13/12*Z390)*(1+PREMISSAS!$C$17))</f>
        <v>0</v>
      </c>
      <c r="X391" s="111">
        <f ca="1">IF(OR((X390-13/12*AA390)*(1+PREMISSAS!$C$17)&lt;0,X390=""),0,(X390-13/12*AA390)*(1+PREMISSAS!$C$17))</f>
        <v>0</v>
      </c>
      <c r="Y391" s="111">
        <f t="shared" ca="1" si="48"/>
        <v>0</v>
      </c>
      <c r="Z391" s="134">
        <f t="shared" ref="Z391:Z454" ca="1" si="54">IF(W391&lt;&gt;0,Z390,0)</f>
        <v>0</v>
      </c>
      <c r="AA391" s="134">
        <f t="shared" ref="AA391:AA454" ca="1" si="55">IF(X391&lt;&gt;0,AA390,0)</f>
        <v>0</v>
      </c>
    </row>
    <row r="392" spans="2:27" x14ac:dyDescent="0.3">
      <c r="B392" s="21" t="str">
        <f ca="1">IF(B391="","",IF(EOMONTH(B391,1)&gt;EOMONTH(ELEGIBILIDADE!$E$5,0),"",EOMONTH(B391,1)))</f>
        <v/>
      </c>
      <c r="C392" s="22" t="str">
        <f ca="1">IF(B392="","",IF(MONTH(B392)=1,C391*(1+PREMISSAS!$C$58),C391))</f>
        <v/>
      </c>
      <c r="D392" s="22">
        <f ca="1">IF(RESULTADOS!$C$17="Normal",IFERROR(MAX(C392-PREMISSAS!$C$14,0),0),IF(PREMISSAS!$H$117=0,0,MAX(10*PREMISSAS!$C$39,RESULTADOS!$F$17)))</f>
        <v>0</v>
      </c>
      <c r="E392" s="4">
        <f ca="1">D392*IF(RESULTADOS!$C$17="Normal",RESULTADOS!$C$16,0)</f>
        <v>0</v>
      </c>
      <c r="F392" s="4">
        <f ca="1">IF(D392&lt;&gt;0,PREMISSAS!$N$83,0)</f>
        <v>0</v>
      </c>
      <c r="G392" s="4">
        <f ca="1">IFERROR(IF(RESULTADOS!$C$17="Normal",0,D392)*IF(RESULTADOS!$C$17="Normal",RESULTADOS!$C$18,RESULTADOS!$C$16),0)</f>
        <v>0</v>
      </c>
      <c r="H392" s="4">
        <f ca="1">IF(RESULTADOS!$C$17="Normal",E392,0)</f>
        <v>0</v>
      </c>
      <c r="I392" s="4">
        <f ca="1">(E392+H392+G392)*IFERROR(VLOOKUP(INT(COUNT($B$5:B392)/12),PREMISSAS!$B$62:$C$69,2,FALSE),PREMISSAS!$C$69)</f>
        <v>0</v>
      </c>
      <c r="J392" s="4">
        <f ca="1">D392*IF(RESULTADOS!$C$17="Normal",PREMISSAS!$C$71,0)</f>
        <v>0</v>
      </c>
      <c r="K392" s="87">
        <f ca="1">IFERROR(K391*(1+PREMISSAS!$C$19)+(E392+H392-IF(RESULTADOS!$C$17="Normal",I392,0)-J392)*IF(MONTH(B392)=12,2,1),0)</f>
        <v>0</v>
      </c>
      <c r="L392" s="87">
        <f ca="1">IFERROR((L391+G392-IF(RESULTADOS!$C$17="Normal",0,I392))*(1+PREMISSAS!$C$19)+F392,0)</f>
        <v>0</v>
      </c>
      <c r="N392" s="58">
        <f t="shared" ca="1" si="49"/>
        <v>0</v>
      </c>
      <c r="P392" s="131" t="str">
        <f t="shared" ca="1" si="50"/>
        <v/>
      </c>
      <c r="Q392" s="111" t="str">
        <f ca="1">IF(C392="","",Q391+(E392+H392-IF(RESULTADOS!$C$17="Normal",I392,0)-J392)/2+(F392+G392-IF(RESULTADOS!$C$17="Normal",0,I392)))</f>
        <v/>
      </c>
      <c r="R392" s="111" t="str">
        <f ca="1">IF(C392="","",R391+(E392+H392-IF(RESULTADOS!$C$17="Normal",I392,0)-J392)/2)</f>
        <v/>
      </c>
      <c r="S392" s="111">
        <f t="shared" ca="1" si="52"/>
        <v>0</v>
      </c>
      <c r="U392" s="131" t="str">
        <f t="shared" ca="1" si="53"/>
        <v/>
      </c>
      <c r="V392" s="131" t="str">
        <f t="shared" ca="1" si="51"/>
        <v/>
      </c>
      <c r="W392" s="111">
        <f ca="1">IF(OR((W391-13/12*Z391)*(1+PREMISSAS!$C$17)&lt;0,W391=""),0,(W391-13/12*Z391)*(1+PREMISSAS!$C$17))</f>
        <v>0</v>
      </c>
      <c r="X392" s="111">
        <f ca="1">IF(OR((X391-13/12*AA391)*(1+PREMISSAS!$C$17)&lt;0,X391=""),0,(X391-13/12*AA391)*(1+PREMISSAS!$C$17))</f>
        <v>0</v>
      </c>
      <c r="Y392" s="111">
        <f t="shared" ca="1" si="48"/>
        <v>0</v>
      </c>
      <c r="Z392" s="134">
        <f t="shared" ca="1" si="54"/>
        <v>0</v>
      </c>
      <c r="AA392" s="134">
        <f t="shared" ca="1" si="55"/>
        <v>0</v>
      </c>
    </row>
    <row r="393" spans="2:27" x14ac:dyDescent="0.3">
      <c r="B393" s="21" t="str">
        <f ca="1">IF(B392="","",IF(EOMONTH(B392,1)&gt;EOMONTH(ELEGIBILIDADE!$E$5,0),"",EOMONTH(B392,1)))</f>
        <v/>
      </c>
      <c r="C393" s="22" t="str">
        <f ca="1">IF(B393="","",IF(MONTH(B393)=1,C392*(1+PREMISSAS!$C$58),C392))</f>
        <v/>
      </c>
      <c r="D393" s="22">
        <f ca="1">IF(RESULTADOS!$C$17="Normal",IFERROR(MAX(C393-PREMISSAS!$C$14,0),0),IF(PREMISSAS!$H$117=0,0,MAX(10*PREMISSAS!$C$39,RESULTADOS!$F$17)))</f>
        <v>0</v>
      </c>
      <c r="E393" s="4">
        <f ca="1">D393*IF(RESULTADOS!$C$17="Normal",RESULTADOS!$C$16,0)</f>
        <v>0</v>
      </c>
      <c r="F393" s="4">
        <f ca="1">IF(D393&lt;&gt;0,PREMISSAS!$N$83,0)</f>
        <v>0</v>
      </c>
      <c r="G393" s="4">
        <f ca="1">IFERROR(IF(RESULTADOS!$C$17="Normal",0,D393)*IF(RESULTADOS!$C$17="Normal",RESULTADOS!$C$18,RESULTADOS!$C$16),0)</f>
        <v>0</v>
      </c>
      <c r="H393" s="4">
        <f ca="1">IF(RESULTADOS!$C$17="Normal",E393,0)</f>
        <v>0</v>
      </c>
      <c r="I393" s="4">
        <f ca="1">(E393+H393+G393)*IFERROR(VLOOKUP(INT(COUNT($B$5:B393)/12),PREMISSAS!$B$62:$C$69,2,FALSE),PREMISSAS!$C$69)</f>
        <v>0</v>
      </c>
      <c r="J393" s="4">
        <f ca="1">D393*IF(RESULTADOS!$C$17="Normal",PREMISSAS!$C$71,0)</f>
        <v>0</v>
      </c>
      <c r="K393" s="87">
        <f ca="1">IFERROR(K392*(1+PREMISSAS!$C$19)+(E393+H393-IF(RESULTADOS!$C$17="Normal",I393,0)-J393)*IF(MONTH(B393)=12,2,1),0)</f>
        <v>0</v>
      </c>
      <c r="L393" s="87">
        <f ca="1">IFERROR((L392+G393-IF(RESULTADOS!$C$17="Normal",0,I393))*(1+PREMISSAS!$C$19)+F393,0)</f>
        <v>0</v>
      </c>
      <c r="N393" s="58">
        <f t="shared" ca="1" si="49"/>
        <v>0</v>
      </c>
      <c r="P393" s="131" t="str">
        <f t="shared" ca="1" si="50"/>
        <v/>
      </c>
      <c r="Q393" s="111" t="str">
        <f ca="1">IF(C393="","",Q392+(E393+H393-IF(RESULTADOS!$C$17="Normal",I393,0)-J393)/2+(F393+G393-IF(RESULTADOS!$C$17="Normal",0,I393)))</f>
        <v/>
      </c>
      <c r="R393" s="111" t="str">
        <f ca="1">IF(C393="","",R392+(E393+H393-IF(RESULTADOS!$C$17="Normal",I393,0)-J393)/2)</f>
        <v/>
      </c>
      <c r="S393" s="111">
        <f t="shared" ca="1" si="52"/>
        <v>0</v>
      </c>
      <c r="U393" s="131" t="str">
        <f t="shared" ca="1" si="53"/>
        <v/>
      </c>
      <c r="V393" s="131" t="str">
        <f t="shared" ca="1" si="51"/>
        <v/>
      </c>
      <c r="W393" s="111">
        <f ca="1">IF(OR((W392-13/12*Z392)*(1+PREMISSAS!$C$17)&lt;0,W392=""),0,(W392-13/12*Z392)*(1+PREMISSAS!$C$17))</f>
        <v>0</v>
      </c>
      <c r="X393" s="111">
        <f ca="1">IF(OR((X392-13/12*AA392)*(1+PREMISSAS!$C$17)&lt;0,X392=""),0,(X392-13/12*AA392)*(1+PREMISSAS!$C$17))</f>
        <v>0</v>
      </c>
      <c r="Y393" s="111">
        <f t="shared" ca="1" si="48"/>
        <v>0</v>
      </c>
      <c r="Z393" s="134">
        <f t="shared" ca="1" si="54"/>
        <v>0</v>
      </c>
      <c r="AA393" s="134">
        <f t="shared" ca="1" si="55"/>
        <v>0</v>
      </c>
    </row>
    <row r="394" spans="2:27" x14ac:dyDescent="0.3">
      <c r="B394" s="21" t="str">
        <f ca="1">IF(B393="","",IF(EOMONTH(B393,1)&gt;EOMONTH(ELEGIBILIDADE!$E$5,0),"",EOMONTH(B393,1)))</f>
        <v/>
      </c>
      <c r="C394" s="22" t="str">
        <f ca="1">IF(B394="","",IF(MONTH(B394)=1,C393*(1+PREMISSAS!$C$58),C393))</f>
        <v/>
      </c>
      <c r="D394" s="22">
        <f ca="1">IF(RESULTADOS!$C$17="Normal",IFERROR(MAX(C394-PREMISSAS!$C$14,0),0),IF(PREMISSAS!$H$117=0,0,MAX(10*PREMISSAS!$C$39,RESULTADOS!$F$17)))</f>
        <v>0</v>
      </c>
      <c r="E394" s="4">
        <f ca="1">D394*IF(RESULTADOS!$C$17="Normal",RESULTADOS!$C$16,0)</f>
        <v>0</v>
      </c>
      <c r="F394" s="4">
        <f ca="1">IF(D394&lt;&gt;0,PREMISSAS!$N$83,0)</f>
        <v>0</v>
      </c>
      <c r="G394" s="4">
        <f ca="1">IFERROR(IF(RESULTADOS!$C$17="Normal",0,D394)*IF(RESULTADOS!$C$17="Normal",RESULTADOS!$C$18,RESULTADOS!$C$16),0)</f>
        <v>0</v>
      </c>
      <c r="H394" s="4">
        <f ca="1">IF(RESULTADOS!$C$17="Normal",E394,0)</f>
        <v>0</v>
      </c>
      <c r="I394" s="4">
        <f ca="1">(E394+H394+G394)*IFERROR(VLOOKUP(INT(COUNT($B$5:B394)/12),PREMISSAS!$B$62:$C$69,2,FALSE),PREMISSAS!$C$69)</f>
        <v>0</v>
      </c>
      <c r="J394" s="4">
        <f ca="1">D394*IF(RESULTADOS!$C$17="Normal",PREMISSAS!$C$71,0)</f>
        <v>0</v>
      </c>
      <c r="K394" s="87">
        <f ca="1">IFERROR(K393*(1+PREMISSAS!$C$19)+(E394+H394-IF(RESULTADOS!$C$17="Normal",I394,0)-J394)*IF(MONTH(B394)=12,2,1),0)</f>
        <v>0</v>
      </c>
      <c r="L394" s="87">
        <f ca="1">IFERROR((L393+G394-IF(RESULTADOS!$C$17="Normal",0,I394))*(1+PREMISSAS!$C$19)+F394,0)</f>
        <v>0</v>
      </c>
      <c r="N394" s="58">
        <f t="shared" ca="1" si="49"/>
        <v>0</v>
      </c>
      <c r="P394" s="131" t="str">
        <f t="shared" ca="1" si="50"/>
        <v/>
      </c>
      <c r="Q394" s="111" t="str">
        <f ca="1">IF(C394="","",Q393+(E394+H394-IF(RESULTADOS!$C$17="Normal",I394,0)-J394)/2+(F394+G394-IF(RESULTADOS!$C$17="Normal",0,I394)))</f>
        <v/>
      </c>
      <c r="R394" s="111" t="str">
        <f ca="1">IF(C394="","",R393+(E394+H394-IF(RESULTADOS!$C$17="Normal",I394,0)-J394)/2)</f>
        <v/>
      </c>
      <c r="S394" s="111">
        <f t="shared" ca="1" si="52"/>
        <v>0</v>
      </c>
      <c r="U394" s="131" t="str">
        <f t="shared" ca="1" si="53"/>
        <v/>
      </c>
      <c r="V394" s="131" t="str">
        <f t="shared" ca="1" si="51"/>
        <v/>
      </c>
      <c r="W394" s="111">
        <f ca="1">IF(OR((W393-13/12*Z393)*(1+PREMISSAS!$C$17)&lt;0,W393=""),0,(W393-13/12*Z393)*(1+PREMISSAS!$C$17))</f>
        <v>0</v>
      </c>
      <c r="X394" s="111">
        <f ca="1">IF(OR((X393-13/12*AA393)*(1+PREMISSAS!$C$17)&lt;0,X393=""),0,(X393-13/12*AA393)*(1+PREMISSAS!$C$17))</f>
        <v>0</v>
      </c>
      <c r="Y394" s="111">
        <f t="shared" ca="1" si="48"/>
        <v>0</v>
      </c>
      <c r="Z394" s="134">
        <f t="shared" ca="1" si="54"/>
        <v>0</v>
      </c>
      <c r="AA394" s="134">
        <f t="shared" ca="1" si="55"/>
        <v>0</v>
      </c>
    </row>
    <row r="395" spans="2:27" x14ac:dyDescent="0.3">
      <c r="B395" s="21" t="str">
        <f ca="1">IF(B394="","",IF(EOMONTH(B394,1)&gt;EOMONTH(ELEGIBILIDADE!$E$5,0),"",EOMONTH(B394,1)))</f>
        <v/>
      </c>
      <c r="C395" s="22" t="str">
        <f ca="1">IF(B395="","",IF(MONTH(B395)=1,C394*(1+PREMISSAS!$C$58),C394))</f>
        <v/>
      </c>
      <c r="D395" s="22">
        <f ca="1">IF(RESULTADOS!$C$17="Normal",IFERROR(MAX(C395-PREMISSAS!$C$14,0),0),IF(PREMISSAS!$H$117=0,0,MAX(10*PREMISSAS!$C$39,RESULTADOS!$F$17)))</f>
        <v>0</v>
      </c>
      <c r="E395" s="4">
        <f ca="1">D395*IF(RESULTADOS!$C$17="Normal",RESULTADOS!$C$16,0)</f>
        <v>0</v>
      </c>
      <c r="F395" s="4">
        <f ca="1">IF(D395&lt;&gt;0,PREMISSAS!$N$83,0)</f>
        <v>0</v>
      </c>
      <c r="G395" s="4">
        <f ca="1">IFERROR(IF(RESULTADOS!$C$17="Normal",0,D395)*IF(RESULTADOS!$C$17="Normal",RESULTADOS!$C$18,RESULTADOS!$C$16),0)</f>
        <v>0</v>
      </c>
      <c r="H395" s="4">
        <f ca="1">IF(RESULTADOS!$C$17="Normal",E395,0)</f>
        <v>0</v>
      </c>
      <c r="I395" s="4">
        <f ca="1">(E395+H395+G395)*IFERROR(VLOOKUP(INT(COUNT($B$5:B395)/12),PREMISSAS!$B$62:$C$69,2,FALSE),PREMISSAS!$C$69)</f>
        <v>0</v>
      </c>
      <c r="J395" s="4">
        <f ca="1">D395*IF(RESULTADOS!$C$17="Normal",PREMISSAS!$C$71,0)</f>
        <v>0</v>
      </c>
      <c r="K395" s="87">
        <f ca="1">IFERROR(K394*(1+PREMISSAS!$C$19)+(E395+H395-IF(RESULTADOS!$C$17="Normal",I395,0)-J395)*IF(MONTH(B395)=12,2,1),0)</f>
        <v>0</v>
      </c>
      <c r="L395" s="87">
        <f ca="1">IFERROR((L394+G395-IF(RESULTADOS!$C$17="Normal",0,I395))*(1+PREMISSAS!$C$19)+F395,0)</f>
        <v>0</v>
      </c>
      <c r="N395" s="58">
        <f t="shared" ca="1" si="49"/>
        <v>0</v>
      </c>
      <c r="P395" s="131" t="str">
        <f t="shared" ca="1" si="50"/>
        <v/>
      </c>
      <c r="Q395" s="111" t="str">
        <f ca="1">IF(C395="","",Q394+(E395+H395-IF(RESULTADOS!$C$17="Normal",I395,0)-J395)/2+(F395+G395-IF(RESULTADOS!$C$17="Normal",0,I395)))</f>
        <v/>
      </c>
      <c r="R395" s="111" t="str">
        <f ca="1">IF(C395="","",R394+(E395+H395-IF(RESULTADOS!$C$17="Normal",I395,0)-J395)/2)</f>
        <v/>
      </c>
      <c r="S395" s="111">
        <f t="shared" ca="1" si="52"/>
        <v>0</v>
      </c>
      <c r="U395" s="131" t="str">
        <f t="shared" ca="1" si="53"/>
        <v/>
      </c>
      <c r="V395" s="131" t="str">
        <f t="shared" ca="1" si="51"/>
        <v/>
      </c>
      <c r="W395" s="111">
        <f ca="1">IF(OR((W394-13/12*Z394)*(1+PREMISSAS!$C$17)&lt;0,W394=""),0,(W394-13/12*Z394)*(1+PREMISSAS!$C$17))</f>
        <v>0</v>
      </c>
      <c r="X395" s="111">
        <f ca="1">IF(OR((X394-13/12*AA394)*(1+PREMISSAS!$C$17)&lt;0,X394=""),0,(X394-13/12*AA394)*(1+PREMISSAS!$C$17))</f>
        <v>0</v>
      </c>
      <c r="Y395" s="111">
        <f t="shared" ca="1" si="48"/>
        <v>0</v>
      </c>
      <c r="Z395" s="134">
        <f t="shared" ca="1" si="54"/>
        <v>0</v>
      </c>
      <c r="AA395" s="134">
        <f t="shared" ca="1" si="55"/>
        <v>0</v>
      </c>
    </row>
    <row r="396" spans="2:27" x14ac:dyDescent="0.3">
      <c r="B396" s="21" t="str">
        <f ca="1">IF(B395="","",IF(EOMONTH(B395,1)&gt;EOMONTH(ELEGIBILIDADE!$E$5,0),"",EOMONTH(B395,1)))</f>
        <v/>
      </c>
      <c r="C396" s="22" t="str">
        <f ca="1">IF(B396="","",IF(MONTH(B396)=1,C395*(1+PREMISSAS!$C$58),C395))</f>
        <v/>
      </c>
      <c r="D396" s="22">
        <f ca="1">IF(RESULTADOS!$C$17="Normal",IFERROR(MAX(C396-PREMISSAS!$C$14,0),0),IF(PREMISSAS!$H$117=0,0,MAX(10*PREMISSAS!$C$39,RESULTADOS!$F$17)))</f>
        <v>0</v>
      </c>
      <c r="E396" s="4">
        <f ca="1">D396*IF(RESULTADOS!$C$17="Normal",RESULTADOS!$C$16,0)</f>
        <v>0</v>
      </c>
      <c r="F396" s="4">
        <f ca="1">IF(D396&lt;&gt;0,PREMISSAS!$N$83,0)</f>
        <v>0</v>
      </c>
      <c r="G396" s="4">
        <f ca="1">IFERROR(IF(RESULTADOS!$C$17="Normal",0,D396)*IF(RESULTADOS!$C$17="Normal",RESULTADOS!$C$18,RESULTADOS!$C$16),0)</f>
        <v>0</v>
      </c>
      <c r="H396" s="4">
        <f ca="1">IF(RESULTADOS!$C$17="Normal",E396,0)</f>
        <v>0</v>
      </c>
      <c r="I396" s="4">
        <f ca="1">(E396+H396+G396)*IFERROR(VLOOKUP(INT(COUNT($B$5:B396)/12),PREMISSAS!$B$62:$C$69,2,FALSE),PREMISSAS!$C$69)</f>
        <v>0</v>
      </c>
      <c r="J396" s="4">
        <f ca="1">D396*IF(RESULTADOS!$C$17="Normal",PREMISSAS!$C$71,0)</f>
        <v>0</v>
      </c>
      <c r="K396" s="87">
        <f ca="1">IFERROR(K395*(1+PREMISSAS!$C$19)+(E396+H396-IF(RESULTADOS!$C$17="Normal",I396,0)-J396)*IF(MONTH(B396)=12,2,1),0)</f>
        <v>0</v>
      </c>
      <c r="L396" s="87">
        <f ca="1">IFERROR((L395+G396-IF(RESULTADOS!$C$17="Normal",0,I396))*(1+PREMISSAS!$C$19)+F396,0)</f>
        <v>0</v>
      </c>
      <c r="N396" s="58">
        <f t="shared" ca="1" si="49"/>
        <v>0</v>
      </c>
      <c r="P396" s="131" t="str">
        <f t="shared" ca="1" si="50"/>
        <v/>
      </c>
      <c r="Q396" s="111" t="str">
        <f ca="1">IF(C396="","",Q395+(E396+H396-IF(RESULTADOS!$C$17="Normal",I396,0)-J396)/2+(F396+G396-IF(RESULTADOS!$C$17="Normal",0,I396)))</f>
        <v/>
      </c>
      <c r="R396" s="111" t="str">
        <f ca="1">IF(C396="","",R395+(E396+H396-IF(RESULTADOS!$C$17="Normal",I396,0)-J396)/2)</f>
        <v/>
      </c>
      <c r="S396" s="111">
        <f t="shared" ca="1" si="52"/>
        <v>0</v>
      </c>
      <c r="U396" s="131" t="str">
        <f t="shared" ca="1" si="53"/>
        <v/>
      </c>
      <c r="V396" s="131" t="str">
        <f t="shared" ca="1" si="51"/>
        <v/>
      </c>
      <c r="W396" s="111">
        <f ca="1">IF(OR((W395-13/12*Z395)*(1+PREMISSAS!$C$17)&lt;0,W395=""),0,(W395-13/12*Z395)*(1+PREMISSAS!$C$17))</f>
        <v>0</v>
      </c>
      <c r="X396" s="111">
        <f ca="1">IF(OR((X395-13/12*AA395)*(1+PREMISSAS!$C$17)&lt;0,X395=""),0,(X395-13/12*AA395)*(1+PREMISSAS!$C$17))</f>
        <v>0</v>
      </c>
      <c r="Y396" s="111">
        <f t="shared" ca="1" si="48"/>
        <v>0</v>
      </c>
      <c r="Z396" s="134">
        <f t="shared" ca="1" si="54"/>
        <v>0</v>
      </c>
      <c r="AA396" s="134">
        <f t="shared" ca="1" si="55"/>
        <v>0</v>
      </c>
    </row>
    <row r="397" spans="2:27" x14ac:dyDescent="0.3">
      <c r="B397" s="21" t="str">
        <f ca="1">IF(B396="","",IF(EOMONTH(B396,1)&gt;EOMONTH(ELEGIBILIDADE!$E$5,0),"",EOMONTH(B396,1)))</f>
        <v/>
      </c>
      <c r="C397" s="22" t="str">
        <f ca="1">IF(B397="","",IF(MONTH(B397)=1,C396*(1+PREMISSAS!$C$58),C396))</f>
        <v/>
      </c>
      <c r="D397" s="22">
        <f ca="1">IF(RESULTADOS!$C$17="Normal",IFERROR(MAX(C397-PREMISSAS!$C$14,0),0),IF(PREMISSAS!$H$117=0,0,MAX(10*PREMISSAS!$C$39,RESULTADOS!$F$17)))</f>
        <v>0</v>
      </c>
      <c r="E397" s="4">
        <f ca="1">D397*IF(RESULTADOS!$C$17="Normal",RESULTADOS!$C$16,0)</f>
        <v>0</v>
      </c>
      <c r="F397" s="4">
        <f ca="1">IF(D397&lt;&gt;0,PREMISSAS!$N$83,0)</f>
        <v>0</v>
      </c>
      <c r="G397" s="4">
        <f ca="1">IFERROR(IF(RESULTADOS!$C$17="Normal",0,D397)*IF(RESULTADOS!$C$17="Normal",RESULTADOS!$C$18,RESULTADOS!$C$16),0)</f>
        <v>0</v>
      </c>
      <c r="H397" s="4">
        <f ca="1">IF(RESULTADOS!$C$17="Normal",E397,0)</f>
        <v>0</v>
      </c>
      <c r="I397" s="4">
        <f ca="1">(E397+H397+G397)*IFERROR(VLOOKUP(INT(COUNT($B$5:B397)/12),PREMISSAS!$B$62:$C$69,2,FALSE),PREMISSAS!$C$69)</f>
        <v>0</v>
      </c>
      <c r="J397" s="4">
        <f ca="1">D397*IF(RESULTADOS!$C$17="Normal",PREMISSAS!$C$71,0)</f>
        <v>0</v>
      </c>
      <c r="K397" s="87">
        <f ca="1">IFERROR(K396*(1+PREMISSAS!$C$19)+(E397+H397-IF(RESULTADOS!$C$17="Normal",I397,0)-J397)*IF(MONTH(B397)=12,2,1),0)</f>
        <v>0</v>
      </c>
      <c r="L397" s="87">
        <f ca="1">IFERROR((L396+G397-IF(RESULTADOS!$C$17="Normal",0,I397))*(1+PREMISSAS!$C$19)+F397,0)</f>
        <v>0</v>
      </c>
      <c r="N397" s="58">
        <f t="shared" ca="1" si="49"/>
        <v>0</v>
      </c>
      <c r="P397" s="131" t="str">
        <f t="shared" ca="1" si="50"/>
        <v/>
      </c>
      <c r="Q397" s="111" t="str">
        <f ca="1">IF(C397="","",Q396+(E397+H397-IF(RESULTADOS!$C$17="Normal",I397,0)-J397)/2+(F397+G397-IF(RESULTADOS!$C$17="Normal",0,I397)))</f>
        <v/>
      </c>
      <c r="R397" s="111" t="str">
        <f ca="1">IF(C397="","",R396+(E397+H397-IF(RESULTADOS!$C$17="Normal",I397,0)-J397)/2)</f>
        <v/>
      </c>
      <c r="S397" s="111">
        <f t="shared" ca="1" si="52"/>
        <v>0</v>
      </c>
      <c r="U397" s="131" t="str">
        <f t="shared" ca="1" si="53"/>
        <v/>
      </c>
      <c r="V397" s="131" t="str">
        <f t="shared" ca="1" si="51"/>
        <v/>
      </c>
      <c r="W397" s="111">
        <f ca="1">IF(OR((W396-13/12*Z396)*(1+PREMISSAS!$C$17)&lt;0,W396=""),0,(W396-13/12*Z396)*(1+PREMISSAS!$C$17))</f>
        <v>0</v>
      </c>
      <c r="X397" s="111">
        <f ca="1">IF(OR((X396-13/12*AA396)*(1+PREMISSAS!$C$17)&lt;0,X396=""),0,(X396-13/12*AA396)*(1+PREMISSAS!$C$17))</f>
        <v>0</v>
      </c>
      <c r="Y397" s="111">
        <f t="shared" ca="1" si="48"/>
        <v>0</v>
      </c>
      <c r="Z397" s="134">
        <f t="shared" ca="1" si="54"/>
        <v>0</v>
      </c>
      <c r="AA397" s="134">
        <f t="shared" ca="1" si="55"/>
        <v>0</v>
      </c>
    </row>
    <row r="398" spans="2:27" x14ac:dyDescent="0.3">
      <c r="B398" s="21" t="str">
        <f ca="1">IF(B397="","",IF(EOMONTH(B397,1)&gt;EOMONTH(ELEGIBILIDADE!$E$5,0),"",EOMONTH(B397,1)))</f>
        <v/>
      </c>
      <c r="C398" s="22" t="str">
        <f ca="1">IF(B398="","",IF(MONTH(B398)=1,C397*(1+PREMISSAS!$C$58),C397))</f>
        <v/>
      </c>
      <c r="D398" s="22">
        <f ca="1">IF(RESULTADOS!$C$17="Normal",IFERROR(MAX(C398-PREMISSAS!$C$14,0),0),IF(PREMISSAS!$H$117=0,0,MAX(10*PREMISSAS!$C$39,RESULTADOS!$F$17)))</f>
        <v>0</v>
      </c>
      <c r="E398" s="4">
        <f ca="1">D398*IF(RESULTADOS!$C$17="Normal",RESULTADOS!$C$16,0)</f>
        <v>0</v>
      </c>
      <c r="F398" s="4">
        <f ca="1">IF(D398&lt;&gt;0,PREMISSAS!$N$83,0)</f>
        <v>0</v>
      </c>
      <c r="G398" s="4">
        <f ca="1">IFERROR(IF(RESULTADOS!$C$17="Normal",0,D398)*IF(RESULTADOS!$C$17="Normal",RESULTADOS!$C$18,RESULTADOS!$C$16),0)</f>
        <v>0</v>
      </c>
      <c r="H398" s="4">
        <f ca="1">IF(RESULTADOS!$C$17="Normal",E398,0)</f>
        <v>0</v>
      </c>
      <c r="I398" s="4">
        <f ca="1">(E398+H398+G398)*IFERROR(VLOOKUP(INT(COUNT($B$5:B398)/12),PREMISSAS!$B$62:$C$69,2,FALSE),PREMISSAS!$C$69)</f>
        <v>0</v>
      </c>
      <c r="J398" s="4">
        <f ca="1">D398*IF(RESULTADOS!$C$17="Normal",PREMISSAS!$C$71,0)</f>
        <v>0</v>
      </c>
      <c r="K398" s="87">
        <f ca="1">IFERROR(K397*(1+PREMISSAS!$C$19)+(E398+H398-IF(RESULTADOS!$C$17="Normal",I398,0)-J398)*IF(MONTH(B398)=12,2,1),0)</f>
        <v>0</v>
      </c>
      <c r="L398" s="87">
        <f ca="1">IFERROR((L397+G398-IF(RESULTADOS!$C$17="Normal",0,I398))*(1+PREMISSAS!$C$19)+F398,0)</f>
        <v>0</v>
      </c>
      <c r="N398" s="58">
        <f t="shared" ca="1" si="49"/>
        <v>0</v>
      </c>
      <c r="P398" s="131" t="str">
        <f t="shared" ca="1" si="50"/>
        <v/>
      </c>
      <c r="Q398" s="111" t="str">
        <f ca="1">IF(C398="","",Q397+(E398+H398-IF(RESULTADOS!$C$17="Normal",I398,0)-J398)/2+(F398+G398-IF(RESULTADOS!$C$17="Normal",0,I398)))</f>
        <v/>
      </c>
      <c r="R398" s="111" t="str">
        <f ca="1">IF(C398="","",R397+(E398+H398-IF(RESULTADOS!$C$17="Normal",I398,0)-J398)/2)</f>
        <v/>
      </c>
      <c r="S398" s="111">
        <f t="shared" ca="1" si="52"/>
        <v>0</v>
      </c>
      <c r="U398" s="131" t="str">
        <f t="shared" ca="1" si="53"/>
        <v/>
      </c>
      <c r="V398" s="131" t="str">
        <f t="shared" ca="1" si="51"/>
        <v/>
      </c>
      <c r="W398" s="111">
        <f ca="1">IF(OR((W397-13/12*Z397)*(1+PREMISSAS!$C$17)&lt;0,W397=""),0,(W397-13/12*Z397)*(1+PREMISSAS!$C$17))</f>
        <v>0</v>
      </c>
      <c r="X398" s="111">
        <f ca="1">IF(OR((X397-13/12*AA397)*(1+PREMISSAS!$C$17)&lt;0,X397=""),0,(X397-13/12*AA397)*(1+PREMISSAS!$C$17))</f>
        <v>0</v>
      </c>
      <c r="Y398" s="111">
        <f t="shared" ca="1" si="48"/>
        <v>0</v>
      </c>
      <c r="Z398" s="134">
        <f t="shared" ca="1" si="54"/>
        <v>0</v>
      </c>
      <c r="AA398" s="134">
        <f t="shared" ca="1" si="55"/>
        <v>0</v>
      </c>
    </row>
    <row r="399" spans="2:27" x14ac:dyDescent="0.3">
      <c r="B399" s="21" t="str">
        <f ca="1">IF(B398="","",IF(EOMONTH(B398,1)&gt;EOMONTH(ELEGIBILIDADE!$E$5,0),"",EOMONTH(B398,1)))</f>
        <v/>
      </c>
      <c r="C399" s="22" t="str">
        <f ca="1">IF(B399="","",IF(MONTH(B399)=1,C398*(1+PREMISSAS!$C$58),C398))</f>
        <v/>
      </c>
      <c r="D399" s="22">
        <f ca="1">IF(RESULTADOS!$C$17="Normal",IFERROR(MAX(C399-PREMISSAS!$C$14,0),0),IF(PREMISSAS!$H$117=0,0,MAX(10*PREMISSAS!$C$39,RESULTADOS!$F$17)))</f>
        <v>0</v>
      </c>
      <c r="E399" s="4">
        <f ca="1">D399*IF(RESULTADOS!$C$17="Normal",RESULTADOS!$C$16,0)</f>
        <v>0</v>
      </c>
      <c r="F399" s="4">
        <f ca="1">IF(D399&lt;&gt;0,PREMISSAS!$N$83,0)</f>
        <v>0</v>
      </c>
      <c r="G399" s="4">
        <f ca="1">IFERROR(IF(RESULTADOS!$C$17="Normal",0,D399)*IF(RESULTADOS!$C$17="Normal",RESULTADOS!$C$18,RESULTADOS!$C$16),0)</f>
        <v>0</v>
      </c>
      <c r="H399" s="4">
        <f ca="1">IF(RESULTADOS!$C$17="Normal",E399,0)</f>
        <v>0</v>
      </c>
      <c r="I399" s="4">
        <f ca="1">(E399+H399+G399)*IFERROR(VLOOKUP(INT(COUNT($B$5:B399)/12),PREMISSAS!$B$62:$C$69,2,FALSE),PREMISSAS!$C$69)</f>
        <v>0</v>
      </c>
      <c r="J399" s="4">
        <f ca="1">D399*IF(RESULTADOS!$C$17="Normal",PREMISSAS!$C$71,0)</f>
        <v>0</v>
      </c>
      <c r="K399" s="87">
        <f ca="1">IFERROR(K398*(1+PREMISSAS!$C$19)+(E399+H399-IF(RESULTADOS!$C$17="Normal",I399,0)-J399)*IF(MONTH(B399)=12,2,1),0)</f>
        <v>0</v>
      </c>
      <c r="L399" s="87">
        <f ca="1">IFERROR((L398+G399-IF(RESULTADOS!$C$17="Normal",0,I399))*(1+PREMISSAS!$C$19)+F399,0)</f>
        <v>0</v>
      </c>
      <c r="N399" s="58">
        <f t="shared" ca="1" si="49"/>
        <v>0</v>
      </c>
      <c r="P399" s="131" t="str">
        <f t="shared" ca="1" si="50"/>
        <v/>
      </c>
      <c r="Q399" s="111" t="str">
        <f ca="1">IF(C399="","",Q398+(E399+H399-IF(RESULTADOS!$C$17="Normal",I399,0)-J399)/2+(F399+G399-IF(RESULTADOS!$C$17="Normal",0,I399)))</f>
        <v/>
      </c>
      <c r="R399" s="111" t="str">
        <f ca="1">IF(C399="","",R398+(E399+H399-IF(RESULTADOS!$C$17="Normal",I399,0)-J399)/2)</f>
        <v/>
      </c>
      <c r="S399" s="111">
        <f t="shared" ca="1" si="52"/>
        <v>0</v>
      </c>
      <c r="U399" s="131" t="str">
        <f t="shared" ca="1" si="53"/>
        <v/>
      </c>
      <c r="V399" s="131" t="str">
        <f t="shared" ca="1" si="51"/>
        <v/>
      </c>
      <c r="W399" s="111">
        <f ca="1">IF(OR((W398-13/12*Z398)*(1+PREMISSAS!$C$17)&lt;0,W398=""),0,(W398-13/12*Z398)*(1+PREMISSAS!$C$17))</f>
        <v>0</v>
      </c>
      <c r="X399" s="111">
        <f ca="1">IF(OR((X398-13/12*AA398)*(1+PREMISSAS!$C$17)&lt;0,X398=""),0,(X398-13/12*AA398)*(1+PREMISSAS!$C$17))</f>
        <v>0</v>
      </c>
      <c r="Y399" s="111">
        <f t="shared" ca="1" si="48"/>
        <v>0</v>
      </c>
      <c r="Z399" s="134">
        <f t="shared" ca="1" si="54"/>
        <v>0</v>
      </c>
      <c r="AA399" s="134">
        <f t="shared" ca="1" si="55"/>
        <v>0</v>
      </c>
    </row>
    <row r="400" spans="2:27" x14ac:dyDescent="0.3">
      <c r="B400" s="21" t="str">
        <f ca="1">IF(B399="","",IF(EOMONTH(B399,1)&gt;EOMONTH(ELEGIBILIDADE!$E$5,0),"",EOMONTH(B399,1)))</f>
        <v/>
      </c>
      <c r="C400" s="22" t="str">
        <f ca="1">IF(B400="","",IF(MONTH(B400)=1,C399*(1+PREMISSAS!$C$58),C399))</f>
        <v/>
      </c>
      <c r="D400" s="22">
        <f ca="1">IF(RESULTADOS!$C$17="Normal",IFERROR(MAX(C400-PREMISSAS!$C$14,0),0),IF(PREMISSAS!$H$117=0,0,MAX(10*PREMISSAS!$C$39,RESULTADOS!$F$17)))</f>
        <v>0</v>
      </c>
      <c r="E400" s="4">
        <f ca="1">D400*IF(RESULTADOS!$C$17="Normal",RESULTADOS!$C$16,0)</f>
        <v>0</v>
      </c>
      <c r="F400" s="4">
        <f ca="1">IF(D400&lt;&gt;0,PREMISSAS!$N$83,0)</f>
        <v>0</v>
      </c>
      <c r="G400" s="4">
        <f ca="1">IFERROR(IF(RESULTADOS!$C$17="Normal",0,D400)*IF(RESULTADOS!$C$17="Normal",RESULTADOS!$C$18,RESULTADOS!$C$16),0)</f>
        <v>0</v>
      </c>
      <c r="H400" s="4">
        <f ca="1">IF(RESULTADOS!$C$17="Normal",E400,0)</f>
        <v>0</v>
      </c>
      <c r="I400" s="4">
        <f ca="1">(E400+H400+G400)*IFERROR(VLOOKUP(INT(COUNT($B$5:B400)/12),PREMISSAS!$B$62:$C$69,2,FALSE),PREMISSAS!$C$69)</f>
        <v>0</v>
      </c>
      <c r="J400" s="4">
        <f ca="1">D400*IF(RESULTADOS!$C$17="Normal",PREMISSAS!$C$71,0)</f>
        <v>0</v>
      </c>
      <c r="K400" s="87">
        <f ca="1">IFERROR(K399*(1+PREMISSAS!$C$19)+(E400+H400-IF(RESULTADOS!$C$17="Normal",I400,0)-J400)*IF(MONTH(B400)=12,2,1),0)</f>
        <v>0</v>
      </c>
      <c r="L400" s="87">
        <f ca="1">IFERROR((L399+G400-IF(RESULTADOS!$C$17="Normal",0,I400))*(1+PREMISSAS!$C$19)+F400,0)</f>
        <v>0</v>
      </c>
      <c r="N400" s="58">
        <f t="shared" ca="1" si="49"/>
        <v>0</v>
      </c>
      <c r="P400" s="131" t="str">
        <f t="shared" ca="1" si="50"/>
        <v/>
      </c>
      <c r="Q400" s="111" t="str">
        <f ca="1">IF(C400="","",Q399+(E400+H400-IF(RESULTADOS!$C$17="Normal",I400,0)-J400)/2+(F400+G400-IF(RESULTADOS!$C$17="Normal",0,I400)))</f>
        <v/>
      </c>
      <c r="R400" s="111" t="str">
        <f ca="1">IF(C400="","",R399+(E400+H400-IF(RESULTADOS!$C$17="Normal",I400,0)-J400)/2)</f>
        <v/>
      </c>
      <c r="S400" s="111">
        <f t="shared" ca="1" si="52"/>
        <v>0</v>
      </c>
      <c r="U400" s="131" t="str">
        <f t="shared" ca="1" si="53"/>
        <v/>
      </c>
      <c r="V400" s="131" t="str">
        <f t="shared" ca="1" si="51"/>
        <v/>
      </c>
      <c r="W400" s="111">
        <f ca="1">IF(OR((W399-13/12*Z399)*(1+PREMISSAS!$C$17)&lt;0,W399=""),0,(W399-13/12*Z399)*(1+PREMISSAS!$C$17))</f>
        <v>0</v>
      </c>
      <c r="X400" s="111">
        <f ca="1">IF(OR((X399-13/12*AA399)*(1+PREMISSAS!$C$17)&lt;0,X399=""),0,(X399-13/12*AA399)*(1+PREMISSAS!$C$17))</f>
        <v>0</v>
      </c>
      <c r="Y400" s="111">
        <f t="shared" ca="1" si="48"/>
        <v>0</v>
      </c>
      <c r="Z400" s="134">
        <f t="shared" ca="1" si="54"/>
        <v>0</v>
      </c>
      <c r="AA400" s="134">
        <f t="shared" ca="1" si="55"/>
        <v>0</v>
      </c>
    </row>
    <row r="401" spans="2:27" x14ac:dyDescent="0.3">
      <c r="B401" s="21" t="str">
        <f ca="1">IF(B400="","",IF(EOMONTH(B400,1)&gt;EOMONTH(ELEGIBILIDADE!$E$5,0),"",EOMONTH(B400,1)))</f>
        <v/>
      </c>
      <c r="C401" s="22" t="str">
        <f ca="1">IF(B401="","",IF(MONTH(B401)=1,C400*(1+PREMISSAS!$C$58),C400))</f>
        <v/>
      </c>
      <c r="D401" s="22">
        <f ca="1">IF(RESULTADOS!$C$17="Normal",IFERROR(MAX(C401-PREMISSAS!$C$14,0),0),IF(PREMISSAS!$H$117=0,0,MAX(10*PREMISSAS!$C$39,RESULTADOS!$F$17)))</f>
        <v>0</v>
      </c>
      <c r="E401" s="4">
        <f ca="1">D401*IF(RESULTADOS!$C$17="Normal",RESULTADOS!$C$16,0)</f>
        <v>0</v>
      </c>
      <c r="F401" s="4">
        <f ca="1">IF(D401&lt;&gt;0,PREMISSAS!$N$83,0)</f>
        <v>0</v>
      </c>
      <c r="G401" s="4">
        <f ca="1">IFERROR(IF(RESULTADOS!$C$17="Normal",0,D401)*IF(RESULTADOS!$C$17="Normal",RESULTADOS!$C$18,RESULTADOS!$C$16),0)</f>
        <v>0</v>
      </c>
      <c r="H401" s="4">
        <f ca="1">IF(RESULTADOS!$C$17="Normal",E401,0)</f>
        <v>0</v>
      </c>
      <c r="I401" s="4">
        <f ca="1">(E401+H401+G401)*IFERROR(VLOOKUP(INT(COUNT($B$5:B401)/12),PREMISSAS!$B$62:$C$69,2,FALSE),PREMISSAS!$C$69)</f>
        <v>0</v>
      </c>
      <c r="J401" s="4">
        <f ca="1">D401*IF(RESULTADOS!$C$17="Normal",PREMISSAS!$C$71,0)</f>
        <v>0</v>
      </c>
      <c r="K401" s="87">
        <f ca="1">IFERROR(K400*(1+PREMISSAS!$C$19)+(E401+H401-IF(RESULTADOS!$C$17="Normal",I401,0)-J401)*IF(MONTH(B401)=12,2,1),0)</f>
        <v>0</v>
      </c>
      <c r="L401" s="87">
        <f ca="1">IFERROR((L400+G401-IF(RESULTADOS!$C$17="Normal",0,I401))*(1+PREMISSAS!$C$19)+F401,0)</f>
        <v>0</v>
      </c>
      <c r="N401" s="58">
        <f t="shared" ca="1" si="49"/>
        <v>0</v>
      </c>
      <c r="P401" s="131" t="str">
        <f t="shared" ca="1" si="50"/>
        <v/>
      </c>
      <c r="Q401" s="111" t="str">
        <f ca="1">IF(C401="","",Q400+(E401+H401-IF(RESULTADOS!$C$17="Normal",I401,0)-J401)/2+(F401+G401-IF(RESULTADOS!$C$17="Normal",0,I401)))</f>
        <v/>
      </c>
      <c r="R401" s="111" t="str">
        <f ca="1">IF(C401="","",R400+(E401+H401-IF(RESULTADOS!$C$17="Normal",I401,0)-J401)/2)</f>
        <v/>
      </c>
      <c r="S401" s="111">
        <f t="shared" ca="1" si="52"/>
        <v>0</v>
      </c>
      <c r="U401" s="131" t="str">
        <f t="shared" ca="1" si="53"/>
        <v/>
      </c>
      <c r="V401" s="131" t="str">
        <f t="shared" ca="1" si="51"/>
        <v/>
      </c>
      <c r="W401" s="111">
        <f ca="1">IF(OR((W400-13/12*Z400)*(1+PREMISSAS!$C$17)&lt;0,W400=""),0,(W400-13/12*Z400)*(1+PREMISSAS!$C$17))</f>
        <v>0</v>
      </c>
      <c r="X401" s="111">
        <f ca="1">IF(OR((X400-13/12*AA400)*(1+PREMISSAS!$C$17)&lt;0,X400=""),0,(X400-13/12*AA400)*(1+PREMISSAS!$C$17))</f>
        <v>0</v>
      </c>
      <c r="Y401" s="111">
        <f t="shared" ca="1" si="48"/>
        <v>0</v>
      </c>
      <c r="Z401" s="134">
        <f t="shared" ca="1" si="54"/>
        <v>0</v>
      </c>
      <c r="AA401" s="134">
        <f t="shared" ca="1" si="55"/>
        <v>0</v>
      </c>
    </row>
    <row r="402" spans="2:27" x14ac:dyDescent="0.3">
      <c r="B402" s="21" t="str">
        <f ca="1">IF(B401="","",IF(EOMONTH(B401,1)&gt;EOMONTH(ELEGIBILIDADE!$E$5,0),"",EOMONTH(B401,1)))</f>
        <v/>
      </c>
      <c r="C402" s="22" t="str">
        <f ca="1">IF(B402="","",IF(MONTH(B402)=1,C401*(1+PREMISSAS!$C$58),C401))</f>
        <v/>
      </c>
      <c r="D402" s="22">
        <f ca="1">IF(RESULTADOS!$C$17="Normal",IFERROR(MAX(C402-PREMISSAS!$C$14,0),0),IF(PREMISSAS!$H$117=0,0,MAX(10*PREMISSAS!$C$39,RESULTADOS!$F$17)))</f>
        <v>0</v>
      </c>
      <c r="E402" s="4">
        <f ca="1">D402*IF(RESULTADOS!$C$17="Normal",RESULTADOS!$C$16,0)</f>
        <v>0</v>
      </c>
      <c r="F402" s="4">
        <f ca="1">IF(D402&lt;&gt;0,PREMISSAS!$N$83,0)</f>
        <v>0</v>
      </c>
      <c r="G402" s="4">
        <f ca="1">IFERROR(IF(RESULTADOS!$C$17="Normal",0,D402)*IF(RESULTADOS!$C$17="Normal",RESULTADOS!$C$18,RESULTADOS!$C$16),0)</f>
        <v>0</v>
      </c>
      <c r="H402" s="4">
        <f ca="1">IF(RESULTADOS!$C$17="Normal",E402,0)</f>
        <v>0</v>
      </c>
      <c r="I402" s="4">
        <f ca="1">(E402+H402+G402)*IFERROR(VLOOKUP(INT(COUNT($B$5:B402)/12),PREMISSAS!$B$62:$C$69,2,FALSE),PREMISSAS!$C$69)</f>
        <v>0</v>
      </c>
      <c r="J402" s="4">
        <f ca="1">D402*IF(RESULTADOS!$C$17="Normal",PREMISSAS!$C$71,0)</f>
        <v>0</v>
      </c>
      <c r="K402" s="87">
        <f ca="1">IFERROR(K401*(1+PREMISSAS!$C$19)+(E402+H402-IF(RESULTADOS!$C$17="Normal",I402,0)-J402)*IF(MONTH(B402)=12,2,1),0)</f>
        <v>0</v>
      </c>
      <c r="L402" s="87">
        <f ca="1">IFERROR((L401+G402-IF(RESULTADOS!$C$17="Normal",0,I402))*(1+PREMISSAS!$C$19)+F402,0)</f>
        <v>0</v>
      </c>
      <c r="N402" s="58">
        <f t="shared" ca="1" si="49"/>
        <v>0</v>
      </c>
      <c r="P402" s="131" t="str">
        <f t="shared" ca="1" si="50"/>
        <v/>
      </c>
      <c r="Q402" s="111" t="str">
        <f ca="1">IF(C402="","",Q401+(E402+H402-IF(RESULTADOS!$C$17="Normal",I402,0)-J402)/2+(F402+G402-IF(RESULTADOS!$C$17="Normal",0,I402)))</f>
        <v/>
      </c>
      <c r="R402" s="111" t="str">
        <f ca="1">IF(C402="","",R401+(E402+H402-IF(RESULTADOS!$C$17="Normal",I402,0)-J402)/2)</f>
        <v/>
      </c>
      <c r="S402" s="111">
        <f t="shared" ca="1" si="52"/>
        <v>0</v>
      </c>
      <c r="U402" s="131" t="str">
        <f t="shared" ca="1" si="53"/>
        <v/>
      </c>
      <c r="V402" s="131" t="str">
        <f t="shared" ca="1" si="51"/>
        <v/>
      </c>
      <c r="W402" s="111">
        <f ca="1">IF(OR((W401-13/12*Z401)*(1+PREMISSAS!$C$17)&lt;0,W401=""),0,(W401-13/12*Z401)*(1+PREMISSAS!$C$17))</f>
        <v>0</v>
      </c>
      <c r="X402" s="111">
        <f ca="1">IF(OR((X401-13/12*AA401)*(1+PREMISSAS!$C$17)&lt;0,X401=""),0,(X401-13/12*AA401)*(1+PREMISSAS!$C$17))</f>
        <v>0</v>
      </c>
      <c r="Y402" s="111">
        <f t="shared" ca="1" si="48"/>
        <v>0</v>
      </c>
      <c r="Z402" s="134">
        <f t="shared" ca="1" si="54"/>
        <v>0</v>
      </c>
      <c r="AA402" s="134">
        <f t="shared" ca="1" si="55"/>
        <v>0</v>
      </c>
    </row>
    <row r="403" spans="2:27" x14ac:dyDescent="0.3">
      <c r="B403" s="21" t="str">
        <f ca="1">IF(B402="","",IF(EOMONTH(B402,1)&gt;EOMONTH(ELEGIBILIDADE!$E$5,0),"",EOMONTH(B402,1)))</f>
        <v/>
      </c>
      <c r="C403" s="22" t="str">
        <f ca="1">IF(B403="","",IF(MONTH(B403)=1,C402*(1+PREMISSAS!$C$58),C402))</f>
        <v/>
      </c>
      <c r="D403" s="22">
        <f ca="1">IF(RESULTADOS!$C$17="Normal",IFERROR(MAX(C403-PREMISSAS!$C$14,0),0),IF(PREMISSAS!$H$117=0,0,MAX(10*PREMISSAS!$C$39,RESULTADOS!$F$17)))</f>
        <v>0</v>
      </c>
      <c r="E403" s="4">
        <f ca="1">D403*IF(RESULTADOS!$C$17="Normal",RESULTADOS!$C$16,0)</f>
        <v>0</v>
      </c>
      <c r="F403" s="4">
        <f ca="1">IF(D403&lt;&gt;0,PREMISSAS!$N$83,0)</f>
        <v>0</v>
      </c>
      <c r="G403" s="4">
        <f ca="1">IFERROR(IF(RESULTADOS!$C$17="Normal",0,D403)*IF(RESULTADOS!$C$17="Normal",RESULTADOS!$C$18,RESULTADOS!$C$16),0)</f>
        <v>0</v>
      </c>
      <c r="H403" s="4">
        <f ca="1">IF(RESULTADOS!$C$17="Normal",E403,0)</f>
        <v>0</v>
      </c>
      <c r="I403" s="4">
        <f ca="1">(E403+H403+G403)*IFERROR(VLOOKUP(INT(COUNT($B$5:B403)/12),PREMISSAS!$B$62:$C$69,2,FALSE),PREMISSAS!$C$69)</f>
        <v>0</v>
      </c>
      <c r="J403" s="4">
        <f ca="1">D403*IF(RESULTADOS!$C$17="Normal",PREMISSAS!$C$71,0)</f>
        <v>0</v>
      </c>
      <c r="K403" s="87">
        <f ca="1">IFERROR(K402*(1+PREMISSAS!$C$19)+(E403+H403-IF(RESULTADOS!$C$17="Normal",I403,0)-J403)*IF(MONTH(B403)=12,2,1),0)</f>
        <v>0</v>
      </c>
      <c r="L403" s="87">
        <f ca="1">IFERROR((L402+G403-IF(RESULTADOS!$C$17="Normal",0,I403))*(1+PREMISSAS!$C$19)+F403,0)</f>
        <v>0</v>
      </c>
      <c r="N403" s="58">
        <f t="shared" ca="1" si="49"/>
        <v>0</v>
      </c>
      <c r="P403" s="131" t="str">
        <f t="shared" ca="1" si="50"/>
        <v/>
      </c>
      <c r="Q403" s="111" t="str">
        <f ca="1">IF(C403="","",Q402+(E403+H403-IF(RESULTADOS!$C$17="Normal",I403,0)-J403)/2+(F403+G403-IF(RESULTADOS!$C$17="Normal",0,I403)))</f>
        <v/>
      </c>
      <c r="R403" s="111" t="str">
        <f ca="1">IF(C403="","",R402+(E403+H403-IF(RESULTADOS!$C$17="Normal",I403,0)-J403)/2)</f>
        <v/>
      </c>
      <c r="S403" s="111">
        <f t="shared" ca="1" si="52"/>
        <v>0</v>
      </c>
      <c r="U403" s="131" t="str">
        <f t="shared" ca="1" si="53"/>
        <v/>
      </c>
      <c r="V403" s="131" t="str">
        <f t="shared" ca="1" si="51"/>
        <v/>
      </c>
      <c r="W403" s="111">
        <f ca="1">IF(OR((W402-13/12*Z402)*(1+PREMISSAS!$C$17)&lt;0,W402=""),0,(W402-13/12*Z402)*(1+PREMISSAS!$C$17))</f>
        <v>0</v>
      </c>
      <c r="X403" s="111">
        <f ca="1">IF(OR((X402-13/12*AA402)*(1+PREMISSAS!$C$17)&lt;0,X402=""),0,(X402-13/12*AA402)*(1+PREMISSAS!$C$17))</f>
        <v>0</v>
      </c>
      <c r="Y403" s="111">
        <f t="shared" ca="1" si="48"/>
        <v>0</v>
      </c>
      <c r="Z403" s="134">
        <f t="shared" ca="1" si="54"/>
        <v>0</v>
      </c>
      <c r="AA403" s="134">
        <f t="shared" ca="1" si="55"/>
        <v>0</v>
      </c>
    </row>
    <row r="404" spans="2:27" x14ac:dyDescent="0.3">
      <c r="B404" s="21" t="str">
        <f ca="1">IF(B403="","",IF(EOMONTH(B403,1)&gt;EOMONTH(ELEGIBILIDADE!$E$5,0),"",EOMONTH(B403,1)))</f>
        <v/>
      </c>
      <c r="C404" s="22" t="str">
        <f ca="1">IF(B404="","",IF(MONTH(B404)=1,C403*(1+PREMISSAS!$C$58),C403))</f>
        <v/>
      </c>
      <c r="D404" s="22">
        <f ca="1">IF(RESULTADOS!$C$17="Normal",IFERROR(MAX(C404-PREMISSAS!$C$14,0),0),IF(PREMISSAS!$H$117=0,0,MAX(10*PREMISSAS!$C$39,RESULTADOS!$F$17)))</f>
        <v>0</v>
      </c>
      <c r="E404" s="4">
        <f ca="1">D404*IF(RESULTADOS!$C$17="Normal",RESULTADOS!$C$16,0)</f>
        <v>0</v>
      </c>
      <c r="F404" s="4">
        <f ca="1">IF(D404&lt;&gt;0,PREMISSAS!$N$83,0)</f>
        <v>0</v>
      </c>
      <c r="G404" s="4">
        <f ca="1">IFERROR(IF(RESULTADOS!$C$17="Normal",0,D404)*IF(RESULTADOS!$C$17="Normal",RESULTADOS!$C$18,RESULTADOS!$C$16),0)</f>
        <v>0</v>
      </c>
      <c r="H404" s="4">
        <f ca="1">IF(RESULTADOS!$C$17="Normal",E404,0)</f>
        <v>0</v>
      </c>
      <c r="I404" s="4">
        <f ca="1">(E404+H404+G404)*IFERROR(VLOOKUP(INT(COUNT($B$5:B404)/12),PREMISSAS!$B$62:$C$69,2,FALSE),PREMISSAS!$C$69)</f>
        <v>0</v>
      </c>
      <c r="J404" s="4">
        <f ca="1">D404*IF(RESULTADOS!$C$17="Normal",PREMISSAS!$C$71,0)</f>
        <v>0</v>
      </c>
      <c r="K404" s="87">
        <f ca="1">IFERROR(K403*(1+PREMISSAS!$C$19)+(E404+H404-IF(RESULTADOS!$C$17="Normal",I404,0)-J404)*IF(MONTH(B404)=12,2,1),0)</f>
        <v>0</v>
      </c>
      <c r="L404" s="87">
        <f ca="1">IFERROR((L403+G404-IF(RESULTADOS!$C$17="Normal",0,I404))*(1+PREMISSAS!$C$19)+F404,0)</f>
        <v>0</v>
      </c>
      <c r="N404" s="58">
        <f t="shared" ca="1" si="49"/>
        <v>0</v>
      </c>
      <c r="P404" s="131" t="str">
        <f t="shared" ca="1" si="50"/>
        <v/>
      </c>
      <c r="Q404" s="111" t="str">
        <f ca="1">IF(C404="","",Q403+(E404+H404-IF(RESULTADOS!$C$17="Normal",I404,0)-J404)/2+(F404+G404-IF(RESULTADOS!$C$17="Normal",0,I404)))</f>
        <v/>
      </c>
      <c r="R404" s="111" t="str">
        <f ca="1">IF(C404="","",R403+(E404+H404-IF(RESULTADOS!$C$17="Normal",I404,0)-J404)/2)</f>
        <v/>
      </c>
      <c r="S404" s="111">
        <f t="shared" ca="1" si="52"/>
        <v>0</v>
      </c>
      <c r="U404" s="131" t="str">
        <f t="shared" ca="1" si="53"/>
        <v/>
      </c>
      <c r="V404" s="131" t="str">
        <f t="shared" ca="1" si="51"/>
        <v/>
      </c>
      <c r="W404" s="111">
        <f ca="1">IF(OR((W403-13/12*Z403)*(1+PREMISSAS!$C$17)&lt;0,W403=""),0,(W403-13/12*Z403)*(1+PREMISSAS!$C$17))</f>
        <v>0</v>
      </c>
      <c r="X404" s="111">
        <f ca="1">IF(OR((X403-13/12*AA403)*(1+PREMISSAS!$C$17)&lt;0,X403=""),0,(X403-13/12*AA403)*(1+PREMISSAS!$C$17))</f>
        <v>0</v>
      </c>
      <c r="Y404" s="111">
        <f t="shared" ca="1" si="48"/>
        <v>0</v>
      </c>
      <c r="Z404" s="134">
        <f t="shared" ca="1" si="54"/>
        <v>0</v>
      </c>
      <c r="AA404" s="134">
        <f t="shared" ca="1" si="55"/>
        <v>0</v>
      </c>
    </row>
    <row r="405" spans="2:27" x14ac:dyDescent="0.3">
      <c r="B405" s="21" t="str">
        <f ca="1">IF(B404="","",IF(EOMONTH(B404,1)&gt;EOMONTH(ELEGIBILIDADE!$E$5,0),"",EOMONTH(B404,1)))</f>
        <v/>
      </c>
      <c r="C405" s="22" t="str">
        <f ca="1">IF(B405="","",IF(MONTH(B405)=1,C404*(1+PREMISSAS!$C$58),C404))</f>
        <v/>
      </c>
      <c r="D405" s="22">
        <f ca="1">IF(RESULTADOS!$C$17="Normal",IFERROR(MAX(C405-PREMISSAS!$C$14,0),0),IF(PREMISSAS!$H$117=0,0,MAX(10*PREMISSAS!$C$39,RESULTADOS!$F$17)))</f>
        <v>0</v>
      </c>
      <c r="E405" s="4">
        <f ca="1">D405*IF(RESULTADOS!$C$17="Normal",RESULTADOS!$C$16,0)</f>
        <v>0</v>
      </c>
      <c r="F405" s="4">
        <f ca="1">IF(D405&lt;&gt;0,PREMISSAS!$N$83,0)</f>
        <v>0</v>
      </c>
      <c r="G405" s="4">
        <f ca="1">IFERROR(IF(RESULTADOS!$C$17="Normal",0,D405)*IF(RESULTADOS!$C$17="Normal",RESULTADOS!$C$18,RESULTADOS!$C$16),0)</f>
        <v>0</v>
      </c>
      <c r="H405" s="4">
        <f ca="1">IF(RESULTADOS!$C$17="Normal",E405,0)</f>
        <v>0</v>
      </c>
      <c r="I405" s="4">
        <f ca="1">(E405+H405+G405)*IFERROR(VLOOKUP(INT(COUNT($B$5:B405)/12),PREMISSAS!$B$62:$C$69,2,FALSE),PREMISSAS!$C$69)</f>
        <v>0</v>
      </c>
      <c r="J405" s="4">
        <f ca="1">D405*IF(RESULTADOS!$C$17="Normal",PREMISSAS!$C$71,0)</f>
        <v>0</v>
      </c>
      <c r="K405" s="87">
        <f ca="1">IFERROR(K404*(1+PREMISSAS!$C$19)+(E405+H405-IF(RESULTADOS!$C$17="Normal",I405,0)-J405)*IF(MONTH(B405)=12,2,1),0)</f>
        <v>0</v>
      </c>
      <c r="L405" s="87">
        <f ca="1">IFERROR((L404+G405-IF(RESULTADOS!$C$17="Normal",0,I405))*(1+PREMISSAS!$C$19)+F405,0)</f>
        <v>0</v>
      </c>
      <c r="N405" s="58">
        <f t="shared" ca="1" si="49"/>
        <v>0</v>
      </c>
      <c r="P405" s="131" t="str">
        <f t="shared" ca="1" si="50"/>
        <v/>
      </c>
      <c r="Q405" s="111" t="str">
        <f ca="1">IF(C405="","",Q404+(E405+H405-IF(RESULTADOS!$C$17="Normal",I405,0)-J405)/2+(F405+G405-IF(RESULTADOS!$C$17="Normal",0,I405)))</f>
        <v/>
      </c>
      <c r="R405" s="111" t="str">
        <f ca="1">IF(C405="","",R404+(E405+H405-IF(RESULTADOS!$C$17="Normal",I405,0)-J405)/2)</f>
        <v/>
      </c>
      <c r="S405" s="111">
        <f t="shared" ca="1" si="52"/>
        <v>0</v>
      </c>
      <c r="U405" s="131" t="str">
        <f t="shared" ca="1" si="53"/>
        <v/>
      </c>
      <c r="V405" s="131" t="str">
        <f t="shared" ca="1" si="51"/>
        <v/>
      </c>
      <c r="W405" s="111">
        <f ca="1">IF(OR((W404-13/12*Z404)*(1+PREMISSAS!$C$17)&lt;0,W404=""),0,(W404-13/12*Z404)*(1+PREMISSAS!$C$17))</f>
        <v>0</v>
      </c>
      <c r="X405" s="111">
        <f ca="1">IF(OR((X404-13/12*AA404)*(1+PREMISSAS!$C$17)&lt;0,X404=""),0,(X404-13/12*AA404)*(1+PREMISSAS!$C$17))</f>
        <v>0</v>
      </c>
      <c r="Y405" s="111">
        <f t="shared" ca="1" si="48"/>
        <v>0</v>
      </c>
      <c r="Z405" s="134">
        <f t="shared" ca="1" si="54"/>
        <v>0</v>
      </c>
      <c r="AA405" s="134">
        <f t="shared" ca="1" si="55"/>
        <v>0</v>
      </c>
    </row>
    <row r="406" spans="2:27" x14ac:dyDescent="0.3">
      <c r="B406" s="21" t="str">
        <f ca="1">IF(B405="","",IF(EOMONTH(B405,1)&gt;EOMONTH(ELEGIBILIDADE!$E$5,0),"",EOMONTH(B405,1)))</f>
        <v/>
      </c>
      <c r="C406" s="22" t="str">
        <f ca="1">IF(B406="","",IF(MONTH(B406)=1,C405*(1+PREMISSAS!$C$58),C405))</f>
        <v/>
      </c>
      <c r="D406" s="22">
        <f ca="1">IF(RESULTADOS!$C$17="Normal",IFERROR(MAX(C406-PREMISSAS!$C$14,0),0),IF(PREMISSAS!$H$117=0,0,MAX(10*PREMISSAS!$C$39,RESULTADOS!$F$17)))</f>
        <v>0</v>
      </c>
      <c r="E406" s="4">
        <f ca="1">D406*IF(RESULTADOS!$C$17="Normal",RESULTADOS!$C$16,0)</f>
        <v>0</v>
      </c>
      <c r="F406" s="4">
        <f ca="1">IF(D406&lt;&gt;0,PREMISSAS!$N$83,0)</f>
        <v>0</v>
      </c>
      <c r="G406" s="4">
        <f ca="1">IFERROR(IF(RESULTADOS!$C$17="Normal",0,D406)*IF(RESULTADOS!$C$17="Normal",RESULTADOS!$C$18,RESULTADOS!$C$16),0)</f>
        <v>0</v>
      </c>
      <c r="H406" s="4">
        <f ca="1">IF(RESULTADOS!$C$17="Normal",E406,0)</f>
        <v>0</v>
      </c>
      <c r="I406" s="4">
        <f ca="1">(E406+H406+G406)*IFERROR(VLOOKUP(INT(COUNT($B$5:B406)/12),PREMISSAS!$B$62:$C$69,2,FALSE),PREMISSAS!$C$69)</f>
        <v>0</v>
      </c>
      <c r="J406" s="4">
        <f ca="1">D406*IF(RESULTADOS!$C$17="Normal",PREMISSAS!$C$71,0)</f>
        <v>0</v>
      </c>
      <c r="K406" s="87">
        <f ca="1">IFERROR(K405*(1+PREMISSAS!$C$19)+(E406+H406-IF(RESULTADOS!$C$17="Normal",I406,0)-J406)*IF(MONTH(B406)=12,2,1),0)</f>
        <v>0</v>
      </c>
      <c r="L406" s="87">
        <f ca="1">IFERROR((L405+G406-IF(RESULTADOS!$C$17="Normal",0,I406))*(1+PREMISSAS!$C$19)+F406,0)</f>
        <v>0</v>
      </c>
      <c r="N406" s="58">
        <f t="shared" ca="1" si="49"/>
        <v>0</v>
      </c>
      <c r="P406" s="131" t="str">
        <f t="shared" ca="1" si="50"/>
        <v/>
      </c>
      <c r="Q406" s="111" t="str">
        <f ca="1">IF(C406="","",Q405+(E406+H406-IF(RESULTADOS!$C$17="Normal",I406,0)-J406)/2+(F406+G406-IF(RESULTADOS!$C$17="Normal",0,I406)))</f>
        <v/>
      </c>
      <c r="R406" s="111" t="str">
        <f ca="1">IF(C406="","",R405+(E406+H406-IF(RESULTADOS!$C$17="Normal",I406,0)-J406)/2)</f>
        <v/>
      </c>
      <c r="S406" s="111">
        <f t="shared" ca="1" si="52"/>
        <v>0</v>
      </c>
      <c r="U406" s="131" t="str">
        <f t="shared" ca="1" si="53"/>
        <v/>
      </c>
      <c r="V406" s="131" t="str">
        <f t="shared" ca="1" si="51"/>
        <v/>
      </c>
      <c r="W406" s="111">
        <f ca="1">IF(OR((W405-13/12*Z405)*(1+PREMISSAS!$C$17)&lt;0,W405=""),0,(W405-13/12*Z405)*(1+PREMISSAS!$C$17))</f>
        <v>0</v>
      </c>
      <c r="X406" s="111">
        <f ca="1">IF(OR((X405-13/12*AA405)*(1+PREMISSAS!$C$17)&lt;0,X405=""),0,(X405-13/12*AA405)*(1+PREMISSAS!$C$17))</f>
        <v>0</v>
      </c>
      <c r="Y406" s="111">
        <f t="shared" ca="1" si="48"/>
        <v>0</v>
      </c>
      <c r="Z406" s="134">
        <f t="shared" ca="1" si="54"/>
        <v>0</v>
      </c>
      <c r="AA406" s="134">
        <f t="shared" ca="1" si="55"/>
        <v>0</v>
      </c>
    </row>
    <row r="407" spans="2:27" x14ac:dyDescent="0.3">
      <c r="B407" s="21" t="str">
        <f ca="1">IF(B406="","",IF(EOMONTH(B406,1)&gt;EOMONTH(ELEGIBILIDADE!$E$5,0),"",EOMONTH(B406,1)))</f>
        <v/>
      </c>
      <c r="C407" s="22" t="str">
        <f ca="1">IF(B407="","",IF(MONTH(B407)=1,C406*(1+PREMISSAS!$C$58),C406))</f>
        <v/>
      </c>
      <c r="D407" s="22">
        <f ca="1">IF(RESULTADOS!$C$17="Normal",IFERROR(MAX(C407-PREMISSAS!$C$14,0),0),IF(PREMISSAS!$H$117=0,0,MAX(10*PREMISSAS!$C$39,RESULTADOS!$F$17)))</f>
        <v>0</v>
      </c>
      <c r="E407" s="4">
        <f ca="1">D407*IF(RESULTADOS!$C$17="Normal",RESULTADOS!$C$16,0)</f>
        <v>0</v>
      </c>
      <c r="F407" s="4">
        <f ca="1">IF(D407&lt;&gt;0,PREMISSAS!$N$83,0)</f>
        <v>0</v>
      </c>
      <c r="G407" s="4">
        <f ca="1">IFERROR(IF(RESULTADOS!$C$17="Normal",0,D407)*IF(RESULTADOS!$C$17="Normal",RESULTADOS!$C$18,RESULTADOS!$C$16),0)</f>
        <v>0</v>
      </c>
      <c r="H407" s="4">
        <f ca="1">IF(RESULTADOS!$C$17="Normal",E407,0)</f>
        <v>0</v>
      </c>
      <c r="I407" s="4">
        <f ca="1">(E407+H407+G407)*IFERROR(VLOOKUP(INT(COUNT($B$5:B407)/12),PREMISSAS!$B$62:$C$69,2,FALSE),PREMISSAS!$C$69)</f>
        <v>0</v>
      </c>
      <c r="J407" s="4">
        <f ca="1">D407*IF(RESULTADOS!$C$17="Normal",PREMISSAS!$C$71,0)</f>
        <v>0</v>
      </c>
      <c r="K407" s="87">
        <f ca="1">IFERROR(K406*(1+PREMISSAS!$C$19)+(E407+H407-IF(RESULTADOS!$C$17="Normal",I407,0)-J407)*IF(MONTH(B407)=12,2,1),0)</f>
        <v>0</v>
      </c>
      <c r="L407" s="87">
        <f ca="1">IFERROR((L406+G407-IF(RESULTADOS!$C$17="Normal",0,I407))*(1+PREMISSAS!$C$19)+F407,0)</f>
        <v>0</v>
      </c>
      <c r="N407" s="58">
        <f t="shared" ca="1" si="49"/>
        <v>0</v>
      </c>
      <c r="P407" s="131" t="str">
        <f t="shared" ca="1" si="50"/>
        <v/>
      </c>
      <c r="Q407" s="111" t="str">
        <f ca="1">IF(C407="","",Q406+(E407+H407-IF(RESULTADOS!$C$17="Normal",I407,0)-J407)/2+(F407+G407-IF(RESULTADOS!$C$17="Normal",0,I407)))</f>
        <v/>
      </c>
      <c r="R407" s="111" t="str">
        <f ca="1">IF(C407="","",R406+(E407+H407-IF(RESULTADOS!$C$17="Normal",I407,0)-J407)/2)</f>
        <v/>
      </c>
      <c r="S407" s="111">
        <f t="shared" ca="1" si="52"/>
        <v>0</v>
      </c>
      <c r="U407" s="131" t="str">
        <f t="shared" ca="1" si="53"/>
        <v/>
      </c>
      <c r="V407" s="131" t="str">
        <f t="shared" ca="1" si="51"/>
        <v/>
      </c>
      <c r="W407" s="111">
        <f ca="1">IF(OR((W406-13/12*Z406)*(1+PREMISSAS!$C$17)&lt;0,W406=""),0,(W406-13/12*Z406)*(1+PREMISSAS!$C$17))</f>
        <v>0</v>
      </c>
      <c r="X407" s="111">
        <f ca="1">IF(OR((X406-13/12*AA406)*(1+PREMISSAS!$C$17)&lt;0,X406=""),0,(X406-13/12*AA406)*(1+PREMISSAS!$C$17))</f>
        <v>0</v>
      </c>
      <c r="Y407" s="111">
        <f t="shared" ca="1" si="48"/>
        <v>0</v>
      </c>
      <c r="Z407" s="134">
        <f t="shared" ca="1" si="54"/>
        <v>0</v>
      </c>
      <c r="AA407" s="134">
        <f t="shared" ca="1" si="55"/>
        <v>0</v>
      </c>
    </row>
    <row r="408" spans="2:27" x14ac:dyDescent="0.3">
      <c r="B408" s="21" t="str">
        <f ca="1">IF(B407="","",IF(EOMONTH(B407,1)&gt;EOMONTH(ELEGIBILIDADE!$E$5,0),"",EOMONTH(B407,1)))</f>
        <v/>
      </c>
      <c r="C408" s="22" t="str">
        <f ca="1">IF(B408="","",IF(MONTH(B408)=1,C407*(1+PREMISSAS!$C$58),C407))</f>
        <v/>
      </c>
      <c r="D408" s="22">
        <f ca="1">IF(RESULTADOS!$C$17="Normal",IFERROR(MAX(C408-PREMISSAS!$C$14,0),0),IF(PREMISSAS!$H$117=0,0,MAX(10*PREMISSAS!$C$39,RESULTADOS!$F$17)))</f>
        <v>0</v>
      </c>
      <c r="E408" s="4">
        <f ca="1">D408*IF(RESULTADOS!$C$17="Normal",RESULTADOS!$C$16,0)</f>
        <v>0</v>
      </c>
      <c r="F408" s="4">
        <f ca="1">IF(D408&lt;&gt;0,PREMISSAS!$N$83,0)</f>
        <v>0</v>
      </c>
      <c r="G408" s="4">
        <f ca="1">IFERROR(IF(RESULTADOS!$C$17="Normal",0,D408)*IF(RESULTADOS!$C$17="Normal",RESULTADOS!$C$18,RESULTADOS!$C$16),0)</f>
        <v>0</v>
      </c>
      <c r="H408" s="4">
        <f ca="1">IF(RESULTADOS!$C$17="Normal",E408,0)</f>
        <v>0</v>
      </c>
      <c r="I408" s="4">
        <f ca="1">(E408+H408+G408)*IFERROR(VLOOKUP(INT(COUNT($B$5:B408)/12),PREMISSAS!$B$62:$C$69,2,FALSE),PREMISSAS!$C$69)</f>
        <v>0</v>
      </c>
      <c r="J408" s="4">
        <f ca="1">D408*IF(RESULTADOS!$C$17="Normal",PREMISSAS!$C$71,0)</f>
        <v>0</v>
      </c>
      <c r="K408" s="87">
        <f ca="1">IFERROR(K407*(1+PREMISSAS!$C$19)+(E408+H408-IF(RESULTADOS!$C$17="Normal",I408,0)-J408)*IF(MONTH(B408)=12,2,1),0)</f>
        <v>0</v>
      </c>
      <c r="L408" s="87">
        <f ca="1">IFERROR((L407+G408-IF(RESULTADOS!$C$17="Normal",0,I408))*(1+PREMISSAS!$C$19)+F408,0)</f>
        <v>0</v>
      </c>
      <c r="N408" s="58">
        <f t="shared" ca="1" si="49"/>
        <v>0</v>
      </c>
      <c r="P408" s="131" t="str">
        <f t="shared" ca="1" si="50"/>
        <v/>
      </c>
      <c r="Q408" s="111" t="str">
        <f ca="1">IF(C408="","",Q407+(E408+H408-IF(RESULTADOS!$C$17="Normal",I408,0)-J408)/2+(F408+G408-IF(RESULTADOS!$C$17="Normal",0,I408)))</f>
        <v/>
      </c>
      <c r="R408" s="111" t="str">
        <f ca="1">IF(C408="","",R407+(E408+H408-IF(RESULTADOS!$C$17="Normal",I408,0)-J408)/2)</f>
        <v/>
      </c>
      <c r="S408" s="111">
        <f t="shared" ca="1" si="52"/>
        <v>0</v>
      </c>
      <c r="U408" s="131" t="str">
        <f t="shared" ca="1" si="53"/>
        <v/>
      </c>
      <c r="V408" s="131" t="str">
        <f t="shared" ca="1" si="51"/>
        <v/>
      </c>
      <c r="W408" s="111">
        <f ca="1">IF(OR((W407-13/12*Z407)*(1+PREMISSAS!$C$17)&lt;0,W407=""),0,(W407-13/12*Z407)*(1+PREMISSAS!$C$17))</f>
        <v>0</v>
      </c>
      <c r="X408" s="111">
        <f ca="1">IF(OR((X407-13/12*AA407)*(1+PREMISSAS!$C$17)&lt;0,X407=""),0,(X407-13/12*AA407)*(1+PREMISSAS!$C$17))</f>
        <v>0</v>
      </c>
      <c r="Y408" s="111">
        <f t="shared" ca="1" si="48"/>
        <v>0</v>
      </c>
      <c r="Z408" s="134">
        <f t="shared" ca="1" si="54"/>
        <v>0</v>
      </c>
      <c r="AA408" s="134">
        <f t="shared" ca="1" si="55"/>
        <v>0</v>
      </c>
    </row>
    <row r="409" spans="2:27" x14ac:dyDescent="0.3">
      <c r="B409" s="21" t="str">
        <f ca="1">IF(B408="","",IF(EOMONTH(B408,1)&gt;EOMONTH(ELEGIBILIDADE!$E$5,0),"",EOMONTH(B408,1)))</f>
        <v/>
      </c>
      <c r="C409" s="22" t="str">
        <f ca="1">IF(B409="","",IF(MONTH(B409)=1,C408*(1+PREMISSAS!$C$58),C408))</f>
        <v/>
      </c>
      <c r="D409" s="22">
        <f ca="1">IF(RESULTADOS!$C$17="Normal",IFERROR(MAX(C409-PREMISSAS!$C$14,0),0),IF(PREMISSAS!$H$117=0,0,MAX(10*PREMISSAS!$C$39,RESULTADOS!$F$17)))</f>
        <v>0</v>
      </c>
      <c r="E409" s="4">
        <f ca="1">D409*IF(RESULTADOS!$C$17="Normal",RESULTADOS!$C$16,0)</f>
        <v>0</v>
      </c>
      <c r="F409" s="4">
        <f ca="1">IF(D409&lt;&gt;0,PREMISSAS!$N$83,0)</f>
        <v>0</v>
      </c>
      <c r="G409" s="4">
        <f ca="1">IFERROR(IF(RESULTADOS!$C$17="Normal",0,D409)*IF(RESULTADOS!$C$17="Normal",RESULTADOS!$C$18,RESULTADOS!$C$16),0)</f>
        <v>0</v>
      </c>
      <c r="H409" s="4">
        <f ca="1">IF(RESULTADOS!$C$17="Normal",E409,0)</f>
        <v>0</v>
      </c>
      <c r="I409" s="4">
        <f ca="1">(E409+H409+G409)*IFERROR(VLOOKUP(INT(COUNT($B$5:B409)/12),PREMISSAS!$B$62:$C$69,2,FALSE),PREMISSAS!$C$69)</f>
        <v>0</v>
      </c>
      <c r="J409" s="4">
        <f ca="1">D409*IF(RESULTADOS!$C$17="Normal",PREMISSAS!$C$71,0)</f>
        <v>0</v>
      </c>
      <c r="K409" s="87">
        <f ca="1">IFERROR(K408*(1+PREMISSAS!$C$19)+(E409+H409-IF(RESULTADOS!$C$17="Normal",I409,0)-J409)*IF(MONTH(B409)=12,2,1),0)</f>
        <v>0</v>
      </c>
      <c r="L409" s="87">
        <f ca="1">IFERROR((L408+G409-IF(RESULTADOS!$C$17="Normal",0,I409))*(1+PREMISSAS!$C$19)+F409,0)</f>
        <v>0</v>
      </c>
      <c r="N409" s="58">
        <f t="shared" ca="1" si="49"/>
        <v>0</v>
      </c>
      <c r="P409" s="131" t="str">
        <f t="shared" ca="1" si="50"/>
        <v/>
      </c>
      <c r="Q409" s="111" t="str">
        <f ca="1">IF(C409="","",Q408+(E409+H409-IF(RESULTADOS!$C$17="Normal",I409,0)-J409)/2+(F409+G409-IF(RESULTADOS!$C$17="Normal",0,I409)))</f>
        <v/>
      </c>
      <c r="R409" s="111" t="str">
        <f ca="1">IF(C409="","",R408+(E409+H409-IF(RESULTADOS!$C$17="Normal",I409,0)-J409)/2)</f>
        <v/>
      </c>
      <c r="S409" s="111">
        <f t="shared" ca="1" si="52"/>
        <v>0</v>
      </c>
      <c r="U409" s="131" t="str">
        <f t="shared" ca="1" si="53"/>
        <v/>
      </c>
      <c r="V409" s="131" t="str">
        <f t="shared" ca="1" si="51"/>
        <v/>
      </c>
      <c r="W409" s="111">
        <f ca="1">IF(OR((W408-13/12*Z408)*(1+PREMISSAS!$C$17)&lt;0,W408=""),0,(W408-13/12*Z408)*(1+PREMISSAS!$C$17))</f>
        <v>0</v>
      </c>
      <c r="X409" s="111">
        <f ca="1">IF(OR((X408-13/12*AA408)*(1+PREMISSAS!$C$17)&lt;0,X408=""),0,(X408-13/12*AA408)*(1+PREMISSAS!$C$17))</f>
        <v>0</v>
      </c>
      <c r="Y409" s="111">
        <f t="shared" ca="1" si="48"/>
        <v>0</v>
      </c>
      <c r="Z409" s="134">
        <f t="shared" ca="1" si="54"/>
        <v>0</v>
      </c>
      <c r="AA409" s="134">
        <f t="shared" ca="1" si="55"/>
        <v>0</v>
      </c>
    </row>
    <row r="410" spans="2:27" x14ac:dyDescent="0.3">
      <c r="B410" s="21" t="str">
        <f ca="1">IF(B409="","",IF(EOMONTH(B409,1)&gt;EOMONTH(ELEGIBILIDADE!$E$5,0),"",EOMONTH(B409,1)))</f>
        <v/>
      </c>
      <c r="C410" s="22" t="str">
        <f ca="1">IF(B410="","",IF(MONTH(B410)=1,C409*(1+PREMISSAS!$C$58),C409))</f>
        <v/>
      </c>
      <c r="D410" s="22">
        <f ca="1">IF(RESULTADOS!$C$17="Normal",IFERROR(MAX(C410-PREMISSAS!$C$14,0),0),IF(PREMISSAS!$H$117=0,0,MAX(10*PREMISSAS!$C$39,RESULTADOS!$F$17)))</f>
        <v>0</v>
      </c>
      <c r="E410" s="4">
        <f ca="1">D410*IF(RESULTADOS!$C$17="Normal",RESULTADOS!$C$16,0)</f>
        <v>0</v>
      </c>
      <c r="F410" s="4">
        <f ca="1">IF(D410&lt;&gt;0,PREMISSAS!$N$83,0)</f>
        <v>0</v>
      </c>
      <c r="G410" s="4">
        <f ca="1">IFERROR(IF(RESULTADOS!$C$17="Normal",0,D410)*IF(RESULTADOS!$C$17="Normal",RESULTADOS!$C$18,RESULTADOS!$C$16),0)</f>
        <v>0</v>
      </c>
      <c r="H410" s="4">
        <f ca="1">IF(RESULTADOS!$C$17="Normal",E410,0)</f>
        <v>0</v>
      </c>
      <c r="I410" s="4">
        <f ca="1">(E410+H410+G410)*IFERROR(VLOOKUP(INT(COUNT($B$5:B410)/12),PREMISSAS!$B$62:$C$69,2,FALSE),PREMISSAS!$C$69)</f>
        <v>0</v>
      </c>
      <c r="J410" s="4">
        <f ca="1">D410*IF(RESULTADOS!$C$17="Normal",PREMISSAS!$C$71,0)</f>
        <v>0</v>
      </c>
      <c r="K410" s="87">
        <f ca="1">IFERROR(K409*(1+PREMISSAS!$C$19)+(E410+H410-IF(RESULTADOS!$C$17="Normal",I410,0)-J410)*IF(MONTH(B410)=12,2,1),0)</f>
        <v>0</v>
      </c>
      <c r="L410" s="87">
        <f ca="1">IFERROR((L409+G410-IF(RESULTADOS!$C$17="Normal",0,I410))*(1+PREMISSAS!$C$19)+F410,0)</f>
        <v>0</v>
      </c>
      <c r="N410" s="58">
        <f t="shared" ca="1" si="49"/>
        <v>0</v>
      </c>
      <c r="P410" s="131" t="str">
        <f t="shared" ca="1" si="50"/>
        <v/>
      </c>
      <c r="Q410" s="111" t="str">
        <f ca="1">IF(C410="","",Q409+(E410+H410-IF(RESULTADOS!$C$17="Normal",I410,0)-J410)/2+(F410+G410-IF(RESULTADOS!$C$17="Normal",0,I410)))</f>
        <v/>
      </c>
      <c r="R410" s="111" t="str">
        <f ca="1">IF(C410="","",R409+(E410+H410-IF(RESULTADOS!$C$17="Normal",I410,0)-J410)/2)</f>
        <v/>
      </c>
      <c r="S410" s="111">
        <f t="shared" ca="1" si="52"/>
        <v>0</v>
      </c>
      <c r="U410" s="131" t="str">
        <f t="shared" ca="1" si="53"/>
        <v/>
      </c>
      <c r="V410" s="131" t="str">
        <f t="shared" ca="1" si="51"/>
        <v/>
      </c>
      <c r="W410" s="111">
        <f ca="1">IF(OR((W409-13/12*Z409)*(1+PREMISSAS!$C$17)&lt;0,W409=""),0,(W409-13/12*Z409)*(1+PREMISSAS!$C$17))</f>
        <v>0</v>
      </c>
      <c r="X410" s="111">
        <f ca="1">IF(OR((X409-13/12*AA409)*(1+PREMISSAS!$C$17)&lt;0,X409=""),0,(X409-13/12*AA409)*(1+PREMISSAS!$C$17))</f>
        <v>0</v>
      </c>
      <c r="Y410" s="111">
        <f t="shared" ca="1" si="48"/>
        <v>0</v>
      </c>
      <c r="Z410" s="134">
        <f t="shared" ca="1" si="54"/>
        <v>0</v>
      </c>
      <c r="AA410" s="134">
        <f t="shared" ca="1" si="55"/>
        <v>0</v>
      </c>
    </row>
    <row r="411" spans="2:27" x14ac:dyDescent="0.3">
      <c r="B411" s="21" t="str">
        <f ca="1">IF(B410="","",IF(EOMONTH(B410,1)&gt;EOMONTH(ELEGIBILIDADE!$E$5,0),"",EOMONTH(B410,1)))</f>
        <v/>
      </c>
      <c r="C411" s="22" t="str">
        <f ca="1">IF(B411="","",IF(MONTH(B411)=1,C410*(1+PREMISSAS!$C$58),C410))</f>
        <v/>
      </c>
      <c r="D411" s="22">
        <f ca="1">IF(RESULTADOS!$C$17="Normal",IFERROR(MAX(C411-PREMISSAS!$C$14,0),0),IF(PREMISSAS!$H$117=0,0,MAX(10*PREMISSAS!$C$39,RESULTADOS!$F$17)))</f>
        <v>0</v>
      </c>
      <c r="E411" s="4">
        <f ca="1">D411*IF(RESULTADOS!$C$17="Normal",RESULTADOS!$C$16,0)</f>
        <v>0</v>
      </c>
      <c r="F411" s="4">
        <f ca="1">IF(D411&lt;&gt;0,PREMISSAS!$N$83,0)</f>
        <v>0</v>
      </c>
      <c r="G411" s="4">
        <f ca="1">IFERROR(IF(RESULTADOS!$C$17="Normal",0,D411)*IF(RESULTADOS!$C$17="Normal",RESULTADOS!$C$18,RESULTADOS!$C$16),0)</f>
        <v>0</v>
      </c>
      <c r="H411" s="4">
        <f ca="1">IF(RESULTADOS!$C$17="Normal",E411,0)</f>
        <v>0</v>
      </c>
      <c r="I411" s="4">
        <f ca="1">(E411+H411+G411)*IFERROR(VLOOKUP(INT(COUNT($B$5:B411)/12),PREMISSAS!$B$62:$C$69,2,FALSE),PREMISSAS!$C$69)</f>
        <v>0</v>
      </c>
      <c r="J411" s="4">
        <f ca="1">D411*IF(RESULTADOS!$C$17="Normal",PREMISSAS!$C$71,0)</f>
        <v>0</v>
      </c>
      <c r="K411" s="87">
        <f ca="1">IFERROR(K410*(1+PREMISSAS!$C$19)+(E411+H411-IF(RESULTADOS!$C$17="Normal",I411,0)-J411)*IF(MONTH(B411)=12,2,1),0)</f>
        <v>0</v>
      </c>
      <c r="L411" s="87">
        <f ca="1">IFERROR((L410+G411-IF(RESULTADOS!$C$17="Normal",0,I411))*(1+PREMISSAS!$C$19)+F411,0)</f>
        <v>0</v>
      </c>
      <c r="N411" s="58">
        <f t="shared" ca="1" si="49"/>
        <v>0</v>
      </c>
      <c r="P411" s="131" t="str">
        <f t="shared" ca="1" si="50"/>
        <v/>
      </c>
      <c r="Q411" s="111" t="str">
        <f ca="1">IF(C411="","",Q410+(E411+H411-IF(RESULTADOS!$C$17="Normal",I411,0)-J411)/2+(F411+G411-IF(RESULTADOS!$C$17="Normal",0,I411)))</f>
        <v/>
      </c>
      <c r="R411" s="111" t="str">
        <f ca="1">IF(C411="","",R410+(E411+H411-IF(RESULTADOS!$C$17="Normal",I411,0)-J411)/2)</f>
        <v/>
      </c>
      <c r="S411" s="111">
        <f t="shared" ca="1" si="52"/>
        <v>0</v>
      </c>
      <c r="U411" s="131" t="str">
        <f t="shared" ca="1" si="53"/>
        <v/>
      </c>
      <c r="V411" s="131" t="str">
        <f t="shared" ca="1" si="51"/>
        <v/>
      </c>
      <c r="W411" s="111">
        <f ca="1">IF(OR((W410-13/12*Z410)*(1+PREMISSAS!$C$17)&lt;0,W410=""),0,(W410-13/12*Z410)*(1+PREMISSAS!$C$17))</f>
        <v>0</v>
      </c>
      <c r="X411" s="111">
        <f ca="1">IF(OR((X410-13/12*AA410)*(1+PREMISSAS!$C$17)&lt;0,X410=""),0,(X410-13/12*AA410)*(1+PREMISSAS!$C$17))</f>
        <v>0</v>
      </c>
      <c r="Y411" s="111">
        <f t="shared" ca="1" si="48"/>
        <v>0</v>
      </c>
      <c r="Z411" s="134">
        <f t="shared" ca="1" si="54"/>
        <v>0</v>
      </c>
      <c r="AA411" s="134">
        <f t="shared" ca="1" si="55"/>
        <v>0</v>
      </c>
    </row>
    <row r="412" spans="2:27" x14ac:dyDescent="0.3">
      <c r="B412" s="21" t="str">
        <f ca="1">IF(B411="","",IF(EOMONTH(B411,1)&gt;EOMONTH(ELEGIBILIDADE!$E$5,0),"",EOMONTH(B411,1)))</f>
        <v/>
      </c>
      <c r="C412" s="22" t="str">
        <f ca="1">IF(B412="","",IF(MONTH(B412)=1,C411*(1+PREMISSAS!$C$58),C411))</f>
        <v/>
      </c>
      <c r="D412" s="22">
        <f ca="1">IF(RESULTADOS!$C$17="Normal",IFERROR(MAX(C412-PREMISSAS!$C$14,0),0),IF(PREMISSAS!$H$117=0,0,MAX(10*PREMISSAS!$C$39,RESULTADOS!$F$17)))</f>
        <v>0</v>
      </c>
      <c r="E412" s="4">
        <f ca="1">D412*IF(RESULTADOS!$C$17="Normal",RESULTADOS!$C$16,0)</f>
        <v>0</v>
      </c>
      <c r="F412" s="4">
        <f ca="1">IF(D412&lt;&gt;0,PREMISSAS!$N$83,0)</f>
        <v>0</v>
      </c>
      <c r="G412" s="4">
        <f ca="1">IFERROR(IF(RESULTADOS!$C$17="Normal",0,D412)*IF(RESULTADOS!$C$17="Normal",RESULTADOS!$C$18,RESULTADOS!$C$16),0)</f>
        <v>0</v>
      </c>
      <c r="H412" s="4">
        <f ca="1">IF(RESULTADOS!$C$17="Normal",E412,0)</f>
        <v>0</v>
      </c>
      <c r="I412" s="4">
        <f ca="1">(E412+H412+G412)*IFERROR(VLOOKUP(INT(COUNT($B$5:B412)/12),PREMISSAS!$B$62:$C$69,2,FALSE),PREMISSAS!$C$69)</f>
        <v>0</v>
      </c>
      <c r="J412" s="4">
        <f ca="1">D412*IF(RESULTADOS!$C$17="Normal",PREMISSAS!$C$71,0)</f>
        <v>0</v>
      </c>
      <c r="K412" s="87">
        <f ca="1">IFERROR(K411*(1+PREMISSAS!$C$19)+(E412+H412-IF(RESULTADOS!$C$17="Normal",I412,0)-J412)*IF(MONTH(B412)=12,2,1),0)</f>
        <v>0</v>
      </c>
      <c r="L412" s="87">
        <f ca="1">IFERROR((L411+G412-IF(RESULTADOS!$C$17="Normal",0,I412))*(1+PREMISSAS!$C$19)+F412,0)</f>
        <v>0</v>
      </c>
      <c r="N412" s="58">
        <f t="shared" ca="1" si="49"/>
        <v>0</v>
      </c>
      <c r="P412" s="131" t="str">
        <f t="shared" ca="1" si="50"/>
        <v/>
      </c>
      <c r="Q412" s="111" t="str">
        <f ca="1">IF(C412="","",Q411+(E412+H412-IF(RESULTADOS!$C$17="Normal",I412,0)-J412)/2+(F412+G412-IF(RESULTADOS!$C$17="Normal",0,I412)))</f>
        <v/>
      </c>
      <c r="R412" s="111" t="str">
        <f ca="1">IF(C412="","",R411+(E412+H412-IF(RESULTADOS!$C$17="Normal",I412,0)-J412)/2)</f>
        <v/>
      </c>
      <c r="S412" s="111">
        <f t="shared" ca="1" si="52"/>
        <v>0</v>
      </c>
      <c r="U412" s="131" t="str">
        <f t="shared" ca="1" si="53"/>
        <v/>
      </c>
      <c r="V412" s="131" t="str">
        <f t="shared" ca="1" si="51"/>
        <v/>
      </c>
      <c r="W412" s="111">
        <f ca="1">IF(OR((W411-13/12*Z411)*(1+PREMISSAS!$C$17)&lt;0,W411=""),0,(W411-13/12*Z411)*(1+PREMISSAS!$C$17))</f>
        <v>0</v>
      </c>
      <c r="X412" s="111">
        <f ca="1">IF(OR((X411-13/12*AA411)*(1+PREMISSAS!$C$17)&lt;0,X411=""),0,(X411-13/12*AA411)*(1+PREMISSAS!$C$17))</f>
        <v>0</v>
      </c>
      <c r="Y412" s="111">
        <f t="shared" ca="1" si="48"/>
        <v>0</v>
      </c>
      <c r="Z412" s="134">
        <f t="shared" ca="1" si="54"/>
        <v>0</v>
      </c>
      <c r="AA412" s="134">
        <f t="shared" ca="1" si="55"/>
        <v>0</v>
      </c>
    </row>
    <row r="413" spans="2:27" x14ac:dyDescent="0.3">
      <c r="B413" s="21" t="str">
        <f ca="1">IF(B412="","",IF(EOMONTH(B412,1)&gt;EOMONTH(ELEGIBILIDADE!$E$5,0),"",EOMONTH(B412,1)))</f>
        <v/>
      </c>
      <c r="C413" s="22" t="str">
        <f ca="1">IF(B413="","",IF(MONTH(B413)=1,C412*(1+PREMISSAS!$C$58),C412))</f>
        <v/>
      </c>
      <c r="D413" s="22">
        <f ca="1">IF(RESULTADOS!$C$17="Normal",IFERROR(MAX(C413-PREMISSAS!$C$14,0),0),IF(PREMISSAS!$H$117=0,0,MAX(10*PREMISSAS!$C$39,RESULTADOS!$F$17)))</f>
        <v>0</v>
      </c>
      <c r="E413" s="4">
        <f ca="1">D413*IF(RESULTADOS!$C$17="Normal",RESULTADOS!$C$16,0)</f>
        <v>0</v>
      </c>
      <c r="F413" s="4">
        <f ca="1">IF(D413&lt;&gt;0,PREMISSAS!$N$83,0)</f>
        <v>0</v>
      </c>
      <c r="G413" s="4">
        <f ca="1">IFERROR(IF(RESULTADOS!$C$17="Normal",0,D413)*IF(RESULTADOS!$C$17="Normal",RESULTADOS!$C$18,RESULTADOS!$C$16),0)</f>
        <v>0</v>
      </c>
      <c r="H413" s="4">
        <f ca="1">IF(RESULTADOS!$C$17="Normal",E413,0)</f>
        <v>0</v>
      </c>
      <c r="I413" s="4">
        <f ca="1">(E413+H413+G413)*IFERROR(VLOOKUP(INT(COUNT($B$5:B413)/12),PREMISSAS!$B$62:$C$69,2,FALSE),PREMISSAS!$C$69)</f>
        <v>0</v>
      </c>
      <c r="J413" s="4">
        <f ca="1">D413*IF(RESULTADOS!$C$17="Normal",PREMISSAS!$C$71,0)</f>
        <v>0</v>
      </c>
      <c r="K413" s="87">
        <f ca="1">IFERROR(K412*(1+PREMISSAS!$C$19)+(E413+H413-IF(RESULTADOS!$C$17="Normal",I413,0)-J413)*IF(MONTH(B413)=12,2,1),0)</f>
        <v>0</v>
      </c>
      <c r="L413" s="87">
        <f ca="1">IFERROR((L412+G413-IF(RESULTADOS!$C$17="Normal",0,I413))*(1+PREMISSAS!$C$19)+F413,0)</f>
        <v>0</v>
      </c>
      <c r="N413" s="58">
        <f t="shared" ca="1" si="49"/>
        <v>0</v>
      </c>
      <c r="P413" s="131" t="str">
        <f t="shared" ca="1" si="50"/>
        <v/>
      </c>
      <c r="Q413" s="111" t="str">
        <f ca="1">IF(C413="","",Q412+(E413+H413-IF(RESULTADOS!$C$17="Normal",I413,0)-J413)/2+(F413+G413-IF(RESULTADOS!$C$17="Normal",0,I413)))</f>
        <v/>
      </c>
      <c r="R413" s="111" t="str">
        <f ca="1">IF(C413="","",R412+(E413+H413-IF(RESULTADOS!$C$17="Normal",I413,0)-J413)/2)</f>
        <v/>
      </c>
      <c r="S413" s="111">
        <f t="shared" ca="1" si="52"/>
        <v>0</v>
      </c>
      <c r="U413" s="131" t="str">
        <f t="shared" ca="1" si="53"/>
        <v/>
      </c>
      <c r="V413" s="131" t="str">
        <f t="shared" ca="1" si="51"/>
        <v/>
      </c>
      <c r="W413" s="111">
        <f ca="1">IF(OR((W412-13/12*Z412)*(1+PREMISSAS!$C$17)&lt;0,W412=""),0,(W412-13/12*Z412)*(1+PREMISSAS!$C$17))</f>
        <v>0</v>
      </c>
      <c r="X413" s="111">
        <f ca="1">IF(OR((X412-13/12*AA412)*(1+PREMISSAS!$C$17)&lt;0,X412=""),0,(X412-13/12*AA412)*(1+PREMISSAS!$C$17))</f>
        <v>0</v>
      </c>
      <c r="Y413" s="111">
        <f t="shared" ca="1" si="48"/>
        <v>0</v>
      </c>
      <c r="Z413" s="134">
        <f t="shared" ca="1" si="54"/>
        <v>0</v>
      </c>
      <c r="AA413" s="134">
        <f t="shared" ca="1" si="55"/>
        <v>0</v>
      </c>
    </row>
    <row r="414" spans="2:27" x14ac:dyDescent="0.3">
      <c r="B414" s="21" t="str">
        <f ca="1">IF(B413="","",IF(EOMONTH(B413,1)&gt;EOMONTH(ELEGIBILIDADE!$E$5,0),"",EOMONTH(B413,1)))</f>
        <v/>
      </c>
      <c r="C414" s="22" t="str">
        <f ca="1">IF(B414="","",IF(MONTH(B414)=1,C413*(1+PREMISSAS!$C$58),C413))</f>
        <v/>
      </c>
      <c r="D414" s="22">
        <f ca="1">IF(RESULTADOS!$C$17="Normal",IFERROR(MAX(C414-PREMISSAS!$C$14,0),0),IF(PREMISSAS!$H$117=0,0,MAX(10*PREMISSAS!$C$39,RESULTADOS!$F$17)))</f>
        <v>0</v>
      </c>
      <c r="E414" s="4">
        <f ca="1">D414*IF(RESULTADOS!$C$17="Normal",RESULTADOS!$C$16,0)</f>
        <v>0</v>
      </c>
      <c r="F414" s="4">
        <f ca="1">IF(D414&lt;&gt;0,PREMISSAS!$N$83,0)</f>
        <v>0</v>
      </c>
      <c r="G414" s="4">
        <f ca="1">IFERROR(IF(RESULTADOS!$C$17="Normal",0,D414)*IF(RESULTADOS!$C$17="Normal",RESULTADOS!$C$18,RESULTADOS!$C$16),0)</f>
        <v>0</v>
      </c>
      <c r="H414" s="4">
        <f ca="1">IF(RESULTADOS!$C$17="Normal",E414,0)</f>
        <v>0</v>
      </c>
      <c r="I414" s="4">
        <f ca="1">(E414+H414+G414)*IFERROR(VLOOKUP(INT(COUNT($B$5:B414)/12),PREMISSAS!$B$62:$C$69,2,FALSE),PREMISSAS!$C$69)</f>
        <v>0</v>
      </c>
      <c r="J414" s="4">
        <f ca="1">D414*IF(RESULTADOS!$C$17="Normal",PREMISSAS!$C$71,0)</f>
        <v>0</v>
      </c>
      <c r="K414" s="87">
        <f ca="1">IFERROR(K413*(1+PREMISSAS!$C$19)+(E414+H414-IF(RESULTADOS!$C$17="Normal",I414,0)-J414)*IF(MONTH(B414)=12,2,1),0)</f>
        <v>0</v>
      </c>
      <c r="L414" s="87">
        <f ca="1">IFERROR((L413+G414-IF(RESULTADOS!$C$17="Normal",0,I414))*(1+PREMISSAS!$C$19)+F414,0)</f>
        <v>0</v>
      </c>
      <c r="N414" s="58">
        <f t="shared" ca="1" si="49"/>
        <v>0</v>
      </c>
      <c r="P414" s="131" t="str">
        <f t="shared" ca="1" si="50"/>
        <v/>
      </c>
      <c r="Q414" s="111" t="str">
        <f ca="1">IF(C414="","",Q413+(E414+H414-IF(RESULTADOS!$C$17="Normal",I414,0)-J414)/2+(F414+G414-IF(RESULTADOS!$C$17="Normal",0,I414)))</f>
        <v/>
      </c>
      <c r="R414" s="111" t="str">
        <f ca="1">IF(C414="","",R413+(E414+H414-IF(RESULTADOS!$C$17="Normal",I414,0)-J414)/2)</f>
        <v/>
      </c>
      <c r="S414" s="111">
        <f t="shared" ca="1" si="52"/>
        <v>0</v>
      </c>
      <c r="U414" s="131" t="str">
        <f t="shared" ca="1" si="53"/>
        <v/>
      </c>
      <c r="V414" s="131" t="str">
        <f t="shared" ca="1" si="51"/>
        <v/>
      </c>
      <c r="W414" s="111">
        <f ca="1">IF(OR((W413-13/12*Z413)*(1+PREMISSAS!$C$17)&lt;0,W413=""),0,(W413-13/12*Z413)*(1+PREMISSAS!$C$17))</f>
        <v>0</v>
      </c>
      <c r="X414" s="111">
        <f ca="1">IF(OR((X413-13/12*AA413)*(1+PREMISSAS!$C$17)&lt;0,X413=""),0,(X413-13/12*AA413)*(1+PREMISSAS!$C$17))</f>
        <v>0</v>
      </c>
      <c r="Y414" s="111">
        <f t="shared" ca="1" si="48"/>
        <v>0</v>
      </c>
      <c r="Z414" s="134">
        <f t="shared" ca="1" si="54"/>
        <v>0</v>
      </c>
      <c r="AA414" s="134">
        <f t="shared" ca="1" si="55"/>
        <v>0</v>
      </c>
    </row>
    <row r="415" spans="2:27" x14ac:dyDescent="0.3">
      <c r="B415" s="21" t="str">
        <f ca="1">IF(B414="","",IF(EOMONTH(B414,1)&gt;EOMONTH(ELEGIBILIDADE!$E$5,0),"",EOMONTH(B414,1)))</f>
        <v/>
      </c>
      <c r="C415" s="22" t="str">
        <f ca="1">IF(B415="","",IF(MONTH(B415)=1,C414*(1+PREMISSAS!$C$58),C414))</f>
        <v/>
      </c>
      <c r="D415" s="22">
        <f ca="1">IF(RESULTADOS!$C$17="Normal",IFERROR(MAX(C415-PREMISSAS!$C$14,0),0),IF(PREMISSAS!$H$117=0,0,MAX(10*PREMISSAS!$C$39,RESULTADOS!$F$17)))</f>
        <v>0</v>
      </c>
      <c r="E415" s="4">
        <f ca="1">D415*IF(RESULTADOS!$C$17="Normal",RESULTADOS!$C$16,0)</f>
        <v>0</v>
      </c>
      <c r="F415" s="4">
        <f ca="1">IF(D415&lt;&gt;0,PREMISSAS!$N$83,0)</f>
        <v>0</v>
      </c>
      <c r="G415" s="4">
        <f ca="1">IFERROR(IF(RESULTADOS!$C$17="Normal",0,D415)*IF(RESULTADOS!$C$17="Normal",RESULTADOS!$C$18,RESULTADOS!$C$16),0)</f>
        <v>0</v>
      </c>
      <c r="H415" s="4">
        <f ca="1">IF(RESULTADOS!$C$17="Normal",E415,0)</f>
        <v>0</v>
      </c>
      <c r="I415" s="4">
        <f ca="1">(E415+H415+G415)*IFERROR(VLOOKUP(INT(COUNT($B$5:B415)/12),PREMISSAS!$B$62:$C$69,2,FALSE),PREMISSAS!$C$69)</f>
        <v>0</v>
      </c>
      <c r="J415" s="4">
        <f ca="1">D415*IF(RESULTADOS!$C$17="Normal",PREMISSAS!$C$71,0)</f>
        <v>0</v>
      </c>
      <c r="K415" s="87">
        <f ca="1">IFERROR(K414*(1+PREMISSAS!$C$19)+(E415+H415-IF(RESULTADOS!$C$17="Normal",I415,0)-J415)*IF(MONTH(B415)=12,2,1),0)</f>
        <v>0</v>
      </c>
      <c r="L415" s="87">
        <f ca="1">IFERROR((L414+G415-IF(RESULTADOS!$C$17="Normal",0,I415))*(1+PREMISSAS!$C$19)+F415,0)</f>
        <v>0</v>
      </c>
      <c r="N415" s="58">
        <f t="shared" ca="1" si="49"/>
        <v>0</v>
      </c>
      <c r="P415" s="131" t="str">
        <f t="shared" ca="1" si="50"/>
        <v/>
      </c>
      <c r="Q415" s="111" t="str">
        <f ca="1">IF(C415="","",Q414+(E415+H415-IF(RESULTADOS!$C$17="Normal",I415,0)-J415)/2+(F415+G415-IF(RESULTADOS!$C$17="Normal",0,I415)))</f>
        <v/>
      </c>
      <c r="R415" s="111" t="str">
        <f ca="1">IF(C415="","",R414+(E415+H415-IF(RESULTADOS!$C$17="Normal",I415,0)-J415)/2)</f>
        <v/>
      </c>
      <c r="S415" s="111">
        <f t="shared" ca="1" si="52"/>
        <v>0</v>
      </c>
      <c r="U415" s="131" t="str">
        <f t="shared" ca="1" si="53"/>
        <v/>
      </c>
      <c r="V415" s="131" t="str">
        <f t="shared" ca="1" si="51"/>
        <v/>
      </c>
      <c r="W415" s="111">
        <f ca="1">IF(OR((W414-13/12*Z414)*(1+PREMISSAS!$C$17)&lt;0,W414=""),0,(W414-13/12*Z414)*(1+PREMISSAS!$C$17))</f>
        <v>0</v>
      </c>
      <c r="X415" s="111">
        <f ca="1">IF(OR((X414-13/12*AA414)*(1+PREMISSAS!$C$17)&lt;0,X414=""),0,(X414-13/12*AA414)*(1+PREMISSAS!$C$17))</f>
        <v>0</v>
      </c>
      <c r="Y415" s="111">
        <f t="shared" ca="1" si="48"/>
        <v>0</v>
      </c>
      <c r="Z415" s="134">
        <f t="shared" ca="1" si="54"/>
        <v>0</v>
      </c>
      <c r="AA415" s="134">
        <f t="shared" ca="1" si="55"/>
        <v>0</v>
      </c>
    </row>
    <row r="416" spans="2:27" x14ac:dyDescent="0.3">
      <c r="B416" s="21" t="str">
        <f ca="1">IF(B415="","",IF(EOMONTH(B415,1)&gt;EOMONTH(ELEGIBILIDADE!$E$5,0),"",EOMONTH(B415,1)))</f>
        <v/>
      </c>
      <c r="C416" s="22" t="str">
        <f ca="1">IF(B416="","",IF(MONTH(B416)=1,C415*(1+PREMISSAS!$C$58),C415))</f>
        <v/>
      </c>
      <c r="D416" s="22">
        <f ca="1">IF(RESULTADOS!$C$17="Normal",IFERROR(MAX(C416-PREMISSAS!$C$14,0),0),IF(PREMISSAS!$H$117=0,0,MAX(10*PREMISSAS!$C$39,RESULTADOS!$F$17)))</f>
        <v>0</v>
      </c>
      <c r="E416" s="4">
        <f ca="1">D416*IF(RESULTADOS!$C$17="Normal",RESULTADOS!$C$16,0)</f>
        <v>0</v>
      </c>
      <c r="F416" s="4">
        <f ca="1">IF(D416&lt;&gt;0,PREMISSAS!$N$83,0)</f>
        <v>0</v>
      </c>
      <c r="G416" s="4">
        <f ca="1">IFERROR(IF(RESULTADOS!$C$17="Normal",0,D416)*IF(RESULTADOS!$C$17="Normal",RESULTADOS!$C$18,RESULTADOS!$C$16),0)</f>
        <v>0</v>
      </c>
      <c r="H416" s="4">
        <f ca="1">IF(RESULTADOS!$C$17="Normal",E416,0)</f>
        <v>0</v>
      </c>
      <c r="I416" s="4">
        <f ca="1">(E416+H416+G416)*IFERROR(VLOOKUP(INT(COUNT($B$5:B416)/12),PREMISSAS!$B$62:$C$69,2,FALSE),PREMISSAS!$C$69)</f>
        <v>0</v>
      </c>
      <c r="J416" s="4">
        <f ca="1">D416*IF(RESULTADOS!$C$17="Normal",PREMISSAS!$C$71,0)</f>
        <v>0</v>
      </c>
      <c r="K416" s="87">
        <f ca="1">IFERROR(K415*(1+PREMISSAS!$C$19)+(E416+H416-IF(RESULTADOS!$C$17="Normal",I416,0)-J416)*IF(MONTH(B416)=12,2,1),0)</f>
        <v>0</v>
      </c>
      <c r="L416" s="87">
        <f ca="1">IFERROR((L415+G416-IF(RESULTADOS!$C$17="Normal",0,I416))*(1+PREMISSAS!$C$19)+F416,0)</f>
        <v>0</v>
      </c>
      <c r="N416" s="58">
        <f t="shared" ca="1" si="49"/>
        <v>0</v>
      </c>
      <c r="P416" s="131" t="str">
        <f t="shared" ca="1" si="50"/>
        <v/>
      </c>
      <c r="Q416" s="111" t="str">
        <f ca="1">IF(C416="","",Q415+(E416+H416-IF(RESULTADOS!$C$17="Normal",I416,0)-J416)/2+(F416+G416-IF(RESULTADOS!$C$17="Normal",0,I416)))</f>
        <v/>
      </c>
      <c r="R416" s="111" t="str">
        <f ca="1">IF(C416="","",R415+(E416+H416-IF(RESULTADOS!$C$17="Normal",I416,0)-J416)/2)</f>
        <v/>
      </c>
      <c r="S416" s="111">
        <f t="shared" ca="1" si="52"/>
        <v>0</v>
      </c>
      <c r="U416" s="131" t="str">
        <f t="shared" ca="1" si="53"/>
        <v/>
      </c>
      <c r="V416" s="131" t="str">
        <f t="shared" ca="1" si="51"/>
        <v/>
      </c>
      <c r="W416" s="111">
        <f ca="1">IF(OR((W415-13/12*Z415)*(1+PREMISSAS!$C$17)&lt;0,W415=""),0,(W415-13/12*Z415)*(1+PREMISSAS!$C$17))</f>
        <v>0</v>
      </c>
      <c r="X416" s="111">
        <f ca="1">IF(OR((X415-13/12*AA415)*(1+PREMISSAS!$C$17)&lt;0,X415=""),0,(X415-13/12*AA415)*(1+PREMISSAS!$C$17))</f>
        <v>0</v>
      </c>
      <c r="Y416" s="111">
        <f t="shared" ca="1" si="48"/>
        <v>0</v>
      </c>
      <c r="Z416" s="134">
        <f t="shared" ca="1" si="54"/>
        <v>0</v>
      </c>
      <c r="AA416" s="134">
        <f t="shared" ca="1" si="55"/>
        <v>0</v>
      </c>
    </row>
    <row r="417" spans="2:27" x14ac:dyDescent="0.3">
      <c r="B417" s="21" t="str">
        <f ca="1">IF(B416="","",IF(EOMONTH(B416,1)&gt;EOMONTH(ELEGIBILIDADE!$E$5,0),"",EOMONTH(B416,1)))</f>
        <v/>
      </c>
      <c r="C417" s="22" t="str">
        <f ca="1">IF(B417="","",IF(MONTH(B417)=1,C416*(1+PREMISSAS!$C$58),C416))</f>
        <v/>
      </c>
      <c r="D417" s="22">
        <f ca="1">IF(RESULTADOS!$C$17="Normal",IFERROR(MAX(C417-PREMISSAS!$C$14,0),0),IF(PREMISSAS!$H$117=0,0,MAX(10*PREMISSAS!$C$39,RESULTADOS!$F$17)))</f>
        <v>0</v>
      </c>
      <c r="E417" s="4">
        <f ca="1">D417*IF(RESULTADOS!$C$17="Normal",RESULTADOS!$C$16,0)</f>
        <v>0</v>
      </c>
      <c r="F417" s="4">
        <f ca="1">IF(D417&lt;&gt;0,PREMISSAS!$N$83,0)</f>
        <v>0</v>
      </c>
      <c r="G417" s="4">
        <f ca="1">IFERROR(IF(RESULTADOS!$C$17="Normal",0,D417)*IF(RESULTADOS!$C$17="Normal",RESULTADOS!$C$18,RESULTADOS!$C$16),0)</f>
        <v>0</v>
      </c>
      <c r="H417" s="4">
        <f ca="1">IF(RESULTADOS!$C$17="Normal",E417,0)</f>
        <v>0</v>
      </c>
      <c r="I417" s="4">
        <f ca="1">(E417+H417+G417)*IFERROR(VLOOKUP(INT(COUNT($B$5:B417)/12),PREMISSAS!$B$62:$C$69,2,FALSE),PREMISSAS!$C$69)</f>
        <v>0</v>
      </c>
      <c r="J417" s="4">
        <f ca="1">D417*IF(RESULTADOS!$C$17="Normal",PREMISSAS!$C$71,0)</f>
        <v>0</v>
      </c>
      <c r="K417" s="87">
        <f ca="1">IFERROR(K416*(1+PREMISSAS!$C$19)+(E417+H417-IF(RESULTADOS!$C$17="Normal",I417,0)-J417)*IF(MONTH(B417)=12,2,1),0)</f>
        <v>0</v>
      </c>
      <c r="L417" s="87">
        <f ca="1">IFERROR((L416+G417-IF(RESULTADOS!$C$17="Normal",0,I417))*(1+PREMISSAS!$C$19)+F417,0)</f>
        <v>0</v>
      </c>
      <c r="N417" s="58">
        <f t="shared" ca="1" si="49"/>
        <v>0</v>
      </c>
      <c r="P417" s="131" t="str">
        <f t="shared" ca="1" si="50"/>
        <v/>
      </c>
      <c r="Q417" s="111" t="str">
        <f ca="1">IF(C417="","",Q416+(E417+H417-IF(RESULTADOS!$C$17="Normal",I417,0)-J417)/2+(F417+G417-IF(RESULTADOS!$C$17="Normal",0,I417)))</f>
        <v/>
      </c>
      <c r="R417" s="111" t="str">
        <f ca="1">IF(C417="","",R416+(E417+H417-IF(RESULTADOS!$C$17="Normal",I417,0)-J417)/2)</f>
        <v/>
      </c>
      <c r="S417" s="111">
        <f t="shared" ca="1" si="52"/>
        <v>0</v>
      </c>
      <c r="U417" s="131" t="str">
        <f t="shared" ca="1" si="53"/>
        <v/>
      </c>
      <c r="V417" s="131" t="str">
        <f t="shared" ca="1" si="51"/>
        <v/>
      </c>
      <c r="W417" s="111">
        <f ca="1">IF(OR((W416-13/12*Z416)*(1+PREMISSAS!$C$17)&lt;0,W416=""),0,(W416-13/12*Z416)*(1+PREMISSAS!$C$17))</f>
        <v>0</v>
      </c>
      <c r="X417" s="111">
        <f ca="1">IF(OR((X416-13/12*AA416)*(1+PREMISSAS!$C$17)&lt;0,X416=""),0,(X416-13/12*AA416)*(1+PREMISSAS!$C$17))</f>
        <v>0</v>
      </c>
      <c r="Y417" s="111">
        <f t="shared" ca="1" si="48"/>
        <v>0</v>
      </c>
      <c r="Z417" s="134">
        <f t="shared" ca="1" si="54"/>
        <v>0</v>
      </c>
      <c r="AA417" s="134">
        <f t="shared" ca="1" si="55"/>
        <v>0</v>
      </c>
    </row>
    <row r="418" spans="2:27" x14ac:dyDescent="0.3">
      <c r="B418" s="21" t="str">
        <f ca="1">IF(B417="","",IF(EOMONTH(B417,1)&gt;EOMONTH(ELEGIBILIDADE!$E$5,0),"",EOMONTH(B417,1)))</f>
        <v/>
      </c>
      <c r="C418" s="22" t="str">
        <f ca="1">IF(B418="","",IF(MONTH(B418)=1,C417*(1+PREMISSAS!$C$58),C417))</f>
        <v/>
      </c>
      <c r="D418" s="22">
        <f ca="1">IF(RESULTADOS!$C$17="Normal",IFERROR(MAX(C418-PREMISSAS!$C$14,0),0),IF(PREMISSAS!$H$117=0,0,MAX(10*PREMISSAS!$C$39,RESULTADOS!$F$17)))</f>
        <v>0</v>
      </c>
      <c r="E418" s="4">
        <f ca="1">D418*IF(RESULTADOS!$C$17="Normal",RESULTADOS!$C$16,0)</f>
        <v>0</v>
      </c>
      <c r="F418" s="4">
        <f ca="1">IF(D418&lt;&gt;0,PREMISSAS!$N$83,0)</f>
        <v>0</v>
      </c>
      <c r="G418" s="4">
        <f ca="1">IFERROR(IF(RESULTADOS!$C$17="Normal",0,D418)*IF(RESULTADOS!$C$17="Normal",RESULTADOS!$C$18,RESULTADOS!$C$16),0)</f>
        <v>0</v>
      </c>
      <c r="H418" s="4">
        <f ca="1">IF(RESULTADOS!$C$17="Normal",E418,0)</f>
        <v>0</v>
      </c>
      <c r="I418" s="4">
        <f ca="1">(E418+H418+G418)*IFERROR(VLOOKUP(INT(COUNT($B$5:B418)/12),PREMISSAS!$B$62:$C$69,2,FALSE),PREMISSAS!$C$69)</f>
        <v>0</v>
      </c>
      <c r="J418" s="4">
        <f ca="1">D418*IF(RESULTADOS!$C$17="Normal",PREMISSAS!$C$71,0)</f>
        <v>0</v>
      </c>
      <c r="K418" s="87">
        <f ca="1">IFERROR(K417*(1+PREMISSAS!$C$19)+(E418+H418-IF(RESULTADOS!$C$17="Normal",I418,0)-J418)*IF(MONTH(B418)=12,2,1),0)</f>
        <v>0</v>
      </c>
      <c r="L418" s="87">
        <f ca="1">IFERROR((L417+G418-IF(RESULTADOS!$C$17="Normal",0,I418))*(1+PREMISSAS!$C$19)+F418,0)</f>
        <v>0</v>
      </c>
      <c r="N418" s="58">
        <f t="shared" ca="1" si="49"/>
        <v>0</v>
      </c>
      <c r="P418" s="131" t="str">
        <f t="shared" ca="1" si="50"/>
        <v/>
      </c>
      <c r="Q418" s="111" t="str">
        <f ca="1">IF(C418="","",Q417+(E418+H418-IF(RESULTADOS!$C$17="Normal",I418,0)-J418)/2+(F418+G418-IF(RESULTADOS!$C$17="Normal",0,I418)))</f>
        <v/>
      </c>
      <c r="R418" s="111" t="str">
        <f ca="1">IF(C418="","",R417+(E418+H418-IF(RESULTADOS!$C$17="Normal",I418,0)-J418)/2)</f>
        <v/>
      </c>
      <c r="S418" s="111">
        <f t="shared" ca="1" si="52"/>
        <v>0</v>
      </c>
      <c r="U418" s="131" t="str">
        <f t="shared" ca="1" si="53"/>
        <v/>
      </c>
      <c r="V418" s="131" t="str">
        <f t="shared" ca="1" si="51"/>
        <v/>
      </c>
      <c r="W418" s="111">
        <f ca="1">IF(OR((W417-13/12*Z417)*(1+PREMISSAS!$C$17)&lt;0,W417=""),0,(W417-13/12*Z417)*(1+PREMISSAS!$C$17))</f>
        <v>0</v>
      </c>
      <c r="X418" s="111">
        <f ca="1">IF(OR((X417-13/12*AA417)*(1+PREMISSAS!$C$17)&lt;0,X417=""),0,(X417-13/12*AA417)*(1+PREMISSAS!$C$17))</f>
        <v>0</v>
      </c>
      <c r="Y418" s="111">
        <f t="shared" ca="1" si="48"/>
        <v>0</v>
      </c>
      <c r="Z418" s="134">
        <f t="shared" ca="1" si="54"/>
        <v>0</v>
      </c>
      <c r="AA418" s="134">
        <f t="shared" ca="1" si="55"/>
        <v>0</v>
      </c>
    </row>
    <row r="419" spans="2:27" x14ac:dyDescent="0.3">
      <c r="B419" s="21" t="str">
        <f ca="1">IF(B418="","",IF(EOMONTH(B418,1)&gt;EOMONTH(ELEGIBILIDADE!$E$5,0),"",EOMONTH(B418,1)))</f>
        <v/>
      </c>
      <c r="C419" s="22" t="str">
        <f ca="1">IF(B419="","",IF(MONTH(B419)=1,C418*(1+PREMISSAS!$C$58),C418))</f>
        <v/>
      </c>
      <c r="D419" s="22">
        <f ca="1">IF(RESULTADOS!$C$17="Normal",IFERROR(MAX(C419-PREMISSAS!$C$14,0),0),IF(PREMISSAS!$H$117=0,0,MAX(10*PREMISSAS!$C$39,RESULTADOS!$F$17)))</f>
        <v>0</v>
      </c>
      <c r="E419" s="4">
        <f ca="1">D419*IF(RESULTADOS!$C$17="Normal",RESULTADOS!$C$16,0)</f>
        <v>0</v>
      </c>
      <c r="F419" s="4">
        <f ca="1">IF(D419&lt;&gt;0,PREMISSAS!$N$83,0)</f>
        <v>0</v>
      </c>
      <c r="G419" s="4">
        <f ca="1">IFERROR(IF(RESULTADOS!$C$17="Normal",0,D419)*IF(RESULTADOS!$C$17="Normal",RESULTADOS!$C$18,RESULTADOS!$C$16),0)</f>
        <v>0</v>
      </c>
      <c r="H419" s="4">
        <f ca="1">IF(RESULTADOS!$C$17="Normal",E419,0)</f>
        <v>0</v>
      </c>
      <c r="I419" s="4">
        <f ca="1">(E419+H419+G419)*IFERROR(VLOOKUP(INT(COUNT($B$5:B419)/12),PREMISSAS!$B$62:$C$69,2,FALSE),PREMISSAS!$C$69)</f>
        <v>0</v>
      </c>
      <c r="J419" s="4">
        <f ca="1">D419*IF(RESULTADOS!$C$17="Normal",PREMISSAS!$C$71,0)</f>
        <v>0</v>
      </c>
      <c r="K419" s="87">
        <f ca="1">IFERROR(K418*(1+PREMISSAS!$C$19)+(E419+H419-IF(RESULTADOS!$C$17="Normal",I419,0)-J419)*IF(MONTH(B419)=12,2,1),0)</f>
        <v>0</v>
      </c>
      <c r="L419" s="87">
        <f ca="1">IFERROR((L418+G419-IF(RESULTADOS!$C$17="Normal",0,I419))*(1+PREMISSAS!$C$19)+F419,0)</f>
        <v>0</v>
      </c>
      <c r="N419" s="58">
        <f t="shared" ca="1" si="49"/>
        <v>0</v>
      </c>
      <c r="P419" s="131" t="str">
        <f t="shared" ca="1" si="50"/>
        <v/>
      </c>
      <c r="Q419" s="111" t="str">
        <f ca="1">IF(C419="","",Q418+(E419+H419-IF(RESULTADOS!$C$17="Normal",I419,0)-J419)/2+(F419+G419-IF(RESULTADOS!$C$17="Normal",0,I419)))</f>
        <v/>
      </c>
      <c r="R419" s="111" t="str">
        <f ca="1">IF(C419="","",R418+(E419+H419-IF(RESULTADOS!$C$17="Normal",I419,0)-J419)/2)</f>
        <v/>
      </c>
      <c r="S419" s="111">
        <f t="shared" ca="1" si="52"/>
        <v>0</v>
      </c>
      <c r="U419" s="131" t="str">
        <f t="shared" ca="1" si="53"/>
        <v/>
      </c>
      <c r="V419" s="131" t="str">
        <f t="shared" ca="1" si="51"/>
        <v/>
      </c>
      <c r="W419" s="111">
        <f ca="1">IF(OR((W418-13/12*Z418)*(1+PREMISSAS!$C$17)&lt;0,W418=""),0,(W418-13/12*Z418)*(1+PREMISSAS!$C$17))</f>
        <v>0</v>
      </c>
      <c r="X419" s="111">
        <f ca="1">IF(OR((X418-13/12*AA418)*(1+PREMISSAS!$C$17)&lt;0,X418=""),0,(X418-13/12*AA418)*(1+PREMISSAS!$C$17))</f>
        <v>0</v>
      </c>
      <c r="Y419" s="111">
        <f t="shared" ca="1" si="48"/>
        <v>0</v>
      </c>
      <c r="Z419" s="134">
        <f t="shared" ca="1" si="54"/>
        <v>0</v>
      </c>
      <c r="AA419" s="134">
        <f t="shared" ca="1" si="55"/>
        <v>0</v>
      </c>
    </row>
    <row r="420" spans="2:27" x14ac:dyDescent="0.3">
      <c r="B420" s="21" t="str">
        <f ca="1">IF(B419="","",IF(EOMONTH(B419,1)&gt;EOMONTH(ELEGIBILIDADE!$E$5,0),"",EOMONTH(B419,1)))</f>
        <v/>
      </c>
      <c r="C420" s="22" t="str">
        <f ca="1">IF(B420="","",IF(MONTH(B420)=1,C419*(1+PREMISSAS!$C$58),C419))</f>
        <v/>
      </c>
      <c r="D420" s="22">
        <f ca="1">IF(RESULTADOS!$C$17="Normal",IFERROR(MAX(C420-PREMISSAS!$C$14,0),0),IF(PREMISSAS!$H$117=0,0,MAX(10*PREMISSAS!$C$39,RESULTADOS!$F$17)))</f>
        <v>0</v>
      </c>
      <c r="E420" s="4">
        <f ca="1">D420*IF(RESULTADOS!$C$17="Normal",RESULTADOS!$C$16,0)</f>
        <v>0</v>
      </c>
      <c r="F420" s="4">
        <f ca="1">IF(D420&lt;&gt;0,PREMISSAS!$N$83,0)</f>
        <v>0</v>
      </c>
      <c r="G420" s="4">
        <f ca="1">IFERROR(IF(RESULTADOS!$C$17="Normal",0,D420)*IF(RESULTADOS!$C$17="Normal",RESULTADOS!$C$18,RESULTADOS!$C$16),0)</f>
        <v>0</v>
      </c>
      <c r="H420" s="4">
        <f ca="1">IF(RESULTADOS!$C$17="Normal",E420,0)</f>
        <v>0</v>
      </c>
      <c r="I420" s="4">
        <f ca="1">(E420+H420+G420)*IFERROR(VLOOKUP(INT(COUNT($B$5:B420)/12),PREMISSAS!$B$62:$C$69,2,FALSE),PREMISSAS!$C$69)</f>
        <v>0</v>
      </c>
      <c r="J420" s="4">
        <f ca="1">D420*IF(RESULTADOS!$C$17="Normal",PREMISSAS!$C$71,0)</f>
        <v>0</v>
      </c>
      <c r="K420" s="87">
        <f ca="1">IFERROR(K419*(1+PREMISSAS!$C$19)+(E420+H420-IF(RESULTADOS!$C$17="Normal",I420,0)-J420)*IF(MONTH(B420)=12,2,1),0)</f>
        <v>0</v>
      </c>
      <c r="L420" s="87">
        <f ca="1">IFERROR((L419+G420-IF(RESULTADOS!$C$17="Normal",0,I420))*(1+PREMISSAS!$C$19)+F420,0)</f>
        <v>0</v>
      </c>
      <c r="N420" s="58">
        <f t="shared" ca="1" si="49"/>
        <v>0</v>
      </c>
      <c r="P420" s="131" t="str">
        <f t="shared" ca="1" si="50"/>
        <v/>
      </c>
      <c r="Q420" s="111" t="str">
        <f ca="1">IF(C420="","",Q419+(E420+H420-IF(RESULTADOS!$C$17="Normal",I420,0)-J420)/2+(F420+G420-IF(RESULTADOS!$C$17="Normal",0,I420)))</f>
        <v/>
      </c>
      <c r="R420" s="111" t="str">
        <f ca="1">IF(C420="","",R419+(E420+H420-IF(RESULTADOS!$C$17="Normal",I420,0)-J420)/2)</f>
        <v/>
      </c>
      <c r="S420" s="111">
        <f t="shared" ca="1" si="52"/>
        <v>0</v>
      </c>
      <c r="U420" s="131" t="str">
        <f t="shared" ca="1" si="53"/>
        <v/>
      </c>
      <c r="V420" s="131" t="str">
        <f t="shared" ca="1" si="51"/>
        <v/>
      </c>
      <c r="W420" s="111">
        <f ca="1">IF(OR((W419-13/12*Z419)*(1+PREMISSAS!$C$17)&lt;0,W419=""),0,(W419-13/12*Z419)*(1+PREMISSAS!$C$17))</f>
        <v>0</v>
      </c>
      <c r="X420" s="111">
        <f ca="1">IF(OR((X419-13/12*AA419)*(1+PREMISSAS!$C$17)&lt;0,X419=""),0,(X419-13/12*AA419)*(1+PREMISSAS!$C$17))</f>
        <v>0</v>
      </c>
      <c r="Y420" s="111">
        <f t="shared" ca="1" si="48"/>
        <v>0</v>
      </c>
      <c r="Z420" s="134">
        <f t="shared" ca="1" si="54"/>
        <v>0</v>
      </c>
      <c r="AA420" s="134">
        <f t="shared" ca="1" si="55"/>
        <v>0</v>
      </c>
    </row>
    <row r="421" spans="2:27" x14ac:dyDescent="0.3">
      <c r="B421" s="21" t="str">
        <f ca="1">IF(B420="","",IF(EOMONTH(B420,1)&gt;EOMONTH(ELEGIBILIDADE!$E$5,0),"",EOMONTH(B420,1)))</f>
        <v/>
      </c>
      <c r="C421" s="22" t="str">
        <f ca="1">IF(B421="","",IF(MONTH(B421)=1,C420*(1+PREMISSAS!$C$58),C420))</f>
        <v/>
      </c>
      <c r="D421" s="22">
        <f ca="1">IF(RESULTADOS!$C$17="Normal",IFERROR(MAX(C421-PREMISSAS!$C$14,0),0),IF(PREMISSAS!$H$117=0,0,MAX(10*PREMISSAS!$C$39,RESULTADOS!$F$17)))</f>
        <v>0</v>
      </c>
      <c r="E421" s="4">
        <f ca="1">D421*IF(RESULTADOS!$C$17="Normal",RESULTADOS!$C$16,0)</f>
        <v>0</v>
      </c>
      <c r="F421" s="4">
        <f ca="1">IF(D421&lt;&gt;0,PREMISSAS!$N$83,0)</f>
        <v>0</v>
      </c>
      <c r="G421" s="4">
        <f ca="1">IFERROR(IF(RESULTADOS!$C$17="Normal",0,D421)*IF(RESULTADOS!$C$17="Normal",RESULTADOS!$C$18,RESULTADOS!$C$16),0)</f>
        <v>0</v>
      </c>
      <c r="H421" s="4">
        <f ca="1">IF(RESULTADOS!$C$17="Normal",E421,0)</f>
        <v>0</v>
      </c>
      <c r="I421" s="4">
        <f ca="1">(E421+H421+G421)*IFERROR(VLOOKUP(INT(COUNT($B$5:B421)/12),PREMISSAS!$B$62:$C$69,2,FALSE),PREMISSAS!$C$69)</f>
        <v>0</v>
      </c>
      <c r="J421" s="4">
        <f ca="1">D421*IF(RESULTADOS!$C$17="Normal",PREMISSAS!$C$71,0)</f>
        <v>0</v>
      </c>
      <c r="K421" s="87">
        <f ca="1">IFERROR(K420*(1+PREMISSAS!$C$19)+(E421+H421-IF(RESULTADOS!$C$17="Normal",I421,0)-J421)*IF(MONTH(B421)=12,2,1),0)</f>
        <v>0</v>
      </c>
      <c r="L421" s="87">
        <f ca="1">IFERROR((L420+G421-IF(RESULTADOS!$C$17="Normal",0,I421))*(1+PREMISSAS!$C$19)+F421,0)</f>
        <v>0</v>
      </c>
      <c r="N421" s="58">
        <f t="shared" ca="1" si="49"/>
        <v>0</v>
      </c>
      <c r="P421" s="131" t="str">
        <f t="shared" ca="1" si="50"/>
        <v/>
      </c>
      <c r="Q421" s="111" t="str">
        <f ca="1">IF(C421="","",Q420+(E421+H421-IF(RESULTADOS!$C$17="Normal",I421,0)-J421)/2+(F421+G421-IF(RESULTADOS!$C$17="Normal",0,I421)))</f>
        <v/>
      </c>
      <c r="R421" s="111" t="str">
        <f ca="1">IF(C421="","",R420+(E421+H421-IF(RESULTADOS!$C$17="Normal",I421,0)-J421)/2)</f>
        <v/>
      </c>
      <c r="S421" s="111">
        <f t="shared" ca="1" si="52"/>
        <v>0</v>
      </c>
      <c r="U421" s="131" t="str">
        <f t="shared" ca="1" si="53"/>
        <v/>
      </c>
      <c r="V421" s="131" t="str">
        <f t="shared" ca="1" si="51"/>
        <v/>
      </c>
      <c r="W421" s="111">
        <f ca="1">IF(OR((W420-13/12*Z420)*(1+PREMISSAS!$C$17)&lt;0,W420=""),0,(W420-13/12*Z420)*(1+PREMISSAS!$C$17))</f>
        <v>0</v>
      </c>
      <c r="X421" s="111">
        <f ca="1">IF(OR((X420-13/12*AA420)*(1+PREMISSAS!$C$17)&lt;0,X420=""),0,(X420-13/12*AA420)*(1+PREMISSAS!$C$17))</f>
        <v>0</v>
      </c>
      <c r="Y421" s="111">
        <f t="shared" ca="1" si="48"/>
        <v>0</v>
      </c>
      <c r="Z421" s="134">
        <f t="shared" ca="1" si="54"/>
        <v>0</v>
      </c>
      <c r="AA421" s="134">
        <f t="shared" ca="1" si="55"/>
        <v>0</v>
      </c>
    </row>
    <row r="422" spans="2:27" x14ac:dyDescent="0.3">
      <c r="B422" s="21" t="str">
        <f ca="1">IF(B421="","",IF(EOMONTH(B421,1)&gt;EOMONTH(ELEGIBILIDADE!$E$5,0),"",EOMONTH(B421,1)))</f>
        <v/>
      </c>
      <c r="C422" s="22" t="str">
        <f ca="1">IF(B422="","",IF(MONTH(B422)=1,C421*(1+PREMISSAS!$C$58),C421))</f>
        <v/>
      </c>
      <c r="D422" s="22">
        <f ca="1">IF(RESULTADOS!$C$17="Normal",IFERROR(MAX(C422-PREMISSAS!$C$14,0),0),IF(PREMISSAS!$H$117=0,0,MAX(10*PREMISSAS!$C$39,RESULTADOS!$F$17)))</f>
        <v>0</v>
      </c>
      <c r="E422" s="4">
        <f ca="1">D422*IF(RESULTADOS!$C$17="Normal",RESULTADOS!$C$16,0)</f>
        <v>0</v>
      </c>
      <c r="F422" s="4">
        <f ca="1">IF(D422&lt;&gt;0,PREMISSAS!$N$83,0)</f>
        <v>0</v>
      </c>
      <c r="G422" s="4">
        <f ca="1">IFERROR(IF(RESULTADOS!$C$17="Normal",0,D422)*IF(RESULTADOS!$C$17="Normal",RESULTADOS!$C$18,RESULTADOS!$C$16),0)</f>
        <v>0</v>
      </c>
      <c r="H422" s="4">
        <f ca="1">IF(RESULTADOS!$C$17="Normal",E422,0)</f>
        <v>0</v>
      </c>
      <c r="I422" s="4">
        <f ca="1">(E422+H422+G422)*IFERROR(VLOOKUP(INT(COUNT($B$5:B422)/12),PREMISSAS!$B$62:$C$69,2,FALSE),PREMISSAS!$C$69)</f>
        <v>0</v>
      </c>
      <c r="J422" s="4">
        <f ca="1">D422*IF(RESULTADOS!$C$17="Normal",PREMISSAS!$C$71,0)</f>
        <v>0</v>
      </c>
      <c r="K422" s="87">
        <f ca="1">IFERROR(K421*(1+PREMISSAS!$C$19)+(E422+H422-IF(RESULTADOS!$C$17="Normal",I422,0)-J422)*IF(MONTH(B422)=12,2,1),0)</f>
        <v>0</v>
      </c>
      <c r="L422" s="87">
        <f ca="1">IFERROR((L421+G422-IF(RESULTADOS!$C$17="Normal",0,I422))*(1+PREMISSAS!$C$19)+F422,0)</f>
        <v>0</v>
      </c>
      <c r="N422" s="58">
        <f t="shared" ca="1" si="49"/>
        <v>0</v>
      </c>
      <c r="P422" s="131" t="str">
        <f t="shared" ca="1" si="50"/>
        <v/>
      </c>
      <c r="Q422" s="111" t="str">
        <f ca="1">IF(C422="","",Q421+(E422+H422-IF(RESULTADOS!$C$17="Normal",I422,0)-J422)/2+(F422+G422-IF(RESULTADOS!$C$17="Normal",0,I422)))</f>
        <v/>
      </c>
      <c r="R422" s="111" t="str">
        <f ca="1">IF(C422="","",R421+(E422+H422-IF(RESULTADOS!$C$17="Normal",I422,0)-J422)/2)</f>
        <v/>
      </c>
      <c r="S422" s="111">
        <f t="shared" ca="1" si="52"/>
        <v>0</v>
      </c>
      <c r="U422" s="131" t="str">
        <f t="shared" ca="1" si="53"/>
        <v/>
      </c>
      <c r="V422" s="131" t="str">
        <f t="shared" ca="1" si="51"/>
        <v/>
      </c>
      <c r="W422" s="111">
        <f ca="1">IF(OR((W421-13/12*Z421)*(1+PREMISSAS!$C$17)&lt;0,W421=""),0,(W421-13/12*Z421)*(1+PREMISSAS!$C$17))</f>
        <v>0</v>
      </c>
      <c r="X422" s="111">
        <f ca="1">IF(OR((X421-13/12*AA421)*(1+PREMISSAS!$C$17)&lt;0,X421=""),0,(X421-13/12*AA421)*(1+PREMISSAS!$C$17))</f>
        <v>0</v>
      </c>
      <c r="Y422" s="111">
        <f t="shared" ca="1" si="48"/>
        <v>0</v>
      </c>
      <c r="Z422" s="134">
        <f t="shared" ca="1" si="54"/>
        <v>0</v>
      </c>
      <c r="AA422" s="134">
        <f t="shared" ca="1" si="55"/>
        <v>0</v>
      </c>
    </row>
    <row r="423" spans="2:27" x14ac:dyDescent="0.3">
      <c r="B423" s="21" t="str">
        <f ca="1">IF(B422="","",IF(EOMONTH(B422,1)&gt;EOMONTH(ELEGIBILIDADE!$E$5,0),"",EOMONTH(B422,1)))</f>
        <v/>
      </c>
      <c r="C423" s="22" t="str">
        <f ca="1">IF(B423="","",IF(MONTH(B423)=1,C422*(1+PREMISSAS!$C$58),C422))</f>
        <v/>
      </c>
      <c r="D423" s="22">
        <f ca="1">IF(RESULTADOS!$C$17="Normal",IFERROR(MAX(C423-PREMISSAS!$C$14,0),0),IF(PREMISSAS!$H$117=0,0,MAX(10*PREMISSAS!$C$39,RESULTADOS!$F$17)))</f>
        <v>0</v>
      </c>
      <c r="E423" s="4">
        <f ca="1">D423*IF(RESULTADOS!$C$17="Normal",RESULTADOS!$C$16,0)</f>
        <v>0</v>
      </c>
      <c r="F423" s="4">
        <f ca="1">IF(D423&lt;&gt;0,PREMISSAS!$N$83,0)</f>
        <v>0</v>
      </c>
      <c r="G423" s="4">
        <f ca="1">IFERROR(IF(RESULTADOS!$C$17="Normal",0,D423)*IF(RESULTADOS!$C$17="Normal",RESULTADOS!$C$18,RESULTADOS!$C$16),0)</f>
        <v>0</v>
      </c>
      <c r="H423" s="4">
        <f ca="1">IF(RESULTADOS!$C$17="Normal",E423,0)</f>
        <v>0</v>
      </c>
      <c r="I423" s="4">
        <f ca="1">(E423+H423+G423)*IFERROR(VLOOKUP(INT(COUNT($B$5:B423)/12),PREMISSAS!$B$62:$C$69,2,FALSE),PREMISSAS!$C$69)</f>
        <v>0</v>
      </c>
      <c r="J423" s="4">
        <f ca="1">D423*IF(RESULTADOS!$C$17="Normal",PREMISSAS!$C$71,0)</f>
        <v>0</v>
      </c>
      <c r="K423" s="87">
        <f ca="1">IFERROR(K422*(1+PREMISSAS!$C$19)+(E423+H423-IF(RESULTADOS!$C$17="Normal",I423,0)-J423)*IF(MONTH(B423)=12,2,1),0)</f>
        <v>0</v>
      </c>
      <c r="L423" s="87">
        <f ca="1">IFERROR((L422+G423-IF(RESULTADOS!$C$17="Normal",0,I423))*(1+PREMISSAS!$C$19)+F423,0)</f>
        <v>0</v>
      </c>
      <c r="N423" s="58">
        <f t="shared" ca="1" si="49"/>
        <v>0</v>
      </c>
      <c r="P423" s="131" t="str">
        <f t="shared" ca="1" si="50"/>
        <v/>
      </c>
      <c r="Q423" s="111" t="str">
        <f ca="1">IF(C423="","",Q422+(E423+H423-IF(RESULTADOS!$C$17="Normal",I423,0)-J423)/2+(F423+G423-IF(RESULTADOS!$C$17="Normal",0,I423)))</f>
        <v/>
      </c>
      <c r="R423" s="111" t="str">
        <f ca="1">IF(C423="","",R422+(E423+H423-IF(RESULTADOS!$C$17="Normal",I423,0)-J423)/2)</f>
        <v/>
      </c>
      <c r="S423" s="111">
        <f t="shared" ca="1" si="52"/>
        <v>0</v>
      </c>
      <c r="U423" s="131" t="str">
        <f t="shared" ca="1" si="53"/>
        <v/>
      </c>
      <c r="V423" s="131" t="str">
        <f t="shared" ca="1" si="51"/>
        <v/>
      </c>
      <c r="W423" s="111">
        <f ca="1">IF(OR((W422-13/12*Z422)*(1+PREMISSAS!$C$17)&lt;0,W422=""),0,(W422-13/12*Z422)*(1+PREMISSAS!$C$17))</f>
        <v>0</v>
      </c>
      <c r="X423" s="111">
        <f ca="1">IF(OR((X422-13/12*AA422)*(1+PREMISSAS!$C$17)&lt;0,X422=""),0,(X422-13/12*AA422)*(1+PREMISSAS!$C$17))</f>
        <v>0</v>
      </c>
      <c r="Y423" s="111">
        <f t="shared" ca="1" si="48"/>
        <v>0</v>
      </c>
      <c r="Z423" s="134">
        <f t="shared" ca="1" si="54"/>
        <v>0</v>
      </c>
      <c r="AA423" s="134">
        <f t="shared" ca="1" si="55"/>
        <v>0</v>
      </c>
    </row>
    <row r="424" spans="2:27" x14ac:dyDescent="0.3">
      <c r="B424" s="21" t="str">
        <f ca="1">IF(B423="","",IF(EOMONTH(B423,1)&gt;EOMONTH(ELEGIBILIDADE!$E$5,0),"",EOMONTH(B423,1)))</f>
        <v/>
      </c>
      <c r="C424" s="22" t="str">
        <f ca="1">IF(B424="","",IF(MONTH(B424)=1,C423*(1+PREMISSAS!$C$58),C423))</f>
        <v/>
      </c>
      <c r="D424" s="22">
        <f ca="1">IF(RESULTADOS!$C$17="Normal",IFERROR(MAX(C424-PREMISSAS!$C$14,0),0),IF(PREMISSAS!$H$117=0,0,MAX(10*PREMISSAS!$C$39,RESULTADOS!$F$17)))</f>
        <v>0</v>
      </c>
      <c r="E424" s="4">
        <f ca="1">D424*IF(RESULTADOS!$C$17="Normal",RESULTADOS!$C$16,0)</f>
        <v>0</v>
      </c>
      <c r="F424" s="4">
        <f ca="1">IF(D424&lt;&gt;0,PREMISSAS!$N$83,0)</f>
        <v>0</v>
      </c>
      <c r="G424" s="4">
        <f ca="1">IFERROR(IF(RESULTADOS!$C$17="Normal",0,D424)*IF(RESULTADOS!$C$17="Normal",RESULTADOS!$C$18,RESULTADOS!$C$16),0)</f>
        <v>0</v>
      </c>
      <c r="H424" s="4">
        <f ca="1">IF(RESULTADOS!$C$17="Normal",E424,0)</f>
        <v>0</v>
      </c>
      <c r="I424" s="4">
        <f ca="1">(E424+H424+G424)*IFERROR(VLOOKUP(INT(COUNT($B$5:B424)/12),PREMISSAS!$B$62:$C$69,2,FALSE),PREMISSAS!$C$69)</f>
        <v>0</v>
      </c>
      <c r="J424" s="4">
        <f ca="1">D424*IF(RESULTADOS!$C$17="Normal",PREMISSAS!$C$71,0)</f>
        <v>0</v>
      </c>
      <c r="K424" s="87">
        <f ca="1">IFERROR(K423*(1+PREMISSAS!$C$19)+(E424+H424-IF(RESULTADOS!$C$17="Normal",I424,0)-J424)*IF(MONTH(B424)=12,2,1),0)</f>
        <v>0</v>
      </c>
      <c r="L424" s="87">
        <f ca="1">IFERROR((L423+G424-IF(RESULTADOS!$C$17="Normal",0,I424))*(1+PREMISSAS!$C$19)+F424,0)</f>
        <v>0</v>
      </c>
      <c r="N424" s="58">
        <f t="shared" ca="1" si="49"/>
        <v>0</v>
      </c>
      <c r="P424" s="131" t="str">
        <f t="shared" ca="1" si="50"/>
        <v/>
      </c>
      <c r="Q424" s="111" t="str">
        <f ca="1">IF(C424="","",Q423+(E424+H424-IF(RESULTADOS!$C$17="Normal",I424,0)-J424)/2+(F424+G424-IF(RESULTADOS!$C$17="Normal",0,I424)))</f>
        <v/>
      </c>
      <c r="R424" s="111" t="str">
        <f ca="1">IF(C424="","",R423+(E424+H424-IF(RESULTADOS!$C$17="Normal",I424,0)-J424)/2)</f>
        <v/>
      </c>
      <c r="S424" s="111">
        <f t="shared" ca="1" si="52"/>
        <v>0</v>
      </c>
      <c r="U424" s="131" t="str">
        <f t="shared" ca="1" si="53"/>
        <v/>
      </c>
      <c r="V424" s="131" t="str">
        <f t="shared" ca="1" si="51"/>
        <v/>
      </c>
      <c r="W424" s="111">
        <f ca="1">IF(OR((W423-13/12*Z423)*(1+PREMISSAS!$C$17)&lt;0,W423=""),0,(W423-13/12*Z423)*(1+PREMISSAS!$C$17))</f>
        <v>0</v>
      </c>
      <c r="X424" s="111">
        <f ca="1">IF(OR((X423-13/12*AA423)*(1+PREMISSAS!$C$17)&lt;0,X423=""),0,(X423-13/12*AA423)*(1+PREMISSAS!$C$17))</f>
        <v>0</v>
      </c>
      <c r="Y424" s="111">
        <f t="shared" ca="1" si="48"/>
        <v>0</v>
      </c>
      <c r="Z424" s="134">
        <f t="shared" ca="1" si="54"/>
        <v>0</v>
      </c>
      <c r="AA424" s="134">
        <f t="shared" ca="1" si="55"/>
        <v>0</v>
      </c>
    </row>
    <row r="425" spans="2:27" x14ac:dyDescent="0.3">
      <c r="B425" s="21" t="str">
        <f ca="1">IF(B424="","",IF(EOMONTH(B424,1)&gt;EOMONTH(ELEGIBILIDADE!$E$5,0),"",EOMONTH(B424,1)))</f>
        <v/>
      </c>
      <c r="C425" s="22" t="str">
        <f ca="1">IF(B425="","",IF(MONTH(B425)=1,C424*(1+PREMISSAS!$C$58),C424))</f>
        <v/>
      </c>
      <c r="D425" s="22">
        <f ca="1">IF(RESULTADOS!$C$17="Normal",IFERROR(MAX(C425-PREMISSAS!$C$14,0),0),IF(PREMISSAS!$H$117=0,0,MAX(10*PREMISSAS!$C$39,RESULTADOS!$F$17)))</f>
        <v>0</v>
      </c>
      <c r="E425" s="4">
        <f ca="1">D425*IF(RESULTADOS!$C$17="Normal",RESULTADOS!$C$16,0)</f>
        <v>0</v>
      </c>
      <c r="F425" s="4">
        <f ca="1">IF(D425&lt;&gt;0,PREMISSAS!$N$83,0)</f>
        <v>0</v>
      </c>
      <c r="G425" s="4">
        <f ca="1">IFERROR(IF(RESULTADOS!$C$17="Normal",0,D425)*IF(RESULTADOS!$C$17="Normal",RESULTADOS!$C$18,RESULTADOS!$C$16),0)</f>
        <v>0</v>
      </c>
      <c r="H425" s="4">
        <f ca="1">IF(RESULTADOS!$C$17="Normal",E425,0)</f>
        <v>0</v>
      </c>
      <c r="I425" s="4">
        <f ca="1">(E425+H425+G425)*IFERROR(VLOOKUP(INT(COUNT($B$5:B425)/12),PREMISSAS!$B$62:$C$69,2,FALSE),PREMISSAS!$C$69)</f>
        <v>0</v>
      </c>
      <c r="J425" s="4">
        <f ca="1">D425*IF(RESULTADOS!$C$17="Normal",PREMISSAS!$C$71,0)</f>
        <v>0</v>
      </c>
      <c r="K425" s="87">
        <f ca="1">IFERROR(K424*(1+PREMISSAS!$C$19)+(E425+H425-IF(RESULTADOS!$C$17="Normal",I425,0)-J425)*IF(MONTH(B425)=12,2,1),0)</f>
        <v>0</v>
      </c>
      <c r="L425" s="87">
        <f ca="1">IFERROR((L424+G425-IF(RESULTADOS!$C$17="Normal",0,I425))*(1+PREMISSAS!$C$19)+F425,0)</f>
        <v>0</v>
      </c>
      <c r="N425" s="58">
        <f t="shared" ca="1" si="49"/>
        <v>0</v>
      </c>
      <c r="P425" s="131" t="str">
        <f t="shared" ca="1" si="50"/>
        <v/>
      </c>
      <c r="Q425" s="111" t="str">
        <f ca="1">IF(C425="","",Q424+(E425+H425-IF(RESULTADOS!$C$17="Normal",I425,0)-J425)/2+(F425+G425-IF(RESULTADOS!$C$17="Normal",0,I425)))</f>
        <v/>
      </c>
      <c r="R425" s="111" t="str">
        <f ca="1">IF(C425="","",R424+(E425+H425-IF(RESULTADOS!$C$17="Normal",I425,0)-J425)/2)</f>
        <v/>
      </c>
      <c r="S425" s="111">
        <f t="shared" ca="1" si="52"/>
        <v>0</v>
      </c>
      <c r="U425" s="131" t="str">
        <f t="shared" ca="1" si="53"/>
        <v/>
      </c>
      <c r="V425" s="131" t="str">
        <f t="shared" ca="1" si="51"/>
        <v/>
      </c>
      <c r="W425" s="111">
        <f ca="1">IF(OR((W424-13/12*Z424)*(1+PREMISSAS!$C$17)&lt;0,W424=""),0,(W424-13/12*Z424)*(1+PREMISSAS!$C$17))</f>
        <v>0</v>
      </c>
      <c r="X425" s="111">
        <f ca="1">IF(OR((X424-13/12*AA424)*(1+PREMISSAS!$C$17)&lt;0,X424=""),0,(X424-13/12*AA424)*(1+PREMISSAS!$C$17))</f>
        <v>0</v>
      </c>
      <c r="Y425" s="111">
        <f t="shared" ca="1" si="48"/>
        <v>0</v>
      </c>
      <c r="Z425" s="134">
        <f t="shared" ca="1" si="54"/>
        <v>0</v>
      </c>
      <c r="AA425" s="134">
        <f t="shared" ca="1" si="55"/>
        <v>0</v>
      </c>
    </row>
    <row r="426" spans="2:27" x14ac:dyDescent="0.3">
      <c r="B426" s="21" t="str">
        <f ca="1">IF(B425="","",IF(EOMONTH(B425,1)&gt;EOMONTH(ELEGIBILIDADE!$E$5,0),"",EOMONTH(B425,1)))</f>
        <v/>
      </c>
      <c r="C426" s="22" t="str">
        <f ca="1">IF(B426="","",IF(MONTH(B426)=1,C425*(1+PREMISSAS!$C$58),C425))</f>
        <v/>
      </c>
      <c r="D426" s="22">
        <f ca="1">IF(RESULTADOS!$C$17="Normal",IFERROR(MAX(C426-PREMISSAS!$C$14,0),0),IF(PREMISSAS!$H$117=0,0,MAX(10*PREMISSAS!$C$39,RESULTADOS!$F$17)))</f>
        <v>0</v>
      </c>
      <c r="E426" s="4">
        <f ca="1">D426*IF(RESULTADOS!$C$17="Normal",RESULTADOS!$C$16,0)</f>
        <v>0</v>
      </c>
      <c r="F426" s="4">
        <f ca="1">IF(D426&lt;&gt;0,PREMISSAS!$N$83,0)</f>
        <v>0</v>
      </c>
      <c r="G426" s="4">
        <f ca="1">IFERROR(IF(RESULTADOS!$C$17="Normal",0,D426)*IF(RESULTADOS!$C$17="Normal",RESULTADOS!$C$18,RESULTADOS!$C$16),0)</f>
        <v>0</v>
      </c>
      <c r="H426" s="4">
        <f ca="1">IF(RESULTADOS!$C$17="Normal",E426,0)</f>
        <v>0</v>
      </c>
      <c r="I426" s="4">
        <f ca="1">(E426+H426+G426)*IFERROR(VLOOKUP(INT(COUNT($B$5:B426)/12),PREMISSAS!$B$62:$C$69,2,FALSE),PREMISSAS!$C$69)</f>
        <v>0</v>
      </c>
      <c r="J426" s="4">
        <f ca="1">D426*IF(RESULTADOS!$C$17="Normal",PREMISSAS!$C$71,0)</f>
        <v>0</v>
      </c>
      <c r="K426" s="87">
        <f ca="1">IFERROR(K425*(1+PREMISSAS!$C$19)+(E426+H426-IF(RESULTADOS!$C$17="Normal",I426,0)-J426)*IF(MONTH(B426)=12,2,1),0)</f>
        <v>0</v>
      </c>
      <c r="L426" s="87">
        <f ca="1">IFERROR((L425+G426-IF(RESULTADOS!$C$17="Normal",0,I426))*(1+PREMISSAS!$C$19)+F426,0)</f>
        <v>0</v>
      </c>
      <c r="N426" s="58">
        <f t="shared" ca="1" si="49"/>
        <v>0</v>
      </c>
      <c r="P426" s="131" t="str">
        <f t="shared" ca="1" si="50"/>
        <v/>
      </c>
      <c r="Q426" s="111" t="str">
        <f ca="1">IF(C426="","",Q425+(E426+H426-IF(RESULTADOS!$C$17="Normal",I426,0)-J426)/2+(F426+G426-IF(RESULTADOS!$C$17="Normal",0,I426)))</f>
        <v/>
      </c>
      <c r="R426" s="111" t="str">
        <f ca="1">IF(C426="","",R425+(E426+H426-IF(RESULTADOS!$C$17="Normal",I426,0)-J426)/2)</f>
        <v/>
      </c>
      <c r="S426" s="111">
        <f t="shared" ca="1" si="52"/>
        <v>0</v>
      </c>
      <c r="U426" s="131" t="str">
        <f t="shared" ca="1" si="53"/>
        <v/>
      </c>
      <c r="V426" s="131" t="str">
        <f t="shared" ca="1" si="51"/>
        <v/>
      </c>
      <c r="W426" s="111">
        <f ca="1">IF(OR((W425-13/12*Z425)*(1+PREMISSAS!$C$17)&lt;0,W425=""),0,(W425-13/12*Z425)*(1+PREMISSAS!$C$17))</f>
        <v>0</v>
      </c>
      <c r="X426" s="111">
        <f ca="1">IF(OR((X425-13/12*AA425)*(1+PREMISSAS!$C$17)&lt;0,X425=""),0,(X425-13/12*AA425)*(1+PREMISSAS!$C$17))</f>
        <v>0</v>
      </c>
      <c r="Y426" s="111">
        <f t="shared" ca="1" si="48"/>
        <v>0</v>
      </c>
      <c r="Z426" s="134">
        <f t="shared" ca="1" si="54"/>
        <v>0</v>
      </c>
      <c r="AA426" s="134">
        <f t="shared" ca="1" si="55"/>
        <v>0</v>
      </c>
    </row>
    <row r="427" spans="2:27" x14ac:dyDescent="0.3">
      <c r="B427" s="21" t="str">
        <f ca="1">IF(B426="","",IF(EOMONTH(B426,1)&gt;EOMONTH(ELEGIBILIDADE!$E$5,0),"",EOMONTH(B426,1)))</f>
        <v/>
      </c>
      <c r="C427" s="22" t="str">
        <f ca="1">IF(B427="","",IF(MONTH(B427)=1,C426*(1+PREMISSAS!$C$58),C426))</f>
        <v/>
      </c>
      <c r="D427" s="22">
        <f ca="1">IF(RESULTADOS!$C$17="Normal",IFERROR(MAX(C427-PREMISSAS!$C$14,0),0),IF(PREMISSAS!$H$117=0,0,MAX(10*PREMISSAS!$C$39,RESULTADOS!$F$17)))</f>
        <v>0</v>
      </c>
      <c r="E427" s="4">
        <f ca="1">D427*IF(RESULTADOS!$C$17="Normal",RESULTADOS!$C$16,0)</f>
        <v>0</v>
      </c>
      <c r="F427" s="4">
        <f ca="1">IF(D427&lt;&gt;0,PREMISSAS!$N$83,0)</f>
        <v>0</v>
      </c>
      <c r="G427" s="4">
        <f ca="1">IFERROR(IF(RESULTADOS!$C$17="Normal",0,D427)*IF(RESULTADOS!$C$17="Normal",RESULTADOS!$C$18,RESULTADOS!$C$16),0)</f>
        <v>0</v>
      </c>
      <c r="H427" s="4">
        <f ca="1">IF(RESULTADOS!$C$17="Normal",E427,0)</f>
        <v>0</v>
      </c>
      <c r="I427" s="4">
        <f ca="1">(E427+H427+G427)*IFERROR(VLOOKUP(INT(COUNT($B$5:B427)/12),PREMISSAS!$B$62:$C$69,2,FALSE),PREMISSAS!$C$69)</f>
        <v>0</v>
      </c>
      <c r="J427" s="4">
        <f ca="1">D427*IF(RESULTADOS!$C$17="Normal",PREMISSAS!$C$71,0)</f>
        <v>0</v>
      </c>
      <c r="K427" s="87">
        <f ca="1">IFERROR(K426*(1+PREMISSAS!$C$19)+(E427+H427-IF(RESULTADOS!$C$17="Normal",I427,0)-J427)*IF(MONTH(B427)=12,2,1),0)</f>
        <v>0</v>
      </c>
      <c r="L427" s="87">
        <f ca="1">IFERROR((L426+G427-IF(RESULTADOS!$C$17="Normal",0,I427))*(1+PREMISSAS!$C$19)+F427,0)</f>
        <v>0</v>
      </c>
      <c r="N427" s="58">
        <f t="shared" ca="1" si="49"/>
        <v>0</v>
      </c>
      <c r="P427" s="131" t="str">
        <f t="shared" ca="1" si="50"/>
        <v/>
      </c>
      <c r="Q427" s="111" t="str">
        <f ca="1">IF(C427="","",Q426+(E427+H427-IF(RESULTADOS!$C$17="Normal",I427,0)-J427)/2+(F427+G427-IF(RESULTADOS!$C$17="Normal",0,I427)))</f>
        <v/>
      </c>
      <c r="R427" s="111" t="str">
        <f ca="1">IF(C427="","",R426+(E427+H427-IF(RESULTADOS!$C$17="Normal",I427,0)-J427)/2)</f>
        <v/>
      </c>
      <c r="S427" s="111">
        <f t="shared" ca="1" si="52"/>
        <v>0</v>
      </c>
      <c r="U427" s="131" t="str">
        <f t="shared" ca="1" si="53"/>
        <v/>
      </c>
      <c r="V427" s="131" t="str">
        <f t="shared" ca="1" si="51"/>
        <v/>
      </c>
      <c r="W427" s="111">
        <f ca="1">IF(OR((W426-13/12*Z426)*(1+PREMISSAS!$C$17)&lt;0,W426=""),0,(W426-13/12*Z426)*(1+PREMISSAS!$C$17))</f>
        <v>0</v>
      </c>
      <c r="X427" s="111">
        <f ca="1">IF(OR((X426-13/12*AA426)*(1+PREMISSAS!$C$17)&lt;0,X426=""),0,(X426-13/12*AA426)*(1+PREMISSAS!$C$17))</f>
        <v>0</v>
      </c>
      <c r="Y427" s="111">
        <f t="shared" ca="1" si="48"/>
        <v>0</v>
      </c>
      <c r="Z427" s="134">
        <f t="shared" ca="1" si="54"/>
        <v>0</v>
      </c>
      <c r="AA427" s="134">
        <f t="shared" ca="1" si="55"/>
        <v>0</v>
      </c>
    </row>
    <row r="428" spans="2:27" x14ac:dyDescent="0.3">
      <c r="B428" s="21" t="str">
        <f ca="1">IF(B427="","",IF(EOMONTH(B427,1)&gt;EOMONTH(ELEGIBILIDADE!$E$5,0),"",EOMONTH(B427,1)))</f>
        <v/>
      </c>
      <c r="C428" s="22" t="str">
        <f ca="1">IF(B428="","",IF(MONTH(B428)=1,C427*(1+PREMISSAS!$C$58),C427))</f>
        <v/>
      </c>
      <c r="D428" s="22">
        <f ca="1">IF(RESULTADOS!$C$17="Normal",IFERROR(MAX(C428-PREMISSAS!$C$14,0),0),IF(PREMISSAS!$H$117=0,0,MAX(10*PREMISSAS!$C$39,RESULTADOS!$F$17)))</f>
        <v>0</v>
      </c>
      <c r="E428" s="4">
        <f ca="1">D428*IF(RESULTADOS!$C$17="Normal",RESULTADOS!$C$16,0)</f>
        <v>0</v>
      </c>
      <c r="F428" s="4">
        <f ca="1">IF(D428&lt;&gt;0,PREMISSAS!$N$83,0)</f>
        <v>0</v>
      </c>
      <c r="G428" s="4">
        <f ca="1">IFERROR(IF(RESULTADOS!$C$17="Normal",0,D428)*IF(RESULTADOS!$C$17="Normal",RESULTADOS!$C$18,RESULTADOS!$C$16),0)</f>
        <v>0</v>
      </c>
      <c r="H428" s="4">
        <f ca="1">IF(RESULTADOS!$C$17="Normal",E428,0)</f>
        <v>0</v>
      </c>
      <c r="I428" s="4">
        <f ca="1">(E428+H428+G428)*IFERROR(VLOOKUP(INT(COUNT($B$5:B428)/12),PREMISSAS!$B$62:$C$69,2,FALSE),PREMISSAS!$C$69)</f>
        <v>0</v>
      </c>
      <c r="J428" s="4">
        <f ca="1">D428*IF(RESULTADOS!$C$17="Normal",PREMISSAS!$C$71,0)</f>
        <v>0</v>
      </c>
      <c r="K428" s="87">
        <f ca="1">IFERROR(K427*(1+PREMISSAS!$C$19)+(E428+H428-IF(RESULTADOS!$C$17="Normal",I428,0)-J428)*IF(MONTH(B428)=12,2,1),0)</f>
        <v>0</v>
      </c>
      <c r="L428" s="87">
        <f ca="1">IFERROR((L427+G428-IF(RESULTADOS!$C$17="Normal",0,I428))*(1+PREMISSAS!$C$19)+F428,0)</f>
        <v>0</v>
      </c>
      <c r="N428" s="58">
        <f t="shared" ca="1" si="49"/>
        <v>0</v>
      </c>
      <c r="P428" s="131" t="str">
        <f t="shared" ca="1" si="50"/>
        <v/>
      </c>
      <c r="Q428" s="111" t="str">
        <f ca="1">IF(C428="","",Q427+(E428+H428-IF(RESULTADOS!$C$17="Normal",I428,0)-J428)/2+(F428+G428-IF(RESULTADOS!$C$17="Normal",0,I428)))</f>
        <v/>
      </c>
      <c r="R428" s="111" t="str">
        <f ca="1">IF(C428="","",R427+(E428+H428-IF(RESULTADOS!$C$17="Normal",I428,0)-J428)/2)</f>
        <v/>
      </c>
      <c r="S428" s="111">
        <f t="shared" ca="1" si="52"/>
        <v>0</v>
      </c>
      <c r="U428" s="131" t="str">
        <f t="shared" ca="1" si="53"/>
        <v/>
      </c>
      <c r="V428" s="131" t="str">
        <f t="shared" ca="1" si="51"/>
        <v/>
      </c>
      <c r="W428" s="111">
        <f ca="1">IF(OR((W427-13/12*Z427)*(1+PREMISSAS!$C$17)&lt;0,W427=""),0,(W427-13/12*Z427)*(1+PREMISSAS!$C$17))</f>
        <v>0</v>
      </c>
      <c r="X428" s="111">
        <f ca="1">IF(OR((X427-13/12*AA427)*(1+PREMISSAS!$C$17)&lt;0,X427=""),0,(X427-13/12*AA427)*(1+PREMISSAS!$C$17))</f>
        <v>0</v>
      </c>
      <c r="Y428" s="111">
        <f t="shared" ca="1" si="48"/>
        <v>0</v>
      </c>
      <c r="Z428" s="134">
        <f t="shared" ca="1" si="54"/>
        <v>0</v>
      </c>
      <c r="AA428" s="134">
        <f t="shared" ca="1" si="55"/>
        <v>0</v>
      </c>
    </row>
    <row r="429" spans="2:27" x14ac:dyDescent="0.3">
      <c r="B429" s="21" t="str">
        <f ca="1">IF(B428="","",IF(EOMONTH(B428,1)&gt;EOMONTH(ELEGIBILIDADE!$E$5,0),"",EOMONTH(B428,1)))</f>
        <v/>
      </c>
      <c r="C429" s="22" t="str">
        <f ca="1">IF(B429="","",IF(MONTH(B429)=1,C428*(1+PREMISSAS!$C$58),C428))</f>
        <v/>
      </c>
      <c r="D429" s="22">
        <f ca="1">IF(RESULTADOS!$C$17="Normal",IFERROR(MAX(C429-PREMISSAS!$C$14,0),0),IF(PREMISSAS!$H$117=0,0,MAX(10*PREMISSAS!$C$39,RESULTADOS!$F$17)))</f>
        <v>0</v>
      </c>
      <c r="E429" s="4">
        <f ca="1">D429*IF(RESULTADOS!$C$17="Normal",RESULTADOS!$C$16,0)</f>
        <v>0</v>
      </c>
      <c r="F429" s="4">
        <f ca="1">IF(D429&lt;&gt;0,PREMISSAS!$N$83,0)</f>
        <v>0</v>
      </c>
      <c r="G429" s="4">
        <f ca="1">IFERROR(IF(RESULTADOS!$C$17="Normal",0,D429)*IF(RESULTADOS!$C$17="Normal",RESULTADOS!$C$18,RESULTADOS!$C$16),0)</f>
        <v>0</v>
      </c>
      <c r="H429" s="4">
        <f ca="1">IF(RESULTADOS!$C$17="Normal",E429,0)</f>
        <v>0</v>
      </c>
      <c r="I429" s="4">
        <f ca="1">(E429+H429+G429)*IFERROR(VLOOKUP(INT(COUNT($B$5:B429)/12),PREMISSAS!$B$62:$C$69,2,FALSE),PREMISSAS!$C$69)</f>
        <v>0</v>
      </c>
      <c r="J429" s="4">
        <f ca="1">D429*IF(RESULTADOS!$C$17="Normal",PREMISSAS!$C$71,0)</f>
        <v>0</v>
      </c>
      <c r="K429" s="87">
        <f ca="1">IFERROR(K428*(1+PREMISSAS!$C$19)+(E429+H429-IF(RESULTADOS!$C$17="Normal",I429,0)-J429)*IF(MONTH(B429)=12,2,1),0)</f>
        <v>0</v>
      </c>
      <c r="L429" s="87">
        <f ca="1">IFERROR((L428+G429-IF(RESULTADOS!$C$17="Normal",0,I429))*(1+PREMISSAS!$C$19)+F429,0)</f>
        <v>0</v>
      </c>
      <c r="N429" s="58">
        <f t="shared" ca="1" si="49"/>
        <v>0</v>
      </c>
      <c r="P429" s="131" t="str">
        <f t="shared" ca="1" si="50"/>
        <v/>
      </c>
      <c r="Q429" s="111" t="str">
        <f ca="1">IF(C429="","",Q428+(E429+H429-IF(RESULTADOS!$C$17="Normal",I429,0)-J429)/2+(F429+G429-IF(RESULTADOS!$C$17="Normal",0,I429)))</f>
        <v/>
      </c>
      <c r="R429" s="111" t="str">
        <f ca="1">IF(C429="","",R428+(E429+H429-IF(RESULTADOS!$C$17="Normal",I429,0)-J429)/2)</f>
        <v/>
      </c>
      <c r="S429" s="111">
        <f t="shared" ca="1" si="52"/>
        <v>0</v>
      </c>
      <c r="U429" s="131" t="str">
        <f t="shared" ca="1" si="53"/>
        <v/>
      </c>
      <c r="V429" s="131" t="str">
        <f t="shared" ca="1" si="51"/>
        <v/>
      </c>
      <c r="W429" s="111">
        <f ca="1">IF(OR((W428-13/12*Z428)*(1+PREMISSAS!$C$17)&lt;0,W428=""),0,(W428-13/12*Z428)*(1+PREMISSAS!$C$17))</f>
        <v>0</v>
      </c>
      <c r="X429" s="111">
        <f ca="1">IF(OR((X428-13/12*AA428)*(1+PREMISSAS!$C$17)&lt;0,X428=""),0,(X428-13/12*AA428)*(1+PREMISSAS!$C$17))</f>
        <v>0</v>
      </c>
      <c r="Y429" s="111">
        <f t="shared" ca="1" si="48"/>
        <v>0</v>
      </c>
      <c r="Z429" s="134">
        <f t="shared" ca="1" si="54"/>
        <v>0</v>
      </c>
      <c r="AA429" s="134">
        <f t="shared" ca="1" si="55"/>
        <v>0</v>
      </c>
    </row>
    <row r="430" spans="2:27" x14ac:dyDescent="0.3">
      <c r="B430" s="21" t="str">
        <f ca="1">IF(B429="","",IF(EOMONTH(B429,1)&gt;EOMONTH(ELEGIBILIDADE!$E$5,0),"",EOMONTH(B429,1)))</f>
        <v/>
      </c>
      <c r="C430" s="22" t="str">
        <f ca="1">IF(B430="","",IF(MONTH(B430)=1,C429*(1+PREMISSAS!$C$58),C429))</f>
        <v/>
      </c>
      <c r="D430" s="22">
        <f ca="1">IF(RESULTADOS!$C$17="Normal",IFERROR(MAX(C430-PREMISSAS!$C$14,0),0),IF(PREMISSAS!$H$117=0,0,MAX(10*PREMISSAS!$C$39,RESULTADOS!$F$17)))</f>
        <v>0</v>
      </c>
      <c r="E430" s="4">
        <f ca="1">D430*IF(RESULTADOS!$C$17="Normal",RESULTADOS!$C$16,0)</f>
        <v>0</v>
      </c>
      <c r="F430" s="4">
        <f ca="1">IF(D430&lt;&gt;0,PREMISSAS!$N$83,0)</f>
        <v>0</v>
      </c>
      <c r="G430" s="4">
        <f ca="1">IFERROR(IF(RESULTADOS!$C$17="Normal",0,D430)*IF(RESULTADOS!$C$17="Normal",RESULTADOS!$C$18,RESULTADOS!$C$16),0)</f>
        <v>0</v>
      </c>
      <c r="H430" s="4">
        <f ca="1">IF(RESULTADOS!$C$17="Normal",E430,0)</f>
        <v>0</v>
      </c>
      <c r="I430" s="4">
        <f ca="1">(E430+H430+G430)*IFERROR(VLOOKUP(INT(COUNT($B$5:B430)/12),PREMISSAS!$B$62:$C$69,2,FALSE),PREMISSAS!$C$69)</f>
        <v>0</v>
      </c>
      <c r="J430" s="4">
        <f ca="1">D430*IF(RESULTADOS!$C$17="Normal",PREMISSAS!$C$71,0)</f>
        <v>0</v>
      </c>
      <c r="K430" s="87">
        <f ca="1">IFERROR(K429*(1+PREMISSAS!$C$19)+(E430+H430-IF(RESULTADOS!$C$17="Normal",I430,0)-J430)*IF(MONTH(B430)=12,2,1),0)</f>
        <v>0</v>
      </c>
      <c r="L430" s="87">
        <f ca="1">IFERROR((L429+G430-IF(RESULTADOS!$C$17="Normal",0,I430))*(1+PREMISSAS!$C$19)+F430,0)</f>
        <v>0</v>
      </c>
      <c r="N430" s="58">
        <f t="shared" ca="1" si="49"/>
        <v>0</v>
      </c>
      <c r="P430" s="131" t="str">
        <f t="shared" ca="1" si="50"/>
        <v/>
      </c>
      <c r="Q430" s="111" t="str">
        <f ca="1">IF(C430="","",Q429+(E430+H430-IF(RESULTADOS!$C$17="Normal",I430,0)-J430)/2+(F430+G430-IF(RESULTADOS!$C$17="Normal",0,I430)))</f>
        <v/>
      </c>
      <c r="R430" s="111" t="str">
        <f ca="1">IF(C430="","",R429+(E430+H430-IF(RESULTADOS!$C$17="Normal",I430,0)-J430)/2)</f>
        <v/>
      </c>
      <c r="S430" s="111">
        <f t="shared" ca="1" si="52"/>
        <v>0</v>
      </c>
      <c r="U430" s="131" t="str">
        <f t="shared" ca="1" si="53"/>
        <v/>
      </c>
      <c r="V430" s="131" t="str">
        <f t="shared" ca="1" si="51"/>
        <v/>
      </c>
      <c r="W430" s="111">
        <f ca="1">IF(OR((W429-13/12*Z429)*(1+PREMISSAS!$C$17)&lt;0,W429=""),0,(W429-13/12*Z429)*(1+PREMISSAS!$C$17))</f>
        <v>0</v>
      </c>
      <c r="X430" s="111">
        <f ca="1">IF(OR((X429-13/12*AA429)*(1+PREMISSAS!$C$17)&lt;0,X429=""),0,(X429-13/12*AA429)*(1+PREMISSAS!$C$17))</f>
        <v>0</v>
      </c>
      <c r="Y430" s="111">
        <f t="shared" ca="1" si="48"/>
        <v>0</v>
      </c>
      <c r="Z430" s="134">
        <f t="shared" ca="1" si="54"/>
        <v>0</v>
      </c>
      <c r="AA430" s="134">
        <f t="shared" ca="1" si="55"/>
        <v>0</v>
      </c>
    </row>
    <row r="431" spans="2:27" x14ac:dyDescent="0.3">
      <c r="B431" s="21" t="str">
        <f ca="1">IF(B430="","",IF(EOMONTH(B430,1)&gt;EOMONTH(ELEGIBILIDADE!$E$5,0),"",EOMONTH(B430,1)))</f>
        <v/>
      </c>
      <c r="C431" s="22" t="str">
        <f ca="1">IF(B431="","",IF(MONTH(B431)=1,C430*(1+PREMISSAS!$C$58),C430))</f>
        <v/>
      </c>
      <c r="D431" s="22">
        <f ca="1">IF(RESULTADOS!$C$17="Normal",IFERROR(MAX(C431-PREMISSAS!$C$14,0),0),IF(PREMISSAS!$H$117=0,0,MAX(10*PREMISSAS!$C$39,RESULTADOS!$F$17)))</f>
        <v>0</v>
      </c>
      <c r="E431" s="4">
        <f ca="1">D431*IF(RESULTADOS!$C$17="Normal",RESULTADOS!$C$16,0)</f>
        <v>0</v>
      </c>
      <c r="F431" s="4">
        <f ca="1">IF(D431&lt;&gt;0,PREMISSAS!$N$83,0)</f>
        <v>0</v>
      </c>
      <c r="G431" s="4">
        <f ca="1">IFERROR(IF(RESULTADOS!$C$17="Normal",0,D431)*IF(RESULTADOS!$C$17="Normal",RESULTADOS!$C$18,RESULTADOS!$C$16),0)</f>
        <v>0</v>
      </c>
      <c r="H431" s="4">
        <f ca="1">IF(RESULTADOS!$C$17="Normal",E431,0)</f>
        <v>0</v>
      </c>
      <c r="I431" s="4">
        <f ca="1">(E431+H431+G431)*IFERROR(VLOOKUP(INT(COUNT($B$5:B431)/12),PREMISSAS!$B$62:$C$69,2,FALSE),PREMISSAS!$C$69)</f>
        <v>0</v>
      </c>
      <c r="J431" s="4">
        <f ca="1">D431*IF(RESULTADOS!$C$17="Normal",PREMISSAS!$C$71,0)</f>
        <v>0</v>
      </c>
      <c r="K431" s="87">
        <f ca="1">IFERROR(K430*(1+PREMISSAS!$C$19)+(E431+H431-IF(RESULTADOS!$C$17="Normal",I431,0)-J431)*IF(MONTH(B431)=12,2,1),0)</f>
        <v>0</v>
      </c>
      <c r="L431" s="87">
        <f ca="1">IFERROR((L430+G431-IF(RESULTADOS!$C$17="Normal",0,I431))*(1+PREMISSAS!$C$19)+F431,0)</f>
        <v>0</v>
      </c>
      <c r="N431" s="58">
        <f t="shared" ca="1" si="49"/>
        <v>0</v>
      </c>
      <c r="P431" s="131" t="str">
        <f t="shared" ca="1" si="50"/>
        <v/>
      </c>
      <c r="Q431" s="111" t="str">
        <f ca="1">IF(C431="","",Q430+(E431+H431-IF(RESULTADOS!$C$17="Normal",I431,0)-J431)/2+(F431+G431-IF(RESULTADOS!$C$17="Normal",0,I431)))</f>
        <v/>
      </c>
      <c r="R431" s="111" t="str">
        <f ca="1">IF(C431="","",R430+(E431+H431-IF(RESULTADOS!$C$17="Normal",I431,0)-J431)/2)</f>
        <v/>
      </c>
      <c r="S431" s="111">
        <f t="shared" ca="1" si="52"/>
        <v>0</v>
      </c>
      <c r="U431" s="131" t="str">
        <f t="shared" ca="1" si="53"/>
        <v/>
      </c>
      <c r="V431" s="131" t="str">
        <f t="shared" ca="1" si="51"/>
        <v/>
      </c>
      <c r="W431" s="111">
        <f ca="1">IF(OR((W430-13/12*Z430)*(1+PREMISSAS!$C$17)&lt;0,W430=""),0,(W430-13/12*Z430)*(1+PREMISSAS!$C$17))</f>
        <v>0</v>
      </c>
      <c r="X431" s="111">
        <f ca="1">IF(OR((X430-13/12*AA430)*(1+PREMISSAS!$C$17)&lt;0,X430=""),0,(X430-13/12*AA430)*(1+PREMISSAS!$C$17))</f>
        <v>0</v>
      </c>
      <c r="Y431" s="111">
        <f t="shared" ca="1" si="48"/>
        <v>0</v>
      </c>
      <c r="Z431" s="134">
        <f t="shared" ca="1" si="54"/>
        <v>0</v>
      </c>
      <c r="AA431" s="134">
        <f t="shared" ca="1" si="55"/>
        <v>0</v>
      </c>
    </row>
    <row r="432" spans="2:27" x14ac:dyDescent="0.3">
      <c r="B432" s="21" t="str">
        <f ca="1">IF(B431="","",IF(EOMONTH(B431,1)&gt;EOMONTH(ELEGIBILIDADE!$E$5,0),"",EOMONTH(B431,1)))</f>
        <v/>
      </c>
      <c r="C432" s="22" t="str">
        <f ca="1">IF(B432="","",IF(MONTH(B432)=1,C431*(1+PREMISSAS!$C$58),C431))</f>
        <v/>
      </c>
      <c r="D432" s="22">
        <f ca="1">IF(RESULTADOS!$C$17="Normal",IFERROR(MAX(C432-PREMISSAS!$C$14,0),0),IF(PREMISSAS!$H$117=0,0,MAX(10*PREMISSAS!$C$39,RESULTADOS!$F$17)))</f>
        <v>0</v>
      </c>
      <c r="E432" s="4">
        <f ca="1">D432*IF(RESULTADOS!$C$17="Normal",RESULTADOS!$C$16,0)</f>
        <v>0</v>
      </c>
      <c r="F432" s="4">
        <f ca="1">IF(D432&lt;&gt;0,PREMISSAS!$N$83,0)</f>
        <v>0</v>
      </c>
      <c r="G432" s="4">
        <f ca="1">IFERROR(IF(RESULTADOS!$C$17="Normal",0,D432)*IF(RESULTADOS!$C$17="Normal",RESULTADOS!$C$18,RESULTADOS!$C$16),0)</f>
        <v>0</v>
      </c>
      <c r="H432" s="4">
        <f ca="1">IF(RESULTADOS!$C$17="Normal",E432,0)</f>
        <v>0</v>
      </c>
      <c r="I432" s="4">
        <f ca="1">(E432+H432+G432)*IFERROR(VLOOKUP(INT(COUNT($B$5:B432)/12),PREMISSAS!$B$62:$C$69,2,FALSE),PREMISSAS!$C$69)</f>
        <v>0</v>
      </c>
      <c r="J432" s="4">
        <f ca="1">D432*IF(RESULTADOS!$C$17="Normal",PREMISSAS!$C$71,0)</f>
        <v>0</v>
      </c>
      <c r="K432" s="87">
        <f ca="1">IFERROR(K431*(1+PREMISSAS!$C$19)+(E432+H432-IF(RESULTADOS!$C$17="Normal",I432,0)-J432)*IF(MONTH(B432)=12,2,1),0)</f>
        <v>0</v>
      </c>
      <c r="L432" s="87">
        <f ca="1">IFERROR((L431+G432-IF(RESULTADOS!$C$17="Normal",0,I432))*(1+PREMISSAS!$C$19)+F432,0)</f>
        <v>0</v>
      </c>
      <c r="N432" s="58">
        <f t="shared" ca="1" si="49"/>
        <v>0</v>
      </c>
      <c r="P432" s="131" t="str">
        <f t="shared" ca="1" si="50"/>
        <v/>
      </c>
      <c r="Q432" s="111" t="str">
        <f ca="1">IF(C432="","",Q431+(E432+H432-IF(RESULTADOS!$C$17="Normal",I432,0)-J432)/2+(F432+G432-IF(RESULTADOS!$C$17="Normal",0,I432)))</f>
        <v/>
      </c>
      <c r="R432" s="111" t="str">
        <f ca="1">IF(C432="","",R431+(E432+H432-IF(RESULTADOS!$C$17="Normal",I432,0)-J432)/2)</f>
        <v/>
      </c>
      <c r="S432" s="111">
        <f t="shared" ca="1" si="52"/>
        <v>0</v>
      </c>
      <c r="U432" s="131" t="str">
        <f t="shared" ca="1" si="53"/>
        <v/>
      </c>
      <c r="V432" s="131" t="str">
        <f t="shared" ca="1" si="51"/>
        <v/>
      </c>
      <c r="W432" s="111">
        <f ca="1">IF(OR((W431-13/12*Z431)*(1+PREMISSAS!$C$17)&lt;0,W431=""),0,(W431-13/12*Z431)*(1+PREMISSAS!$C$17))</f>
        <v>0</v>
      </c>
      <c r="X432" s="111">
        <f ca="1">IF(OR((X431-13/12*AA431)*(1+PREMISSAS!$C$17)&lt;0,X431=""),0,(X431-13/12*AA431)*(1+PREMISSAS!$C$17))</f>
        <v>0</v>
      </c>
      <c r="Y432" s="111">
        <f t="shared" ca="1" si="48"/>
        <v>0</v>
      </c>
      <c r="Z432" s="134">
        <f t="shared" ca="1" si="54"/>
        <v>0</v>
      </c>
      <c r="AA432" s="134">
        <f t="shared" ca="1" si="55"/>
        <v>0</v>
      </c>
    </row>
    <row r="433" spans="2:27" x14ac:dyDescent="0.3">
      <c r="B433" s="21" t="str">
        <f ca="1">IF(B432="","",IF(EOMONTH(B432,1)&gt;EOMONTH(ELEGIBILIDADE!$E$5,0),"",EOMONTH(B432,1)))</f>
        <v/>
      </c>
      <c r="C433" s="22" t="str">
        <f ca="1">IF(B433="","",IF(MONTH(B433)=1,C432*(1+PREMISSAS!$C$58),C432))</f>
        <v/>
      </c>
      <c r="D433" s="22">
        <f ca="1">IF(RESULTADOS!$C$17="Normal",IFERROR(MAX(C433-PREMISSAS!$C$14,0),0),IF(PREMISSAS!$H$117=0,0,MAX(10*PREMISSAS!$C$39,RESULTADOS!$F$17)))</f>
        <v>0</v>
      </c>
      <c r="E433" s="4">
        <f ca="1">D433*IF(RESULTADOS!$C$17="Normal",RESULTADOS!$C$16,0)</f>
        <v>0</v>
      </c>
      <c r="F433" s="4">
        <f ca="1">IF(D433&lt;&gt;0,PREMISSAS!$N$83,0)</f>
        <v>0</v>
      </c>
      <c r="G433" s="4">
        <f ca="1">IFERROR(IF(RESULTADOS!$C$17="Normal",0,D433)*IF(RESULTADOS!$C$17="Normal",RESULTADOS!$C$18,RESULTADOS!$C$16),0)</f>
        <v>0</v>
      </c>
      <c r="H433" s="4">
        <f ca="1">IF(RESULTADOS!$C$17="Normal",E433,0)</f>
        <v>0</v>
      </c>
      <c r="I433" s="4">
        <f ca="1">(E433+H433+G433)*IFERROR(VLOOKUP(INT(COUNT($B$5:B433)/12),PREMISSAS!$B$62:$C$69,2,FALSE),PREMISSAS!$C$69)</f>
        <v>0</v>
      </c>
      <c r="J433" s="4">
        <f ca="1">D433*IF(RESULTADOS!$C$17="Normal",PREMISSAS!$C$71,0)</f>
        <v>0</v>
      </c>
      <c r="K433" s="87">
        <f ca="1">IFERROR(K432*(1+PREMISSAS!$C$19)+(E433+H433-IF(RESULTADOS!$C$17="Normal",I433,0)-J433)*IF(MONTH(B433)=12,2,1),0)</f>
        <v>0</v>
      </c>
      <c r="L433" s="87">
        <f ca="1">IFERROR((L432+G433-IF(RESULTADOS!$C$17="Normal",0,I433))*(1+PREMISSAS!$C$19)+F433,0)</f>
        <v>0</v>
      </c>
      <c r="N433" s="58">
        <f t="shared" ca="1" si="49"/>
        <v>0</v>
      </c>
      <c r="P433" s="131" t="str">
        <f t="shared" ca="1" si="50"/>
        <v/>
      </c>
      <c r="Q433" s="111" t="str">
        <f ca="1">IF(C433="","",Q432+(E433+H433-IF(RESULTADOS!$C$17="Normal",I433,0)-J433)/2+(F433+G433-IF(RESULTADOS!$C$17="Normal",0,I433)))</f>
        <v/>
      </c>
      <c r="R433" s="111" t="str">
        <f ca="1">IF(C433="","",R432+(E433+H433-IF(RESULTADOS!$C$17="Normal",I433,0)-J433)/2)</f>
        <v/>
      </c>
      <c r="S433" s="111">
        <f t="shared" ca="1" si="52"/>
        <v>0</v>
      </c>
      <c r="U433" s="131" t="str">
        <f t="shared" ca="1" si="53"/>
        <v/>
      </c>
      <c r="V433" s="131" t="str">
        <f t="shared" ca="1" si="51"/>
        <v/>
      </c>
      <c r="W433" s="111">
        <f ca="1">IF(OR((W432-13/12*Z432)*(1+PREMISSAS!$C$17)&lt;0,W432=""),0,(W432-13/12*Z432)*(1+PREMISSAS!$C$17))</f>
        <v>0</v>
      </c>
      <c r="X433" s="111">
        <f ca="1">IF(OR((X432-13/12*AA432)*(1+PREMISSAS!$C$17)&lt;0,X432=""),0,(X432-13/12*AA432)*(1+PREMISSAS!$C$17))</f>
        <v>0</v>
      </c>
      <c r="Y433" s="111">
        <f t="shared" ca="1" si="48"/>
        <v>0</v>
      </c>
      <c r="Z433" s="134">
        <f t="shared" ca="1" si="54"/>
        <v>0</v>
      </c>
      <c r="AA433" s="134">
        <f t="shared" ca="1" si="55"/>
        <v>0</v>
      </c>
    </row>
    <row r="434" spans="2:27" x14ac:dyDescent="0.3">
      <c r="B434" s="21" t="str">
        <f ca="1">IF(B433="","",IF(EOMONTH(B433,1)&gt;EOMONTH(ELEGIBILIDADE!$E$5,0),"",EOMONTH(B433,1)))</f>
        <v/>
      </c>
      <c r="C434" s="22" t="str">
        <f ca="1">IF(B434="","",IF(MONTH(B434)=1,C433*(1+PREMISSAS!$C$58),C433))</f>
        <v/>
      </c>
      <c r="D434" s="22">
        <f ca="1">IF(RESULTADOS!$C$17="Normal",IFERROR(MAX(C434-PREMISSAS!$C$14,0),0),IF(PREMISSAS!$H$117=0,0,MAX(10*PREMISSAS!$C$39,RESULTADOS!$F$17)))</f>
        <v>0</v>
      </c>
      <c r="E434" s="4">
        <f ca="1">D434*IF(RESULTADOS!$C$17="Normal",RESULTADOS!$C$16,0)</f>
        <v>0</v>
      </c>
      <c r="F434" s="4">
        <f ca="1">IF(D434&lt;&gt;0,PREMISSAS!$N$83,0)</f>
        <v>0</v>
      </c>
      <c r="G434" s="4">
        <f ca="1">IFERROR(IF(RESULTADOS!$C$17="Normal",0,D434)*IF(RESULTADOS!$C$17="Normal",RESULTADOS!$C$18,RESULTADOS!$C$16),0)</f>
        <v>0</v>
      </c>
      <c r="H434" s="4">
        <f ca="1">IF(RESULTADOS!$C$17="Normal",E434,0)</f>
        <v>0</v>
      </c>
      <c r="I434" s="4">
        <f ca="1">(E434+H434+G434)*IFERROR(VLOOKUP(INT(COUNT($B$5:B434)/12),PREMISSAS!$B$62:$C$69,2,FALSE),PREMISSAS!$C$69)</f>
        <v>0</v>
      </c>
      <c r="J434" s="4">
        <f ca="1">D434*IF(RESULTADOS!$C$17="Normal",PREMISSAS!$C$71,0)</f>
        <v>0</v>
      </c>
      <c r="K434" s="87">
        <f ca="1">IFERROR(K433*(1+PREMISSAS!$C$19)+(E434+H434-IF(RESULTADOS!$C$17="Normal",I434,0)-J434)*IF(MONTH(B434)=12,2,1),0)</f>
        <v>0</v>
      </c>
      <c r="L434" s="87">
        <f ca="1">IFERROR((L433+G434-IF(RESULTADOS!$C$17="Normal",0,I434))*(1+PREMISSAS!$C$19)+F434,0)</f>
        <v>0</v>
      </c>
      <c r="N434" s="58">
        <f t="shared" ca="1" si="49"/>
        <v>0</v>
      </c>
      <c r="P434" s="131" t="str">
        <f t="shared" ca="1" si="50"/>
        <v/>
      </c>
      <c r="Q434" s="111" t="str">
        <f ca="1">IF(C434="","",Q433+(E434+H434-IF(RESULTADOS!$C$17="Normal",I434,0)-J434)/2+(F434+G434-IF(RESULTADOS!$C$17="Normal",0,I434)))</f>
        <v/>
      </c>
      <c r="R434" s="111" t="str">
        <f ca="1">IF(C434="","",R433+(E434+H434-IF(RESULTADOS!$C$17="Normal",I434,0)-J434)/2)</f>
        <v/>
      </c>
      <c r="S434" s="111">
        <f t="shared" ca="1" si="52"/>
        <v>0</v>
      </c>
      <c r="U434" s="131" t="str">
        <f t="shared" ca="1" si="53"/>
        <v/>
      </c>
      <c r="V434" s="131" t="str">
        <f t="shared" ca="1" si="51"/>
        <v/>
      </c>
      <c r="W434" s="111">
        <f ca="1">IF(OR((W433-13/12*Z433)*(1+PREMISSAS!$C$17)&lt;0,W433=""),0,(W433-13/12*Z433)*(1+PREMISSAS!$C$17))</f>
        <v>0</v>
      </c>
      <c r="X434" s="111">
        <f ca="1">IF(OR((X433-13/12*AA433)*(1+PREMISSAS!$C$17)&lt;0,X433=""),0,(X433-13/12*AA433)*(1+PREMISSAS!$C$17))</f>
        <v>0</v>
      </c>
      <c r="Y434" s="111">
        <f t="shared" ca="1" si="48"/>
        <v>0</v>
      </c>
      <c r="Z434" s="134">
        <f t="shared" ca="1" si="54"/>
        <v>0</v>
      </c>
      <c r="AA434" s="134">
        <f t="shared" ca="1" si="55"/>
        <v>0</v>
      </c>
    </row>
    <row r="435" spans="2:27" x14ac:dyDescent="0.3">
      <c r="B435" s="21" t="str">
        <f ca="1">IF(B434="","",IF(EOMONTH(B434,1)&gt;EOMONTH(ELEGIBILIDADE!$E$5,0),"",EOMONTH(B434,1)))</f>
        <v/>
      </c>
      <c r="C435" s="22" t="str">
        <f ca="1">IF(B435="","",IF(MONTH(B435)=1,C434*(1+PREMISSAS!$C$58),C434))</f>
        <v/>
      </c>
      <c r="D435" s="22">
        <f ca="1">IF(RESULTADOS!$C$17="Normal",IFERROR(MAX(C435-PREMISSAS!$C$14,0),0),IF(PREMISSAS!$H$117=0,0,MAX(10*PREMISSAS!$C$39,RESULTADOS!$F$17)))</f>
        <v>0</v>
      </c>
      <c r="E435" s="4">
        <f ca="1">D435*IF(RESULTADOS!$C$17="Normal",RESULTADOS!$C$16,0)</f>
        <v>0</v>
      </c>
      <c r="F435" s="4">
        <f ca="1">IF(D435&lt;&gt;0,PREMISSAS!$N$83,0)</f>
        <v>0</v>
      </c>
      <c r="G435" s="4">
        <f ca="1">IFERROR(IF(RESULTADOS!$C$17="Normal",0,D435)*IF(RESULTADOS!$C$17="Normal",RESULTADOS!$C$18,RESULTADOS!$C$16),0)</f>
        <v>0</v>
      </c>
      <c r="H435" s="4">
        <f ca="1">IF(RESULTADOS!$C$17="Normal",E435,0)</f>
        <v>0</v>
      </c>
      <c r="I435" s="4">
        <f ca="1">(E435+H435+G435)*IFERROR(VLOOKUP(INT(COUNT($B$5:B435)/12),PREMISSAS!$B$62:$C$69,2,FALSE),PREMISSAS!$C$69)</f>
        <v>0</v>
      </c>
      <c r="J435" s="4">
        <f ca="1">D435*IF(RESULTADOS!$C$17="Normal",PREMISSAS!$C$71,0)</f>
        <v>0</v>
      </c>
      <c r="K435" s="87">
        <f ca="1">IFERROR(K434*(1+PREMISSAS!$C$19)+(E435+H435-IF(RESULTADOS!$C$17="Normal",I435,0)-J435)*IF(MONTH(B435)=12,2,1),0)</f>
        <v>0</v>
      </c>
      <c r="L435" s="87">
        <f ca="1">IFERROR((L434+G435-IF(RESULTADOS!$C$17="Normal",0,I435))*(1+PREMISSAS!$C$19)+F435,0)</f>
        <v>0</v>
      </c>
      <c r="N435" s="58">
        <f t="shared" ca="1" si="49"/>
        <v>0</v>
      </c>
      <c r="P435" s="131" t="str">
        <f t="shared" ca="1" si="50"/>
        <v/>
      </c>
      <c r="Q435" s="111" t="str">
        <f ca="1">IF(C435="","",Q434+(E435+H435-IF(RESULTADOS!$C$17="Normal",I435,0)-J435)/2+(F435+G435-IF(RESULTADOS!$C$17="Normal",0,I435)))</f>
        <v/>
      </c>
      <c r="R435" s="111" t="str">
        <f ca="1">IF(C435="","",R434+(E435+H435-IF(RESULTADOS!$C$17="Normal",I435,0)-J435)/2)</f>
        <v/>
      </c>
      <c r="S435" s="111">
        <f t="shared" ca="1" si="52"/>
        <v>0</v>
      </c>
      <c r="U435" s="131" t="str">
        <f t="shared" ca="1" si="53"/>
        <v/>
      </c>
      <c r="V435" s="131" t="str">
        <f t="shared" ca="1" si="51"/>
        <v/>
      </c>
      <c r="W435" s="111">
        <f ca="1">IF(OR((W434-13/12*Z434)*(1+PREMISSAS!$C$17)&lt;0,W434=""),0,(W434-13/12*Z434)*(1+PREMISSAS!$C$17))</f>
        <v>0</v>
      </c>
      <c r="X435" s="111">
        <f ca="1">IF(OR((X434-13/12*AA434)*(1+PREMISSAS!$C$17)&lt;0,X434=""),0,(X434-13/12*AA434)*(1+PREMISSAS!$C$17))</f>
        <v>0</v>
      </c>
      <c r="Y435" s="111">
        <f t="shared" ca="1" si="48"/>
        <v>0</v>
      </c>
      <c r="Z435" s="134">
        <f t="shared" ca="1" si="54"/>
        <v>0</v>
      </c>
      <c r="AA435" s="134">
        <f t="shared" ca="1" si="55"/>
        <v>0</v>
      </c>
    </row>
    <row r="436" spans="2:27" x14ac:dyDescent="0.3">
      <c r="B436" s="21" t="str">
        <f ca="1">IF(B435="","",IF(EOMONTH(B435,1)&gt;EOMONTH(ELEGIBILIDADE!$E$5,0),"",EOMONTH(B435,1)))</f>
        <v/>
      </c>
      <c r="C436" s="22" t="str">
        <f ca="1">IF(B436="","",IF(MONTH(B436)=1,C435*(1+PREMISSAS!$C$58),C435))</f>
        <v/>
      </c>
      <c r="D436" s="22">
        <f ca="1">IF(RESULTADOS!$C$17="Normal",IFERROR(MAX(C436-PREMISSAS!$C$14,0),0),IF(PREMISSAS!$H$117=0,0,MAX(10*PREMISSAS!$C$39,RESULTADOS!$F$17)))</f>
        <v>0</v>
      </c>
      <c r="E436" s="4">
        <f ca="1">D436*IF(RESULTADOS!$C$17="Normal",RESULTADOS!$C$16,0)</f>
        <v>0</v>
      </c>
      <c r="F436" s="4">
        <f ca="1">IF(D436&lt;&gt;0,PREMISSAS!$N$83,0)</f>
        <v>0</v>
      </c>
      <c r="G436" s="4">
        <f ca="1">IFERROR(IF(RESULTADOS!$C$17="Normal",0,D436)*IF(RESULTADOS!$C$17="Normal",RESULTADOS!$C$18,RESULTADOS!$C$16),0)</f>
        <v>0</v>
      </c>
      <c r="H436" s="4">
        <f ca="1">IF(RESULTADOS!$C$17="Normal",E436,0)</f>
        <v>0</v>
      </c>
      <c r="I436" s="4">
        <f ca="1">(E436+H436+G436)*IFERROR(VLOOKUP(INT(COUNT($B$5:B436)/12),PREMISSAS!$B$62:$C$69,2,FALSE),PREMISSAS!$C$69)</f>
        <v>0</v>
      </c>
      <c r="J436" s="4">
        <f ca="1">D436*IF(RESULTADOS!$C$17="Normal",PREMISSAS!$C$71,0)</f>
        <v>0</v>
      </c>
      <c r="K436" s="87">
        <f ca="1">IFERROR(K435*(1+PREMISSAS!$C$19)+(E436+H436-IF(RESULTADOS!$C$17="Normal",I436,0)-J436)*IF(MONTH(B436)=12,2,1),0)</f>
        <v>0</v>
      </c>
      <c r="L436" s="87">
        <f ca="1">IFERROR((L435+G436-IF(RESULTADOS!$C$17="Normal",0,I436))*(1+PREMISSAS!$C$19)+F436,0)</f>
        <v>0</v>
      </c>
      <c r="N436" s="58">
        <f t="shared" ca="1" si="49"/>
        <v>0</v>
      </c>
      <c r="P436" s="131" t="str">
        <f t="shared" ca="1" si="50"/>
        <v/>
      </c>
      <c r="Q436" s="111" t="str">
        <f ca="1">IF(C436="","",Q435+(E436+H436-IF(RESULTADOS!$C$17="Normal",I436,0)-J436)/2+(F436+G436-IF(RESULTADOS!$C$17="Normal",0,I436)))</f>
        <v/>
      </c>
      <c r="R436" s="111" t="str">
        <f ca="1">IF(C436="","",R435+(E436+H436-IF(RESULTADOS!$C$17="Normal",I436,0)-J436)/2)</f>
        <v/>
      </c>
      <c r="S436" s="111">
        <f t="shared" ca="1" si="52"/>
        <v>0</v>
      </c>
      <c r="U436" s="131" t="str">
        <f t="shared" ca="1" si="53"/>
        <v/>
      </c>
      <c r="V436" s="131" t="str">
        <f t="shared" ca="1" si="51"/>
        <v/>
      </c>
      <c r="W436" s="111">
        <f ca="1">IF(OR((W435-13/12*Z435)*(1+PREMISSAS!$C$17)&lt;0,W435=""),0,(W435-13/12*Z435)*(1+PREMISSAS!$C$17))</f>
        <v>0</v>
      </c>
      <c r="X436" s="111">
        <f ca="1">IF(OR((X435-13/12*AA435)*(1+PREMISSAS!$C$17)&lt;0,X435=""),0,(X435-13/12*AA435)*(1+PREMISSAS!$C$17))</f>
        <v>0</v>
      </c>
      <c r="Y436" s="111">
        <f t="shared" ca="1" si="48"/>
        <v>0</v>
      </c>
      <c r="Z436" s="134">
        <f t="shared" ca="1" si="54"/>
        <v>0</v>
      </c>
      <c r="AA436" s="134">
        <f t="shared" ca="1" si="55"/>
        <v>0</v>
      </c>
    </row>
    <row r="437" spans="2:27" x14ac:dyDescent="0.3">
      <c r="B437" s="21" t="str">
        <f ca="1">IF(B436="","",IF(EOMONTH(B436,1)&gt;EOMONTH(ELEGIBILIDADE!$E$5,0),"",EOMONTH(B436,1)))</f>
        <v/>
      </c>
      <c r="C437" s="22" t="str">
        <f ca="1">IF(B437="","",IF(MONTH(B437)=1,C436*(1+PREMISSAS!$C$58),C436))</f>
        <v/>
      </c>
      <c r="D437" s="22">
        <f ca="1">IF(RESULTADOS!$C$17="Normal",IFERROR(MAX(C437-PREMISSAS!$C$14,0),0),IF(PREMISSAS!$H$117=0,0,MAX(10*PREMISSAS!$C$39,RESULTADOS!$F$17)))</f>
        <v>0</v>
      </c>
      <c r="E437" s="4">
        <f ca="1">D437*IF(RESULTADOS!$C$17="Normal",RESULTADOS!$C$16,0)</f>
        <v>0</v>
      </c>
      <c r="F437" s="4">
        <f ca="1">IF(D437&lt;&gt;0,PREMISSAS!$N$83,0)</f>
        <v>0</v>
      </c>
      <c r="G437" s="4">
        <f ca="1">IFERROR(IF(RESULTADOS!$C$17="Normal",0,D437)*IF(RESULTADOS!$C$17="Normal",RESULTADOS!$C$18,RESULTADOS!$C$16),0)</f>
        <v>0</v>
      </c>
      <c r="H437" s="4">
        <f ca="1">IF(RESULTADOS!$C$17="Normal",E437,0)</f>
        <v>0</v>
      </c>
      <c r="I437" s="4">
        <f ca="1">(E437+H437+G437)*IFERROR(VLOOKUP(INT(COUNT($B$5:B437)/12),PREMISSAS!$B$62:$C$69,2,FALSE),PREMISSAS!$C$69)</f>
        <v>0</v>
      </c>
      <c r="J437" s="4">
        <f ca="1">D437*IF(RESULTADOS!$C$17="Normal",PREMISSAS!$C$71,0)</f>
        <v>0</v>
      </c>
      <c r="K437" s="87">
        <f ca="1">IFERROR(K436*(1+PREMISSAS!$C$19)+(E437+H437-IF(RESULTADOS!$C$17="Normal",I437,0)-J437)*IF(MONTH(B437)=12,2,1),0)</f>
        <v>0</v>
      </c>
      <c r="L437" s="87">
        <f ca="1">IFERROR((L436+G437-IF(RESULTADOS!$C$17="Normal",0,I437))*(1+PREMISSAS!$C$19)+F437,0)</f>
        <v>0</v>
      </c>
      <c r="N437" s="58">
        <f t="shared" ca="1" si="49"/>
        <v>0</v>
      </c>
      <c r="P437" s="131" t="str">
        <f t="shared" ca="1" si="50"/>
        <v/>
      </c>
      <c r="Q437" s="111" t="str">
        <f ca="1">IF(C437="","",Q436+(E437+H437-IF(RESULTADOS!$C$17="Normal",I437,0)-J437)/2+(F437+G437-IF(RESULTADOS!$C$17="Normal",0,I437)))</f>
        <v/>
      </c>
      <c r="R437" s="111" t="str">
        <f ca="1">IF(C437="","",R436+(E437+H437-IF(RESULTADOS!$C$17="Normal",I437,0)-J437)/2)</f>
        <v/>
      </c>
      <c r="S437" s="111">
        <f t="shared" ca="1" si="52"/>
        <v>0</v>
      </c>
      <c r="U437" s="131" t="str">
        <f t="shared" ca="1" si="53"/>
        <v/>
      </c>
      <c r="V437" s="131" t="str">
        <f t="shared" ca="1" si="51"/>
        <v/>
      </c>
      <c r="W437" s="111">
        <f ca="1">IF(OR((W436-13/12*Z436)*(1+PREMISSAS!$C$17)&lt;0,W436=""),0,(W436-13/12*Z436)*(1+PREMISSAS!$C$17))</f>
        <v>0</v>
      </c>
      <c r="X437" s="111">
        <f ca="1">IF(OR((X436-13/12*AA436)*(1+PREMISSAS!$C$17)&lt;0,X436=""),0,(X436-13/12*AA436)*(1+PREMISSAS!$C$17))</f>
        <v>0</v>
      </c>
      <c r="Y437" s="111">
        <f t="shared" ca="1" si="48"/>
        <v>0</v>
      </c>
      <c r="Z437" s="134">
        <f t="shared" ca="1" si="54"/>
        <v>0</v>
      </c>
      <c r="AA437" s="134">
        <f t="shared" ca="1" si="55"/>
        <v>0</v>
      </c>
    </row>
    <row r="438" spans="2:27" x14ac:dyDescent="0.3">
      <c r="B438" s="21" t="str">
        <f ca="1">IF(B437="","",IF(EOMONTH(B437,1)&gt;EOMONTH(ELEGIBILIDADE!$E$5,0),"",EOMONTH(B437,1)))</f>
        <v/>
      </c>
      <c r="C438" s="22" t="str">
        <f ca="1">IF(B438="","",IF(MONTH(B438)=1,C437*(1+PREMISSAS!$C$58),C437))</f>
        <v/>
      </c>
      <c r="D438" s="22">
        <f ca="1">IF(RESULTADOS!$C$17="Normal",IFERROR(MAX(C438-PREMISSAS!$C$14,0),0),IF(PREMISSAS!$H$117=0,0,MAX(10*PREMISSAS!$C$39,RESULTADOS!$F$17)))</f>
        <v>0</v>
      </c>
      <c r="E438" s="4">
        <f ca="1">D438*IF(RESULTADOS!$C$17="Normal",RESULTADOS!$C$16,0)</f>
        <v>0</v>
      </c>
      <c r="F438" s="4">
        <f ca="1">IF(D438&lt;&gt;0,PREMISSAS!$N$83,0)</f>
        <v>0</v>
      </c>
      <c r="G438" s="4">
        <f ca="1">IFERROR(IF(RESULTADOS!$C$17="Normal",0,D438)*IF(RESULTADOS!$C$17="Normal",RESULTADOS!$C$18,RESULTADOS!$C$16),0)</f>
        <v>0</v>
      </c>
      <c r="H438" s="4">
        <f ca="1">IF(RESULTADOS!$C$17="Normal",E438,0)</f>
        <v>0</v>
      </c>
      <c r="I438" s="4">
        <f ca="1">(E438+H438+G438)*IFERROR(VLOOKUP(INT(COUNT($B$5:B438)/12),PREMISSAS!$B$62:$C$69,2,FALSE),PREMISSAS!$C$69)</f>
        <v>0</v>
      </c>
      <c r="J438" s="4">
        <f ca="1">D438*IF(RESULTADOS!$C$17="Normal",PREMISSAS!$C$71,0)</f>
        <v>0</v>
      </c>
      <c r="K438" s="87">
        <f ca="1">IFERROR(K437*(1+PREMISSAS!$C$19)+(E438+H438-IF(RESULTADOS!$C$17="Normal",I438,0)-J438)*IF(MONTH(B438)=12,2,1),0)</f>
        <v>0</v>
      </c>
      <c r="L438" s="87">
        <f ca="1">IFERROR((L437+G438-IF(RESULTADOS!$C$17="Normal",0,I438))*(1+PREMISSAS!$C$19)+F438,0)</f>
        <v>0</v>
      </c>
      <c r="N438" s="58">
        <f t="shared" ca="1" si="49"/>
        <v>0</v>
      </c>
      <c r="P438" s="131" t="str">
        <f t="shared" ca="1" si="50"/>
        <v/>
      </c>
      <c r="Q438" s="111" t="str">
        <f ca="1">IF(C438="","",Q437+(E438+H438-IF(RESULTADOS!$C$17="Normal",I438,0)-J438)/2+(F438+G438-IF(RESULTADOS!$C$17="Normal",0,I438)))</f>
        <v/>
      </c>
      <c r="R438" s="111" t="str">
        <f ca="1">IF(C438="","",R437+(E438+H438-IF(RESULTADOS!$C$17="Normal",I438,0)-J438)/2)</f>
        <v/>
      </c>
      <c r="S438" s="111">
        <f t="shared" ca="1" si="52"/>
        <v>0</v>
      </c>
      <c r="U438" s="131" t="str">
        <f t="shared" ca="1" si="53"/>
        <v/>
      </c>
      <c r="V438" s="131" t="str">
        <f t="shared" ca="1" si="51"/>
        <v/>
      </c>
      <c r="W438" s="111">
        <f ca="1">IF(OR((W437-13/12*Z437)*(1+PREMISSAS!$C$17)&lt;0,W437=""),0,(W437-13/12*Z437)*(1+PREMISSAS!$C$17))</f>
        <v>0</v>
      </c>
      <c r="X438" s="111">
        <f ca="1">IF(OR((X437-13/12*AA437)*(1+PREMISSAS!$C$17)&lt;0,X437=""),0,(X437-13/12*AA437)*(1+PREMISSAS!$C$17))</f>
        <v>0</v>
      </c>
      <c r="Y438" s="111">
        <f t="shared" ca="1" si="48"/>
        <v>0</v>
      </c>
      <c r="Z438" s="134">
        <f t="shared" ca="1" si="54"/>
        <v>0</v>
      </c>
      <c r="AA438" s="134">
        <f t="shared" ca="1" si="55"/>
        <v>0</v>
      </c>
    </row>
    <row r="439" spans="2:27" x14ac:dyDescent="0.3">
      <c r="B439" s="21" t="str">
        <f ca="1">IF(B438="","",IF(EOMONTH(B438,1)&gt;EOMONTH(ELEGIBILIDADE!$E$5,0),"",EOMONTH(B438,1)))</f>
        <v/>
      </c>
      <c r="C439" s="22" t="str">
        <f ca="1">IF(B439="","",IF(MONTH(B439)=1,C438*(1+PREMISSAS!$C$58),C438))</f>
        <v/>
      </c>
      <c r="D439" s="22">
        <f ca="1">IF(RESULTADOS!$C$17="Normal",IFERROR(MAX(C439-PREMISSAS!$C$14,0),0),IF(PREMISSAS!$H$117=0,0,MAX(10*PREMISSAS!$C$39,RESULTADOS!$F$17)))</f>
        <v>0</v>
      </c>
      <c r="E439" s="4">
        <f ca="1">D439*IF(RESULTADOS!$C$17="Normal",RESULTADOS!$C$16,0)</f>
        <v>0</v>
      </c>
      <c r="F439" s="4">
        <f ca="1">IF(D439&lt;&gt;0,PREMISSAS!$N$83,0)</f>
        <v>0</v>
      </c>
      <c r="G439" s="4">
        <f ca="1">IFERROR(IF(RESULTADOS!$C$17="Normal",0,D439)*IF(RESULTADOS!$C$17="Normal",RESULTADOS!$C$18,RESULTADOS!$C$16),0)</f>
        <v>0</v>
      </c>
      <c r="H439" s="4">
        <f ca="1">IF(RESULTADOS!$C$17="Normal",E439,0)</f>
        <v>0</v>
      </c>
      <c r="I439" s="4">
        <f ca="1">(E439+H439+G439)*IFERROR(VLOOKUP(INT(COUNT($B$5:B439)/12),PREMISSAS!$B$62:$C$69,2,FALSE),PREMISSAS!$C$69)</f>
        <v>0</v>
      </c>
      <c r="J439" s="4">
        <f ca="1">D439*IF(RESULTADOS!$C$17="Normal",PREMISSAS!$C$71,0)</f>
        <v>0</v>
      </c>
      <c r="K439" s="87">
        <f ca="1">IFERROR(K438*(1+PREMISSAS!$C$19)+(E439+H439-IF(RESULTADOS!$C$17="Normal",I439,0)-J439)*IF(MONTH(B439)=12,2,1),0)</f>
        <v>0</v>
      </c>
      <c r="L439" s="87">
        <f ca="1">IFERROR((L438+G439-IF(RESULTADOS!$C$17="Normal",0,I439))*(1+PREMISSAS!$C$19)+F439,0)</f>
        <v>0</v>
      </c>
      <c r="N439" s="58">
        <f t="shared" ca="1" si="49"/>
        <v>0</v>
      </c>
      <c r="P439" s="131" t="str">
        <f t="shared" ca="1" si="50"/>
        <v/>
      </c>
      <c r="Q439" s="111" t="str">
        <f ca="1">IF(C439="","",Q438+(E439+H439-IF(RESULTADOS!$C$17="Normal",I439,0)-J439)/2+(F439+G439-IF(RESULTADOS!$C$17="Normal",0,I439)))</f>
        <v/>
      </c>
      <c r="R439" s="111" t="str">
        <f ca="1">IF(C439="","",R438+(E439+H439-IF(RESULTADOS!$C$17="Normal",I439,0)-J439)/2)</f>
        <v/>
      </c>
      <c r="S439" s="111">
        <f t="shared" ca="1" si="52"/>
        <v>0</v>
      </c>
      <c r="U439" s="131" t="str">
        <f t="shared" ca="1" si="53"/>
        <v/>
      </c>
      <c r="V439" s="131" t="str">
        <f t="shared" ca="1" si="51"/>
        <v/>
      </c>
      <c r="W439" s="111">
        <f ca="1">IF(OR((W438-13/12*Z438)*(1+PREMISSAS!$C$17)&lt;0,W438=""),0,(W438-13/12*Z438)*(1+PREMISSAS!$C$17))</f>
        <v>0</v>
      </c>
      <c r="X439" s="111">
        <f ca="1">IF(OR((X438-13/12*AA438)*(1+PREMISSAS!$C$17)&lt;0,X438=""),0,(X438-13/12*AA438)*(1+PREMISSAS!$C$17))</f>
        <v>0</v>
      </c>
      <c r="Y439" s="111">
        <f t="shared" ca="1" si="48"/>
        <v>0</v>
      </c>
      <c r="Z439" s="134">
        <f t="shared" ca="1" si="54"/>
        <v>0</v>
      </c>
      <c r="AA439" s="134">
        <f t="shared" ca="1" si="55"/>
        <v>0</v>
      </c>
    </row>
    <row r="440" spans="2:27" x14ac:dyDescent="0.3">
      <c r="B440" s="21" t="str">
        <f ca="1">IF(B439="","",IF(EOMONTH(B439,1)&gt;EOMONTH(ELEGIBILIDADE!$E$5,0),"",EOMONTH(B439,1)))</f>
        <v/>
      </c>
      <c r="C440" s="22" t="str">
        <f ca="1">IF(B440="","",IF(MONTH(B440)=1,C439*(1+PREMISSAS!$C$58),C439))</f>
        <v/>
      </c>
      <c r="D440" s="22">
        <f ca="1">IF(RESULTADOS!$C$17="Normal",IFERROR(MAX(C440-PREMISSAS!$C$14,0),0),IF(PREMISSAS!$H$117=0,0,MAX(10*PREMISSAS!$C$39,RESULTADOS!$F$17)))</f>
        <v>0</v>
      </c>
      <c r="E440" s="4">
        <f ca="1">D440*IF(RESULTADOS!$C$17="Normal",RESULTADOS!$C$16,0)</f>
        <v>0</v>
      </c>
      <c r="F440" s="4">
        <f ca="1">IF(D440&lt;&gt;0,PREMISSAS!$N$83,0)</f>
        <v>0</v>
      </c>
      <c r="G440" s="4">
        <f ca="1">IFERROR(IF(RESULTADOS!$C$17="Normal",0,D440)*IF(RESULTADOS!$C$17="Normal",RESULTADOS!$C$18,RESULTADOS!$C$16),0)</f>
        <v>0</v>
      </c>
      <c r="H440" s="4">
        <f ca="1">IF(RESULTADOS!$C$17="Normal",E440,0)</f>
        <v>0</v>
      </c>
      <c r="I440" s="4">
        <f ca="1">(E440+H440+G440)*IFERROR(VLOOKUP(INT(COUNT($B$5:B440)/12),PREMISSAS!$B$62:$C$69,2,FALSE),PREMISSAS!$C$69)</f>
        <v>0</v>
      </c>
      <c r="J440" s="4">
        <f ca="1">D440*IF(RESULTADOS!$C$17="Normal",PREMISSAS!$C$71,0)</f>
        <v>0</v>
      </c>
      <c r="K440" s="87">
        <f ca="1">IFERROR(K439*(1+PREMISSAS!$C$19)+(E440+H440-IF(RESULTADOS!$C$17="Normal",I440,0)-J440)*IF(MONTH(B440)=12,2,1),0)</f>
        <v>0</v>
      </c>
      <c r="L440" s="87">
        <f ca="1">IFERROR((L439+G440-IF(RESULTADOS!$C$17="Normal",0,I440))*(1+PREMISSAS!$C$19)+F440,0)</f>
        <v>0</v>
      </c>
      <c r="N440" s="58">
        <f t="shared" ca="1" si="49"/>
        <v>0</v>
      </c>
      <c r="P440" s="131" t="str">
        <f t="shared" ca="1" si="50"/>
        <v/>
      </c>
      <c r="Q440" s="111" t="str">
        <f ca="1">IF(C440="","",Q439+(E440+H440-IF(RESULTADOS!$C$17="Normal",I440,0)-J440)/2+(F440+G440-IF(RESULTADOS!$C$17="Normal",0,I440)))</f>
        <v/>
      </c>
      <c r="R440" s="111" t="str">
        <f ca="1">IF(C440="","",R439+(E440+H440-IF(RESULTADOS!$C$17="Normal",I440,0)-J440)/2)</f>
        <v/>
      </c>
      <c r="S440" s="111">
        <f t="shared" ca="1" si="52"/>
        <v>0</v>
      </c>
      <c r="U440" s="131" t="str">
        <f t="shared" ca="1" si="53"/>
        <v/>
      </c>
      <c r="V440" s="131" t="str">
        <f t="shared" ca="1" si="51"/>
        <v/>
      </c>
      <c r="W440" s="111">
        <f ca="1">IF(OR((W439-13/12*Z439)*(1+PREMISSAS!$C$17)&lt;0,W439=""),0,(W439-13/12*Z439)*(1+PREMISSAS!$C$17))</f>
        <v>0</v>
      </c>
      <c r="X440" s="111">
        <f ca="1">IF(OR((X439-13/12*AA439)*(1+PREMISSAS!$C$17)&lt;0,X439=""),0,(X439-13/12*AA439)*(1+PREMISSAS!$C$17))</f>
        <v>0</v>
      </c>
      <c r="Y440" s="111">
        <f t="shared" ca="1" si="48"/>
        <v>0</v>
      </c>
      <c r="Z440" s="134">
        <f t="shared" ca="1" si="54"/>
        <v>0</v>
      </c>
      <c r="AA440" s="134">
        <f t="shared" ca="1" si="55"/>
        <v>0</v>
      </c>
    </row>
    <row r="441" spans="2:27" x14ac:dyDescent="0.3">
      <c r="B441" s="21" t="str">
        <f ca="1">IF(B440="","",IF(EOMONTH(B440,1)&gt;EOMONTH(ELEGIBILIDADE!$E$5,0),"",EOMONTH(B440,1)))</f>
        <v/>
      </c>
      <c r="C441" s="22" t="str">
        <f ca="1">IF(B441="","",IF(MONTH(B441)=1,C440*(1+PREMISSAS!$C$58),C440))</f>
        <v/>
      </c>
      <c r="D441" s="22">
        <f ca="1">IF(RESULTADOS!$C$17="Normal",IFERROR(MAX(C441-PREMISSAS!$C$14,0),0),IF(PREMISSAS!$H$117=0,0,MAX(10*PREMISSAS!$C$39,RESULTADOS!$F$17)))</f>
        <v>0</v>
      </c>
      <c r="E441" s="4">
        <f ca="1">D441*IF(RESULTADOS!$C$17="Normal",RESULTADOS!$C$16,0)</f>
        <v>0</v>
      </c>
      <c r="F441" s="4">
        <f ca="1">IF(D441&lt;&gt;0,PREMISSAS!$N$83,0)</f>
        <v>0</v>
      </c>
      <c r="G441" s="4">
        <f ca="1">IFERROR(IF(RESULTADOS!$C$17="Normal",0,D441)*IF(RESULTADOS!$C$17="Normal",RESULTADOS!$C$18,RESULTADOS!$C$16),0)</f>
        <v>0</v>
      </c>
      <c r="H441" s="4">
        <f ca="1">IF(RESULTADOS!$C$17="Normal",E441,0)</f>
        <v>0</v>
      </c>
      <c r="I441" s="4">
        <f ca="1">(E441+H441+G441)*IFERROR(VLOOKUP(INT(COUNT($B$5:B441)/12),PREMISSAS!$B$62:$C$69,2,FALSE),PREMISSAS!$C$69)</f>
        <v>0</v>
      </c>
      <c r="J441" s="4">
        <f ca="1">D441*IF(RESULTADOS!$C$17="Normal",PREMISSAS!$C$71,0)</f>
        <v>0</v>
      </c>
      <c r="K441" s="87">
        <f ca="1">IFERROR(K440*(1+PREMISSAS!$C$19)+(E441+H441-IF(RESULTADOS!$C$17="Normal",I441,0)-J441)*IF(MONTH(B441)=12,2,1),0)</f>
        <v>0</v>
      </c>
      <c r="L441" s="87">
        <f ca="1">IFERROR((L440+G441-IF(RESULTADOS!$C$17="Normal",0,I441))*(1+PREMISSAS!$C$19)+F441,0)</f>
        <v>0</v>
      </c>
      <c r="N441" s="58">
        <f t="shared" ca="1" si="49"/>
        <v>0</v>
      </c>
      <c r="P441" s="131" t="str">
        <f t="shared" ca="1" si="50"/>
        <v/>
      </c>
      <c r="Q441" s="111" t="str">
        <f ca="1">IF(C441="","",Q440+(E441+H441-IF(RESULTADOS!$C$17="Normal",I441,0)-J441)/2+(F441+G441-IF(RESULTADOS!$C$17="Normal",0,I441)))</f>
        <v/>
      </c>
      <c r="R441" s="111" t="str">
        <f ca="1">IF(C441="","",R440+(E441+H441-IF(RESULTADOS!$C$17="Normal",I441,0)-J441)/2)</f>
        <v/>
      </c>
      <c r="S441" s="111">
        <f t="shared" ca="1" si="52"/>
        <v>0</v>
      </c>
      <c r="U441" s="131" t="str">
        <f t="shared" ca="1" si="53"/>
        <v/>
      </c>
      <c r="V441" s="131" t="str">
        <f t="shared" ca="1" si="51"/>
        <v/>
      </c>
      <c r="W441" s="111">
        <f ca="1">IF(OR((W440-13/12*Z440)*(1+PREMISSAS!$C$17)&lt;0,W440=""),0,(W440-13/12*Z440)*(1+PREMISSAS!$C$17))</f>
        <v>0</v>
      </c>
      <c r="X441" s="111">
        <f ca="1">IF(OR((X440-13/12*AA440)*(1+PREMISSAS!$C$17)&lt;0,X440=""),0,(X440-13/12*AA440)*(1+PREMISSAS!$C$17))</f>
        <v>0</v>
      </c>
      <c r="Y441" s="111">
        <f t="shared" ca="1" si="48"/>
        <v>0</v>
      </c>
      <c r="Z441" s="134">
        <f t="shared" ca="1" si="54"/>
        <v>0</v>
      </c>
      <c r="AA441" s="134">
        <f t="shared" ca="1" si="55"/>
        <v>0</v>
      </c>
    </row>
    <row r="442" spans="2:27" x14ac:dyDescent="0.3">
      <c r="B442" s="21" t="str">
        <f ca="1">IF(B441="","",IF(EOMONTH(B441,1)&gt;EOMONTH(ELEGIBILIDADE!$E$5,0),"",EOMONTH(B441,1)))</f>
        <v/>
      </c>
      <c r="C442" s="22" t="str">
        <f ca="1">IF(B442="","",IF(MONTH(B442)=1,C441*(1+PREMISSAS!$C$58),C441))</f>
        <v/>
      </c>
      <c r="D442" s="22">
        <f ca="1">IF(RESULTADOS!$C$17="Normal",IFERROR(MAX(C442-PREMISSAS!$C$14,0),0),IF(PREMISSAS!$H$117=0,0,MAX(10*PREMISSAS!$C$39,RESULTADOS!$F$17)))</f>
        <v>0</v>
      </c>
      <c r="E442" s="4">
        <f ca="1">D442*IF(RESULTADOS!$C$17="Normal",RESULTADOS!$C$16,0)</f>
        <v>0</v>
      </c>
      <c r="F442" s="4">
        <f ca="1">IF(D442&lt;&gt;0,PREMISSAS!$N$83,0)</f>
        <v>0</v>
      </c>
      <c r="G442" s="4">
        <f ca="1">IFERROR(IF(RESULTADOS!$C$17="Normal",0,D442)*IF(RESULTADOS!$C$17="Normal",RESULTADOS!$C$18,RESULTADOS!$C$16),0)</f>
        <v>0</v>
      </c>
      <c r="H442" s="4">
        <f ca="1">IF(RESULTADOS!$C$17="Normal",E442,0)</f>
        <v>0</v>
      </c>
      <c r="I442" s="4">
        <f ca="1">(E442+H442+G442)*IFERROR(VLOOKUP(INT(COUNT($B$5:B442)/12),PREMISSAS!$B$62:$C$69,2,FALSE),PREMISSAS!$C$69)</f>
        <v>0</v>
      </c>
      <c r="J442" s="4">
        <f ca="1">D442*IF(RESULTADOS!$C$17="Normal",PREMISSAS!$C$71,0)</f>
        <v>0</v>
      </c>
      <c r="K442" s="87">
        <f ca="1">IFERROR(K441*(1+PREMISSAS!$C$19)+(E442+H442-IF(RESULTADOS!$C$17="Normal",I442,0)-J442)*IF(MONTH(B442)=12,2,1),0)</f>
        <v>0</v>
      </c>
      <c r="L442" s="87">
        <f ca="1">IFERROR((L441+G442-IF(RESULTADOS!$C$17="Normal",0,I442))*(1+PREMISSAS!$C$19)+F442,0)</f>
        <v>0</v>
      </c>
      <c r="N442" s="58">
        <f t="shared" ca="1" si="49"/>
        <v>0</v>
      </c>
      <c r="P442" s="131" t="str">
        <f t="shared" ca="1" si="50"/>
        <v/>
      </c>
      <c r="Q442" s="111" t="str">
        <f ca="1">IF(C442="","",Q441+(E442+H442-IF(RESULTADOS!$C$17="Normal",I442,0)-J442)/2+(F442+G442-IF(RESULTADOS!$C$17="Normal",0,I442)))</f>
        <v/>
      </c>
      <c r="R442" s="111" t="str">
        <f ca="1">IF(C442="","",R441+(E442+H442-IF(RESULTADOS!$C$17="Normal",I442,0)-J442)/2)</f>
        <v/>
      </c>
      <c r="S442" s="111">
        <f t="shared" ca="1" si="52"/>
        <v>0</v>
      </c>
      <c r="U442" s="131" t="str">
        <f t="shared" ca="1" si="53"/>
        <v/>
      </c>
      <c r="V442" s="131" t="str">
        <f t="shared" ca="1" si="51"/>
        <v/>
      </c>
      <c r="W442" s="111">
        <f ca="1">IF(OR((W441-13/12*Z441)*(1+PREMISSAS!$C$17)&lt;0,W441=""),0,(W441-13/12*Z441)*(1+PREMISSAS!$C$17))</f>
        <v>0</v>
      </c>
      <c r="X442" s="111">
        <f ca="1">IF(OR((X441-13/12*AA441)*(1+PREMISSAS!$C$17)&lt;0,X441=""),0,(X441-13/12*AA441)*(1+PREMISSAS!$C$17))</f>
        <v>0</v>
      </c>
      <c r="Y442" s="111">
        <f t="shared" ca="1" si="48"/>
        <v>0</v>
      </c>
      <c r="Z442" s="134">
        <f t="shared" ca="1" si="54"/>
        <v>0</v>
      </c>
      <c r="AA442" s="134">
        <f t="shared" ca="1" si="55"/>
        <v>0</v>
      </c>
    </row>
    <row r="443" spans="2:27" x14ac:dyDescent="0.3">
      <c r="B443" s="21" t="str">
        <f ca="1">IF(B442="","",IF(EOMONTH(B442,1)&gt;EOMONTH(ELEGIBILIDADE!$E$5,0),"",EOMONTH(B442,1)))</f>
        <v/>
      </c>
      <c r="C443" s="22" t="str">
        <f ca="1">IF(B443="","",IF(MONTH(B443)=1,C442*(1+PREMISSAS!$C$58),C442))</f>
        <v/>
      </c>
      <c r="D443" s="22">
        <f ca="1">IF(RESULTADOS!$C$17="Normal",IFERROR(MAX(C443-PREMISSAS!$C$14,0),0),IF(PREMISSAS!$H$117=0,0,MAX(10*PREMISSAS!$C$39,RESULTADOS!$F$17)))</f>
        <v>0</v>
      </c>
      <c r="E443" s="4">
        <f ca="1">D443*IF(RESULTADOS!$C$17="Normal",RESULTADOS!$C$16,0)</f>
        <v>0</v>
      </c>
      <c r="F443" s="4">
        <f ca="1">IF(D443&lt;&gt;0,PREMISSAS!$N$83,0)</f>
        <v>0</v>
      </c>
      <c r="G443" s="4">
        <f ca="1">IFERROR(IF(RESULTADOS!$C$17="Normal",0,D443)*IF(RESULTADOS!$C$17="Normal",RESULTADOS!$C$18,RESULTADOS!$C$16),0)</f>
        <v>0</v>
      </c>
      <c r="H443" s="4">
        <f ca="1">IF(RESULTADOS!$C$17="Normal",E443,0)</f>
        <v>0</v>
      </c>
      <c r="I443" s="4">
        <f ca="1">(E443+H443+G443)*IFERROR(VLOOKUP(INT(COUNT($B$5:B443)/12),PREMISSAS!$B$62:$C$69,2,FALSE),PREMISSAS!$C$69)</f>
        <v>0</v>
      </c>
      <c r="J443" s="4">
        <f ca="1">D443*IF(RESULTADOS!$C$17="Normal",PREMISSAS!$C$71,0)</f>
        <v>0</v>
      </c>
      <c r="K443" s="87">
        <f ca="1">IFERROR(K442*(1+PREMISSAS!$C$19)+(E443+H443-IF(RESULTADOS!$C$17="Normal",I443,0)-J443)*IF(MONTH(B443)=12,2,1),0)</f>
        <v>0</v>
      </c>
      <c r="L443" s="87">
        <f ca="1">IFERROR((L442+G443-IF(RESULTADOS!$C$17="Normal",0,I443))*(1+PREMISSAS!$C$19)+F443,0)</f>
        <v>0</v>
      </c>
      <c r="N443" s="58">
        <f t="shared" ca="1" si="49"/>
        <v>0</v>
      </c>
      <c r="P443" s="131" t="str">
        <f t="shared" ca="1" si="50"/>
        <v/>
      </c>
      <c r="Q443" s="111" t="str">
        <f ca="1">IF(C443="","",Q442+(E443+H443-IF(RESULTADOS!$C$17="Normal",I443,0)-J443)/2+(F443+G443-IF(RESULTADOS!$C$17="Normal",0,I443)))</f>
        <v/>
      </c>
      <c r="R443" s="111" t="str">
        <f ca="1">IF(C443="","",R442+(E443+H443-IF(RESULTADOS!$C$17="Normal",I443,0)-J443)/2)</f>
        <v/>
      </c>
      <c r="S443" s="111">
        <f t="shared" ca="1" si="52"/>
        <v>0</v>
      </c>
      <c r="U443" s="131" t="str">
        <f t="shared" ca="1" si="53"/>
        <v/>
      </c>
      <c r="V443" s="131" t="str">
        <f t="shared" ca="1" si="51"/>
        <v/>
      </c>
      <c r="W443" s="111">
        <f ca="1">IF(OR((W442-13/12*Z442)*(1+PREMISSAS!$C$17)&lt;0,W442=""),0,(W442-13/12*Z442)*(1+PREMISSAS!$C$17))</f>
        <v>0</v>
      </c>
      <c r="X443" s="111">
        <f ca="1">IF(OR((X442-13/12*AA442)*(1+PREMISSAS!$C$17)&lt;0,X442=""),0,(X442-13/12*AA442)*(1+PREMISSAS!$C$17))</f>
        <v>0</v>
      </c>
      <c r="Y443" s="111">
        <f t="shared" ref="Y443:Y506" ca="1" si="56">SUM(W443:X443)</f>
        <v>0</v>
      </c>
      <c r="Z443" s="134">
        <f t="shared" ca="1" si="54"/>
        <v>0</v>
      </c>
      <c r="AA443" s="134">
        <f t="shared" ca="1" si="55"/>
        <v>0</v>
      </c>
    </row>
    <row r="444" spans="2:27" x14ac:dyDescent="0.3">
      <c r="B444" s="21" t="str">
        <f ca="1">IF(B443="","",IF(EOMONTH(B443,1)&gt;EOMONTH(ELEGIBILIDADE!$E$5,0),"",EOMONTH(B443,1)))</f>
        <v/>
      </c>
      <c r="C444" s="22" t="str">
        <f ca="1">IF(B444="","",IF(MONTH(B444)=1,C443*(1+PREMISSAS!$C$58),C443))</f>
        <v/>
      </c>
      <c r="D444" s="22">
        <f ca="1">IF(RESULTADOS!$C$17="Normal",IFERROR(MAX(C444-PREMISSAS!$C$14,0),0),IF(PREMISSAS!$H$117=0,0,MAX(10*PREMISSAS!$C$39,RESULTADOS!$F$17)))</f>
        <v>0</v>
      </c>
      <c r="E444" s="4">
        <f ca="1">D444*IF(RESULTADOS!$C$17="Normal",RESULTADOS!$C$16,0)</f>
        <v>0</v>
      </c>
      <c r="F444" s="4">
        <f ca="1">IF(D444&lt;&gt;0,PREMISSAS!$N$83,0)</f>
        <v>0</v>
      </c>
      <c r="G444" s="4">
        <f ca="1">IFERROR(IF(RESULTADOS!$C$17="Normal",0,D444)*IF(RESULTADOS!$C$17="Normal",RESULTADOS!$C$18,RESULTADOS!$C$16),0)</f>
        <v>0</v>
      </c>
      <c r="H444" s="4">
        <f ca="1">IF(RESULTADOS!$C$17="Normal",E444,0)</f>
        <v>0</v>
      </c>
      <c r="I444" s="4">
        <f ca="1">(E444+H444+G444)*IFERROR(VLOOKUP(INT(COUNT($B$5:B444)/12),PREMISSAS!$B$62:$C$69,2,FALSE),PREMISSAS!$C$69)</f>
        <v>0</v>
      </c>
      <c r="J444" s="4">
        <f ca="1">D444*IF(RESULTADOS!$C$17="Normal",PREMISSAS!$C$71,0)</f>
        <v>0</v>
      </c>
      <c r="K444" s="87">
        <f ca="1">IFERROR(K443*(1+PREMISSAS!$C$19)+(E444+H444-IF(RESULTADOS!$C$17="Normal",I444,0)-J444)*IF(MONTH(B444)=12,2,1),0)</f>
        <v>0</v>
      </c>
      <c r="L444" s="87">
        <f ca="1">IFERROR((L443+G444-IF(RESULTADOS!$C$17="Normal",0,I444))*(1+PREMISSAS!$C$19)+F444,0)</f>
        <v>0</v>
      </c>
      <c r="N444" s="58">
        <f t="shared" ca="1" si="49"/>
        <v>0</v>
      </c>
      <c r="P444" s="131" t="str">
        <f t="shared" ca="1" si="50"/>
        <v/>
      </c>
      <c r="Q444" s="111" t="str">
        <f ca="1">IF(C444="","",Q443+(E444+H444-IF(RESULTADOS!$C$17="Normal",I444,0)-J444)/2+(F444+G444-IF(RESULTADOS!$C$17="Normal",0,I444)))</f>
        <v/>
      </c>
      <c r="R444" s="111" t="str">
        <f ca="1">IF(C444="","",R443+(E444+H444-IF(RESULTADOS!$C$17="Normal",I444,0)-J444)/2)</f>
        <v/>
      </c>
      <c r="S444" s="111">
        <f t="shared" ca="1" si="52"/>
        <v>0</v>
      </c>
      <c r="U444" s="131" t="str">
        <f t="shared" ca="1" si="53"/>
        <v/>
      </c>
      <c r="V444" s="131" t="str">
        <f t="shared" ca="1" si="51"/>
        <v/>
      </c>
      <c r="W444" s="111">
        <f ca="1">IF(OR((W443-13/12*Z443)*(1+PREMISSAS!$C$17)&lt;0,W443=""),0,(W443-13/12*Z443)*(1+PREMISSAS!$C$17))</f>
        <v>0</v>
      </c>
      <c r="X444" s="111">
        <f ca="1">IF(OR((X443-13/12*AA443)*(1+PREMISSAS!$C$17)&lt;0,X443=""),0,(X443-13/12*AA443)*(1+PREMISSAS!$C$17))</f>
        <v>0</v>
      </c>
      <c r="Y444" s="111">
        <f t="shared" ca="1" si="56"/>
        <v>0</v>
      </c>
      <c r="Z444" s="134">
        <f t="shared" ca="1" si="54"/>
        <v>0</v>
      </c>
      <c r="AA444" s="134">
        <f t="shared" ca="1" si="55"/>
        <v>0</v>
      </c>
    </row>
    <row r="445" spans="2:27" x14ac:dyDescent="0.3">
      <c r="B445" s="21" t="str">
        <f ca="1">IF(B444="","",IF(EOMONTH(B444,1)&gt;EOMONTH(ELEGIBILIDADE!$E$5,0),"",EOMONTH(B444,1)))</f>
        <v/>
      </c>
      <c r="C445" s="22" t="str">
        <f ca="1">IF(B445="","",IF(MONTH(B445)=1,C444*(1+PREMISSAS!$C$58),C444))</f>
        <v/>
      </c>
      <c r="D445" s="22">
        <f ca="1">IF(RESULTADOS!$C$17="Normal",IFERROR(MAX(C445-PREMISSAS!$C$14,0),0),IF(PREMISSAS!$H$117=0,0,MAX(10*PREMISSAS!$C$39,RESULTADOS!$F$17)))</f>
        <v>0</v>
      </c>
      <c r="E445" s="4">
        <f ca="1">D445*IF(RESULTADOS!$C$17="Normal",RESULTADOS!$C$16,0)</f>
        <v>0</v>
      </c>
      <c r="F445" s="4">
        <f ca="1">IF(D445&lt;&gt;0,PREMISSAS!$N$83,0)</f>
        <v>0</v>
      </c>
      <c r="G445" s="4">
        <f ca="1">IFERROR(IF(RESULTADOS!$C$17="Normal",0,D445)*IF(RESULTADOS!$C$17="Normal",RESULTADOS!$C$18,RESULTADOS!$C$16),0)</f>
        <v>0</v>
      </c>
      <c r="H445" s="4">
        <f ca="1">IF(RESULTADOS!$C$17="Normal",E445,0)</f>
        <v>0</v>
      </c>
      <c r="I445" s="4">
        <f ca="1">(E445+H445+G445)*IFERROR(VLOOKUP(INT(COUNT($B$5:B445)/12),PREMISSAS!$B$62:$C$69,2,FALSE),PREMISSAS!$C$69)</f>
        <v>0</v>
      </c>
      <c r="J445" s="4">
        <f ca="1">D445*IF(RESULTADOS!$C$17="Normal",PREMISSAS!$C$71,0)</f>
        <v>0</v>
      </c>
      <c r="K445" s="87">
        <f ca="1">IFERROR(K444*(1+PREMISSAS!$C$19)+(E445+H445-IF(RESULTADOS!$C$17="Normal",I445,0)-J445)*IF(MONTH(B445)=12,2,1),0)</f>
        <v>0</v>
      </c>
      <c r="L445" s="87">
        <f ca="1">IFERROR((L444+G445-IF(RESULTADOS!$C$17="Normal",0,I445))*(1+PREMISSAS!$C$19)+F445,0)</f>
        <v>0</v>
      </c>
      <c r="N445" s="58">
        <f t="shared" ca="1" si="49"/>
        <v>0</v>
      </c>
      <c r="P445" s="131" t="str">
        <f t="shared" ca="1" si="50"/>
        <v/>
      </c>
      <c r="Q445" s="111" t="str">
        <f ca="1">IF(C445="","",Q444+(E445+H445-IF(RESULTADOS!$C$17="Normal",I445,0)-J445)/2+(F445+G445-IF(RESULTADOS!$C$17="Normal",0,I445)))</f>
        <v/>
      </c>
      <c r="R445" s="111" t="str">
        <f ca="1">IF(C445="","",R444+(E445+H445-IF(RESULTADOS!$C$17="Normal",I445,0)-J445)/2)</f>
        <v/>
      </c>
      <c r="S445" s="111">
        <f t="shared" ca="1" si="52"/>
        <v>0</v>
      </c>
      <c r="U445" s="131" t="str">
        <f t="shared" ca="1" si="53"/>
        <v/>
      </c>
      <c r="V445" s="131" t="str">
        <f t="shared" ca="1" si="51"/>
        <v/>
      </c>
      <c r="W445" s="111">
        <f ca="1">IF(OR((W444-13/12*Z444)*(1+PREMISSAS!$C$17)&lt;0,W444=""),0,(W444-13/12*Z444)*(1+PREMISSAS!$C$17))</f>
        <v>0</v>
      </c>
      <c r="X445" s="111">
        <f ca="1">IF(OR((X444-13/12*AA444)*(1+PREMISSAS!$C$17)&lt;0,X444=""),0,(X444-13/12*AA444)*(1+PREMISSAS!$C$17))</f>
        <v>0</v>
      </c>
      <c r="Y445" s="111">
        <f t="shared" ca="1" si="56"/>
        <v>0</v>
      </c>
      <c r="Z445" s="134">
        <f t="shared" ca="1" si="54"/>
        <v>0</v>
      </c>
      <c r="AA445" s="134">
        <f t="shared" ca="1" si="55"/>
        <v>0</v>
      </c>
    </row>
    <row r="446" spans="2:27" x14ac:dyDescent="0.3">
      <c r="B446" s="21" t="str">
        <f ca="1">IF(B445="","",IF(EOMONTH(B445,1)&gt;EOMONTH(ELEGIBILIDADE!$E$5,0),"",EOMONTH(B445,1)))</f>
        <v/>
      </c>
      <c r="C446" s="22" t="str">
        <f ca="1">IF(B446="","",IF(MONTH(B446)=1,C445*(1+PREMISSAS!$C$58),C445))</f>
        <v/>
      </c>
      <c r="D446" s="22">
        <f ca="1">IF(RESULTADOS!$C$17="Normal",IFERROR(MAX(C446-PREMISSAS!$C$14,0),0),IF(PREMISSAS!$H$117=0,0,MAX(10*PREMISSAS!$C$39,RESULTADOS!$F$17)))</f>
        <v>0</v>
      </c>
      <c r="E446" s="4">
        <f ca="1">D446*IF(RESULTADOS!$C$17="Normal",RESULTADOS!$C$16,0)</f>
        <v>0</v>
      </c>
      <c r="F446" s="4">
        <f ca="1">IF(D446&lt;&gt;0,PREMISSAS!$N$83,0)</f>
        <v>0</v>
      </c>
      <c r="G446" s="4">
        <f ca="1">IFERROR(IF(RESULTADOS!$C$17="Normal",0,D446)*IF(RESULTADOS!$C$17="Normal",RESULTADOS!$C$18,RESULTADOS!$C$16),0)</f>
        <v>0</v>
      </c>
      <c r="H446" s="4">
        <f ca="1">IF(RESULTADOS!$C$17="Normal",E446,0)</f>
        <v>0</v>
      </c>
      <c r="I446" s="4">
        <f ca="1">(E446+H446+G446)*IFERROR(VLOOKUP(INT(COUNT($B$5:B446)/12),PREMISSAS!$B$62:$C$69,2,FALSE),PREMISSAS!$C$69)</f>
        <v>0</v>
      </c>
      <c r="J446" s="4">
        <f ca="1">D446*IF(RESULTADOS!$C$17="Normal",PREMISSAS!$C$71,0)</f>
        <v>0</v>
      </c>
      <c r="K446" s="87">
        <f ca="1">IFERROR(K445*(1+PREMISSAS!$C$19)+(E446+H446-IF(RESULTADOS!$C$17="Normal",I446,0)-J446)*IF(MONTH(B446)=12,2,1),0)</f>
        <v>0</v>
      </c>
      <c r="L446" s="87">
        <f ca="1">IFERROR((L445+G446-IF(RESULTADOS!$C$17="Normal",0,I446))*(1+PREMISSAS!$C$19)+F446,0)</f>
        <v>0</v>
      </c>
      <c r="N446" s="58">
        <f t="shared" ca="1" si="49"/>
        <v>0</v>
      </c>
      <c r="P446" s="131" t="str">
        <f t="shared" ca="1" si="50"/>
        <v/>
      </c>
      <c r="Q446" s="111" t="str">
        <f ca="1">IF(C446="","",Q445+(E446+H446-IF(RESULTADOS!$C$17="Normal",I446,0)-J446)/2+(F446+G446-IF(RESULTADOS!$C$17="Normal",0,I446)))</f>
        <v/>
      </c>
      <c r="R446" s="111" t="str">
        <f ca="1">IF(C446="","",R445+(E446+H446-IF(RESULTADOS!$C$17="Normal",I446,0)-J446)/2)</f>
        <v/>
      </c>
      <c r="S446" s="111">
        <f t="shared" ca="1" si="52"/>
        <v>0</v>
      </c>
      <c r="U446" s="131" t="str">
        <f t="shared" ca="1" si="53"/>
        <v/>
      </c>
      <c r="V446" s="131" t="str">
        <f t="shared" ca="1" si="51"/>
        <v/>
      </c>
      <c r="W446" s="111">
        <f ca="1">IF(OR((W445-13/12*Z445)*(1+PREMISSAS!$C$17)&lt;0,W445=""),0,(W445-13/12*Z445)*(1+PREMISSAS!$C$17))</f>
        <v>0</v>
      </c>
      <c r="X446" s="111">
        <f ca="1">IF(OR((X445-13/12*AA445)*(1+PREMISSAS!$C$17)&lt;0,X445=""),0,(X445-13/12*AA445)*(1+PREMISSAS!$C$17))</f>
        <v>0</v>
      </c>
      <c r="Y446" s="111">
        <f t="shared" ca="1" si="56"/>
        <v>0</v>
      </c>
      <c r="Z446" s="134">
        <f t="shared" ca="1" si="54"/>
        <v>0</v>
      </c>
      <c r="AA446" s="134">
        <f t="shared" ca="1" si="55"/>
        <v>0</v>
      </c>
    </row>
    <row r="447" spans="2:27" x14ac:dyDescent="0.3">
      <c r="B447" s="21" t="str">
        <f ca="1">IF(B446="","",IF(EOMONTH(B446,1)&gt;EOMONTH(ELEGIBILIDADE!$E$5,0),"",EOMONTH(B446,1)))</f>
        <v/>
      </c>
      <c r="C447" s="22" t="str">
        <f ca="1">IF(B447="","",IF(MONTH(B447)=1,C446*(1+PREMISSAS!$C$58),C446))</f>
        <v/>
      </c>
      <c r="D447" s="22">
        <f ca="1">IF(RESULTADOS!$C$17="Normal",IFERROR(MAX(C447-PREMISSAS!$C$14,0),0),IF(PREMISSAS!$H$117=0,0,MAX(10*PREMISSAS!$C$39,RESULTADOS!$F$17)))</f>
        <v>0</v>
      </c>
      <c r="E447" s="4">
        <f ca="1">D447*IF(RESULTADOS!$C$17="Normal",RESULTADOS!$C$16,0)</f>
        <v>0</v>
      </c>
      <c r="F447" s="4">
        <f ca="1">IF(D447&lt;&gt;0,PREMISSAS!$N$83,0)</f>
        <v>0</v>
      </c>
      <c r="G447" s="4">
        <f ca="1">IFERROR(IF(RESULTADOS!$C$17="Normal",0,D447)*IF(RESULTADOS!$C$17="Normal",RESULTADOS!$C$18,RESULTADOS!$C$16),0)</f>
        <v>0</v>
      </c>
      <c r="H447" s="4">
        <f ca="1">IF(RESULTADOS!$C$17="Normal",E447,0)</f>
        <v>0</v>
      </c>
      <c r="I447" s="4">
        <f ca="1">(E447+H447+G447)*IFERROR(VLOOKUP(INT(COUNT($B$5:B447)/12),PREMISSAS!$B$62:$C$69,2,FALSE),PREMISSAS!$C$69)</f>
        <v>0</v>
      </c>
      <c r="J447" s="4">
        <f ca="1">D447*IF(RESULTADOS!$C$17="Normal",PREMISSAS!$C$71,0)</f>
        <v>0</v>
      </c>
      <c r="K447" s="87">
        <f ca="1">IFERROR(K446*(1+PREMISSAS!$C$19)+(E447+H447-IF(RESULTADOS!$C$17="Normal",I447,0)-J447)*IF(MONTH(B447)=12,2,1),0)</f>
        <v>0</v>
      </c>
      <c r="L447" s="87">
        <f ca="1">IFERROR((L446+G447-IF(RESULTADOS!$C$17="Normal",0,I447))*(1+PREMISSAS!$C$19)+F447,0)</f>
        <v>0</v>
      </c>
      <c r="N447" s="58">
        <f t="shared" ca="1" si="49"/>
        <v>0</v>
      </c>
      <c r="P447" s="131" t="str">
        <f t="shared" ca="1" si="50"/>
        <v/>
      </c>
      <c r="Q447" s="111" t="str">
        <f ca="1">IF(C447="","",Q446+(E447+H447-IF(RESULTADOS!$C$17="Normal",I447,0)-J447)/2+(F447+G447-IF(RESULTADOS!$C$17="Normal",0,I447)))</f>
        <v/>
      </c>
      <c r="R447" s="111" t="str">
        <f ca="1">IF(C447="","",R446+(E447+H447-IF(RESULTADOS!$C$17="Normal",I447,0)-J447)/2)</f>
        <v/>
      </c>
      <c r="S447" s="111">
        <f t="shared" ca="1" si="52"/>
        <v>0</v>
      </c>
      <c r="U447" s="131" t="str">
        <f t="shared" ca="1" si="53"/>
        <v/>
      </c>
      <c r="V447" s="131" t="str">
        <f t="shared" ca="1" si="51"/>
        <v/>
      </c>
      <c r="W447" s="111">
        <f ca="1">IF(OR((W446-13/12*Z446)*(1+PREMISSAS!$C$17)&lt;0,W446=""),0,(W446-13/12*Z446)*(1+PREMISSAS!$C$17))</f>
        <v>0</v>
      </c>
      <c r="X447" s="111">
        <f ca="1">IF(OR((X446-13/12*AA446)*(1+PREMISSAS!$C$17)&lt;0,X446=""),0,(X446-13/12*AA446)*(1+PREMISSAS!$C$17))</f>
        <v>0</v>
      </c>
      <c r="Y447" s="111">
        <f t="shared" ca="1" si="56"/>
        <v>0</v>
      </c>
      <c r="Z447" s="134">
        <f t="shared" ca="1" si="54"/>
        <v>0</v>
      </c>
      <c r="AA447" s="134">
        <f t="shared" ca="1" si="55"/>
        <v>0</v>
      </c>
    </row>
    <row r="448" spans="2:27" x14ac:dyDescent="0.3">
      <c r="B448" s="21" t="str">
        <f ca="1">IF(B447="","",IF(EOMONTH(B447,1)&gt;EOMONTH(ELEGIBILIDADE!$E$5,0),"",EOMONTH(B447,1)))</f>
        <v/>
      </c>
      <c r="C448" s="22" t="str">
        <f ca="1">IF(B448="","",IF(MONTH(B448)=1,C447*(1+PREMISSAS!$C$58),C447))</f>
        <v/>
      </c>
      <c r="D448" s="22">
        <f ca="1">IF(RESULTADOS!$C$17="Normal",IFERROR(MAX(C448-PREMISSAS!$C$14,0),0),IF(PREMISSAS!$H$117=0,0,MAX(10*PREMISSAS!$C$39,RESULTADOS!$F$17)))</f>
        <v>0</v>
      </c>
      <c r="E448" s="4">
        <f ca="1">D448*IF(RESULTADOS!$C$17="Normal",RESULTADOS!$C$16,0)</f>
        <v>0</v>
      </c>
      <c r="F448" s="4">
        <f ca="1">IF(D448&lt;&gt;0,PREMISSAS!$N$83,0)</f>
        <v>0</v>
      </c>
      <c r="G448" s="4">
        <f ca="1">IFERROR(IF(RESULTADOS!$C$17="Normal",0,D448)*IF(RESULTADOS!$C$17="Normal",RESULTADOS!$C$18,RESULTADOS!$C$16),0)</f>
        <v>0</v>
      </c>
      <c r="H448" s="4">
        <f ca="1">IF(RESULTADOS!$C$17="Normal",E448,0)</f>
        <v>0</v>
      </c>
      <c r="I448" s="4">
        <f ca="1">(E448+H448+G448)*IFERROR(VLOOKUP(INT(COUNT($B$5:B448)/12),PREMISSAS!$B$62:$C$69,2,FALSE),PREMISSAS!$C$69)</f>
        <v>0</v>
      </c>
      <c r="J448" s="4">
        <f ca="1">D448*IF(RESULTADOS!$C$17="Normal",PREMISSAS!$C$71,0)</f>
        <v>0</v>
      </c>
      <c r="K448" s="87">
        <f ca="1">IFERROR(K447*(1+PREMISSAS!$C$19)+(E448+H448-IF(RESULTADOS!$C$17="Normal",I448,0)-J448)*IF(MONTH(B448)=12,2,1),0)</f>
        <v>0</v>
      </c>
      <c r="L448" s="87">
        <f ca="1">IFERROR((L447+G448-IF(RESULTADOS!$C$17="Normal",0,I448))*(1+PREMISSAS!$C$19)+F448,0)</f>
        <v>0</v>
      </c>
      <c r="N448" s="58">
        <f t="shared" ca="1" si="49"/>
        <v>0</v>
      </c>
      <c r="P448" s="131" t="str">
        <f t="shared" ca="1" si="50"/>
        <v/>
      </c>
      <c r="Q448" s="111" t="str">
        <f ca="1">IF(C448="","",Q447+(E448+H448-IF(RESULTADOS!$C$17="Normal",I448,0)-J448)/2+(F448+G448-IF(RESULTADOS!$C$17="Normal",0,I448)))</f>
        <v/>
      </c>
      <c r="R448" s="111" t="str">
        <f ca="1">IF(C448="","",R447+(E448+H448-IF(RESULTADOS!$C$17="Normal",I448,0)-J448)/2)</f>
        <v/>
      </c>
      <c r="S448" s="111">
        <f t="shared" ca="1" si="52"/>
        <v>0</v>
      </c>
      <c r="U448" s="131" t="str">
        <f t="shared" ca="1" si="53"/>
        <v/>
      </c>
      <c r="V448" s="131" t="str">
        <f t="shared" ca="1" si="51"/>
        <v/>
      </c>
      <c r="W448" s="111">
        <f ca="1">IF(OR((W447-13/12*Z447)*(1+PREMISSAS!$C$17)&lt;0,W447=""),0,(W447-13/12*Z447)*(1+PREMISSAS!$C$17))</f>
        <v>0</v>
      </c>
      <c r="X448" s="111">
        <f ca="1">IF(OR((X447-13/12*AA447)*(1+PREMISSAS!$C$17)&lt;0,X447=""),0,(X447-13/12*AA447)*(1+PREMISSAS!$C$17))</f>
        <v>0</v>
      </c>
      <c r="Y448" s="111">
        <f t="shared" ca="1" si="56"/>
        <v>0</v>
      </c>
      <c r="Z448" s="134">
        <f t="shared" ca="1" si="54"/>
        <v>0</v>
      </c>
      <c r="AA448" s="134">
        <f t="shared" ca="1" si="55"/>
        <v>0</v>
      </c>
    </row>
    <row r="449" spans="2:27" x14ac:dyDescent="0.3">
      <c r="B449" s="21" t="str">
        <f ca="1">IF(B448="","",IF(EOMONTH(B448,1)&gt;EOMONTH(ELEGIBILIDADE!$E$5,0),"",EOMONTH(B448,1)))</f>
        <v/>
      </c>
      <c r="C449" s="22" t="str">
        <f ca="1">IF(B449="","",IF(MONTH(B449)=1,C448*(1+PREMISSAS!$C$58),C448))</f>
        <v/>
      </c>
      <c r="D449" s="22">
        <f ca="1">IF(RESULTADOS!$C$17="Normal",IFERROR(MAX(C449-PREMISSAS!$C$14,0),0),IF(PREMISSAS!$H$117=0,0,MAX(10*PREMISSAS!$C$39,RESULTADOS!$F$17)))</f>
        <v>0</v>
      </c>
      <c r="E449" s="4">
        <f ca="1">D449*IF(RESULTADOS!$C$17="Normal",RESULTADOS!$C$16,0)</f>
        <v>0</v>
      </c>
      <c r="F449" s="4">
        <f ca="1">IF(D449&lt;&gt;0,PREMISSAS!$N$83,0)</f>
        <v>0</v>
      </c>
      <c r="G449" s="4">
        <f ca="1">IFERROR(IF(RESULTADOS!$C$17="Normal",0,D449)*IF(RESULTADOS!$C$17="Normal",RESULTADOS!$C$18,RESULTADOS!$C$16),0)</f>
        <v>0</v>
      </c>
      <c r="H449" s="4">
        <f ca="1">IF(RESULTADOS!$C$17="Normal",E449,0)</f>
        <v>0</v>
      </c>
      <c r="I449" s="4">
        <f ca="1">(E449+H449+G449)*IFERROR(VLOOKUP(INT(COUNT($B$5:B449)/12),PREMISSAS!$B$62:$C$69,2,FALSE),PREMISSAS!$C$69)</f>
        <v>0</v>
      </c>
      <c r="J449" s="4">
        <f ca="1">D449*IF(RESULTADOS!$C$17="Normal",PREMISSAS!$C$71,0)</f>
        <v>0</v>
      </c>
      <c r="K449" s="87">
        <f ca="1">IFERROR(K448*(1+PREMISSAS!$C$19)+(E449+H449-IF(RESULTADOS!$C$17="Normal",I449,0)-J449)*IF(MONTH(B449)=12,2,1),0)</f>
        <v>0</v>
      </c>
      <c r="L449" s="87">
        <f ca="1">IFERROR((L448+G449-IF(RESULTADOS!$C$17="Normal",0,I449))*(1+PREMISSAS!$C$19)+F449,0)</f>
        <v>0</v>
      </c>
      <c r="N449" s="58">
        <f t="shared" ca="1" si="49"/>
        <v>0</v>
      </c>
      <c r="P449" s="131" t="str">
        <f t="shared" ca="1" si="50"/>
        <v/>
      </c>
      <c r="Q449" s="111" t="str">
        <f ca="1">IF(C449="","",Q448+(E449+H449-IF(RESULTADOS!$C$17="Normal",I449,0)-J449)/2+(F449+G449-IF(RESULTADOS!$C$17="Normal",0,I449)))</f>
        <v/>
      </c>
      <c r="R449" s="111" t="str">
        <f ca="1">IF(C449="","",R448+(E449+H449-IF(RESULTADOS!$C$17="Normal",I449,0)-J449)/2)</f>
        <v/>
      </c>
      <c r="S449" s="111">
        <f t="shared" ca="1" si="52"/>
        <v>0</v>
      </c>
      <c r="U449" s="131" t="str">
        <f t="shared" ca="1" si="53"/>
        <v/>
      </c>
      <c r="V449" s="131" t="str">
        <f t="shared" ca="1" si="51"/>
        <v/>
      </c>
      <c r="W449" s="111">
        <f ca="1">IF(OR((W448-13/12*Z448)*(1+PREMISSAS!$C$17)&lt;0,W448=""),0,(W448-13/12*Z448)*(1+PREMISSAS!$C$17))</f>
        <v>0</v>
      </c>
      <c r="X449" s="111">
        <f ca="1">IF(OR((X448-13/12*AA448)*(1+PREMISSAS!$C$17)&lt;0,X448=""),0,(X448-13/12*AA448)*(1+PREMISSAS!$C$17))</f>
        <v>0</v>
      </c>
      <c r="Y449" s="111">
        <f t="shared" ca="1" si="56"/>
        <v>0</v>
      </c>
      <c r="Z449" s="134">
        <f t="shared" ca="1" si="54"/>
        <v>0</v>
      </c>
      <c r="AA449" s="134">
        <f t="shared" ca="1" si="55"/>
        <v>0</v>
      </c>
    </row>
    <row r="450" spans="2:27" x14ac:dyDescent="0.3">
      <c r="B450" s="21" t="str">
        <f ca="1">IF(B449="","",IF(EOMONTH(B449,1)&gt;EOMONTH(ELEGIBILIDADE!$E$5,0),"",EOMONTH(B449,1)))</f>
        <v/>
      </c>
      <c r="C450" s="22" t="str">
        <f ca="1">IF(B450="","",IF(MONTH(B450)=1,C449*(1+PREMISSAS!$C$58),C449))</f>
        <v/>
      </c>
      <c r="D450" s="22">
        <f ca="1">IF(RESULTADOS!$C$17="Normal",IFERROR(MAX(C450-PREMISSAS!$C$14,0),0),IF(PREMISSAS!$H$117=0,0,MAX(10*PREMISSAS!$C$39,RESULTADOS!$F$17)))</f>
        <v>0</v>
      </c>
      <c r="E450" s="4">
        <f ca="1">D450*IF(RESULTADOS!$C$17="Normal",RESULTADOS!$C$16,0)</f>
        <v>0</v>
      </c>
      <c r="F450" s="4">
        <f ca="1">IF(D450&lt;&gt;0,PREMISSAS!$N$83,0)</f>
        <v>0</v>
      </c>
      <c r="G450" s="4">
        <f ca="1">IFERROR(IF(RESULTADOS!$C$17="Normal",0,D450)*IF(RESULTADOS!$C$17="Normal",RESULTADOS!$C$18,RESULTADOS!$C$16),0)</f>
        <v>0</v>
      </c>
      <c r="H450" s="4">
        <f ca="1">IF(RESULTADOS!$C$17="Normal",E450,0)</f>
        <v>0</v>
      </c>
      <c r="I450" s="4">
        <f ca="1">(E450+H450+G450)*IFERROR(VLOOKUP(INT(COUNT($B$5:B450)/12),PREMISSAS!$B$62:$C$69,2,FALSE),PREMISSAS!$C$69)</f>
        <v>0</v>
      </c>
      <c r="J450" s="4">
        <f ca="1">D450*IF(RESULTADOS!$C$17="Normal",PREMISSAS!$C$71,0)</f>
        <v>0</v>
      </c>
      <c r="K450" s="87">
        <f ca="1">IFERROR(K449*(1+PREMISSAS!$C$19)+(E450+H450-IF(RESULTADOS!$C$17="Normal",I450,0)-J450)*IF(MONTH(B450)=12,2,1),0)</f>
        <v>0</v>
      </c>
      <c r="L450" s="87">
        <f ca="1">IFERROR((L449+G450-IF(RESULTADOS!$C$17="Normal",0,I450))*(1+PREMISSAS!$C$19)+F450,0)</f>
        <v>0</v>
      </c>
      <c r="N450" s="58">
        <f t="shared" ca="1" si="49"/>
        <v>0</v>
      </c>
      <c r="P450" s="131" t="str">
        <f t="shared" ca="1" si="50"/>
        <v/>
      </c>
      <c r="Q450" s="111" t="str">
        <f ca="1">IF(C450="","",Q449+(E450+H450-IF(RESULTADOS!$C$17="Normal",I450,0)-J450)/2+(F450+G450-IF(RESULTADOS!$C$17="Normal",0,I450)))</f>
        <v/>
      </c>
      <c r="R450" s="111" t="str">
        <f ca="1">IF(C450="","",R449+(E450+H450-IF(RESULTADOS!$C$17="Normal",I450,0)-J450)/2)</f>
        <v/>
      </c>
      <c r="S450" s="111">
        <f t="shared" ca="1" si="52"/>
        <v>0</v>
      </c>
      <c r="U450" s="131" t="str">
        <f t="shared" ca="1" si="53"/>
        <v/>
      </c>
      <c r="V450" s="131" t="str">
        <f t="shared" ca="1" si="51"/>
        <v/>
      </c>
      <c r="W450" s="111">
        <f ca="1">IF(OR((W449-13/12*Z449)*(1+PREMISSAS!$C$17)&lt;0,W449=""),0,(W449-13/12*Z449)*(1+PREMISSAS!$C$17))</f>
        <v>0</v>
      </c>
      <c r="X450" s="111">
        <f ca="1">IF(OR((X449-13/12*AA449)*(1+PREMISSAS!$C$17)&lt;0,X449=""),0,(X449-13/12*AA449)*(1+PREMISSAS!$C$17))</f>
        <v>0</v>
      </c>
      <c r="Y450" s="111">
        <f t="shared" ca="1" si="56"/>
        <v>0</v>
      </c>
      <c r="Z450" s="134">
        <f t="shared" ca="1" si="54"/>
        <v>0</v>
      </c>
      <c r="AA450" s="134">
        <f t="shared" ca="1" si="55"/>
        <v>0</v>
      </c>
    </row>
    <row r="451" spans="2:27" x14ac:dyDescent="0.3">
      <c r="B451" s="21" t="str">
        <f ca="1">IF(B450="","",IF(EOMONTH(B450,1)&gt;EOMONTH(ELEGIBILIDADE!$E$5,0),"",EOMONTH(B450,1)))</f>
        <v/>
      </c>
      <c r="C451" s="22" t="str">
        <f ca="1">IF(B451="","",IF(MONTH(B451)=1,C450*(1+PREMISSAS!$C$58),C450))</f>
        <v/>
      </c>
      <c r="D451" s="22">
        <f ca="1">IF(RESULTADOS!$C$17="Normal",IFERROR(MAX(C451-PREMISSAS!$C$14,0),0),IF(PREMISSAS!$H$117=0,0,MAX(10*PREMISSAS!$C$39,RESULTADOS!$F$17)))</f>
        <v>0</v>
      </c>
      <c r="E451" s="4">
        <f ca="1">D451*IF(RESULTADOS!$C$17="Normal",RESULTADOS!$C$16,0)</f>
        <v>0</v>
      </c>
      <c r="F451" s="4">
        <f ca="1">IF(D451&lt;&gt;0,PREMISSAS!$N$83,0)</f>
        <v>0</v>
      </c>
      <c r="G451" s="4">
        <f ca="1">IFERROR(IF(RESULTADOS!$C$17="Normal",0,D451)*IF(RESULTADOS!$C$17="Normal",RESULTADOS!$C$18,RESULTADOS!$C$16),0)</f>
        <v>0</v>
      </c>
      <c r="H451" s="4">
        <f ca="1">IF(RESULTADOS!$C$17="Normal",E451,0)</f>
        <v>0</v>
      </c>
      <c r="I451" s="4">
        <f ca="1">(E451+H451+G451)*IFERROR(VLOOKUP(INT(COUNT($B$5:B451)/12),PREMISSAS!$B$62:$C$69,2,FALSE),PREMISSAS!$C$69)</f>
        <v>0</v>
      </c>
      <c r="J451" s="4">
        <f ca="1">D451*IF(RESULTADOS!$C$17="Normal",PREMISSAS!$C$71,0)</f>
        <v>0</v>
      </c>
      <c r="K451" s="87">
        <f ca="1">IFERROR(K450*(1+PREMISSAS!$C$19)+(E451+H451-IF(RESULTADOS!$C$17="Normal",I451,0)-J451)*IF(MONTH(B451)=12,2,1),0)</f>
        <v>0</v>
      </c>
      <c r="L451" s="87">
        <f ca="1">IFERROR((L450+G451-IF(RESULTADOS!$C$17="Normal",0,I451))*(1+PREMISSAS!$C$19)+F451,0)</f>
        <v>0</v>
      </c>
      <c r="N451" s="58">
        <f t="shared" ca="1" si="49"/>
        <v>0</v>
      </c>
      <c r="P451" s="131" t="str">
        <f t="shared" ca="1" si="50"/>
        <v/>
      </c>
      <c r="Q451" s="111" t="str">
        <f ca="1">IF(C451="","",Q450+(E451+H451-IF(RESULTADOS!$C$17="Normal",I451,0)-J451)/2+(F451+G451-IF(RESULTADOS!$C$17="Normal",0,I451)))</f>
        <v/>
      </c>
      <c r="R451" s="111" t="str">
        <f ca="1">IF(C451="","",R450+(E451+H451-IF(RESULTADOS!$C$17="Normal",I451,0)-J451)/2)</f>
        <v/>
      </c>
      <c r="S451" s="111">
        <f t="shared" ca="1" si="52"/>
        <v>0</v>
      </c>
      <c r="U451" s="131" t="str">
        <f t="shared" ca="1" si="53"/>
        <v/>
      </c>
      <c r="V451" s="131" t="str">
        <f t="shared" ca="1" si="51"/>
        <v/>
      </c>
      <c r="W451" s="111">
        <f ca="1">IF(OR((W450-13/12*Z450)*(1+PREMISSAS!$C$17)&lt;0,W450=""),0,(W450-13/12*Z450)*(1+PREMISSAS!$C$17))</f>
        <v>0</v>
      </c>
      <c r="X451" s="111">
        <f ca="1">IF(OR((X450-13/12*AA450)*(1+PREMISSAS!$C$17)&lt;0,X450=""),0,(X450-13/12*AA450)*(1+PREMISSAS!$C$17))</f>
        <v>0</v>
      </c>
      <c r="Y451" s="111">
        <f t="shared" ca="1" si="56"/>
        <v>0</v>
      </c>
      <c r="Z451" s="134">
        <f t="shared" ca="1" si="54"/>
        <v>0</v>
      </c>
      <c r="AA451" s="134">
        <f t="shared" ca="1" si="55"/>
        <v>0</v>
      </c>
    </row>
    <row r="452" spans="2:27" x14ac:dyDescent="0.3">
      <c r="B452" s="21" t="str">
        <f ca="1">IF(B451="","",IF(EOMONTH(B451,1)&gt;EOMONTH(ELEGIBILIDADE!$E$5,0),"",EOMONTH(B451,1)))</f>
        <v/>
      </c>
      <c r="C452" s="22" t="str">
        <f ca="1">IF(B452="","",IF(MONTH(B452)=1,C451*(1+PREMISSAS!$C$58),C451))</f>
        <v/>
      </c>
      <c r="D452" s="22">
        <f ca="1">IF(RESULTADOS!$C$17="Normal",IFERROR(MAX(C452-PREMISSAS!$C$14,0),0),IF(PREMISSAS!$H$117=0,0,MAX(10*PREMISSAS!$C$39,RESULTADOS!$F$17)))</f>
        <v>0</v>
      </c>
      <c r="E452" s="4">
        <f ca="1">D452*IF(RESULTADOS!$C$17="Normal",RESULTADOS!$C$16,0)</f>
        <v>0</v>
      </c>
      <c r="F452" s="4">
        <f ca="1">IF(D452&lt;&gt;0,PREMISSAS!$N$83,0)</f>
        <v>0</v>
      </c>
      <c r="G452" s="4">
        <f ca="1">IFERROR(IF(RESULTADOS!$C$17="Normal",0,D452)*IF(RESULTADOS!$C$17="Normal",RESULTADOS!$C$18,RESULTADOS!$C$16),0)</f>
        <v>0</v>
      </c>
      <c r="H452" s="4">
        <f ca="1">IF(RESULTADOS!$C$17="Normal",E452,0)</f>
        <v>0</v>
      </c>
      <c r="I452" s="4">
        <f ca="1">(E452+H452+G452)*IFERROR(VLOOKUP(INT(COUNT($B$5:B452)/12),PREMISSAS!$B$62:$C$69,2,FALSE),PREMISSAS!$C$69)</f>
        <v>0</v>
      </c>
      <c r="J452" s="4">
        <f ca="1">D452*IF(RESULTADOS!$C$17="Normal",PREMISSAS!$C$71,0)</f>
        <v>0</v>
      </c>
      <c r="K452" s="87">
        <f ca="1">IFERROR(K451*(1+PREMISSAS!$C$19)+(E452+H452-IF(RESULTADOS!$C$17="Normal",I452,0)-J452)*IF(MONTH(B452)=12,2,1),0)</f>
        <v>0</v>
      </c>
      <c r="L452" s="87">
        <f ca="1">IFERROR((L451+G452-IF(RESULTADOS!$C$17="Normal",0,I452))*(1+PREMISSAS!$C$19)+F452,0)</f>
        <v>0</v>
      </c>
      <c r="N452" s="58">
        <f t="shared" ca="1" si="49"/>
        <v>0</v>
      </c>
      <c r="P452" s="131" t="str">
        <f t="shared" ca="1" si="50"/>
        <v/>
      </c>
      <c r="Q452" s="111" t="str">
        <f ca="1">IF(C452="","",Q451+(E452+H452-IF(RESULTADOS!$C$17="Normal",I452,0)-J452)/2+(F452+G452-IF(RESULTADOS!$C$17="Normal",0,I452)))</f>
        <v/>
      </c>
      <c r="R452" s="111" t="str">
        <f ca="1">IF(C452="","",R451+(E452+H452-IF(RESULTADOS!$C$17="Normal",I452,0)-J452)/2)</f>
        <v/>
      </c>
      <c r="S452" s="111">
        <f t="shared" ca="1" si="52"/>
        <v>0</v>
      </c>
      <c r="U452" s="131" t="str">
        <f t="shared" ca="1" si="53"/>
        <v/>
      </c>
      <c r="V452" s="131" t="str">
        <f t="shared" ca="1" si="51"/>
        <v/>
      </c>
      <c r="W452" s="111">
        <f ca="1">IF(OR((W451-13/12*Z451)*(1+PREMISSAS!$C$17)&lt;0,W451=""),0,(W451-13/12*Z451)*(1+PREMISSAS!$C$17))</f>
        <v>0</v>
      </c>
      <c r="X452" s="111">
        <f ca="1">IF(OR((X451-13/12*AA451)*(1+PREMISSAS!$C$17)&lt;0,X451=""),0,(X451-13/12*AA451)*(1+PREMISSAS!$C$17))</f>
        <v>0</v>
      </c>
      <c r="Y452" s="111">
        <f t="shared" ca="1" si="56"/>
        <v>0</v>
      </c>
      <c r="Z452" s="134">
        <f t="shared" ca="1" si="54"/>
        <v>0</v>
      </c>
      <c r="AA452" s="134">
        <f t="shared" ca="1" si="55"/>
        <v>0</v>
      </c>
    </row>
    <row r="453" spans="2:27" x14ac:dyDescent="0.3">
      <c r="B453" s="21" t="str">
        <f ca="1">IF(B452="","",IF(EOMONTH(B452,1)&gt;EOMONTH(ELEGIBILIDADE!$E$5,0),"",EOMONTH(B452,1)))</f>
        <v/>
      </c>
      <c r="C453" s="22" t="str">
        <f ca="1">IF(B453="","",IF(MONTH(B453)=1,C452*(1+PREMISSAS!$C$58),C452))</f>
        <v/>
      </c>
      <c r="D453" s="22">
        <f ca="1">IF(RESULTADOS!$C$17="Normal",IFERROR(MAX(C453-PREMISSAS!$C$14,0),0),IF(PREMISSAS!$H$117=0,0,MAX(10*PREMISSAS!$C$39,RESULTADOS!$F$17)))</f>
        <v>0</v>
      </c>
      <c r="E453" s="4">
        <f ca="1">D453*IF(RESULTADOS!$C$17="Normal",RESULTADOS!$C$16,0)</f>
        <v>0</v>
      </c>
      <c r="F453" s="4">
        <f ca="1">IF(D453&lt;&gt;0,PREMISSAS!$N$83,0)</f>
        <v>0</v>
      </c>
      <c r="G453" s="4">
        <f ca="1">IFERROR(IF(RESULTADOS!$C$17="Normal",0,D453)*IF(RESULTADOS!$C$17="Normal",RESULTADOS!$C$18,RESULTADOS!$C$16),0)</f>
        <v>0</v>
      </c>
      <c r="H453" s="4">
        <f ca="1">IF(RESULTADOS!$C$17="Normal",E453,0)</f>
        <v>0</v>
      </c>
      <c r="I453" s="4">
        <f ca="1">(E453+H453+G453)*IFERROR(VLOOKUP(INT(COUNT($B$5:B453)/12),PREMISSAS!$B$62:$C$69,2,FALSE),PREMISSAS!$C$69)</f>
        <v>0</v>
      </c>
      <c r="J453" s="4">
        <f ca="1">D453*IF(RESULTADOS!$C$17="Normal",PREMISSAS!$C$71,0)</f>
        <v>0</v>
      </c>
      <c r="K453" s="87">
        <f ca="1">IFERROR(K452*(1+PREMISSAS!$C$19)+(E453+H453-IF(RESULTADOS!$C$17="Normal",I453,0)-J453)*IF(MONTH(B453)=12,2,1),0)</f>
        <v>0</v>
      </c>
      <c r="L453" s="87">
        <f ca="1">IFERROR((L452+G453-IF(RESULTADOS!$C$17="Normal",0,I453))*(1+PREMISSAS!$C$19)+F453,0)</f>
        <v>0</v>
      </c>
      <c r="N453" s="58">
        <f t="shared" ca="1" si="49"/>
        <v>0</v>
      </c>
      <c r="P453" s="131" t="str">
        <f t="shared" ca="1" si="50"/>
        <v/>
      </c>
      <c r="Q453" s="111" t="str">
        <f ca="1">IF(C453="","",Q452+(E453+H453-IF(RESULTADOS!$C$17="Normal",I453,0)-J453)/2+(F453+G453-IF(RESULTADOS!$C$17="Normal",0,I453)))</f>
        <v/>
      </c>
      <c r="R453" s="111" t="str">
        <f ca="1">IF(C453="","",R452+(E453+H453-IF(RESULTADOS!$C$17="Normal",I453,0)-J453)/2)</f>
        <v/>
      </c>
      <c r="S453" s="111">
        <f t="shared" ca="1" si="52"/>
        <v>0</v>
      </c>
      <c r="U453" s="131" t="str">
        <f t="shared" ca="1" si="53"/>
        <v/>
      </c>
      <c r="V453" s="131" t="str">
        <f t="shared" ca="1" si="51"/>
        <v/>
      </c>
      <c r="W453" s="111">
        <f ca="1">IF(OR((W452-13/12*Z452)*(1+PREMISSAS!$C$17)&lt;0,W452=""),0,(W452-13/12*Z452)*(1+PREMISSAS!$C$17))</f>
        <v>0</v>
      </c>
      <c r="X453" s="111">
        <f ca="1">IF(OR((X452-13/12*AA452)*(1+PREMISSAS!$C$17)&lt;0,X452=""),0,(X452-13/12*AA452)*(1+PREMISSAS!$C$17))</f>
        <v>0</v>
      </c>
      <c r="Y453" s="111">
        <f t="shared" ca="1" si="56"/>
        <v>0</v>
      </c>
      <c r="Z453" s="134">
        <f t="shared" ca="1" si="54"/>
        <v>0</v>
      </c>
      <c r="AA453" s="134">
        <f t="shared" ca="1" si="55"/>
        <v>0</v>
      </c>
    </row>
    <row r="454" spans="2:27" x14ac:dyDescent="0.3">
      <c r="B454" s="21" t="str">
        <f ca="1">IF(B453="","",IF(EOMONTH(B453,1)&gt;EOMONTH(ELEGIBILIDADE!$E$5,0),"",EOMONTH(B453,1)))</f>
        <v/>
      </c>
      <c r="C454" s="22" t="str">
        <f ca="1">IF(B454="","",IF(MONTH(B454)=1,C453*(1+PREMISSAS!$C$58),C453))</f>
        <v/>
      </c>
      <c r="D454" s="22">
        <f ca="1">IF(RESULTADOS!$C$17="Normal",IFERROR(MAX(C454-PREMISSAS!$C$14,0),0),IF(PREMISSAS!$H$117=0,0,MAX(10*PREMISSAS!$C$39,RESULTADOS!$F$17)))</f>
        <v>0</v>
      </c>
      <c r="E454" s="4">
        <f ca="1">D454*IF(RESULTADOS!$C$17="Normal",RESULTADOS!$C$16,0)</f>
        <v>0</v>
      </c>
      <c r="F454" s="4">
        <f ca="1">IF(D454&lt;&gt;0,PREMISSAS!$N$83,0)</f>
        <v>0</v>
      </c>
      <c r="G454" s="4">
        <f ca="1">IFERROR(IF(RESULTADOS!$C$17="Normal",0,D454)*IF(RESULTADOS!$C$17="Normal",RESULTADOS!$C$18,RESULTADOS!$C$16),0)</f>
        <v>0</v>
      </c>
      <c r="H454" s="4">
        <f ca="1">IF(RESULTADOS!$C$17="Normal",E454,0)</f>
        <v>0</v>
      </c>
      <c r="I454" s="4">
        <f ca="1">(E454+H454+G454)*IFERROR(VLOOKUP(INT(COUNT($B$5:B454)/12),PREMISSAS!$B$62:$C$69,2,FALSE),PREMISSAS!$C$69)</f>
        <v>0</v>
      </c>
      <c r="J454" s="4">
        <f ca="1">D454*IF(RESULTADOS!$C$17="Normal",PREMISSAS!$C$71,0)</f>
        <v>0</v>
      </c>
      <c r="K454" s="87">
        <f ca="1">IFERROR(K453*(1+PREMISSAS!$C$19)+(E454+H454-IF(RESULTADOS!$C$17="Normal",I454,0)-J454)*IF(MONTH(B454)=12,2,1),0)</f>
        <v>0</v>
      </c>
      <c r="L454" s="87">
        <f ca="1">IFERROR((L453+G454-IF(RESULTADOS!$C$17="Normal",0,I454))*(1+PREMISSAS!$C$19)+F454,0)</f>
        <v>0</v>
      </c>
      <c r="N454" s="58">
        <f t="shared" ref="N454:N482" ca="1" si="57">IFERROR((E454+F454+G454)/C454,0)</f>
        <v>0</v>
      </c>
      <c r="P454" s="131" t="str">
        <f t="shared" ref="P454:P517" ca="1" si="58">IF(C454="","",B454)</f>
        <v/>
      </c>
      <c r="Q454" s="111" t="str">
        <f ca="1">IF(C454="","",Q453+(E454+H454-IF(RESULTADOS!$C$17="Normal",I454,0)-J454)/2+(F454+G454-IF(RESULTADOS!$C$17="Normal",0,I454)))</f>
        <v/>
      </c>
      <c r="R454" s="111" t="str">
        <f ca="1">IF(C454="","",R453+(E454+H454-IF(RESULTADOS!$C$17="Normal",I454,0)-J454)/2)</f>
        <v/>
      </c>
      <c r="S454" s="111">
        <f t="shared" ca="1" si="52"/>
        <v>0</v>
      </c>
      <c r="U454" s="131" t="str">
        <f t="shared" ca="1" si="53"/>
        <v/>
      </c>
      <c r="V454" s="131" t="str">
        <f t="shared" ref="V454:V517" ca="1" si="59">IF(AA454&lt;&gt;"",U454,"")</f>
        <v/>
      </c>
      <c r="W454" s="111">
        <f ca="1">IF(OR((W453-13/12*Z453)*(1+PREMISSAS!$C$17)&lt;0,W453=""),0,(W453-13/12*Z453)*(1+PREMISSAS!$C$17))</f>
        <v>0</v>
      </c>
      <c r="X454" s="111">
        <f ca="1">IF(OR((X453-13/12*AA453)*(1+PREMISSAS!$C$17)&lt;0,X453=""),0,(X453-13/12*AA453)*(1+PREMISSAS!$C$17))</f>
        <v>0</v>
      </c>
      <c r="Y454" s="111">
        <f t="shared" ca="1" si="56"/>
        <v>0</v>
      </c>
      <c r="Z454" s="134">
        <f t="shared" ca="1" si="54"/>
        <v>0</v>
      </c>
      <c r="AA454" s="134">
        <f t="shared" ca="1" si="55"/>
        <v>0</v>
      </c>
    </row>
    <row r="455" spans="2:27" x14ac:dyDescent="0.3">
      <c r="B455" s="21" t="str">
        <f ca="1">IF(B454="","",IF(EOMONTH(B454,1)&gt;EOMONTH(ELEGIBILIDADE!$E$5,0),"",EOMONTH(B454,1)))</f>
        <v/>
      </c>
      <c r="C455" s="22" t="str">
        <f ca="1">IF(B455="","",IF(MONTH(B455)=1,C454*(1+PREMISSAS!$C$58),C454))</f>
        <v/>
      </c>
      <c r="D455" s="22">
        <f ca="1">IF(RESULTADOS!$C$17="Normal",IFERROR(MAX(C455-PREMISSAS!$C$14,0),0),IF(PREMISSAS!$H$117=0,0,MAX(10*PREMISSAS!$C$39,RESULTADOS!$F$17)))</f>
        <v>0</v>
      </c>
      <c r="E455" s="4">
        <f ca="1">D455*IF(RESULTADOS!$C$17="Normal",RESULTADOS!$C$16,0)</f>
        <v>0</v>
      </c>
      <c r="F455" s="4">
        <f ca="1">IF(D455&lt;&gt;0,PREMISSAS!$N$83,0)</f>
        <v>0</v>
      </c>
      <c r="G455" s="4">
        <f ca="1">IFERROR(IF(RESULTADOS!$C$17="Normal",0,D455)*IF(RESULTADOS!$C$17="Normal",RESULTADOS!$C$18,RESULTADOS!$C$16),0)</f>
        <v>0</v>
      </c>
      <c r="H455" s="4">
        <f ca="1">IF(RESULTADOS!$C$17="Normal",E455,0)</f>
        <v>0</v>
      </c>
      <c r="I455" s="4">
        <f ca="1">(E455+H455+G455)*IFERROR(VLOOKUP(INT(COUNT($B$5:B455)/12),PREMISSAS!$B$62:$C$69,2,FALSE),PREMISSAS!$C$69)</f>
        <v>0</v>
      </c>
      <c r="J455" s="4">
        <f ca="1">D455*IF(RESULTADOS!$C$17="Normal",PREMISSAS!$C$71,0)</f>
        <v>0</v>
      </c>
      <c r="K455" s="87">
        <f ca="1">IFERROR(K454*(1+PREMISSAS!$C$19)+(E455+H455-IF(RESULTADOS!$C$17="Normal",I455,0)-J455)*IF(MONTH(B455)=12,2,1),0)</f>
        <v>0</v>
      </c>
      <c r="L455" s="87">
        <f ca="1">IFERROR((L454+G455-IF(RESULTADOS!$C$17="Normal",0,I455))*(1+PREMISSAS!$C$19)+F455,0)</f>
        <v>0</v>
      </c>
      <c r="N455" s="58">
        <f t="shared" ca="1" si="57"/>
        <v>0</v>
      </c>
      <c r="P455" s="131" t="str">
        <f t="shared" ca="1" si="58"/>
        <v/>
      </c>
      <c r="Q455" s="111" t="str">
        <f ca="1">IF(C455="","",Q454+(E455+H455-IF(RESULTADOS!$C$17="Normal",I455,0)-J455)/2+(F455+G455-IF(RESULTADOS!$C$17="Normal",0,I455)))</f>
        <v/>
      </c>
      <c r="R455" s="111" t="str">
        <f ca="1">IF(C455="","",R454+(E455+H455-IF(RESULTADOS!$C$17="Normal",I455,0)-J455)/2)</f>
        <v/>
      </c>
      <c r="S455" s="111">
        <f t="shared" ref="S455:S518" ca="1" si="60">SUM(K455:L455)-SUM(Q455:R455)</f>
        <v>0</v>
      </c>
      <c r="U455" s="131" t="str">
        <f t="shared" ref="U455:U518" ca="1" si="61">IF(Y455=0,"",EOMONTH(U454,1))</f>
        <v/>
      </c>
      <c r="V455" s="131" t="str">
        <f t="shared" ca="1" si="59"/>
        <v/>
      </c>
      <c r="W455" s="111">
        <f ca="1">IF(OR((W454-13/12*Z454)*(1+PREMISSAS!$C$17)&lt;0,W454=""),0,(W454-13/12*Z454)*(1+PREMISSAS!$C$17))</f>
        <v>0</v>
      </c>
      <c r="X455" s="111">
        <f ca="1">IF(OR((X454-13/12*AA454)*(1+PREMISSAS!$C$17)&lt;0,X454=""),0,(X454-13/12*AA454)*(1+PREMISSAS!$C$17))</f>
        <v>0</v>
      </c>
      <c r="Y455" s="111">
        <f t="shared" ca="1" si="56"/>
        <v>0</v>
      </c>
      <c r="Z455" s="134">
        <f t="shared" ref="Z455:Z518" ca="1" si="62">IF(W455&lt;&gt;0,Z454,0)</f>
        <v>0</v>
      </c>
      <c r="AA455" s="134">
        <f t="shared" ref="AA455:AA518" ca="1" si="63">IF(X455&lt;&gt;0,AA454,0)</f>
        <v>0</v>
      </c>
    </row>
    <row r="456" spans="2:27" x14ac:dyDescent="0.3">
      <c r="B456" s="21" t="str">
        <f ca="1">IF(B455="","",IF(EOMONTH(B455,1)&gt;EOMONTH(ELEGIBILIDADE!$E$5,0),"",EOMONTH(B455,1)))</f>
        <v/>
      </c>
      <c r="C456" s="22" t="str">
        <f ca="1">IF(B456="","",IF(MONTH(B456)=1,C455*(1+PREMISSAS!$C$58),C455))</f>
        <v/>
      </c>
      <c r="D456" s="22">
        <f ca="1">IF(RESULTADOS!$C$17="Normal",IFERROR(MAX(C456-PREMISSAS!$C$14,0),0),IF(PREMISSAS!$H$117=0,0,MAX(10*PREMISSAS!$C$39,RESULTADOS!$F$17)))</f>
        <v>0</v>
      </c>
      <c r="E456" s="4">
        <f ca="1">D456*IF(RESULTADOS!$C$17="Normal",RESULTADOS!$C$16,0)</f>
        <v>0</v>
      </c>
      <c r="F456" s="4">
        <f ca="1">IF(D456&lt;&gt;0,PREMISSAS!$N$83,0)</f>
        <v>0</v>
      </c>
      <c r="G456" s="4">
        <f ca="1">IFERROR(IF(RESULTADOS!$C$17="Normal",0,D456)*IF(RESULTADOS!$C$17="Normal",RESULTADOS!$C$18,RESULTADOS!$C$16),0)</f>
        <v>0</v>
      </c>
      <c r="H456" s="4">
        <f ca="1">IF(RESULTADOS!$C$17="Normal",E456,0)</f>
        <v>0</v>
      </c>
      <c r="I456" s="4">
        <f ca="1">(E456+H456+G456)*IFERROR(VLOOKUP(INT(COUNT($B$5:B456)/12),PREMISSAS!$B$62:$C$69,2,FALSE),PREMISSAS!$C$69)</f>
        <v>0</v>
      </c>
      <c r="J456" s="4">
        <f ca="1">D456*IF(RESULTADOS!$C$17="Normal",PREMISSAS!$C$71,0)</f>
        <v>0</v>
      </c>
      <c r="K456" s="87">
        <f ca="1">IFERROR(K455*(1+PREMISSAS!$C$19)+(E456+H456-IF(RESULTADOS!$C$17="Normal",I456,0)-J456)*IF(MONTH(B456)=12,2,1),0)</f>
        <v>0</v>
      </c>
      <c r="L456" s="87">
        <f ca="1">IFERROR((L455+G456-IF(RESULTADOS!$C$17="Normal",0,I456))*(1+PREMISSAS!$C$19)+F456,0)</f>
        <v>0</v>
      </c>
      <c r="N456" s="58">
        <f t="shared" ca="1" si="57"/>
        <v>0</v>
      </c>
      <c r="P456" s="131" t="str">
        <f t="shared" ca="1" si="58"/>
        <v/>
      </c>
      <c r="Q456" s="111" t="str">
        <f ca="1">IF(C456="","",Q455+(E456+H456-IF(RESULTADOS!$C$17="Normal",I456,0)-J456)/2+(F456+G456-IF(RESULTADOS!$C$17="Normal",0,I456)))</f>
        <v/>
      </c>
      <c r="R456" s="111" t="str">
        <f ca="1">IF(C456="","",R455+(E456+H456-IF(RESULTADOS!$C$17="Normal",I456,0)-J456)/2)</f>
        <v/>
      </c>
      <c r="S456" s="111">
        <f t="shared" ca="1" si="60"/>
        <v>0</v>
      </c>
      <c r="U456" s="131" t="str">
        <f t="shared" ca="1" si="61"/>
        <v/>
      </c>
      <c r="V456" s="131" t="str">
        <f t="shared" ca="1" si="59"/>
        <v/>
      </c>
      <c r="W456" s="111">
        <f ca="1">IF(OR((W455-13/12*Z455)*(1+PREMISSAS!$C$17)&lt;0,W455=""),0,(W455-13/12*Z455)*(1+PREMISSAS!$C$17))</f>
        <v>0</v>
      </c>
      <c r="X456" s="111">
        <f ca="1">IF(OR((X455-13/12*AA455)*(1+PREMISSAS!$C$17)&lt;0,X455=""),0,(X455-13/12*AA455)*(1+PREMISSAS!$C$17))</f>
        <v>0</v>
      </c>
      <c r="Y456" s="111">
        <f t="shared" ca="1" si="56"/>
        <v>0</v>
      </c>
      <c r="Z456" s="134">
        <f t="shared" ca="1" si="62"/>
        <v>0</v>
      </c>
      <c r="AA456" s="134">
        <f t="shared" ca="1" si="63"/>
        <v>0</v>
      </c>
    </row>
    <row r="457" spans="2:27" x14ac:dyDescent="0.3">
      <c r="B457" s="21" t="str">
        <f ca="1">IF(B456="","",IF(EOMONTH(B456,1)&gt;EOMONTH(ELEGIBILIDADE!$E$5,0),"",EOMONTH(B456,1)))</f>
        <v/>
      </c>
      <c r="C457" s="22" t="str">
        <f ca="1">IF(B457="","",IF(MONTH(B457)=1,C456*(1+PREMISSAS!$C$58),C456))</f>
        <v/>
      </c>
      <c r="D457" s="22">
        <f ca="1">IF(RESULTADOS!$C$17="Normal",IFERROR(MAX(C457-PREMISSAS!$C$14,0),0),IF(PREMISSAS!$H$117=0,0,MAX(10*PREMISSAS!$C$39,RESULTADOS!$F$17)))</f>
        <v>0</v>
      </c>
      <c r="E457" s="4">
        <f ca="1">D457*IF(RESULTADOS!$C$17="Normal",RESULTADOS!$C$16,0)</f>
        <v>0</v>
      </c>
      <c r="F457" s="4">
        <f ca="1">IF(D457&lt;&gt;0,PREMISSAS!$N$83,0)</f>
        <v>0</v>
      </c>
      <c r="G457" s="4">
        <f ca="1">IFERROR(IF(RESULTADOS!$C$17="Normal",0,D457)*IF(RESULTADOS!$C$17="Normal",RESULTADOS!$C$18,RESULTADOS!$C$16),0)</f>
        <v>0</v>
      </c>
      <c r="H457" s="4">
        <f ca="1">IF(RESULTADOS!$C$17="Normal",E457,0)</f>
        <v>0</v>
      </c>
      <c r="I457" s="4">
        <f ca="1">(E457+H457+G457)*IFERROR(VLOOKUP(INT(COUNT($B$5:B457)/12),PREMISSAS!$B$62:$C$69,2,FALSE),PREMISSAS!$C$69)</f>
        <v>0</v>
      </c>
      <c r="J457" s="4">
        <f ca="1">D457*IF(RESULTADOS!$C$17="Normal",PREMISSAS!$C$71,0)</f>
        <v>0</v>
      </c>
      <c r="K457" s="87">
        <f ca="1">IFERROR(K456*(1+PREMISSAS!$C$19)+(E457+H457-IF(RESULTADOS!$C$17="Normal",I457,0)-J457)*IF(MONTH(B457)=12,2,1),0)</f>
        <v>0</v>
      </c>
      <c r="L457" s="87">
        <f ca="1">IFERROR((L456+G457-IF(RESULTADOS!$C$17="Normal",0,I457))*(1+PREMISSAS!$C$19)+F457,0)</f>
        <v>0</v>
      </c>
      <c r="N457" s="58">
        <f t="shared" ca="1" si="57"/>
        <v>0</v>
      </c>
      <c r="P457" s="131" t="str">
        <f t="shared" ca="1" si="58"/>
        <v/>
      </c>
      <c r="Q457" s="111" t="str">
        <f ca="1">IF(C457="","",Q456+(E457+H457-IF(RESULTADOS!$C$17="Normal",I457,0)-J457)/2+(F457+G457-IF(RESULTADOS!$C$17="Normal",0,I457)))</f>
        <v/>
      </c>
      <c r="R457" s="111" t="str">
        <f ca="1">IF(C457="","",R456+(E457+H457-IF(RESULTADOS!$C$17="Normal",I457,0)-J457)/2)</f>
        <v/>
      </c>
      <c r="S457" s="111">
        <f t="shared" ca="1" si="60"/>
        <v>0</v>
      </c>
      <c r="U457" s="131" t="str">
        <f t="shared" ca="1" si="61"/>
        <v/>
      </c>
      <c r="V457" s="131" t="str">
        <f t="shared" ca="1" si="59"/>
        <v/>
      </c>
      <c r="W457" s="111">
        <f ca="1">IF(OR((W456-13/12*Z456)*(1+PREMISSAS!$C$17)&lt;0,W456=""),0,(W456-13/12*Z456)*(1+PREMISSAS!$C$17))</f>
        <v>0</v>
      </c>
      <c r="X457" s="111">
        <f ca="1">IF(OR((X456-13/12*AA456)*(1+PREMISSAS!$C$17)&lt;0,X456=""),0,(X456-13/12*AA456)*(1+PREMISSAS!$C$17))</f>
        <v>0</v>
      </c>
      <c r="Y457" s="111">
        <f t="shared" ca="1" si="56"/>
        <v>0</v>
      </c>
      <c r="Z457" s="134">
        <f t="shared" ca="1" si="62"/>
        <v>0</v>
      </c>
      <c r="AA457" s="134">
        <f t="shared" ca="1" si="63"/>
        <v>0</v>
      </c>
    </row>
    <row r="458" spans="2:27" x14ac:dyDescent="0.3">
      <c r="B458" s="21" t="str">
        <f ca="1">IF(B457="","",IF(EOMONTH(B457,1)&gt;EOMONTH(ELEGIBILIDADE!$E$5,0),"",EOMONTH(B457,1)))</f>
        <v/>
      </c>
      <c r="C458" s="22" t="str">
        <f ca="1">IF(B458="","",IF(MONTH(B458)=1,C457*(1+PREMISSAS!$C$58),C457))</f>
        <v/>
      </c>
      <c r="D458" s="22">
        <f ca="1">IF(RESULTADOS!$C$17="Normal",IFERROR(MAX(C458-PREMISSAS!$C$14,0),0),IF(PREMISSAS!$H$117=0,0,MAX(10*PREMISSAS!$C$39,RESULTADOS!$F$17)))</f>
        <v>0</v>
      </c>
      <c r="E458" s="4">
        <f ca="1">D458*IF(RESULTADOS!$C$17="Normal",RESULTADOS!$C$16,0)</f>
        <v>0</v>
      </c>
      <c r="F458" s="4">
        <f ca="1">IF(D458&lt;&gt;0,PREMISSAS!$N$83,0)</f>
        <v>0</v>
      </c>
      <c r="G458" s="4">
        <f ca="1">IFERROR(IF(RESULTADOS!$C$17="Normal",0,D458)*IF(RESULTADOS!$C$17="Normal",RESULTADOS!$C$18,RESULTADOS!$C$16),0)</f>
        <v>0</v>
      </c>
      <c r="H458" s="4">
        <f ca="1">IF(RESULTADOS!$C$17="Normal",E458,0)</f>
        <v>0</v>
      </c>
      <c r="I458" s="4">
        <f ca="1">(E458+H458+G458)*IFERROR(VLOOKUP(INT(COUNT($B$5:B458)/12),PREMISSAS!$B$62:$C$69,2,FALSE),PREMISSAS!$C$69)</f>
        <v>0</v>
      </c>
      <c r="J458" s="4">
        <f ca="1">D458*IF(RESULTADOS!$C$17="Normal",PREMISSAS!$C$71,0)</f>
        <v>0</v>
      </c>
      <c r="K458" s="87">
        <f ca="1">IFERROR(K457*(1+PREMISSAS!$C$19)+(E458+H458-IF(RESULTADOS!$C$17="Normal",I458,0)-J458)*IF(MONTH(B458)=12,2,1),0)</f>
        <v>0</v>
      </c>
      <c r="L458" s="87">
        <f ca="1">IFERROR((L457+G458-IF(RESULTADOS!$C$17="Normal",0,I458))*(1+PREMISSAS!$C$19)+F458,0)</f>
        <v>0</v>
      </c>
      <c r="N458" s="58">
        <f t="shared" ca="1" si="57"/>
        <v>0</v>
      </c>
      <c r="P458" s="131" t="str">
        <f t="shared" ca="1" si="58"/>
        <v/>
      </c>
      <c r="Q458" s="111" t="str">
        <f ca="1">IF(C458="","",Q457+(E458+H458-IF(RESULTADOS!$C$17="Normal",I458,0)-J458)/2+(F458+G458-IF(RESULTADOS!$C$17="Normal",0,I458)))</f>
        <v/>
      </c>
      <c r="R458" s="111" t="str">
        <f ca="1">IF(C458="","",R457+(E458+H458-IF(RESULTADOS!$C$17="Normal",I458,0)-J458)/2)</f>
        <v/>
      </c>
      <c r="S458" s="111">
        <f t="shared" ca="1" si="60"/>
        <v>0</v>
      </c>
      <c r="U458" s="131" t="str">
        <f t="shared" ca="1" si="61"/>
        <v/>
      </c>
      <c r="V458" s="131" t="str">
        <f t="shared" ca="1" si="59"/>
        <v/>
      </c>
      <c r="W458" s="111">
        <f ca="1">IF(OR((W457-13/12*Z457)*(1+PREMISSAS!$C$17)&lt;0,W457=""),0,(W457-13/12*Z457)*(1+PREMISSAS!$C$17))</f>
        <v>0</v>
      </c>
      <c r="X458" s="111">
        <f ca="1">IF(OR((X457-13/12*AA457)*(1+PREMISSAS!$C$17)&lt;0,X457=""),0,(X457-13/12*AA457)*(1+PREMISSAS!$C$17))</f>
        <v>0</v>
      </c>
      <c r="Y458" s="111">
        <f t="shared" ca="1" si="56"/>
        <v>0</v>
      </c>
      <c r="Z458" s="134">
        <f t="shared" ca="1" si="62"/>
        <v>0</v>
      </c>
      <c r="AA458" s="134">
        <f t="shared" ca="1" si="63"/>
        <v>0</v>
      </c>
    </row>
    <row r="459" spans="2:27" x14ac:dyDescent="0.3">
      <c r="B459" s="21" t="str">
        <f ca="1">IF(B458="","",IF(EOMONTH(B458,1)&gt;EOMONTH(ELEGIBILIDADE!$E$5,0),"",EOMONTH(B458,1)))</f>
        <v/>
      </c>
      <c r="C459" s="22" t="str">
        <f ca="1">IF(B459="","",IF(MONTH(B459)=1,C458*(1+PREMISSAS!$C$58),C458))</f>
        <v/>
      </c>
      <c r="D459" s="22">
        <f ca="1">IF(RESULTADOS!$C$17="Normal",IFERROR(MAX(C459-PREMISSAS!$C$14,0),0),IF(PREMISSAS!$H$117=0,0,MAX(10*PREMISSAS!$C$39,RESULTADOS!$F$17)))</f>
        <v>0</v>
      </c>
      <c r="E459" s="4">
        <f ca="1">D459*IF(RESULTADOS!$C$17="Normal",RESULTADOS!$C$16,0)</f>
        <v>0</v>
      </c>
      <c r="F459" s="4">
        <f ca="1">IF(D459&lt;&gt;0,PREMISSAS!$N$83,0)</f>
        <v>0</v>
      </c>
      <c r="G459" s="4">
        <f ca="1">IFERROR(IF(RESULTADOS!$C$17="Normal",0,D459)*IF(RESULTADOS!$C$17="Normal",RESULTADOS!$C$18,RESULTADOS!$C$16),0)</f>
        <v>0</v>
      </c>
      <c r="H459" s="4">
        <f ca="1">IF(RESULTADOS!$C$17="Normal",E459,0)</f>
        <v>0</v>
      </c>
      <c r="I459" s="4">
        <f ca="1">(E459+H459+G459)*IFERROR(VLOOKUP(INT(COUNT($B$5:B459)/12),PREMISSAS!$B$62:$C$69,2,FALSE),PREMISSAS!$C$69)</f>
        <v>0</v>
      </c>
      <c r="J459" s="4">
        <f ca="1">D459*IF(RESULTADOS!$C$17="Normal",PREMISSAS!$C$71,0)</f>
        <v>0</v>
      </c>
      <c r="K459" s="87">
        <f ca="1">IFERROR(K458*(1+PREMISSAS!$C$19)+(E459+H459-IF(RESULTADOS!$C$17="Normal",I459,0)-J459)*IF(MONTH(B459)=12,2,1),0)</f>
        <v>0</v>
      </c>
      <c r="L459" s="87">
        <f ca="1">IFERROR((L458+G459-IF(RESULTADOS!$C$17="Normal",0,I459))*(1+PREMISSAS!$C$19)+F459,0)</f>
        <v>0</v>
      </c>
      <c r="N459" s="58">
        <f t="shared" ca="1" si="57"/>
        <v>0</v>
      </c>
      <c r="P459" s="131" t="str">
        <f t="shared" ca="1" si="58"/>
        <v/>
      </c>
      <c r="Q459" s="111" t="str">
        <f ca="1">IF(C459="","",Q458+(E459+H459-IF(RESULTADOS!$C$17="Normal",I459,0)-J459)/2+(F459+G459-IF(RESULTADOS!$C$17="Normal",0,I459)))</f>
        <v/>
      </c>
      <c r="R459" s="111" t="str">
        <f ca="1">IF(C459="","",R458+(E459+H459-IF(RESULTADOS!$C$17="Normal",I459,0)-J459)/2)</f>
        <v/>
      </c>
      <c r="S459" s="111">
        <f t="shared" ca="1" si="60"/>
        <v>0</v>
      </c>
      <c r="U459" s="131" t="str">
        <f t="shared" ca="1" si="61"/>
        <v/>
      </c>
      <c r="V459" s="131" t="str">
        <f t="shared" ca="1" si="59"/>
        <v/>
      </c>
      <c r="W459" s="111">
        <f ca="1">IF(OR((W458-13/12*Z458)*(1+PREMISSAS!$C$17)&lt;0,W458=""),0,(W458-13/12*Z458)*(1+PREMISSAS!$C$17))</f>
        <v>0</v>
      </c>
      <c r="X459" s="111">
        <f ca="1">IF(OR((X458-13/12*AA458)*(1+PREMISSAS!$C$17)&lt;0,X458=""),0,(X458-13/12*AA458)*(1+PREMISSAS!$C$17))</f>
        <v>0</v>
      </c>
      <c r="Y459" s="111">
        <f t="shared" ca="1" si="56"/>
        <v>0</v>
      </c>
      <c r="Z459" s="134">
        <f t="shared" ca="1" si="62"/>
        <v>0</v>
      </c>
      <c r="AA459" s="134">
        <f t="shared" ca="1" si="63"/>
        <v>0</v>
      </c>
    </row>
    <row r="460" spans="2:27" x14ac:dyDescent="0.3">
      <c r="B460" s="21" t="str">
        <f ca="1">IF(B459="","",IF(EOMONTH(B459,1)&gt;EOMONTH(ELEGIBILIDADE!$E$5,0),"",EOMONTH(B459,1)))</f>
        <v/>
      </c>
      <c r="C460" s="22" t="str">
        <f ca="1">IF(B460="","",IF(MONTH(B460)=1,C459*(1+PREMISSAS!$C$58),C459))</f>
        <v/>
      </c>
      <c r="D460" s="22">
        <f ca="1">IF(RESULTADOS!$C$17="Normal",IFERROR(MAX(C460-PREMISSAS!$C$14,0),0),IF(PREMISSAS!$H$117=0,0,MAX(10*PREMISSAS!$C$39,RESULTADOS!$F$17)))</f>
        <v>0</v>
      </c>
      <c r="E460" s="4">
        <f ca="1">D460*IF(RESULTADOS!$C$17="Normal",RESULTADOS!$C$16,0)</f>
        <v>0</v>
      </c>
      <c r="F460" s="4">
        <f ca="1">IF(D460&lt;&gt;0,PREMISSAS!$N$83,0)</f>
        <v>0</v>
      </c>
      <c r="G460" s="4">
        <f ca="1">IFERROR(IF(RESULTADOS!$C$17="Normal",0,D460)*IF(RESULTADOS!$C$17="Normal",RESULTADOS!$C$18,RESULTADOS!$C$16),0)</f>
        <v>0</v>
      </c>
      <c r="H460" s="4">
        <f ca="1">IF(RESULTADOS!$C$17="Normal",E460,0)</f>
        <v>0</v>
      </c>
      <c r="I460" s="4">
        <f ca="1">(E460+H460+G460)*IFERROR(VLOOKUP(INT(COUNT($B$5:B460)/12),PREMISSAS!$B$62:$C$69,2,FALSE),PREMISSAS!$C$69)</f>
        <v>0</v>
      </c>
      <c r="J460" s="4">
        <f ca="1">D460*IF(RESULTADOS!$C$17="Normal",PREMISSAS!$C$71,0)</f>
        <v>0</v>
      </c>
      <c r="K460" s="87">
        <f ca="1">IFERROR(K459*(1+PREMISSAS!$C$19)+(E460+H460-IF(RESULTADOS!$C$17="Normal",I460,0)-J460)*IF(MONTH(B460)=12,2,1),0)</f>
        <v>0</v>
      </c>
      <c r="L460" s="87">
        <f ca="1">IFERROR((L459+G460-IF(RESULTADOS!$C$17="Normal",0,I460))*(1+PREMISSAS!$C$19)+F460,0)</f>
        <v>0</v>
      </c>
      <c r="N460" s="58">
        <f t="shared" ca="1" si="57"/>
        <v>0</v>
      </c>
      <c r="P460" s="131" t="str">
        <f t="shared" ca="1" si="58"/>
        <v/>
      </c>
      <c r="Q460" s="111" t="str">
        <f ca="1">IF(C460="","",Q459+(E460+H460-IF(RESULTADOS!$C$17="Normal",I460,0)-J460)/2+(F460+G460-IF(RESULTADOS!$C$17="Normal",0,I460)))</f>
        <v/>
      </c>
      <c r="R460" s="111" t="str">
        <f ca="1">IF(C460="","",R459+(E460+H460-IF(RESULTADOS!$C$17="Normal",I460,0)-J460)/2)</f>
        <v/>
      </c>
      <c r="S460" s="111">
        <f t="shared" ca="1" si="60"/>
        <v>0</v>
      </c>
      <c r="U460" s="131" t="str">
        <f t="shared" ca="1" si="61"/>
        <v/>
      </c>
      <c r="V460" s="131" t="str">
        <f t="shared" ca="1" si="59"/>
        <v/>
      </c>
      <c r="W460" s="111">
        <f ca="1">IF(OR((W459-13/12*Z459)*(1+PREMISSAS!$C$17)&lt;0,W459=""),0,(W459-13/12*Z459)*(1+PREMISSAS!$C$17))</f>
        <v>0</v>
      </c>
      <c r="X460" s="111">
        <f ca="1">IF(OR((X459-13/12*AA459)*(1+PREMISSAS!$C$17)&lt;0,X459=""),0,(X459-13/12*AA459)*(1+PREMISSAS!$C$17))</f>
        <v>0</v>
      </c>
      <c r="Y460" s="111">
        <f t="shared" ca="1" si="56"/>
        <v>0</v>
      </c>
      <c r="Z460" s="134">
        <f t="shared" ca="1" si="62"/>
        <v>0</v>
      </c>
      <c r="AA460" s="134">
        <f t="shared" ca="1" si="63"/>
        <v>0</v>
      </c>
    </row>
    <row r="461" spans="2:27" x14ac:dyDescent="0.3">
      <c r="B461" s="21" t="str">
        <f ca="1">IF(B460="","",IF(EOMONTH(B460,1)&gt;EOMONTH(ELEGIBILIDADE!$E$5,0),"",EOMONTH(B460,1)))</f>
        <v/>
      </c>
      <c r="C461" s="22" t="str">
        <f ca="1">IF(B461="","",IF(MONTH(B461)=1,C460*(1+PREMISSAS!$C$58),C460))</f>
        <v/>
      </c>
      <c r="D461" s="22">
        <f ca="1">IF(RESULTADOS!$C$17="Normal",IFERROR(MAX(C461-PREMISSAS!$C$14,0),0),IF(PREMISSAS!$H$117=0,0,MAX(10*PREMISSAS!$C$39,RESULTADOS!$F$17)))</f>
        <v>0</v>
      </c>
      <c r="E461" s="4">
        <f ca="1">D461*IF(RESULTADOS!$C$17="Normal",RESULTADOS!$C$16,0)</f>
        <v>0</v>
      </c>
      <c r="F461" s="4">
        <f ca="1">IF(D461&lt;&gt;0,PREMISSAS!$N$83,0)</f>
        <v>0</v>
      </c>
      <c r="G461" s="4">
        <f ca="1">IFERROR(IF(RESULTADOS!$C$17="Normal",0,D461)*IF(RESULTADOS!$C$17="Normal",RESULTADOS!$C$18,RESULTADOS!$C$16),0)</f>
        <v>0</v>
      </c>
      <c r="H461" s="4">
        <f ca="1">IF(RESULTADOS!$C$17="Normal",E461,0)</f>
        <v>0</v>
      </c>
      <c r="I461" s="4">
        <f ca="1">(E461+H461+G461)*IFERROR(VLOOKUP(INT(COUNT($B$5:B461)/12),PREMISSAS!$B$62:$C$69,2,FALSE),PREMISSAS!$C$69)</f>
        <v>0</v>
      </c>
      <c r="J461" s="4">
        <f ca="1">D461*IF(RESULTADOS!$C$17="Normal",PREMISSAS!$C$71,0)</f>
        <v>0</v>
      </c>
      <c r="K461" s="87">
        <f ca="1">IFERROR(K460*(1+PREMISSAS!$C$19)+(E461+H461-IF(RESULTADOS!$C$17="Normal",I461,0)-J461)*IF(MONTH(B461)=12,2,1),0)</f>
        <v>0</v>
      </c>
      <c r="L461" s="87">
        <f ca="1">IFERROR((L460+G461-IF(RESULTADOS!$C$17="Normal",0,I461))*(1+PREMISSAS!$C$19)+F461,0)</f>
        <v>0</v>
      </c>
      <c r="N461" s="58">
        <f t="shared" ca="1" si="57"/>
        <v>0</v>
      </c>
      <c r="P461" s="131" t="str">
        <f t="shared" ca="1" si="58"/>
        <v/>
      </c>
      <c r="Q461" s="111" t="str">
        <f ca="1">IF(C461="","",Q460+(E461+H461-IF(RESULTADOS!$C$17="Normal",I461,0)-J461)/2+(F461+G461-IF(RESULTADOS!$C$17="Normal",0,I461)))</f>
        <v/>
      </c>
      <c r="R461" s="111" t="str">
        <f ca="1">IF(C461="","",R460+(E461+H461-IF(RESULTADOS!$C$17="Normal",I461,0)-J461)/2)</f>
        <v/>
      </c>
      <c r="S461" s="111">
        <f t="shared" ca="1" si="60"/>
        <v>0</v>
      </c>
      <c r="U461" s="131" t="str">
        <f t="shared" ca="1" si="61"/>
        <v/>
      </c>
      <c r="V461" s="131" t="str">
        <f t="shared" ca="1" si="59"/>
        <v/>
      </c>
      <c r="W461" s="111">
        <f ca="1">IF(OR((W460-13/12*Z460)*(1+PREMISSAS!$C$17)&lt;0,W460=""),0,(W460-13/12*Z460)*(1+PREMISSAS!$C$17))</f>
        <v>0</v>
      </c>
      <c r="X461" s="111">
        <f ca="1">IF(OR((X460-13/12*AA460)*(1+PREMISSAS!$C$17)&lt;0,X460=""),0,(X460-13/12*AA460)*(1+PREMISSAS!$C$17))</f>
        <v>0</v>
      </c>
      <c r="Y461" s="111">
        <f t="shared" ca="1" si="56"/>
        <v>0</v>
      </c>
      <c r="Z461" s="134">
        <f t="shared" ca="1" si="62"/>
        <v>0</v>
      </c>
      <c r="AA461" s="134">
        <f t="shared" ca="1" si="63"/>
        <v>0</v>
      </c>
    </row>
    <row r="462" spans="2:27" x14ac:dyDescent="0.3">
      <c r="B462" s="21" t="str">
        <f ca="1">IF(B461="","",IF(EOMONTH(B461,1)&gt;EOMONTH(ELEGIBILIDADE!$E$5,0),"",EOMONTH(B461,1)))</f>
        <v/>
      </c>
      <c r="C462" s="22" t="str">
        <f ca="1">IF(B462="","",IF(MONTH(B462)=1,C461*(1+PREMISSAS!$C$58),C461))</f>
        <v/>
      </c>
      <c r="D462" s="22">
        <f ca="1">IF(RESULTADOS!$C$17="Normal",IFERROR(MAX(C462-PREMISSAS!$C$14,0),0),IF(PREMISSAS!$H$117=0,0,MAX(10*PREMISSAS!$C$39,RESULTADOS!$F$17)))</f>
        <v>0</v>
      </c>
      <c r="E462" s="4">
        <f ca="1">D462*IF(RESULTADOS!$C$17="Normal",RESULTADOS!$C$16,0)</f>
        <v>0</v>
      </c>
      <c r="F462" s="4">
        <f ca="1">IF(D462&lt;&gt;0,PREMISSAS!$N$83,0)</f>
        <v>0</v>
      </c>
      <c r="G462" s="4">
        <f ca="1">IFERROR(IF(RESULTADOS!$C$17="Normal",0,D462)*IF(RESULTADOS!$C$17="Normal",RESULTADOS!$C$18,RESULTADOS!$C$16),0)</f>
        <v>0</v>
      </c>
      <c r="H462" s="4">
        <f ca="1">IF(RESULTADOS!$C$17="Normal",E462,0)</f>
        <v>0</v>
      </c>
      <c r="I462" s="4">
        <f ca="1">(E462+H462+G462)*IFERROR(VLOOKUP(INT(COUNT($B$5:B462)/12),PREMISSAS!$B$62:$C$69,2,FALSE),PREMISSAS!$C$69)</f>
        <v>0</v>
      </c>
      <c r="J462" s="4">
        <f ca="1">D462*IF(RESULTADOS!$C$17="Normal",PREMISSAS!$C$71,0)</f>
        <v>0</v>
      </c>
      <c r="K462" s="87">
        <f ca="1">IFERROR(K461*(1+PREMISSAS!$C$19)+(E462+H462-IF(RESULTADOS!$C$17="Normal",I462,0)-J462)*IF(MONTH(B462)=12,2,1),0)</f>
        <v>0</v>
      </c>
      <c r="L462" s="87">
        <f ca="1">IFERROR((L461+G462-IF(RESULTADOS!$C$17="Normal",0,I462))*(1+PREMISSAS!$C$19)+F462,0)</f>
        <v>0</v>
      </c>
      <c r="N462" s="58">
        <f t="shared" ca="1" si="57"/>
        <v>0</v>
      </c>
      <c r="P462" s="131" t="str">
        <f t="shared" ca="1" si="58"/>
        <v/>
      </c>
      <c r="Q462" s="111" t="str">
        <f ca="1">IF(C462="","",Q461+(E462+H462-IF(RESULTADOS!$C$17="Normal",I462,0)-J462)/2+(F462+G462-IF(RESULTADOS!$C$17="Normal",0,I462)))</f>
        <v/>
      </c>
      <c r="R462" s="111" t="str">
        <f ca="1">IF(C462="","",R461+(E462+H462-IF(RESULTADOS!$C$17="Normal",I462,0)-J462)/2)</f>
        <v/>
      </c>
      <c r="S462" s="111">
        <f t="shared" ca="1" si="60"/>
        <v>0</v>
      </c>
      <c r="U462" s="131" t="str">
        <f t="shared" ca="1" si="61"/>
        <v/>
      </c>
      <c r="V462" s="131" t="str">
        <f t="shared" ca="1" si="59"/>
        <v/>
      </c>
      <c r="W462" s="111">
        <f ca="1">IF(OR((W461-13/12*Z461)*(1+PREMISSAS!$C$17)&lt;0,W461=""),0,(W461-13/12*Z461)*(1+PREMISSAS!$C$17))</f>
        <v>0</v>
      </c>
      <c r="X462" s="111">
        <f ca="1">IF(OR((X461-13/12*AA461)*(1+PREMISSAS!$C$17)&lt;0,X461=""),0,(X461-13/12*AA461)*(1+PREMISSAS!$C$17))</f>
        <v>0</v>
      </c>
      <c r="Y462" s="111">
        <f t="shared" ca="1" si="56"/>
        <v>0</v>
      </c>
      <c r="Z462" s="134">
        <f t="shared" ca="1" si="62"/>
        <v>0</v>
      </c>
      <c r="AA462" s="134">
        <f t="shared" ca="1" si="63"/>
        <v>0</v>
      </c>
    </row>
    <row r="463" spans="2:27" x14ac:dyDescent="0.3">
      <c r="B463" s="21" t="str">
        <f ca="1">IF(B462="","",IF(EOMONTH(B462,1)&gt;EOMONTH(ELEGIBILIDADE!$E$5,0),"",EOMONTH(B462,1)))</f>
        <v/>
      </c>
      <c r="C463" s="22" t="str">
        <f ca="1">IF(B463="","",IF(MONTH(B463)=1,C462*(1+PREMISSAS!$C$58),C462))</f>
        <v/>
      </c>
      <c r="D463" s="22">
        <f ca="1">IF(RESULTADOS!$C$17="Normal",IFERROR(MAX(C463-PREMISSAS!$C$14,0),0),IF(PREMISSAS!$H$117=0,0,MAX(10*PREMISSAS!$C$39,RESULTADOS!$F$17)))</f>
        <v>0</v>
      </c>
      <c r="E463" s="4">
        <f ca="1">D463*IF(RESULTADOS!$C$17="Normal",RESULTADOS!$C$16,0)</f>
        <v>0</v>
      </c>
      <c r="F463" s="4">
        <f ca="1">IF(D463&lt;&gt;0,PREMISSAS!$N$83,0)</f>
        <v>0</v>
      </c>
      <c r="G463" s="4">
        <f ca="1">IFERROR(IF(RESULTADOS!$C$17="Normal",0,D463)*IF(RESULTADOS!$C$17="Normal",RESULTADOS!$C$18,RESULTADOS!$C$16),0)</f>
        <v>0</v>
      </c>
      <c r="H463" s="4">
        <f ca="1">IF(RESULTADOS!$C$17="Normal",E463,0)</f>
        <v>0</v>
      </c>
      <c r="I463" s="4">
        <f ca="1">(E463+H463+G463)*IFERROR(VLOOKUP(INT(COUNT($B$5:B463)/12),PREMISSAS!$B$62:$C$69,2,FALSE),PREMISSAS!$C$69)</f>
        <v>0</v>
      </c>
      <c r="J463" s="4">
        <f ca="1">D463*IF(RESULTADOS!$C$17="Normal",PREMISSAS!$C$71,0)</f>
        <v>0</v>
      </c>
      <c r="K463" s="87">
        <f ca="1">IFERROR(K462*(1+PREMISSAS!$C$19)+(E463+H463-IF(RESULTADOS!$C$17="Normal",I463,0)-J463)*IF(MONTH(B463)=12,2,1),0)</f>
        <v>0</v>
      </c>
      <c r="L463" s="87">
        <f ca="1">IFERROR((L462+G463-IF(RESULTADOS!$C$17="Normal",0,I463))*(1+PREMISSAS!$C$19)+F463,0)</f>
        <v>0</v>
      </c>
      <c r="N463" s="58">
        <f t="shared" ca="1" si="57"/>
        <v>0</v>
      </c>
      <c r="P463" s="131" t="str">
        <f t="shared" ca="1" si="58"/>
        <v/>
      </c>
      <c r="Q463" s="111" t="str">
        <f ca="1">IF(C463="","",Q462+(E463+H463-IF(RESULTADOS!$C$17="Normal",I463,0)-J463)/2+(F463+G463-IF(RESULTADOS!$C$17="Normal",0,I463)))</f>
        <v/>
      </c>
      <c r="R463" s="111" t="str">
        <f ca="1">IF(C463="","",R462+(E463+H463-IF(RESULTADOS!$C$17="Normal",I463,0)-J463)/2)</f>
        <v/>
      </c>
      <c r="S463" s="111">
        <f t="shared" ca="1" si="60"/>
        <v>0</v>
      </c>
      <c r="U463" s="131" t="str">
        <f t="shared" ca="1" si="61"/>
        <v/>
      </c>
      <c r="V463" s="131" t="str">
        <f t="shared" ca="1" si="59"/>
        <v/>
      </c>
      <c r="W463" s="111">
        <f ca="1">IF(OR((W462-13/12*Z462)*(1+PREMISSAS!$C$17)&lt;0,W462=""),0,(W462-13/12*Z462)*(1+PREMISSAS!$C$17))</f>
        <v>0</v>
      </c>
      <c r="X463" s="111">
        <f ca="1">IF(OR((X462-13/12*AA462)*(1+PREMISSAS!$C$17)&lt;0,X462=""),0,(X462-13/12*AA462)*(1+PREMISSAS!$C$17))</f>
        <v>0</v>
      </c>
      <c r="Y463" s="111">
        <f t="shared" ca="1" si="56"/>
        <v>0</v>
      </c>
      <c r="Z463" s="134">
        <f t="shared" ca="1" si="62"/>
        <v>0</v>
      </c>
      <c r="AA463" s="134">
        <f t="shared" ca="1" si="63"/>
        <v>0</v>
      </c>
    </row>
    <row r="464" spans="2:27" x14ac:dyDescent="0.3">
      <c r="B464" s="21" t="str">
        <f ca="1">IF(B463="","",IF(EOMONTH(B463,1)&gt;EOMONTH(ELEGIBILIDADE!$E$5,0),"",EOMONTH(B463,1)))</f>
        <v/>
      </c>
      <c r="C464" s="22" t="str">
        <f ca="1">IF(B464="","",IF(MONTH(B464)=1,C463*(1+PREMISSAS!$C$58),C463))</f>
        <v/>
      </c>
      <c r="D464" s="22">
        <f ca="1">IF(RESULTADOS!$C$17="Normal",IFERROR(MAX(C464-PREMISSAS!$C$14,0),0),IF(PREMISSAS!$H$117=0,0,MAX(10*PREMISSAS!$C$39,RESULTADOS!$F$17)))</f>
        <v>0</v>
      </c>
      <c r="E464" s="4">
        <f ca="1">D464*IF(RESULTADOS!$C$17="Normal",RESULTADOS!$C$16,0)</f>
        <v>0</v>
      </c>
      <c r="F464" s="4">
        <f ca="1">IF(D464&lt;&gt;0,PREMISSAS!$N$83,0)</f>
        <v>0</v>
      </c>
      <c r="G464" s="4">
        <f ca="1">IFERROR(IF(RESULTADOS!$C$17="Normal",0,D464)*IF(RESULTADOS!$C$17="Normal",RESULTADOS!$C$18,RESULTADOS!$C$16),0)</f>
        <v>0</v>
      </c>
      <c r="H464" s="4">
        <f ca="1">IF(RESULTADOS!$C$17="Normal",E464,0)</f>
        <v>0</v>
      </c>
      <c r="I464" s="4">
        <f ca="1">(E464+H464+G464)*IFERROR(VLOOKUP(INT(COUNT($B$5:B464)/12),PREMISSAS!$B$62:$C$69,2,FALSE),PREMISSAS!$C$69)</f>
        <v>0</v>
      </c>
      <c r="J464" s="4">
        <f ca="1">D464*IF(RESULTADOS!$C$17="Normal",PREMISSAS!$C$71,0)</f>
        <v>0</v>
      </c>
      <c r="K464" s="87">
        <f ca="1">IFERROR(K463*(1+PREMISSAS!$C$19)+(E464+H464-IF(RESULTADOS!$C$17="Normal",I464,0)-J464)*IF(MONTH(B464)=12,2,1),0)</f>
        <v>0</v>
      </c>
      <c r="L464" s="87">
        <f ca="1">IFERROR((L463+G464-IF(RESULTADOS!$C$17="Normal",0,I464))*(1+PREMISSAS!$C$19)+F464,0)</f>
        <v>0</v>
      </c>
      <c r="N464" s="58">
        <f t="shared" ca="1" si="57"/>
        <v>0</v>
      </c>
      <c r="P464" s="131" t="str">
        <f t="shared" ca="1" si="58"/>
        <v/>
      </c>
      <c r="Q464" s="111" t="str">
        <f ca="1">IF(C464="","",Q463+(E464+H464-IF(RESULTADOS!$C$17="Normal",I464,0)-J464)/2+(F464+G464-IF(RESULTADOS!$C$17="Normal",0,I464)))</f>
        <v/>
      </c>
      <c r="R464" s="111" t="str">
        <f ca="1">IF(C464="","",R463+(E464+H464-IF(RESULTADOS!$C$17="Normal",I464,0)-J464)/2)</f>
        <v/>
      </c>
      <c r="S464" s="111">
        <f t="shared" ca="1" si="60"/>
        <v>0</v>
      </c>
      <c r="U464" s="131" t="str">
        <f t="shared" ca="1" si="61"/>
        <v/>
      </c>
      <c r="V464" s="131" t="str">
        <f t="shared" ca="1" si="59"/>
        <v/>
      </c>
      <c r="W464" s="111">
        <f ca="1">IF(OR((W463-13/12*Z463)*(1+PREMISSAS!$C$17)&lt;0,W463=""),0,(W463-13/12*Z463)*(1+PREMISSAS!$C$17))</f>
        <v>0</v>
      </c>
      <c r="X464" s="111">
        <f ca="1">IF(OR((X463-13/12*AA463)*(1+PREMISSAS!$C$17)&lt;0,X463=""),0,(X463-13/12*AA463)*(1+PREMISSAS!$C$17))</f>
        <v>0</v>
      </c>
      <c r="Y464" s="111">
        <f t="shared" ca="1" si="56"/>
        <v>0</v>
      </c>
      <c r="Z464" s="134">
        <f t="shared" ca="1" si="62"/>
        <v>0</v>
      </c>
      <c r="AA464" s="134">
        <f t="shared" ca="1" si="63"/>
        <v>0</v>
      </c>
    </row>
    <row r="465" spans="2:27" x14ac:dyDescent="0.3">
      <c r="B465" s="21" t="str">
        <f ca="1">IF(B464="","",IF(EOMONTH(B464,1)&gt;EOMONTH(ELEGIBILIDADE!$E$5,0),"",EOMONTH(B464,1)))</f>
        <v/>
      </c>
      <c r="C465" s="22" t="str">
        <f ca="1">IF(B465="","",IF(MONTH(B465)=1,C464*(1+PREMISSAS!$C$58),C464))</f>
        <v/>
      </c>
      <c r="D465" s="22">
        <f ca="1">IF(RESULTADOS!$C$17="Normal",IFERROR(MAX(C465-PREMISSAS!$C$14,0),0),IF(PREMISSAS!$H$117=0,0,MAX(10*PREMISSAS!$C$39,RESULTADOS!$F$17)))</f>
        <v>0</v>
      </c>
      <c r="E465" s="4">
        <f ca="1">D465*IF(RESULTADOS!$C$17="Normal",RESULTADOS!$C$16,0)</f>
        <v>0</v>
      </c>
      <c r="F465" s="4">
        <f ca="1">IF(D465&lt;&gt;0,PREMISSAS!$N$83,0)</f>
        <v>0</v>
      </c>
      <c r="G465" s="4">
        <f ca="1">IFERROR(IF(RESULTADOS!$C$17="Normal",0,D465)*IF(RESULTADOS!$C$17="Normal",RESULTADOS!$C$18,RESULTADOS!$C$16),0)</f>
        <v>0</v>
      </c>
      <c r="H465" s="4">
        <f ca="1">IF(RESULTADOS!$C$17="Normal",E465,0)</f>
        <v>0</v>
      </c>
      <c r="I465" s="4">
        <f ca="1">(E465+H465+G465)*IFERROR(VLOOKUP(INT(COUNT($B$5:B465)/12),PREMISSAS!$B$62:$C$69,2,FALSE),PREMISSAS!$C$69)</f>
        <v>0</v>
      </c>
      <c r="J465" s="4">
        <f ca="1">D465*IF(RESULTADOS!$C$17="Normal",PREMISSAS!$C$71,0)</f>
        <v>0</v>
      </c>
      <c r="K465" s="87">
        <f ca="1">IFERROR(K464*(1+PREMISSAS!$C$19)+(E465+H465-IF(RESULTADOS!$C$17="Normal",I465,0)-J465)*IF(MONTH(B465)=12,2,1),0)</f>
        <v>0</v>
      </c>
      <c r="L465" s="87">
        <f ca="1">IFERROR((L464+G465-IF(RESULTADOS!$C$17="Normal",0,I465))*(1+PREMISSAS!$C$19)+F465,0)</f>
        <v>0</v>
      </c>
      <c r="N465" s="58">
        <f t="shared" ca="1" si="57"/>
        <v>0</v>
      </c>
      <c r="P465" s="131" t="str">
        <f t="shared" ca="1" si="58"/>
        <v/>
      </c>
      <c r="Q465" s="111" t="str">
        <f ca="1">IF(C465="","",Q464+(E465+H465-IF(RESULTADOS!$C$17="Normal",I465,0)-J465)/2+(F465+G465-IF(RESULTADOS!$C$17="Normal",0,I465)))</f>
        <v/>
      </c>
      <c r="R465" s="111" t="str">
        <f ca="1">IF(C465="","",R464+(E465+H465-IF(RESULTADOS!$C$17="Normal",I465,0)-J465)/2)</f>
        <v/>
      </c>
      <c r="S465" s="111">
        <f t="shared" ca="1" si="60"/>
        <v>0</v>
      </c>
      <c r="U465" s="131" t="str">
        <f t="shared" ca="1" si="61"/>
        <v/>
      </c>
      <c r="V465" s="131" t="str">
        <f t="shared" ca="1" si="59"/>
        <v/>
      </c>
      <c r="W465" s="111">
        <f ca="1">IF(OR((W464-13/12*Z464)*(1+PREMISSAS!$C$17)&lt;0,W464=""),0,(W464-13/12*Z464)*(1+PREMISSAS!$C$17))</f>
        <v>0</v>
      </c>
      <c r="X465" s="111">
        <f ca="1">IF(OR((X464-13/12*AA464)*(1+PREMISSAS!$C$17)&lt;0,X464=""),0,(X464-13/12*AA464)*(1+PREMISSAS!$C$17))</f>
        <v>0</v>
      </c>
      <c r="Y465" s="111">
        <f t="shared" ca="1" si="56"/>
        <v>0</v>
      </c>
      <c r="Z465" s="134">
        <f t="shared" ca="1" si="62"/>
        <v>0</v>
      </c>
      <c r="AA465" s="134">
        <f t="shared" ca="1" si="63"/>
        <v>0</v>
      </c>
    </row>
    <row r="466" spans="2:27" x14ac:dyDescent="0.3">
      <c r="B466" s="21" t="str">
        <f ca="1">IF(B465="","",IF(EOMONTH(B465,1)&gt;EOMONTH(ELEGIBILIDADE!$E$5,0),"",EOMONTH(B465,1)))</f>
        <v/>
      </c>
      <c r="C466" s="22" t="str">
        <f ca="1">IF(B466="","",IF(MONTH(B466)=1,C465*(1+PREMISSAS!$C$58),C465))</f>
        <v/>
      </c>
      <c r="D466" s="22">
        <f ca="1">IF(RESULTADOS!$C$17="Normal",IFERROR(MAX(C466-PREMISSAS!$C$14,0),0),IF(PREMISSAS!$H$117=0,0,MAX(10*PREMISSAS!$C$39,RESULTADOS!$F$17)))</f>
        <v>0</v>
      </c>
      <c r="E466" s="4">
        <f ca="1">D466*IF(RESULTADOS!$C$17="Normal",RESULTADOS!$C$16,0)</f>
        <v>0</v>
      </c>
      <c r="F466" s="4">
        <f ca="1">IF(D466&lt;&gt;0,PREMISSAS!$N$83,0)</f>
        <v>0</v>
      </c>
      <c r="G466" s="4">
        <f ca="1">IFERROR(IF(RESULTADOS!$C$17="Normal",0,D466)*IF(RESULTADOS!$C$17="Normal",RESULTADOS!$C$18,RESULTADOS!$C$16),0)</f>
        <v>0</v>
      </c>
      <c r="H466" s="4">
        <f ca="1">IF(RESULTADOS!$C$17="Normal",E466,0)</f>
        <v>0</v>
      </c>
      <c r="I466" s="4">
        <f ca="1">(E466+H466+G466)*IFERROR(VLOOKUP(INT(COUNT($B$5:B466)/12),PREMISSAS!$B$62:$C$69,2,FALSE),PREMISSAS!$C$69)</f>
        <v>0</v>
      </c>
      <c r="J466" s="4">
        <f ca="1">D466*IF(RESULTADOS!$C$17="Normal",PREMISSAS!$C$71,0)</f>
        <v>0</v>
      </c>
      <c r="K466" s="87">
        <f ca="1">IFERROR(K465*(1+PREMISSAS!$C$19)+(E466+H466-IF(RESULTADOS!$C$17="Normal",I466,0)-J466)*IF(MONTH(B466)=12,2,1),0)</f>
        <v>0</v>
      </c>
      <c r="L466" s="87">
        <f ca="1">IFERROR((L465+G466-IF(RESULTADOS!$C$17="Normal",0,I466))*(1+PREMISSAS!$C$19)+F466,0)</f>
        <v>0</v>
      </c>
      <c r="N466" s="58">
        <f t="shared" ca="1" si="57"/>
        <v>0</v>
      </c>
      <c r="P466" s="131" t="str">
        <f t="shared" ca="1" si="58"/>
        <v/>
      </c>
      <c r="Q466" s="111" t="str">
        <f ca="1">IF(C466="","",Q465+(E466+H466-IF(RESULTADOS!$C$17="Normal",I466,0)-J466)/2+(F466+G466-IF(RESULTADOS!$C$17="Normal",0,I466)))</f>
        <v/>
      </c>
      <c r="R466" s="111" t="str">
        <f ca="1">IF(C466="","",R465+(E466+H466-IF(RESULTADOS!$C$17="Normal",I466,0)-J466)/2)</f>
        <v/>
      </c>
      <c r="S466" s="111">
        <f t="shared" ca="1" si="60"/>
        <v>0</v>
      </c>
      <c r="U466" s="131" t="str">
        <f t="shared" ca="1" si="61"/>
        <v/>
      </c>
      <c r="V466" s="131" t="str">
        <f t="shared" ca="1" si="59"/>
        <v/>
      </c>
      <c r="W466" s="111">
        <f ca="1">IF(OR((W465-13/12*Z465)*(1+PREMISSAS!$C$17)&lt;0,W465=""),0,(W465-13/12*Z465)*(1+PREMISSAS!$C$17))</f>
        <v>0</v>
      </c>
      <c r="X466" s="111">
        <f ca="1">IF(OR((X465-13/12*AA465)*(1+PREMISSAS!$C$17)&lt;0,X465=""),0,(X465-13/12*AA465)*(1+PREMISSAS!$C$17))</f>
        <v>0</v>
      </c>
      <c r="Y466" s="111">
        <f t="shared" ca="1" si="56"/>
        <v>0</v>
      </c>
      <c r="Z466" s="134">
        <f t="shared" ca="1" si="62"/>
        <v>0</v>
      </c>
      <c r="AA466" s="134">
        <f t="shared" ca="1" si="63"/>
        <v>0</v>
      </c>
    </row>
    <row r="467" spans="2:27" x14ac:dyDescent="0.3">
      <c r="B467" s="21" t="str">
        <f ca="1">IF(B466="","",IF(EOMONTH(B466,1)&gt;EOMONTH(ELEGIBILIDADE!$E$5,0),"",EOMONTH(B466,1)))</f>
        <v/>
      </c>
      <c r="C467" s="22" t="str">
        <f ca="1">IF(B467="","",IF(MONTH(B467)=1,C466*(1+PREMISSAS!$C$58),C466))</f>
        <v/>
      </c>
      <c r="D467" s="22">
        <f ca="1">IF(RESULTADOS!$C$17="Normal",IFERROR(MAX(C467-PREMISSAS!$C$14,0),0),IF(PREMISSAS!$H$117=0,0,MAX(10*PREMISSAS!$C$39,RESULTADOS!$F$17)))</f>
        <v>0</v>
      </c>
      <c r="E467" s="4">
        <f ca="1">D467*IF(RESULTADOS!$C$17="Normal",RESULTADOS!$C$16,0)</f>
        <v>0</v>
      </c>
      <c r="F467" s="4">
        <f ca="1">IF(D467&lt;&gt;0,PREMISSAS!$N$83,0)</f>
        <v>0</v>
      </c>
      <c r="G467" s="4">
        <f ca="1">IFERROR(IF(RESULTADOS!$C$17="Normal",0,D467)*IF(RESULTADOS!$C$17="Normal",RESULTADOS!$C$18,RESULTADOS!$C$16),0)</f>
        <v>0</v>
      </c>
      <c r="H467" s="4">
        <f ca="1">IF(RESULTADOS!$C$17="Normal",E467,0)</f>
        <v>0</v>
      </c>
      <c r="I467" s="4">
        <f ca="1">(E467+H467+G467)*IFERROR(VLOOKUP(INT(COUNT($B$5:B467)/12),PREMISSAS!$B$62:$C$69,2,FALSE),PREMISSAS!$C$69)</f>
        <v>0</v>
      </c>
      <c r="J467" s="4">
        <f ca="1">D467*IF(RESULTADOS!$C$17="Normal",PREMISSAS!$C$71,0)</f>
        <v>0</v>
      </c>
      <c r="K467" s="87">
        <f ca="1">IFERROR(K466*(1+PREMISSAS!$C$19)+(E467+H467-IF(RESULTADOS!$C$17="Normal",I467,0)-J467)*IF(MONTH(B467)=12,2,1),0)</f>
        <v>0</v>
      </c>
      <c r="L467" s="87">
        <f ca="1">IFERROR((L466+G467-IF(RESULTADOS!$C$17="Normal",0,I467))*(1+PREMISSAS!$C$19)+F467,0)</f>
        <v>0</v>
      </c>
      <c r="N467" s="58">
        <f t="shared" ca="1" si="57"/>
        <v>0</v>
      </c>
      <c r="P467" s="131" t="str">
        <f t="shared" ca="1" si="58"/>
        <v/>
      </c>
      <c r="Q467" s="111" t="str">
        <f ca="1">IF(C467="","",Q466+(E467+H467-IF(RESULTADOS!$C$17="Normal",I467,0)-J467)/2+(F467+G467-IF(RESULTADOS!$C$17="Normal",0,I467)))</f>
        <v/>
      </c>
      <c r="R467" s="111" t="str">
        <f ca="1">IF(C467="","",R466+(E467+H467-IF(RESULTADOS!$C$17="Normal",I467,0)-J467)/2)</f>
        <v/>
      </c>
      <c r="S467" s="111">
        <f t="shared" ca="1" si="60"/>
        <v>0</v>
      </c>
      <c r="U467" s="131" t="str">
        <f t="shared" ca="1" si="61"/>
        <v/>
      </c>
      <c r="V467" s="131" t="str">
        <f t="shared" ca="1" si="59"/>
        <v/>
      </c>
      <c r="W467" s="111">
        <f ca="1">IF(OR((W466-13/12*Z466)*(1+PREMISSAS!$C$17)&lt;0,W466=""),0,(W466-13/12*Z466)*(1+PREMISSAS!$C$17))</f>
        <v>0</v>
      </c>
      <c r="X467" s="111">
        <f ca="1">IF(OR((X466-13/12*AA466)*(1+PREMISSAS!$C$17)&lt;0,X466=""),0,(X466-13/12*AA466)*(1+PREMISSAS!$C$17))</f>
        <v>0</v>
      </c>
      <c r="Y467" s="111">
        <f t="shared" ca="1" si="56"/>
        <v>0</v>
      </c>
      <c r="Z467" s="134">
        <f t="shared" ca="1" si="62"/>
        <v>0</v>
      </c>
      <c r="AA467" s="134">
        <f t="shared" ca="1" si="63"/>
        <v>0</v>
      </c>
    </row>
    <row r="468" spans="2:27" x14ac:dyDescent="0.3">
      <c r="B468" s="21" t="str">
        <f ca="1">IF(B467="","",IF(EOMONTH(B467,1)&gt;EOMONTH(ELEGIBILIDADE!$E$5,0),"",EOMONTH(B467,1)))</f>
        <v/>
      </c>
      <c r="C468" s="22" t="str">
        <f ca="1">IF(B468="","",IF(MONTH(B468)=1,C467*(1+PREMISSAS!$C$58),C467))</f>
        <v/>
      </c>
      <c r="D468" s="22">
        <f ca="1">IF(RESULTADOS!$C$17="Normal",IFERROR(MAX(C468-PREMISSAS!$C$14,0),0),IF(PREMISSAS!$H$117=0,0,MAX(10*PREMISSAS!$C$39,RESULTADOS!$F$17)))</f>
        <v>0</v>
      </c>
      <c r="E468" s="4">
        <f ca="1">D468*IF(RESULTADOS!$C$17="Normal",RESULTADOS!$C$16,0)</f>
        <v>0</v>
      </c>
      <c r="F468" s="4">
        <f ca="1">IF(D468&lt;&gt;0,PREMISSAS!$N$83,0)</f>
        <v>0</v>
      </c>
      <c r="G468" s="4">
        <f ca="1">IFERROR(IF(RESULTADOS!$C$17="Normal",0,D468)*IF(RESULTADOS!$C$17="Normal",RESULTADOS!$C$18,RESULTADOS!$C$16),0)</f>
        <v>0</v>
      </c>
      <c r="H468" s="4">
        <f ca="1">IF(RESULTADOS!$C$17="Normal",E468,0)</f>
        <v>0</v>
      </c>
      <c r="I468" s="4">
        <f ca="1">(E468+H468+G468)*IFERROR(VLOOKUP(INT(COUNT($B$5:B468)/12),PREMISSAS!$B$62:$C$69,2,FALSE),PREMISSAS!$C$69)</f>
        <v>0</v>
      </c>
      <c r="J468" s="4">
        <f ca="1">D468*IF(RESULTADOS!$C$17="Normal",PREMISSAS!$C$71,0)</f>
        <v>0</v>
      </c>
      <c r="K468" s="87">
        <f ca="1">IFERROR(K467*(1+PREMISSAS!$C$19)+(E468+H468-IF(RESULTADOS!$C$17="Normal",I468,0)-J468)*IF(MONTH(B468)=12,2,1),0)</f>
        <v>0</v>
      </c>
      <c r="L468" s="87">
        <f ca="1">IFERROR((L467+G468-IF(RESULTADOS!$C$17="Normal",0,I468))*(1+PREMISSAS!$C$19)+F468,0)</f>
        <v>0</v>
      </c>
      <c r="N468" s="58">
        <f t="shared" ca="1" si="57"/>
        <v>0</v>
      </c>
      <c r="P468" s="131" t="str">
        <f t="shared" ca="1" si="58"/>
        <v/>
      </c>
      <c r="Q468" s="111" t="str">
        <f ca="1">IF(C468="","",Q467+(E468+H468-IF(RESULTADOS!$C$17="Normal",I468,0)-J468)/2+(F468+G468-IF(RESULTADOS!$C$17="Normal",0,I468)))</f>
        <v/>
      </c>
      <c r="R468" s="111" t="str">
        <f ca="1">IF(C468="","",R467+(E468+H468-IF(RESULTADOS!$C$17="Normal",I468,0)-J468)/2)</f>
        <v/>
      </c>
      <c r="S468" s="111">
        <f t="shared" ca="1" si="60"/>
        <v>0</v>
      </c>
      <c r="U468" s="131" t="str">
        <f t="shared" ca="1" si="61"/>
        <v/>
      </c>
      <c r="V468" s="131" t="str">
        <f t="shared" ca="1" si="59"/>
        <v/>
      </c>
      <c r="W468" s="111">
        <f ca="1">IF(OR((W467-13/12*Z467)*(1+PREMISSAS!$C$17)&lt;0,W467=""),0,(W467-13/12*Z467)*(1+PREMISSAS!$C$17))</f>
        <v>0</v>
      </c>
      <c r="X468" s="111">
        <f ca="1">IF(OR((X467-13/12*AA467)*(1+PREMISSAS!$C$17)&lt;0,X467=""),0,(X467-13/12*AA467)*(1+PREMISSAS!$C$17))</f>
        <v>0</v>
      </c>
      <c r="Y468" s="111">
        <f t="shared" ca="1" si="56"/>
        <v>0</v>
      </c>
      <c r="Z468" s="134">
        <f t="shared" ca="1" si="62"/>
        <v>0</v>
      </c>
      <c r="AA468" s="134">
        <f t="shared" ca="1" si="63"/>
        <v>0</v>
      </c>
    </row>
    <row r="469" spans="2:27" x14ac:dyDescent="0.3">
      <c r="B469" s="21" t="str">
        <f ca="1">IF(B468="","",IF(EOMONTH(B468,1)&gt;EOMONTH(ELEGIBILIDADE!$E$5,0),"",EOMONTH(B468,1)))</f>
        <v/>
      </c>
      <c r="C469" s="22" t="str">
        <f ca="1">IF(B469="","",IF(MONTH(B469)=1,C468*(1+PREMISSAS!$C$58),C468))</f>
        <v/>
      </c>
      <c r="D469" s="22">
        <f ca="1">IF(RESULTADOS!$C$17="Normal",IFERROR(MAX(C469-PREMISSAS!$C$14,0),0),IF(PREMISSAS!$H$117=0,0,MAX(10*PREMISSAS!$C$39,RESULTADOS!$F$17)))</f>
        <v>0</v>
      </c>
      <c r="E469" s="4">
        <f ca="1">D469*IF(RESULTADOS!$C$17="Normal",RESULTADOS!$C$16,0)</f>
        <v>0</v>
      </c>
      <c r="F469" s="4">
        <f ca="1">IF(D469&lt;&gt;0,PREMISSAS!$N$83,0)</f>
        <v>0</v>
      </c>
      <c r="G469" s="4">
        <f ca="1">IFERROR(IF(RESULTADOS!$C$17="Normal",0,D469)*IF(RESULTADOS!$C$17="Normal",RESULTADOS!$C$18,RESULTADOS!$C$16),0)</f>
        <v>0</v>
      </c>
      <c r="H469" s="4">
        <f ca="1">IF(RESULTADOS!$C$17="Normal",E469,0)</f>
        <v>0</v>
      </c>
      <c r="I469" s="4">
        <f ca="1">(E469+H469+G469)*IFERROR(VLOOKUP(INT(COUNT($B$5:B469)/12),PREMISSAS!$B$62:$C$69,2,FALSE),PREMISSAS!$C$69)</f>
        <v>0</v>
      </c>
      <c r="J469" s="4">
        <f ca="1">D469*IF(RESULTADOS!$C$17="Normal",PREMISSAS!$C$71,0)</f>
        <v>0</v>
      </c>
      <c r="K469" s="87">
        <f ca="1">IFERROR(K468*(1+PREMISSAS!$C$19)+(E469+H469-IF(RESULTADOS!$C$17="Normal",I469,0)-J469)*IF(MONTH(B469)=12,2,1),0)</f>
        <v>0</v>
      </c>
      <c r="L469" s="87">
        <f ca="1">IFERROR((L468+G469-IF(RESULTADOS!$C$17="Normal",0,I469))*(1+PREMISSAS!$C$19)+F469,0)</f>
        <v>0</v>
      </c>
      <c r="N469" s="58">
        <f t="shared" ca="1" si="57"/>
        <v>0</v>
      </c>
      <c r="P469" s="131" t="str">
        <f t="shared" ca="1" si="58"/>
        <v/>
      </c>
      <c r="Q469" s="111" t="str">
        <f ca="1">IF(C469="","",Q468+(E469+H469-IF(RESULTADOS!$C$17="Normal",I469,0)-J469)/2+(F469+G469-IF(RESULTADOS!$C$17="Normal",0,I469)))</f>
        <v/>
      </c>
      <c r="R469" s="111" t="str">
        <f ca="1">IF(C469="","",R468+(E469+H469-IF(RESULTADOS!$C$17="Normal",I469,0)-J469)/2)</f>
        <v/>
      </c>
      <c r="S469" s="111">
        <f t="shared" ca="1" si="60"/>
        <v>0</v>
      </c>
      <c r="U469" s="131" t="str">
        <f t="shared" ca="1" si="61"/>
        <v/>
      </c>
      <c r="V469" s="131" t="str">
        <f t="shared" ca="1" si="59"/>
        <v/>
      </c>
      <c r="W469" s="111">
        <f ca="1">IF(OR((W468-13/12*Z468)*(1+PREMISSAS!$C$17)&lt;0,W468=""),0,(W468-13/12*Z468)*(1+PREMISSAS!$C$17))</f>
        <v>0</v>
      </c>
      <c r="X469" s="111">
        <f ca="1">IF(OR((X468-13/12*AA468)*(1+PREMISSAS!$C$17)&lt;0,X468=""),0,(X468-13/12*AA468)*(1+PREMISSAS!$C$17))</f>
        <v>0</v>
      </c>
      <c r="Y469" s="111">
        <f t="shared" ca="1" si="56"/>
        <v>0</v>
      </c>
      <c r="Z469" s="134">
        <f t="shared" ca="1" si="62"/>
        <v>0</v>
      </c>
      <c r="AA469" s="134">
        <f t="shared" ca="1" si="63"/>
        <v>0</v>
      </c>
    </row>
    <row r="470" spans="2:27" x14ac:dyDescent="0.3">
      <c r="B470" s="21" t="str">
        <f ca="1">IF(B469="","",IF(EOMONTH(B469,1)&gt;EOMONTH(ELEGIBILIDADE!$E$5,0),"",EOMONTH(B469,1)))</f>
        <v/>
      </c>
      <c r="C470" s="22" t="str">
        <f ca="1">IF(B470="","",IF(MONTH(B470)=1,C469*(1+PREMISSAS!$C$58),C469))</f>
        <v/>
      </c>
      <c r="D470" s="22">
        <f ca="1">IF(RESULTADOS!$C$17="Normal",IFERROR(MAX(C470-PREMISSAS!$C$14,0),0),IF(PREMISSAS!$H$117=0,0,MAX(10*PREMISSAS!$C$39,RESULTADOS!$F$17)))</f>
        <v>0</v>
      </c>
      <c r="E470" s="4">
        <f ca="1">D470*IF(RESULTADOS!$C$17="Normal",RESULTADOS!$C$16,0)</f>
        <v>0</v>
      </c>
      <c r="F470" s="4">
        <f ca="1">IF(D470&lt;&gt;0,PREMISSAS!$N$83,0)</f>
        <v>0</v>
      </c>
      <c r="G470" s="4">
        <f ca="1">IFERROR(IF(RESULTADOS!$C$17="Normal",0,D470)*IF(RESULTADOS!$C$17="Normal",RESULTADOS!$C$18,RESULTADOS!$C$16),0)</f>
        <v>0</v>
      </c>
      <c r="H470" s="4">
        <f ca="1">IF(RESULTADOS!$C$17="Normal",E470,0)</f>
        <v>0</v>
      </c>
      <c r="I470" s="4">
        <f ca="1">(E470+H470+G470)*IFERROR(VLOOKUP(INT(COUNT($B$5:B470)/12),PREMISSAS!$B$62:$C$69,2,FALSE),PREMISSAS!$C$69)</f>
        <v>0</v>
      </c>
      <c r="J470" s="4">
        <f ca="1">D470*IF(RESULTADOS!$C$17="Normal",PREMISSAS!$C$71,0)</f>
        <v>0</v>
      </c>
      <c r="K470" s="87">
        <f ca="1">IFERROR(K469*(1+PREMISSAS!$C$19)+(E470+H470-IF(RESULTADOS!$C$17="Normal",I470,0)-J470)*IF(MONTH(B470)=12,2,1),0)</f>
        <v>0</v>
      </c>
      <c r="L470" s="87">
        <f ca="1">IFERROR((L469+G470-IF(RESULTADOS!$C$17="Normal",0,I470))*(1+PREMISSAS!$C$19)+F470,0)</f>
        <v>0</v>
      </c>
      <c r="N470" s="58">
        <f t="shared" ca="1" si="57"/>
        <v>0</v>
      </c>
      <c r="P470" s="131" t="str">
        <f t="shared" ca="1" si="58"/>
        <v/>
      </c>
      <c r="Q470" s="111" t="str">
        <f ca="1">IF(C470="","",Q469+(E470+H470-IF(RESULTADOS!$C$17="Normal",I470,0)-J470)/2+(F470+G470-IF(RESULTADOS!$C$17="Normal",0,I470)))</f>
        <v/>
      </c>
      <c r="R470" s="111" t="str">
        <f ca="1">IF(C470="","",R469+(E470+H470-IF(RESULTADOS!$C$17="Normal",I470,0)-J470)/2)</f>
        <v/>
      </c>
      <c r="S470" s="111">
        <f t="shared" ca="1" si="60"/>
        <v>0</v>
      </c>
      <c r="U470" s="131" t="str">
        <f t="shared" ca="1" si="61"/>
        <v/>
      </c>
      <c r="V470" s="131" t="str">
        <f t="shared" ca="1" si="59"/>
        <v/>
      </c>
      <c r="W470" s="111">
        <f ca="1">IF(OR((W469-13/12*Z469)*(1+PREMISSAS!$C$17)&lt;0,W469=""),0,(W469-13/12*Z469)*(1+PREMISSAS!$C$17))</f>
        <v>0</v>
      </c>
      <c r="X470" s="111">
        <f ca="1">IF(OR((X469-13/12*AA469)*(1+PREMISSAS!$C$17)&lt;0,X469=""),0,(X469-13/12*AA469)*(1+PREMISSAS!$C$17))</f>
        <v>0</v>
      </c>
      <c r="Y470" s="111">
        <f t="shared" ca="1" si="56"/>
        <v>0</v>
      </c>
      <c r="Z470" s="134">
        <f t="shared" ca="1" si="62"/>
        <v>0</v>
      </c>
      <c r="AA470" s="134">
        <f t="shared" ca="1" si="63"/>
        <v>0</v>
      </c>
    </row>
    <row r="471" spans="2:27" x14ac:dyDescent="0.3">
      <c r="B471" s="21" t="str">
        <f ca="1">IF(B470="","",IF(EOMONTH(B470,1)&gt;EOMONTH(ELEGIBILIDADE!$E$5,0),"",EOMONTH(B470,1)))</f>
        <v/>
      </c>
      <c r="C471" s="22" t="str">
        <f ca="1">IF(B471="","",IF(MONTH(B471)=1,C470*(1+PREMISSAS!$C$58),C470))</f>
        <v/>
      </c>
      <c r="D471" s="22">
        <f ca="1">IF(RESULTADOS!$C$17="Normal",IFERROR(MAX(C471-PREMISSAS!$C$14,0),0),IF(PREMISSAS!$H$117=0,0,MAX(10*PREMISSAS!$C$39,RESULTADOS!$F$17)))</f>
        <v>0</v>
      </c>
      <c r="E471" s="4">
        <f ca="1">D471*IF(RESULTADOS!$C$17="Normal",RESULTADOS!$C$16,0)</f>
        <v>0</v>
      </c>
      <c r="F471" s="4">
        <f ca="1">IF(D471&lt;&gt;0,PREMISSAS!$N$83,0)</f>
        <v>0</v>
      </c>
      <c r="G471" s="4">
        <f ca="1">IFERROR(IF(RESULTADOS!$C$17="Normal",0,D471)*IF(RESULTADOS!$C$17="Normal",RESULTADOS!$C$18,RESULTADOS!$C$16),0)</f>
        <v>0</v>
      </c>
      <c r="H471" s="4">
        <f ca="1">IF(RESULTADOS!$C$17="Normal",E471,0)</f>
        <v>0</v>
      </c>
      <c r="I471" s="4">
        <f ca="1">(E471+H471+G471)*IFERROR(VLOOKUP(INT(COUNT($B$5:B471)/12),PREMISSAS!$B$62:$C$69,2,FALSE),PREMISSAS!$C$69)</f>
        <v>0</v>
      </c>
      <c r="J471" s="4">
        <f ca="1">D471*IF(RESULTADOS!$C$17="Normal",PREMISSAS!$C$71,0)</f>
        <v>0</v>
      </c>
      <c r="K471" s="87">
        <f ca="1">IFERROR(K470*(1+PREMISSAS!$C$19)+(E471+H471-IF(RESULTADOS!$C$17="Normal",I471,0)-J471)*IF(MONTH(B471)=12,2,1),0)</f>
        <v>0</v>
      </c>
      <c r="L471" s="87">
        <f ca="1">IFERROR((L470+G471-IF(RESULTADOS!$C$17="Normal",0,I471))*(1+PREMISSAS!$C$19)+F471,0)</f>
        <v>0</v>
      </c>
      <c r="N471" s="58">
        <f t="shared" ca="1" si="57"/>
        <v>0</v>
      </c>
      <c r="P471" s="131" t="str">
        <f t="shared" ca="1" si="58"/>
        <v/>
      </c>
      <c r="Q471" s="111" t="str">
        <f ca="1">IF(C471="","",Q470+(E471+H471-IF(RESULTADOS!$C$17="Normal",I471,0)-J471)/2+(F471+G471-IF(RESULTADOS!$C$17="Normal",0,I471)))</f>
        <v/>
      </c>
      <c r="R471" s="111" t="str">
        <f ca="1">IF(C471="","",R470+(E471+H471-IF(RESULTADOS!$C$17="Normal",I471,0)-J471)/2)</f>
        <v/>
      </c>
      <c r="S471" s="111">
        <f t="shared" ca="1" si="60"/>
        <v>0</v>
      </c>
      <c r="U471" s="131" t="str">
        <f t="shared" ca="1" si="61"/>
        <v/>
      </c>
      <c r="V471" s="131" t="str">
        <f t="shared" ca="1" si="59"/>
        <v/>
      </c>
      <c r="W471" s="111">
        <f ca="1">IF(OR((W470-13/12*Z470)*(1+PREMISSAS!$C$17)&lt;0,W470=""),0,(W470-13/12*Z470)*(1+PREMISSAS!$C$17))</f>
        <v>0</v>
      </c>
      <c r="X471" s="111">
        <f ca="1">IF(OR((X470-13/12*AA470)*(1+PREMISSAS!$C$17)&lt;0,X470=""),0,(X470-13/12*AA470)*(1+PREMISSAS!$C$17))</f>
        <v>0</v>
      </c>
      <c r="Y471" s="111">
        <f t="shared" ca="1" si="56"/>
        <v>0</v>
      </c>
      <c r="Z471" s="134">
        <f t="shared" ca="1" si="62"/>
        <v>0</v>
      </c>
      <c r="AA471" s="134">
        <f t="shared" ca="1" si="63"/>
        <v>0</v>
      </c>
    </row>
    <row r="472" spans="2:27" x14ac:dyDescent="0.3">
      <c r="B472" s="21" t="str">
        <f ca="1">IF(B471="","",IF(EOMONTH(B471,1)&gt;EOMONTH(ELEGIBILIDADE!$E$5,0),"",EOMONTH(B471,1)))</f>
        <v/>
      </c>
      <c r="C472" s="22" t="str">
        <f ca="1">IF(B472="","",IF(MONTH(B472)=1,C471*(1+PREMISSAS!$C$58),C471))</f>
        <v/>
      </c>
      <c r="D472" s="22">
        <f ca="1">IF(RESULTADOS!$C$17="Normal",IFERROR(MAX(C472-PREMISSAS!$C$14,0),0),IF(PREMISSAS!$H$117=0,0,MAX(10*PREMISSAS!$C$39,RESULTADOS!$F$17)))</f>
        <v>0</v>
      </c>
      <c r="E472" s="4">
        <f ca="1">D472*IF(RESULTADOS!$C$17="Normal",RESULTADOS!$C$16,0)</f>
        <v>0</v>
      </c>
      <c r="F472" s="4">
        <f ca="1">IF(D472&lt;&gt;0,PREMISSAS!$N$83,0)</f>
        <v>0</v>
      </c>
      <c r="G472" s="4">
        <f ca="1">IFERROR(IF(RESULTADOS!$C$17="Normal",0,D472)*IF(RESULTADOS!$C$17="Normal",RESULTADOS!$C$18,RESULTADOS!$C$16),0)</f>
        <v>0</v>
      </c>
      <c r="H472" s="4">
        <f ca="1">IF(RESULTADOS!$C$17="Normal",E472,0)</f>
        <v>0</v>
      </c>
      <c r="I472" s="4">
        <f ca="1">(E472+H472+G472)*IFERROR(VLOOKUP(INT(COUNT($B$5:B472)/12),PREMISSAS!$B$62:$C$69,2,FALSE),PREMISSAS!$C$69)</f>
        <v>0</v>
      </c>
      <c r="J472" s="4">
        <f ca="1">D472*IF(RESULTADOS!$C$17="Normal",PREMISSAS!$C$71,0)</f>
        <v>0</v>
      </c>
      <c r="K472" s="87">
        <f ca="1">IFERROR(K471*(1+PREMISSAS!$C$19)+(E472+H472-IF(RESULTADOS!$C$17="Normal",I472,0)-J472)*IF(MONTH(B472)=12,2,1),0)</f>
        <v>0</v>
      </c>
      <c r="L472" s="87">
        <f ca="1">IFERROR((L471+G472-IF(RESULTADOS!$C$17="Normal",0,I472))*(1+PREMISSAS!$C$19)+F472,0)</f>
        <v>0</v>
      </c>
      <c r="N472" s="58">
        <f t="shared" ca="1" si="57"/>
        <v>0</v>
      </c>
      <c r="P472" s="131" t="str">
        <f t="shared" ca="1" si="58"/>
        <v/>
      </c>
      <c r="Q472" s="111" t="str">
        <f ca="1">IF(C472="","",Q471+(E472+H472-IF(RESULTADOS!$C$17="Normal",I472,0)-J472)/2+(F472+G472-IF(RESULTADOS!$C$17="Normal",0,I472)))</f>
        <v/>
      </c>
      <c r="R472" s="111" t="str">
        <f ca="1">IF(C472="","",R471+(E472+H472-IF(RESULTADOS!$C$17="Normal",I472,0)-J472)/2)</f>
        <v/>
      </c>
      <c r="S472" s="111">
        <f t="shared" ca="1" si="60"/>
        <v>0</v>
      </c>
      <c r="U472" s="131" t="str">
        <f t="shared" ca="1" si="61"/>
        <v/>
      </c>
      <c r="V472" s="131" t="str">
        <f t="shared" ca="1" si="59"/>
        <v/>
      </c>
      <c r="W472" s="111">
        <f ca="1">IF(OR((W471-13/12*Z471)*(1+PREMISSAS!$C$17)&lt;0,W471=""),0,(W471-13/12*Z471)*(1+PREMISSAS!$C$17))</f>
        <v>0</v>
      </c>
      <c r="X472" s="111">
        <f ca="1">IF(OR((X471-13/12*AA471)*(1+PREMISSAS!$C$17)&lt;0,X471=""),0,(X471-13/12*AA471)*(1+PREMISSAS!$C$17))</f>
        <v>0</v>
      </c>
      <c r="Y472" s="111">
        <f t="shared" ca="1" si="56"/>
        <v>0</v>
      </c>
      <c r="Z472" s="134">
        <f t="shared" ca="1" si="62"/>
        <v>0</v>
      </c>
      <c r="AA472" s="134">
        <f t="shared" ca="1" si="63"/>
        <v>0</v>
      </c>
    </row>
    <row r="473" spans="2:27" x14ac:dyDescent="0.3">
      <c r="B473" s="21" t="str">
        <f ca="1">IF(B472="","",IF(EOMONTH(B472,1)&gt;EOMONTH(ELEGIBILIDADE!$E$5,0),"",EOMONTH(B472,1)))</f>
        <v/>
      </c>
      <c r="C473" s="22" t="str">
        <f ca="1">IF(B473="","",IF(MONTH(B473)=1,C472*(1+PREMISSAS!$C$58),C472))</f>
        <v/>
      </c>
      <c r="D473" s="22">
        <f ca="1">IF(RESULTADOS!$C$17="Normal",IFERROR(MAX(C473-PREMISSAS!$C$14,0),0),IF(PREMISSAS!$H$117=0,0,MAX(10*PREMISSAS!$C$39,RESULTADOS!$F$17)))</f>
        <v>0</v>
      </c>
      <c r="E473" s="4">
        <f ca="1">D473*IF(RESULTADOS!$C$17="Normal",RESULTADOS!$C$16,0)</f>
        <v>0</v>
      </c>
      <c r="F473" s="4">
        <f ca="1">IF(D473&lt;&gt;0,PREMISSAS!$N$83,0)</f>
        <v>0</v>
      </c>
      <c r="G473" s="4">
        <f ca="1">IFERROR(IF(RESULTADOS!$C$17="Normal",0,D473)*IF(RESULTADOS!$C$17="Normal",RESULTADOS!$C$18,RESULTADOS!$C$16),0)</f>
        <v>0</v>
      </c>
      <c r="H473" s="4">
        <f ca="1">IF(RESULTADOS!$C$17="Normal",E473,0)</f>
        <v>0</v>
      </c>
      <c r="I473" s="4">
        <f ca="1">(E473+H473+G473)*IFERROR(VLOOKUP(INT(COUNT($B$5:B473)/12),PREMISSAS!$B$62:$C$69,2,FALSE),PREMISSAS!$C$69)</f>
        <v>0</v>
      </c>
      <c r="J473" s="4">
        <f ca="1">D473*IF(RESULTADOS!$C$17="Normal",PREMISSAS!$C$71,0)</f>
        <v>0</v>
      </c>
      <c r="K473" s="87">
        <f ca="1">IFERROR(K472*(1+PREMISSAS!$C$19)+(E473+H473-IF(RESULTADOS!$C$17="Normal",I473,0)-J473)*IF(MONTH(B473)=12,2,1),0)</f>
        <v>0</v>
      </c>
      <c r="L473" s="87">
        <f ca="1">IFERROR((L472+G473-IF(RESULTADOS!$C$17="Normal",0,I473))*(1+PREMISSAS!$C$19)+F473,0)</f>
        <v>0</v>
      </c>
      <c r="N473" s="58">
        <f t="shared" ca="1" si="57"/>
        <v>0</v>
      </c>
      <c r="P473" s="131" t="str">
        <f t="shared" ca="1" si="58"/>
        <v/>
      </c>
      <c r="Q473" s="111" t="str">
        <f ca="1">IF(C473="","",Q472+(E473+H473-IF(RESULTADOS!$C$17="Normal",I473,0)-J473)/2+(F473+G473-IF(RESULTADOS!$C$17="Normal",0,I473)))</f>
        <v/>
      </c>
      <c r="R473" s="111" t="str">
        <f ca="1">IF(C473="","",R472+(E473+H473-IF(RESULTADOS!$C$17="Normal",I473,0)-J473)/2)</f>
        <v/>
      </c>
      <c r="S473" s="111">
        <f t="shared" ca="1" si="60"/>
        <v>0</v>
      </c>
      <c r="U473" s="131" t="str">
        <f t="shared" ca="1" si="61"/>
        <v/>
      </c>
      <c r="V473" s="131" t="str">
        <f t="shared" ca="1" si="59"/>
        <v/>
      </c>
      <c r="W473" s="111">
        <f ca="1">IF(OR((W472-13/12*Z472)*(1+PREMISSAS!$C$17)&lt;0,W472=""),0,(W472-13/12*Z472)*(1+PREMISSAS!$C$17))</f>
        <v>0</v>
      </c>
      <c r="X473" s="111">
        <f ca="1">IF(OR((X472-13/12*AA472)*(1+PREMISSAS!$C$17)&lt;0,X472=""),0,(X472-13/12*AA472)*(1+PREMISSAS!$C$17))</f>
        <v>0</v>
      </c>
      <c r="Y473" s="111">
        <f t="shared" ca="1" si="56"/>
        <v>0</v>
      </c>
      <c r="Z473" s="134">
        <f t="shared" ca="1" si="62"/>
        <v>0</v>
      </c>
      <c r="AA473" s="134">
        <f t="shared" ca="1" si="63"/>
        <v>0</v>
      </c>
    </row>
    <row r="474" spans="2:27" x14ac:dyDescent="0.3">
      <c r="B474" s="21" t="str">
        <f ca="1">IF(B473="","",IF(EOMONTH(B473,1)&gt;EOMONTH(ELEGIBILIDADE!$E$5,0),"",EOMONTH(B473,1)))</f>
        <v/>
      </c>
      <c r="C474" s="22" t="str">
        <f ca="1">IF(B474="","",IF(MONTH(B474)=1,C473*(1+PREMISSAS!$C$58),C473))</f>
        <v/>
      </c>
      <c r="D474" s="22">
        <f ca="1">IF(RESULTADOS!$C$17="Normal",IFERROR(MAX(C474-PREMISSAS!$C$14,0),0),IF(PREMISSAS!$H$117=0,0,MAX(10*PREMISSAS!$C$39,RESULTADOS!$F$17)))</f>
        <v>0</v>
      </c>
      <c r="E474" s="4">
        <f ca="1">D474*IF(RESULTADOS!$C$17="Normal",RESULTADOS!$C$16,0)</f>
        <v>0</v>
      </c>
      <c r="F474" s="4">
        <f ca="1">IF(D474&lt;&gt;0,PREMISSAS!$N$83,0)</f>
        <v>0</v>
      </c>
      <c r="G474" s="4">
        <f ca="1">IFERROR(IF(RESULTADOS!$C$17="Normal",0,D474)*IF(RESULTADOS!$C$17="Normal",RESULTADOS!$C$18,RESULTADOS!$C$16),0)</f>
        <v>0</v>
      </c>
      <c r="H474" s="4">
        <f ca="1">IF(RESULTADOS!$C$17="Normal",E474,0)</f>
        <v>0</v>
      </c>
      <c r="I474" s="4">
        <f ca="1">(E474+H474+G474)*IFERROR(VLOOKUP(INT(COUNT($B$5:B474)/12),PREMISSAS!$B$62:$C$69,2,FALSE),PREMISSAS!$C$69)</f>
        <v>0</v>
      </c>
      <c r="J474" s="4">
        <f ca="1">D474*IF(RESULTADOS!$C$17="Normal",PREMISSAS!$C$71,0)</f>
        <v>0</v>
      </c>
      <c r="K474" s="87">
        <f ca="1">IFERROR(K473*(1+PREMISSAS!$C$19)+(E474+H474-IF(RESULTADOS!$C$17="Normal",I474,0)-J474)*IF(MONTH(B474)=12,2,1),0)</f>
        <v>0</v>
      </c>
      <c r="L474" s="87">
        <f ca="1">IFERROR((L473+G474-IF(RESULTADOS!$C$17="Normal",0,I474))*(1+PREMISSAS!$C$19)+F474,0)</f>
        <v>0</v>
      </c>
      <c r="N474" s="58">
        <f t="shared" ca="1" si="57"/>
        <v>0</v>
      </c>
      <c r="P474" s="131" t="str">
        <f t="shared" ca="1" si="58"/>
        <v/>
      </c>
      <c r="Q474" s="111" t="str">
        <f ca="1">IF(C474="","",Q473+(E474+H474-IF(RESULTADOS!$C$17="Normal",I474,0)-J474)/2+(F474+G474-IF(RESULTADOS!$C$17="Normal",0,I474)))</f>
        <v/>
      </c>
      <c r="R474" s="111" t="str">
        <f ca="1">IF(C474="","",R473+(E474+H474-IF(RESULTADOS!$C$17="Normal",I474,0)-J474)/2)</f>
        <v/>
      </c>
      <c r="S474" s="111">
        <f t="shared" ca="1" si="60"/>
        <v>0</v>
      </c>
      <c r="U474" s="131" t="str">
        <f t="shared" ca="1" si="61"/>
        <v/>
      </c>
      <c r="V474" s="131" t="str">
        <f t="shared" ca="1" si="59"/>
        <v/>
      </c>
      <c r="W474" s="111">
        <f ca="1">IF(OR((W473-13/12*Z473)*(1+PREMISSAS!$C$17)&lt;0,W473=""),0,(W473-13/12*Z473)*(1+PREMISSAS!$C$17))</f>
        <v>0</v>
      </c>
      <c r="X474" s="111">
        <f ca="1">IF(OR((X473-13/12*AA473)*(1+PREMISSAS!$C$17)&lt;0,X473=""),0,(X473-13/12*AA473)*(1+PREMISSAS!$C$17))</f>
        <v>0</v>
      </c>
      <c r="Y474" s="111">
        <f t="shared" ca="1" si="56"/>
        <v>0</v>
      </c>
      <c r="Z474" s="134">
        <f t="shared" ca="1" si="62"/>
        <v>0</v>
      </c>
      <c r="AA474" s="134">
        <f t="shared" ca="1" si="63"/>
        <v>0</v>
      </c>
    </row>
    <row r="475" spans="2:27" x14ac:dyDescent="0.3">
      <c r="B475" s="21" t="str">
        <f ca="1">IF(B474="","",IF(EOMONTH(B474,1)&gt;EOMONTH(ELEGIBILIDADE!$E$5,0),"",EOMONTH(B474,1)))</f>
        <v/>
      </c>
      <c r="C475" s="22" t="str">
        <f ca="1">IF(B475="","",IF(MONTH(B475)=1,C474*(1+PREMISSAS!$C$58),C474))</f>
        <v/>
      </c>
      <c r="D475" s="22">
        <f ca="1">IF(RESULTADOS!$C$17="Normal",IFERROR(MAX(C475-PREMISSAS!$C$14,0),0),IF(PREMISSAS!$H$117=0,0,MAX(10*PREMISSAS!$C$39,RESULTADOS!$F$17)))</f>
        <v>0</v>
      </c>
      <c r="E475" s="4">
        <f ca="1">D475*IF(RESULTADOS!$C$17="Normal",RESULTADOS!$C$16,0)</f>
        <v>0</v>
      </c>
      <c r="F475" s="4">
        <f ca="1">IF(D475&lt;&gt;0,PREMISSAS!$N$83,0)</f>
        <v>0</v>
      </c>
      <c r="G475" s="4">
        <f ca="1">IFERROR(IF(RESULTADOS!$C$17="Normal",0,D475)*IF(RESULTADOS!$C$17="Normal",RESULTADOS!$C$18,RESULTADOS!$C$16),0)</f>
        <v>0</v>
      </c>
      <c r="H475" s="4">
        <f ca="1">IF(RESULTADOS!$C$17="Normal",E475,0)</f>
        <v>0</v>
      </c>
      <c r="I475" s="4">
        <f ca="1">(E475+H475+G475)*IFERROR(VLOOKUP(INT(COUNT($B$5:B475)/12),PREMISSAS!$B$62:$C$69,2,FALSE),PREMISSAS!$C$69)</f>
        <v>0</v>
      </c>
      <c r="J475" s="4">
        <f ca="1">D475*IF(RESULTADOS!$C$17="Normal",PREMISSAS!$C$71,0)</f>
        <v>0</v>
      </c>
      <c r="K475" s="87">
        <f ca="1">IFERROR(K474*(1+PREMISSAS!$C$19)+(E475+H475-IF(RESULTADOS!$C$17="Normal",I475,0)-J475)*IF(MONTH(B475)=12,2,1),0)</f>
        <v>0</v>
      </c>
      <c r="L475" s="87">
        <f ca="1">IFERROR((L474+G475-IF(RESULTADOS!$C$17="Normal",0,I475))*(1+PREMISSAS!$C$19)+F475,0)</f>
        <v>0</v>
      </c>
      <c r="N475" s="58">
        <f t="shared" ca="1" si="57"/>
        <v>0</v>
      </c>
      <c r="P475" s="131" t="str">
        <f t="shared" ca="1" si="58"/>
        <v/>
      </c>
      <c r="Q475" s="111" t="str">
        <f ca="1">IF(C475="","",Q474+(E475+H475-IF(RESULTADOS!$C$17="Normal",I475,0)-J475)/2+(F475+G475-IF(RESULTADOS!$C$17="Normal",0,I475)))</f>
        <v/>
      </c>
      <c r="R475" s="111" t="str">
        <f ca="1">IF(C475="","",R474+(E475+H475-IF(RESULTADOS!$C$17="Normal",I475,0)-J475)/2)</f>
        <v/>
      </c>
      <c r="S475" s="111">
        <f t="shared" ca="1" si="60"/>
        <v>0</v>
      </c>
      <c r="U475" s="131" t="str">
        <f t="shared" ca="1" si="61"/>
        <v/>
      </c>
      <c r="V475" s="131" t="str">
        <f t="shared" ca="1" si="59"/>
        <v/>
      </c>
      <c r="W475" s="111">
        <f ca="1">IF(OR((W474-13/12*Z474)*(1+PREMISSAS!$C$17)&lt;0,W474=""),0,(W474-13/12*Z474)*(1+PREMISSAS!$C$17))</f>
        <v>0</v>
      </c>
      <c r="X475" s="111">
        <f ca="1">IF(OR((X474-13/12*AA474)*(1+PREMISSAS!$C$17)&lt;0,X474=""),0,(X474-13/12*AA474)*(1+PREMISSAS!$C$17))</f>
        <v>0</v>
      </c>
      <c r="Y475" s="111">
        <f t="shared" ca="1" si="56"/>
        <v>0</v>
      </c>
      <c r="Z475" s="134">
        <f t="shared" ca="1" si="62"/>
        <v>0</v>
      </c>
      <c r="AA475" s="134">
        <f t="shared" ca="1" si="63"/>
        <v>0</v>
      </c>
    </row>
    <row r="476" spans="2:27" x14ac:dyDescent="0.3">
      <c r="B476" s="21" t="str">
        <f ca="1">IF(B475="","",IF(EOMONTH(B475,1)&gt;EOMONTH(ELEGIBILIDADE!$E$5,0),"",EOMONTH(B475,1)))</f>
        <v/>
      </c>
      <c r="C476" s="22" t="str">
        <f ca="1">IF(B476="","",IF(MONTH(B476)=1,C475*(1+PREMISSAS!$C$58),C475))</f>
        <v/>
      </c>
      <c r="D476" s="22">
        <f ca="1">IF(RESULTADOS!$C$17="Normal",IFERROR(MAX(C476-PREMISSAS!$C$14,0),0),IF(PREMISSAS!$H$117=0,0,MAX(10*PREMISSAS!$C$39,RESULTADOS!$F$17)))</f>
        <v>0</v>
      </c>
      <c r="E476" s="4">
        <f ca="1">D476*IF(RESULTADOS!$C$17="Normal",RESULTADOS!$C$16,0)</f>
        <v>0</v>
      </c>
      <c r="F476" s="4">
        <f ca="1">IF(D476&lt;&gt;0,PREMISSAS!$N$83,0)</f>
        <v>0</v>
      </c>
      <c r="G476" s="4">
        <f ca="1">IFERROR(IF(RESULTADOS!$C$17="Normal",0,D476)*IF(RESULTADOS!$C$17="Normal",RESULTADOS!$C$18,RESULTADOS!$C$16),0)</f>
        <v>0</v>
      </c>
      <c r="H476" s="4">
        <f ca="1">IF(RESULTADOS!$C$17="Normal",E476,0)</f>
        <v>0</v>
      </c>
      <c r="I476" s="4">
        <f ca="1">(E476+H476+G476)*IFERROR(VLOOKUP(INT(COUNT($B$5:B476)/12),PREMISSAS!$B$62:$C$69,2,FALSE),PREMISSAS!$C$69)</f>
        <v>0</v>
      </c>
      <c r="J476" s="4">
        <f ca="1">D476*IF(RESULTADOS!$C$17="Normal",PREMISSAS!$C$71,0)</f>
        <v>0</v>
      </c>
      <c r="K476" s="87">
        <f ca="1">IFERROR(K475*(1+PREMISSAS!$C$19)+(E476+H476-IF(RESULTADOS!$C$17="Normal",I476,0)-J476)*IF(MONTH(B476)=12,2,1),0)</f>
        <v>0</v>
      </c>
      <c r="L476" s="87">
        <f ca="1">IFERROR((L475+G476-IF(RESULTADOS!$C$17="Normal",0,I476))*(1+PREMISSAS!$C$19)+F476,0)</f>
        <v>0</v>
      </c>
      <c r="N476" s="58">
        <f t="shared" ca="1" si="57"/>
        <v>0</v>
      </c>
      <c r="P476" s="131" t="str">
        <f t="shared" ca="1" si="58"/>
        <v/>
      </c>
      <c r="Q476" s="111" t="str">
        <f ca="1">IF(C476="","",Q475+(E476+H476-IF(RESULTADOS!$C$17="Normal",I476,0)-J476)/2+(F476+G476-IF(RESULTADOS!$C$17="Normal",0,I476)))</f>
        <v/>
      </c>
      <c r="R476" s="111" t="str">
        <f ca="1">IF(C476="","",R475+(E476+H476-IF(RESULTADOS!$C$17="Normal",I476,0)-J476)/2)</f>
        <v/>
      </c>
      <c r="S476" s="111">
        <f t="shared" ca="1" si="60"/>
        <v>0</v>
      </c>
      <c r="U476" s="131" t="str">
        <f t="shared" ca="1" si="61"/>
        <v/>
      </c>
      <c r="V476" s="131" t="str">
        <f t="shared" ca="1" si="59"/>
        <v/>
      </c>
      <c r="W476" s="111">
        <f ca="1">IF(OR((W475-13/12*Z475)*(1+PREMISSAS!$C$17)&lt;0,W475=""),0,(W475-13/12*Z475)*(1+PREMISSAS!$C$17))</f>
        <v>0</v>
      </c>
      <c r="X476" s="111">
        <f ca="1">IF(OR((X475-13/12*AA475)*(1+PREMISSAS!$C$17)&lt;0,X475=""),0,(X475-13/12*AA475)*(1+PREMISSAS!$C$17))</f>
        <v>0</v>
      </c>
      <c r="Y476" s="111">
        <f t="shared" ca="1" si="56"/>
        <v>0</v>
      </c>
      <c r="Z476" s="134">
        <f t="shared" ca="1" si="62"/>
        <v>0</v>
      </c>
      <c r="AA476" s="134">
        <f t="shared" ca="1" si="63"/>
        <v>0</v>
      </c>
    </row>
    <row r="477" spans="2:27" x14ac:dyDescent="0.3">
      <c r="B477" s="21" t="str">
        <f ca="1">IF(B476="","",IF(EOMONTH(B476,1)&gt;EOMONTH(ELEGIBILIDADE!$E$5,0),"",EOMONTH(B476,1)))</f>
        <v/>
      </c>
      <c r="C477" s="22" t="str">
        <f ca="1">IF(B477="","",IF(MONTH(B477)=1,C476*(1+PREMISSAS!$C$58),C476))</f>
        <v/>
      </c>
      <c r="D477" s="22">
        <f ca="1">IF(RESULTADOS!$C$17="Normal",IFERROR(MAX(C477-PREMISSAS!$C$14,0),0),IF(PREMISSAS!$H$117=0,0,MAX(10*PREMISSAS!$C$39,RESULTADOS!$F$17)))</f>
        <v>0</v>
      </c>
      <c r="E477" s="4">
        <f ca="1">D477*IF(RESULTADOS!$C$17="Normal",RESULTADOS!$C$16,0)</f>
        <v>0</v>
      </c>
      <c r="F477" s="4">
        <f ca="1">IF(D477&lt;&gt;0,PREMISSAS!$N$83,0)</f>
        <v>0</v>
      </c>
      <c r="G477" s="4">
        <f ca="1">IFERROR(IF(RESULTADOS!$C$17="Normal",0,D477)*IF(RESULTADOS!$C$17="Normal",RESULTADOS!$C$18,RESULTADOS!$C$16),0)</f>
        <v>0</v>
      </c>
      <c r="H477" s="4">
        <f ca="1">IF(RESULTADOS!$C$17="Normal",E477,0)</f>
        <v>0</v>
      </c>
      <c r="I477" s="4">
        <f ca="1">(E477+H477+G477)*IFERROR(VLOOKUP(INT(COUNT($B$5:B477)/12),PREMISSAS!$B$62:$C$69,2,FALSE),PREMISSAS!$C$69)</f>
        <v>0</v>
      </c>
      <c r="J477" s="4">
        <f ca="1">D477*IF(RESULTADOS!$C$17="Normal",PREMISSAS!$C$71,0)</f>
        <v>0</v>
      </c>
      <c r="K477" s="87">
        <f ca="1">IFERROR(K476*(1+PREMISSAS!$C$19)+(E477+H477-IF(RESULTADOS!$C$17="Normal",I477,0)-J477)*IF(MONTH(B477)=12,2,1),0)</f>
        <v>0</v>
      </c>
      <c r="L477" s="87">
        <f ca="1">IFERROR((L476+G477-IF(RESULTADOS!$C$17="Normal",0,I477))*(1+PREMISSAS!$C$19)+F477,0)</f>
        <v>0</v>
      </c>
      <c r="N477" s="58">
        <f t="shared" ca="1" si="57"/>
        <v>0</v>
      </c>
      <c r="P477" s="131" t="str">
        <f t="shared" ca="1" si="58"/>
        <v/>
      </c>
      <c r="Q477" s="111" t="str">
        <f ca="1">IF(C477="","",Q476+(E477+H477-IF(RESULTADOS!$C$17="Normal",I477,0)-J477)/2+(F477+G477-IF(RESULTADOS!$C$17="Normal",0,I477)))</f>
        <v/>
      </c>
      <c r="R477" s="111" t="str">
        <f ca="1">IF(C477="","",R476+(E477+H477-IF(RESULTADOS!$C$17="Normal",I477,0)-J477)/2)</f>
        <v/>
      </c>
      <c r="S477" s="111">
        <f t="shared" ca="1" si="60"/>
        <v>0</v>
      </c>
      <c r="U477" s="131" t="str">
        <f t="shared" ca="1" si="61"/>
        <v/>
      </c>
      <c r="V477" s="131" t="str">
        <f t="shared" ca="1" si="59"/>
        <v/>
      </c>
      <c r="W477" s="111">
        <f ca="1">IF(OR((W476-13/12*Z476)*(1+PREMISSAS!$C$17)&lt;0,W476=""),0,(W476-13/12*Z476)*(1+PREMISSAS!$C$17))</f>
        <v>0</v>
      </c>
      <c r="X477" s="111">
        <f ca="1">IF(OR((X476-13/12*AA476)*(1+PREMISSAS!$C$17)&lt;0,X476=""),0,(X476-13/12*AA476)*(1+PREMISSAS!$C$17))</f>
        <v>0</v>
      </c>
      <c r="Y477" s="111">
        <f t="shared" ca="1" si="56"/>
        <v>0</v>
      </c>
      <c r="Z477" s="134">
        <f t="shared" ca="1" si="62"/>
        <v>0</v>
      </c>
      <c r="AA477" s="134">
        <f t="shared" ca="1" si="63"/>
        <v>0</v>
      </c>
    </row>
    <row r="478" spans="2:27" x14ac:dyDescent="0.3">
      <c r="B478" s="21" t="str">
        <f ca="1">IF(B477="","",IF(EOMONTH(B477,1)&gt;EOMONTH(ELEGIBILIDADE!$E$5,0),"",EOMONTH(B477,1)))</f>
        <v/>
      </c>
      <c r="C478" s="22" t="str">
        <f ca="1">IF(B478="","",IF(MONTH(B478)=1,C477*(1+PREMISSAS!$C$58),C477))</f>
        <v/>
      </c>
      <c r="D478" s="22">
        <f ca="1">IF(RESULTADOS!$C$17="Normal",IFERROR(MAX(C478-PREMISSAS!$C$14,0),0),IF(PREMISSAS!$H$117=0,0,MAX(10*PREMISSAS!$C$39,RESULTADOS!$F$17)))</f>
        <v>0</v>
      </c>
      <c r="E478" s="4">
        <f ca="1">D478*IF(RESULTADOS!$C$17="Normal",RESULTADOS!$C$16,0)</f>
        <v>0</v>
      </c>
      <c r="F478" s="4">
        <f ca="1">IF(D478&lt;&gt;0,PREMISSAS!$N$83,0)</f>
        <v>0</v>
      </c>
      <c r="G478" s="4">
        <f ca="1">IFERROR(IF(RESULTADOS!$C$17="Normal",0,D478)*IF(RESULTADOS!$C$17="Normal",RESULTADOS!$C$18,RESULTADOS!$C$16),0)</f>
        <v>0</v>
      </c>
      <c r="H478" s="4">
        <f ca="1">IF(RESULTADOS!$C$17="Normal",E478,0)</f>
        <v>0</v>
      </c>
      <c r="I478" s="4">
        <f ca="1">(E478+H478+G478)*IFERROR(VLOOKUP(INT(COUNT($B$5:B478)/12),PREMISSAS!$B$62:$C$69,2,FALSE),PREMISSAS!$C$69)</f>
        <v>0</v>
      </c>
      <c r="J478" s="4">
        <f ca="1">D478*IF(RESULTADOS!$C$17="Normal",PREMISSAS!$C$71,0)</f>
        <v>0</v>
      </c>
      <c r="K478" s="87">
        <f ca="1">IFERROR(K477*(1+PREMISSAS!$C$19)+(E478+H478-IF(RESULTADOS!$C$17="Normal",I478,0)-J478)*IF(MONTH(B478)=12,2,1),0)</f>
        <v>0</v>
      </c>
      <c r="L478" s="87">
        <f ca="1">IFERROR((L477+G478-IF(RESULTADOS!$C$17="Normal",0,I478))*(1+PREMISSAS!$C$19)+F478,0)</f>
        <v>0</v>
      </c>
      <c r="N478" s="58">
        <f t="shared" ca="1" si="57"/>
        <v>0</v>
      </c>
      <c r="P478" s="131" t="str">
        <f t="shared" ca="1" si="58"/>
        <v/>
      </c>
      <c r="Q478" s="111" t="str">
        <f ca="1">IF(C478="","",Q477+(E478+H478-IF(RESULTADOS!$C$17="Normal",I478,0)-J478)/2+(F478+G478-IF(RESULTADOS!$C$17="Normal",0,I478)))</f>
        <v/>
      </c>
      <c r="R478" s="111" t="str">
        <f ca="1">IF(C478="","",R477+(E478+H478-IF(RESULTADOS!$C$17="Normal",I478,0)-J478)/2)</f>
        <v/>
      </c>
      <c r="S478" s="111">
        <f t="shared" ca="1" si="60"/>
        <v>0</v>
      </c>
      <c r="U478" s="131" t="str">
        <f t="shared" ca="1" si="61"/>
        <v/>
      </c>
      <c r="V478" s="131" t="str">
        <f t="shared" ca="1" si="59"/>
        <v/>
      </c>
      <c r="W478" s="111">
        <f ca="1">IF(OR((W477-13/12*Z477)*(1+PREMISSAS!$C$17)&lt;0,W477=""),0,(W477-13/12*Z477)*(1+PREMISSAS!$C$17))</f>
        <v>0</v>
      </c>
      <c r="X478" s="111">
        <f ca="1">IF(OR((X477-13/12*AA477)*(1+PREMISSAS!$C$17)&lt;0,X477=""),0,(X477-13/12*AA477)*(1+PREMISSAS!$C$17))</f>
        <v>0</v>
      </c>
      <c r="Y478" s="111">
        <f t="shared" ca="1" si="56"/>
        <v>0</v>
      </c>
      <c r="Z478" s="134">
        <f t="shared" ca="1" si="62"/>
        <v>0</v>
      </c>
      <c r="AA478" s="134">
        <f t="shared" ca="1" si="63"/>
        <v>0</v>
      </c>
    </row>
    <row r="479" spans="2:27" x14ac:dyDescent="0.3">
      <c r="B479" s="21" t="str">
        <f ca="1">IF(B478="","",IF(EOMONTH(B478,1)&gt;EOMONTH(ELEGIBILIDADE!$E$5,0),"",EOMONTH(B478,1)))</f>
        <v/>
      </c>
      <c r="C479" s="22" t="str">
        <f ca="1">IF(B479="","",IF(MONTH(B479)=1,C478*(1+PREMISSAS!$C$58),C478))</f>
        <v/>
      </c>
      <c r="D479" s="22">
        <f ca="1">IF(RESULTADOS!$C$17="Normal",IFERROR(MAX(C479-PREMISSAS!$C$14,0),0),IF(PREMISSAS!$H$117=0,0,MAX(10*PREMISSAS!$C$39,RESULTADOS!$F$17)))</f>
        <v>0</v>
      </c>
      <c r="E479" s="4">
        <f ca="1">D479*IF(RESULTADOS!$C$17="Normal",RESULTADOS!$C$16,0)</f>
        <v>0</v>
      </c>
      <c r="F479" s="4">
        <f ca="1">IF(D479&lt;&gt;0,PREMISSAS!$N$83,0)</f>
        <v>0</v>
      </c>
      <c r="G479" s="4">
        <f ca="1">IFERROR(IF(RESULTADOS!$C$17="Normal",0,D479)*IF(RESULTADOS!$C$17="Normal",RESULTADOS!$C$18,RESULTADOS!$C$16),0)</f>
        <v>0</v>
      </c>
      <c r="H479" s="4">
        <f ca="1">IF(RESULTADOS!$C$17="Normal",E479,0)</f>
        <v>0</v>
      </c>
      <c r="I479" s="4">
        <f ca="1">(E479+H479+G479)*IFERROR(VLOOKUP(INT(COUNT($B$5:B479)/12),PREMISSAS!$B$62:$C$69,2,FALSE),PREMISSAS!$C$69)</f>
        <v>0</v>
      </c>
      <c r="J479" s="4">
        <f ca="1">D479*IF(RESULTADOS!$C$17="Normal",PREMISSAS!$C$71,0)</f>
        <v>0</v>
      </c>
      <c r="K479" s="87">
        <f ca="1">IFERROR(K478*(1+PREMISSAS!$C$19)+(E479+H479-IF(RESULTADOS!$C$17="Normal",I479,0)-J479)*IF(MONTH(B479)=12,2,1),0)</f>
        <v>0</v>
      </c>
      <c r="L479" s="87">
        <f ca="1">IFERROR((L478+G479-IF(RESULTADOS!$C$17="Normal",0,I479))*(1+PREMISSAS!$C$19)+F479,0)</f>
        <v>0</v>
      </c>
      <c r="N479" s="58">
        <f t="shared" ca="1" si="57"/>
        <v>0</v>
      </c>
      <c r="P479" s="131" t="str">
        <f t="shared" ca="1" si="58"/>
        <v/>
      </c>
      <c r="Q479" s="111" t="str">
        <f ca="1">IF(C479="","",Q478+(E479+H479-IF(RESULTADOS!$C$17="Normal",I479,0)-J479)/2+(F479+G479-IF(RESULTADOS!$C$17="Normal",0,I479)))</f>
        <v/>
      </c>
      <c r="R479" s="111" t="str">
        <f ca="1">IF(C479="","",R478+(E479+H479-IF(RESULTADOS!$C$17="Normal",I479,0)-J479)/2)</f>
        <v/>
      </c>
      <c r="S479" s="111">
        <f t="shared" ca="1" si="60"/>
        <v>0</v>
      </c>
      <c r="U479" s="131" t="str">
        <f t="shared" ca="1" si="61"/>
        <v/>
      </c>
      <c r="V479" s="131" t="str">
        <f t="shared" ca="1" si="59"/>
        <v/>
      </c>
      <c r="W479" s="111">
        <f ca="1">IF(OR((W478-13/12*Z478)*(1+PREMISSAS!$C$17)&lt;0,W478=""),0,(W478-13/12*Z478)*(1+PREMISSAS!$C$17))</f>
        <v>0</v>
      </c>
      <c r="X479" s="111">
        <f ca="1">IF(OR((X478-13/12*AA478)*(1+PREMISSAS!$C$17)&lt;0,X478=""),0,(X478-13/12*AA478)*(1+PREMISSAS!$C$17))</f>
        <v>0</v>
      </c>
      <c r="Y479" s="111">
        <f t="shared" ca="1" si="56"/>
        <v>0</v>
      </c>
      <c r="Z479" s="134">
        <f t="shared" ca="1" si="62"/>
        <v>0</v>
      </c>
      <c r="AA479" s="134">
        <f t="shared" ca="1" si="63"/>
        <v>0</v>
      </c>
    </row>
    <row r="480" spans="2:27" x14ac:dyDescent="0.3">
      <c r="B480" s="21" t="str">
        <f ca="1">IF(B479="","",IF(EOMONTH(B479,1)&gt;EOMONTH(ELEGIBILIDADE!$E$5,0),"",EOMONTH(B479,1)))</f>
        <v/>
      </c>
      <c r="C480" s="22" t="str">
        <f ca="1">IF(B480="","",IF(MONTH(B480)=1,C479*(1+PREMISSAS!$C$58),C479))</f>
        <v/>
      </c>
      <c r="D480" s="22">
        <f ca="1">IF(RESULTADOS!$C$17="Normal",IFERROR(MAX(C480-PREMISSAS!$C$14,0),0),IF(PREMISSAS!$H$117=0,0,MAX(10*PREMISSAS!$C$39,RESULTADOS!$F$17)))</f>
        <v>0</v>
      </c>
      <c r="E480" s="4">
        <f ca="1">D480*IF(RESULTADOS!$C$17="Normal",RESULTADOS!$C$16,0)</f>
        <v>0</v>
      </c>
      <c r="F480" s="4">
        <f ca="1">IF(D480&lt;&gt;0,PREMISSAS!$N$83,0)</f>
        <v>0</v>
      </c>
      <c r="G480" s="4">
        <f ca="1">IFERROR(IF(RESULTADOS!$C$17="Normal",0,D480)*IF(RESULTADOS!$C$17="Normal",RESULTADOS!$C$18,RESULTADOS!$C$16),0)</f>
        <v>0</v>
      </c>
      <c r="H480" s="4">
        <f ca="1">IF(RESULTADOS!$C$17="Normal",E480,0)</f>
        <v>0</v>
      </c>
      <c r="I480" s="4">
        <f ca="1">(E480+H480+G480)*IFERROR(VLOOKUP(INT(COUNT($B$5:B480)/12),PREMISSAS!$B$62:$C$69,2,FALSE),PREMISSAS!$C$69)</f>
        <v>0</v>
      </c>
      <c r="J480" s="4">
        <f ca="1">D480*IF(RESULTADOS!$C$17="Normal",PREMISSAS!$C$71,0)</f>
        <v>0</v>
      </c>
      <c r="K480" s="87">
        <f ca="1">IFERROR(K479*(1+PREMISSAS!$C$19)+(E480+H480-IF(RESULTADOS!$C$17="Normal",I480,0)-J480)*IF(MONTH(B480)=12,2,1),0)</f>
        <v>0</v>
      </c>
      <c r="L480" s="87">
        <f ca="1">IFERROR((L479+G480-IF(RESULTADOS!$C$17="Normal",0,I480))*(1+PREMISSAS!$C$19)+F480,0)</f>
        <v>0</v>
      </c>
      <c r="N480" s="58">
        <f t="shared" ca="1" si="57"/>
        <v>0</v>
      </c>
      <c r="P480" s="131" t="str">
        <f t="shared" ca="1" si="58"/>
        <v/>
      </c>
      <c r="Q480" s="111" t="str">
        <f ca="1">IF(C480="","",Q479+(E480+H480-IF(RESULTADOS!$C$17="Normal",I480,0)-J480)/2+(F480+G480-IF(RESULTADOS!$C$17="Normal",0,I480)))</f>
        <v/>
      </c>
      <c r="R480" s="111" t="str">
        <f ca="1">IF(C480="","",R479+(E480+H480-IF(RESULTADOS!$C$17="Normal",I480,0)-J480)/2)</f>
        <v/>
      </c>
      <c r="S480" s="111">
        <f t="shared" ca="1" si="60"/>
        <v>0</v>
      </c>
      <c r="U480" s="131" t="str">
        <f t="shared" ca="1" si="61"/>
        <v/>
      </c>
      <c r="V480" s="131" t="str">
        <f t="shared" ca="1" si="59"/>
        <v/>
      </c>
      <c r="W480" s="111">
        <f ca="1">IF(OR((W479-13/12*Z479)*(1+PREMISSAS!$C$17)&lt;0,W479=""),0,(W479-13/12*Z479)*(1+PREMISSAS!$C$17))</f>
        <v>0</v>
      </c>
      <c r="X480" s="111">
        <f ca="1">IF(OR((X479-13/12*AA479)*(1+PREMISSAS!$C$17)&lt;0,X479=""),0,(X479-13/12*AA479)*(1+PREMISSAS!$C$17))</f>
        <v>0</v>
      </c>
      <c r="Y480" s="111">
        <f t="shared" ca="1" si="56"/>
        <v>0</v>
      </c>
      <c r="Z480" s="134">
        <f t="shared" ca="1" si="62"/>
        <v>0</v>
      </c>
      <c r="AA480" s="134">
        <f t="shared" ca="1" si="63"/>
        <v>0</v>
      </c>
    </row>
    <row r="481" spans="2:27" x14ac:dyDescent="0.3">
      <c r="B481" s="21" t="str">
        <f ca="1">IF(B480="","",IF(EOMONTH(B480,1)&gt;EOMONTH(ELEGIBILIDADE!$E$5,0),"",EOMONTH(B480,1)))</f>
        <v/>
      </c>
      <c r="C481" s="22" t="str">
        <f ca="1">IF(B481="","",IF(MONTH(B481)=1,C480*(1+PREMISSAS!$C$58),C480))</f>
        <v/>
      </c>
      <c r="D481" s="22">
        <f ca="1">IF(RESULTADOS!$C$17="Normal",IFERROR(MAX(C481-PREMISSAS!$C$14,0),0),IF(PREMISSAS!$H$117=0,0,MAX(10*PREMISSAS!$C$39,RESULTADOS!$F$17)))</f>
        <v>0</v>
      </c>
      <c r="E481" s="4">
        <f ca="1">D481*IF(RESULTADOS!$C$17="Normal",RESULTADOS!$C$16,0)</f>
        <v>0</v>
      </c>
      <c r="F481" s="4">
        <f ca="1">IF(D481&lt;&gt;0,PREMISSAS!$N$83,0)</f>
        <v>0</v>
      </c>
      <c r="G481" s="4">
        <f ca="1">IFERROR(IF(RESULTADOS!$C$17="Normal",0,D481)*IF(RESULTADOS!$C$17="Normal",RESULTADOS!$C$18,RESULTADOS!$C$16),0)</f>
        <v>0</v>
      </c>
      <c r="H481" s="4">
        <f ca="1">IF(RESULTADOS!$C$17="Normal",E481,0)</f>
        <v>0</v>
      </c>
      <c r="I481" s="4">
        <f ca="1">(E481+H481+G481)*IFERROR(VLOOKUP(INT(COUNT($B$5:B481)/12),PREMISSAS!$B$62:$C$69,2,FALSE),PREMISSAS!$C$69)</f>
        <v>0</v>
      </c>
      <c r="J481" s="4">
        <f ca="1">D481*IF(RESULTADOS!$C$17="Normal",PREMISSAS!$C$71,0)</f>
        <v>0</v>
      </c>
      <c r="K481" s="87">
        <f ca="1">IFERROR(K480*(1+PREMISSAS!$C$19)+(E481+H481-IF(RESULTADOS!$C$17="Normal",I481,0)-J481)*IF(MONTH(B481)=12,2,1),0)</f>
        <v>0</v>
      </c>
      <c r="L481" s="87">
        <f ca="1">IFERROR((L480+G481-IF(RESULTADOS!$C$17="Normal",0,I481))*(1+PREMISSAS!$C$19)+F481,0)</f>
        <v>0</v>
      </c>
      <c r="N481" s="58">
        <f t="shared" ca="1" si="57"/>
        <v>0</v>
      </c>
      <c r="P481" s="131" t="str">
        <f t="shared" ca="1" si="58"/>
        <v/>
      </c>
      <c r="Q481" s="111" t="str">
        <f ca="1">IF(C481="","",Q480+(E481+H481-IF(RESULTADOS!$C$17="Normal",I481,0)-J481)/2+(F481+G481-IF(RESULTADOS!$C$17="Normal",0,I481)))</f>
        <v/>
      </c>
      <c r="R481" s="111" t="str">
        <f ca="1">IF(C481="","",R480+(E481+H481-IF(RESULTADOS!$C$17="Normal",I481,0)-J481)/2)</f>
        <v/>
      </c>
      <c r="S481" s="111">
        <f t="shared" ca="1" si="60"/>
        <v>0</v>
      </c>
      <c r="U481" s="131" t="str">
        <f t="shared" ca="1" si="61"/>
        <v/>
      </c>
      <c r="V481" s="131" t="str">
        <f t="shared" ca="1" si="59"/>
        <v/>
      </c>
      <c r="W481" s="111">
        <f ca="1">IF(OR((W480-13/12*Z480)*(1+PREMISSAS!$C$17)&lt;0,W480=""),0,(W480-13/12*Z480)*(1+PREMISSAS!$C$17))</f>
        <v>0</v>
      </c>
      <c r="X481" s="111">
        <f ca="1">IF(OR((X480-13/12*AA480)*(1+PREMISSAS!$C$17)&lt;0,X480=""),0,(X480-13/12*AA480)*(1+PREMISSAS!$C$17))</f>
        <v>0</v>
      </c>
      <c r="Y481" s="111">
        <f t="shared" ca="1" si="56"/>
        <v>0</v>
      </c>
      <c r="Z481" s="134">
        <f t="shared" ca="1" si="62"/>
        <v>0</v>
      </c>
      <c r="AA481" s="134">
        <f t="shared" ca="1" si="63"/>
        <v>0</v>
      </c>
    </row>
    <row r="482" spans="2:27" x14ac:dyDescent="0.3">
      <c r="B482" s="21" t="str">
        <f ca="1">IF(B481="","",IF(EOMONTH(B481,1)&gt;EOMONTH(ELEGIBILIDADE!$E$5,0),"",EOMONTH(B481,1)))</f>
        <v/>
      </c>
      <c r="C482" s="22" t="str">
        <f ca="1">IF(B482="","",IF(MONTH(B482)=1,C481*(1+PREMISSAS!$C$58),C481))</f>
        <v/>
      </c>
      <c r="D482" s="22">
        <f ca="1">IF(RESULTADOS!$C$17="Normal",IFERROR(MAX(C482-PREMISSAS!$C$14,0),0),IF(PREMISSAS!$H$117=0,0,MAX(10*PREMISSAS!$C$39,RESULTADOS!$F$17)))</f>
        <v>0</v>
      </c>
      <c r="E482" s="4">
        <f ca="1">D482*IF(RESULTADOS!$C$17="Normal",RESULTADOS!$C$16,0)</f>
        <v>0</v>
      </c>
      <c r="F482" s="4">
        <f ca="1">IF(D482&lt;&gt;0,PREMISSAS!$N$83,0)</f>
        <v>0</v>
      </c>
      <c r="G482" s="4">
        <f ca="1">IFERROR(IF(RESULTADOS!$C$17="Normal",0,D482)*IF(RESULTADOS!$C$17="Normal",RESULTADOS!$C$18,RESULTADOS!$C$16),0)</f>
        <v>0</v>
      </c>
      <c r="H482" s="4">
        <f ca="1">IF(RESULTADOS!$C$17="Normal",E482,0)</f>
        <v>0</v>
      </c>
      <c r="I482" s="4">
        <f ca="1">(E482+H482+G482)*IFERROR(VLOOKUP(INT(COUNT($B$5:B482)/12),PREMISSAS!$B$62:$C$69,2,FALSE),PREMISSAS!$C$69)</f>
        <v>0</v>
      </c>
      <c r="J482" s="4">
        <f ca="1">D482*IF(RESULTADOS!$C$17="Normal",PREMISSAS!$C$71,0)</f>
        <v>0</v>
      </c>
      <c r="K482" s="87">
        <f ca="1">IFERROR(K481*(1+PREMISSAS!$C$19)+(E482+H482-IF(RESULTADOS!$C$17="Normal",I482,0)-J482)*IF(MONTH(B482)=12,2,1),0)</f>
        <v>0</v>
      </c>
      <c r="L482" s="87">
        <f ca="1">IFERROR((L481+G482-IF(RESULTADOS!$C$17="Normal",0,I482))*(1+PREMISSAS!$C$19)+F482,0)</f>
        <v>0</v>
      </c>
      <c r="N482" s="58">
        <f t="shared" ca="1" si="57"/>
        <v>0</v>
      </c>
      <c r="P482" s="131" t="str">
        <f t="shared" ca="1" si="58"/>
        <v/>
      </c>
      <c r="Q482" s="111" t="str">
        <f ca="1">IF(C482="","",Q481+(E482+H482-IF(RESULTADOS!$C$17="Normal",I482,0)-J482)/2+(F482+G482-IF(RESULTADOS!$C$17="Normal",0,I482)))</f>
        <v/>
      </c>
      <c r="R482" s="111" t="str">
        <f ca="1">IF(C482="","",R481+(E482+H482-IF(RESULTADOS!$C$17="Normal",I482,0)-J482)/2)</f>
        <v/>
      </c>
      <c r="S482" s="111">
        <f t="shared" ca="1" si="60"/>
        <v>0</v>
      </c>
      <c r="U482" s="131" t="str">
        <f t="shared" ca="1" si="61"/>
        <v/>
      </c>
      <c r="V482" s="131" t="str">
        <f t="shared" ca="1" si="59"/>
        <v/>
      </c>
      <c r="W482" s="111">
        <f ca="1">IF(OR((W481-13/12*Z481)*(1+PREMISSAS!$C$17)&lt;0,W481=""),0,(W481-13/12*Z481)*(1+PREMISSAS!$C$17))</f>
        <v>0</v>
      </c>
      <c r="X482" s="111">
        <f ca="1">IF(OR((X481-13/12*AA481)*(1+PREMISSAS!$C$17)&lt;0,X481=""),0,(X481-13/12*AA481)*(1+PREMISSAS!$C$17))</f>
        <v>0</v>
      </c>
      <c r="Y482" s="111">
        <f t="shared" ca="1" si="56"/>
        <v>0</v>
      </c>
      <c r="Z482" s="134">
        <f t="shared" ca="1" si="62"/>
        <v>0</v>
      </c>
      <c r="AA482" s="134">
        <f t="shared" ca="1" si="63"/>
        <v>0</v>
      </c>
    </row>
    <row r="483" spans="2:27" x14ac:dyDescent="0.3">
      <c r="B483" s="21" t="str">
        <f ca="1">IF(B482="","",IF(EOMONTH(B482,1)&gt;EOMONTH(ELEGIBILIDADE!$E$5,0),"",EOMONTH(B482,1)))</f>
        <v/>
      </c>
      <c r="C483" s="22" t="str">
        <f ca="1">IF(B483="","",IF(MONTH(B483)=1,C482*(1+PREMISSAS!$C$58),C482))</f>
        <v/>
      </c>
      <c r="D483" s="22">
        <f ca="1">IF(RESULTADOS!$C$17="Normal",IFERROR(MAX(C483-PREMISSAS!$C$14,0),0),IF(PREMISSAS!$H$117=0,0,MAX(10*PREMISSAS!$C$39,RESULTADOS!$F$17)))</f>
        <v>0</v>
      </c>
      <c r="E483" s="4">
        <f ca="1">D483*IF(RESULTADOS!$C$17="Normal",RESULTADOS!$C$16,0)</f>
        <v>0</v>
      </c>
      <c r="F483" s="4">
        <f ca="1">IF(D483&lt;&gt;0,PREMISSAS!$N$83,0)</f>
        <v>0</v>
      </c>
      <c r="G483" s="4">
        <f ca="1">IFERROR(IF(RESULTADOS!$C$17="Normal",0,D483)*IF(RESULTADOS!$C$17="Normal",RESULTADOS!$C$18,RESULTADOS!$C$16),0)</f>
        <v>0</v>
      </c>
      <c r="H483" s="4">
        <f ca="1">IF(RESULTADOS!$C$17="Normal",E483,0)</f>
        <v>0</v>
      </c>
      <c r="I483" s="4">
        <f ca="1">(E483+H483+G483)*IFERROR(VLOOKUP(INT(COUNT($B$5:B483)/12),PREMISSAS!$B$62:$C$69,2,FALSE),PREMISSAS!$C$69)</f>
        <v>0</v>
      </c>
      <c r="J483" s="4">
        <f ca="1">D483*IF(RESULTADOS!$C$17="Normal",PREMISSAS!$C$71,0)</f>
        <v>0</v>
      </c>
      <c r="K483" s="87">
        <f ca="1">IFERROR(K482*(1+PREMISSAS!$C$19)+(E483+H483-IF(RESULTADOS!$C$17="Normal",I483,0)-J483)*IF(MONTH(B483)=12,2,1),0)</f>
        <v>0</v>
      </c>
      <c r="L483" s="87">
        <f ca="1">IFERROR((L482+G483-IF(RESULTADOS!$C$17="Normal",0,I483))*(1+PREMISSAS!$C$19)+F483,0)</f>
        <v>0</v>
      </c>
      <c r="N483" s="58">
        <f t="shared" ref="N483:N497" ca="1" si="64">IFERROR((E483+F483+G483)/C483,0)</f>
        <v>0</v>
      </c>
      <c r="P483" s="131" t="str">
        <f t="shared" ca="1" si="58"/>
        <v/>
      </c>
      <c r="Q483" s="111" t="str">
        <f ca="1">IF(C483="","",Q482+(E483+H483-IF(RESULTADOS!$C$17="Normal",I483,0)-J483)/2+(F483+G483-IF(RESULTADOS!$C$17="Normal",0,I483)))</f>
        <v/>
      </c>
      <c r="R483" s="111" t="str">
        <f ca="1">IF(C483="","",R482+(E483+H483-IF(RESULTADOS!$C$17="Normal",I483,0)-J483)/2)</f>
        <v/>
      </c>
      <c r="S483" s="111">
        <f t="shared" ca="1" si="60"/>
        <v>0</v>
      </c>
      <c r="U483" s="131" t="str">
        <f t="shared" ca="1" si="61"/>
        <v/>
      </c>
      <c r="V483" s="131" t="str">
        <f t="shared" ca="1" si="59"/>
        <v/>
      </c>
      <c r="W483" s="111">
        <f ca="1">IF(OR((W482-13/12*Z482)*(1+PREMISSAS!$C$17)&lt;0,W482=""),0,(W482-13/12*Z482)*(1+PREMISSAS!$C$17))</f>
        <v>0</v>
      </c>
      <c r="X483" s="111">
        <f ca="1">IF(OR((X482-13/12*AA482)*(1+PREMISSAS!$C$17)&lt;0,X482=""),0,(X482-13/12*AA482)*(1+PREMISSAS!$C$17))</f>
        <v>0</v>
      </c>
      <c r="Y483" s="111">
        <f t="shared" ca="1" si="56"/>
        <v>0</v>
      </c>
      <c r="Z483" s="134">
        <f t="shared" ca="1" si="62"/>
        <v>0</v>
      </c>
      <c r="AA483" s="134">
        <f t="shared" ca="1" si="63"/>
        <v>0</v>
      </c>
    </row>
    <row r="484" spans="2:27" x14ac:dyDescent="0.3">
      <c r="B484" s="21" t="str">
        <f ca="1">IF(B483="","",IF(EOMONTH(B483,1)&gt;EOMONTH(ELEGIBILIDADE!$E$5,0),"",EOMONTH(B483,1)))</f>
        <v/>
      </c>
      <c r="C484" s="22" t="str">
        <f ca="1">IF(B484="","",IF(MONTH(B484)=1,C483*(1+PREMISSAS!$C$58),C483))</f>
        <v/>
      </c>
      <c r="D484" s="22">
        <f ca="1">IF(RESULTADOS!$C$17="Normal",IFERROR(MAX(C484-PREMISSAS!$C$14,0),0),IF(PREMISSAS!$H$117=0,0,MAX(10*PREMISSAS!$C$39,RESULTADOS!$F$17)))</f>
        <v>0</v>
      </c>
      <c r="E484" s="4">
        <f ca="1">D484*IF(RESULTADOS!$C$17="Normal",RESULTADOS!$C$16,0)</f>
        <v>0</v>
      </c>
      <c r="F484" s="4">
        <f ca="1">IF(D484&lt;&gt;0,PREMISSAS!$N$83,0)</f>
        <v>0</v>
      </c>
      <c r="G484" s="4">
        <f ca="1">IFERROR(IF(RESULTADOS!$C$17="Normal",0,D484)*IF(RESULTADOS!$C$17="Normal",RESULTADOS!$C$18,RESULTADOS!$C$16),0)</f>
        <v>0</v>
      </c>
      <c r="H484" s="4">
        <f ca="1">IF(RESULTADOS!$C$17="Normal",E484,0)</f>
        <v>0</v>
      </c>
      <c r="I484" s="4">
        <f ca="1">(E484+H484+G484)*IFERROR(VLOOKUP(INT(COUNT($B$5:B484)/12),PREMISSAS!$B$62:$C$69,2,FALSE),PREMISSAS!$C$69)</f>
        <v>0</v>
      </c>
      <c r="J484" s="4">
        <f ca="1">D484*IF(RESULTADOS!$C$17="Normal",PREMISSAS!$C$71,0)</f>
        <v>0</v>
      </c>
      <c r="K484" s="87">
        <f ca="1">IFERROR(K483*(1+PREMISSAS!$C$19)+(E484+H484-IF(RESULTADOS!$C$17="Normal",I484,0)-J484)*IF(MONTH(B484)=12,2,1),0)</f>
        <v>0</v>
      </c>
      <c r="L484" s="87">
        <f ca="1">IFERROR((L483+G484-IF(RESULTADOS!$C$17="Normal",0,I484))*(1+PREMISSAS!$C$19)+F484,0)</f>
        <v>0</v>
      </c>
      <c r="N484" s="58">
        <f t="shared" ca="1" si="64"/>
        <v>0</v>
      </c>
      <c r="P484" s="131" t="str">
        <f t="shared" ca="1" si="58"/>
        <v/>
      </c>
      <c r="Q484" s="111" t="str">
        <f ca="1">IF(C484="","",Q483+(E484+H484-IF(RESULTADOS!$C$17="Normal",I484,0)-J484)/2+(F484+G484-IF(RESULTADOS!$C$17="Normal",0,I484)))</f>
        <v/>
      </c>
      <c r="R484" s="111" t="str">
        <f ca="1">IF(C484="","",R483+(E484+H484-IF(RESULTADOS!$C$17="Normal",I484,0)-J484)/2)</f>
        <v/>
      </c>
      <c r="S484" s="111">
        <f t="shared" ca="1" si="60"/>
        <v>0</v>
      </c>
      <c r="U484" s="131" t="str">
        <f t="shared" ca="1" si="61"/>
        <v/>
      </c>
      <c r="V484" s="131" t="str">
        <f t="shared" ca="1" si="59"/>
        <v/>
      </c>
      <c r="W484" s="111">
        <f ca="1">IF(OR((W483-13/12*Z483)*(1+PREMISSAS!$C$17)&lt;0,W483=""),0,(W483-13/12*Z483)*(1+PREMISSAS!$C$17))</f>
        <v>0</v>
      </c>
      <c r="X484" s="111">
        <f ca="1">IF(OR((X483-13/12*AA483)*(1+PREMISSAS!$C$17)&lt;0,X483=""),0,(X483-13/12*AA483)*(1+PREMISSAS!$C$17))</f>
        <v>0</v>
      </c>
      <c r="Y484" s="111">
        <f t="shared" ca="1" si="56"/>
        <v>0</v>
      </c>
      <c r="Z484" s="134">
        <f t="shared" ca="1" si="62"/>
        <v>0</v>
      </c>
      <c r="AA484" s="134">
        <f t="shared" ca="1" si="63"/>
        <v>0</v>
      </c>
    </row>
    <row r="485" spans="2:27" x14ac:dyDescent="0.3">
      <c r="B485" s="21" t="str">
        <f ca="1">IF(B484="","",IF(EOMONTH(B484,1)&gt;EOMONTH(ELEGIBILIDADE!$E$5,0),"",EOMONTH(B484,1)))</f>
        <v/>
      </c>
      <c r="C485" s="22" t="str">
        <f ca="1">IF(B485="","",IF(MONTH(B485)=1,C484*(1+PREMISSAS!$C$58),C484))</f>
        <v/>
      </c>
      <c r="D485" s="22">
        <f ca="1">IF(RESULTADOS!$C$17="Normal",IFERROR(MAX(C485-PREMISSAS!$C$14,0),0),IF(PREMISSAS!$H$117=0,0,MAX(10*PREMISSAS!$C$39,RESULTADOS!$F$17)))</f>
        <v>0</v>
      </c>
      <c r="E485" s="4">
        <f ca="1">D485*IF(RESULTADOS!$C$17="Normal",RESULTADOS!$C$16,0)</f>
        <v>0</v>
      </c>
      <c r="F485" s="4">
        <f ca="1">IF(D485&lt;&gt;0,PREMISSAS!$N$83,0)</f>
        <v>0</v>
      </c>
      <c r="G485" s="4">
        <f ca="1">IFERROR(IF(RESULTADOS!$C$17="Normal",0,D485)*IF(RESULTADOS!$C$17="Normal",RESULTADOS!$C$18,RESULTADOS!$C$16),0)</f>
        <v>0</v>
      </c>
      <c r="H485" s="4">
        <f ca="1">IF(RESULTADOS!$C$17="Normal",E485,0)</f>
        <v>0</v>
      </c>
      <c r="I485" s="4">
        <f ca="1">(E485+H485+G485)*IFERROR(VLOOKUP(INT(COUNT($B$5:B485)/12),PREMISSAS!$B$62:$C$69,2,FALSE),PREMISSAS!$C$69)</f>
        <v>0</v>
      </c>
      <c r="J485" s="4">
        <f ca="1">D485*IF(RESULTADOS!$C$17="Normal",PREMISSAS!$C$71,0)</f>
        <v>0</v>
      </c>
      <c r="K485" s="87">
        <f ca="1">IFERROR(K484*(1+PREMISSAS!$C$19)+(E485+H485-IF(RESULTADOS!$C$17="Normal",I485,0)-J485)*IF(MONTH(B485)=12,2,1),0)</f>
        <v>0</v>
      </c>
      <c r="L485" s="87">
        <f ca="1">IFERROR((L484+G485-IF(RESULTADOS!$C$17="Normal",0,I485))*(1+PREMISSAS!$C$19)+F485,0)</f>
        <v>0</v>
      </c>
      <c r="N485" s="58">
        <f t="shared" ca="1" si="64"/>
        <v>0</v>
      </c>
      <c r="P485" s="131" t="str">
        <f t="shared" ca="1" si="58"/>
        <v/>
      </c>
      <c r="Q485" s="111" t="str">
        <f ca="1">IF(C485="","",Q484+(E485+H485-IF(RESULTADOS!$C$17="Normal",I485,0)-J485)/2+(F485+G485-IF(RESULTADOS!$C$17="Normal",0,I485)))</f>
        <v/>
      </c>
      <c r="R485" s="111" t="str">
        <f ca="1">IF(C485="","",R484+(E485+H485-IF(RESULTADOS!$C$17="Normal",I485,0)-J485)/2)</f>
        <v/>
      </c>
      <c r="S485" s="111">
        <f t="shared" ca="1" si="60"/>
        <v>0</v>
      </c>
      <c r="U485" s="131" t="str">
        <f t="shared" ca="1" si="61"/>
        <v/>
      </c>
      <c r="V485" s="131" t="str">
        <f t="shared" ca="1" si="59"/>
        <v/>
      </c>
      <c r="W485" s="111">
        <f ca="1">IF(OR((W484-13/12*Z484)*(1+PREMISSAS!$C$17)&lt;0,W484=""),0,(W484-13/12*Z484)*(1+PREMISSAS!$C$17))</f>
        <v>0</v>
      </c>
      <c r="X485" s="111">
        <f ca="1">IF(OR((X484-13/12*AA484)*(1+PREMISSAS!$C$17)&lt;0,X484=""),0,(X484-13/12*AA484)*(1+PREMISSAS!$C$17))</f>
        <v>0</v>
      </c>
      <c r="Y485" s="111">
        <f t="shared" ca="1" si="56"/>
        <v>0</v>
      </c>
      <c r="Z485" s="134">
        <f t="shared" ca="1" si="62"/>
        <v>0</v>
      </c>
      <c r="AA485" s="134">
        <f t="shared" ca="1" si="63"/>
        <v>0</v>
      </c>
    </row>
    <row r="486" spans="2:27" x14ac:dyDescent="0.3">
      <c r="B486" s="21" t="str">
        <f ca="1">IF(B485="","",IF(EOMONTH(B485,1)&gt;EOMONTH(ELEGIBILIDADE!$E$5,0),"",EOMONTH(B485,1)))</f>
        <v/>
      </c>
      <c r="C486" s="22" t="str">
        <f ca="1">IF(B486="","",IF(MONTH(B486)=1,C485*(1+PREMISSAS!$C$58),C485))</f>
        <v/>
      </c>
      <c r="D486" s="22">
        <f ca="1">IF(RESULTADOS!$C$17="Normal",IFERROR(MAX(C486-PREMISSAS!$C$14,0),0),IF(PREMISSAS!$H$117=0,0,MAX(10*PREMISSAS!$C$39,RESULTADOS!$F$17)))</f>
        <v>0</v>
      </c>
      <c r="E486" s="4">
        <f ca="1">D486*IF(RESULTADOS!$C$17="Normal",RESULTADOS!$C$16,0)</f>
        <v>0</v>
      </c>
      <c r="F486" s="4">
        <f ca="1">IF(D486&lt;&gt;0,PREMISSAS!$N$83,0)</f>
        <v>0</v>
      </c>
      <c r="G486" s="4">
        <f ca="1">IFERROR(IF(RESULTADOS!$C$17="Normal",0,D486)*IF(RESULTADOS!$C$17="Normal",RESULTADOS!$C$18,RESULTADOS!$C$16),0)</f>
        <v>0</v>
      </c>
      <c r="H486" s="4">
        <f ca="1">IF(RESULTADOS!$C$17="Normal",E486,0)</f>
        <v>0</v>
      </c>
      <c r="I486" s="4">
        <f ca="1">(E486+H486+G486)*IFERROR(VLOOKUP(INT(COUNT($B$5:B486)/12),PREMISSAS!$B$62:$C$69,2,FALSE),PREMISSAS!$C$69)</f>
        <v>0</v>
      </c>
      <c r="J486" s="4">
        <f ca="1">D486*IF(RESULTADOS!$C$17="Normal",PREMISSAS!$C$71,0)</f>
        <v>0</v>
      </c>
      <c r="K486" s="87">
        <f ca="1">IFERROR(K485*(1+PREMISSAS!$C$19)+(E486+H486-IF(RESULTADOS!$C$17="Normal",I486,0)-J486)*IF(MONTH(B486)=12,2,1),0)</f>
        <v>0</v>
      </c>
      <c r="L486" s="87">
        <f ca="1">IFERROR((L485+G486-IF(RESULTADOS!$C$17="Normal",0,I486))*(1+PREMISSAS!$C$19)+F486,0)</f>
        <v>0</v>
      </c>
      <c r="N486" s="58">
        <f t="shared" ca="1" si="64"/>
        <v>0</v>
      </c>
      <c r="P486" s="131" t="str">
        <f t="shared" ca="1" si="58"/>
        <v/>
      </c>
      <c r="Q486" s="111" t="str">
        <f ca="1">IF(C486="","",Q485+(E486+H486-IF(RESULTADOS!$C$17="Normal",I486,0)-J486)/2+(F486+G486-IF(RESULTADOS!$C$17="Normal",0,I486)))</f>
        <v/>
      </c>
      <c r="R486" s="111" t="str">
        <f ca="1">IF(C486="","",R485+(E486+H486-IF(RESULTADOS!$C$17="Normal",I486,0)-J486)/2)</f>
        <v/>
      </c>
      <c r="S486" s="111">
        <f t="shared" ca="1" si="60"/>
        <v>0</v>
      </c>
      <c r="U486" s="131" t="str">
        <f t="shared" ca="1" si="61"/>
        <v/>
      </c>
      <c r="V486" s="131" t="str">
        <f t="shared" ca="1" si="59"/>
        <v/>
      </c>
      <c r="W486" s="111">
        <f ca="1">IF(OR((W485-13/12*Z485)*(1+PREMISSAS!$C$17)&lt;0,W485=""),0,(W485-13/12*Z485)*(1+PREMISSAS!$C$17))</f>
        <v>0</v>
      </c>
      <c r="X486" s="111">
        <f ca="1">IF(OR((X485-13/12*AA485)*(1+PREMISSAS!$C$17)&lt;0,X485=""),0,(X485-13/12*AA485)*(1+PREMISSAS!$C$17))</f>
        <v>0</v>
      </c>
      <c r="Y486" s="111">
        <f t="shared" ca="1" si="56"/>
        <v>0</v>
      </c>
      <c r="Z486" s="134">
        <f t="shared" ca="1" si="62"/>
        <v>0</v>
      </c>
      <c r="AA486" s="134">
        <f t="shared" ca="1" si="63"/>
        <v>0</v>
      </c>
    </row>
    <row r="487" spans="2:27" x14ac:dyDescent="0.3">
      <c r="B487" s="21" t="str">
        <f ca="1">IF(B486="","",IF(EOMONTH(B486,1)&gt;EOMONTH(ELEGIBILIDADE!$E$5,0),"",EOMONTH(B486,1)))</f>
        <v/>
      </c>
      <c r="C487" s="22" t="str">
        <f ca="1">IF(B487="","",IF(MONTH(B487)=1,C486*(1+PREMISSAS!$C$58),C486))</f>
        <v/>
      </c>
      <c r="D487" s="22">
        <f ca="1">IF(RESULTADOS!$C$17="Normal",IFERROR(MAX(C487-PREMISSAS!$C$14,0),0),IF(PREMISSAS!$H$117=0,0,MAX(10*PREMISSAS!$C$39,RESULTADOS!$F$17)))</f>
        <v>0</v>
      </c>
      <c r="E487" s="4">
        <f ca="1">D487*IF(RESULTADOS!$C$17="Normal",RESULTADOS!$C$16,0)</f>
        <v>0</v>
      </c>
      <c r="F487" s="4">
        <f ca="1">IF(D487&lt;&gt;0,PREMISSAS!$N$83,0)</f>
        <v>0</v>
      </c>
      <c r="G487" s="4">
        <f ca="1">IFERROR(IF(RESULTADOS!$C$17="Normal",0,D487)*IF(RESULTADOS!$C$17="Normal",RESULTADOS!$C$18,RESULTADOS!$C$16),0)</f>
        <v>0</v>
      </c>
      <c r="H487" s="4">
        <f ca="1">IF(RESULTADOS!$C$17="Normal",E487,0)</f>
        <v>0</v>
      </c>
      <c r="I487" s="4">
        <f ca="1">(E487+H487+G487)*IFERROR(VLOOKUP(INT(COUNT($B$5:B487)/12),PREMISSAS!$B$62:$C$69,2,FALSE),PREMISSAS!$C$69)</f>
        <v>0</v>
      </c>
      <c r="J487" s="4">
        <f ca="1">D487*IF(RESULTADOS!$C$17="Normal",PREMISSAS!$C$71,0)</f>
        <v>0</v>
      </c>
      <c r="K487" s="87">
        <f ca="1">IFERROR(K486*(1+PREMISSAS!$C$19)+(E487+H487-IF(RESULTADOS!$C$17="Normal",I487,0)-J487)*IF(MONTH(B487)=12,2,1),0)</f>
        <v>0</v>
      </c>
      <c r="L487" s="87">
        <f ca="1">IFERROR((L486+G487-IF(RESULTADOS!$C$17="Normal",0,I487))*(1+PREMISSAS!$C$19)+F487,0)</f>
        <v>0</v>
      </c>
      <c r="N487" s="58">
        <f t="shared" ca="1" si="64"/>
        <v>0</v>
      </c>
      <c r="P487" s="131" t="str">
        <f t="shared" ca="1" si="58"/>
        <v/>
      </c>
      <c r="Q487" s="111" t="str">
        <f ca="1">IF(C487="","",Q486+(E487+H487-IF(RESULTADOS!$C$17="Normal",I487,0)-J487)/2+(F487+G487-IF(RESULTADOS!$C$17="Normal",0,I487)))</f>
        <v/>
      </c>
      <c r="R487" s="111" t="str">
        <f ca="1">IF(C487="","",R486+(E487+H487-IF(RESULTADOS!$C$17="Normal",I487,0)-J487)/2)</f>
        <v/>
      </c>
      <c r="S487" s="111">
        <f t="shared" ca="1" si="60"/>
        <v>0</v>
      </c>
      <c r="U487" s="131" t="str">
        <f t="shared" ca="1" si="61"/>
        <v/>
      </c>
      <c r="V487" s="131" t="str">
        <f t="shared" ca="1" si="59"/>
        <v/>
      </c>
      <c r="W487" s="111">
        <f ca="1">IF(OR((W486-13/12*Z486)*(1+PREMISSAS!$C$17)&lt;0,W486=""),0,(W486-13/12*Z486)*(1+PREMISSAS!$C$17))</f>
        <v>0</v>
      </c>
      <c r="X487" s="111">
        <f ca="1">IF(OR((X486-13/12*AA486)*(1+PREMISSAS!$C$17)&lt;0,X486=""),0,(X486-13/12*AA486)*(1+PREMISSAS!$C$17))</f>
        <v>0</v>
      </c>
      <c r="Y487" s="111">
        <f t="shared" ca="1" si="56"/>
        <v>0</v>
      </c>
      <c r="Z487" s="134">
        <f t="shared" ca="1" si="62"/>
        <v>0</v>
      </c>
      <c r="AA487" s="134">
        <f t="shared" ca="1" si="63"/>
        <v>0</v>
      </c>
    </row>
    <row r="488" spans="2:27" x14ac:dyDescent="0.3">
      <c r="B488" s="21" t="str">
        <f ca="1">IF(B487="","",IF(EOMONTH(B487,1)&gt;EOMONTH(ELEGIBILIDADE!$E$5,0),"",EOMONTH(B487,1)))</f>
        <v/>
      </c>
      <c r="C488" s="22" t="str">
        <f ca="1">IF(B488="","",IF(MONTH(B488)=1,C487*(1+PREMISSAS!$C$58),C487))</f>
        <v/>
      </c>
      <c r="D488" s="22">
        <f ca="1">IF(RESULTADOS!$C$17="Normal",IFERROR(MAX(C488-PREMISSAS!$C$14,0),0),IF(PREMISSAS!$H$117=0,0,MAX(10*PREMISSAS!$C$39,RESULTADOS!$F$17)))</f>
        <v>0</v>
      </c>
      <c r="E488" s="4">
        <f ca="1">D488*IF(RESULTADOS!$C$17="Normal",RESULTADOS!$C$16,0)</f>
        <v>0</v>
      </c>
      <c r="F488" s="4">
        <f ca="1">IF(D488&lt;&gt;0,PREMISSAS!$N$83,0)</f>
        <v>0</v>
      </c>
      <c r="G488" s="4">
        <f ca="1">IFERROR(IF(RESULTADOS!$C$17="Normal",0,D488)*IF(RESULTADOS!$C$17="Normal",RESULTADOS!$C$18,RESULTADOS!$C$16),0)</f>
        <v>0</v>
      </c>
      <c r="H488" s="4">
        <f ca="1">IF(RESULTADOS!$C$17="Normal",E488,0)</f>
        <v>0</v>
      </c>
      <c r="I488" s="4">
        <f ca="1">(E488+H488+G488)*IFERROR(VLOOKUP(INT(COUNT($B$5:B488)/12),PREMISSAS!$B$62:$C$69,2,FALSE),PREMISSAS!$C$69)</f>
        <v>0</v>
      </c>
      <c r="J488" s="4">
        <f ca="1">D488*IF(RESULTADOS!$C$17="Normal",PREMISSAS!$C$71,0)</f>
        <v>0</v>
      </c>
      <c r="K488" s="87">
        <f ca="1">IFERROR(K487*(1+PREMISSAS!$C$19)+(E488+H488-IF(RESULTADOS!$C$17="Normal",I488,0)-J488)*IF(MONTH(B488)=12,2,1),0)</f>
        <v>0</v>
      </c>
      <c r="L488" s="87">
        <f ca="1">IFERROR((L487+G488-IF(RESULTADOS!$C$17="Normal",0,I488))*(1+PREMISSAS!$C$19)+F488,0)</f>
        <v>0</v>
      </c>
      <c r="N488" s="58">
        <f t="shared" ca="1" si="64"/>
        <v>0</v>
      </c>
      <c r="P488" s="131" t="str">
        <f t="shared" ca="1" si="58"/>
        <v/>
      </c>
      <c r="Q488" s="111" t="str">
        <f ca="1">IF(C488="","",Q487+(E488+H488-IF(RESULTADOS!$C$17="Normal",I488,0)-J488)/2+(F488+G488-IF(RESULTADOS!$C$17="Normal",0,I488)))</f>
        <v/>
      </c>
      <c r="R488" s="111" t="str">
        <f ca="1">IF(C488="","",R487+(E488+H488-IF(RESULTADOS!$C$17="Normal",I488,0)-J488)/2)</f>
        <v/>
      </c>
      <c r="S488" s="111">
        <f t="shared" ca="1" si="60"/>
        <v>0</v>
      </c>
      <c r="U488" s="131" t="str">
        <f t="shared" ca="1" si="61"/>
        <v/>
      </c>
      <c r="V488" s="131" t="str">
        <f t="shared" ca="1" si="59"/>
        <v/>
      </c>
      <c r="W488" s="111">
        <f ca="1">IF(OR((W487-13/12*Z487)*(1+PREMISSAS!$C$17)&lt;0,W487=""),0,(W487-13/12*Z487)*(1+PREMISSAS!$C$17))</f>
        <v>0</v>
      </c>
      <c r="X488" s="111">
        <f ca="1">IF(OR((X487-13/12*AA487)*(1+PREMISSAS!$C$17)&lt;0,X487=""),0,(X487-13/12*AA487)*(1+PREMISSAS!$C$17))</f>
        <v>0</v>
      </c>
      <c r="Y488" s="111">
        <f t="shared" ca="1" si="56"/>
        <v>0</v>
      </c>
      <c r="Z488" s="134">
        <f t="shared" ca="1" si="62"/>
        <v>0</v>
      </c>
      <c r="AA488" s="134">
        <f t="shared" ca="1" si="63"/>
        <v>0</v>
      </c>
    </row>
    <row r="489" spans="2:27" x14ac:dyDescent="0.3">
      <c r="B489" s="21" t="str">
        <f ca="1">IF(B488="","",IF(EOMONTH(B488,1)&gt;EOMONTH(ELEGIBILIDADE!$E$5,0),"",EOMONTH(B488,1)))</f>
        <v/>
      </c>
      <c r="C489" s="22" t="str">
        <f ca="1">IF(B489="","",IF(MONTH(B489)=1,C488*(1+PREMISSAS!$C$58),C488))</f>
        <v/>
      </c>
      <c r="D489" s="22">
        <f ca="1">IF(RESULTADOS!$C$17="Normal",IFERROR(MAX(C489-PREMISSAS!$C$14,0),0),IF(PREMISSAS!$H$117=0,0,MAX(10*PREMISSAS!$C$39,RESULTADOS!$F$17)))</f>
        <v>0</v>
      </c>
      <c r="E489" s="4">
        <f ca="1">D489*IF(RESULTADOS!$C$17="Normal",RESULTADOS!$C$16,0)</f>
        <v>0</v>
      </c>
      <c r="F489" s="4">
        <f ca="1">IF(D489&lt;&gt;0,PREMISSAS!$N$83,0)</f>
        <v>0</v>
      </c>
      <c r="G489" s="4">
        <f ca="1">IFERROR(IF(RESULTADOS!$C$17="Normal",0,D489)*IF(RESULTADOS!$C$17="Normal",RESULTADOS!$C$18,RESULTADOS!$C$16),0)</f>
        <v>0</v>
      </c>
      <c r="H489" s="4">
        <f ca="1">IF(RESULTADOS!$C$17="Normal",E489,0)</f>
        <v>0</v>
      </c>
      <c r="I489" s="4">
        <f ca="1">(E489+H489+G489)*IFERROR(VLOOKUP(INT(COUNT($B$5:B489)/12),PREMISSAS!$B$62:$C$69,2,FALSE),PREMISSAS!$C$69)</f>
        <v>0</v>
      </c>
      <c r="J489" s="4">
        <f ca="1">D489*IF(RESULTADOS!$C$17="Normal",PREMISSAS!$C$71,0)</f>
        <v>0</v>
      </c>
      <c r="K489" s="87">
        <f ca="1">IFERROR(K488*(1+PREMISSAS!$C$19)+(E489+H489-IF(RESULTADOS!$C$17="Normal",I489,0)-J489)*IF(MONTH(B489)=12,2,1),0)</f>
        <v>0</v>
      </c>
      <c r="L489" s="87">
        <f ca="1">IFERROR((L488+G489-IF(RESULTADOS!$C$17="Normal",0,I489))*(1+PREMISSAS!$C$19)+F489,0)</f>
        <v>0</v>
      </c>
      <c r="N489" s="58">
        <f t="shared" ca="1" si="64"/>
        <v>0</v>
      </c>
      <c r="P489" s="131" t="str">
        <f t="shared" ca="1" si="58"/>
        <v/>
      </c>
      <c r="Q489" s="111" t="str">
        <f ca="1">IF(C489="","",Q488+(E489+H489-IF(RESULTADOS!$C$17="Normal",I489,0)-J489)/2+(F489+G489-IF(RESULTADOS!$C$17="Normal",0,I489)))</f>
        <v/>
      </c>
      <c r="R489" s="111" t="str">
        <f ca="1">IF(C489="","",R488+(E489+H489-IF(RESULTADOS!$C$17="Normal",I489,0)-J489)/2)</f>
        <v/>
      </c>
      <c r="S489" s="111">
        <f t="shared" ca="1" si="60"/>
        <v>0</v>
      </c>
      <c r="U489" s="131" t="str">
        <f t="shared" ca="1" si="61"/>
        <v/>
      </c>
      <c r="V489" s="131" t="str">
        <f t="shared" ca="1" si="59"/>
        <v/>
      </c>
      <c r="W489" s="111">
        <f ca="1">IF(OR((W488-13/12*Z488)*(1+PREMISSAS!$C$17)&lt;0,W488=""),0,(W488-13/12*Z488)*(1+PREMISSAS!$C$17))</f>
        <v>0</v>
      </c>
      <c r="X489" s="111">
        <f ca="1">IF(OR((X488-13/12*AA488)*(1+PREMISSAS!$C$17)&lt;0,X488=""),0,(X488-13/12*AA488)*(1+PREMISSAS!$C$17))</f>
        <v>0</v>
      </c>
      <c r="Y489" s="111">
        <f t="shared" ca="1" si="56"/>
        <v>0</v>
      </c>
      <c r="Z489" s="134">
        <f t="shared" ca="1" si="62"/>
        <v>0</v>
      </c>
      <c r="AA489" s="134">
        <f t="shared" ca="1" si="63"/>
        <v>0</v>
      </c>
    </row>
    <row r="490" spans="2:27" x14ac:dyDescent="0.3">
      <c r="B490" s="21" t="str">
        <f ca="1">IF(B489="","",IF(EOMONTH(B489,1)&gt;EOMONTH(ELEGIBILIDADE!$E$5,0),"",EOMONTH(B489,1)))</f>
        <v/>
      </c>
      <c r="C490" s="22" t="str">
        <f ca="1">IF(B490="","",IF(MONTH(B490)=1,C489*(1+PREMISSAS!$C$58),C489))</f>
        <v/>
      </c>
      <c r="D490" s="22">
        <f ca="1">IF(RESULTADOS!$C$17="Normal",IFERROR(MAX(C490-PREMISSAS!$C$14,0),0),IF(PREMISSAS!$H$117=0,0,MAX(10*PREMISSAS!$C$39,RESULTADOS!$F$17)))</f>
        <v>0</v>
      </c>
      <c r="E490" s="4">
        <f ca="1">D490*IF(RESULTADOS!$C$17="Normal",RESULTADOS!$C$16,0)</f>
        <v>0</v>
      </c>
      <c r="F490" s="4">
        <f ca="1">IF(D490&lt;&gt;0,PREMISSAS!$N$83,0)</f>
        <v>0</v>
      </c>
      <c r="G490" s="4">
        <f ca="1">IFERROR(IF(RESULTADOS!$C$17="Normal",0,D490)*IF(RESULTADOS!$C$17="Normal",RESULTADOS!$C$18,RESULTADOS!$C$16),0)</f>
        <v>0</v>
      </c>
      <c r="H490" s="4">
        <f ca="1">IF(RESULTADOS!$C$17="Normal",E490,0)</f>
        <v>0</v>
      </c>
      <c r="I490" s="4">
        <f ca="1">(E490+H490+G490)*IFERROR(VLOOKUP(INT(COUNT($B$5:B490)/12),PREMISSAS!$B$62:$C$69,2,FALSE),PREMISSAS!$C$69)</f>
        <v>0</v>
      </c>
      <c r="J490" s="4">
        <f ca="1">D490*IF(RESULTADOS!$C$17="Normal",PREMISSAS!$C$71,0)</f>
        <v>0</v>
      </c>
      <c r="K490" s="87">
        <f ca="1">IFERROR(K489*(1+PREMISSAS!$C$19)+(E490+H490-IF(RESULTADOS!$C$17="Normal",I490,0)-J490)*IF(MONTH(B490)=12,2,1),0)</f>
        <v>0</v>
      </c>
      <c r="L490" s="87">
        <f ca="1">IFERROR((L489+G490-IF(RESULTADOS!$C$17="Normal",0,I490))*(1+PREMISSAS!$C$19)+F490,0)</f>
        <v>0</v>
      </c>
      <c r="N490" s="58">
        <f t="shared" ca="1" si="64"/>
        <v>0</v>
      </c>
      <c r="P490" s="131" t="str">
        <f t="shared" ca="1" si="58"/>
        <v/>
      </c>
      <c r="Q490" s="111" t="str">
        <f ca="1">IF(C490="","",Q489+(E490+H490-IF(RESULTADOS!$C$17="Normal",I490,0)-J490)/2+(F490+G490-IF(RESULTADOS!$C$17="Normal",0,I490)))</f>
        <v/>
      </c>
      <c r="R490" s="111" t="str">
        <f ca="1">IF(C490="","",R489+(E490+H490-IF(RESULTADOS!$C$17="Normal",I490,0)-J490)/2)</f>
        <v/>
      </c>
      <c r="S490" s="111">
        <f t="shared" ca="1" si="60"/>
        <v>0</v>
      </c>
      <c r="U490" s="131" t="str">
        <f t="shared" ca="1" si="61"/>
        <v/>
      </c>
      <c r="V490" s="131" t="str">
        <f t="shared" ca="1" si="59"/>
        <v/>
      </c>
      <c r="W490" s="111">
        <f ca="1">IF(OR((W489-13/12*Z489)*(1+PREMISSAS!$C$17)&lt;0,W489=""),0,(W489-13/12*Z489)*(1+PREMISSAS!$C$17))</f>
        <v>0</v>
      </c>
      <c r="X490" s="111">
        <f ca="1">IF(OR((X489-13/12*AA489)*(1+PREMISSAS!$C$17)&lt;0,X489=""),0,(X489-13/12*AA489)*(1+PREMISSAS!$C$17))</f>
        <v>0</v>
      </c>
      <c r="Y490" s="111">
        <f t="shared" ca="1" si="56"/>
        <v>0</v>
      </c>
      <c r="Z490" s="134">
        <f t="shared" ca="1" si="62"/>
        <v>0</v>
      </c>
      <c r="AA490" s="134">
        <f t="shared" ca="1" si="63"/>
        <v>0</v>
      </c>
    </row>
    <row r="491" spans="2:27" x14ac:dyDescent="0.3">
      <c r="B491" s="21" t="str">
        <f ca="1">IF(B490="","",IF(EOMONTH(B490,1)&gt;EOMONTH(ELEGIBILIDADE!$E$5,0),"",EOMONTH(B490,1)))</f>
        <v/>
      </c>
      <c r="C491" s="22" t="str">
        <f ca="1">IF(B491="","",IF(MONTH(B491)=1,C490*(1+PREMISSAS!$C$58),C490))</f>
        <v/>
      </c>
      <c r="D491" s="22">
        <f ca="1">IF(RESULTADOS!$C$17="Normal",IFERROR(MAX(C491-PREMISSAS!$C$14,0),0),IF(PREMISSAS!$H$117=0,0,MAX(10*PREMISSAS!$C$39,RESULTADOS!$F$17)))</f>
        <v>0</v>
      </c>
      <c r="E491" s="4">
        <f ca="1">D491*IF(RESULTADOS!$C$17="Normal",RESULTADOS!$C$16,0)</f>
        <v>0</v>
      </c>
      <c r="F491" s="4">
        <f ca="1">IF(D491&lt;&gt;0,PREMISSAS!$N$83,0)</f>
        <v>0</v>
      </c>
      <c r="G491" s="4">
        <f ca="1">IFERROR(IF(RESULTADOS!$C$17="Normal",0,D491)*IF(RESULTADOS!$C$17="Normal",RESULTADOS!$C$18,RESULTADOS!$C$16),0)</f>
        <v>0</v>
      </c>
      <c r="H491" s="4">
        <f ca="1">IF(RESULTADOS!$C$17="Normal",E491,0)</f>
        <v>0</v>
      </c>
      <c r="I491" s="4">
        <f ca="1">(E491+H491+G491)*IFERROR(VLOOKUP(INT(COUNT($B$5:B491)/12),PREMISSAS!$B$62:$C$69,2,FALSE),PREMISSAS!$C$69)</f>
        <v>0</v>
      </c>
      <c r="J491" s="4">
        <f ca="1">D491*IF(RESULTADOS!$C$17="Normal",PREMISSAS!$C$71,0)</f>
        <v>0</v>
      </c>
      <c r="K491" s="87">
        <f ca="1">IFERROR(K490*(1+PREMISSAS!$C$19)+(E491+H491-IF(RESULTADOS!$C$17="Normal",I491,0)-J491)*IF(MONTH(B491)=12,2,1),0)</f>
        <v>0</v>
      </c>
      <c r="L491" s="87">
        <f ca="1">IFERROR((L490+G491-IF(RESULTADOS!$C$17="Normal",0,I491))*(1+PREMISSAS!$C$19)+F491,0)</f>
        <v>0</v>
      </c>
      <c r="N491" s="58">
        <f t="shared" ca="1" si="64"/>
        <v>0</v>
      </c>
      <c r="P491" s="131" t="str">
        <f t="shared" ca="1" si="58"/>
        <v/>
      </c>
      <c r="Q491" s="111" t="str">
        <f ca="1">IF(C491="","",Q490+(E491+H491-IF(RESULTADOS!$C$17="Normal",I491,0)-J491)/2+(F491+G491-IF(RESULTADOS!$C$17="Normal",0,I491)))</f>
        <v/>
      </c>
      <c r="R491" s="111" t="str">
        <f ca="1">IF(C491="","",R490+(E491+H491-IF(RESULTADOS!$C$17="Normal",I491,0)-J491)/2)</f>
        <v/>
      </c>
      <c r="S491" s="111">
        <f t="shared" ca="1" si="60"/>
        <v>0</v>
      </c>
      <c r="U491" s="131" t="str">
        <f t="shared" ca="1" si="61"/>
        <v/>
      </c>
      <c r="V491" s="131" t="str">
        <f t="shared" ca="1" si="59"/>
        <v/>
      </c>
      <c r="W491" s="111">
        <f ca="1">IF(OR((W490-13/12*Z490)*(1+PREMISSAS!$C$17)&lt;0,W490=""),0,(W490-13/12*Z490)*(1+PREMISSAS!$C$17))</f>
        <v>0</v>
      </c>
      <c r="X491" s="111">
        <f ca="1">IF(OR((X490-13/12*AA490)*(1+PREMISSAS!$C$17)&lt;0,X490=""),0,(X490-13/12*AA490)*(1+PREMISSAS!$C$17))</f>
        <v>0</v>
      </c>
      <c r="Y491" s="111">
        <f t="shared" ca="1" si="56"/>
        <v>0</v>
      </c>
      <c r="Z491" s="134">
        <f t="shared" ca="1" si="62"/>
        <v>0</v>
      </c>
      <c r="AA491" s="134">
        <f t="shared" ca="1" si="63"/>
        <v>0</v>
      </c>
    </row>
    <row r="492" spans="2:27" x14ac:dyDescent="0.3">
      <c r="B492" s="21" t="str">
        <f ca="1">IF(B491="","",IF(EOMONTH(B491,1)&gt;EOMONTH(ELEGIBILIDADE!$E$5,0),"",EOMONTH(B491,1)))</f>
        <v/>
      </c>
      <c r="C492" s="22" t="str">
        <f ca="1">IF(B492="","",IF(MONTH(B492)=1,C491*(1+PREMISSAS!$C$58),C491))</f>
        <v/>
      </c>
      <c r="D492" s="22">
        <f ca="1">IF(RESULTADOS!$C$17="Normal",IFERROR(MAX(C492-PREMISSAS!$C$14,0),0),IF(PREMISSAS!$H$117=0,0,MAX(10*PREMISSAS!$C$39,RESULTADOS!$F$17)))</f>
        <v>0</v>
      </c>
      <c r="E492" s="4">
        <f ca="1">D492*IF(RESULTADOS!$C$17="Normal",RESULTADOS!$C$16,0)</f>
        <v>0</v>
      </c>
      <c r="F492" s="4">
        <f ca="1">IF(D492&lt;&gt;0,PREMISSAS!$N$83,0)</f>
        <v>0</v>
      </c>
      <c r="G492" s="4">
        <f ca="1">IFERROR(IF(RESULTADOS!$C$17="Normal",0,D492)*IF(RESULTADOS!$C$17="Normal",RESULTADOS!$C$18,RESULTADOS!$C$16),0)</f>
        <v>0</v>
      </c>
      <c r="H492" s="4">
        <f ca="1">IF(RESULTADOS!$C$17="Normal",E492,0)</f>
        <v>0</v>
      </c>
      <c r="I492" s="4">
        <f ca="1">(E492+H492+G492)*IFERROR(VLOOKUP(INT(COUNT($B$5:B492)/12),PREMISSAS!$B$62:$C$69,2,FALSE),PREMISSAS!$C$69)</f>
        <v>0</v>
      </c>
      <c r="J492" s="4">
        <f ca="1">D492*IF(RESULTADOS!$C$17="Normal",PREMISSAS!$C$71,0)</f>
        <v>0</v>
      </c>
      <c r="K492" s="87">
        <f ca="1">IFERROR(K491*(1+PREMISSAS!$C$19)+(E492+H492-IF(RESULTADOS!$C$17="Normal",I492,0)-J492)*IF(MONTH(B492)=12,2,1),0)</f>
        <v>0</v>
      </c>
      <c r="L492" s="87">
        <f ca="1">IFERROR((L491+G492-IF(RESULTADOS!$C$17="Normal",0,I492))*(1+PREMISSAS!$C$19)+F492,0)</f>
        <v>0</v>
      </c>
      <c r="N492" s="58">
        <f t="shared" ca="1" si="64"/>
        <v>0</v>
      </c>
      <c r="P492" s="131" t="str">
        <f t="shared" ca="1" si="58"/>
        <v/>
      </c>
      <c r="Q492" s="111" t="str">
        <f ca="1">IF(C492="","",Q491+(E492+H492-IF(RESULTADOS!$C$17="Normal",I492,0)-J492)/2+(F492+G492-IF(RESULTADOS!$C$17="Normal",0,I492)))</f>
        <v/>
      </c>
      <c r="R492" s="111" t="str">
        <f ca="1">IF(C492="","",R491+(E492+H492-IF(RESULTADOS!$C$17="Normal",I492,0)-J492)/2)</f>
        <v/>
      </c>
      <c r="S492" s="111">
        <f t="shared" ca="1" si="60"/>
        <v>0</v>
      </c>
      <c r="U492" s="131" t="str">
        <f t="shared" ca="1" si="61"/>
        <v/>
      </c>
      <c r="V492" s="131" t="str">
        <f t="shared" ca="1" si="59"/>
        <v/>
      </c>
      <c r="W492" s="111">
        <f ca="1">IF(OR((W491-13/12*Z491)*(1+PREMISSAS!$C$17)&lt;0,W491=""),0,(W491-13/12*Z491)*(1+PREMISSAS!$C$17))</f>
        <v>0</v>
      </c>
      <c r="X492" s="111">
        <f ca="1">IF(OR((X491-13/12*AA491)*(1+PREMISSAS!$C$17)&lt;0,X491=""),0,(X491-13/12*AA491)*(1+PREMISSAS!$C$17))</f>
        <v>0</v>
      </c>
      <c r="Y492" s="111">
        <f t="shared" ca="1" si="56"/>
        <v>0</v>
      </c>
      <c r="Z492" s="134">
        <f t="shared" ca="1" si="62"/>
        <v>0</v>
      </c>
      <c r="AA492" s="134">
        <f t="shared" ca="1" si="63"/>
        <v>0</v>
      </c>
    </row>
    <row r="493" spans="2:27" x14ac:dyDescent="0.3">
      <c r="B493" s="21" t="str">
        <f ca="1">IF(B492="","",IF(EOMONTH(B492,1)&gt;EOMONTH(ELEGIBILIDADE!$E$5,0),"",EOMONTH(B492,1)))</f>
        <v/>
      </c>
      <c r="C493" s="22" t="str">
        <f ca="1">IF(B493="","",IF(MONTH(B493)=1,C492*(1+PREMISSAS!$C$58),C492))</f>
        <v/>
      </c>
      <c r="D493" s="22">
        <f ca="1">IF(RESULTADOS!$C$17="Normal",IFERROR(MAX(C493-PREMISSAS!$C$14,0),0),IF(PREMISSAS!$H$117=0,0,MAX(10*PREMISSAS!$C$39,RESULTADOS!$F$17)))</f>
        <v>0</v>
      </c>
      <c r="E493" s="4">
        <f ca="1">D493*IF(RESULTADOS!$C$17="Normal",RESULTADOS!$C$16,0)</f>
        <v>0</v>
      </c>
      <c r="F493" s="4">
        <f ca="1">IF(D493&lt;&gt;0,PREMISSAS!$N$83,0)</f>
        <v>0</v>
      </c>
      <c r="G493" s="4">
        <f ca="1">IFERROR(IF(RESULTADOS!$C$17="Normal",0,D493)*IF(RESULTADOS!$C$17="Normal",RESULTADOS!$C$18,RESULTADOS!$C$16),0)</f>
        <v>0</v>
      </c>
      <c r="H493" s="4">
        <f ca="1">IF(RESULTADOS!$C$17="Normal",E493,0)</f>
        <v>0</v>
      </c>
      <c r="I493" s="4">
        <f ca="1">(E493+H493+G493)*IFERROR(VLOOKUP(INT(COUNT($B$5:B493)/12),PREMISSAS!$B$62:$C$69,2,FALSE),PREMISSAS!$C$69)</f>
        <v>0</v>
      </c>
      <c r="J493" s="4">
        <f ca="1">D493*IF(RESULTADOS!$C$17="Normal",PREMISSAS!$C$71,0)</f>
        <v>0</v>
      </c>
      <c r="K493" s="87">
        <f ca="1">IFERROR(K492*(1+PREMISSAS!$C$19)+(E493+H493-IF(RESULTADOS!$C$17="Normal",I493,0)-J493)*IF(MONTH(B493)=12,2,1),0)</f>
        <v>0</v>
      </c>
      <c r="L493" s="87">
        <f ca="1">IFERROR((L492+G493-IF(RESULTADOS!$C$17="Normal",0,I493))*(1+PREMISSAS!$C$19)+F493,0)</f>
        <v>0</v>
      </c>
      <c r="N493" s="58">
        <f t="shared" ca="1" si="64"/>
        <v>0</v>
      </c>
      <c r="P493" s="131" t="str">
        <f t="shared" ca="1" si="58"/>
        <v/>
      </c>
      <c r="Q493" s="111" t="str">
        <f ca="1">IF(C493="","",Q492+(E493+H493-IF(RESULTADOS!$C$17="Normal",I493,0)-J493)/2+(F493+G493-IF(RESULTADOS!$C$17="Normal",0,I493)))</f>
        <v/>
      </c>
      <c r="R493" s="111" t="str">
        <f ca="1">IF(C493="","",R492+(E493+H493-IF(RESULTADOS!$C$17="Normal",I493,0)-J493)/2)</f>
        <v/>
      </c>
      <c r="S493" s="111">
        <f t="shared" ca="1" si="60"/>
        <v>0</v>
      </c>
      <c r="U493" s="131" t="str">
        <f t="shared" ca="1" si="61"/>
        <v/>
      </c>
      <c r="V493" s="131" t="str">
        <f t="shared" ca="1" si="59"/>
        <v/>
      </c>
      <c r="W493" s="111">
        <f ca="1">IF(OR((W492-13/12*Z492)*(1+PREMISSAS!$C$17)&lt;0,W492=""),0,(W492-13/12*Z492)*(1+PREMISSAS!$C$17))</f>
        <v>0</v>
      </c>
      <c r="X493" s="111">
        <f ca="1">IF(OR((X492-13/12*AA492)*(1+PREMISSAS!$C$17)&lt;0,X492=""),0,(X492-13/12*AA492)*(1+PREMISSAS!$C$17))</f>
        <v>0</v>
      </c>
      <c r="Y493" s="111">
        <f t="shared" ca="1" si="56"/>
        <v>0</v>
      </c>
      <c r="Z493" s="134">
        <f t="shared" ca="1" si="62"/>
        <v>0</v>
      </c>
      <c r="AA493" s="134">
        <f t="shared" ca="1" si="63"/>
        <v>0</v>
      </c>
    </row>
    <row r="494" spans="2:27" x14ac:dyDescent="0.3">
      <c r="B494" s="21" t="str">
        <f ca="1">IF(B493="","",IF(EOMONTH(B493,1)&gt;EOMONTH(ELEGIBILIDADE!$E$5,0),"",EOMONTH(B493,1)))</f>
        <v/>
      </c>
      <c r="C494" s="22" t="str">
        <f ca="1">IF(B494="","",IF(MONTH(B494)=1,C493*(1+PREMISSAS!$C$58),C493))</f>
        <v/>
      </c>
      <c r="D494" s="22">
        <f ca="1">IF(RESULTADOS!$C$17="Normal",IFERROR(MAX(C494-PREMISSAS!$C$14,0),0),IF(PREMISSAS!$H$117=0,0,MAX(10*PREMISSAS!$C$39,RESULTADOS!$F$17)))</f>
        <v>0</v>
      </c>
      <c r="E494" s="4">
        <f ca="1">D494*IF(RESULTADOS!$C$17="Normal",RESULTADOS!$C$16,0)</f>
        <v>0</v>
      </c>
      <c r="F494" s="4">
        <f ca="1">IF(D494&lt;&gt;0,PREMISSAS!$N$83,0)</f>
        <v>0</v>
      </c>
      <c r="G494" s="4">
        <f ca="1">IFERROR(IF(RESULTADOS!$C$17="Normal",0,D494)*IF(RESULTADOS!$C$17="Normal",RESULTADOS!$C$18,RESULTADOS!$C$16),0)</f>
        <v>0</v>
      </c>
      <c r="H494" s="4">
        <f ca="1">IF(RESULTADOS!$C$17="Normal",E494,0)</f>
        <v>0</v>
      </c>
      <c r="I494" s="4">
        <f ca="1">(E494+H494+G494)*IFERROR(VLOOKUP(INT(COUNT($B$5:B494)/12),PREMISSAS!$B$62:$C$69,2,FALSE),PREMISSAS!$C$69)</f>
        <v>0</v>
      </c>
      <c r="J494" s="4">
        <f ca="1">D494*IF(RESULTADOS!$C$17="Normal",PREMISSAS!$C$71,0)</f>
        <v>0</v>
      </c>
      <c r="K494" s="87">
        <f ca="1">IFERROR(K493*(1+PREMISSAS!$C$19)+(E494+H494-IF(RESULTADOS!$C$17="Normal",I494,0)-J494)*IF(MONTH(B494)=12,2,1),0)</f>
        <v>0</v>
      </c>
      <c r="L494" s="87">
        <f ca="1">IFERROR((L493+G494-IF(RESULTADOS!$C$17="Normal",0,I494))*(1+PREMISSAS!$C$19)+F494,0)</f>
        <v>0</v>
      </c>
      <c r="N494" s="58">
        <f t="shared" ca="1" si="64"/>
        <v>0</v>
      </c>
      <c r="P494" s="131" t="str">
        <f t="shared" ca="1" si="58"/>
        <v/>
      </c>
      <c r="Q494" s="111" t="str">
        <f ca="1">IF(C494="","",Q493+(E494+H494-IF(RESULTADOS!$C$17="Normal",I494,0)-J494)/2+(F494+G494-IF(RESULTADOS!$C$17="Normal",0,I494)))</f>
        <v/>
      </c>
      <c r="R494" s="111" t="str">
        <f ca="1">IF(C494="","",R493+(E494+H494-IF(RESULTADOS!$C$17="Normal",I494,0)-J494)/2)</f>
        <v/>
      </c>
      <c r="S494" s="111">
        <f t="shared" ca="1" si="60"/>
        <v>0</v>
      </c>
      <c r="U494" s="131" t="str">
        <f t="shared" ca="1" si="61"/>
        <v/>
      </c>
      <c r="V494" s="131" t="str">
        <f t="shared" ca="1" si="59"/>
        <v/>
      </c>
      <c r="W494" s="111">
        <f ca="1">IF(OR((W493-13/12*Z493)*(1+PREMISSAS!$C$17)&lt;0,W493=""),0,(W493-13/12*Z493)*(1+PREMISSAS!$C$17))</f>
        <v>0</v>
      </c>
      <c r="X494" s="111">
        <f ca="1">IF(OR((X493-13/12*AA493)*(1+PREMISSAS!$C$17)&lt;0,X493=""),0,(X493-13/12*AA493)*(1+PREMISSAS!$C$17))</f>
        <v>0</v>
      </c>
      <c r="Y494" s="111">
        <f t="shared" ca="1" si="56"/>
        <v>0</v>
      </c>
      <c r="Z494" s="134">
        <f t="shared" ca="1" si="62"/>
        <v>0</v>
      </c>
      <c r="AA494" s="134">
        <f t="shared" ca="1" si="63"/>
        <v>0</v>
      </c>
    </row>
    <row r="495" spans="2:27" x14ac:dyDescent="0.3">
      <c r="B495" s="21" t="str">
        <f ca="1">IF(B494="","",IF(EOMONTH(B494,1)&gt;EOMONTH(ELEGIBILIDADE!$E$5,0),"",EOMONTH(B494,1)))</f>
        <v/>
      </c>
      <c r="C495" s="22" t="str">
        <f ca="1">IF(B495="","",IF(MONTH(B495)=1,C494*(1+PREMISSAS!$C$58),C494))</f>
        <v/>
      </c>
      <c r="D495" s="22">
        <f ca="1">IF(RESULTADOS!$C$17="Normal",IFERROR(MAX(C495-PREMISSAS!$C$14,0),0),IF(PREMISSAS!$H$117=0,0,MAX(10*PREMISSAS!$C$39,RESULTADOS!$F$17)))</f>
        <v>0</v>
      </c>
      <c r="E495" s="4">
        <f ca="1">D495*IF(RESULTADOS!$C$17="Normal",RESULTADOS!$C$16,0)</f>
        <v>0</v>
      </c>
      <c r="F495" s="4">
        <f ca="1">IF(D495&lt;&gt;0,PREMISSAS!$N$83,0)</f>
        <v>0</v>
      </c>
      <c r="G495" s="4">
        <f ca="1">IFERROR(IF(RESULTADOS!$C$17="Normal",0,D495)*IF(RESULTADOS!$C$17="Normal",RESULTADOS!$C$18,RESULTADOS!$C$16),0)</f>
        <v>0</v>
      </c>
      <c r="H495" s="4">
        <f ca="1">IF(RESULTADOS!$C$17="Normal",E495,0)</f>
        <v>0</v>
      </c>
      <c r="I495" s="4">
        <f ca="1">(E495+H495+G495)*IFERROR(VLOOKUP(INT(COUNT($B$5:B495)/12),PREMISSAS!$B$62:$C$69,2,FALSE),PREMISSAS!$C$69)</f>
        <v>0</v>
      </c>
      <c r="J495" s="4">
        <f ca="1">D495*IF(RESULTADOS!$C$17="Normal",PREMISSAS!$C$71,0)</f>
        <v>0</v>
      </c>
      <c r="K495" s="87">
        <f ca="1">IFERROR(K494*(1+PREMISSAS!$C$19)+(E495+H495-IF(RESULTADOS!$C$17="Normal",I495,0)-J495)*IF(MONTH(B495)=12,2,1),0)</f>
        <v>0</v>
      </c>
      <c r="L495" s="87">
        <f ca="1">IFERROR((L494+G495-IF(RESULTADOS!$C$17="Normal",0,I495))*(1+PREMISSAS!$C$19)+F495,0)</f>
        <v>0</v>
      </c>
      <c r="N495" s="58">
        <f t="shared" ca="1" si="64"/>
        <v>0</v>
      </c>
      <c r="P495" s="131" t="str">
        <f t="shared" ca="1" si="58"/>
        <v/>
      </c>
      <c r="Q495" s="111" t="str">
        <f ca="1">IF(C495="","",Q494+(E495+H495-IF(RESULTADOS!$C$17="Normal",I495,0)-J495)/2+(F495+G495-IF(RESULTADOS!$C$17="Normal",0,I495)))</f>
        <v/>
      </c>
      <c r="R495" s="111" t="str">
        <f ca="1">IF(C495="","",R494+(E495+H495-IF(RESULTADOS!$C$17="Normal",I495,0)-J495)/2)</f>
        <v/>
      </c>
      <c r="S495" s="111">
        <f t="shared" ca="1" si="60"/>
        <v>0</v>
      </c>
      <c r="U495" s="131" t="str">
        <f t="shared" ca="1" si="61"/>
        <v/>
      </c>
      <c r="V495" s="131" t="str">
        <f t="shared" ca="1" si="59"/>
        <v/>
      </c>
      <c r="W495" s="111">
        <f ca="1">IF(OR((W494-13/12*Z494)*(1+PREMISSAS!$C$17)&lt;0,W494=""),0,(W494-13/12*Z494)*(1+PREMISSAS!$C$17))</f>
        <v>0</v>
      </c>
      <c r="X495" s="111">
        <f ca="1">IF(OR((X494-13/12*AA494)*(1+PREMISSAS!$C$17)&lt;0,X494=""),0,(X494-13/12*AA494)*(1+PREMISSAS!$C$17))</f>
        <v>0</v>
      </c>
      <c r="Y495" s="111">
        <f t="shared" ca="1" si="56"/>
        <v>0</v>
      </c>
      <c r="Z495" s="134">
        <f t="shared" ca="1" si="62"/>
        <v>0</v>
      </c>
      <c r="AA495" s="134">
        <f t="shared" ca="1" si="63"/>
        <v>0</v>
      </c>
    </row>
    <row r="496" spans="2:27" x14ac:dyDescent="0.3">
      <c r="B496" s="21" t="str">
        <f ca="1">IF(B495="","",IF(EOMONTH(B495,1)&gt;EOMONTH(ELEGIBILIDADE!$E$5,0),"",EOMONTH(B495,1)))</f>
        <v/>
      </c>
      <c r="C496" s="22" t="str">
        <f ca="1">IF(B496="","",IF(MONTH(B496)=1,C495*(1+PREMISSAS!$C$58),C495))</f>
        <v/>
      </c>
      <c r="D496" s="22">
        <f ca="1">IF(RESULTADOS!$C$17="Normal",IFERROR(MAX(C496-PREMISSAS!$C$14,0),0),IF(PREMISSAS!$H$117=0,0,MAX(10*PREMISSAS!$C$39,RESULTADOS!$F$17)))</f>
        <v>0</v>
      </c>
      <c r="E496" s="4">
        <f ca="1">D496*IF(RESULTADOS!$C$17="Normal",RESULTADOS!$C$16,0)</f>
        <v>0</v>
      </c>
      <c r="F496" s="4">
        <f ca="1">IF(D496&lt;&gt;0,PREMISSAS!$N$83,0)</f>
        <v>0</v>
      </c>
      <c r="G496" s="4">
        <f ca="1">IFERROR(IF(RESULTADOS!$C$17="Normal",0,D496)*IF(RESULTADOS!$C$17="Normal",RESULTADOS!$C$18,RESULTADOS!$C$16),0)</f>
        <v>0</v>
      </c>
      <c r="H496" s="4">
        <f ca="1">IF(RESULTADOS!$C$17="Normal",E496,0)</f>
        <v>0</v>
      </c>
      <c r="I496" s="4">
        <f ca="1">(E496+H496+G496)*IFERROR(VLOOKUP(INT(COUNT($B$5:B496)/12),PREMISSAS!$B$62:$C$69,2,FALSE),PREMISSAS!$C$69)</f>
        <v>0</v>
      </c>
      <c r="J496" s="4">
        <f ca="1">D496*IF(RESULTADOS!$C$17="Normal",PREMISSAS!$C$71,0)</f>
        <v>0</v>
      </c>
      <c r="K496" s="87">
        <f ca="1">IFERROR(K495*(1+PREMISSAS!$C$19)+(E496+H496-IF(RESULTADOS!$C$17="Normal",I496,0)-J496)*IF(MONTH(B496)=12,2,1),0)</f>
        <v>0</v>
      </c>
      <c r="L496" s="87">
        <f ca="1">IFERROR((L495+G496-IF(RESULTADOS!$C$17="Normal",0,I496))*(1+PREMISSAS!$C$19)+F496,0)</f>
        <v>0</v>
      </c>
      <c r="N496" s="58">
        <f t="shared" ca="1" si="64"/>
        <v>0</v>
      </c>
      <c r="P496" s="131" t="str">
        <f t="shared" ca="1" si="58"/>
        <v/>
      </c>
      <c r="Q496" s="111" t="str">
        <f ca="1">IF(C496="","",Q495+(E496+H496-IF(RESULTADOS!$C$17="Normal",I496,0)-J496)/2+(F496+G496-IF(RESULTADOS!$C$17="Normal",0,I496)))</f>
        <v/>
      </c>
      <c r="R496" s="111" t="str">
        <f ca="1">IF(C496="","",R495+(E496+H496-IF(RESULTADOS!$C$17="Normal",I496,0)-J496)/2)</f>
        <v/>
      </c>
      <c r="S496" s="111">
        <f t="shared" ca="1" si="60"/>
        <v>0</v>
      </c>
      <c r="U496" s="131" t="str">
        <f t="shared" ca="1" si="61"/>
        <v/>
      </c>
      <c r="V496" s="131" t="str">
        <f t="shared" ca="1" si="59"/>
        <v/>
      </c>
      <c r="W496" s="111">
        <f ca="1">IF(OR((W495-13/12*Z495)*(1+PREMISSAS!$C$17)&lt;0,W495=""),0,(W495-13/12*Z495)*(1+PREMISSAS!$C$17))</f>
        <v>0</v>
      </c>
      <c r="X496" s="111">
        <f ca="1">IF(OR((X495-13/12*AA495)*(1+PREMISSAS!$C$17)&lt;0,X495=""),0,(X495-13/12*AA495)*(1+PREMISSAS!$C$17))</f>
        <v>0</v>
      </c>
      <c r="Y496" s="111">
        <f t="shared" ca="1" si="56"/>
        <v>0</v>
      </c>
      <c r="Z496" s="134">
        <f t="shared" ca="1" si="62"/>
        <v>0</v>
      </c>
      <c r="AA496" s="134">
        <f t="shared" ca="1" si="63"/>
        <v>0</v>
      </c>
    </row>
    <row r="497" spans="2:27" x14ac:dyDescent="0.3">
      <c r="B497" s="21" t="str">
        <f ca="1">IF(B496="","",IF(EOMONTH(B496,1)&gt;EOMONTH(ELEGIBILIDADE!$E$5,0),"",EOMONTH(B496,1)))</f>
        <v/>
      </c>
      <c r="C497" s="22" t="str">
        <f ca="1">IF(B497="","",IF(MONTH(B497)=1,C496*(1+PREMISSAS!$C$58),C496))</f>
        <v/>
      </c>
      <c r="D497" s="22">
        <f ca="1">IF(RESULTADOS!$C$17="Normal",IFERROR(MAX(C497-PREMISSAS!$C$14,0),0),IF(PREMISSAS!$H$117=0,0,MAX(10*PREMISSAS!$C$39,RESULTADOS!$F$17)))</f>
        <v>0</v>
      </c>
      <c r="E497" s="4">
        <f ca="1">D497*IF(RESULTADOS!$C$17="Normal",RESULTADOS!$C$16,0)</f>
        <v>0</v>
      </c>
      <c r="F497" s="4">
        <f ca="1">IF(D497&lt;&gt;0,PREMISSAS!$N$83,0)</f>
        <v>0</v>
      </c>
      <c r="G497" s="4">
        <f ca="1">IFERROR(IF(RESULTADOS!$C$17="Normal",0,D497)*IF(RESULTADOS!$C$17="Normal",RESULTADOS!$C$18,RESULTADOS!$C$16),0)</f>
        <v>0</v>
      </c>
      <c r="H497" s="4">
        <f ca="1">IF(RESULTADOS!$C$17="Normal",E497,0)</f>
        <v>0</v>
      </c>
      <c r="I497" s="4">
        <f ca="1">(E497+H497+G497)*IFERROR(VLOOKUP(INT(COUNT($B$5:B497)/12),PREMISSAS!$B$62:$C$69,2,FALSE),PREMISSAS!$C$69)</f>
        <v>0</v>
      </c>
      <c r="J497" s="4">
        <f ca="1">D497*IF(RESULTADOS!$C$17="Normal",PREMISSAS!$C$71,0)</f>
        <v>0</v>
      </c>
      <c r="K497" s="87">
        <f ca="1">IFERROR(K496*(1+PREMISSAS!$C$19)+(E497+H497-IF(RESULTADOS!$C$17="Normal",I497,0)-J497)*IF(MONTH(B497)=12,2,1),0)</f>
        <v>0</v>
      </c>
      <c r="L497" s="87">
        <f ca="1">IFERROR((L496+G497-IF(RESULTADOS!$C$17="Normal",0,I497))*(1+PREMISSAS!$C$19)+F497,0)</f>
        <v>0</v>
      </c>
      <c r="N497" s="58">
        <f t="shared" ca="1" si="64"/>
        <v>0</v>
      </c>
      <c r="P497" s="131" t="str">
        <f t="shared" ca="1" si="58"/>
        <v/>
      </c>
      <c r="Q497" s="111" t="str">
        <f ca="1">IF(C497="","",Q496+(E497+H497-IF(RESULTADOS!$C$17="Normal",I497,0)-J497)/2+(F497+G497-IF(RESULTADOS!$C$17="Normal",0,I497)))</f>
        <v/>
      </c>
      <c r="R497" s="111" t="str">
        <f ca="1">IF(C497="","",R496+(E497+H497-IF(RESULTADOS!$C$17="Normal",I497,0)-J497)/2)</f>
        <v/>
      </c>
      <c r="S497" s="111">
        <f t="shared" ca="1" si="60"/>
        <v>0</v>
      </c>
      <c r="U497" s="131" t="str">
        <f t="shared" ca="1" si="61"/>
        <v/>
      </c>
      <c r="V497" s="131" t="str">
        <f t="shared" ca="1" si="59"/>
        <v/>
      </c>
      <c r="W497" s="111">
        <f ca="1">IF(OR((W496-13/12*Z496)*(1+PREMISSAS!$C$17)&lt;0,W496=""),0,(W496-13/12*Z496)*(1+PREMISSAS!$C$17))</f>
        <v>0</v>
      </c>
      <c r="X497" s="111">
        <f ca="1">IF(OR((X496-13/12*AA496)*(1+PREMISSAS!$C$17)&lt;0,X496=""),0,(X496-13/12*AA496)*(1+PREMISSAS!$C$17))</f>
        <v>0</v>
      </c>
      <c r="Y497" s="111">
        <f t="shared" ca="1" si="56"/>
        <v>0</v>
      </c>
      <c r="Z497" s="134">
        <f t="shared" ca="1" si="62"/>
        <v>0</v>
      </c>
      <c r="AA497" s="134">
        <f t="shared" ca="1" si="63"/>
        <v>0</v>
      </c>
    </row>
    <row r="498" spans="2:27" x14ac:dyDescent="0.3">
      <c r="B498" s="21" t="str">
        <f ca="1">IF(B497="","",IF(EOMONTH(B497,1)&gt;EOMONTH(ELEGIBILIDADE!$E$5,0),"",EOMONTH(B497,1)))</f>
        <v/>
      </c>
      <c r="C498" s="22" t="str">
        <f ca="1">IF(B498="","",IF(MONTH(B498)=1,C497*(1+PREMISSAS!$C$58),C497))</f>
        <v/>
      </c>
      <c r="D498" s="22">
        <f ca="1">IF(RESULTADOS!$C$17="Normal",IFERROR(MAX(C498-PREMISSAS!$C$14,0),0),IF(PREMISSAS!$H$117=0,0,MAX(10*PREMISSAS!$C$39,RESULTADOS!$F$17)))</f>
        <v>0</v>
      </c>
      <c r="E498" s="4">
        <f ca="1">D498*IF(RESULTADOS!$C$17="Normal",RESULTADOS!$C$16,0)</f>
        <v>0</v>
      </c>
      <c r="F498" s="4">
        <f ca="1">IF(D498&lt;&gt;0,PREMISSAS!$N$83,0)</f>
        <v>0</v>
      </c>
      <c r="G498" s="4">
        <f ca="1">IFERROR(IF(RESULTADOS!$C$17="Normal",0,D498)*IF(RESULTADOS!$C$17="Normal",RESULTADOS!$C$18,RESULTADOS!$C$16),0)</f>
        <v>0</v>
      </c>
      <c r="H498" s="4">
        <f ca="1">IF(RESULTADOS!$C$17="Normal",E498,0)</f>
        <v>0</v>
      </c>
      <c r="I498" s="4">
        <f ca="1">(E498+H498+G498)*IFERROR(VLOOKUP(INT(COUNT($B$5:B498)/12),PREMISSAS!$B$62:$C$69,2,FALSE),PREMISSAS!$C$69)</f>
        <v>0</v>
      </c>
      <c r="J498" s="4">
        <f ca="1">D498*IF(RESULTADOS!$C$17="Normal",PREMISSAS!$C$71,0)</f>
        <v>0</v>
      </c>
      <c r="K498" s="87">
        <f ca="1">IFERROR(K497*(1+PREMISSAS!$C$19)+(E498+H498-IF(RESULTADOS!$C$17="Normal",I498,0)-J498)*IF(MONTH(B498)=12,2,1),0)</f>
        <v>0</v>
      </c>
      <c r="L498" s="87">
        <f ca="1">IFERROR((L497+G498-IF(RESULTADOS!$C$17="Normal",0,I498))*(1+PREMISSAS!$C$19)+F498,0)</f>
        <v>0</v>
      </c>
      <c r="N498" s="58">
        <f t="shared" ref="N498:N527" ca="1" si="65">IFERROR((E498+F498+G498)/C498,0)</f>
        <v>0</v>
      </c>
      <c r="P498" s="131" t="str">
        <f t="shared" ca="1" si="58"/>
        <v/>
      </c>
      <c r="Q498" s="111" t="str">
        <f ca="1">IF(C498="","",Q497+(E498+H498-IF(RESULTADOS!$C$17="Normal",I498,0)-J498)/2+(F498+G498-IF(RESULTADOS!$C$17="Normal",0,I498)))</f>
        <v/>
      </c>
      <c r="R498" s="111" t="str">
        <f ca="1">IF(C498="","",R497+(E498+H498-IF(RESULTADOS!$C$17="Normal",I498,0)-J498)/2)</f>
        <v/>
      </c>
      <c r="S498" s="111">
        <f t="shared" ca="1" si="60"/>
        <v>0</v>
      </c>
      <c r="U498" s="131" t="str">
        <f t="shared" ca="1" si="61"/>
        <v/>
      </c>
      <c r="V498" s="131" t="str">
        <f t="shared" ca="1" si="59"/>
        <v/>
      </c>
      <c r="W498" s="111">
        <f ca="1">IF(OR((W497-13/12*Z497)*(1+PREMISSAS!$C$17)&lt;0,W497=""),0,(W497-13/12*Z497)*(1+PREMISSAS!$C$17))</f>
        <v>0</v>
      </c>
      <c r="X498" s="111">
        <f ca="1">IF(OR((X497-13/12*AA497)*(1+PREMISSAS!$C$17)&lt;0,X497=""),0,(X497-13/12*AA497)*(1+PREMISSAS!$C$17))</f>
        <v>0</v>
      </c>
      <c r="Y498" s="111">
        <f t="shared" ca="1" si="56"/>
        <v>0</v>
      </c>
      <c r="Z498" s="134">
        <f t="shared" ca="1" si="62"/>
        <v>0</v>
      </c>
      <c r="AA498" s="134">
        <f t="shared" ca="1" si="63"/>
        <v>0</v>
      </c>
    </row>
    <row r="499" spans="2:27" x14ac:dyDescent="0.3">
      <c r="B499" s="21" t="str">
        <f ca="1">IF(B498="","",IF(EOMONTH(B498,1)&gt;EOMONTH(ELEGIBILIDADE!$E$5,0),"",EOMONTH(B498,1)))</f>
        <v/>
      </c>
      <c r="C499" s="22" t="str">
        <f ca="1">IF(B499="","",IF(MONTH(B499)=1,C498*(1+PREMISSAS!$C$58),C498))</f>
        <v/>
      </c>
      <c r="D499" s="22">
        <f ca="1">IF(RESULTADOS!$C$17="Normal",IFERROR(MAX(C499-PREMISSAS!$C$14,0),0),IF(PREMISSAS!$H$117=0,0,MAX(10*PREMISSAS!$C$39,RESULTADOS!$F$17)))</f>
        <v>0</v>
      </c>
      <c r="E499" s="4">
        <f ca="1">D499*IF(RESULTADOS!$C$17="Normal",RESULTADOS!$C$16,0)</f>
        <v>0</v>
      </c>
      <c r="F499" s="4">
        <f ca="1">IF(D499&lt;&gt;0,PREMISSAS!$N$83,0)</f>
        <v>0</v>
      </c>
      <c r="G499" s="4">
        <f ca="1">IFERROR(IF(RESULTADOS!$C$17="Normal",0,D499)*IF(RESULTADOS!$C$17="Normal",RESULTADOS!$C$18,RESULTADOS!$C$16),0)</f>
        <v>0</v>
      </c>
      <c r="H499" s="4">
        <f ca="1">IF(RESULTADOS!$C$17="Normal",E499,0)</f>
        <v>0</v>
      </c>
      <c r="I499" s="4">
        <f ca="1">(E499+H499+G499)*IFERROR(VLOOKUP(INT(COUNT($B$5:B499)/12),PREMISSAS!$B$62:$C$69,2,FALSE),PREMISSAS!$C$69)</f>
        <v>0</v>
      </c>
      <c r="J499" s="4">
        <f ca="1">D499*IF(RESULTADOS!$C$17="Normal",PREMISSAS!$C$71,0)</f>
        <v>0</v>
      </c>
      <c r="K499" s="87">
        <f ca="1">IFERROR(K498*(1+PREMISSAS!$C$19)+(E499+H499-IF(RESULTADOS!$C$17="Normal",I499,0)-J499)*IF(MONTH(B499)=12,2,1),0)</f>
        <v>0</v>
      </c>
      <c r="L499" s="87">
        <f ca="1">IFERROR((L498+G499-IF(RESULTADOS!$C$17="Normal",0,I499))*(1+PREMISSAS!$C$19)+F499,0)</f>
        <v>0</v>
      </c>
      <c r="N499" s="58">
        <f t="shared" ca="1" si="65"/>
        <v>0</v>
      </c>
      <c r="P499" s="131" t="str">
        <f t="shared" ca="1" si="58"/>
        <v/>
      </c>
      <c r="Q499" s="111" t="str">
        <f ca="1">IF(C499="","",Q498+(E499+H499-IF(RESULTADOS!$C$17="Normal",I499,0)-J499)/2+(F499+G499-IF(RESULTADOS!$C$17="Normal",0,I499)))</f>
        <v/>
      </c>
      <c r="R499" s="111" t="str">
        <f ca="1">IF(C499="","",R498+(E499+H499-IF(RESULTADOS!$C$17="Normal",I499,0)-J499)/2)</f>
        <v/>
      </c>
      <c r="S499" s="111">
        <f t="shared" ca="1" si="60"/>
        <v>0</v>
      </c>
      <c r="U499" s="131" t="str">
        <f t="shared" ca="1" si="61"/>
        <v/>
      </c>
      <c r="V499" s="131" t="str">
        <f t="shared" ca="1" si="59"/>
        <v/>
      </c>
      <c r="W499" s="111">
        <f ca="1">IF(OR((W498-13/12*Z498)*(1+PREMISSAS!$C$17)&lt;0,W498=""),0,(W498-13/12*Z498)*(1+PREMISSAS!$C$17))</f>
        <v>0</v>
      </c>
      <c r="X499" s="111">
        <f ca="1">IF(OR((X498-13/12*AA498)*(1+PREMISSAS!$C$17)&lt;0,X498=""),0,(X498-13/12*AA498)*(1+PREMISSAS!$C$17))</f>
        <v>0</v>
      </c>
      <c r="Y499" s="111">
        <f t="shared" ca="1" si="56"/>
        <v>0</v>
      </c>
      <c r="Z499" s="134">
        <f t="shared" ca="1" si="62"/>
        <v>0</v>
      </c>
      <c r="AA499" s="134">
        <f t="shared" ca="1" si="63"/>
        <v>0</v>
      </c>
    </row>
    <row r="500" spans="2:27" x14ac:dyDescent="0.3">
      <c r="B500" s="21" t="str">
        <f ca="1">IF(B499="","",IF(EOMONTH(B499,1)&gt;EOMONTH(ELEGIBILIDADE!$E$5,0),"",EOMONTH(B499,1)))</f>
        <v/>
      </c>
      <c r="C500" s="22" t="str">
        <f ca="1">IF(B500="","",IF(MONTH(B500)=1,C499*(1+PREMISSAS!$C$58),C499))</f>
        <v/>
      </c>
      <c r="D500" s="22">
        <f ca="1">IF(RESULTADOS!$C$17="Normal",IFERROR(MAX(C500-PREMISSAS!$C$14,0),0),IF(PREMISSAS!$H$117=0,0,MAX(10*PREMISSAS!$C$39,RESULTADOS!$F$17)))</f>
        <v>0</v>
      </c>
      <c r="E500" s="4">
        <f ca="1">D500*IF(RESULTADOS!$C$17="Normal",RESULTADOS!$C$16,0)</f>
        <v>0</v>
      </c>
      <c r="F500" s="4">
        <f ca="1">IF(D500&lt;&gt;0,PREMISSAS!$N$83,0)</f>
        <v>0</v>
      </c>
      <c r="G500" s="4">
        <f ca="1">IFERROR(IF(RESULTADOS!$C$17="Normal",0,D500)*IF(RESULTADOS!$C$17="Normal",RESULTADOS!$C$18,RESULTADOS!$C$16),0)</f>
        <v>0</v>
      </c>
      <c r="H500" s="4">
        <f ca="1">IF(RESULTADOS!$C$17="Normal",E500,0)</f>
        <v>0</v>
      </c>
      <c r="I500" s="4">
        <f ca="1">(E500+H500+G500)*IFERROR(VLOOKUP(INT(COUNT($B$5:B500)/12),PREMISSAS!$B$62:$C$69,2,FALSE),PREMISSAS!$C$69)</f>
        <v>0</v>
      </c>
      <c r="J500" s="4">
        <f ca="1">D500*IF(RESULTADOS!$C$17="Normal",PREMISSAS!$C$71,0)</f>
        <v>0</v>
      </c>
      <c r="K500" s="87">
        <f ca="1">IFERROR(K499*(1+PREMISSAS!$C$19)+(E500+H500-IF(RESULTADOS!$C$17="Normal",I500,0)-J500)*IF(MONTH(B500)=12,2,1),0)</f>
        <v>0</v>
      </c>
      <c r="L500" s="87">
        <f ca="1">IFERROR((L499+G500-IF(RESULTADOS!$C$17="Normal",0,I500))*(1+PREMISSAS!$C$19)+F500,0)</f>
        <v>0</v>
      </c>
      <c r="N500" s="58">
        <f t="shared" ca="1" si="65"/>
        <v>0</v>
      </c>
      <c r="P500" s="131" t="str">
        <f t="shared" ca="1" si="58"/>
        <v/>
      </c>
      <c r="Q500" s="111" t="str">
        <f ca="1">IF(C500="","",Q499+(E500+H500-IF(RESULTADOS!$C$17="Normal",I500,0)-J500)/2+(F500+G500-IF(RESULTADOS!$C$17="Normal",0,I500)))</f>
        <v/>
      </c>
      <c r="R500" s="111" t="str">
        <f ca="1">IF(C500="","",R499+(E500+H500-IF(RESULTADOS!$C$17="Normal",I500,0)-J500)/2)</f>
        <v/>
      </c>
      <c r="S500" s="111">
        <f t="shared" ca="1" si="60"/>
        <v>0</v>
      </c>
      <c r="U500" s="131" t="str">
        <f t="shared" ca="1" si="61"/>
        <v/>
      </c>
      <c r="V500" s="131" t="str">
        <f t="shared" ca="1" si="59"/>
        <v/>
      </c>
      <c r="W500" s="111">
        <f ca="1">IF(OR((W499-13/12*Z499)*(1+PREMISSAS!$C$17)&lt;0,W499=""),0,(W499-13/12*Z499)*(1+PREMISSAS!$C$17))</f>
        <v>0</v>
      </c>
      <c r="X500" s="111">
        <f ca="1">IF(OR((X499-13/12*AA499)*(1+PREMISSAS!$C$17)&lt;0,X499=""),0,(X499-13/12*AA499)*(1+PREMISSAS!$C$17))</f>
        <v>0</v>
      </c>
      <c r="Y500" s="111">
        <f t="shared" ca="1" si="56"/>
        <v>0</v>
      </c>
      <c r="Z500" s="134">
        <f t="shared" ca="1" si="62"/>
        <v>0</v>
      </c>
      <c r="AA500" s="134">
        <f t="shared" ca="1" si="63"/>
        <v>0</v>
      </c>
    </row>
    <row r="501" spans="2:27" x14ac:dyDescent="0.3">
      <c r="B501" s="21" t="str">
        <f ca="1">IF(B500="","",IF(EOMONTH(B500,1)&gt;EOMONTH(ELEGIBILIDADE!$E$5,0),"",EOMONTH(B500,1)))</f>
        <v/>
      </c>
      <c r="C501" s="22" t="str">
        <f ca="1">IF(B501="","",IF(MONTH(B501)=1,C500*(1+PREMISSAS!$C$58),C500))</f>
        <v/>
      </c>
      <c r="D501" s="22">
        <f ca="1">IF(RESULTADOS!$C$17="Normal",IFERROR(MAX(C501-PREMISSAS!$C$14,0),0),IF(PREMISSAS!$H$117=0,0,MAX(10*PREMISSAS!$C$39,RESULTADOS!$F$17)))</f>
        <v>0</v>
      </c>
      <c r="E501" s="4">
        <f ca="1">D501*IF(RESULTADOS!$C$17="Normal",RESULTADOS!$C$16,0)</f>
        <v>0</v>
      </c>
      <c r="F501" s="4">
        <f ca="1">IF(D501&lt;&gt;0,PREMISSAS!$N$83,0)</f>
        <v>0</v>
      </c>
      <c r="G501" s="4">
        <f ca="1">IFERROR(IF(RESULTADOS!$C$17="Normal",0,D501)*IF(RESULTADOS!$C$17="Normal",RESULTADOS!$C$18,RESULTADOS!$C$16),0)</f>
        <v>0</v>
      </c>
      <c r="H501" s="4">
        <f ca="1">IF(RESULTADOS!$C$17="Normal",E501,0)</f>
        <v>0</v>
      </c>
      <c r="I501" s="4">
        <f ca="1">(E501+H501+G501)*IFERROR(VLOOKUP(INT(COUNT($B$5:B501)/12),PREMISSAS!$B$62:$C$69,2,FALSE),PREMISSAS!$C$69)</f>
        <v>0</v>
      </c>
      <c r="J501" s="4">
        <f ca="1">D501*IF(RESULTADOS!$C$17="Normal",PREMISSAS!$C$71,0)</f>
        <v>0</v>
      </c>
      <c r="K501" s="87">
        <f ca="1">IFERROR(K500*(1+PREMISSAS!$C$19)+(E501+H501-IF(RESULTADOS!$C$17="Normal",I501,0)-J501)*IF(MONTH(B501)=12,2,1),0)</f>
        <v>0</v>
      </c>
      <c r="L501" s="87">
        <f ca="1">IFERROR((L500+G501-IF(RESULTADOS!$C$17="Normal",0,I501))*(1+PREMISSAS!$C$19)+F501,0)</f>
        <v>0</v>
      </c>
      <c r="N501" s="58">
        <f t="shared" ca="1" si="65"/>
        <v>0</v>
      </c>
      <c r="P501" s="131" t="str">
        <f t="shared" ca="1" si="58"/>
        <v/>
      </c>
      <c r="Q501" s="111" t="str">
        <f ca="1">IF(C501="","",Q500+(E501+H501-IF(RESULTADOS!$C$17="Normal",I501,0)-J501)/2+(F501+G501-IF(RESULTADOS!$C$17="Normal",0,I501)))</f>
        <v/>
      </c>
      <c r="R501" s="111" t="str">
        <f ca="1">IF(C501="","",R500+(E501+H501-IF(RESULTADOS!$C$17="Normal",I501,0)-J501)/2)</f>
        <v/>
      </c>
      <c r="S501" s="111">
        <f t="shared" ca="1" si="60"/>
        <v>0</v>
      </c>
      <c r="U501" s="131" t="str">
        <f t="shared" ca="1" si="61"/>
        <v/>
      </c>
      <c r="V501" s="131" t="str">
        <f t="shared" ca="1" si="59"/>
        <v/>
      </c>
      <c r="W501" s="111">
        <f ca="1">IF(OR((W500-13/12*Z500)*(1+PREMISSAS!$C$17)&lt;0,W500=""),0,(W500-13/12*Z500)*(1+PREMISSAS!$C$17))</f>
        <v>0</v>
      </c>
      <c r="X501" s="111">
        <f ca="1">IF(OR((X500-13/12*AA500)*(1+PREMISSAS!$C$17)&lt;0,X500=""),0,(X500-13/12*AA500)*(1+PREMISSAS!$C$17))</f>
        <v>0</v>
      </c>
      <c r="Y501" s="111">
        <f t="shared" ca="1" si="56"/>
        <v>0</v>
      </c>
      <c r="Z501" s="134">
        <f t="shared" ca="1" si="62"/>
        <v>0</v>
      </c>
      <c r="AA501" s="134">
        <f t="shared" ca="1" si="63"/>
        <v>0</v>
      </c>
    </row>
    <row r="502" spans="2:27" x14ac:dyDescent="0.3">
      <c r="B502" s="21" t="str">
        <f ca="1">IF(B501="","",IF(EOMONTH(B501,1)&gt;EOMONTH(ELEGIBILIDADE!$E$5,0),"",EOMONTH(B501,1)))</f>
        <v/>
      </c>
      <c r="C502" s="22" t="str">
        <f ca="1">IF(B502="","",IF(MONTH(B502)=1,C501*(1+PREMISSAS!$C$58),C501))</f>
        <v/>
      </c>
      <c r="D502" s="22">
        <f ca="1">IF(RESULTADOS!$C$17="Normal",IFERROR(MAX(C502-PREMISSAS!$C$14,0),0),IF(PREMISSAS!$H$117=0,0,MAX(10*PREMISSAS!$C$39,RESULTADOS!$F$17)))</f>
        <v>0</v>
      </c>
      <c r="E502" s="4">
        <f ca="1">D502*IF(RESULTADOS!$C$17="Normal",RESULTADOS!$C$16,0)</f>
        <v>0</v>
      </c>
      <c r="F502" s="4">
        <f ca="1">IF(D502&lt;&gt;0,PREMISSAS!$N$83,0)</f>
        <v>0</v>
      </c>
      <c r="G502" s="4">
        <f ca="1">IFERROR(IF(RESULTADOS!$C$17="Normal",0,D502)*IF(RESULTADOS!$C$17="Normal",RESULTADOS!$C$18,RESULTADOS!$C$16),0)</f>
        <v>0</v>
      </c>
      <c r="H502" s="4">
        <f ca="1">IF(RESULTADOS!$C$17="Normal",E502,0)</f>
        <v>0</v>
      </c>
      <c r="I502" s="4">
        <f ca="1">(E502+H502+G502)*IFERROR(VLOOKUP(INT(COUNT($B$5:B502)/12),PREMISSAS!$B$62:$C$69,2,FALSE),PREMISSAS!$C$69)</f>
        <v>0</v>
      </c>
      <c r="J502" s="4">
        <f ca="1">D502*IF(RESULTADOS!$C$17="Normal",PREMISSAS!$C$71,0)</f>
        <v>0</v>
      </c>
      <c r="K502" s="87">
        <f ca="1">IFERROR(K501*(1+PREMISSAS!$C$19)+(E502+H502-IF(RESULTADOS!$C$17="Normal",I502,0)-J502)*IF(MONTH(B502)=12,2,1),0)</f>
        <v>0</v>
      </c>
      <c r="L502" s="87">
        <f ca="1">IFERROR((L501+G502-IF(RESULTADOS!$C$17="Normal",0,I502))*(1+PREMISSAS!$C$19)+F502,0)</f>
        <v>0</v>
      </c>
      <c r="N502" s="58">
        <f t="shared" ca="1" si="65"/>
        <v>0</v>
      </c>
      <c r="P502" s="131" t="str">
        <f t="shared" ca="1" si="58"/>
        <v/>
      </c>
      <c r="Q502" s="111" t="str">
        <f ca="1">IF(C502="","",Q501+(E502+H502-IF(RESULTADOS!$C$17="Normal",I502,0)-J502)/2+(F502+G502-IF(RESULTADOS!$C$17="Normal",0,I502)))</f>
        <v/>
      </c>
      <c r="R502" s="111" t="str">
        <f ca="1">IF(C502="","",R501+(E502+H502-IF(RESULTADOS!$C$17="Normal",I502,0)-J502)/2)</f>
        <v/>
      </c>
      <c r="S502" s="111">
        <f t="shared" ca="1" si="60"/>
        <v>0</v>
      </c>
      <c r="U502" s="131" t="str">
        <f t="shared" ca="1" si="61"/>
        <v/>
      </c>
      <c r="V502" s="131" t="str">
        <f t="shared" ca="1" si="59"/>
        <v/>
      </c>
      <c r="W502" s="111">
        <f ca="1">IF(OR((W501-13/12*Z501)*(1+PREMISSAS!$C$17)&lt;0,W501=""),0,(W501-13/12*Z501)*(1+PREMISSAS!$C$17))</f>
        <v>0</v>
      </c>
      <c r="X502" s="111">
        <f ca="1">IF(OR((X501-13/12*AA501)*(1+PREMISSAS!$C$17)&lt;0,X501=""),0,(X501-13/12*AA501)*(1+PREMISSAS!$C$17))</f>
        <v>0</v>
      </c>
      <c r="Y502" s="111">
        <f t="shared" ca="1" si="56"/>
        <v>0</v>
      </c>
      <c r="Z502" s="134">
        <f t="shared" ca="1" si="62"/>
        <v>0</v>
      </c>
      <c r="AA502" s="134">
        <f t="shared" ca="1" si="63"/>
        <v>0</v>
      </c>
    </row>
    <row r="503" spans="2:27" x14ac:dyDescent="0.3">
      <c r="B503" s="21" t="str">
        <f ca="1">IF(B502="","",IF(EOMONTH(B502,1)&gt;EOMONTH(ELEGIBILIDADE!$E$5,0),"",EOMONTH(B502,1)))</f>
        <v/>
      </c>
      <c r="C503" s="22" t="str">
        <f ca="1">IF(B503="","",IF(MONTH(B503)=1,C502*(1+PREMISSAS!$C$58),C502))</f>
        <v/>
      </c>
      <c r="D503" s="22">
        <f ca="1">IF(RESULTADOS!$C$17="Normal",IFERROR(MAX(C503-PREMISSAS!$C$14,0),0),IF(PREMISSAS!$H$117=0,0,MAX(10*PREMISSAS!$C$39,RESULTADOS!$F$17)))</f>
        <v>0</v>
      </c>
      <c r="E503" s="4">
        <f ca="1">D503*IF(RESULTADOS!$C$17="Normal",RESULTADOS!$C$16,0)</f>
        <v>0</v>
      </c>
      <c r="F503" s="4">
        <f ca="1">IF(D503&lt;&gt;0,PREMISSAS!$N$83,0)</f>
        <v>0</v>
      </c>
      <c r="G503" s="4">
        <f ca="1">IFERROR(IF(RESULTADOS!$C$17="Normal",0,D503)*IF(RESULTADOS!$C$17="Normal",RESULTADOS!$C$18,RESULTADOS!$C$16),0)</f>
        <v>0</v>
      </c>
      <c r="H503" s="4">
        <f ca="1">IF(RESULTADOS!$C$17="Normal",E503,0)</f>
        <v>0</v>
      </c>
      <c r="I503" s="4">
        <f ca="1">(E503+H503+G503)*IFERROR(VLOOKUP(INT(COUNT($B$5:B503)/12),PREMISSAS!$B$62:$C$69,2,FALSE),PREMISSAS!$C$69)</f>
        <v>0</v>
      </c>
      <c r="J503" s="4">
        <f ca="1">D503*IF(RESULTADOS!$C$17="Normal",PREMISSAS!$C$71,0)</f>
        <v>0</v>
      </c>
      <c r="K503" s="87">
        <f ca="1">IFERROR(K502*(1+PREMISSAS!$C$19)+(E503+H503-IF(RESULTADOS!$C$17="Normal",I503,0)-J503)*IF(MONTH(B503)=12,2,1),0)</f>
        <v>0</v>
      </c>
      <c r="L503" s="87">
        <f ca="1">IFERROR((L502+G503-IF(RESULTADOS!$C$17="Normal",0,I503))*(1+PREMISSAS!$C$19)+F503,0)</f>
        <v>0</v>
      </c>
      <c r="N503" s="58">
        <f t="shared" ca="1" si="65"/>
        <v>0</v>
      </c>
      <c r="P503" s="131" t="str">
        <f t="shared" ca="1" si="58"/>
        <v/>
      </c>
      <c r="Q503" s="111" t="str">
        <f ca="1">IF(C503="","",Q502+(E503+H503-IF(RESULTADOS!$C$17="Normal",I503,0)-J503)/2+(F503+G503-IF(RESULTADOS!$C$17="Normal",0,I503)))</f>
        <v/>
      </c>
      <c r="R503" s="111" t="str">
        <f ca="1">IF(C503="","",R502+(E503+H503-IF(RESULTADOS!$C$17="Normal",I503,0)-J503)/2)</f>
        <v/>
      </c>
      <c r="S503" s="111">
        <f t="shared" ca="1" si="60"/>
        <v>0</v>
      </c>
      <c r="U503" s="131" t="str">
        <f t="shared" ca="1" si="61"/>
        <v/>
      </c>
      <c r="V503" s="131" t="str">
        <f t="shared" ca="1" si="59"/>
        <v/>
      </c>
      <c r="W503" s="111">
        <f ca="1">IF(OR((W502-13/12*Z502)*(1+PREMISSAS!$C$17)&lt;0,W502=""),0,(W502-13/12*Z502)*(1+PREMISSAS!$C$17))</f>
        <v>0</v>
      </c>
      <c r="X503" s="111">
        <f ca="1">IF(OR((X502-13/12*AA502)*(1+PREMISSAS!$C$17)&lt;0,X502=""),0,(X502-13/12*AA502)*(1+PREMISSAS!$C$17))</f>
        <v>0</v>
      </c>
      <c r="Y503" s="111">
        <f t="shared" ca="1" si="56"/>
        <v>0</v>
      </c>
      <c r="Z503" s="134">
        <f t="shared" ca="1" si="62"/>
        <v>0</v>
      </c>
      <c r="AA503" s="134">
        <f t="shared" ca="1" si="63"/>
        <v>0</v>
      </c>
    </row>
    <row r="504" spans="2:27" x14ac:dyDescent="0.3">
      <c r="B504" s="21" t="str">
        <f ca="1">IF(B503="","",IF(EOMONTH(B503,1)&gt;EOMONTH(ELEGIBILIDADE!$E$5,0),"",EOMONTH(B503,1)))</f>
        <v/>
      </c>
      <c r="C504" s="22" t="str">
        <f ca="1">IF(B504="","",IF(MONTH(B504)=1,C503*(1+PREMISSAS!$C$58),C503))</f>
        <v/>
      </c>
      <c r="D504" s="22">
        <f ca="1">IF(RESULTADOS!$C$17="Normal",IFERROR(MAX(C504-PREMISSAS!$C$14,0),0),IF(PREMISSAS!$H$117=0,0,MAX(10*PREMISSAS!$C$39,RESULTADOS!$F$17)))</f>
        <v>0</v>
      </c>
      <c r="E504" s="4">
        <f ca="1">D504*IF(RESULTADOS!$C$17="Normal",RESULTADOS!$C$16,0)</f>
        <v>0</v>
      </c>
      <c r="F504" s="4">
        <f ca="1">IF(D504&lt;&gt;0,PREMISSAS!$N$83,0)</f>
        <v>0</v>
      </c>
      <c r="G504" s="4">
        <f ca="1">IFERROR(IF(RESULTADOS!$C$17="Normal",0,D504)*IF(RESULTADOS!$C$17="Normal",RESULTADOS!$C$18,RESULTADOS!$C$16),0)</f>
        <v>0</v>
      </c>
      <c r="H504" s="4">
        <f ca="1">IF(RESULTADOS!$C$17="Normal",E504,0)</f>
        <v>0</v>
      </c>
      <c r="I504" s="4">
        <f ca="1">(E504+H504+G504)*IFERROR(VLOOKUP(INT(COUNT($B$5:B504)/12),PREMISSAS!$B$62:$C$69,2,FALSE),PREMISSAS!$C$69)</f>
        <v>0</v>
      </c>
      <c r="J504" s="4">
        <f ca="1">D504*IF(RESULTADOS!$C$17="Normal",PREMISSAS!$C$71,0)</f>
        <v>0</v>
      </c>
      <c r="K504" s="87">
        <f ca="1">IFERROR(K503*(1+PREMISSAS!$C$19)+(E504+H504-IF(RESULTADOS!$C$17="Normal",I504,0)-J504)*IF(MONTH(B504)=12,2,1),0)</f>
        <v>0</v>
      </c>
      <c r="L504" s="87">
        <f ca="1">IFERROR((L503+G504-IF(RESULTADOS!$C$17="Normal",0,I504))*(1+PREMISSAS!$C$19)+F504,0)</f>
        <v>0</v>
      </c>
      <c r="N504" s="58">
        <f t="shared" ca="1" si="65"/>
        <v>0</v>
      </c>
      <c r="P504" s="131" t="str">
        <f t="shared" ca="1" si="58"/>
        <v/>
      </c>
      <c r="Q504" s="111" t="str">
        <f ca="1">IF(C504="","",Q503+(E504+H504-IF(RESULTADOS!$C$17="Normal",I504,0)-J504)/2+(F504+G504-IF(RESULTADOS!$C$17="Normal",0,I504)))</f>
        <v/>
      </c>
      <c r="R504" s="111" t="str">
        <f ca="1">IF(C504="","",R503+(E504+H504-IF(RESULTADOS!$C$17="Normal",I504,0)-J504)/2)</f>
        <v/>
      </c>
      <c r="S504" s="111">
        <f t="shared" ca="1" si="60"/>
        <v>0</v>
      </c>
      <c r="U504" s="131" t="str">
        <f t="shared" ca="1" si="61"/>
        <v/>
      </c>
      <c r="V504" s="131" t="str">
        <f t="shared" ca="1" si="59"/>
        <v/>
      </c>
      <c r="W504" s="111">
        <f ca="1">IF(OR((W503-13/12*Z503)*(1+PREMISSAS!$C$17)&lt;0,W503=""),0,(W503-13/12*Z503)*(1+PREMISSAS!$C$17))</f>
        <v>0</v>
      </c>
      <c r="X504" s="111">
        <f ca="1">IF(OR((X503-13/12*AA503)*(1+PREMISSAS!$C$17)&lt;0,X503=""),0,(X503-13/12*AA503)*(1+PREMISSAS!$C$17))</f>
        <v>0</v>
      </c>
      <c r="Y504" s="111">
        <f t="shared" ca="1" si="56"/>
        <v>0</v>
      </c>
      <c r="Z504" s="134">
        <f t="shared" ca="1" si="62"/>
        <v>0</v>
      </c>
      <c r="AA504" s="134">
        <f t="shared" ca="1" si="63"/>
        <v>0</v>
      </c>
    </row>
    <row r="505" spans="2:27" x14ac:dyDescent="0.3">
      <c r="B505" s="21" t="str">
        <f ca="1">IF(B504="","",IF(EOMONTH(B504,1)&gt;EOMONTH(ELEGIBILIDADE!$E$5,0),"",EOMONTH(B504,1)))</f>
        <v/>
      </c>
      <c r="C505" s="22" t="str">
        <f ca="1">IF(B505="","",IF(MONTH(B505)=1,C504*(1+PREMISSAS!$C$58),C504))</f>
        <v/>
      </c>
      <c r="D505" s="22">
        <f ca="1">IF(RESULTADOS!$C$17="Normal",IFERROR(MAX(C505-PREMISSAS!$C$14,0),0),IF(PREMISSAS!$H$117=0,0,MAX(10*PREMISSAS!$C$39,RESULTADOS!$F$17)))</f>
        <v>0</v>
      </c>
      <c r="E505" s="4">
        <f ca="1">D505*IF(RESULTADOS!$C$17="Normal",RESULTADOS!$C$16,0)</f>
        <v>0</v>
      </c>
      <c r="F505" s="4">
        <f ca="1">IF(D505&lt;&gt;0,PREMISSAS!$N$83,0)</f>
        <v>0</v>
      </c>
      <c r="G505" s="4">
        <f ca="1">IFERROR(IF(RESULTADOS!$C$17="Normal",0,D505)*IF(RESULTADOS!$C$17="Normal",RESULTADOS!$C$18,RESULTADOS!$C$16),0)</f>
        <v>0</v>
      </c>
      <c r="H505" s="4">
        <f ca="1">IF(RESULTADOS!$C$17="Normal",E505,0)</f>
        <v>0</v>
      </c>
      <c r="I505" s="4">
        <f ca="1">(E505+H505+G505)*IFERROR(VLOOKUP(INT(COUNT($B$5:B505)/12),PREMISSAS!$B$62:$C$69,2,FALSE),PREMISSAS!$C$69)</f>
        <v>0</v>
      </c>
      <c r="J505" s="4">
        <f ca="1">D505*IF(RESULTADOS!$C$17="Normal",PREMISSAS!$C$71,0)</f>
        <v>0</v>
      </c>
      <c r="K505" s="87">
        <f ca="1">IFERROR(K504*(1+PREMISSAS!$C$19)+(E505+H505-IF(RESULTADOS!$C$17="Normal",I505,0)-J505)*IF(MONTH(B505)=12,2,1),0)</f>
        <v>0</v>
      </c>
      <c r="L505" s="87">
        <f ca="1">IFERROR((L504+G505-IF(RESULTADOS!$C$17="Normal",0,I505))*(1+PREMISSAS!$C$19)+F505,0)</f>
        <v>0</v>
      </c>
      <c r="N505" s="58">
        <f t="shared" ca="1" si="65"/>
        <v>0</v>
      </c>
      <c r="P505" s="131" t="str">
        <f t="shared" ca="1" si="58"/>
        <v/>
      </c>
      <c r="Q505" s="111" t="str">
        <f ca="1">IF(C505="","",Q504+(E505+H505-IF(RESULTADOS!$C$17="Normal",I505,0)-J505)/2+(F505+G505-IF(RESULTADOS!$C$17="Normal",0,I505)))</f>
        <v/>
      </c>
      <c r="R505" s="111" t="str">
        <f ca="1">IF(C505="","",R504+(E505+H505-IF(RESULTADOS!$C$17="Normal",I505,0)-J505)/2)</f>
        <v/>
      </c>
      <c r="S505" s="111">
        <f t="shared" ca="1" si="60"/>
        <v>0</v>
      </c>
      <c r="U505" s="131" t="str">
        <f t="shared" ca="1" si="61"/>
        <v/>
      </c>
      <c r="V505" s="131" t="str">
        <f t="shared" ca="1" si="59"/>
        <v/>
      </c>
      <c r="W505" s="111">
        <f ca="1">IF(OR((W504-13/12*Z504)*(1+PREMISSAS!$C$17)&lt;0,W504=""),0,(W504-13/12*Z504)*(1+PREMISSAS!$C$17))</f>
        <v>0</v>
      </c>
      <c r="X505" s="111">
        <f ca="1">IF(OR((X504-13/12*AA504)*(1+PREMISSAS!$C$17)&lt;0,X504=""),0,(X504-13/12*AA504)*(1+PREMISSAS!$C$17))</f>
        <v>0</v>
      </c>
      <c r="Y505" s="111">
        <f t="shared" ca="1" si="56"/>
        <v>0</v>
      </c>
      <c r="Z505" s="134">
        <f t="shared" ca="1" si="62"/>
        <v>0</v>
      </c>
      <c r="AA505" s="134">
        <f t="shared" ca="1" si="63"/>
        <v>0</v>
      </c>
    </row>
    <row r="506" spans="2:27" x14ac:dyDescent="0.3">
      <c r="B506" s="21" t="str">
        <f ca="1">IF(B505="","",IF(EOMONTH(B505,1)&gt;EOMONTH(ELEGIBILIDADE!$E$5,0),"",EOMONTH(B505,1)))</f>
        <v/>
      </c>
      <c r="C506" s="22" t="str">
        <f ca="1">IF(B506="","",IF(MONTH(B506)=1,C505*(1+PREMISSAS!$C$58),C505))</f>
        <v/>
      </c>
      <c r="D506" s="22">
        <f ca="1">IF(RESULTADOS!$C$17="Normal",IFERROR(MAX(C506-PREMISSAS!$C$14,0),0),IF(PREMISSAS!$H$117=0,0,MAX(10*PREMISSAS!$C$39,RESULTADOS!$F$17)))</f>
        <v>0</v>
      </c>
      <c r="E506" s="4">
        <f ca="1">D506*IF(RESULTADOS!$C$17="Normal",RESULTADOS!$C$16,0)</f>
        <v>0</v>
      </c>
      <c r="F506" s="4">
        <f ca="1">IF(D506&lt;&gt;0,PREMISSAS!$N$83,0)</f>
        <v>0</v>
      </c>
      <c r="G506" s="4">
        <f ca="1">IFERROR(IF(RESULTADOS!$C$17="Normal",0,D506)*IF(RESULTADOS!$C$17="Normal",RESULTADOS!$C$18,RESULTADOS!$C$16),0)</f>
        <v>0</v>
      </c>
      <c r="H506" s="4">
        <f ca="1">IF(RESULTADOS!$C$17="Normal",E506,0)</f>
        <v>0</v>
      </c>
      <c r="I506" s="4">
        <f ca="1">(E506+H506+G506)*IFERROR(VLOOKUP(INT(COUNT($B$5:B506)/12),PREMISSAS!$B$62:$C$69,2,FALSE),PREMISSAS!$C$69)</f>
        <v>0</v>
      </c>
      <c r="J506" s="4">
        <f ca="1">D506*IF(RESULTADOS!$C$17="Normal",PREMISSAS!$C$71,0)</f>
        <v>0</v>
      </c>
      <c r="K506" s="87">
        <f ca="1">IFERROR(K505*(1+PREMISSAS!$C$19)+(E506+H506-IF(RESULTADOS!$C$17="Normal",I506,0)-J506)*IF(MONTH(B506)=12,2,1),0)</f>
        <v>0</v>
      </c>
      <c r="L506" s="87">
        <f ca="1">IFERROR((L505+G506-IF(RESULTADOS!$C$17="Normal",0,I506))*(1+PREMISSAS!$C$19)+F506,0)</f>
        <v>0</v>
      </c>
      <c r="N506" s="58">
        <f t="shared" ca="1" si="65"/>
        <v>0</v>
      </c>
      <c r="P506" s="131" t="str">
        <f t="shared" ca="1" si="58"/>
        <v/>
      </c>
      <c r="Q506" s="111" t="str">
        <f ca="1">IF(C506="","",Q505+(E506+H506-IF(RESULTADOS!$C$17="Normal",I506,0)-J506)/2+(F506+G506-IF(RESULTADOS!$C$17="Normal",0,I506)))</f>
        <v/>
      </c>
      <c r="R506" s="111" t="str">
        <f ca="1">IF(C506="","",R505+(E506+H506-IF(RESULTADOS!$C$17="Normal",I506,0)-J506)/2)</f>
        <v/>
      </c>
      <c r="S506" s="111">
        <f t="shared" ca="1" si="60"/>
        <v>0</v>
      </c>
      <c r="U506" s="131" t="str">
        <f t="shared" ca="1" si="61"/>
        <v/>
      </c>
      <c r="V506" s="131" t="str">
        <f t="shared" ca="1" si="59"/>
        <v/>
      </c>
      <c r="W506" s="111">
        <f ca="1">IF(OR((W505-13/12*Z505)*(1+PREMISSAS!$C$17)&lt;0,W505=""),0,(W505-13/12*Z505)*(1+PREMISSAS!$C$17))</f>
        <v>0</v>
      </c>
      <c r="X506" s="111">
        <f ca="1">IF(OR((X505-13/12*AA505)*(1+PREMISSAS!$C$17)&lt;0,X505=""),0,(X505-13/12*AA505)*(1+PREMISSAS!$C$17))</f>
        <v>0</v>
      </c>
      <c r="Y506" s="111">
        <f t="shared" ca="1" si="56"/>
        <v>0</v>
      </c>
      <c r="Z506" s="134">
        <f t="shared" ca="1" si="62"/>
        <v>0</v>
      </c>
      <c r="AA506" s="134">
        <f t="shared" ca="1" si="63"/>
        <v>0</v>
      </c>
    </row>
    <row r="507" spans="2:27" x14ac:dyDescent="0.3">
      <c r="B507" s="21" t="str">
        <f ca="1">IF(B506="","",IF(EOMONTH(B506,1)&gt;EOMONTH(ELEGIBILIDADE!$E$5,0),"",EOMONTH(B506,1)))</f>
        <v/>
      </c>
      <c r="C507" s="22" t="str">
        <f ca="1">IF(B507="","",IF(MONTH(B507)=1,C506*(1+PREMISSAS!$C$58),C506))</f>
        <v/>
      </c>
      <c r="D507" s="22">
        <f ca="1">IF(RESULTADOS!$C$17="Normal",IFERROR(MAX(C507-PREMISSAS!$C$14,0),0),IF(PREMISSAS!$H$117=0,0,MAX(10*PREMISSAS!$C$39,RESULTADOS!$F$17)))</f>
        <v>0</v>
      </c>
      <c r="E507" s="4">
        <f ca="1">D507*IF(RESULTADOS!$C$17="Normal",RESULTADOS!$C$16,0)</f>
        <v>0</v>
      </c>
      <c r="F507" s="4">
        <f ca="1">IF(D507&lt;&gt;0,PREMISSAS!$N$83,0)</f>
        <v>0</v>
      </c>
      <c r="G507" s="4">
        <f ca="1">IFERROR(IF(RESULTADOS!$C$17="Normal",0,D507)*IF(RESULTADOS!$C$17="Normal",RESULTADOS!$C$18,RESULTADOS!$C$16),0)</f>
        <v>0</v>
      </c>
      <c r="H507" s="4">
        <f ca="1">IF(RESULTADOS!$C$17="Normal",E507,0)</f>
        <v>0</v>
      </c>
      <c r="I507" s="4">
        <f ca="1">(E507+H507+G507)*IFERROR(VLOOKUP(INT(COUNT($B$5:B507)/12),PREMISSAS!$B$62:$C$69,2,FALSE),PREMISSAS!$C$69)</f>
        <v>0</v>
      </c>
      <c r="J507" s="4">
        <f ca="1">D507*IF(RESULTADOS!$C$17="Normal",PREMISSAS!$C$71,0)</f>
        <v>0</v>
      </c>
      <c r="K507" s="87">
        <f ca="1">IFERROR(K506*(1+PREMISSAS!$C$19)+(E507+H507-IF(RESULTADOS!$C$17="Normal",I507,0)-J507)*IF(MONTH(B507)=12,2,1),0)</f>
        <v>0</v>
      </c>
      <c r="L507" s="87">
        <f ca="1">IFERROR((L506+G507-IF(RESULTADOS!$C$17="Normal",0,I507))*(1+PREMISSAS!$C$19)+F507,0)</f>
        <v>0</v>
      </c>
      <c r="N507" s="58">
        <f t="shared" ca="1" si="65"/>
        <v>0</v>
      </c>
      <c r="P507" s="131" t="str">
        <f t="shared" ca="1" si="58"/>
        <v/>
      </c>
      <c r="Q507" s="111" t="str">
        <f ca="1">IF(C507="","",Q506+(E507+H507-IF(RESULTADOS!$C$17="Normal",I507,0)-J507)/2+(F507+G507-IF(RESULTADOS!$C$17="Normal",0,I507)))</f>
        <v/>
      </c>
      <c r="R507" s="111" t="str">
        <f ca="1">IF(C507="","",R506+(E507+H507-IF(RESULTADOS!$C$17="Normal",I507,0)-J507)/2)</f>
        <v/>
      </c>
      <c r="S507" s="111">
        <f t="shared" ca="1" si="60"/>
        <v>0</v>
      </c>
      <c r="U507" s="131" t="str">
        <f t="shared" ca="1" si="61"/>
        <v/>
      </c>
      <c r="V507" s="131" t="str">
        <f t="shared" ca="1" si="59"/>
        <v/>
      </c>
      <c r="W507" s="111">
        <f ca="1">IF(OR((W506-13/12*Z506)*(1+PREMISSAS!$C$17)&lt;0,W506=""),0,(W506-13/12*Z506)*(1+PREMISSAS!$C$17))</f>
        <v>0</v>
      </c>
      <c r="X507" s="111">
        <f ca="1">IF(OR((X506-13/12*AA506)*(1+PREMISSAS!$C$17)&lt;0,X506=""),0,(X506-13/12*AA506)*(1+PREMISSAS!$C$17))</f>
        <v>0</v>
      </c>
      <c r="Y507" s="111">
        <f t="shared" ref="Y507:Y527" ca="1" si="66">SUM(W507:X507)</f>
        <v>0</v>
      </c>
      <c r="Z507" s="134">
        <f t="shared" ca="1" si="62"/>
        <v>0</v>
      </c>
      <c r="AA507" s="134">
        <f t="shared" ca="1" si="63"/>
        <v>0</v>
      </c>
    </row>
    <row r="508" spans="2:27" x14ac:dyDescent="0.3">
      <c r="B508" s="21" t="str">
        <f ca="1">IF(B507="","",IF(EOMONTH(B507,1)&gt;EOMONTH(ELEGIBILIDADE!$E$5,0),"",EOMONTH(B507,1)))</f>
        <v/>
      </c>
      <c r="C508" s="22" t="str">
        <f ca="1">IF(B508="","",IF(MONTH(B508)=1,C507*(1+PREMISSAS!$C$58),C507))</f>
        <v/>
      </c>
      <c r="D508" s="22">
        <f ca="1">IF(RESULTADOS!$C$17="Normal",IFERROR(MAX(C508-PREMISSAS!$C$14,0),0),IF(PREMISSAS!$H$117=0,0,MAX(10*PREMISSAS!$C$39,RESULTADOS!$F$17)))</f>
        <v>0</v>
      </c>
      <c r="E508" s="4">
        <f ca="1">D508*IF(RESULTADOS!$C$17="Normal",RESULTADOS!$C$16,0)</f>
        <v>0</v>
      </c>
      <c r="F508" s="4">
        <f ca="1">IF(D508&lt;&gt;0,PREMISSAS!$N$83,0)</f>
        <v>0</v>
      </c>
      <c r="G508" s="4">
        <f ca="1">IFERROR(IF(RESULTADOS!$C$17="Normal",0,D508)*IF(RESULTADOS!$C$17="Normal",RESULTADOS!$C$18,RESULTADOS!$C$16),0)</f>
        <v>0</v>
      </c>
      <c r="H508" s="4">
        <f ca="1">IF(RESULTADOS!$C$17="Normal",E508,0)</f>
        <v>0</v>
      </c>
      <c r="I508" s="4">
        <f ca="1">(E508+H508+G508)*IFERROR(VLOOKUP(INT(COUNT($B$5:B508)/12),PREMISSAS!$B$62:$C$69,2,FALSE),PREMISSAS!$C$69)</f>
        <v>0</v>
      </c>
      <c r="J508" s="4">
        <f ca="1">D508*IF(RESULTADOS!$C$17="Normal",PREMISSAS!$C$71,0)</f>
        <v>0</v>
      </c>
      <c r="K508" s="87">
        <f ca="1">IFERROR(K507*(1+PREMISSAS!$C$19)+(E508+H508-IF(RESULTADOS!$C$17="Normal",I508,0)-J508)*IF(MONTH(B508)=12,2,1),0)</f>
        <v>0</v>
      </c>
      <c r="L508" s="87">
        <f ca="1">IFERROR((L507+G508-IF(RESULTADOS!$C$17="Normal",0,I508))*(1+PREMISSAS!$C$19)+F508,0)</f>
        <v>0</v>
      </c>
      <c r="N508" s="58">
        <f t="shared" ca="1" si="65"/>
        <v>0</v>
      </c>
      <c r="P508" s="131" t="str">
        <f t="shared" ca="1" si="58"/>
        <v/>
      </c>
      <c r="Q508" s="111" t="str">
        <f ca="1">IF(C508="","",Q507+(E508+H508-IF(RESULTADOS!$C$17="Normal",I508,0)-J508)/2+(F508+G508-IF(RESULTADOS!$C$17="Normal",0,I508)))</f>
        <v/>
      </c>
      <c r="R508" s="111" t="str">
        <f ca="1">IF(C508="","",R507+(E508+H508-IF(RESULTADOS!$C$17="Normal",I508,0)-J508)/2)</f>
        <v/>
      </c>
      <c r="S508" s="111">
        <f t="shared" ca="1" si="60"/>
        <v>0</v>
      </c>
      <c r="U508" s="131" t="str">
        <f t="shared" ca="1" si="61"/>
        <v/>
      </c>
      <c r="V508" s="131" t="str">
        <f t="shared" ca="1" si="59"/>
        <v/>
      </c>
      <c r="W508" s="111">
        <f ca="1">IF(OR((W507-13/12*Z507)*(1+PREMISSAS!$C$17)&lt;0,W507=""),0,(W507-13/12*Z507)*(1+PREMISSAS!$C$17))</f>
        <v>0</v>
      </c>
      <c r="X508" s="111">
        <f ca="1">IF(OR((X507-13/12*AA507)*(1+PREMISSAS!$C$17)&lt;0,X507=""),0,(X507-13/12*AA507)*(1+PREMISSAS!$C$17))</f>
        <v>0</v>
      </c>
      <c r="Y508" s="111">
        <f t="shared" ca="1" si="66"/>
        <v>0</v>
      </c>
      <c r="Z508" s="134">
        <f t="shared" ca="1" si="62"/>
        <v>0</v>
      </c>
      <c r="AA508" s="134">
        <f t="shared" ca="1" si="63"/>
        <v>0</v>
      </c>
    </row>
    <row r="509" spans="2:27" x14ac:dyDescent="0.3">
      <c r="B509" s="21" t="str">
        <f ca="1">IF(B508="","",IF(EOMONTH(B508,1)&gt;EOMONTH(ELEGIBILIDADE!$E$5,0),"",EOMONTH(B508,1)))</f>
        <v/>
      </c>
      <c r="C509" s="22" t="str">
        <f ca="1">IF(B509="","",IF(MONTH(B509)=1,C508*(1+PREMISSAS!$C$58),C508))</f>
        <v/>
      </c>
      <c r="D509" s="22">
        <f ca="1">IF(RESULTADOS!$C$17="Normal",IFERROR(MAX(C509-PREMISSAS!$C$14,0),0),IF(PREMISSAS!$H$117=0,0,MAX(10*PREMISSAS!$C$39,RESULTADOS!$F$17)))</f>
        <v>0</v>
      </c>
      <c r="E509" s="4">
        <f ca="1">D509*IF(RESULTADOS!$C$17="Normal",RESULTADOS!$C$16,0)</f>
        <v>0</v>
      </c>
      <c r="F509" s="4">
        <f ca="1">IF(D509&lt;&gt;0,PREMISSAS!$N$83,0)</f>
        <v>0</v>
      </c>
      <c r="G509" s="4">
        <f ca="1">IFERROR(IF(RESULTADOS!$C$17="Normal",0,D509)*IF(RESULTADOS!$C$17="Normal",RESULTADOS!$C$18,RESULTADOS!$C$16),0)</f>
        <v>0</v>
      </c>
      <c r="H509" s="4">
        <f ca="1">IF(RESULTADOS!$C$17="Normal",E509,0)</f>
        <v>0</v>
      </c>
      <c r="I509" s="4">
        <f ca="1">(E509+H509+G509)*IFERROR(VLOOKUP(INT(COUNT($B$5:B509)/12),PREMISSAS!$B$62:$C$69,2,FALSE),PREMISSAS!$C$69)</f>
        <v>0</v>
      </c>
      <c r="J509" s="4">
        <f ca="1">D509*IF(RESULTADOS!$C$17="Normal",PREMISSAS!$C$71,0)</f>
        <v>0</v>
      </c>
      <c r="K509" s="87">
        <f ca="1">IFERROR(K508*(1+PREMISSAS!$C$19)+(E509+H509-IF(RESULTADOS!$C$17="Normal",I509,0)-J509)*IF(MONTH(B509)=12,2,1),0)</f>
        <v>0</v>
      </c>
      <c r="L509" s="87">
        <f ca="1">IFERROR((L508+G509-IF(RESULTADOS!$C$17="Normal",0,I509))*(1+PREMISSAS!$C$19)+F509,0)</f>
        <v>0</v>
      </c>
      <c r="N509" s="58">
        <f t="shared" ca="1" si="65"/>
        <v>0</v>
      </c>
      <c r="P509" s="131" t="str">
        <f t="shared" ca="1" si="58"/>
        <v/>
      </c>
      <c r="Q509" s="111" t="str">
        <f ca="1">IF(C509="","",Q508+(E509+H509-IF(RESULTADOS!$C$17="Normal",I509,0)-J509)/2+(F509+G509-IF(RESULTADOS!$C$17="Normal",0,I509)))</f>
        <v/>
      </c>
      <c r="R509" s="111" t="str">
        <f ca="1">IF(C509="","",R508+(E509+H509-IF(RESULTADOS!$C$17="Normal",I509,0)-J509)/2)</f>
        <v/>
      </c>
      <c r="S509" s="111">
        <f t="shared" ca="1" si="60"/>
        <v>0</v>
      </c>
      <c r="U509" s="131" t="str">
        <f t="shared" ca="1" si="61"/>
        <v/>
      </c>
      <c r="V509" s="131" t="str">
        <f t="shared" ca="1" si="59"/>
        <v/>
      </c>
      <c r="W509" s="111">
        <f ca="1">IF(OR((W508-13/12*Z508)*(1+PREMISSAS!$C$17)&lt;0,W508=""),0,(W508-13/12*Z508)*(1+PREMISSAS!$C$17))</f>
        <v>0</v>
      </c>
      <c r="X509" s="111">
        <f ca="1">IF(OR((X508-13/12*AA508)*(1+PREMISSAS!$C$17)&lt;0,X508=""),0,(X508-13/12*AA508)*(1+PREMISSAS!$C$17))</f>
        <v>0</v>
      </c>
      <c r="Y509" s="111">
        <f t="shared" ca="1" si="66"/>
        <v>0</v>
      </c>
      <c r="Z509" s="134">
        <f t="shared" ca="1" si="62"/>
        <v>0</v>
      </c>
      <c r="AA509" s="134">
        <f t="shared" ca="1" si="63"/>
        <v>0</v>
      </c>
    </row>
    <row r="510" spans="2:27" x14ac:dyDescent="0.3">
      <c r="B510" s="21" t="str">
        <f ca="1">IF(B509="","",IF(EOMONTH(B509,1)&gt;EOMONTH(ELEGIBILIDADE!$E$5,0),"",EOMONTH(B509,1)))</f>
        <v/>
      </c>
      <c r="C510" s="22" t="str">
        <f ca="1">IF(B510="","",IF(MONTH(B510)=1,C509*(1+PREMISSAS!$C$58),C509))</f>
        <v/>
      </c>
      <c r="D510" s="22">
        <f ca="1">IF(RESULTADOS!$C$17="Normal",IFERROR(MAX(C510-PREMISSAS!$C$14,0),0),IF(PREMISSAS!$H$117=0,0,MAX(10*PREMISSAS!$C$39,RESULTADOS!$F$17)))</f>
        <v>0</v>
      </c>
      <c r="E510" s="4">
        <f ca="1">D510*IF(RESULTADOS!$C$17="Normal",RESULTADOS!$C$16,0)</f>
        <v>0</v>
      </c>
      <c r="F510" s="4">
        <f ca="1">IF(D510&lt;&gt;0,PREMISSAS!$N$83,0)</f>
        <v>0</v>
      </c>
      <c r="G510" s="4">
        <f ca="1">IFERROR(IF(RESULTADOS!$C$17="Normal",0,D510)*IF(RESULTADOS!$C$17="Normal",RESULTADOS!$C$18,RESULTADOS!$C$16),0)</f>
        <v>0</v>
      </c>
      <c r="H510" s="4">
        <f ca="1">IF(RESULTADOS!$C$17="Normal",E510,0)</f>
        <v>0</v>
      </c>
      <c r="I510" s="4">
        <f ca="1">(E510+H510+G510)*IFERROR(VLOOKUP(INT(COUNT($B$5:B510)/12),PREMISSAS!$B$62:$C$69,2,FALSE),PREMISSAS!$C$69)</f>
        <v>0</v>
      </c>
      <c r="J510" s="4">
        <f ca="1">D510*IF(RESULTADOS!$C$17="Normal",PREMISSAS!$C$71,0)</f>
        <v>0</v>
      </c>
      <c r="K510" s="87">
        <f ca="1">IFERROR(K509*(1+PREMISSAS!$C$19)+(E510+H510-IF(RESULTADOS!$C$17="Normal",I510,0)-J510)*IF(MONTH(B510)=12,2,1),0)</f>
        <v>0</v>
      </c>
      <c r="L510" s="87">
        <f ca="1">IFERROR((L509+G510-IF(RESULTADOS!$C$17="Normal",0,I510))*(1+PREMISSAS!$C$19)+F510,0)</f>
        <v>0</v>
      </c>
      <c r="N510" s="58">
        <f t="shared" ca="1" si="65"/>
        <v>0</v>
      </c>
      <c r="P510" s="131" t="str">
        <f t="shared" ca="1" si="58"/>
        <v/>
      </c>
      <c r="Q510" s="111" t="str">
        <f ca="1">IF(C510="","",Q509+(E510+H510-IF(RESULTADOS!$C$17="Normal",I510,0)-J510)/2+(F510+G510-IF(RESULTADOS!$C$17="Normal",0,I510)))</f>
        <v/>
      </c>
      <c r="R510" s="111" t="str">
        <f ca="1">IF(C510="","",R509+(E510+H510-IF(RESULTADOS!$C$17="Normal",I510,0)-J510)/2)</f>
        <v/>
      </c>
      <c r="S510" s="111">
        <f t="shared" ca="1" si="60"/>
        <v>0</v>
      </c>
      <c r="U510" s="131" t="str">
        <f t="shared" ca="1" si="61"/>
        <v/>
      </c>
      <c r="V510" s="131" t="str">
        <f t="shared" ca="1" si="59"/>
        <v/>
      </c>
      <c r="W510" s="111">
        <f ca="1">IF(OR((W509-13/12*Z509)*(1+PREMISSAS!$C$17)&lt;0,W509=""),0,(W509-13/12*Z509)*(1+PREMISSAS!$C$17))</f>
        <v>0</v>
      </c>
      <c r="X510" s="111">
        <f ca="1">IF(OR((X509-13/12*AA509)*(1+PREMISSAS!$C$17)&lt;0,X509=""),0,(X509-13/12*AA509)*(1+PREMISSAS!$C$17))</f>
        <v>0</v>
      </c>
      <c r="Y510" s="111">
        <f t="shared" ca="1" si="66"/>
        <v>0</v>
      </c>
      <c r="Z510" s="134">
        <f t="shared" ca="1" si="62"/>
        <v>0</v>
      </c>
      <c r="AA510" s="134">
        <f t="shared" ca="1" si="63"/>
        <v>0</v>
      </c>
    </row>
    <row r="511" spans="2:27" x14ac:dyDescent="0.3">
      <c r="B511" s="21" t="str">
        <f ca="1">IF(B510="","",IF(EOMONTH(B510,1)&gt;EOMONTH(ELEGIBILIDADE!$E$5,0),"",EOMONTH(B510,1)))</f>
        <v/>
      </c>
      <c r="C511" s="22" t="str">
        <f ca="1">IF(B511="","",IF(MONTH(B511)=1,C510*(1+PREMISSAS!$C$58),C510))</f>
        <v/>
      </c>
      <c r="D511" s="22">
        <f ca="1">IF(RESULTADOS!$C$17="Normal",IFERROR(MAX(C511-PREMISSAS!$C$14,0),0),IF(PREMISSAS!$H$117=0,0,MAX(10*PREMISSAS!$C$39,RESULTADOS!$F$17)))</f>
        <v>0</v>
      </c>
      <c r="E511" s="4">
        <f ca="1">D511*IF(RESULTADOS!$C$17="Normal",RESULTADOS!$C$16,0)</f>
        <v>0</v>
      </c>
      <c r="F511" s="4">
        <f ca="1">IF(D511&lt;&gt;0,PREMISSAS!$N$83,0)</f>
        <v>0</v>
      </c>
      <c r="G511" s="4">
        <f ca="1">IFERROR(IF(RESULTADOS!$C$17="Normal",0,D511)*IF(RESULTADOS!$C$17="Normal",RESULTADOS!$C$18,RESULTADOS!$C$16),0)</f>
        <v>0</v>
      </c>
      <c r="H511" s="4">
        <f ca="1">IF(RESULTADOS!$C$17="Normal",E511,0)</f>
        <v>0</v>
      </c>
      <c r="I511" s="4">
        <f ca="1">(E511+H511+G511)*IFERROR(VLOOKUP(INT(COUNT($B$5:B511)/12),PREMISSAS!$B$62:$C$69,2,FALSE),PREMISSAS!$C$69)</f>
        <v>0</v>
      </c>
      <c r="J511" s="4">
        <f ca="1">D511*IF(RESULTADOS!$C$17="Normal",PREMISSAS!$C$71,0)</f>
        <v>0</v>
      </c>
      <c r="K511" s="87">
        <f ca="1">IFERROR(K510*(1+PREMISSAS!$C$19)+(E511+H511-IF(RESULTADOS!$C$17="Normal",I511,0)-J511)*IF(MONTH(B511)=12,2,1),0)</f>
        <v>0</v>
      </c>
      <c r="L511" s="87">
        <f ca="1">IFERROR((L510+G511-IF(RESULTADOS!$C$17="Normal",0,I511))*(1+PREMISSAS!$C$19)+F511,0)</f>
        <v>0</v>
      </c>
      <c r="N511" s="58">
        <f t="shared" ca="1" si="65"/>
        <v>0</v>
      </c>
      <c r="P511" s="131" t="str">
        <f t="shared" ca="1" si="58"/>
        <v/>
      </c>
      <c r="Q511" s="111" t="str">
        <f ca="1">IF(C511="","",Q510+(E511+H511-IF(RESULTADOS!$C$17="Normal",I511,0)-J511)/2+(F511+G511-IF(RESULTADOS!$C$17="Normal",0,I511)))</f>
        <v/>
      </c>
      <c r="R511" s="111" t="str">
        <f ca="1">IF(C511="","",R510+(E511+H511-IF(RESULTADOS!$C$17="Normal",I511,0)-J511)/2)</f>
        <v/>
      </c>
      <c r="S511" s="111">
        <f t="shared" ca="1" si="60"/>
        <v>0</v>
      </c>
      <c r="U511" s="131" t="str">
        <f t="shared" ca="1" si="61"/>
        <v/>
      </c>
      <c r="V511" s="131" t="str">
        <f t="shared" ca="1" si="59"/>
        <v/>
      </c>
      <c r="W511" s="111">
        <f ca="1">IF(OR((W510-13/12*Z510)*(1+PREMISSAS!$C$17)&lt;0,W510=""),0,(W510-13/12*Z510)*(1+PREMISSAS!$C$17))</f>
        <v>0</v>
      </c>
      <c r="X511" s="111">
        <f ca="1">IF(OR((X510-13/12*AA510)*(1+PREMISSAS!$C$17)&lt;0,X510=""),0,(X510-13/12*AA510)*(1+PREMISSAS!$C$17))</f>
        <v>0</v>
      </c>
      <c r="Y511" s="111">
        <f t="shared" ca="1" si="66"/>
        <v>0</v>
      </c>
      <c r="Z511" s="134">
        <f t="shared" ca="1" si="62"/>
        <v>0</v>
      </c>
      <c r="AA511" s="134">
        <f t="shared" ca="1" si="63"/>
        <v>0</v>
      </c>
    </row>
    <row r="512" spans="2:27" x14ac:dyDescent="0.3">
      <c r="B512" s="21" t="str">
        <f ca="1">IF(B511="","",IF(EOMONTH(B511,1)&gt;EOMONTH(ELEGIBILIDADE!$E$5,0),"",EOMONTH(B511,1)))</f>
        <v/>
      </c>
      <c r="C512" s="22" t="str">
        <f ca="1">IF(B512="","",IF(MONTH(B512)=1,C511*(1+PREMISSAS!$C$58),C511))</f>
        <v/>
      </c>
      <c r="D512" s="22">
        <f ca="1">IF(RESULTADOS!$C$17="Normal",IFERROR(MAX(C512-PREMISSAS!$C$14,0),0),IF(PREMISSAS!$H$117=0,0,MAX(10*PREMISSAS!$C$39,RESULTADOS!$F$17)))</f>
        <v>0</v>
      </c>
      <c r="E512" s="4">
        <f ca="1">D512*IF(RESULTADOS!$C$17="Normal",RESULTADOS!$C$16,0)</f>
        <v>0</v>
      </c>
      <c r="F512" s="4">
        <f ca="1">IF(D512&lt;&gt;0,PREMISSAS!$N$83,0)</f>
        <v>0</v>
      </c>
      <c r="G512" s="4">
        <f ca="1">IFERROR(IF(RESULTADOS!$C$17="Normal",0,D512)*IF(RESULTADOS!$C$17="Normal",RESULTADOS!$C$18,RESULTADOS!$C$16),0)</f>
        <v>0</v>
      </c>
      <c r="H512" s="4">
        <f ca="1">IF(RESULTADOS!$C$17="Normal",E512,0)</f>
        <v>0</v>
      </c>
      <c r="I512" s="4">
        <f ca="1">(E512+H512+G512)*IFERROR(VLOOKUP(INT(COUNT($B$5:B512)/12),PREMISSAS!$B$62:$C$69,2,FALSE),PREMISSAS!$C$69)</f>
        <v>0</v>
      </c>
      <c r="J512" s="4">
        <f ca="1">D512*IF(RESULTADOS!$C$17="Normal",PREMISSAS!$C$71,0)</f>
        <v>0</v>
      </c>
      <c r="K512" s="87">
        <f ca="1">IFERROR(K511*(1+PREMISSAS!$C$19)+(E512+H512-IF(RESULTADOS!$C$17="Normal",I512,0)-J512)*IF(MONTH(B512)=12,2,1),0)</f>
        <v>0</v>
      </c>
      <c r="L512" s="87">
        <f ca="1">IFERROR((L511+G512-IF(RESULTADOS!$C$17="Normal",0,I512))*(1+PREMISSAS!$C$19)+F512,0)</f>
        <v>0</v>
      </c>
      <c r="N512" s="58">
        <f t="shared" ca="1" si="65"/>
        <v>0</v>
      </c>
      <c r="P512" s="131" t="str">
        <f t="shared" ca="1" si="58"/>
        <v/>
      </c>
      <c r="Q512" s="111" t="str">
        <f ca="1">IF(C512="","",Q511+(E512+H512-IF(RESULTADOS!$C$17="Normal",I512,0)-J512)/2+(F512+G512-IF(RESULTADOS!$C$17="Normal",0,I512)))</f>
        <v/>
      </c>
      <c r="R512" s="111" t="str">
        <f ca="1">IF(C512="","",R511+(E512+H512-IF(RESULTADOS!$C$17="Normal",I512,0)-J512)/2)</f>
        <v/>
      </c>
      <c r="S512" s="111">
        <f t="shared" ca="1" si="60"/>
        <v>0</v>
      </c>
      <c r="U512" s="131" t="str">
        <f t="shared" ca="1" si="61"/>
        <v/>
      </c>
      <c r="V512" s="131" t="str">
        <f t="shared" ca="1" si="59"/>
        <v/>
      </c>
      <c r="W512" s="111">
        <f ca="1">IF(OR((W511-13/12*Z511)*(1+PREMISSAS!$C$17)&lt;0,W511=""),0,(W511-13/12*Z511)*(1+PREMISSAS!$C$17))</f>
        <v>0</v>
      </c>
      <c r="X512" s="111">
        <f ca="1">IF(OR((X511-13/12*AA511)*(1+PREMISSAS!$C$17)&lt;0,X511=""),0,(X511-13/12*AA511)*(1+PREMISSAS!$C$17))</f>
        <v>0</v>
      </c>
      <c r="Y512" s="111">
        <f t="shared" ca="1" si="66"/>
        <v>0</v>
      </c>
      <c r="Z512" s="134">
        <f t="shared" ca="1" si="62"/>
        <v>0</v>
      </c>
      <c r="AA512" s="134">
        <f t="shared" ca="1" si="63"/>
        <v>0</v>
      </c>
    </row>
    <row r="513" spans="2:27" x14ac:dyDescent="0.3">
      <c r="B513" s="21" t="str">
        <f ca="1">IF(B512="","",IF(EOMONTH(B512,1)&gt;EOMONTH(ELEGIBILIDADE!$E$5,0),"",EOMONTH(B512,1)))</f>
        <v/>
      </c>
      <c r="C513" s="22" t="str">
        <f ca="1">IF(B513="","",IF(MONTH(B513)=1,C512*(1+PREMISSAS!$C$58),C512))</f>
        <v/>
      </c>
      <c r="D513" s="22">
        <f ca="1">IF(RESULTADOS!$C$17="Normal",IFERROR(MAX(C513-PREMISSAS!$C$14,0),0),IF(PREMISSAS!$H$117=0,0,MAX(10*PREMISSAS!$C$39,RESULTADOS!$F$17)))</f>
        <v>0</v>
      </c>
      <c r="E513" s="4">
        <f ca="1">D513*IF(RESULTADOS!$C$17="Normal",RESULTADOS!$C$16,0)</f>
        <v>0</v>
      </c>
      <c r="F513" s="4">
        <f ca="1">IF(D513&lt;&gt;0,PREMISSAS!$N$83,0)</f>
        <v>0</v>
      </c>
      <c r="G513" s="4">
        <f ca="1">IFERROR(IF(RESULTADOS!$C$17="Normal",0,D513)*IF(RESULTADOS!$C$17="Normal",RESULTADOS!$C$18,RESULTADOS!$C$16),0)</f>
        <v>0</v>
      </c>
      <c r="H513" s="4">
        <f ca="1">IF(RESULTADOS!$C$17="Normal",E513,0)</f>
        <v>0</v>
      </c>
      <c r="I513" s="4">
        <f ca="1">(E513+H513+G513)*IFERROR(VLOOKUP(INT(COUNT($B$5:B513)/12),PREMISSAS!$B$62:$C$69,2,FALSE),PREMISSAS!$C$69)</f>
        <v>0</v>
      </c>
      <c r="J513" s="4">
        <f ca="1">D513*IF(RESULTADOS!$C$17="Normal",PREMISSAS!$C$71,0)</f>
        <v>0</v>
      </c>
      <c r="K513" s="87">
        <f ca="1">IFERROR(K512*(1+PREMISSAS!$C$19)+(E513+H513-IF(RESULTADOS!$C$17="Normal",I513,0)-J513)*IF(MONTH(B513)=12,2,1),0)</f>
        <v>0</v>
      </c>
      <c r="L513" s="87">
        <f ca="1">IFERROR((L512+G513-IF(RESULTADOS!$C$17="Normal",0,I513))*(1+PREMISSAS!$C$19)+F513,0)</f>
        <v>0</v>
      </c>
      <c r="N513" s="58">
        <f t="shared" ca="1" si="65"/>
        <v>0</v>
      </c>
      <c r="P513" s="131" t="str">
        <f t="shared" ca="1" si="58"/>
        <v/>
      </c>
      <c r="Q513" s="111" t="str">
        <f ca="1">IF(C513="","",Q512+(E513+H513-IF(RESULTADOS!$C$17="Normal",I513,0)-J513)/2+(F513+G513-IF(RESULTADOS!$C$17="Normal",0,I513)))</f>
        <v/>
      </c>
      <c r="R513" s="111" t="str">
        <f ca="1">IF(C513="","",R512+(E513+H513-IF(RESULTADOS!$C$17="Normal",I513,0)-J513)/2)</f>
        <v/>
      </c>
      <c r="S513" s="111">
        <f t="shared" ca="1" si="60"/>
        <v>0</v>
      </c>
      <c r="U513" s="131" t="str">
        <f t="shared" ca="1" si="61"/>
        <v/>
      </c>
      <c r="V513" s="131" t="str">
        <f t="shared" ca="1" si="59"/>
        <v/>
      </c>
      <c r="W513" s="111">
        <f ca="1">IF(OR((W512-13/12*Z512)*(1+PREMISSAS!$C$17)&lt;0,W512=""),0,(W512-13/12*Z512)*(1+PREMISSAS!$C$17))</f>
        <v>0</v>
      </c>
      <c r="X513" s="111">
        <f ca="1">IF(OR((X512-13/12*AA512)*(1+PREMISSAS!$C$17)&lt;0,X512=""),0,(X512-13/12*AA512)*(1+PREMISSAS!$C$17))</f>
        <v>0</v>
      </c>
      <c r="Y513" s="111">
        <f t="shared" ca="1" si="66"/>
        <v>0</v>
      </c>
      <c r="Z513" s="134">
        <f t="shared" ca="1" si="62"/>
        <v>0</v>
      </c>
      <c r="AA513" s="134">
        <f t="shared" ca="1" si="63"/>
        <v>0</v>
      </c>
    </row>
    <row r="514" spans="2:27" x14ac:dyDescent="0.3">
      <c r="B514" s="21" t="str">
        <f ca="1">IF(B513="","",IF(EOMONTH(B513,1)&gt;EOMONTH(ELEGIBILIDADE!$E$5,0),"",EOMONTH(B513,1)))</f>
        <v/>
      </c>
      <c r="C514" s="22" t="str">
        <f ca="1">IF(B514="","",IF(MONTH(B514)=1,C513*(1+PREMISSAS!$C$58),C513))</f>
        <v/>
      </c>
      <c r="D514" s="22">
        <f ca="1">IF(RESULTADOS!$C$17="Normal",IFERROR(MAX(C514-PREMISSAS!$C$14,0),0),IF(PREMISSAS!$H$117=0,0,MAX(10*PREMISSAS!$C$39,RESULTADOS!$F$17)))</f>
        <v>0</v>
      </c>
      <c r="E514" s="4">
        <f ca="1">D514*IF(RESULTADOS!$C$17="Normal",RESULTADOS!$C$16,0)</f>
        <v>0</v>
      </c>
      <c r="F514" s="4">
        <f ca="1">IF(D514&lt;&gt;0,PREMISSAS!$N$83,0)</f>
        <v>0</v>
      </c>
      <c r="G514" s="4">
        <f ca="1">IFERROR(IF(RESULTADOS!$C$17="Normal",0,D514)*IF(RESULTADOS!$C$17="Normal",RESULTADOS!$C$18,RESULTADOS!$C$16),0)</f>
        <v>0</v>
      </c>
      <c r="H514" s="4">
        <f ca="1">IF(RESULTADOS!$C$17="Normal",E514,0)</f>
        <v>0</v>
      </c>
      <c r="I514" s="4">
        <f ca="1">(E514+H514+G514)*IFERROR(VLOOKUP(INT(COUNT($B$5:B514)/12),PREMISSAS!$B$62:$C$69,2,FALSE),PREMISSAS!$C$69)</f>
        <v>0</v>
      </c>
      <c r="J514" s="4">
        <f ca="1">D514*IF(RESULTADOS!$C$17="Normal",PREMISSAS!$C$71,0)</f>
        <v>0</v>
      </c>
      <c r="K514" s="87">
        <f ca="1">IFERROR(K513*(1+PREMISSAS!$C$19)+(E514+H514-IF(RESULTADOS!$C$17="Normal",I514,0)-J514)*IF(MONTH(B514)=12,2,1),0)</f>
        <v>0</v>
      </c>
      <c r="L514" s="87">
        <f ca="1">IFERROR((L513+G514-IF(RESULTADOS!$C$17="Normal",0,I514))*(1+PREMISSAS!$C$19)+F514,0)</f>
        <v>0</v>
      </c>
      <c r="N514" s="58">
        <f t="shared" ca="1" si="65"/>
        <v>0</v>
      </c>
      <c r="P514" s="131" t="str">
        <f t="shared" ca="1" si="58"/>
        <v/>
      </c>
      <c r="Q514" s="111" t="str">
        <f ca="1">IF(C514="","",Q513+(E514+H514-IF(RESULTADOS!$C$17="Normal",I514,0)-J514)/2+(F514+G514-IF(RESULTADOS!$C$17="Normal",0,I514)))</f>
        <v/>
      </c>
      <c r="R514" s="111" t="str">
        <f ca="1">IF(C514="","",R513+(E514+H514-IF(RESULTADOS!$C$17="Normal",I514,0)-J514)/2)</f>
        <v/>
      </c>
      <c r="S514" s="111">
        <f t="shared" ca="1" si="60"/>
        <v>0</v>
      </c>
      <c r="U514" s="131" t="str">
        <f t="shared" ca="1" si="61"/>
        <v/>
      </c>
      <c r="V514" s="131" t="str">
        <f t="shared" ca="1" si="59"/>
        <v/>
      </c>
      <c r="W514" s="111">
        <f ca="1">IF(OR((W513-13/12*Z513)*(1+PREMISSAS!$C$17)&lt;0,W513=""),0,(W513-13/12*Z513)*(1+PREMISSAS!$C$17))</f>
        <v>0</v>
      </c>
      <c r="X514" s="111">
        <f ca="1">IF(OR((X513-13/12*AA513)*(1+PREMISSAS!$C$17)&lt;0,X513=""),0,(X513-13/12*AA513)*(1+PREMISSAS!$C$17))</f>
        <v>0</v>
      </c>
      <c r="Y514" s="111">
        <f t="shared" ca="1" si="66"/>
        <v>0</v>
      </c>
      <c r="Z514" s="134">
        <f t="shared" ca="1" si="62"/>
        <v>0</v>
      </c>
      <c r="AA514" s="134">
        <f t="shared" ca="1" si="63"/>
        <v>0</v>
      </c>
    </row>
    <row r="515" spans="2:27" x14ac:dyDescent="0.3">
      <c r="B515" s="21" t="str">
        <f ca="1">IF(B514="","",IF(EOMONTH(B514,1)&gt;EOMONTH(ELEGIBILIDADE!$E$5,0),"",EOMONTH(B514,1)))</f>
        <v/>
      </c>
      <c r="C515" s="22" t="str">
        <f ca="1">IF(B515="","",IF(MONTH(B515)=1,C514*(1+PREMISSAS!$C$58),C514))</f>
        <v/>
      </c>
      <c r="D515" s="22">
        <f ca="1">IF(RESULTADOS!$C$17="Normal",IFERROR(MAX(C515-PREMISSAS!$C$14,0),0),IF(PREMISSAS!$H$117=0,0,MAX(10*PREMISSAS!$C$39,RESULTADOS!$F$17)))</f>
        <v>0</v>
      </c>
      <c r="E515" s="4">
        <f ca="1">D515*IF(RESULTADOS!$C$17="Normal",RESULTADOS!$C$16,0)</f>
        <v>0</v>
      </c>
      <c r="F515" s="4">
        <f ca="1">IF(D515&lt;&gt;0,PREMISSAS!$N$83,0)</f>
        <v>0</v>
      </c>
      <c r="G515" s="4">
        <f ca="1">IFERROR(IF(RESULTADOS!$C$17="Normal",0,D515)*IF(RESULTADOS!$C$17="Normal",RESULTADOS!$C$18,RESULTADOS!$C$16),0)</f>
        <v>0</v>
      </c>
      <c r="H515" s="4">
        <f ca="1">IF(RESULTADOS!$C$17="Normal",E515,0)</f>
        <v>0</v>
      </c>
      <c r="I515" s="4">
        <f ca="1">(E515+H515+G515)*IFERROR(VLOOKUP(INT(COUNT($B$5:B515)/12),PREMISSAS!$B$62:$C$69,2,FALSE),PREMISSAS!$C$69)</f>
        <v>0</v>
      </c>
      <c r="J515" s="4">
        <f ca="1">D515*IF(RESULTADOS!$C$17="Normal",PREMISSAS!$C$71,0)</f>
        <v>0</v>
      </c>
      <c r="K515" s="87">
        <f ca="1">IFERROR(K514*(1+PREMISSAS!$C$19)+(E515+H515-IF(RESULTADOS!$C$17="Normal",I515,0)-J515)*IF(MONTH(B515)=12,2,1),0)</f>
        <v>0</v>
      </c>
      <c r="L515" s="87">
        <f ca="1">IFERROR((L514+G515-IF(RESULTADOS!$C$17="Normal",0,I515))*(1+PREMISSAS!$C$19)+F515,0)</f>
        <v>0</v>
      </c>
      <c r="N515" s="58">
        <f t="shared" ca="1" si="65"/>
        <v>0</v>
      </c>
      <c r="P515" s="131" t="str">
        <f t="shared" ca="1" si="58"/>
        <v/>
      </c>
      <c r="Q515" s="111" t="str">
        <f ca="1">IF(C515="","",Q514+(E515+H515-IF(RESULTADOS!$C$17="Normal",I515,0)-J515)/2+(F515+G515-IF(RESULTADOS!$C$17="Normal",0,I515)))</f>
        <v/>
      </c>
      <c r="R515" s="111" t="str">
        <f ca="1">IF(C515="","",R514+(E515+H515-IF(RESULTADOS!$C$17="Normal",I515,0)-J515)/2)</f>
        <v/>
      </c>
      <c r="S515" s="111">
        <f t="shared" ca="1" si="60"/>
        <v>0</v>
      </c>
      <c r="U515" s="131" t="str">
        <f t="shared" ca="1" si="61"/>
        <v/>
      </c>
      <c r="V515" s="131" t="str">
        <f t="shared" ca="1" si="59"/>
        <v/>
      </c>
      <c r="W515" s="111">
        <f ca="1">IF(OR((W514-13/12*Z514)*(1+PREMISSAS!$C$17)&lt;0,W514=""),0,(W514-13/12*Z514)*(1+PREMISSAS!$C$17))</f>
        <v>0</v>
      </c>
      <c r="X515" s="111">
        <f ca="1">IF(OR((X514-13/12*AA514)*(1+PREMISSAS!$C$17)&lt;0,X514=""),0,(X514-13/12*AA514)*(1+PREMISSAS!$C$17))</f>
        <v>0</v>
      </c>
      <c r="Y515" s="111">
        <f t="shared" ca="1" si="66"/>
        <v>0</v>
      </c>
      <c r="Z515" s="134">
        <f t="shared" ca="1" si="62"/>
        <v>0</v>
      </c>
      <c r="AA515" s="134">
        <f t="shared" ca="1" si="63"/>
        <v>0</v>
      </c>
    </row>
    <row r="516" spans="2:27" x14ac:dyDescent="0.3">
      <c r="B516" s="21" t="str">
        <f ca="1">IF(B515="","",IF(EOMONTH(B515,1)&gt;EOMONTH(ELEGIBILIDADE!$E$5,0),"",EOMONTH(B515,1)))</f>
        <v/>
      </c>
      <c r="C516" s="22" t="str">
        <f ca="1">IF(B516="","",IF(MONTH(B516)=1,C515*(1+PREMISSAS!$C$58),C515))</f>
        <v/>
      </c>
      <c r="D516" s="22">
        <f ca="1">IF(RESULTADOS!$C$17="Normal",IFERROR(MAX(C516-PREMISSAS!$C$14,0),0),IF(PREMISSAS!$H$117=0,0,MAX(10*PREMISSAS!$C$39,RESULTADOS!$F$17)))</f>
        <v>0</v>
      </c>
      <c r="E516" s="4">
        <f ca="1">D516*IF(RESULTADOS!$C$17="Normal",RESULTADOS!$C$16,0)</f>
        <v>0</v>
      </c>
      <c r="F516" s="4">
        <f ca="1">IF(D516&lt;&gt;0,PREMISSAS!$N$83,0)</f>
        <v>0</v>
      </c>
      <c r="G516" s="4">
        <f ca="1">IFERROR(IF(RESULTADOS!$C$17="Normal",0,D516)*IF(RESULTADOS!$C$17="Normal",RESULTADOS!$C$18,RESULTADOS!$C$16),0)</f>
        <v>0</v>
      </c>
      <c r="H516" s="4">
        <f ca="1">IF(RESULTADOS!$C$17="Normal",E516,0)</f>
        <v>0</v>
      </c>
      <c r="I516" s="4">
        <f ca="1">(E516+H516+G516)*IFERROR(VLOOKUP(INT(COUNT($B$5:B516)/12),PREMISSAS!$B$62:$C$69,2,FALSE),PREMISSAS!$C$69)</f>
        <v>0</v>
      </c>
      <c r="J516" s="4">
        <f ca="1">D516*IF(RESULTADOS!$C$17="Normal",PREMISSAS!$C$71,0)</f>
        <v>0</v>
      </c>
      <c r="K516" s="87">
        <f ca="1">IFERROR(K515*(1+PREMISSAS!$C$19)+(E516+H516-IF(RESULTADOS!$C$17="Normal",I516,0)-J516)*IF(MONTH(B516)=12,2,1),0)</f>
        <v>0</v>
      </c>
      <c r="L516" s="87">
        <f ca="1">IFERROR((L515+G516-IF(RESULTADOS!$C$17="Normal",0,I516))*(1+PREMISSAS!$C$19)+F516,0)</f>
        <v>0</v>
      </c>
      <c r="N516" s="58">
        <f t="shared" ca="1" si="65"/>
        <v>0</v>
      </c>
      <c r="P516" s="131" t="str">
        <f t="shared" ca="1" si="58"/>
        <v/>
      </c>
      <c r="Q516" s="111" t="str">
        <f ca="1">IF(C516="","",Q515+(E516+H516-IF(RESULTADOS!$C$17="Normal",I516,0)-J516)/2+(F516+G516-IF(RESULTADOS!$C$17="Normal",0,I516)))</f>
        <v/>
      </c>
      <c r="R516" s="111" t="str">
        <f ca="1">IF(C516="","",R515+(E516+H516-IF(RESULTADOS!$C$17="Normal",I516,0)-J516)/2)</f>
        <v/>
      </c>
      <c r="S516" s="111">
        <f t="shared" ca="1" si="60"/>
        <v>0</v>
      </c>
      <c r="U516" s="131" t="str">
        <f t="shared" ca="1" si="61"/>
        <v/>
      </c>
      <c r="V516" s="131" t="str">
        <f t="shared" ca="1" si="59"/>
        <v/>
      </c>
      <c r="W516" s="111">
        <f ca="1">IF(OR((W515-13/12*Z515)*(1+PREMISSAS!$C$17)&lt;0,W515=""),0,(W515-13/12*Z515)*(1+PREMISSAS!$C$17))</f>
        <v>0</v>
      </c>
      <c r="X516" s="111">
        <f ca="1">IF(OR((X515-13/12*AA515)*(1+PREMISSAS!$C$17)&lt;0,X515=""),0,(X515-13/12*AA515)*(1+PREMISSAS!$C$17))</f>
        <v>0</v>
      </c>
      <c r="Y516" s="111">
        <f t="shared" ca="1" si="66"/>
        <v>0</v>
      </c>
      <c r="Z516" s="134">
        <f t="shared" ca="1" si="62"/>
        <v>0</v>
      </c>
      <c r="AA516" s="134">
        <f t="shared" ca="1" si="63"/>
        <v>0</v>
      </c>
    </row>
    <row r="517" spans="2:27" x14ac:dyDescent="0.3">
      <c r="B517" s="21" t="str">
        <f ca="1">IF(B516="","",IF(EOMONTH(B516,1)&gt;EOMONTH(ELEGIBILIDADE!$E$5,0),"",EOMONTH(B516,1)))</f>
        <v/>
      </c>
      <c r="C517" s="22" t="str">
        <f ca="1">IF(B517="","",IF(MONTH(B517)=1,C516*(1+PREMISSAS!$C$58),C516))</f>
        <v/>
      </c>
      <c r="D517" s="22">
        <f ca="1">IF(RESULTADOS!$C$17="Normal",IFERROR(MAX(C517-PREMISSAS!$C$14,0),0),IF(PREMISSAS!$H$117=0,0,MAX(10*PREMISSAS!$C$39,RESULTADOS!$F$17)))</f>
        <v>0</v>
      </c>
      <c r="E517" s="4">
        <f ca="1">D517*IF(RESULTADOS!$C$17="Normal",RESULTADOS!$C$16,0)</f>
        <v>0</v>
      </c>
      <c r="F517" s="4">
        <f ca="1">IF(D517&lt;&gt;0,PREMISSAS!$N$83,0)</f>
        <v>0</v>
      </c>
      <c r="G517" s="4">
        <f ca="1">IFERROR(IF(RESULTADOS!$C$17="Normal",0,D517)*IF(RESULTADOS!$C$17="Normal",RESULTADOS!$C$18,RESULTADOS!$C$16),0)</f>
        <v>0</v>
      </c>
      <c r="H517" s="4">
        <f ca="1">IF(RESULTADOS!$C$17="Normal",E517,0)</f>
        <v>0</v>
      </c>
      <c r="I517" s="4">
        <f ca="1">(E517+H517+G517)*IFERROR(VLOOKUP(INT(COUNT($B$5:B517)/12),PREMISSAS!$B$62:$C$69,2,FALSE),PREMISSAS!$C$69)</f>
        <v>0</v>
      </c>
      <c r="J517" s="4">
        <f ca="1">D517*IF(RESULTADOS!$C$17="Normal",PREMISSAS!$C$71,0)</f>
        <v>0</v>
      </c>
      <c r="K517" s="87">
        <f ca="1">IFERROR(K516*(1+PREMISSAS!$C$19)+(E517+H517-IF(RESULTADOS!$C$17="Normal",I517,0)-J517)*IF(MONTH(B517)=12,2,1),0)</f>
        <v>0</v>
      </c>
      <c r="L517" s="87">
        <f ca="1">IFERROR((L516+G517-IF(RESULTADOS!$C$17="Normal",0,I517))*(1+PREMISSAS!$C$19)+F517,0)</f>
        <v>0</v>
      </c>
      <c r="N517" s="58">
        <f t="shared" ca="1" si="65"/>
        <v>0</v>
      </c>
      <c r="P517" s="131" t="str">
        <f t="shared" ca="1" si="58"/>
        <v/>
      </c>
      <c r="Q517" s="111" t="str">
        <f ca="1">IF(C517="","",Q516+(E517+H517-IF(RESULTADOS!$C$17="Normal",I517,0)-J517)/2+(F517+G517-IF(RESULTADOS!$C$17="Normal",0,I517)))</f>
        <v/>
      </c>
      <c r="R517" s="111" t="str">
        <f ca="1">IF(C517="","",R516+(E517+H517-IF(RESULTADOS!$C$17="Normal",I517,0)-J517)/2)</f>
        <v/>
      </c>
      <c r="S517" s="111">
        <f t="shared" ca="1" si="60"/>
        <v>0</v>
      </c>
      <c r="U517" s="131" t="str">
        <f t="shared" ca="1" si="61"/>
        <v/>
      </c>
      <c r="V517" s="131" t="str">
        <f t="shared" ca="1" si="59"/>
        <v/>
      </c>
      <c r="W517" s="111">
        <f ca="1">IF(OR((W516-13/12*Z516)*(1+PREMISSAS!$C$17)&lt;0,W516=""),0,(W516-13/12*Z516)*(1+PREMISSAS!$C$17))</f>
        <v>0</v>
      </c>
      <c r="X517" s="111">
        <f ca="1">IF(OR((X516-13/12*AA516)*(1+PREMISSAS!$C$17)&lt;0,X516=""),0,(X516-13/12*AA516)*(1+PREMISSAS!$C$17))</f>
        <v>0</v>
      </c>
      <c r="Y517" s="111">
        <f t="shared" ca="1" si="66"/>
        <v>0</v>
      </c>
      <c r="Z517" s="134">
        <f t="shared" ca="1" si="62"/>
        <v>0</v>
      </c>
      <c r="AA517" s="134">
        <f t="shared" ca="1" si="63"/>
        <v>0</v>
      </c>
    </row>
    <row r="518" spans="2:27" x14ac:dyDescent="0.3">
      <c r="B518" s="21" t="str">
        <f ca="1">IF(B517="","",IF(EOMONTH(B517,1)&gt;EOMONTH(ELEGIBILIDADE!$E$5,0),"",EOMONTH(B517,1)))</f>
        <v/>
      </c>
      <c r="C518" s="22" t="str">
        <f ca="1">IF(B518="","",IF(MONTH(B518)=1,C517*(1+PREMISSAS!$C$58),C517))</f>
        <v/>
      </c>
      <c r="D518" s="22">
        <f ca="1">IF(RESULTADOS!$C$17="Normal",IFERROR(MAX(C518-PREMISSAS!$C$14,0),0),IF(PREMISSAS!$H$117=0,0,MAX(10*PREMISSAS!$C$39,RESULTADOS!$F$17)))</f>
        <v>0</v>
      </c>
      <c r="E518" s="4">
        <f ca="1">D518*IF(RESULTADOS!$C$17="Normal",RESULTADOS!$C$16,0)</f>
        <v>0</v>
      </c>
      <c r="F518" s="4">
        <f ca="1">IF(D518&lt;&gt;0,PREMISSAS!$N$83,0)</f>
        <v>0</v>
      </c>
      <c r="G518" s="4">
        <f ca="1">IFERROR(IF(RESULTADOS!$C$17="Normal",0,D518)*IF(RESULTADOS!$C$17="Normal",RESULTADOS!$C$18,RESULTADOS!$C$16),0)</f>
        <v>0</v>
      </c>
      <c r="H518" s="4">
        <f ca="1">IF(RESULTADOS!$C$17="Normal",E518,0)</f>
        <v>0</v>
      </c>
      <c r="I518" s="4">
        <f ca="1">(E518+H518+G518)*IFERROR(VLOOKUP(INT(COUNT($B$5:B518)/12),PREMISSAS!$B$62:$C$69,2,FALSE),PREMISSAS!$C$69)</f>
        <v>0</v>
      </c>
      <c r="J518" s="4">
        <f ca="1">D518*IF(RESULTADOS!$C$17="Normal",PREMISSAS!$C$71,0)</f>
        <v>0</v>
      </c>
      <c r="K518" s="87">
        <f ca="1">IFERROR(K517*(1+PREMISSAS!$C$19)+(E518+H518-IF(RESULTADOS!$C$17="Normal",I518,0)-J518)*IF(MONTH(B518)=12,2,1),0)</f>
        <v>0</v>
      </c>
      <c r="L518" s="87">
        <f ca="1">IFERROR((L517+G518-IF(RESULTADOS!$C$17="Normal",0,I518))*(1+PREMISSAS!$C$19)+F518,0)</f>
        <v>0</v>
      </c>
      <c r="N518" s="58">
        <f t="shared" ca="1" si="65"/>
        <v>0</v>
      </c>
      <c r="P518" s="131" t="str">
        <f t="shared" ref="P518:P527" ca="1" si="67">IF(C518="","",B518)</f>
        <v/>
      </c>
      <c r="Q518" s="111" t="str">
        <f ca="1">IF(C518="","",Q517+(E518+H518-IF(RESULTADOS!$C$17="Normal",I518,0)-J518)/2+(F518+G518-IF(RESULTADOS!$C$17="Normal",0,I518)))</f>
        <v/>
      </c>
      <c r="R518" s="111" t="str">
        <f ca="1">IF(C518="","",R517+(E518+H518-IF(RESULTADOS!$C$17="Normal",I518,0)-J518)/2)</f>
        <v/>
      </c>
      <c r="S518" s="111">
        <f t="shared" ca="1" si="60"/>
        <v>0</v>
      </c>
      <c r="U518" s="131" t="str">
        <f t="shared" ca="1" si="61"/>
        <v/>
      </c>
      <c r="V518" s="131" t="str">
        <f t="shared" ref="V518:V527" ca="1" si="68">IF(AA518&lt;&gt;"",U518,"")</f>
        <v/>
      </c>
      <c r="W518" s="111">
        <f ca="1">IF(OR((W517-13/12*Z517)*(1+PREMISSAS!$C$17)&lt;0,W517=""),0,(W517-13/12*Z517)*(1+PREMISSAS!$C$17))</f>
        <v>0</v>
      </c>
      <c r="X518" s="111">
        <f ca="1">IF(OR((X517-13/12*AA517)*(1+PREMISSAS!$C$17)&lt;0,X517=""),0,(X517-13/12*AA517)*(1+PREMISSAS!$C$17))</f>
        <v>0</v>
      </c>
      <c r="Y518" s="111">
        <f t="shared" ca="1" si="66"/>
        <v>0</v>
      </c>
      <c r="Z518" s="134">
        <f t="shared" ca="1" si="62"/>
        <v>0</v>
      </c>
      <c r="AA518" s="134">
        <f t="shared" ca="1" si="63"/>
        <v>0</v>
      </c>
    </row>
    <row r="519" spans="2:27" x14ac:dyDescent="0.3">
      <c r="B519" s="21" t="str">
        <f ca="1">IF(B518="","",IF(EOMONTH(B518,1)&gt;EOMONTH(ELEGIBILIDADE!$E$5,0),"",EOMONTH(B518,1)))</f>
        <v/>
      </c>
      <c r="C519" s="22" t="str">
        <f ca="1">IF(B519="","",IF(MONTH(B519)=1,C518*(1+PREMISSAS!$C$58),C518))</f>
        <v/>
      </c>
      <c r="D519" s="22">
        <f ca="1">IF(RESULTADOS!$C$17="Normal",IFERROR(MAX(C519-PREMISSAS!$C$14,0),0),IF(PREMISSAS!$H$117=0,0,MAX(10*PREMISSAS!$C$39,RESULTADOS!$F$17)))</f>
        <v>0</v>
      </c>
      <c r="E519" s="4">
        <f ca="1">D519*IF(RESULTADOS!$C$17="Normal",RESULTADOS!$C$16,0)</f>
        <v>0</v>
      </c>
      <c r="F519" s="4">
        <f ca="1">IF(D519&lt;&gt;0,PREMISSAS!$N$83,0)</f>
        <v>0</v>
      </c>
      <c r="G519" s="4">
        <f ca="1">IFERROR(IF(RESULTADOS!$C$17="Normal",0,D519)*IF(RESULTADOS!$C$17="Normal",RESULTADOS!$C$18,RESULTADOS!$C$16),0)</f>
        <v>0</v>
      </c>
      <c r="H519" s="4">
        <f ca="1">IF(RESULTADOS!$C$17="Normal",E519,0)</f>
        <v>0</v>
      </c>
      <c r="I519" s="4">
        <f ca="1">(E519+H519+G519)*IFERROR(VLOOKUP(INT(COUNT($B$5:B519)/12),PREMISSAS!$B$62:$C$69,2,FALSE),PREMISSAS!$C$69)</f>
        <v>0</v>
      </c>
      <c r="J519" s="4">
        <f ca="1">D519*IF(RESULTADOS!$C$17="Normal",PREMISSAS!$C$71,0)</f>
        <v>0</v>
      </c>
      <c r="K519" s="87">
        <f ca="1">IFERROR(K518*(1+PREMISSAS!$C$19)+(E519+H519-IF(RESULTADOS!$C$17="Normal",I519,0)-J519)*IF(MONTH(B519)=12,2,1),0)</f>
        <v>0</v>
      </c>
      <c r="L519" s="87">
        <f ca="1">IFERROR((L518+G519-IF(RESULTADOS!$C$17="Normal",0,I519))*(1+PREMISSAS!$C$19)+F519,0)</f>
        <v>0</v>
      </c>
      <c r="N519" s="58">
        <f t="shared" ca="1" si="65"/>
        <v>0</v>
      </c>
      <c r="P519" s="131" t="str">
        <f t="shared" ca="1" si="67"/>
        <v/>
      </c>
      <c r="Q519" s="111" t="str">
        <f ca="1">IF(C519="","",Q518+(E519+H519-IF(RESULTADOS!$C$17="Normal",I519,0)-J519)/2+(F519+G519-IF(RESULTADOS!$C$17="Normal",0,I519)))</f>
        <v/>
      </c>
      <c r="R519" s="111" t="str">
        <f ca="1">IF(C519="","",R518+(E519+H519-IF(RESULTADOS!$C$17="Normal",I519,0)-J519)/2)</f>
        <v/>
      </c>
      <c r="S519" s="111">
        <f t="shared" ref="S519:S527" ca="1" si="69">SUM(K519:L519)-SUM(Q519:R519)</f>
        <v>0</v>
      </c>
      <c r="U519" s="131" t="str">
        <f t="shared" ref="U519:U527" ca="1" si="70">IF(Y519=0,"",EOMONTH(U518,1))</f>
        <v/>
      </c>
      <c r="V519" s="131" t="str">
        <f t="shared" ca="1" si="68"/>
        <v/>
      </c>
      <c r="W519" s="111">
        <f ca="1">IF(OR((W518-13/12*Z518)*(1+PREMISSAS!$C$17)&lt;0,W518=""),0,(W518-13/12*Z518)*(1+PREMISSAS!$C$17))</f>
        <v>0</v>
      </c>
      <c r="X519" s="111">
        <f ca="1">IF(OR((X518-13/12*AA518)*(1+PREMISSAS!$C$17)&lt;0,X518=""),0,(X518-13/12*AA518)*(1+PREMISSAS!$C$17))</f>
        <v>0</v>
      </c>
      <c r="Y519" s="111">
        <f t="shared" ca="1" si="66"/>
        <v>0</v>
      </c>
      <c r="Z519" s="134">
        <f t="shared" ref="Z519:Z527" ca="1" si="71">IF(W519&lt;&gt;0,Z518,0)</f>
        <v>0</v>
      </c>
      <c r="AA519" s="134">
        <f t="shared" ref="AA519:AA582" ca="1" si="72">IF(X519&lt;&gt;0,AA518,0)</f>
        <v>0</v>
      </c>
    </row>
    <row r="520" spans="2:27" x14ac:dyDescent="0.3">
      <c r="B520" s="21" t="str">
        <f ca="1">IF(B519="","",IF(EOMONTH(B519,1)&gt;EOMONTH(ELEGIBILIDADE!$E$5,0),"",EOMONTH(B519,1)))</f>
        <v/>
      </c>
      <c r="C520" s="22" t="str">
        <f ca="1">IF(B520="","",IF(MONTH(B520)=1,C519*(1+PREMISSAS!$C$58),C519))</f>
        <v/>
      </c>
      <c r="D520" s="22">
        <f ca="1">IF(RESULTADOS!$C$17="Normal",IFERROR(MAX(C520-PREMISSAS!$C$14,0),0),IF(PREMISSAS!$H$117=0,0,MAX(10*PREMISSAS!$C$39,RESULTADOS!$F$17)))</f>
        <v>0</v>
      </c>
      <c r="E520" s="4">
        <f ca="1">D520*IF(RESULTADOS!$C$17="Normal",RESULTADOS!$C$16,0)</f>
        <v>0</v>
      </c>
      <c r="F520" s="4">
        <f ca="1">IF(D520&lt;&gt;0,PREMISSAS!$N$83,0)</f>
        <v>0</v>
      </c>
      <c r="G520" s="4">
        <f ca="1">IFERROR(IF(RESULTADOS!$C$17="Normal",0,D520)*IF(RESULTADOS!$C$17="Normal",RESULTADOS!$C$18,RESULTADOS!$C$16),0)</f>
        <v>0</v>
      </c>
      <c r="H520" s="4">
        <f ca="1">IF(RESULTADOS!$C$17="Normal",E520,0)</f>
        <v>0</v>
      </c>
      <c r="I520" s="4">
        <f ca="1">(E520+H520+G520)*IFERROR(VLOOKUP(INT(COUNT($B$5:B520)/12),PREMISSAS!$B$62:$C$69,2,FALSE),PREMISSAS!$C$69)</f>
        <v>0</v>
      </c>
      <c r="J520" s="4">
        <f ca="1">D520*IF(RESULTADOS!$C$17="Normal",PREMISSAS!$C$71,0)</f>
        <v>0</v>
      </c>
      <c r="K520" s="87">
        <f ca="1">IFERROR(K519*(1+PREMISSAS!$C$19)+(E520+H520-IF(RESULTADOS!$C$17="Normal",I520,0)-J520)*IF(MONTH(B520)=12,2,1),0)</f>
        <v>0</v>
      </c>
      <c r="L520" s="87">
        <f ca="1">IFERROR((L519+G520-IF(RESULTADOS!$C$17="Normal",0,I520))*(1+PREMISSAS!$C$19)+F520,0)</f>
        <v>0</v>
      </c>
      <c r="N520" s="58">
        <f t="shared" ca="1" si="65"/>
        <v>0</v>
      </c>
      <c r="P520" s="131" t="str">
        <f t="shared" ca="1" si="67"/>
        <v/>
      </c>
      <c r="Q520" s="111" t="str">
        <f ca="1">IF(C520="","",Q519+(E520+H520-IF(RESULTADOS!$C$17="Normal",I520,0)-J520)/2+(F520+G520-IF(RESULTADOS!$C$17="Normal",0,I520)))</f>
        <v/>
      </c>
      <c r="R520" s="111" t="str">
        <f ca="1">IF(C520="","",R519+(E520+H520-IF(RESULTADOS!$C$17="Normal",I520,0)-J520)/2)</f>
        <v/>
      </c>
      <c r="S520" s="111">
        <f t="shared" ca="1" si="69"/>
        <v>0</v>
      </c>
      <c r="U520" s="131" t="str">
        <f t="shared" ca="1" si="70"/>
        <v/>
      </c>
      <c r="V520" s="131" t="str">
        <f t="shared" ca="1" si="68"/>
        <v/>
      </c>
      <c r="W520" s="111">
        <f ca="1">IF(OR((W519-13/12*Z519)*(1+PREMISSAS!$C$17)&lt;0,W519=""),0,(W519-13/12*Z519)*(1+PREMISSAS!$C$17))</f>
        <v>0</v>
      </c>
      <c r="X520" s="111">
        <f ca="1">IF(OR((X519-13/12*AA519)*(1+PREMISSAS!$C$17)&lt;0,X519=""),0,(X519-13/12*AA519)*(1+PREMISSAS!$C$17))</f>
        <v>0</v>
      </c>
      <c r="Y520" s="111">
        <f t="shared" ca="1" si="66"/>
        <v>0</v>
      </c>
      <c r="Z520" s="134">
        <f t="shared" ca="1" si="71"/>
        <v>0</v>
      </c>
      <c r="AA520" s="134">
        <f t="shared" ca="1" si="72"/>
        <v>0</v>
      </c>
    </row>
    <row r="521" spans="2:27" x14ac:dyDescent="0.3">
      <c r="B521" s="21" t="str">
        <f ca="1">IF(B520="","",IF(EOMONTH(B520,1)&gt;EOMONTH(ELEGIBILIDADE!$E$5,0),"",EOMONTH(B520,1)))</f>
        <v/>
      </c>
      <c r="C521" s="22" t="str">
        <f ca="1">IF(B521="","",IF(MONTH(B521)=1,C520*(1+PREMISSAS!$C$58),C520))</f>
        <v/>
      </c>
      <c r="D521" s="22">
        <f ca="1">IF(RESULTADOS!$C$17="Normal",IFERROR(MAX(C521-PREMISSAS!$C$14,0),0),IF(PREMISSAS!$H$117=0,0,MAX(10*PREMISSAS!$C$39,RESULTADOS!$F$17)))</f>
        <v>0</v>
      </c>
      <c r="E521" s="4">
        <f ca="1">D521*IF(RESULTADOS!$C$17="Normal",RESULTADOS!$C$16,0)</f>
        <v>0</v>
      </c>
      <c r="F521" s="4">
        <f ca="1">IF(D521&lt;&gt;0,PREMISSAS!$N$83,0)</f>
        <v>0</v>
      </c>
      <c r="G521" s="4">
        <f ca="1">IFERROR(IF(RESULTADOS!$C$17="Normal",0,D521)*IF(RESULTADOS!$C$17="Normal",RESULTADOS!$C$18,RESULTADOS!$C$16),0)</f>
        <v>0</v>
      </c>
      <c r="H521" s="4">
        <f ca="1">IF(RESULTADOS!$C$17="Normal",E521,0)</f>
        <v>0</v>
      </c>
      <c r="I521" s="4">
        <f ca="1">(E521+H521+G521)*IFERROR(VLOOKUP(INT(COUNT($B$5:B521)/12),PREMISSAS!$B$62:$C$69,2,FALSE),PREMISSAS!$C$69)</f>
        <v>0</v>
      </c>
      <c r="J521" s="4">
        <f ca="1">D521*IF(RESULTADOS!$C$17="Normal",PREMISSAS!$C$71,0)</f>
        <v>0</v>
      </c>
      <c r="K521" s="87">
        <f ca="1">IFERROR(K520*(1+PREMISSAS!$C$19)+(E521+H521-IF(RESULTADOS!$C$17="Normal",I521,0)-J521)*IF(MONTH(B521)=12,2,1),0)</f>
        <v>0</v>
      </c>
      <c r="L521" s="87">
        <f ca="1">IFERROR((L520+G521-IF(RESULTADOS!$C$17="Normal",0,I521))*(1+PREMISSAS!$C$19)+F521,0)</f>
        <v>0</v>
      </c>
      <c r="N521" s="58">
        <f t="shared" ca="1" si="65"/>
        <v>0</v>
      </c>
      <c r="P521" s="131" t="str">
        <f t="shared" ca="1" si="67"/>
        <v/>
      </c>
      <c r="Q521" s="111" t="str">
        <f ca="1">IF(C521="","",Q520+(E521+H521-IF(RESULTADOS!$C$17="Normal",I521,0)-J521)/2+(F521+G521-IF(RESULTADOS!$C$17="Normal",0,I521)))</f>
        <v/>
      </c>
      <c r="R521" s="111" t="str">
        <f ca="1">IF(C521="","",R520+(E521+H521-IF(RESULTADOS!$C$17="Normal",I521,0)-J521)/2)</f>
        <v/>
      </c>
      <c r="S521" s="111">
        <f t="shared" ca="1" si="69"/>
        <v>0</v>
      </c>
      <c r="U521" s="131" t="str">
        <f t="shared" ca="1" si="70"/>
        <v/>
      </c>
      <c r="V521" s="131" t="str">
        <f t="shared" ca="1" si="68"/>
        <v/>
      </c>
      <c r="W521" s="111">
        <f ca="1">IF(OR((W520-13/12*Z520)*(1+PREMISSAS!$C$17)&lt;0,W520=""),0,(W520-13/12*Z520)*(1+PREMISSAS!$C$17))</f>
        <v>0</v>
      </c>
      <c r="X521" s="111">
        <f ca="1">IF(OR((X520-13/12*AA520)*(1+PREMISSAS!$C$17)&lt;0,X520=""),0,(X520-13/12*AA520)*(1+PREMISSAS!$C$17))</f>
        <v>0</v>
      </c>
      <c r="Y521" s="111">
        <f t="shared" ca="1" si="66"/>
        <v>0</v>
      </c>
      <c r="Z521" s="134">
        <f t="shared" ca="1" si="71"/>
        <v>0</v>
      </c>
      <c r="AA521" s="134">
        <f t="shared" ca="1" si="72"/>
        <v>0</v>
      </c>
    </row>
    <row r="522" spans="2:27" x14ac:dyDescent="0.3">
      <c r="B522" s="21" t="str">
        <f ca="1">IF(B521="","",IF(EOMONTH(B521,1)&gt;EOMONTH(ELEGIBILIDADE!$E$5,0),"",EOMONTH(B521,1)))</f>
        <v/>
      </c>
      <c r="C522" s="22" t="str">
        <f ca="1">IF(B522="","",IF(MONTH(B522)=1,C521*(1+PREMISSAS!$C$58),C521))</f>
        <v/>
      </c>
      <c r="D522" s="22">
        <f ca="1">IF(RESULTADOS!$C$17="Normal",IFERROR(MAX(C522-PREMISSAS!$C$14,0),0),IF(PREMISSAS!$H$117=0,0,MAX(10*PREMISSAS!$C$39,RESULTADOS!$F$17)))</f>
        <v>0</v>
      </c>
      <c r="E522" s="4">
        <f ca="1">D522*IF(RESULTADOS!$C$17="Normal",RESULTADOS!$C$16,0)</f>
        <v>0</v>
      </c>
      <c r="F522" s="4">
        <f ca="1">IF(D522&lt;&gt;0,PREMISSAS!$N$83,0)</f>
        <v>0</v>
      </c>
      <c r="G522" s="4">
        <f ca="1">IFERROR(IF(RESULTADOS!$C$17="Normal",0,D522)*IF(RESULTADOS!$C$17="Normal",RESULTADOS!$C$18,RESULTADOS!$C$16),0)</f>
        <v>0</v>
      </c>
      <c r="H522" s="4">
        <f ca="1">IF(RESULTADOS!$C$17="Normal",E522,0)</f>
        <v>0</v>
      </c>
      <c r="I522" s="4">
        <f ca="1">(E522+H522+G522)*IFERROR(VLOOKUP(INT(COUNT($B$5:B522)/12),PREMISSAS!$B$62:$C$69,2,FALSE),PREMISSAS!$C$69)</f>
        <v>0</v>
      </c>
      <c r="J522" s="4">
        <f ca="1">D522*IF(RESULTADOS!$C$17="Normal",PREMISSAS!$C$71,0)</f>
        <v>0</v>
      </c>
      <c r="K522" s="87">
        <f ca="1">IFERROR(K521*(1+PREMISSAS!$C$19)+(E522+H522-IF(RESULTADOS!$C$17="Normal",I522,0)-J522)*IF(MONTH(B522)=12,2,1),0)</f>
        <v>0</v>
      </c>
      <c r="L522" s="87">
        <f ca="1">IFERROR((L521+G522-IF(RESULTADOS!$C$17="Normal",0,I522))*(1+PREMISSAS!$C$19)+F522,0)</f>
        <v>0</v>
      </c>
      <c r="N522" s="58">
        <f t="shared" ca="1" si="65"/>
        <v>0</v>
      </c>
      <c r="P522" s="131" t="str">
        <f t="shared" ca="1" si="67"/>
        <v/>
      </c>
      <c r="Q522" s="111" t="str">
        <f ca="1">IF(C522="","",Q521+(E522+H522-IF(RESULTADOS!$C$17="Normal",I522,0)-J522)/2+(F522+G522-IF(RESULTADOS!$C$17="Normal",0,I522)))</f>
        <v/>
      </c>
      <c r="R522" s="111" t="str">
        <f ca="1">IF(C522="","",R521+(E522+H522-IF(RESULTADOS!$C$17="Normal",I522,0)-J522)/2)</f>
        <v/>
      </c>
      <c r="S522" s="111">
        <f t="shared" ca="1" si="69"/>
        <v>0</v>
      </c>
      <c r="U522" s="131" t="str">
        <f t="shared" ca="1" si="70"/>
        <v/>
      </c>
      <c r="V522" s="131" t="str">
        <f t="shared" ca="1" si="68"/>
        <v/>
      </c>
      <c r="W522" s="111">
        <f ca="1">IF(OR((W521-13/12*Z521)*(1+PREMISSAS!$C$17)&lt;0,W521=""),0,(W521-13/12*Z521)*(1+PREMISSAS!$C$17))</f>
        <v>0</v>
      </c>
      <c r="X522" s="111">
        <f ca="1">IF(OR((X521-13/12*AA521)*(1+PREMISSAS!$C$17)&lt;0,X521=""),0,(X521-13/12*AA521)*(1+PREMISSAS!$C$17))</f>
        <v>0</v>
      </c>
      <c r="Y522" s="111">
        <f t="shared" ca="1" si="66"/>
        <v>0</v>
      </c>
      <c r="Z522" s="134">
        <f t="shared" ca="1" si="71"/>
        <v>0</v>
      </c>
      <c r="AA522" s="134">
        <f t="shared" ca="1" si="72"/>
        <v>0</v>
      </c>
    </row>
    <row r="523" spans="2:27" x14ac:dyDescent="0.3">
      <c r="B523" s="21" t="str">
        <f ca="1">IF(B522="","",IF(EOMONTH(B522,1)&gt;EOMONTH(ELEGIBILIDADE!$E$5,0),"",EOMONTH(B522,1)))</f>
        <v/>
      </c>
      <c r="C523" s="22" t="str">
        <f ca="1">IF(B523="","",IF(MONTH(B523)=1,C522*(1+PREMISSAS!$C$58),C522))</f>
        <v/>
      </c>
      <c r="D523" s="22">
        <f ca="1">IF(RESULTADOS!$C$17="Normal",IFERROR(MAX(C523-PREMISSAS!$C$14,0),0),IF(PREMISSAS!$H$117=0,0,MAX(10*PREMISSAS!$C$39,RESULTADOS!$F$17)))</f>
        <v>0</v>
      </c>
      <c r="E523" s="4">
        <f ca="1">D523*IF(RESULTADOS!$C$17="Normal",RESULTADOS!$C$16,0)</f>
        <v>0</v>
      </c>
      <c r="F523" s="4">
        <f ca="1">IF(D523&lt;&gt;0,PREMISSAS!$N$83,0)</f>
        <v>0</v>
      </c>
      <c r="G523" s="4">
        <f ca="1">IFERROR(IF(RESULTADOS!$C$17="Normal",0,D523)*IF(RESULTADOS!$C$17="Normal",RESULTADOS!$C$18,RESULTADOS!$C$16),0)</f>
        <v>0</v>
      </c>
      <c r="H523" s="4">
        <f ca="1">IF(RESULTADOS!$C$17="Normal",E523,0)</f>
        <v>0</v>
      </c>
      <c r="I523" s="4">
        <f ca="1">(E523+H523+G523)*IFERROR(VLOOKUP(INT(COUNT($B$5:B523)/12),PREMISSAS!$B$62:$C$69,2,FALSE),PREMISSAS!$C$69)</f>
        <v>0</v>
      </c>
      <c r="J523" s="4">
        <f ca="1">D523*IF(RESULTADOS!$C$17="Normal",PREMISSAS!$C$71,0)</f>
        <v>0</v>
      </c>
      <c r="K523" s="87">
        <f ca="1">IFERROR(K522*(1+PREMISSAS!$C$19)+(E523+H523-IF(RESULTADOS!$C$17="Normal",I523,0)-J523)*IF(MONTH(B523)=12,2,1),0)</f>
        <v>0</v>
      </c>
      <c r="L523" s="87">
        <f ca="1">IFERROR((L522+G523-IF(RESULTADOS!$C$17="Normal",0,I523))*(1+PREMISSAS!$C$19)+F523,0)</f>
        <v>0</v>
      </c>
      <c r="N523" s="58">
        <f t="shared" ca="1" si="65"/>
        <v>0</v>
      </c>
      <c r="P523" s="131" t="str">
        <f t="shared" ca="1" si="67"/>
        <v/>
      </c>
      <c r="Q523" s="111" t="str">
        <f ca="1">IF(C523="","",Q522+(E523+H523-IF(RESULTADOS!$C$17="Normal",I523,0)-J523)/2+(F523+G523-IF(RESULTADOS!$C$17="Normal",0,I523)))</f>
        <v/>
      </c>
      <c r="R523" s="111" t="str">
        <f ca="1">IF(C523="","",R522+(E523+H523-IF(RESULTADOS!$C$17="Normal",I523,0)-J523)/2)</f>
        <v/>
      </c>
      <c r="S523" s="111">
        <f t="shared" ca="1" si="69"/>
        <v>0</v>
      </c>
      <c r="U523" s="131" t="str">
        <f t="shared" ca="1" si="70"/>
        <v/>
      </c>
      <c r="V523" s="131" t="str">
        <f t="shared" ca="1" si="68"/>
        <v/>
      </c>
      <c r="W523" s="111">
        <f ca="1">IF(OR((W522-13/12*Z522)*(1+PREMISSAS!$C$17)&lt;0,W522=""),0,(W522-13/12*Z522)*(1+PREMISSAS!$C$17))</f>
        <v>0</v>
      </c>
      <c r="X523" s="111">
        <f ca="1">IF(OR((X522-13/12*AA522)*(1+PREMISSAS!$C$17)&lt;0,X522=""),0,(X522-13/12*AA522)*(1+PREMISSAS!$C$17))</f>
        <v>0</v>
      </c>
      <c r="Y523" s="111">
        <f t="shared" ca="1" si="66"/>
        <v>0</v>
      </c>
      <c r="Z523" s="134">
        <f t="shared" ca="1" si="71"/>
        <v>0</v>
      </c>
      <c r="AA523" s="134">
        <f t="shared" ca="1" si="72"/>
        <v>0</v>
      </c>
    </row>
    <row r="524" spans="2:27" x14ac:dyDescent="0.3">
      <c r="B524" s="21" t="str">
        <f ca="1">IF(B523="","",IF(EOMONTH(B523,1)&gt;EOMONTH(ELEGIBILIDADE!$E$5,0),"",EOMONTH(B523,1)))</f>
        <v/>
      </c>
      <c r="C524" s="22" t="str">
        <f ca="1">IF(B524="","",IF(MONTH(B524)=1,C523*(1+PREMISSAS!$C$58),C523))</f>
        <v/>
      </c>
      <c r="D524" s="22">
        <f ca="1">IF(RESULTADOS!$C$17="Normal",IFERROR(MAX(C524-PREMISSAS!$C$14,0),0),IF(PREMISSAS!$H$117=0,0,MAX(10*PREMISSAS!$C$39,RESULTADOS!$F$17)))</f>
        <v>0</v>
      </c>
      <c r="E524" s="4">
        <f ca="1">D524*IF(RESULTADOS!$C$17="Normal",RESULTADOS!$C$16,0)</f>
        <v>0</v>
      </c>
      <c r="F524" s="4">
        <f ca="1">IF(D524&lt;&gt;0,PREMISSAS!$N$83,0)</f>
        <v>0</v>
      </c>
      <c r="G524" s="4">
        <f ca="1">IFERROR(IF(RESULTADOS!$C$17="Normal",0,D524)*IF(RESULTADOS!$C$17="Normal",RESULTADOS!$C$18,RESULTADOS!$C$16),0)</f>
        <v>0</v>
      </c>
      <c r="H524" s="4">
        <f ca="1">IF(RESULTADOS!$C$17="Normal",E524,0)</f>
        <v>0</v>
      </c>
      <c r="I524" s="4">
        <f ca="1">(E524+H524+G524)*IFERROR(VLOOKUP(INT(COUNT($B$5:B524)/12),PREMISSAS!$B$62:$C$69,2,FALSE),PREMISSAS!$C$69)</f>
        <v>0</v>
      </c>
      <c r="J524" s="4">
        <f ca="1">D524*IF(RESULTADOS!$C$17="Normal",PREMISSAS!$C$71,0)</f>
        <v>0</v>
      </c>
      <c r="K524" s="87">
        <f ca="1">IFERROR(K523*(1+PREMISSAS!$C$19)+(E524+H524-IF(RESULTADOS!$C$17="Normal",I524,0)-J524)*IF(MONTH(B524)=12,2,1),0)</f>
        <v>0</v>
      </c>
      <c r="L524" s="87">
        <f ca="1">IFERROR((L523+G524-IF(RESULTADOS!$C$17="Normal",0,I524))*(1+PREMISSAS!$C$19)+F524,0)</f>
        <v>0</v>
      </c>
      <c r="N524" s="58">
        <f t="shared" ca="1" si="65"/>
        <v>0</v>
      </c>
      <c r="P524" s="131" t="str">
        <f t="shared" ca="1" si="67"/>
        <v/>
      </c>
      <c r="Q524" s="111" t="str">
        <f ca="1">IF(C524="","",Q523+(E524+H524-IF(RESULTADOS!$C$17="Normal",I524,0)-J524)/2+(F524+G524-IF(RESULTADOS!$C$17="Normal",0,I524)))</f>
        <v/>
      </c>
      <c r="R524" s="111" t="str">
        <f ca="1">IF(C524="","",R523+(E524+H524-IF(RESULTADOS!$C$17="Normal",I524,0)-J524)/2)</f>
        <v/>
      </c>
      <c r="S524" s="111">
        <f t="shared" ca="1" si="69"/>
        <v>0</v>
      </c>
      <c r="U524" s="131" t="str">
        <f t="shared" ca="1" si="70"/>
        <v/>
      </c>
      <c r="V524" s="131" t="str">
        <f t="shared" ca="1" si="68"/>
        <v/>
      </c>
      <c r="W524" s="111">
        <f ca="1">IF(OR((W523-13/12*Z523)*(1+PREMISSAS!$C$17)&lt;0,W523=""),0,(W523-13/12*Z523)*(1+PREMISSAS!$C$17))</f>
        <v>0</v>
      </c>
      <c r="X524" s="111">
        <f ca="1">IF(OR((X523-13/12*AA523)*(1+PREMISSAS!$C$17)&lt;0,X523=""),0,(X523-13/12*AA523)*(1+PREMISSAS!$C$17))</f>
        <v>0</v>
      </c>
      <c r="Y524" s="111">
        <f t="shared" ca="1" si="66"/>
        <v>0</v>
      </c>
      <c r="Z524" s="134">
        <f t="shared" ca="1" si="71"/>
        <v>0</v>
      </c>
      <c r="AA524" s="134">
        <f t="shared" ca="1" si="72"/>
        <v>0</v>
      </c>
    </row>
    <row r="525" spans="2:27" x14ac:dyDescent="0.3">
      <c r="B525" s="21" t="str">
        <f ca="1">IF(B524="","",IF(EOMONTH(B524,1)&gt;EOMONTH(ELEGIBILIDADE!$E$5,0),"",EOMONTH(B524,1)))</f>
        <v/>
      </c>
      <c r="C525" s="22" t="str">
        <f ca="1">IF(B525="","",IF(MONTH(B525)=1,C524*(1+PREMISSAS!$C$58),C524))</f>
        <v/>
      </c>
      <c r="D525" s="22">
        <f ca="1">IF(RESULTADOS!$C$17="Normal",IFERROR(MAX(C525-PREMISSAS!$C$14,0),0),IF(PREMISSAS!$H$117=0,0,MAX(10*PREMISSAS!$C$39,RESULTADOS!$F$17)))</f>
        <v>0</v>
      </c>
      <c r="E525" s="4">
        <f ca="1">D525*IF(RESULTADOS!$C$17="Normal",RESULTADOS!$C$16,0)</f>
        <v>0</v>
      </c>
      <c r="F525" s="4">
        <f ca="1">IF(D525&lt;&gt;0,PREMISSAS!$N$83,0)</f>
        <v>0</v>
      </c>
      <c r="G525" s="4">
        <f ca="1">IFERROR(IF(RESULTADOS!$C$17="Normal",0,D525)*IF(RESULTADOS!$C$17="Normal",RESULTADOS!$C$18,RESULTADOS!$C$16),0)</f>
        <v>0</v>
      </c>
      <c r="H525" s="4">
        <f ca="1">IF(RESULTADOS!$C$17="Normal",E525,0)</f>
        <v>0</v>
      </c>
      <c r="I525" s="4">
        <f ca="1">(E525+H525+G525)*IFERROR(VLOOKUP(INT(COUNT($B$5:B525)/12),PREMISSAS!$B$62:$C$69,2,FALSE),PREMISSAS!$C$69)</f>
        <v>0</v>
      </c>
      <c r="J525" s="4">
        <f ca="1">D525*IF(RESULTADOS!$C$17="Normal",PREMISSAS!$C$71,0)</f>
        <v>0</v>
      </c>
      <c r="K525" s="87">
        <f ca="1">IFERROR(K524*(1+PREMISSAS!$C$19)+(E525+H525-IF(RESULTADOS!$C$17="Normal",I525,0)-J525)*IF(MONTH(B525)=12,2,1),0)</f>
        <v>0</v>
      </c>
      <c r="L525" s="87">
        <f ca="1">IFERROR((L524+G525-IF(RESULTADOS!$C$17="Normal",0,I525))*(1+PREMISSAS!$C$19)+F525,0)</f>
        <v>0</v>
      </c>
      <c r="N525" s="58">
        <f t="shared" ca="1" si="65"/>
        <v>0</v>
      </c>
      <c r="P525" s="131" t="str">
        <f t="shared" ca="1" si="67"/>
        <v/>
      </c>
      <c r="Q525" s="111" t="str">
        <f ca="1">IF(C525="","",Q524+(E525+H525-IF(RESULTADOS!$C$17="Normal",I525,0)-J525)/2+(F525+G525-IF(RESULTADOS!$C$17="Normal",0,I525)))</f>
        <v/>
      </c>
      <c r="R525" s="111" t="str">
        <f ca="1">IF(C525="","",R524+(E525+H525-IF(RESULTADOS!$C$17="Normal",I525,0)-J525)/2)</f>
        <v/>
      </c>
      <c r="S525" s="111">
        <f t="shared" ca="1" si="69"/>
        <v>0</v>
      </c>
      <c r="U525" s="131" t="str">
        <f t="shared" ca="1" si="70"/>
        <v/>
      </c>
      <c r="V525" s="131" t="str">
        <f t="shared" ca="1" si="68"/>
        <v/>
      </c>
      <c r="W525" s="111">
        <f ca="1">IF(OR((W524-13/12*Z524)*(1+PREMISSAS!$C$17)&lt;0,W524=""),0,(W524-13/12*Z524)*(1+PREMISSAS!$C$17))</f>
        <v>0</v>
      </c>
      <c r="X525" s="111">
        <f ca="1">IF(OR((X524-13/12*AA524)*(1+PREMISSAS!$C$17)&lt;0,X524=""),0,(X524-13/12*AA524)*(1+PREMISSAS!$C$17))</f>
        <v>0</v>
      </c>
      <c r="Y525" s="111">
        <f t="shared" ca="1" si="66"/>
        <v>0</v>
      </c>
      <c r="Z525" s="134">
        <f t="shared" ca="1" si="71"/>
        <v>0</v>
      </c>
      <c r="AA525" s="134">
        <f t="shared" ca="1" si="72"/>
        <v>0</v>
      </c>
    </row>
    <row r="526" spans="2:27" x14ac:dyDescent="0.3">
      <c r="B526" s="21" t="str">
        <f ca="1">IF(B525="","",IF(EOMONTH(B525,1)&gt;EOMONTH(ELEGIBILIDADE!$E$5,0),"",EOMONTH(B525,1)))</f>
        <v/>
      </c>
      <c r="C526" s="22" t="str">
        <f ca="1">IF(B526="","",IF(MONTH(B526)=1,C525*(1+PREMISSAS!$C$58),C525))</f>
        <v/>
      </c>
      <c r="D526" s="22">
        <f ca="1">IF(RESULTADOS!$C$17="Normal",IFERROR(MAX(C526-PREMISSAS!$C$14,0),0),IF(PREMISSAS!$H$117=0,0,MAX(10*PREMISSAS!$C$39,RESULTADOS!$F$17)))</f>
        <v>0</v>
      </c>
      <c r="E526" s="4">
        <f ca="1">D526*IF(RESULTADOS!$C$17="Normal",RESULTADOS!$C$16,0)</f>
        <v>0</v>
      </c>
      <c r="F526" s="4">
        <f ca="1">IF(D526&lt;&gt;0,PREMISSAS!$N$83,0)</f>
        <v>0</v>
      </c>
      <c r="G526" s="4">
        <f ca="1">IFERROR(IF(RESULTADOS!$C$17="Normal",0,D526)*IF(RESULTADOS!$C$17="Normal",RESULTADOS!$C$18,RESULTADOS!$C$16),0)</f>
        <v>0</v>
      </c>
      <c r="H526" s="4">
        <f ca="1">IF(RESULTADOS!$C$17="Normal",E526,0)</f>
        <v>0</v>
      </c>
      <c r="I526" s="4">
        <f ca="1">(E526+H526+G526)*IFERROR(VLOOKUP(INT(COUNT($B$5:B526)/12),PREMISSAS!$B$62:$C$69,2,FALSE),PREMISSAS!$C$69)</f>
        <v>0</v>
      </c>
      <c r="J526" s="4">
        <f ca="1">D526*IF(RESULTADOS!$C$17="Normal",PREMISSAS!$C$71,0)</f>
        <v>0</v>
      </c>
      <c r="K526" s="87">
        <f ca="1">IFERROR(K525*(1+PREMISSAS!$C$19)+(E526+H526-IF(RESULTADOS!$C$17="Normal",I526,0)-J526)*IF(MONTH(B526)=12,2,1),0)</f>
        <v>0</v>
      </c>
      <c r="L526" s="87">
        <f ca="1">IFERROR((L525+G526-IF(RESULTADOS!$C$17="Normal",0,I526))*(1+PREMISSAS!$C$19)+F526,0)</f>
        <v>0</v>
      </c>
      <c r="N526" s="58">
        <f t="shared" ca="1" si="65"/>
        <v>0</v>
      </c>
      <c r="P526" s="131" t="str">
        <f t="shared" ca="1" si="67"/>
        <v/>
      </c>
      <c r="Q526" s="111" t="str">
        <f ca="1">IF(C526="","",Q525+(E526+H526-IF(RESULTADOS!$C$17="Normal",I526,0)-J526)/2+(F526+G526-IF(RESULTADOS!$C$17="Normal",0,I526)))</f>
        <v/>
      </c>
      <c r="R526" s="111" t="str">
        <f ca="1">IF(C526="","",R525+(E526+H526-IF(RESULTADOS!$C$17="Normal",I526,0)-J526)/2)</f>
        <v/>
      </c>
      <c r="S526" s="111">
        <f t="shared" ca="1" si="69"/>
        <v>0</v>
      </c>
      <c r="U526" s="131" t="str">
        <f t="shared" ca="1" si="70"/>
        <v/>
      </c>
      <c r="V526" s="131" t="str">
        <f t="shared" ca="1" si="68"/>
        <v/>
      </c>
      <c r="W526" s="111">
        <f ca="1">IF(OR((W525-13/12*Z525)*(1+PREMISSAS!$C$17)&lt;0,W525=""),0,(W525-13/12*Z525)*(1+PREMISSAS!$C$17))</f>
        <v>0</v>
      </c>
      <c r="X526" s="111">
        <f ca="1">IF(OR((X525-13/12*AA525)*(1+PREMISSAS!$C$17)&lt;0,X525=""),0,(X525-13/12*AA525)*(1+PREMISSAS!$C$17))</f>
        <v>0</v>
      </c>
      <c r="Y526" s="111">
        <f t="shared" ca="1" si="66"/>
        <v>0</v>
      </c>
      <c r="Z526" s="134">
        <f t="shared" ca="1" si="71"/>
        <v>0</v>
      </c>
      <c r="AA526" s="134">
        <f t="shared" ca="1" si="72"/>
        <v>0</v>
      </c>
    </row>
    <row r="527" spans="2:27" x14ac:dyDescent="0.3">
      <c r="B527" s="21" t="str">
        <f ca="1">IF(B526="","",IF(EOMONTH(B526,1)&gt;EOMONTH(ELEGIBILIDADE!$E$5,0),"",EOMONTH(B526,1)))</f>
        <v/>
      </c>
      <c r="C527" s="22" t="str">
        <f ca="1">IF(B527="","",IF(MONTH(B527)=1,C526*(1+PREMISSAS!$C$58),C526))</f>
        <v/>
      </c>
      <c r="D527" s="22">
        <f ca="1">IF(RESULTADOS!$C$17="Normal",IFERROR(MAX(C527-PREMISSAS!$C$14,0),0),IF(PREMISSAS!$H$117=0,0,MAX(10*PREMISSAS!$C$39,RESULTADOS!$F$17)))</f>
        <v>0</v>
      </c>
      <c r="E527" s="4">
        <f ca="1">D527*IF(RESULTADOS!$C$17="Normal",RESULTADOS!$C$16,0)</f>
        <v>0</v>
      </c>
      <c r="F527" s="4">
        <f ca="1">IF(D527&lt;&gt;0,PREMISSAS!$N$83,0)</f>
        <v>0</v>
      </c>
      <c r="G527" s="4">
        <f ca="1">IFERROR(IF(RESULTADOS!$C$17="Normal",0,D527)*IF(RESULTADOS!$C$17="Normal",RESULTADOS!$C$18,RESULTADOS!$C$16),0)</f>
        <v>0</v>
      </c>
      <c r="H527" s="4">
        <f ca="1">IF(RESULTADOS!$C$17="Normal",E527,0)</f>
        <v>0</v>
      </c>
      <c r="I527" s="4">
        <f ca="1">(E527+H527+G527)*IFERROR(VLOOKUP(INT(COUNT($B$5:B527)/12),PREMISSAS!$B$62:$C$69,2,FALSE),PREMISSAS!$C$69)</f>
        <v>0</v>
      </c>
      <c r="J527" s="4">
        <f ca="1">D527*IF(RESULTADOS!$C$17="Normal",PREMISSAS!$C$71,0)</f>
        <v>0</v>
      </c>
      <c r="K527" s="87">
        <f ca="1">IFERROR(K526*(1+PREMISSAS!$C$19)+(E527+H527-IF(RESULTADOS!$C$17="Normal",I527,0)-J527)*IF(MONTH(B527)=12,2,1),0)</f>
        <v>0</v>
      </c>
      <c r="L527" s="87">
        <f ca="1">IFERROR((L526+G527-IF(RESULTADOS!$C$17="Normal",0,I527))*(1+PREMISSAS!$C$19)+F527,0)</f>
        <v>0</v>
      </c>
      <c r="N527" s="58">
        <f t="shared" ca="1" si="65"/>
        <v>0</v>
      </c>
      <c r="P527" s="131" t="str">
        <f t="shared" ca="1" si="67"/>
        <v/>
      </c>
      <c r="Q527" s="111" t="str">
        <f ca="1">IF(C527="","",Q526+(E527+H527-IF(RESULTADOS!$C$17="Normal",I527,0)-J527)/2+(F527+G527-IF(RESULTADOS!$C$17="Normal",0,I527)))</f>
        <v/>
      </c>
      <c r="R527" s="111" t="str">
        <f ca="1">IF(C527="","",R526+(E527+H527-IF(RESULTADOS!$C$17="Normal",I527,0)-J527)/2)</f>
        <v/>
      </c>
      <c r="S527" s="111">
        <f t="shared" ca="1" si="69"/>
        <v>0</v>
      </c>
      <c r="U527" s="131" t="str">
        <f t="shared" ca="1" si="70"/>
        <v/>
      </c>
      <c r="V527" s="131" t="str">
        <f t="shared" ca="1" si="68"/>
        <v/>
      </c>
      <c r="W527" s="111">
        <f ca="1">IF(OR((W526-13/12*Z526)*(1+PREMISSAS!$C$17)&lt;0,W526=""),0,(W526-13/12*Z526)*(1+PREMISSAS!$C$17))</f>
        <v>0</v>
      </c>
      <c r="X527" s="111">
        <f ca="1">IF(OR((X526-13/12*AA526)*(1+PREMISSAS!$C$17)&lt;0,X526=""),0,(X526-13/12*AA526)*(1+PREMISSAS!$C$17))</f>
        <v>0</v>
      </c>
      <c r="Y527" s="111">
        <f t="shared" ca="1" si="66"/>
        <v>0</v>
      </c>
      <c r="Z527" s="134">
        <f t="shared" ca="1" si="71"/>
        <v>0</v>
      </c>
      <c r="AA527" s="134">
        <f t="shared" ca="1" si="72"/>
        <v>0</v>
      </c>
    </row>
    <row r="528" spans="2:27" x14ac:dyDescent="0.3">
      <c r="B528" s="21" t="str">
        <f ca="1">IF(B527="","",IF(EOMONTH(B527,1)&gt;EOMONTH(ELEGIBILIDADE!$E$5,0),"",EOMONTH(B527,1)))</f>
        <v/>
      </c>
      <c r="C528" s="22" t="str">
        <f ca="1">IF(B528="","",IF(MONTH(B528)=1,C527*(1+PREMISSAS!$C$58),C527))</f>
        <v/>
      </c>
      <c r="D528" s="22">
        <f ca="1">IF(RESULTADOS!$C$17="Normal",IFERROR(MAX(C528-PREMISSAS!$C$14,0),0),IF(PREMISSAS!$H$117=0,0,MAX(10*PREMISSAS!$C$39,RESULTADOS!$F$17)))</f>
        <v>0</v>
      </c>
      <c r="E528" s="4">
        <f ca="1">D528*IF(RESULTADOS!$C$17="Normal",RESULTADOS!$C$16,0)</f>
        <v>0</v>
      </c>
      <c r="F528" s="4">
        <f ca="1">IF(D528&lt;&gt;0,PREMISSAS!$N$83,0)</f>
        <v>0</v>
      </c>
      <c r="G528" s="4">
        <f ca="1">IFERROR(IF(RESULTADOS!$C$17="Normal",0,D528)*IF(RESULTADOS!$C$17="Normal",RESULTADOS!$C$18,RESULTADOS!$C$16),0)</f>
        <v>0</v>
      </c>
      <c r="H528" s="4">
        <f ca="1">IF(RESULTADOS!$C$17="Normal",E528,0)</f>
        <v>0</v>
      </c>
      <c r="I528" s="4">
        <f ca="1">(E528+H528+G528)*IFERROR(VLOOKUP(INT(COUNT($B$5:B528)/12),PREMISSAS!$B$62:$C$69,2,FALSE),PREMISSAS!$C$69)</f>
        <v>0</v>
      </c>
      <c r="J528" s="4">
        <f ca="1">D528*IF(RESULTADOS!$C$17="Normal",PREMISSAS!$C$71,0)</f>
        <v>0</v>
      </c>
      <c r="K528" s="87">
        <f ca="1">IFERROR(K527*(1+PREMISSAS!$C$19)+(E528+H528-IF(RESULTADOS!$C$17="Normal",I528,0)-J528)*IF(MONTH(B528)=12,2,1),0)</f>
        <v>0</v>
      </c>
      <c r="L528" s="87">
        <f ca="1">IFERROR((L527+G528-IF(RESULTADOS!$C$17="Normal",0,I528))*(1+PREMISSAS!$C$19)+F528,0)</f>
        <v>0</v>
      </c>
      <c r="N528" s="58">
        <f t="shared" ref="N528:N591" ca="1" si="73">IFERROR((E528+F528+G528)/C528,0)</f>
        <v>0</v>
      </c>
      <c r="P528" s="131" t="str">
        <f t="shared" ref="P528:P591" ca="1" si="74">IF(C528="","",B528)</f>
        <v/>
      </c>
      <c r="Q528" s="111" t="str">
        <f ca="1">IF(C528="","",Q527+(E528+H528-IF(RESULTADOS!$C$17="Normal",I528,0)-J528)/2+(F528+G528-IF(RESULTADOS!$C$17="Normal",0,I528)))</f>
        <v/>
      </c>
      <c r="R528" s="111" t="str">
        <f ca="1">IF(C528="","",R527+(E528+H528-IF(RESULTADOS!$C$17="Normal",I528,0)-J528)/2)</f>
        <v/>
      </c>
      <c r="S528" s="111">
        <f t="shared" ref="S528:S591" ca="1" si="75">SUM(K528:L528)-SUM(Q528:R528)</f>
        <v>0</v>
      </c>
      <c r="U528" s="131" t="str">
        <f t="shared" ref="U528:U591" ca="1" si="76">IF(Y528=0,"",EOMONTH(U527,1))</f>
        <v/>
      </c>
      <c r="V528" s="131" t="str">
        <f t="shared" ref="V528:V591" ca="1" si="77">IF(AA528&lt;&gt;"",U528,"")</f>
        <v/>
      </c>
      <c r="W528" s="111">
        <f ca="1">IF(OR((W527-13/12*Z527)*(1+PREMISSAS!$C$17)&lt;0,W527=""),0,(W527-13/12*Z527)*(1+PREMISSAS!$C$17))</f>
        <v>0</v>
      </c>
      <c r="X528" s="111">
        <f ca="1">IF(OR((X527-13/12*AA527)*(1+PREMISSAS!$C$17)&lt;0,X527=""),0,(X527-13/12*AA527)*(1+PREMISSAS!$C$17))</f>
        <v>0</v>
      </c>
      <c r="Y528" s="111">
        <f t="shared" ref="Y528:Y591" ca="1" si="78">SUM(W528:X528)</f>
        <v>0</v>
      </c>
      <c r="Z528" s="134">
        <f t="shared" ref="Z528:Z591" ca="1" si="79">IF(W528&lt;&gt;0,Z527,0)</f>
        <v>0</v>
      </c>
      <c r="AA528" s="134">
        <f t="shared" ca="1" si="72"/>
        <v>0</v>
      </c>
    </row>
    <row r="529" spans="2:27" x14ac:dyDescent="0.3">
      <c r="B529" s="21" t="str">
        <f ca="1">IF(B528="","",IF(EOMONTH(B528,1)&gt;EOMONTH(ELEGIBILIDADE!$E$5,0),"",EOMONTH(B528,1)))</f>
        <v/>
      </c>
      <c r="C529" s="22" t="str">
        <f ca="1">IF(B529="","",IF(MONTH(B529)=1,C528*(1+PREMISSAS!$C$58),C528))</f>
        <v/>
      </c>
      <c r="D529" s="22">
        <f ca="1">IF(RESULTADOS!$C$17="Normal",IFERROR(MAX(C529-PREMISSAS!$C$14,0),0),IF(PREMISSAS!$H$117=0,0,MAX(10*PREMISSAS!$C$39,RESULTADOS!$F$17)))</f>
        <v>0</v>
      </c>
      <c r="E529" s="4">
        <f ca="1">D529*IF(RESULTADOS!$C$17="Normal",RESULTADOS!$C$16,0)</f>
        <v>0</v>
      </c>
      <c r="F529" s="4">
        <f ca="1">IF(D529&lt;&gt;0,PREMISSAS!$N$83,0)</f>
        <v>0</v>
      </c>
      <c r="G529" s="4">
        <f ca="1">IFERROR(IF(RESULTADOS!$C$17="Normal",0,D529)*IF(RESULTADOS!$C$17="Normal",RESULTADOS!$C$18,RESULTADOS!$C$16),0)</f>
        <v>0</v>
      </c>
      <c r="H529" s="4">
        <f ca="1">IF(RESULTADOS!$C$17="Normal",E529,0)</f>
        <v>0</v>
      </c>
      <c r="I529" s="4">
        <f ca="1">(E529+H529+G529)*IFERROR(VLOOKUP(INT(COUNT($B$5:B529)/12),PREMISSAS!$B$62:$C$69,2,FALSE),PREMISSAS!$C$69)</f>
        <v>0</v>
      </c>
      <c r="J529" s="4">
        <f ca="1">D529*IF(RESULTADOS!$C$17="Normal",PREMISSAS!$C$71,0)</f>
        <v>0</v>
      </c>
      <c r="K529" s="87">
        <f ca="1">IFERROR(K528*(1+PREMISSAS!$C$19)+(E529+H529-IF(RESULTADOS!$C$17="Normal",I529,0)-J529)*IF(MONTH(B529)=12,2,1),0)</f>
        <v>0</v>
      </c>
      <c r="L529" s="87">
        <f ca="1">IFERROR((L528+G529-IF(RESULTADOS!$C$17="Normal",0,I529))*(1+PREMISSAS!$C$19)+F529,0)</f>
        <v>0</v>
      </c>
      <c r="N529" s="58">
        <f t="shared" ca="1" si="73"/>
        <v>0</v>
      </c>
      <c r="P529" s="131" t="str">
        <f t="shared" ca="1" si="74"/>
        <v/>
      </c>
      <c r="Q529" s="111" t="str">
        <f ca="1">IF(C529="","",Q528+(E529+H529-IF(RESULTADOS!$C$17="Normal",I529,0)-J529)/2+(F529+G529-IF(RESULTADOS!$C$17="Normal",0,I529)))</f>
        <v/>
      </c>
      <c r="R529" s="111" t="str">
        <f ca="1">IF(C529="","",R528+(E529+H529-IF(RESULTADOS!$C$17="Normal",I529,0)-J529)/2)</f>
        <v/>
      </c>
      <c r="S529" s="111">
        <f t="shared" ca="1" si="75"/>
        <v>0</v>
      </c>
      <c r="U529" s="131" t="str">
        <f t="shared" ca="1" si="76"/>
        <v/>
      </c>
      <c r="V529" s="131" t="str">
        <f t="shared" ca="1" si="77"/>
        <v/>
      </c>
      <c r="W529" s="111">
        <f ca="1">IF(OR((W528-13/12*Z528)*(1+PREMISSAS!$C$17)&lt;0,W528=""),0,(W528-13/12*Z528)*(1+PREMISSAS!$C$17))</f>
        <v>0</v>
      </c>
      <c r="X529" s="111">
        <f ca="1">IF(OR((X528-13/12*AA528)*(1+PREMISSAS!$C$17)&lt;0,X528=""),0,(X528-13/12*AA528)*(1+PREMISSAS!$C$17))</f>
        <v>0</v>
      </c>
      <c r="Y529" s="111">
        <f t="shared" ca="1" si="78"/>
        <v>0</v>
      </c>
      <c r="Z529" s="134">
        <f t="shared" ca="1" si="79"/>
        <v>0</v>
      </c>
      <c r="AA529" s="134">
        <f t="shared" ca="1" si="72"/>
        <v>0</v>
      </c>
    </row>
    <row r="530" spans="2:27" x14ac:dyDescent="0.3">
      <c r="B530" s="21" t="str">
        <f ca="1">IF(B529="","",IF(EOMONTH(B529,1)&gt;EOMONTH(ELEGIBILIDADE!$E$5,0),"",EOMONTH(B529,1)))</f>
        <v/>
      </c>
      <c r="C530" s="22" t="str">
        <f ca="1">IF(B530="","",IF(MONTH(B530)=1,C529*(1+PREMISSAS!$C$58),C529))</f>
        <v/>
      </c>
      <c r="D530" s="22">
        <f ca="1">IF(RESULTADOS!$C$17="Normal",IFERROR(MAX(C530-PREMISSAS!$C$14,0),0),IF(PREMISSAS!$H$117=0,0,MAX(10*PREMISSAS!$C$39,RESULTADOS!$F$17)))</f>
        <v>0</v>
      </c>
      <c r="E530" s="4">
        <f ca="1">D530*IF(RESULTADOS!$C$17="Normal",RESULTADOS!$C$16,0)</f>
        <v>0</v>
      </c>
      <c r="F530" s="4">
        <f ca="1">IF(D530&lt;&gt;0,PREMISSAS!$N$83,0)</f>
        <v>0</v>
      </c>
      <c r="G530" s="4">
        <f ca="1">IFERROR(IF(RESULTADOS!$C$17="Normal",0,D530)*IF(RESULTADOS!$C$17="Normal",RESULTADOS!$C$18,RESULTADOS!$C$16),0)</f>
        <v>0</v>
      </c>
      <c r="H530" s="4">
        <f ca="1">IF(RESULTADOS!$C$17="Normal",E530,0)</f>
        <v>0</v>
      </c>
      <c r="I530" s="4">
        <f ca="1">(E530+H530+G530)*IFERROR(VLOOKUP(INT(COUNT($B$5:B530)/12),PREMISSAS!$B$62:$C$69,2,FALSE),PREMISSAS!$C$69)</f>
        <v>0</v>
      </c>
      <c r="J530" s="4">
        <f ca="1">D530*IF(RESULTADOS!$C$17="Normal",PREMISSAS!$C$71,0)</f>
        <v>0</v>
      </c>
      <c r="K530" s="87">
        <f ca="1">IFERROR(K529*(1+PREMISSAS!$C$19)+(E530+H530-IF(RESULTADOS!$C$17="Normal",I530,0)-J530)*IF(MONTH(B530)=12,2,1),0)</f>
        <v>0</v>
      </c>
      <c r="L530" s="87">
        <f ca="1">IFERROR((L529+G530-IF(RESULTADOS!$C$17="Normal",0,I530))*(1+PREMISSAS!$C$19)+F530,0)</f>
        <v>0</v>
      </c>
      <c r="N530" s="58">
        <f t="shared" ca="1" si="73"/>
        <v>0</v>
      </c>
      <c r="P530" s="131" t="str">
        <f t="shared" ca="1" si="74"/>
        <v/>
      </c>
      <c r="Q530" s="111" t="str">
        <f ca="1">IF(C530="","",Q529+(E530+H530-IF(RESULTADOS!$C$17="Normal",I530,0)-J530)/2+(F530+G530-IF(RESULTADOS!$C$17="Normal",0,I530)))</f>
        <v/>
      </c>
      <c r="R530" s="111" t="str">
        <f ca="1">IF(C530="","",R529+(E530+H530-IF(RESULTADOS!$C$17="Normal",I530,0)-J530)/2)</f>
        <v/>
      </c>
      <c r="S530" s="111">
        <f t="shared" ca="1" si="75"/>
        <v>0</v>
      </c>
      <c r="U530" s="131" t="str">
        <f t="shared" ca="1" si="76"/>
        <v/>
      </c>
      <c r="V530" s="131" t="str">
        <f t="shared" ca="1" si="77"/>
        <v/>
      </c>
      <c r="W530" s="111">
        <f ca="1">IF(OR((W529-13/12*Z529)*(1+PREMISSAS!$C$17)&lt;0,W529=""),0,(W529-13/12*Z529)*(1+PREMISSAS!$C$17))</f>
        <v>0</v>
      </c>
      <c r="X530" s="111">
        <f ca="1">IF(OR((X529-13/12*AA529)*(1+PREMISSAS!$C$17)&lt;0,X529=""),0,(X529-13/12*AA529)*(1+PREMISSAS!$C$17))</f>
        <v>0</v>
      </c>
      <c r="Y530" s="111">
        <f t="shared" ca="1" si="78"/>
        <v>0</v>
      </c>
      <c r="Z530" s="134">
        <f t="shared" ca="1" si="79"/>
        <v>0</v>
      </c>
      <c r="AA530" s="134">
        <f t="shared" ca="1" si="72"/>
        <v>0</v>
      </c>
    </row>
    <row r="531" spans="2:27" x14ac:dyDescent="0.3">
      <c r="B531" s="21" t="str">
        <f ca="1">IF(B530="","",IF(EOMONTH(B530,1)&gt;EOMONTH(ELEGIBILIDADE!$E$5,0),"",EOMONTH(B530,1)))</f>
        <v/>
      </c>
      <c r="C531" s="22" t="str">
        <f ca="1">IF(B531="","",IF(MONTH(B531)=1,C530*(1+PREMISSAS!$C$58),C530))</f>
        <v/>
      </c>
      <c r="D531" s="22">
        <f ca="1">IF(RESULTADOS!$C$17="Normal",IFERROR(MAX(C531-PREMISSAS!$C$14,0),0),IF(PREMISSAS!$H$117=0,0,MAX(10*PREMISSAS!$C$39,RESULTADOS!$F$17)))</f>
        <v>0</v>
      </c>
      <c r="E531" s="4">
        <f ca="1">D531*IF(RESULTADOS!$C$17="Normal",RESULTADOS!$C$16,0)</f>
        <v>0</v>
      </c>
      <c r="F531" s="4">
        <f ca="1">IF(D531&lt;&gt;0,PREMISSAS!$N$83,0)</f>
        <v>0</v>
      </c>
      <c r="G531" s="4">
        <f ca="1">IFERROR(IF(RESULTADOS!$C$17="Normal",0,D531)*IF(RESULTADOS!$C$17="Normal",RESULTADOS!$C$18,RESULTADOS!$C$16),0)</f>
        <v>0</v>
      </c>
      <c r="H531" s="4">
        <f ca="1">IF(RESULTADOS!$C$17="Normal",E531,0)</f>
        <v>0</v>
      </c>
      <c r="I531" s="4">
        <f ca="1">(E531+H531+G531)*IFERROR(VLOOKUP(INT(COUNT($B$5:B531)/12),PREMISSAS!$B$62:$C$69,2,FALSE),PREMISSAS!$C$69)</f>
        <v>0</v>
      </c>
      <c r="J531" s="4">
        <f ca="1">D531*IF(RESULTADOS!$C$17="Normal",PREMISSAS!$C$71,0)</f>
        <v>0</v>
      </c>
      <c r="K531" s="87">
        <f ca="1">IFERROR(K530*(1+PREMISSAS!$C$19)+(E531+H531-IF(RESULTADOS!$C$17="Normal",I531,0)-J531)*IF(MONTH(B531)=12,2,1),0)</f>
        <v>0</v>
      </c>
      <c r="L531" s="87">
        <f ca="1">IFERROR((L530+G531-IF(RESULTADOS!$C$17="Normal",0,I531))*(1+PREMISSAS!$C$19)+F531,0)</f>
        <v>0</v>
      </c>
      <c r="N531" s="58">
        <f t="shared" ca="1" si="73"/>
        <v>0</v>
      </c>
      <c r="P531" s="131" t="str">
        <f t="shared" ca="1" si="74"/>
        <v/>
      </c>
      <c r="Q531" s="111" t="str">
        <f ca="1">IF(C531="","",Q530+(E531+H531-IF(RESULTADOS!$C$17="Normal",I531,0)-J531)/2+(F531+G531-IF(RESULTADOS!$C$17="Normal",0,I531)))</f>
        <v/>
      </c>
      <c r="R531" s="111" t="str">
        <f ca="1">IF(C531="","",R530+(E531+H531-IF(RESULTADOS!$C$17="Normal",I531,0)-J531)/2)</f>
        <v/>
      </c>
      <c r="S531" s="111">
        <f t="shared" ca="1" si="75"/>
        <v>0</v>
      </c>
      <c r="U531" s="131" t="str">
        <f t="shared" ca="1" si="76"/>
        <v/>
      </c>
      <c r="V531" s="131" t="str">
        <f t="shared" ca="1" si="77"/>
        <v/>
      </c>
      <c r="W531" s="111">
        <f ca="1">IF(OR((W530-13/12*Z530)*(1+PREMISSAS!$C$17)&lt;0,W530=""),0,(W530-13/12*Z530)*(1+PREMISSAS!$C$17))</f>
        <v>0</v>
      </c>
      <c r="X531" s="111">
        <f ca="1">IF(OR((X530-13/12*AA530)*(1+PREMISSAS!$C$17)&lt;0,X530=""),0,(X530-13/12*AA530)*(1+PREMISSAS!$C$17))</f>
        <v>0</v>
      </c>
      <c r="Y531" s="111">
        <f t="shared" ca="1" si="78"/>
        <v>0</v>
      </c>
      <c r="Z531" s="134">
        <f t="shared" ca="1" si="79"/>
        <v>0</v>
      </c>
      <c r="AA531" s="134">
        <f t="shared" ca="1" si="72"/>
        <v>0</v>
      </c>
    </row>
    <row r="532" spans="2:27" x14ac:dyDescent="0.3">
      <c r="B532" s="21" t="str">
        <f ca="1">IF(B531="","",IF(EOMONTH(B531,1)&gt;EOMONTH(ELEGIBILIDADE!$E$5,0),"",EOMONTH(B531,1)))</f>
        <v/>
      </c>
      <c r="C532" s="22" t="str">
        <f ca="1">IF(B532="","",IF(MONTH(B532)=1,C531*(1+PREMISSAS!$C$58),C531))</f>
        <v/>
      </c>
      <c r="D532" s="22">
        <f ca="1">IF(RESULTADOS!$C$17="Normal",IFERROR(MAX(C532-PREMISSAS!$C$14,0),0),IF(PREMISSAS!$H$117=0,0,MAX(10*PREMISSAS!$C$39,RESULTADOS!$F$17)))</f>
        <v>0</v>
      </c>
      <c r="E532" s="4">
        <f ca="1">D532*IF(RESULTADOS!$C$17="Normal",RESULTADOS!$C$16,0)</f>
        <v>0</v>
      </c>
      <c r="F532" s="4">
        <f ca="1">IF(D532&lt;&gt;0,PREMISSAS!$N$83,0)</f>
        <v>0</v>
      </c>
      <c r="G532" s="4">
        <f ca="1">IFERROR(IF(RESULTADOS!$C$17="Normal",0,D532)*IF(RESULTADOS!$C$17="Normal",RESULTADOS!$C$18,RESULTADOS!$C$16),0)</f>
        <v>0</v>
      </c>
      <c r="H532" s="4">
        <f ca="1">IF(RESULTADOS!$C$17="Normal",E532,0)</f>
        <v>0</v>
      </c>
      <c r="I532" s="4">
        <f ca="1">(E532+H532+G532)*IFERROR(VLOOKUP(INT(COUNT($B$5:B532)/12),PREMISSAS!$B$62:$C$69,2,FALSE),PREMISSAS!$C$69)</f>
        <v>0</v>
      </c>
      <c r="J532" s="4">
        <f ca="1">D532*IF(RESULTADOS!$C$17="Normal",PREMISSAS!$C$71,0)</f>
        <v>0</v>
      </c>
      <c r="K532" s="87">
        <f ca="1">IFERROR(K531*(1+PREMISSAS!$C$19)+(E532+H532-IF(RESULTADOS!$C$17="Normal",I532,0)-J532)*IF(MONTH(B532)=12,2,1),0)</f>
        <v>0</v>
      </c>
      <c r="L532" s="87">
        <f ca="1">IFERROR((L531+G532-IF(RESULTADOS!$C$17="Normal",0,I532))*(1+PREMISSAS!$C$19)+F532,0)</f>
        <v>0</v>
      </c>
      <c r="N532" s="58">
        <f t="shared" ca="1" si="73"/>
        <v>0</v>
      </c>
      <c r="P532" s="131" t="str">
        <f t="shared" ca="1" si="74"/>
        <v/>
      </c>
      <c r="Q532" s="111" t="str">
        <f ca="1">IF(C532="","",Q531+(E532+H532-IF(RESULTADOS!$C$17="Normal",I532,0)-J532)/2+(F532+G532-IF(RESULTADOS!$C$17="Normal",0,I532)))</f>
        <v/>
      </c>
      <c r="R532" s="111" t="str">
        <f ca="1">IF(C532="","",R531+(E532+H532-IF(RESULTADOS!$C$17="Normal",I532,0)-J532)/2)</f>
        <v/>
      </c>
      <c r="S532" s="111">
        <f t="shared" ca="1" si="75"/>
        <v>0</v>
      </c>
      <c r="U532" s="131" t="str">
        <f t="shared" ca="1" si="76"/>
        <v/>
      </c>
      <c r="V532" s="131" t="str">
        <f t="shared" ca="1" si="77"/>
        <v/>
      </c>
      <c r="W532" s="111">
        <f ca="1">IF(OR((W531-13/12*Z531)*(1+PREMISSAS!$C$17)&lt;0,W531=""),0,(W531-13/12*Z531)*(1+PREMISSAS!$C$17))</f>
        <v>0</v>
      </c>
      <c r="X532" s="111">
        <f ca="1">IF(OR((X531-13/12*AA531)*(1+PREMISSAS!$C$17)&lt;0,X531=""),0,(X531-13/12*AA531)*(1+PREMISSAS!$C$17))</f>
        <v>0</v>
      </c>
      <c r="Y532" s="111">
        <f t="shared" ca="1" si="78"/>
        <v>0</v>
      </c>
      <c r="Z532" s="134">
        <f t="shared" ca="1" si="79"/>
        <v>0</v>
      </c>
      <c r="AA532" s="134">
        <f t="shared" ca="1" si="72"/>
        <v>0</v>
      </c>
    </row>
    <row r="533" spans="2:27" x14ac:dyDescent="0.3">
      <c r="B533" s="21" t="str">
        <f ca="1">IF(B532="","",IF(EOMONTH(B532,1)&gt;EOMONTH(ELEGIBILIDADE!$E$5,0),"",EOMONTH(B532,1)))</f>
        <v/>
      </c>
      <c r="C533" s="22" t="str">
        <f ca="1">IF(B533="","",IF(MONTH(B533)=1,C532*(1+PREMISSAS!$C$58),C532))</f>
        <v/>
      </c>
      <c r="D533" s="22">
        <f ca="1">IF(RESULTADOS!$C$17="Normal",IFERROR(MAX(C533-PREMISSAS!$C$14,0),0),IF(PREMISSAS!$H$117=0,0,MAX(10*PREMISSAS!$C$39,RESULTADOS!$F$17)))</f>
        <v>0</v>
      </c>
      <c r="E533" s="4">
        <f ca="1">D533*IF(RESULTADOS!$C$17="Normal",RESULTADOS!$C$16,0)</f>
        <v>0</v>
      </c>
      <c r="F533" s="4">
        <f ca="1">IF(D533&lt;&gt;0,PREMISSAS!$N$83,0)</f>
        <v>0</v>
      </c>
      <c r="G533" s="4">
        <f ca="1">IFERROR(IF(RESULTADOS!$C$17="Normal",0,D533)*IF(RESULTADOS!$C$17="Normal",RESULTADOS!$C$18,RESULTADOS!$C$16),0)</f>
        <v>0</v>
      </c>
      <c r="H533" s="4">
        <f ca="1">IF(RESULTADOS!$C$17="Normal",E533,0)</f>
        <v>0</v>
      </c>
      <c r="I533" s="4">
        <f ca="1">(E533+H533+G533)*IFERROR(VLOOKUP(INT(COUNT($B$5:B533)/12),PREMISSAS!$B$62:$C$69,2,FALSE),PREMISSAS!$C$69)</f>
        <v>0</v>
      </c>
      <c r="J533" s="4">
        <f ca="1">D533*IF(RESULTADOS!$C$17="Normal",PREMISSAS!$C$71,0)</f>
        <v>0</v>
      </c>
      <c r="K533" s="87">
        <f ca="1">IFERROR(K532*(1+PREMISSAS!$C$19)+(E533+H533-IF(RESULTADOS!$C$17="Normal",I533,0)-J533)*IF(MONTH(B533)=12,2,1),0)</f>
        <v>0</v>
      </c>
      <c r="L533" s="87">
        <f ca="1">IFERROR((L532+G533-IF(RESULTADOS!$C$17="Normal",0,I533))*(1+PREMISSAS!$C$19)+F533,0)</f>
        <v>0</v>
      </c>
      <c r="N533" s="58">
        <f t="shared" ca="1" si="73"/>
        <v>0</v>
      </c>
      <c r="P533" s="131" t="str">
        <f t="shared" ca="1" si="74"/>
        <v/>
      </c>
      <c r="Q533" s="111" t="str">
        <f ca="1">IF(C533="","",Q532+(E533+H533-IF(RESULTADOS!$C$17="Normal",I533,0)-J533)/2+(F533+G533-IF(RESULTADOS!$C$17="Normal",0,I533)))</f>
        <v/>
      </c>
      <c r="R533" s="111" t="str">
        <f ca="1">IF(C533="","",R532+(E533+H533-IF(RESULTADOS!$C$17="Normal",I533,0)-J533)/2)</f>
        <v/>
      </c>
      <c r="S533" s="111">
        <f t="shared" ca="1" si="75"/>
        <v>0</v>
      </c>
      <c r="U533" s="131" t="str">
        <f t="shared" ca="1" si="76"/>
        <v/>
      </c>
      <c r="V533" s="131" t="str">
        <f t="shared" ca="1" si="77"/>
        <v/>
      </c>
      <c r="W533" s="111">
        <f ca="1">IF(OR((W532-13/12*Z532)*(1+PREMISSAS!$C$17)&lt;0,W532=""),0,(W532-13/12*Z532)*(1+PREMISSAS!$C$17))</f>
        <v>0</v>
      </c>
      <c r="X533" s="111">
        <f ca="1">IF(OR((X532-13/12*AA532)*(1+PREMISSAS!$C$17)&lt;0,X532=""),0,(X532-13/12*AA532)*(1+PREMISSAS!$C$17))</f>
        <v>0</v>
      </c>
      <c r="Y533" s="111">
        <f t="shared" ca="1" si="78"/>
        <v>0</v>
      </c>
      <c r="Z533" s="134">
        <f t="shared" ca="1" si="79"/>
        <v>0</v>
      </c>
      <c r="AA533" s="134">
        <f t="shared" ca="1" si="72"/>
        <v>0</v>
      </c>
    </row>
    <row r="534" spans="2:27" x14ac:dyDescent="0.3">
      <c r="B534" s="21" t="str">
        <f ca="1">IF(B533="","",IF(EOMONTH(B533,1)&gt;EOMONTH(ELEGIBILIDADE!$E$5,0),"",EOMONTH(B533,1)))</f>
        <v/>
      </c>
      <c r="C534" s="22" t="str">
        <f ca="1">IF(B534="","",IF(MONTH(B534)=1,C533*(1+PREMISSAS!$C$58),C533))</f>
        <v/>
      </c>
      <c r="D534" s="22">
        <f ca="1">IF(RESULTADOS!$C$17="Normal",IFERROR(MAX(C534-PREMISSAS!$C$14,0),0),IF(PREMISSAS!$H$117=0,0,MAX(10*PREMISSAS!$C$39,RESULTADOS!$F$17)))</f>
        <v>0</v>
      </c>
      <c r="E534" s="4">
        <f ca="1">D534*IF(RESULTADOS!$C$17="Normal",RESULTADOS!$C$16,0)</f>
        <v>0</v>
      </c>
      <c r="F534" s="4">
        <f ca="1">IF(D534&lt;&gt;0,PREMISSAS!$N$83,0)</f>
        <v>0</v>
      </c>
      <c r="G534" s="4">
        <f ca="1">IFERROR(IF(RESULTADOS!$C$17="Normal",0,D534)*IF(RESULTADOS!$C$17="Normal",RESULTADOS!$C$18,RESULTADOS!$C$16),0)</f>
        <v>0</v>
      </c>
      <c r="H534" s="4">
        <f ca="1">IF(RESULTADOS!$C$17="Normal",E534,0)</f>
        <v>0</v>
      </c>
      <c r="I534" s="4">
        <f ca="1">(E534+H534+G534)*IFERROR(VLOOKUP(INT(COUNT($B$5:B534)/12),PREMISSAS!$B$62:$C$69,2,FALSE),PREMISSAS!$C$69)</f>
        <v>0</v>
      </c>
      <c r="J534" s="4">
        <f ca="1">D534*IF(RESULTADOS!$C$17="Normal",PREMISSAS!$C$71,0)</f>
        <v>0</v>
      </c>
      <c r="K534" s="87">
        <f ca="1">IFERROR(K533*(1+PREMISSAS!$C$19)+(E534+H534-IF(RESULTADOS!$C$17="Normal",I534,0)-J534)*IF(MONTH(B534)=12,2,1),0)</f>
        <v>0</v>
      </c>
      <c r="L534" s="87">
        <f ca="1">IFERROR((L533+G534-IF(RESULTADOS!$C$17="Normal",0,I534))*(1+PREMISSAS!$C$19)+F534,0)</f>
        <v>0</v>
      </c>
      <c r="N534" s="58">
        <f t="shared" ca="1" si="73"/>
        <v>0</v>
      </c>
      <c r="P534" s="131" t="str">
        <f t="shared" ca="1" si="74"/>
        <v/>
      </c>
      <c r="Q534" s="111" t="str">
        <f ca="1">IF(C534="","",Q533+(E534+H534-IF(RESULTADOS!$C$17="Normal",I534,0)-J534)/2+(F534+G534-IF(RESULTADOS!$C$17="Normal",0,I534)))</f>
        <v/>
      </c>
      <c r="R534" s="111" t="str">
        <f ca="1">IF(C534="","",R533+(E534+H534-IF(RESULTADOS!$C$17="Normal",I534,0)-J534)/2)</f>
        <v/>
      </c>
      <c r="S534" s="111">
        <f t="shared" ca="1" si="75"/>
        <v>0</v>
      </c>
      <c r="U534" s="131" t="str">
        <f t="shared" ca="1" si="76"/>
        <v/>
      </c>
      <c r="V534" s="131" t="str">
        <f t="shared" ca="1" si="77"/>
        <v/>
      </c>
      <c r="W534" s="111">
        <f ca="1">IF(OR((W533-13/12*Z533)*(1+PREMISSAS!$C$17)&lt;0,W533=""),0,(W533-13/12*Z533)*(1+PREMISSAS!$C$17))</f>
        <v>0</v>
      </c>
      <c r="X534" s="111">
        <f ca="1">IF(OR((X533-13/12*AA533)*(1+PREMISSAS!$C$17)&lt;0,X533=""),0,(X533-13/12*AA533)*(1+PREMISSAS!$C$17))</f>
        <v>0</v>
      </c>
      <c r="Y534" s="111">
        <f t="shared" ca="1" si="78"/>
        <v>0</v>
      </c>
      <c r="Z534" s="134">
        <f t="shared" ca="1" si="79"/>
        <v>0</v>
      </c>
      <c r="AA534" s="134">
        <f t="shared" ca="1" si="72"/>
        <v>0</v>
      </c>
    </row>
    <row r="535" spans="2:27" x14ac:dyDescent="0.3">
      <c r="B535" s="21" t="str">
        <f ca="1">IF(B534="","",IF(EOMONTH(B534,1)&gt;EOMONTH(ELEGIBILIDADE!$E$5,0),"",EOMONTH(B534,1)))</f>
        <v/>
      </c>
      <c r="C535" s="22" t="str">
        <f ca="1">IF(B535="","",IF(MONTH(B535)=1,C534*(1+PREMISSAS!$C$58),C534))</f>
        <v/>
      </c>
      <c r="D535" s="22">
        <f ca="1">IF(RESULTADOS!$C$17="Normal",IFERROR(MAX(C535-PREMISSAS!$C$14,0),0),IF(PREMISSAS!$H$117=0,0,MAX(10*PREMISSAS!$C$39,RESULTADOS!$F$17)))</f>
        <v>0</v>
      </c>
      <c r="E535" s="4">
        <f ca="1">D535*IF(RESULTADOS!$C$17="Normal",RESULTADOS!$C$16,0)</f>
        <v>0</v>
      </c>
      <c r="F535" s="4">
        <f ca="1">IF(D535&lt;&gt;0,PREMISSAS!$N$83,0)</f>
        <v>0</v>
      </c>
      <c r="G535" s="4">
        <f ca="1">IFERROR(IF(RESULTADOS!$C$17="Normal",0,D535)*IF(RESULTADOS!$C$17="Normal",RESULTADOS!$C$18,RESULTADOS!$C$16),0)</f>
        <v>0</v>
      </c>
      <c r="H535" s="4">
        <f ca="1">IF(RESULTADOS!$C$17="Normal",E535,0)</f>
        <v>0</v>
      </c>
      <c r="I535" s="4">
        <f ca="1">(E535+H535+G535)*IFERROR(VLOOKUP(INT(COUNT($B$5:B535)/12),PREMISSAS!$B$62:$C$69,2,FALSE),PREMISSAS!$C$69)</f>
        <v>0</v>
      </c>
      <c r="J535" s="4">
        <f ca="1">D535*IF(RESULTADOS!$C$17="Normal",PREMISSAS!$C$71,0)</f>
        <v>0</v>
      </c>
      <c r="K535" s="87">
        <f ca="1">IFERROR(K534*(1+PREMISSAS!$C$19)+(E535+H535-IF(RESULTADOS!$C$17="Normal",I535,0)-J535)*IF(MONTH(B535)=12,2,1),0)</f>
        <v>0</v>
      </c>
      <c r="L535" s="87">
        <f ca="1">IFERROR((L534+G535-IF(RESULTADOS!$C$17="Normal",0,I535))*(1+PREMISSAS!$C$19)+F535,0)</f>
        <v>0</v>
      </c>
      <c r="N535" s="58">
        <f t="shared" ca="1" si="73"/>
        <v>0</v>
      </c>
      <c r="P535" s="131" t="str">
        <f t="shared" ca="1" si="74"/>
        <v/>
      </c>
      <c r="Q535" s="111" t="str">
        <f ca="1">IF(C535="","",Q534+(E535+H535-IF(RESULTADOS!$C$17="Normal",I535,0)-J535)/2+(F535+G535-IF(RESULTADOS!$C$17="Normal",0,I535)))</f>
        <v/>
      </c>
      <c r="R535" s="111" t="str">
        <f ca="1">IF(C535="","",R534+(E535+H535-IF(RESULTADOS!$C$17="Normal",I535,0)-J535)/2)</f>
        <v/>
      </c>
      <c r="S535" s="111">
        <f t="shared" ca="1" si="75"/>
        <v>0</v>
      </c>
      <c r="U535" s="131" t="str">
        <f t="shared" ca="1" si="76"/>
        <v/>
      </c>
      <c r="V535" s="131" t="str">
        <f t="shared" ca="1" si="77"/>
        <v/>
      </c>
      <c r="W535" s="111">
        <f ca="1">IF(OR((W534-13/12*Z534)*(1+PREMISSAS!$C$17)&lt;0,W534=""),0,(W534-13/12*Z534)*(1+PREMISSAS!$C$17))</f>
        <v>0</v>
      </c>
      <c r="X535" s="111">
        <f ca="1">IF(OR((X534-13/12*AA534)*(1+PREMISSAS!$C$17)&lt;0,X534=""),0,(X534-13/12*AA534)*(1+PREMISSAS!$C$17))</f>
        <v>0</v>
      </c>
      <c r="Y535" s="111">
        <f t="shared" ca="1" si="78"/>
        <v>0</v>
      </c>
      <c r="Z535" s="134">
        <f t="shared" ca="1" si="79"/>
        <v>0</v>
      </c>
      <c r="AA535" s="134">
        <f t="shared" ca="1" si="72"/>
        <v>0</v>
      </c>
    </row>
    <row r="536" spans="2:27" x14ac:dyDescent="0.3">
      <c r="B536" s="21" t="str">
        <f ca="1">IF(B535="","",IF(EOMONTH(B535,1)&gt;EOMONTH(ELEGIBILIDADE!$E$5,0),"",EOMONTH(B535,1)))</f>
        <v/>
      </c>
      <c r="C536" s="22" t="str">
        <f ca="1">IF(B536="","",IF(MONTH(B536)=1,C535*(1+PREMISSAS!$C$58),C535))</f>
        <v/>
      </c>
      <c r="D536" s="22">
        <f ca="1">IF(RESULTADOS!$C$17="Normal",IFERROR(MAX(C536-PREMISSAS!$C$14,0),0),IF(PREMISSAS!$H$117=0,0,MAX(10*PREMISSAS!$C$39,RESULTADOS!$F$17)))</f>
        <v>0</v>
      </c>
      <c r="E536" s="4">
        <f ca="1">D536*IF(RESULTADOS!$C$17="Normal",RESULTADOS!$C$16,0)</f>
        <v>0</v>
      </c>
      <c r="F536" s="4">
        <f ca="1">IF(D536&lt;&gt;0,PREMISSAS!$N$83,0)</f>
        <v>0</v>
      </c>
      <c r="G536" s="4">
        <f ca="1">IFERROR(IF(RESULTADOS!$C$17="Normal",0,D536)*IF(RESULTADOS!$C$17="Normal",RESULTADOS!$C$18,RESULTADOS!$C$16),0)</f>
        <v>0</v>
      </c>
      <c r="H536" s="4">
        <f ca="1">IF(RESULTADOS!$C$17="Normal",E536,0)</f>
        <v>0</v>
      </c>
      <c r="I536" s="4">
        <f ca="1">(E536+H536+G536)*IFERROR(VLOOKUP(INT(COUNT($B$5:B536)/12),PREMISSAS!$B$62:$C$69,2,FALSE),PREMISSAS!$C$69)</f>
        <v>0</v>
      </c>
      <c r="J536" s="4">
        <f ca="1">D536*IF(RESULTADOS!$C$17="Normal",PREMISSAS!$C$71,0)</f>
        <v>0</v>
      </c>
      <c r="K536" s="87">
        <f ca="1">IFERROR(K535*(1+PREMISSAS!$C$19)+(E536+H536-IF(RESULTADOS!$C$17="Normal",I536,0)-J536)*IF(MONTH(B536)=12,2,1),0)</f>
        <v>0</v>
      </c>
      <c r="L536" s="87">
        <f ca="1">IFERROR((L535+G536-IF(RESULTADOS!$C$17="Normal",0,I536))*(1+PREMISSAS!$C$19)+F536,0)</f>
        <v>0</v>
      </c>
      <c r="N536" s="58">
        <f t="shared" ca="1" si="73"/>
        <v>0</v>
      </c>
      <c r="P536" s="131" t="str">
        <f t="shared" ca="1" si="74"/>
        <v/>
      </c>
      <c r="Q536" s="111" t="str">
        <f ca="1">IF(C536="","",Q535+(E536+H536-IF(RESULTADOS!$C$17="Normal",I536,0)-J536)/2+(F536+G536-IF(RESULTADOS!$C$17="Normal",0,I536)))</f>
        <v/>
      </c>
      <c r="R536" s="111" t="str">
        <f ca="1">IF(C536="","",R535+(E536+H536-IF(RESULTADOS!$C$17="Normal",I536,0)-J536)/2)</f>
        <v/>
      </c>
      <c r="S536" s="111">
        <f t="shared" ca="1" si="75"/>
        <v>0</v>
      </c>
      <c r="U536" s="131" t="str">
        <f t="shared" ca="1" si="76"/>
        <v/>
      </c>
      <c r="V536" s="131" t="str">
        <f t="shared" ca="1" si="77"/>
        <v/>
      </c>
      <c r="W536" s="111">
        <f ca="1">IF(OR((W535-13/12*Z535)*(1+PREMISSAS!$C$17)&lt;0,W535=""),0,(W535-13/12*Z535)*(1+PREMISSAS!$C$17))</f>
        <v>0</v>
      </c>
      <c r="X536" s="111">
        <f ca="1">IF(OR((X535-13/12*AA535)*(1+PREMISSAS!$C$17)&lt;0,X535=""),0,(X535-13/12*AA535)*(1+PREMISSAS!$C$17))</f>
        <v>0</v>
      </c>
      <c r="Y536" s="111">
        <f t="shared" ca="1" si="78"/>
        <v>0</v>
      </c>
      <c r="Z536" s="134">
        <f t="shared" ca="1" si="79"/>
        <v>0</v>
      </c>
      <c r="AA536" s="134">
        <f t="shared" ca="1" si="72"/>
        <v>0</v>
      </c>
    </row>
    <row r="537" spans="2:27" x14ac:dyDescent="0.3">
      <c r="B537" s="21" t="str">
        <f ca="1">IF(B536="","",IF(EOMONTH(B536,1)&gt;EOMONTH(ELEGIBILIDADE!$E$5,0),"",EOMONTH(B536,1)))</f>
        <v/>
      </c>
      <c r="C537" s="22" t="str">
        <f ca="1">IF(B537="","",IF(MONTH(B537)=1,C536*(1+PREMISSAS!$C$58),C536))</f>
        <v/>
      </c>
      <c r="D537" s="22">
        <f ca="1">IF(RESULTADOS!$C$17="Normal",IFERROR(MAX(C537-PREMISSAS!$C$14,0),0),IF(PREMISSAS!$H$117=0,0,MAX(10*PREMISSAS!$C$39,RESULTADOS!$F$17)))</f>
        <v>0</v>
      </c>
      <c r="E537" s="4">
        <f ca="1">D537*IF(RESULTADOS!$C$17="Normal",RESULTADOS!$C$16,0)</f>
        <v>0</v>
      </c>
      <c r="F537" s="4">
        <f ca="1">IF(D537&lt;&gt;0,PREMISSAS!$N$83,0)</f>
        <v>0</v>
      </c>
      <c r="G537" s="4">
        <f ca="1">IFERROR(IF(RESULTADOS!$C$17="Normal",0,D537)*IF(RESULTADOS!$C$17="Normal",RESULTADOS!$C$18,RESULTADOS!$C$16),0)</f>
        <v>0</v>
      </c>
      <c r="H537" s="4">
        <f ca="1">IF(RESULTADOS!$C$17="Normal",E537,0)</f>
        <v>0</v>
      </c>
      <c r="I537" s="4">
        <f ca="1">(E537+H537+G537)*IFERROR(VLOOKUP(INT(COUNT($B$5:B537)/12),PREMISSAS!$B$62:$C$69,2,FALSE),PREMISSAS!$C$69)</f>
        <v>0</v>
      </c>
      <c r="J537" s="4">
        <f ca="1">D537*IF(RESULTADOS!$C$17="Normal",PREMISSAS!$C$71,0)</f>
        <v>0</v>
      </c>
      <c r="K537" s="87">
        <f ca="1">IFERROR(K536*(1+PREMISSAS!$C$19)+(E537+H537-IF(RESULTADOS!$C$17="Normal",I537,0)-J537)*IF(MONTH(B537)=12,2,1),0)</f>
        <v>0</v>
      </c>
      <c r="L537" s="87">
        <f ca="1">IFERROR((L536+G537-IF(RESULTADOS!$C$17="Normal",0,I537))*(1+PREMISSAS!$C$19)+F537,0)</f>
        <v>0</v>
      </c>
      <c r="N537" s="58">
        <f t="shared" ca="1" si="73"/>
        <v>0</v>
      </c>
      <c r="P537" s="131" t="str">
        <f t="shared" ca="1" si="74"/>
        <v/>
      </c>
      <c r="Q537" s="111" t="str">
        <f ca="1">IF(C537="","",Q536+(E537+H537-IF(RESULTADOS!$C$17="Normal",I537,0)-J537)/2+(F537+G537-IF(RESULTADOS!$C$17="Normal",0,I537)))</f>
        <v/>
      </c>
      <c r="R537" s="111" t="str">
        <f ca="1">IF(C537="","",R536+(E537+H537-IF(RESULTADOS!$C$17="Normal",I537,0)-J537)/2)</f>
        <v/>
      </c>
      <c r="S537" s="111">
        <f t="shared" ca="1" si="75"/>
        <v>0</v>
      </c>
      <c r="U537" s="131" t="str">
        <f t="shared" ca="1" si="76"/>
        <v/>
      </c>
      <c r="V537" s="131" t="str">
        <f t="shared" ca="1" si="77"/>
        <v/>
      </c>
      <c r="W537" s="111">
        <f ca="1">IF(OR((W536-13/12*Z536)*(1+PREMISSAS!$C$17)&lt;0,W536=""),0,(W536-13/12*Z536)*(1+PREMISSAS!$C$17))</f>
        <v>0</v>
      </c>
      <c r="X537" s="111">
        <f ca="1">IF(OR((X536-13/12*AA536)*(1+PREMISSAS!$C$17)&lt;0,X536=""),0,(X536-13/12*AA536)*(1+PREMISSAS!$C$17))</f>
        <v>0</v>
      </c>
      <c r="Y537" s="111">
        <f t="shared" ca="1" si="78"/>
        <v>0</v>
      </c>
      <c r="Z537" s="134">
        <f t="shared" ca="1" si="79"/>
        <v>0</v>
      </c>
      <c r="AA537" s="134">
        <f t="shared" ca="1" si="72"/>
        <v>0</v>
      </c>
    </row>
    <row r="538" spans="2:27" x14ac:dyDescent="0.3">
      <c r="B538" s="21" t="str">
        <f ca="1">IF(B537="","",IF(EOMONTH(B537,1)&gt;EOMONTH(ELEGIBILIDADE!$E$5,0),"",EOMONTH(B537,1)))</f>
        <v/>
      </c>
      <c r="C538" s="22" t="str">
        <f ca="1">IF(B538="","",IF(MONTH(B538)=1,C537*(1+PREMISSAS!$C$58),C537))</f>
        <v/>
      </c>
      <c r="D538" s="22">
        <f ca="1">IF(RESULTADOS!$C$17="Normal",IFERROR(MAX(C538-PREMISSAS!$C$14,0),0),IF(PREMISSAS!$H$117=0,0,MAX(10*PREMISSAS!$C$39,RESULTADOS!$F$17)))</f>
        <v>0</v>
      </c>
      <c r="E538" s="4">
        <f ca="1">D538*IF(RESULTADOS!$C$17="Normal",RESULTADOS!$C$16,0)</f>
        <v>0</v>
      </c>
      <c r="F538" s="4">
        <f ca="1">IF(D538&lt;&gt;0,PREMISSAS!$N$83,0)</f>
        <v>0</v>
      </c>
      <c r="G538" s="4">
        <f ca="1">IFERROR(IF(RESULTADOS!$C$17="Normal",0,D538)*IF(RESULTADOS!$C$17="Normal",RESULTADOS!$C$18,RESULTADOS!$C$16),0)</f>
        <v>0</v>
      </c>
      <c r="H538" s="4">
        <f ca="1">IF(RESULTADOS!$C$17="Normal",E538,0)</f>
        <v>0</v>
      </c>
      <c r="I538" s="4">
        <f ca="1">(E538+H538+G538)*IFERROR(VLOOKUP(INT(COUNT($B$5:B538)/12),PREMISSAS!$B$62:$C$69,2,FALSE),PREMISSAS!$C$69)</f>
        <v>0</v>
      </c>
      <c r="J538" s="4">
        <f ca="1">D538*IF(RESULTADOS!$C$17="Normal",PREMISSAS!$C$71,0)</f>
        <v>0</v>
      </c>
      <c r="K538" s="87">
        <f ca="1">IFERROR(K537*(1+PREMISSAS!$C$19)+(E538+H538-IF(RESULTADOS!$C$17="Normal",I538,0)-J538)*IF(MONTH(B538)=12,2,1),0)</f>
        <v>0</v>
      </c>
      <c r="L538" s="87">
        <f ca="1">IFERROR((L537+G538-IF(RESULTADOS!$C$17="Normal",0,I538))*(1+PREMISSAS!$C$19)+F538,0)</f>
        <v>0</v>
      </c>
      <c r="N538" s="58">
        <f t="shared" ca="1" si="73"/>
        <v>0</v>
      </c>
      <c r="P538" s="131" t="str">
        <f t="shared" ca="1" si="74"/>
        <v/>
      </c>
      <c r="Q538" s="111" t="str">
        <f ca="1">IF(C538="","",Q537+(E538+H538-IF(RESULTADOS!$C$17="Normal",I538,0)-J538)/2+(F538+G538-IF(RESULTADOS!$C$17="Normal",0,I538)))</f>
        <v/>
      </c>
      <c r="R538" s="111" t="str">
        <f ca="1">IF(C538="","",R537+(E538+H538-IF(RESULTADOS!$C$17="Normal",I538,0)-J538)/2)</f>
        <v/>
      </c>
      <c r="S538" s="111">
        <f t="shared" ca="1" si="75"/>
        <v>0</v>
      </c>
      <c r="U538" s="131" t="str">
        <f t="shared" ca="1" si="76"/>
        <v/>
      </c>
      <c r="V538" s="131" t="str">
        <f t="shared" ca="1" si="77"/>
        <v/>
      </c>
      <c r="W538" s="111">
        <f ca="1">IF(OR((W537-13/12*Z537)*(1+PREMISSAS!$C$17)&lt;0,W537=""),0,(W537-13/12*Z537)*(1+PREMISSAS!$C$17))</f>
        <v>0</v>
      </c>
      <c r="X538" s="111">
        <f ca="1">IF(OR((X537-13/12*AA537)*(1+PREMISSAS!$C$17)&lt;0,X537=""),0,(X537-13/12*AA537)*(1+PREMISSAS!$C$17))</f>
        <v>0</v>
      </c>
      <c r="Y538" s="111">
        <f t="shared" ca="1" si="78"/>
        <v>0</v>
      </c>
      <c r="Z538" s="134">
        <f t="shared" ca="1" si="79"/>
        <v>0</v>
      </c>
      <c r="AA538" s="134">
        <f t="shared" ca="1" si="72"/>
        <v>0</v>
      </c>
    </row>
    <row r="539" spans="2:27" x14ac:dyDescent="0.3">
      <c r="B539" s="21" t="str">
        <f ca="1">IF(B538="","",IF(EOMONTH(B538,1)&gt;EOMONTH(ELEGIBILIDADE!$E$5,0),"",EOMONTH(B538,1)))</f>
        <v/>
      </c>
      <c r="C539" s="22" t="str">
        <f ca="1">IF(B539="","",IF(MONTH(B539)=1,C538*(1+PREMISSAS!$C$58),C538))</f>
        <v/>
      </c>
      <c r="D539" s="22">
        <f ca="1">IF(RESULTADOS!$C$17="Normal",IFERROR(MAX(C539-PREMISSAS!$C$14,0),0),IF(PREMISSAS!$H$117=0,0,MAX(10*PREMISSAS!$C$39,RESULTADOS!$F$17)))</f>
        <v>0</v>
      </c>
      <c r="E539" s="4">
        <f ca="1">D539*IF(RESULTADOS!$C$17="Normal",RESULTADOS!$C$16,0)</f>
        <v>0</v>
      </c>
      <c r="F539" s="4">
        <f ca="1">IF(D539&lt;&gt;0,PREMISSAS!$N$83,0)</f>
        <v>0</v>
      </c>
      <c r="G539" s="4">
        <f ca="1">IFERROR(IF(RESULTADOS!$C$17="Normal",0,D539)*IF(RESULTADOS!$C$17="Normal",RESULTADOS!$C$18,RESULTADOS!$C$16),0)</f>
        <v>0</v>
      </c>
      <c r="H539" s="4">
        <f ca="1">IF(RESULTADOS!$C$17="Normal",E539,0)</f>
        <v>0</v>
      </c>
      <c r="I539" s="4">
        <f ca="1">(E539+H539+G539)*IFERROR(VLOOKUP(INT(COUNT($B$5:B539)/12),PREMISSAS!$B$62:$C$69,2,FALSE),PREMISSAS!$C$69)</f>
        <v>0</v>
      </c>
      <c r="J539" s="4">
        <f ca="1">D539*IF(RESULTADOS!$C$17="Normal",PREMISSAS!$C$71,0)</f>
        <v>0</v>
      </c>
      <c r="K539" s="87">
        <f ca="1">IFERROR(K538*(1+PREMISSAS!$C$19)+(E539+H539-IF(RESULTADOS!$C$17="Normal",I539,0)-J539)*IF(MONTH(B539)=12,2,1),0)</f>
        <v>0</v>
      </c>
      <c r="L539" s="87">
        <f ca="1">IFERROR((L538+G539-IF(RESULTADOS!$C$17="Normal",0,I539))*(1+PREMISSAS!$C$19)+F539,0)</f>
        <v>0</v>
      </c>
      <c r="N539" s="58">
        <f t="shared" ca="1" si="73"/>
        <v>0</v>
      </c>
      <c r="P539" s="131" t="str">
        <f t="shared" ca="1" si="74"/>
        <v/>
      </c>
      <c r="Q539" s="111" t="str">
        <f ca="1">IF(C539="","",Q538+(E539+H539-IF(RESULTADOS!$C$17="Normal",I539,0)-J539)/2+(F539+G539-IF(RESULTADOS!$C$17="Normal",0,I539)))</f>
        <v/>
      </c>
      <c r="R539" s="111" t="str">
        <f ca="1">IF(C539="","",R538+(E539+H539-IF(RESULTADOS!$C$17="Normal",I539,0)-J539)/2)</f>
        <v/>
      </c>
      <c r="S539" s="111">
        <f t="shared" ca="1" si="75"/>
        <v>0</v>
      </c>
      <c r="U539" s="131" t="str">
        <f t="shared" ca="1" si="76"/>
        <v/>
      </c>
      <c r="V539" s="131" t="str">
        <f t="shared" ca="1" si="77"/>
        <v/>
      </c>
      <c r="W539" s="111">
        <f ca="1">IF(OR((W538-13/12*Z538)*(1+PREMISSAS!$C$17)&lt;0,W538=""),0,(W538-13/12*Z538)*(1+PREMISSAS!$C$17))</f>
        <v>0</v>
      </c>
      <c r="X539" s="111">
        <f ca="1">IF(OR((X538-13/12*AA538)*(1+PREMISSAS!$C$17)&lt;0,X538=""),0,(X538-13/12*AA538)*(1+PREMISSAS!$C$17))</f>
        <v>0</v>
      </c>
      <c r="Y539" s="111">
        <f t="shared" ca="1" si="78"/>
        <v>0</v>
      </c>
      <c r="Z539" s="134">
        <f t="shared" ca="1" si="79"/>
        <v>0</v>
      </c>
      <c r="AA539" s="134">
        <f t="shared" ca="1" si="72"/>
        <v>0</v>
      </c>
    </row>
    <row r="540" spans="2:27" x14ac:dyDescent="0.3">
      <c r="B540" s="21" t="str">
        <f ca="1">IF(B539="","",IF(EOMONTH(B539,1)&gt;EOMONTH(ELEGIBILIDADE!$E$5,0),"",EOMONTH(B539,1)))</f>
        <v/>
      </c>
      <c r="C540" s="22" t="str">
        <f ca="1">IF(B540="","",IF(MONTH(B540)=1,C539*(1+PREMISSAS!$C$58),C539))</f>
        <v/>
      </c>
      <c r="D540" s="22">
        <f ca="1">IF(RESULTADOS!$C$17="Normal",IFERROR(MAX(C540-PREMISSAS!$C$14,0),0),IF(PREMISSAS!$H$117=0,0,MAX(10*PREMISSAS!$C$39,RESULTADOS!$F$17)))</f>
        <v>0</v>
      </c>
      <c r="E540" s="4">
        <f ca="1">D540*IF(RESULTADOS!$C$17="Normal",RESULTADOS!$C$16,0)</f>
        <v>0</v>
      </c>
      <c r="F540" s="4">
        <f ca="1">IF(D540&lt;&gt;0,PREMISSAS!$N$83,0)</f>
        <v>0</v>
      </c>
      <c r="G540" s="4">
        <f ca="1">IFERROR(IF(RESULTADOS!$C$17="Normal",0,D540)*IF(RESULTADOS!$C$17="Normal",RESULTADOS!$C$18,RESULTADOS!$C$16),0)</f>
        <v>0</v>
      </c>
      <c r="H540" s="4">
        <f ca="1">IF(RESULTADOS!$C$17="Normal",E540,0)</f>
        <v>0</v>
      </c>
      <c r="I540" s="4">
        <f ca="1">(E540+H540+G540)*IFERROR(VLOOKUP(INT(COUNT($B$5:B540)/12),PREMISSAS!$B$62:$C$69,2,FALSE),PREMISSAS!$C$69)</f>
        <v>0</v>
      </c>
      <c r="J540" s="4">
        <f ca="1">D540*IF(RESULTADOS!$C$17="Normal",PREMISSAS!$C$71,0)</f>
        <v>0</v>
      </c>
      <c r="K540" s="87">
        <f ca="1">IFERROR(K539*(1+PREMISSAS!$C$19)+(E540+H540-IF(RESULTADOS!$C$17="Normal",I540,0)-J540)*IF(MONTH(B540)=12,2,1),0)</f>
        <v>0</v>
      </c>
      <c r="L540" s="87">
        <f ca="1">IFERROR((L539+G540-IF(RESULTADOS!$C$17="Normal",0,I540))*(1+PREMISSAS!$C$19)+F540,0)</f>
        <v>0</v>
      </c>
      <c r="N540" s="58">
        <f t="shared" ca="1" si="73"/>
        <v>0</v>
      </c>
      <c r="P540" s="131" t="str">
        <f t="shared" ca="1" si="74"/>
        <v/>
      </c>
      <c r="Q540" s="111" t="str">
        <f ca="1">IF(C540="","",Q539+(E540+H540-IF(RESULTADOS!$C$17="Normal",I540,0)-J540)/2+(F540+G540-IF(RESULTADOS!$C$17="Normal",0,I540)))</f>
        <v/>
      </c>
      <c r="R540" s="111" t="str">
        <f ca="1">IF(C540="","",R539+(E540+H540-IF(RESULTADOS!$C$17="Normal",I540,0)-J540)/2)</f>
        <v/>
      </c>
      <c r="S540" s="111">
        <f t="shared" ca="1" si="75"/>
        <v>0</v>
      </c>
      <c r="U540" s="131" t="str">
        <f t="shared" ca="1" si="76"/>
        <v/>
      </c>
      <c r="V540" s="131" t="str">
        <f t="shared" ca="1" si="77"/>
        <v/>
      </c>
      <c r="W540" s="111">
        <f ca="1">IF(OR((W539-13/12*Z539)*(1+PREMISSAS!$C$17)&lt;0,W539=""),0,(W539-13/12*Z539)*(1+PREMISSAS!$C$17))</f>
        <v>0</v>
      </c>
      <c r="X540" s="111">
        <f ca="1">IF(OR((X539-13/12*AA539)*(1+PREMISSAS!$C$17)&lt;0,X539=""),0,(X539-13/12*AA539)*(1+PREMISSAS!$C$17))</f>
        <v>0</v>
      </c>
      <c r="Y540" s="111">
        <f t="shared" ca="1" si="78"/>
        <v>0</v>
      </c>
      <c r="Z540" s="134">
        <f t="shared" ca="1" si="79"/>
        <v>0</v>
      </c>
      <c r="AA540" s="134">
        <f t="shared" ca="1" si="72"/>
        <v>0</v>
      </c>
    </row>
    <row r="541" spans="2:27" x14ac:dyDescent="0.3">
      <c r="B541" s="21" t="str">
        <f ca="1">IF(B540="","",IF(EOMONTH(B540,1)&gt;EOMONTH(ELEGIBILIDADE!$E$5,0),"",EOMONTH(B540,1)))</f>
        <v/>
      </c>
      <c r="C541" s="22" t="str">
        <f ca="1">IF(B541="","",IF(MONTH(B541)=1,C540*(1+PREMISSAS!$C$58),C540))</f>
        <v/>
      </c>
      <c r="D541" s="22">
        <f ca="1">IF(RESULTADOS!$C$17="Normal",IFERROR(MAX(C541-PREMISSAS!$C$14,0),0),IF(PREMISSAS!$H$117=0,0,MAX(10*PREMISSAS!$C$39,RESULTADOS!$F$17)))</f>
        <v>0</v>
      </c>
      <c r="E541" s="4">
        <f ca="1">D541*IF(RESULTADOS!$C$17="Normal",RESULTADOS!$C$16,0)</f>
        <v>0</v>
      </c>
      <c r="F541" s="4">
        <f ca="1">IF(D541&lt;&gt;0,PREMISSAS!$N$83,0)</f>
        <v>0</v>
      </c>
      <c r="G541" s="4">
        <f ca="1">IFERROR(IF(RESULTADOS!$C$17="Normal",0,D541)*IF(RESULTADOS!$C$17="Normal",RESULTADOS!$C$18,RESULTADOS!$C$16),0)</f>
        <v>0</v>
      </c>
      <c r="H541" s="4">
        <f ca="1">IF(RESULTADOS!$C$17="Normal",E541,0)</f>
        <v>0</v>
      </c>
      <c r="I541" s="4">
        <f ca="1">(E541+H541+G541)*IFERROR(VLOOKUP(INT(COUNT($B$5:B541)/12),PREMISSAS!$B$62:$C$69,2,FALSE),PREMISSAS!$C$69)</f>
        <v>0</v>
      </c>
      <c r="J541" s="4">
        <f ca="1">D541*IF(RESULTADOS!$C$17="Normal",PREMISSAS!$C$71,0)</f>
        <v>0</v>
      </c>
      <c r="K541" s="87">
        <f ca="1">IFERROR(K540*(1+PREMISSAS!$C$19)+(E541+H541-IF(RESULTADOS!$C$17="Normal",I541,0)-J541)*IF(MONTH(B541)=12,2,1),0)</f>
        <v>0</v>
      </c>
      <c r="L541" s="87">
        <f ca="1">IFERROR((L540+G541-IF(RESULTADOS!$C$17="Normal",0,I541))*(1+PREMISSAS!$C$19)+F541,0)</f>
        <v>0</v>
      </c>
      <c r="N541" s="58">
        <f t="shared" ca="1" si="73"/>
        <v>0</v>
      </c>
      <c r="P541" s="131" t="str">
        <f t="shared" ca="1" si="74"/>
        <v/>
      </c>
      <c r="Q541" s="111" t="str">
        <f ca="1">IF(C541="","",Q540+(E541+H541-IF(RESULTADOS!$C$17="Normal",I541,0)-J541)/2+(F541+G541-IF(RESULTADOS!$C$17="Normal",0,I541)))</f>
        <v/>
      </c>
      <c r="R541" s="111" t="str">
        <f ca="1">IF(C541="","",R540+(E541+H541-IF(RESULTADOS!$C$17="Normal",I541,0)-J541)/2)</f>
        <v/>
      </c>
      <c r="S541" s="111">
        <f t="shared" ca="1" si="75"/>
        <v>0</v>
      </c>
      <c r="U541" s="131" t="str">
        <f t="shared" ca="1" si="76"/>
        <v/>
      </c>
      <c r="V541" s="131" t="str">
        <f t="shared" ca="1" si="77"/>
        <v/>
      </c>
      <c r="W541" s="111">
        <f ca="1">IF(OR((W540-13/12*Z540)*(1+PREMISSAS!$C$17)&lt;0,W540=""),0,(W540-13/12*Z540)*(1+PREMISSAS!$C$17))</f>
        <v>0</v>
      </c>
      <c r="X541" s="111">
        <f ca="1">IF(OR((X540-13/12*AA540)*(1+PREMISSAS!$C$17)&lt;0,X540=""),0,(X540-13/12*AA540)*(1+PREMISSAS!$C$17))</f>
        <v>0</v>
      </c>
      <c r="Y541" s="111">
        <f t="shared" ca="1" si="78"/>
        <v>0</v>
      </c>
      <c r="Z541" s="134">
        <f t="shared" ca="1" si="79"/>
        <v>0</v>
      </c>
      <c r="AA541" s="134">
        <f t="shared" ca="1" si="72"/>
        <v>0</v>
      </c>
    </row>
    <row r="542" spans="2:27" x14ac:dyDescent="0.3">
      <c r="B542" s="21" t="str">
        <f ca="1">IF(B541="","",IF(EOMONTH(B541,1)&gt;EOMONTH(ELEGIBILIDADE!$E$5,0),"",EOMONTH(B541,1)))</f>
        <v/>
      </c>
      <c r="C542" s="22" t="str">
        <f ca="1">IF(B542="","",IF(MONTH(B542)=1,C541*(1+PREMISSAS!$C$58),C541))</f>
        <v/>
      </c>
      <c r="D542" s="22">
        <f ca="1">IF(RESULTADOS!$C$17="Normal",IFERROR(MAX(C542-PREMISSAS!$C$14,0),0),IF(PREMISSAS!$H$117=0,0,MAX(10*PREMISSAS!$C$39,RESULTADOS!$F$17)))</f>
        <v>0</v>
      </c>
      <c r="E542" s="4">
        <f ca="1">D542*IF(RESULTADOS!$C$17="Normal",RESULTADOS!$C$16,0)</f>
        <v>0</v>
      </c>
      <c r="F542" s="4">
        <f ca="1">IF(D542&lt;&gt;0,PREMISSAS!$N$83,0)</f>
        <v>0</v>
      </c>
      <c r="G542" s="4">
        <f ca="1">IFERROR(IF(RESULTADOS!$C$17="Normal",0,D542)*IF(RESULTADOS!$C$17="Normal",RESULTADOS!$C$18,RESULTADOS!$C$16),0)</f>
        <v>0</v>
      </c>
      <c r="H542" s="4">
        <f ca="1">IF(RESULTADOS!$C$17="Normal",E542,0)</f>
        <v>0</v>
      </c>
      <c r="I542" s="4">
        <f ca="1">(E542+H542+G542)*IFERROR(VLOOKUP(INT(COUNT($B$5:B542)/12),PREMISSAS!$B$62:$C$69,2,FALSE),PREMISSAS!$C$69)</f>
        <v>0</v>
      </c>
      <c r="J542" s="4">
        <f ca="1">D542*IF(RESULTADOS!$C$17="Normal",PREMISSAS!$C$71,0)</f>
        <v>0</v>
      </c>
      <c r="K542" s="87">
        <f ca="1">IFERROR(K541*(1+PREMISSAS!$C$19)+(E542+H542-IF(RESULTADOS!$C$17="Normal",I542,0)-J542)*IF(MONTH(B542)=12,2,1),0)</f>
        <v>0</v>
      </c>
      <c r="L542" s="87">
        <f ca="1">IFERROR((L541+G542-IF(RESULTADOS!$C$17="Normal",0,I542))*(1+PREMISSAS!$C$19)+F542,0)</f>
        <v>0</v>
      </c>
      <c r="N542" s="58">
        <f t="shared" ca="1" si="73"/>
        <v>0</v>
      </c>
      <c r="P542" s="131" t="str">
        <f t="shared" ca="1" si="74"/>
        <v/>
      </c>
      <c r="Q542" s="111" t="str">
        <f ca="1">IF(C542="","",Q541+(E542+H542-IF(RESULTADOS!$C$17="Normal",I542,0)-J542)/2+(F542+G542-IF(RESULTADOS!$C$17="Normal",0,I542)))</f>
        <v/>
      </c>
      <c r="R542" s="111" t="str">
        <f ca="1">IF(C542="","",R541+(E542+H542-IF(RESULTADOS!$C$17="Normal",I542,0)-J542)/2)</f>
        <v/>
      </c>
      <c r="S542" s="111">
        <f t="shared" ca="1" si="75"/>
        <v>0</v>
      </c>
      <c r="U542" s="131" t="str">
        <f t="shared" ca="1" si="76"/>
        <v/>
      </c>
      <c r="V542" s="131" t="str">
        <f t="shared" ca="1" si="77"/>
        <v/>
      </c>
      <c r="W542" s="111">
        <f ca="1">IF(OR((W541-13/12*Z541)*(1+PREMISSAS!$C$17)&lt;0,W541=""),0,(W541-13/12*Z541)*(1+PREMISSAS!$C$17))</f>
        <v>0</v>
      </c>
      <c r="X542" s="111">
        <f ca="1">IF(OR((X541-13/12*AA541)*(1+PREMISSAS!$C$17)&lt;0,X541=""),0,(X541-13/12*AA541)*(1+PREMISSAS!$C$17))</f>
        <v>0</v>
      </c>
      <c r="Y542" s="111">
        <f t="shared" ca="1" si="78"/>
        <v>0</v>
      </c>
      <c r="Z542" s="134">
        <f t="shared" ca="1" si="79"/>
        <v>0</v>
      </c>
      <c r="AA542" s="134">
        <f t="shared" ca="1" si="72"/>
        <v>0</v>
      </c>
    </row>
    <row r="543" spans="2:27" x14ac:dyDescent="0.3">
      <c r="B543" s="21" t="str">
        <f ca="1">IF(B542="","",IF(EOMONTH(B542,1)&gt;EOMONTH(ELEGIBILIDADE!$E$5,0),"",EOMONTH(B542,1)))</f>
        <v/>
      </c>
      <c r="C543" s="22" t="str">
        <f ca="1">IF(B543="","",IF(MONTH(B543)=1,C542*(1+PREMISSAS!$C$58),C542))</f>
        <v/>
      </c>
      <c r="D543" s="22">
        <f ca="1">IF(RESULTADOS!$C$17="Normal",IFERROR(MAX(C543-PREMISSAS!$C$14,0),0),IF(PREMISSAS!$H$117=0,0,MAX(10*PREMISSAS!$C$39,RESULTADOS!$F$17)))</f>
        <v>0</v>
      </c>
      <c r="E543" s="4">
        <f ca="1">D543*IF(RESULTADOS!$C$17="Normal",RESULTADOS!$C$16,0)</f>
        <v>0</v>
      </c>
      <c r="F543" s="4">
        <f ca="1">IF(D543&lt;&gt;0,PREMISSAS!$N$83,0)</f>
        <v>0</v>
      </c>
      <c r="G543" s="4">
        <f ca="1">IFERROR(IF(RESULTADOS!$C$17="Normal",0,D543)*IF(RESULTADOS!$C$17="Normal",RESULTADOS!$C$18,RESULTADOS!$C$16),0)</f>
        <v>0</v>
      </c>
      <c r="H543" s="4">
        <f ca="1">IF(RESULTADOS!$C$17="Normal",E543,0)</f>
        <v>0</v>
      </c>
      <c r="I543" s="4">
        <f ca="1">(E543+H543+G543)*IFERROR(VLOOKUP(INT(COUNT($B$5:B543)/12),PREMISSAS!$B$62:$C$69,2,FALSE),PREMISSAS!$C$69)</f>
        <v>0</v>
      </c>
      <c r="J543" s="4">
        <f ca="1">D543*IF(RESULTADOS!$C$17="Normal",PREMISSAS!$C$71,0)</f>
        <v>0</v>
      </c>
      <c r="K543" s="87">
        <f ca="1">IFERROR(K542*(1+PREMISSAS!$C$19)+(E543+H543-IF(RESULTADOS!$C$17="Normal",I543,0)-J543)*IF(MONTH(B543)=12,2,1),0)</f>
        <v>0</v>
      </c>
      <c r="L543" s="87">
        <f ca="1">IFERROR((L542+G543-IF(RESULTADOS!$C$17="Normal",0,I543))*(1+PREMISSAS!$C$19)+F543,0)</f>
        <v>0</v>
      </c>
      <c r="N543" s="58">
        <f t="shared" ca="1" si="73"/>
        <v>0</v>
      </c>
      <c r="P543" s="131" t="str">
        <f t="shared" ca="1" si="74"/>
        <v/>
      </c>
      <c r="Q543" s="111" t="str">
        <f ca="1">IF(C543="","",Q542+(E543+H543-IF(RESULTADOS!$C$17="Normal",I543,0)-J543)/2+(F543+G543-IF(RESULTADOS!$C$17="Normal",0,I543)))</f>
        <v/>
      </c>
      <c r="R543" s="111" t="str">
        <f ca="1">IF(C543="","",R542+(E543+H543-IF(RESULTADOS!$C$17="Normal",I543,0)-J543)/2)</f>
        <v/>
      </c>
      <c r="S543" s="111">
        <f t="shared" ca="1" si="75"/>
        <v>0</v>
      </c>
      <c r="U543" s="131" t="str">
        <f t="shared" ca="1" si="76"/>
        <v/>
      </c>
      <c r="V543" s="131" t="str">
        <f t="shared" ca="1" si="77"/>
        <v/>
      </c>
      <c r="W543" s="111">
        <f ca="1">IF(OR((W542-13/12*Z542)*(1+PREMISSAS!$C$17)&lt;0,W542=""),0,(W542-13/12*Z542)*(1+PREMISSAS!$C$17))</f>
        <v>0</v>
      </c>
      <c r="X543" s="111">
        <f ca="1">IF(OR((X542-13/12*AA542)*(1+PREMISSAS!$C$17)&lt;0,X542=""),0,(X542-13/12*AA542)*(1+PREMISSAS!$C$17))</f>
        <v>0</v>
      </c>
      <c r="Y543" s="111">
        <f t="shared" ca="1" si="78"/>
        <v>0</v>
      </c>
      <c r="Z543" s="134">
        <f t="shared" ca="1" si="79"/>
        <v>0</v>
      </c>
      <c r="AA543" s="134">
        <f t="shared" ca="1" si="72"/>
        <v>0</v>
      </c>
    </row>
    <row r="544" spans="2:27" x14ac:dyDescent="0.3">
      <c r="B544" s="21" t="str">
        <f ca="1">IF(B543="","",IF(EOMONTH(B543,1)&gt;EOMONTH(ELEGIBILIDADE!$E$5,0),"",EOMONTH(B543,1)))</f>
        <v/>
      </c>
      <c r="C544" s="22" t="str">
        <f ca="1">IF(B544="","",IF(MONTH(B544)=1,C543*(1+PREMISSAS!$C$58),C543))</f>
        <v/>
      </c>
      <c r="D544" s="22">
        <f ca="1">IF(RESULTADOS!$C$17="Normal",IFERROR(MAX(C544-PREMISSAS!$C$14,0),0),IF(PREMISSAS!$H$117=0,0,MAX(10*PREMISSAS!$C$39,RESULTADOS!$F$17)))</f>
        <v>0</v>
      </c>
      <c r="E544" s="4">
        <f ca="1">D544*IF(RESULTADOS!$C$17="Normal",RESULTADOS!$C$16,0)</f>
        <v>0</v>
      </c>
      <c r="F544" s="4">
        <f ca="1">IF(D544&lt;&gt;0,PREMISSAS!$N$83,0)</f>
        <v>0</v>
      </c>
      <c r="G544" s="4">
        <f ca="1">IFERROR(IF(RESULTADOS!$C$17="Normal",0,D544)*IF(RESULTADOS!$C$17="Normal",RESULTADOS!$C$18,RESULTADOS!$C$16),0)</f>
        <v>0</v>
      </c>
      <c r="H544" s="4">
        <f ca="1">IF(RESULTADOS!$C$17="Normal",E544,0)</f>
        <v>0</v>
      </c>
      <c r="I544" s="4">
        <f ca="1">(E544+H544+G544)*IFERROR(VLOOKUP(INT(COUNT($B$5:B544)/12),PREMISSAS!$B$62:$C$69,2,FALSE),PREMISSAS!$C$69)</f>
        <v>0</v>
      </c>
      <c r="J544" s="4">
        <f ca="1">D544*IF(RESULTADOS!$C$17="Normal",PREMISSAS!$C$71,0)</f>
        <v>0</v>
      </c>
      <c r="K544" s="87">
        <f ca="1">IFERROR(K543*(1+PREMISSAS!$C$19)+(E544+H544-IF(RESULTADOS!$C$17="Normal",I544,0)-J544)*IF(MONTH(B544)=12,2,1),0)</f>
        <v>0</v>
      </c>
      <c r="L544" s="87">
        <f ca="1">IFERROR((L543+G544-IF(RESULTADOS!$C$17="Normal",0,I544))*(1+PREMISSAS!$C$19)+F544,0)</f>
        <v>0</v>
      </c>
      <c r="N544" s="58">
        <f t="shared" ca="1" si="73"/>
        <v>0</v>
      </c>
      <c r="P544" s="131" t="str">
        <f t="shared" ca="1" si="74"/>
        <v/>
      </c>
      <c r="Q544" s="111" t="str">
        <f ca="1">IF(C544="","",Q543+(E544+H544-IF(RESULTADOS!$C$17="Normal",I544,0)-J544)/2+(F544+G544-IF(RESULTADOS!$C$17="Normal",0,I544)))</f>
        <v/>
      </c>
      <c r="R544" s="111" t="str">
        <f ca="1">IF(C544="","",R543+(E544+H544-IF(RESULTADOS!$C$17="Normal",I544,0)-J544)/2)</f>
        <v/>
      </c>
      <c r="S544" s="111">
        <f t="shared" ca="1" si="75"/>
        <v>0</v>
      </c>
      <c r="U544" s="131" t="str">
        <f t="shared" ca="1" si="76"/>
        <v/>
      </c>
      <c r="V544" s="131" t="str">
        <f t="shared" ca="1" si="77"/>
        <v/>
      </c>
      <c r="W544" s="111">
        <f ca="1">IF(OR((W543-13/12*Z543)*(1+PREMISSAS!$C$17)&lt;0,W543=""),0,(W543-13/12*Z543)*(1+PREMISSAS!$C$17))</f>
        <v>0</v>
      </c>
      <c r="X544" s="111">
        <f ca="1">IF(OR((X543-13/12*AA543)*(1+PREMISSAS!$C$17)&lt;0,X543=""),0,(X543-13/12*AA543)*(1+PREMISSAS!$C$17))</f>
        <v>0</v>
      </c>
      <c r="Y544" s="111">
        <f t="shared" ca="1" si="78"/>
        <v>0</v>
      </c>
      <c r="Z544" s="134">
        <f t="shared" ca="1" si="79"/>
        <v>0</v>
      </c>
      <c r="AA544" s="134">
        <f t="shared" ca="1" si="72"/>
        <v>0</v>
      </c>
    </row>
    <row r="545" spans="2:27" x14ac:dyDescent="0.3">
      <c r="B545" s="21" t="str">
        <f ca="1">IF(B544="","",IF(EOMONTH(B544,1)&gt;EOMONTH(ELEGIBILIDADE!$E$5,0),"",EOMONTH(B544,1)))</f>
        <v/>
      </c>
      <c r="C545" s="22" t="str">
        <f ca="1">IF(B545="","",IF(MONTH(B545)=1,C544*(1+PREMISSAS!$C$58),C544))</f>
        <v/>
      </c>
      <c r="D545" s="22">
        <f ca="1">IF(RESULTADOS!$C$17="Normal",IFERROR(MAX(C545-PREMISSAS!$C$14,0),0),IF(PREMISSAS!$H$117=0,0,MAX(10*PREMISSAS!$C$39,RESULTADOS!$F$17)))</f>
        <v>0</v>
      </c>
      <c r="E545" s="4">
        <f ca="1">D545*IF(RESULTADOS!$C$17="Normal",RESULTADOS!$C$16,0)</f>
        <v>0</v>
      </c>
      <c r="F545" s="4">
        <f ca="1">IF(D545&lt;&gt;0,PREMISSAS!$N$83,0)</f>
        <v>0</v>
      </c>
      <c r="G545" s="4">
        <f ca="1">IFERROR(IF(RESULTADOS!$C$17="Normal",0,D545)*IF(RESULTADOS!$C$17="Normal",RESULTADOS!$C$18,RESULTADOS!$C$16),0)</f>
        <v>0</v>
      </c>
      <c r="H545" s="4">
        <f ca="1">IF(RESULTADOS!$C$17="Normal",E545,0)</f>
        <v>0</v>
      </c>
      <c r="I545" s="4">
        <f ca="1">(E545+H545+G545)*IFERROR(VLOOKUP(INT(COUNT($B$5:B545)/12),PREMISSAS!$B$62:$C$69,2,FALSE),PREMISSAS!$C$69)</f>
        <v>0</v>
      </c>
      <c r="J545" s="4">
        <f ca="1">D545*IF(RESULTADOS!$C$17="Normal",PREMISSAS!$C$71,0)</f>
        <v>0</v>
      </c>
      <c r="K545" s="87">
        <f ca="1">IFERROR(K544*(1+PREMISSAS!$C$19)+(E545+H545-IF(RESULTADOS!$C$17="Normal",I545,0)-J545)*IF(MONTH(B545)=12,2,1),0)</f>
        <v>0</v>
      </c>
      <c r="L545" s="87">
        <f ca="1">IFERROR((L544+G545-IF(RESULTADOS!$C$17="Normal",0,I545))*(1+PREMISSAS!$C$19)+F545,0)</f>
        <v>0</v>
      </c>
      <c r="N545" s="58">
        <f t="shared" ca="1" si="73"/>
        <v>0</v>
      </c>
      <c r="P545" s="131" t="str">
        <f t="shared" ca="1" si="74"/>
        <v/>
      </c>
      <c r="Q545" s="111" t="str">
        <f ca="1">IF(C545="","",Q544+(E545+H545-IF(RESULTADOS!$C$17="Normal",I545,0)-J545)/2+(F545+G545-IF(RESULTADOS!$C$17="Normal",0,I545)))</f>
        <v/>
      </c>
      <c r="R545" s="111" t="str">
        <f ca="1">IF(C545="","",R544+(E545+H545-IF(RESULTADOS!$C$17="Normal",I545,0)-J545)/2)</f>
        <v/>
      </c>
      <c r="S545" s="111">
        <f t="shared" ca="1" si="75"/>
        <v>0</v>
      </c>
      <c r="U545" s="131" t="str">
        <f t="shared" ca="1" si="76"/>
        <v/>
      </c>
      <c r="V545" s="131" t="str">
        <f t="shared" ca="1" si="77"/>
        <v/>
      </c>
      <c r="W545" s="111">
        <f ca="1">IF(OR((W544-13/12*Z544)*(1+PREMISSAS!$C$17)&lt;0,W544=""),0,(W544-13/12*Z544)*(1+PREMISSAS!$C$17))</f>
        <v>0</v>
      </c>
      <c r="X545" s="111">
        <f ca="1">IF(OR((X544-13/12*AA544)*(1+PREMISSAS!$C$17)&lt;0,X544=""),0,(X544-13/12*AA544)*(1+PREMISSAS!$C$17))</f>
        <v>0</v>
      </c>
      <c r="Y545" s="111">
        <f t="shared" ca="1" si="78"/>
        <v>0</v>
      </c>
      <c r="Z545" s="134">
        <f t="shared" ca="1" si="79"/>
        <v>0</v>
      </c>
      <c r="AA545" s="134">
        <f t="shared" ca="1" si="72"/>
        <v>0</v>
      </c>
    </row>
    <row r="546" spans="2:27" x14ac:dyDescent="0.3">
      <c r="B546" s="21" t="str">
        <f ca="1">IF(B545="","",IF(EOMONTH(B545,1)&gt;EOMONTH(ELEGIBILIDADE!$E$5,0),"",EOMONTH(B545,1)))</f>
        <v/>
      </c>
      <c r="C546" s="22" t="str">
        <f ca="1">IF(B546="","",IF(MONTH(B546)=1,C545*(1+PREMISSAS!$C$58),C545))</f>
        <v/>
      </c>
      <c r="D546" s="22">
        <f ca="1">IF(RESULTADOS!$C$17="Normal",IFERROR(MAX(C546-PREMISSAS!$C$14,0),0),IF(PREMISSAS!$H$117=0,0,MAX(10*PREMISSAS!$C$39,RESULTADOS!$F$17)))</f>
        <v>0</v>
      </c>
      <c r="E546" s="4">
        <f ca="1">D546*IF(RESULTADOS!$C$17="Normal",RESULTADOS!$C$16,0)</f>
        <v>0</v>
      </c>
      <c r="F546" s="4">
        <f ca="1">IF(D546&lt;&gt;0,PREMISSAS!$N$83,0)</f>
        <v>0</v>
      </c>
      <c r="G546" s="4">
        <f ca="1">IFERROR(IF(RESULTADOS!$C$17="Normal",0,D546)*IF(RESULTADOS!$C$17="Normal",RESULTADOS!$C$18,RESULTADOS!$C$16),0)</f>
        <v>0</v>
      </c>
      <c r="H546" s="4">
        <f ca="1">IF(RESULTADOS!$C$17="Normal",E546,0)</f>
        <v>0</v>
      </c>
      <c r="I546" s="4">
        <f ca="1">(E546+H546+G546)*IFERROR(VLOOKUP(INT(COUNT($B$5:B546)/12),PREMISSAS!$B$62:$C$69,2,FALSE),PREMISSAS!$C$69)</f>
        <v>0</v>
      </c>
      <c r="J546" s="4">
        <f ca="1">D546*IF(RESULTADOS!$C$17="Normal",PREMISSAS!$C$71,0)</f>
        <v>0</v>
      </c>
      <c r="K546" s="87">
        <f ca="1">IFERROR(K545*(1+PREMISSAS!$C$19)+(E546+H546-IF(RESULTADOS!$C$17="Normal",I546,0)-J546)*IF(MONTH(B546)=12,2,1),0)</f>
        <v>0</v>
      </c>
      <c r="L546" s="87">
        <f ca="1">IFERROR((L545+G546-IF(RESULTADOS!$C$17="Normal",0,I546))*(1+PREMISSAS!$C$19)+F546,0)</f>
        <v>0</v>
      </c>
      <c r="N546" s="58">
        <f t="shared" ca="1" si="73"/>
        <v>0</v>
      </c>
      <c r="P546" s="131" t="str">
        <f t="shared" ca="1" si="74"/>
        <v/>
      </c>
      <c r="Q546" s="111" t="str">
        <f ca="1">IF(C546="","",Q545+(E546+H546-IF(RESULTADOS!$C$17="Normal",I546,0)-J546)/2+(F546+G546-IF(RESULTADOS!$C$17="Normal",0,I546)))</f>
        <v/>
      </c>
      <c r="R546" s="111" t="str">
        <f ca="1">IF(C546="","",R545+(E546+H546-IF(RESULTADOS!$C$17="Normal",I546,0)-J546)/2)</f>
        <v/>
      </c>
      <c r="S546" s="111">
        <f t="shared" ca="1" si="75"/>
        <v>0</v>
      </c>
      <c r="U546" s="131" t="str">
        <f t="shared" ca="1" si="76"/>
        <v/>
      </c>
      <c r="V546" s="131" t="str">
        <f t="shared" ca="1" si="77"/>
        <v/>
      </c>
      <c r="W546" s="111">
        <f ca="1">IF(OR((W545-13/12*Z545)*(1+PREMISSAS!$C$17)&lt;0,W545=""),0,(W545-13/12*Z545)*(1+PREMISSAS!$C$17))</f>
        <v>0</v>
      </c>
      <c r="X546" s="111">
        <f ca="1">IF(OR((X545-13/12*AA545)*(1+PREMISSAS!$C$17)&lt;0,X545=""),0,(X545-13/12*AA545)*(1+PREMISSAS!$C$17))</f>
        <v>0</v>
      </c>
      <c r="Y546" s="111">
        <f t="shared" ca="1" si="78"/>
        <v>0</v>
      </c>
      <c r="Z546" s="134">
        <f t="shared" ca="1" si="79"/>
        <v>0</v>
      </c>
      <c r="AA546" s="134">
        <f t="shared" ca="1" si="72"/>
        <v>0</v>
      </c>
    </row>
    <row r="547" spans="2:27" x14ac:dyDescent="0.3">
      <c r="B547" s="21" t="str">
        <f ca="1">IF(B546="","",IF(EOMONTH(B546,1)&gt;EOMONTH(ELEGIBILIDADE!$E$5,0),"",EOMONTH(B546,1)))</f>
        <v/>
      </c>
      <c r="C547" s="22" t="str">
        <f ca="1">IF(B547="","",IF(MONTH(B547)=1,C546*(1+PREMISSAS!$C$58),C546))</f>
        <v/>
      </c>
      <c r="D547" s="22">
        <f ca="1">IF(RESULTADOS!$C$17="Normal",IFERROR(MAX(C547-PREMISSAS!$C$14,0),0),IF(PREMISSAS!$H$117=0,0,MAX(10*PREMISSAS!$C$39,RESULTADOS!$F$17)))</f>
        <v>0</v>
      </c>
      <c r="E547" s="4">
        <f ca="1">D547*IF(RESULTADOS!$C$17="Normal",RESULTADOS!$C$16,0)</f>
        <v>0</v>
      </c>
      <c r="F547" s="4">
        <f ca="1">IF(D547&lt;&gt;0,PREMISSAS!$N$83,0)</f>
        <v>0</v>
      </c>
      <c r="G547" s="4">
        <f ca="1">IFERROR(IF(RESULTADOS!$C$17="Normal",0,D547)*IF(RESULTADOS!$C$17="Normal",RESULTADOS!$C$18,RESULTADOS!$C$16),0)</f>
        <v>0</v>
      </c>
      <c r="H547" s="4">
        <f ca="1">IF(RESULTADOS!$C$17="Normal",E547,0)</f>
        <v>0</v>
      </c>
      <c r="I547" s="4">
        <f ca="1">(E547+H547+G547)*IFERROR(VLOOKUP(INT(COUNT($B$5:B547)/12),PREMISSAS!$B$62:$C$69,2,FALSE),PREMISSAS!$C$69)</f>
        <v>0</v>
      </c>
      <c r="J547" s="4">
        <f ca="1">D547*IF(RESULTADOS!$C$17="Normal",PREMISSAS!$C$71,0)</f>
        <v>0</v>
      </c>
      <c r="K547" s="87">
        <f ca="1">IFERROR(K546*(1+PREMISSAS!$C$19)+(E547+H547-IF(RESULTADOS!$C$17="Normal",I547,0)-J547)*IF(MONTH(B547)=12,2,1),0)</f>
        <v>0</v>
      </c>
      <c r="L547" s="87">
        <f ca="1">IFERROR((L546+G547-IF(RESULTADOS!$C$17="Normal",0,I547))*(1+PREMISSAS!$C$19)+F547,0)</f>
        <v>0</v>
      </c>
      <c r="N547" s="58">
        <f t="shared" ca="1" si="73"/>
        <v>0</v>
      </c>
      <c r="P547" s="131" t="str">
        <f t="shared" ca="1" si="74"/>
        <v/>
      </c>
      <c r="Q547" s="111" t="str">
        <f ca="1">IF(C547="","",Q546+(E547+H547-IF(RESULTADOS!$C$17="Normal",I547,0)-J547)/2+(F547+G547-IF(RESULTADOS!$C$17="Normal",0,I547)))</f>
        <v/>
      </c>
      <c r="R547" s="111" t="str">
        <f ca="1">IF(C547="","",R546+(E547+H547-IF(RESULTADOS!$C$17="Normal",I547,0)-J547)/2)</f>
        <v/>
      </c>
      <c r="S547" s="111">
        <f t="shared" ca="1" si="75"/>
        <v>0</v>
      </c>
      <c r="U547" s="131" t="str">
        <f t="shared" ca="1" si="76"/>
        <v/>
      </c>
      <c r="V547" s="131" t="str">
        <f t="shared" ca="1" si="77"/>
        <v/>
      </c>
      <c r="W547" s="111">
        <f ca="1">IF(OR((W546-13/12*Z546)*(1+PREMISSAS!$C$17)&lt;0,W546=""),0,(W546-13/12*Z546)*(1+PREMISSAS!$C$17))</f>
        <v>0</v>
      </c>
      <c r="X547" s="111">
        <f ca="1">IF(OR((X546-13/12*AA546)*(1+PREMISSAS!$C$17)&lt;0,X546=""),0,(X546-13/12*AA546)*(1+PREMISSAS!$C$17))</f>
        <v>0</v>
      </c>
      <c r="Y547" s="111">
        <f t="shared" ca="1" si="78"/>
        <v>0</v>
      </c>
      <c r="Z547" s="134">
        <f t="shared" ca="1" si="79"/>
        <v>0</v>
      </c>
      <c r="AA547" s="134">
        <f t="shared" ca="1" si="72"/>
        <v>0</v>
      </c>
    </row>
    <row r="548" spans="2:27" x14ac:dyDescent="0.3">
      <c r="B548" s="21" t="str">
        <f ca="1">IF(B547="","",IF(EOMONTH(B547,1)&gt;EOMONTH(ELEGIBILIDADE!$E$5,0),"",EOMONTH(B547,1)))</f>
        <v/>
      </c>
      <c r="C548" s="22" t="str">
        <f ca="1">IF(B548="","",IF(MONTH(B548)=1,C547*(1+PREMISSAS!$C$58),C547))</f>
        <v/>
      </c>
      <c r="D548" s="22">
        <f ca="1">IF(RESULTADOS!$C$17="Normal",IFERROR(MAX(C548-PREMISSAS!$C$14,0),0),IF(PREMISSAS!$H$117=0,0,MAX(10*PREMISSAS!$C$39,RESULTADOS!$F$17)))</f>
        <v>0</v>
      </c>
      <c r="E548" s="4">
        <f ca="1">D548*IF(RESULTADOS!$C$17="Normal",RESULTADOS!$C$16,0)</f>
        <v>0</v>
      </c>
      <c r="F548" s="4">
        <f ca="1">IF(D548&lt;&gt;0,PREMISSAS!$N$83,0)</f>
        <v>0</v>
      </c>
      <c r="G548" s="4">
        <f ca="1">IFERROR(IF(RESULTADOS!$C$17="Normal",0,D548)*IF(RESULTADOS!$C$17="Normal",RESULTADOS!$C$18,RESULTADOS!$C$16),0)</f>
        <v>0</v>
      </c>
      <c r="H548" s="4">
        <f ca="1">IF(RESULTADOS!$C$17="Normal",E548,0)</f>
        <v>0</v>
      </c>
      <c r="I548" s="4">
        <f ca="1">(E548+H548+G548)*IFERROR(VLOOKUP(INT(COUNT($B$5:B548)/12),PREMISSAS!$B$62:$C$69,2,FALSE),PREMISSAS!$C$69)</f>
        <v>0</v>
      </c>
      <c r="J548" s="4">
        <f ca="1">D548*IF(RESULTADOS!$C$17="Normal",PREMISSAS!$C$71,0)</f>
        <v>0</v>
      </c>
      <c r="K548" s="87">
        <f ca="1">IFERROR(K547*(1+PREMISSAS!$C$19)+(E548+H548-IF(RESULTADOS!$C$17="Normal",I548,0)-J548)*IF(MONTH(B548)=12,2,1),0)</f>
        <v>0</v>
      </c>
      <c r="L548" s="87">
        <f ca="1">IFERROR((L547+G548-IF(RESULTADOS!$C$17="Normal",0,I548))*(1+PREMISSAS!$C$19)+F548,0)</f>
        <v>0</v>
      </c>
      <c r="N548" s="58">
        <f t="shared" ca="1" si="73"/>
        <v>0</v>
      </c>
      <c r="P548" s="131" t="str">
        <f t="shared" ca="1" si="74"/>
        <v/>
      </c>
      <c r="Q548" s="111" t="str">
        <f ca="1">IF(C548="","",Q547+(E548+H548-IF(RESULTADOS!$C$17="Normal",I548,0)-J548)/2+(F548+G548-IF(RESULTADOS!$C$17="Normal",0,I548)))</f>
        <v/>
      </c>
      <c r="R548" s="111" t="str">
        <f ca="1">IF(C548="","",R547+(E548+H548-IF(RESULTADOS!$C$17="Normal",I548,0)-J548)/2)</f>
        <v/>
      </c>
      <c r="S548" s="111">
        <f t="shared" ca="1" si="75"/>
        <v>0</v>
      </c>
      <c r="U548" s="131" t="str">
        <f t="shared" ca="1" si="76"/>
        <v/>
      </c>
      <c r="V548" s="131" t="str">
        <f t="shared" ca="1" si="77"/>
        <v/>
      </c>
      <c r="W548" s="111">
        <f ca="1">IF(OR((W547-13/12*Z547)*(1+PREMISSAS!$C$17)&lt;0,W547=""),0,(W547-13/12*Z547)*(1+PREMISSAS!$C$17))</f>
        <v>0</v>
      </c>
      <c r="X548" s="111">
        <f ca="1">IF(OR((X547-13/12*AA547)*(1+PREMISSAS!$C$17)&lt;0,X547=""),0,(X547-13/12*AA547)*(1+PREMISSAS!$C$17))</f>
        <v>0</v>
      </c>
      <c r="Y548" s="111">
        <f t="shared" ca="1" si="78"/>
        <v>0</v>
      </c>
      <c r="Z548" s="134">
        <f t="shared" ca="1" si="79"/>
        <v>0</v>
      </c>
      <c r="AA548" s="134">
        <f t="shared" ca="1" si="72"/>
        <v>0</v>
      </c>
    </row>
    <row r="549" spans="2:27" x14ac:dyDescent="0.3">
      <c r="B549" s="21" t="str">
        <f ca="1">IF(B548="","",IF(EOMONTH(B548,1)&gt;EOMONTH(ELEGIBILIDADE!$E$5,0),"",EOMONTH(B548,1)))</f>
        <v/>
      </c>
      <c r="C549" s="22" t="str">
        <f ca="1">IF(B549="","",IF(MONTH(B549)=1,C548*(1+PREMISSAS!$C$58),C548))</f>
        <v/>
      </c>
      <c r="D549" s="22">
        <f ca="1">IF(RESULTADOS!$C$17="Normal",IFERROR(MAX(C549-PREMISSAS!$C$14,0),0),IF(PREMISSAS!$H$117=0,0,MAX(10*PREMISSAS!$C$39,RESULTADOS!$F$17)))</f>
        <v>0</v>
      </c>
      <c r="E549" s="4">
        <f ca="1">D549*IF(RESULTADOS!$C$17="Normal",RESULTADOS!$C$16,0)</f>
        <v>0</v>
      </c>
      <c r="F549" s="4">
        <f ca="1">IF(D549&lt;&gt;0,PREMISSAS!$N$83,0)</f>
        <v>0</v>
      </c>
      <c r="G549" s="4">
        <f ca="1">IFERROR(IF(RESULTADOS!$C$17="Normal",0,D549)*IF(RESULTADOS!$C$17="Normal",RESULTADOS!$C$18,RESULTADOS!$C$16),0)</f>
        <v>0</v>
      </c>
      <c r="H549" s="4">
        <f ca="1">IF(RESULTADOS!$C$17="Normal",E549,0)</f>
        <v>0</v>
      </c>
      <c r="I549" s="4">
        <f ca="1">(E549+H549+G549)*IFERROR(VLOOKUP(INT(COUNT($B$5:B549)/12),PREMISSAS!$B$62:$C$69,2,FALSE),PREMISSAS!$C$69)</f>
        <v>0</v>
      </c>
      <c r="J549" s="4">
        <f ca="1">D549*IF(RESULTADOS!$C$17="Normal",PREMISSAS!$C$71,0)</f>
        <v>0</v>
      </c>
      <c r="K549" s="87">
        <f ca="1">IFERROR(K548*(1+PREMISSAS!$C$19)+(E549+H549-IF(RESULTADOS!$C$17="Normal",I549,0)-J549)*IF(MONTH(B549)=12,2,1),0)</f>
        <v>0</v>
      </c>
      <c r="L549" s="87">
        <f ca="1">IFERROR((L548+G549-IF(RESULTADOS!$C$17="Normal",0,I549))*(1+PREMISSAS!$C$19)+F549,0)</f>
        <v>0</v>
      </c>
      <c r="N549" s="58">
        <f t="shared" ca="1" si="73"/>
        <v>0</v>
      </c>
      <c r="P549" s="131" t="str">
        <f t="shared" ca="1" si="74"/>
        <v/>
      </c>
      <c r="Q549" s="111" t="str">
        <f ca="1">IF(C549="","",Q548+(E549+H549-IF(RESULTADOS!$C$17="Normal",I549,0)-J549)/2+(F549+G549-IF(RESULTADOS!$C$17="Normal",0,I549)))</f>
        <v/>
      </c>
      <c r="R549" s="111" t="str">
        <f ca="1">IF(C549="","",R548+(E549+H549-IF(RESULTADOS!$C$17="Normal",I549,0)-J549)/2)</f>
        <v/>
      </c>
      <c r="S549" s="111">
        <f t="shared" ca="1" si="75"/>
        <v>0</v>
      </c>
      <c r="U549" s="131" t="str">
        <f t="shared" ca="1" si="76"/>
        <v/>
      </c>
      <c r="V549" s="131" t="str">
        <f t="shared" ca="1" si="77"/>
        <v/>
      </c>
      <c r="W549" s="111">
        <f ca="1">IF(OR((W548-13/12*Z548)*(1+PREMISSAS!$C$17)&lt;0,W548=""),0,(W548-13/12*Z548)*(1+PREMISSAS!$C$17))</f>
        <v>0</v>
      </c>
      <c r="X549" s="111">
        <f ca="1">IF(OR((X548-13/12*AA548)*(1+PREMISSAS!$C$17)&lt;0,X548=""),0,(X548-13/12*AA548)*(1+PREMISSAS!$C$17))</f>
        <v>0</v>
      </c>
      <c r="Y549" s="111">
        <f t="shared" ca="1" si="78"/>
        <v>0</v>
      </c>
      <c r="Z549" s="134">
        <f t="shared" ca="1" si="79"/>
        <v>0</v>
      </c>
      <c r="AA549" s="134">
        <f t="shared" ca="1" si="72"/>
        <v>0</v>
      </c>
    </row>
    <row r="550" spans="2:27" x14ac:dyDescent="0.3">
      <c r="B550" s="21" t="str">
        <f ca="1">IF(B549="","",IF(EOMONTH(B549,1)&gt;EOMONTH(ELEGIBILIDADE!$E$5,0),"",EOMONTH(B549,1)))</f>
        <v/>
      </c>
      <c r="C550" s="22" t="str">
        <f ca="1">IF(B550="","",IF(MONTH(B550)=1,C549*(1+PREMISSAS!$C$58),C549))</f>
        <v/>
      </c>
      <c r="D550" s="22">
        <f ca="1">IF(RESULTADOS!$C$17="Normal",IFERROR(MAX(C550-PREMISSAS!$C$14,0),0),IF(PREMISSAS!$H$117=0,0,MAX(10*PREMISSAS!$C$39,RESULTADOS!$F$17)))</f>
        <v>0</v>
      </c>
      <c r="E550" s="4">
        <f ca="1">D550*IF(RESULTADOS!$C$17="Normal",RESULTADOS!$C$16,0)</f>
        <v>0</v>
      </c>
      <c r="F550" s="4">
        <f ca="1">IF(D550&lt;&gt;0,PREMISSAS!$N$83,0)</f>
        <v>0</v>
      </c>
      <c r="G550" s="4">
        <f ca="1">IFERROR(IF(RESULTADOS!$C$17="Normal",0,D550)*IF(RESULTADOS!$C$17="Normal",RESULTADOS!$C$18,RESULTADOS!$C$16),0)</f>
        <v>0</v>
      </c>
      <c r="H550" s="4">
        <f ca="1">IF(RESULTADOS!$C$17="Normal",E550,0)</f>
        <v>0</v>
      </c>
      <c r="I550" s="4">
        <f ca="1">(E550+H550+G550)*IFERROR(VLOOKUP(INT(COUNT($B$5:B550)/12),PREMISSAS!$B$62:$C$69,2,FALSE),PREMISSAS!$C$69)</f>
        <v>0</v>
      </c>
      <c r="J550" s="4">
        <f ca="1">D550*IF(RESULTADOS!$C$17="Normal",PREMISSAS!$C$71,0)</f>
        <v>0</v>
      </c>
      <c r="K550" s="87">
        <f ca="1">IFERROR(K549*(1+PREMISSAS!$C$19)+(E550+H550-IF(RESULTADOS!$C$17="Normal",I550,0)-J550)*IF(MONTH(B550)=12,2,1),0)</f>
        <v>0</v>
      </c>
      <c r="L550" s="87">
        <f ca="1">IFERROR((L549+G550-IF(RESULTADOS!$C$17="Normal",0,I550))*(1+PREMISSAS!$C$19)+F550,0)</f>
        <v>0</v>
      </c>
      <c r="N550" s="58">
        <f t="shared" ca="1" si="73"/>
        <v>0</v>
      </c>
      <c r="P550" s="131" t="str">
        <f t="shared" ca="1" si="74"/>
        <v/>
      </c>
      <c r="Q550" s="111" t="str">
        <f ca="1">IF(C550="","",Q549+(E550+H550-IF(RESULTADOS!$C$17="Normal",I550,0)-J550)/2+(F550+G550-IF(RESULTADOS!$C$17="Normal",0,I550)))</f>
        <v/>
      </c>
      <c r="R550" s="111" t="str">
        <f ca="1">IF(C550="","",R549+(E550+H550-IF(RESULTADOS!$C$17="Normal",I550,0)-J550)/2)</f>
        <v/>
      </c>
      <c r="S550" s="111">
        <f t="shared" ca="1" si="75"/>
        <v>0</v>
      </c>
      <c r="U550" s="131" t="str">
        <f t="shared" ca="1" si="76"/>
        <v/>
      </c>
      <c r="V550" s="131" t="str">
        <f t="shared" ca="1" si="77"/>
        <v/>
      </c>
      <c r="W550" s="111">
        <f ca="1">IF(OR((W549-13/12*Z549)*(1+PREMISSAS!$C$17)&lt;0,W549=""),0,(W549-13/12*Z549)*(1+PREMISSAS!$C$17))</f>
        <v>0</v>
      </c>
      <c r="X550" s="111">
        <f ca="1">IF(OR((X549-13/12*AA549)*(1+PREMISSAS!$C$17)&lt;0,X549=""),0,(X549-13/12*AA549)*(1+PREMISSAS!$C$17))</f>
        <v>0</v>
      </c>
      <c r="Y550" s="111">
        <f t="shared" ca="1" si="78"/>
        <v>0</v>
      </c>
      <c r="Z550" s="134">
        <f t="shared" ca="1" si="79"/>
        <v>0</v>
      </c>
      <c r="AA550" s="134">
        <f t="shared" ca="1" si="72"/>
        <v>0</v>
      </c>
    </row>
    <row r="551" spans="2:27" x14ac:dyDescent="0.3">
      <c r="B551" s="21" t="str">
        <f ca="1">IF(B550="","",IF(EOMONTH(B550,1)&gt;EOMONTH(ELEGIBILIDADE!$E$5,0),"",EOMONTH(B550,1)))</f>
        <v/>
      </c>
      <c r="C551" s="22" t="str">
        <f ca="1">IF(B551="","",IF(MONTH(B551)=1,C550*(1+PREMISSAS!$C$58),C550))</f>
        <v/>
      </c>
      <c r="D551" s="22">
        <f ca="1">IF(RESULTADOS!$C$17="Normal",IFERROR(MAX(C551-PREMISSAS!$C$14,0),0),IF(PREMISSAS!$H$117=0,0,MAX(10*PREMISSAS!$C$39,RESULTADOS!$F$17)))</f>
        <v>0</v>
      </c>
      <c r="E551" s="4">
        <f ca="1">D551*IF(RESULTADOS!$C$17="Normal",RESULTADOS!$C$16,0)</f>
        <v>0</v>
      </c>
      <c r="F551" s="4">
        <f ca="1">IF(D551&lt;&gt;0,PREMISSAS!$N$83,0)</f>
        <v>0</v>
      </c>
      <c r="G551" s="4">
        <f ca="1">IFERROR(IF(RESULTADOS!$C$17="Normal",0,D551)*IF(RESULTADOS!$C$17="Normal",RESULTADOS!$C$18,RESULTADOS!$C$16),0)</f>
        <v>0</v>
      </c>
      <c r="H551" s="4">
        <f ca="1">IF(RESULTADOS!$C$17="Normal",E551,0)</f>
        <v>0</v>
      </c>
      <c r="I551" s="4">
        <f ca="1">(E551+H551+G551)*IFERROR(VLOOKUP(INT(COUNT($B$5:B551)/12),PREMISSAS!$B$62:$C$69,2,FALSE),PREMISSAS!$C$69)</f>
        <v>0</v>
      </c>
      <c r="J551" s="4">
        <f ca="1">D551*IF(RESULTADOS!$C$17="Normal",PREMISSAS!$C$71,0)</f>
        <v>0</v>
      </c>
      <c r="K551" s="87">
        <f ca="1">IFERROR(K550*(1+PREMISSAS!$C$19)+(E551+H551-IF(RESULTADOS!$C$17="Normal",I551,0)-J551)*IF(MONTH(B551)=12,2,1),0)</f>
        <v>0</v>
      </c>
      <c r="L551" s="87">
        <f ca="1">IFERROR((L550+G551-IF(RESULTADOS!$C$17="Normal",0,I551))*(1+PREMISSAS!$C$19)+F551,0)</f>
        <v>0</v>
      </c>
      <c r="N551" s="58">
        <f t="shared" ca="1" si="73"/>
        <v>0</v>
      </c>
      <c r="P551" s="131" t="str">
        <f t="shared" ca="1" si="74"/>
        <v/>
      </c>
      <c r="Q551" s="111" t="str">
        <f ca="1">IF(C551="","",Q550+(E551+H551-IF(RESULTADOS!$C$17="Normal",I551,0)-J551)/2+(F551+G551-IF(RESULTADOS!$C$17="Normal",0,I551)))</f>
        <v/>
      </c>
      <c r="R551" s="111" t="str">
        <f ca="1">IF(C551="","",R550+(E551+H551-IF(RESULTADOS!$C$17="Normal",I551,0)-J551)/2)</f>
        <v/>
      </c>
      <c r="S551" s="111">
        <f t="shared" ca="1" si="75"/>
        <v>0</v>
      </c>
      <c r="U551" s="131" t="str">
        <f t="shared" ca="1" si="76"/>
        <v/>
      </c>
      <c r="V551" s="131" t="str">
        <f t="shared" ca="1" si="77"/>
        <v/>
      </c>
      <c r="W551" s="111">
        <f ca="1">IF(OR((W550-13/12*Z550)*(1+PREMISSAS!$C$17)&lt;0,W550=""),0,(W550-13/12*Z550)*(1+PREMISSAS!$C$17))</f>
        <v>0</v>
      </c>
      <c r="X551" s="111">
        <f ca="1">IF(OR((X550-13/12*AA550)*(1+PREMISSAS!$C$17)&lt;0,X550=""),0,(X550-13/12*AA550)*(1+PREMISSAS!$C$17))</f>
        <v>0</v>
      </c>
      <c r="Y551" s="111">
        <f t="shared" ca="1" si="78"/>
        <v>0</v>
      </c>
      <c r="Z551" s="134">
        <f t="shared" ca="1" si="79"/>
        <v>0</v>
      </c>
      <c r="AA551" s="134">
        <f t="shared" ca="1" si="72"/>
        <v>0</v>
      </c>
    </row>
    <row r="552" spans="2:27" x14ac:dyDescent="0.3">
      <c r="B552" s="21" t="str">
        <f ca="1">IF(B551="","",IF(EOMONTH(B551,1)&gt;EOMONTH(ELEGIBILIDADE!$E$5,0),"",EOMONTH(B551,1)))</f>
        <v/>
      </c>
      <c r="C552" s="22" t="str">
        <f ca="1">IF(B552="","",IF(MONTH(B552)=1,C551*(1+PREMISSAS!$C$58),C551))</f>
        <v/>
      </c>
      <c r="D552" s="22">
        <f ca="1">IF(RESULTADOS!$C$17="Normal",IFERROR(MAX(C552-PREMISSAS!$C$14,0),0),IF(PREMISSAS!$H$117=0,0,MAX(10*PREMISSAS!$C$39,RESULTADOS!$F$17)))</f>
        <v>0</v>
      </c>
      <c r="E552" s="4">
        <f ca="1">D552*IF(RESULTADOS!$C$17="Normal",RESULTADOS!$C$16,0)</f>
        <v>0</v>
      </c>
      <c r="F552" s="4">
        <f ca="1">IF(D552&lt;&gt;0,PREMISSAS!$N$83,0)</f>
        <v>0</v>
      </c>
      <c r="G552" s="4">
        <f ca="1">IFERROR(IF(RESULTADOS!$C$17="Normal",0,D552)*IF(RESULTADOS!$C$17="Normal",RESULTADOS!$C$18,RESULTADOS!$C$16),0)</f>
        <v>0</v>
      </c>
      <c r="H552" s="4">
        <f ca="1">IF(RESULTADOS!$C$17="Normal",E552,0)</f>
        <v>0</v>
      </c>
      <c r="I552" s="4">
        <f ca="1">(E552+H552+G552)*IFERROR(VLOOKUP(INT(COUNT($B$5:B552)/12),PREMISSAS!$B$62:$C$69,2,FALSE),PREMISSAS!$C$69)</f>
        <v>0</v>
      </c>
      <c r="J552" s="4">
        <f ca="1">D552*IF(RESULTADOS!$C$17="Normal",PREMISSAS!$C$71,0)</f>
        <v>0</v>
      </c>
      <c r="K552" s="87">
        <f ca="1">IFERROR(K551*(1+PREMISSAS!$C$19)+(E552+H552-IF(RESULTADOS!$C$17="Normal",I552,0)-J552)*IF(MONTH(B552)=12,2,1),0)</f>
        <v>0</v>
      </c>
      <c r="L552" s="87">
        <f ca="1">IFERROR((L551+G552-IF(RESULTADOS!$C$17="Normal",0,I552))*(1+PREMISSAS!$C$19)+F552,0)</f>
        <v>0</v>
      </c>
      <c r="N552" s="58">
        <f t="shared" ca="1" si="73"/>
        <v>0</v>
      </c>
      <c r="P552" s="131" t="str">
        <f t="shared" ca="1" si="74"/>
        <v/>
      </c>
      <c r="Q552" s="111" t="str">
        <f ca="1">IF(C552="","",Q551+(E552+H552-IF(RESULTADOS!$C$17="Normal",I552,0)-J552)/2+(F552+G552-IF(RESULTADOS!$C$17="Normal",0,I552)))</f>
        <v/>
      </c>
      <c r="R552" s="111" t="str">
        <f ca="1">IF(C552="","",R551+(E552+H552-IF(RESULTADOS!$C$17="Normal",I552,0)-J552)/2)</f>
        <v/>
      </c>
      <c r="S552" s="111">
        <f t="shared" ca="1" si="75"/>
        <v>0</v>
      </c>
      <c r="U552" s="131" t="str">
        <f t="shared" ca="1" si="76"/>
        <v/>
      </c>
      <c r="V552" s="131" t="str">
        <f t="shared" ca="1" si="77"/>
        <v/>
      </c>
      <c r="W552" s="111">
        <f ca="1">IF(OR((W551-13/12*Z551)*(1+PREMISSAS!$C$17)&lt;0,W551=""),0,(W551-13/12*Z551)*(1+PREMISSAS!$C$17))</f>
        <v>0</v>
      </c>
      <c r="X552" s="111">
        <f ca="1">IF(OR((X551-13/12*AA551)*(1+PREMISSAS!$C$17)&lt;0,X551=""),0,(X551-13/12*AA551)*(1+PREMISSAS!$C$17))</f>
        <v>0</v>
      </c>
      <c r="Y552" s="111">
        <f t="shared" ca="1" si="78"/>
        <v>0</v>
      </c>
      <c r="Z552" s="134">
        <f t="shared" ca="1" si="79"/>
        <v>0</v>
      </c>
      <c r="AA552" s="134">
        <f t="shared" ca="1" si="72"/>
        <v>0</v>
      </c>
    </row>
    <row r="553" spans="2:27" x14ac:dyDescent="0.3">
      <c r="B553" s="21" t="str">
        <f ca="1">IF(B552="","",IF(EOMONTH(B552,1)&gt;EOMONTH(ELEGIBILIDADE!$E$5,0),"",EOMONTH(B552,1)))</f>
        <v/>
      </c>
      <c r="C553" s="22" t="str">
        <f ca="1">IF(B553="","",IF(MONTH(B553)=1,C552*(1+PREMISSAS!$C$58),C552))</f>
        <v/>
      </c>
      <c r="D553" s="22">
        <f ca="1">IF(RESULTADOS!$C$17="Normal",IFERROR(MAX(C553-PREMISSAS!$C$14,0),0),IF(PREMISSAS!$H$117=0,0,MAX(10*PREMISSAS!$C$39,RESULTADOS!$F$17)))</f>
        <v>0</v>
      </c>
      <c r="E553" s="4">
        <f ca="1">D553*IF(RESULTADOS!$C$17="Normal",RESULTADOS!$C$16,0)</f>
        <v>0</v>
      </c>
      <c r="F553" s="4">
        <f ca="1">IF(D553&lt;&gt;0,PREMISSAS!$N$83,0)</f>
        <v>0</v>
      </c>
      <c r="G553" s="4">
        <f ca="1">IFERROR(IF(RESULTADOS!$C$17="Normal",0,D553)*IF(RESULTADOS!$C$17="Normal",RESULTADOS!$C$18,RESULTADOS!$C$16),0)</f>
        <v>0</v>
      </c>
      <c r="H553" s="4">
        <f ca="1">IF(RESULTADOS!$C$17="Normal",E553,0)</f>
        <v>0</v>
      </c>
      <c r="I553" s="4">
        <f ca="1">(E553+H553+G553)*IFERROR(VLOOKUP(INT(COUNT($B$5:B553)/12),PREMISSAS!$B$62:$C$69,2,FALSE),PREMISSAS!$C$69)</f>
        <v>0</v>
      </c>
      <c r="J553" s="4">
        <f ca="1">D553*IF(RESULTADOS!$C$17="Normal",PREMISSAS!$C$71,0)</f>
        <v>0</v>
      </c>
      <c r="K553" s="87">
        <f ca="1">IFERROR(K552*(1+PREMISSAS!$C$19)+(E553+H553-IF(RESULTADOS!$C$17="Normal",I553,0)-J553)*IF(MONTH(B553)=12,2,1),0)</f>
        <v>0</v>
      </c>
      <c r="L553" s="87">
        <f ca="1">IFERROR((L552+G553-IF(RESULTADOS!$C$17="Normal",0,I553))*(1+PREMISSAS!$C$19)+F553,0)</f>
        <v>0</v>
      </c>
      <c r="N553" s="58">
        <f t="shared" ca="1" si="73"/>
        <v>0</v>
      </c>
      <c r="P553" s="131" t="str">
        <f t="shared" ca="1" si="74"/>
        <v/>
      </c>
      <c r="Q553" s="111" t="str">
        <f ca="1">IF(C553="","",Q552+(E553+H553-IF(RESULTADOS!$C$17="Normal",I553,0)-J553)/2+(F553+G553-IF(RESULTADOS!$C$17="Normal",0,I553)))</f>
        <v/>
      </c>
      <c r="R553" s="111" t="str">
        <f ca="1">IF(C553="","",R552+(E553+H553-IF(RESULTADOS!$C$17="Normal",I553,0)-J553)/2)</f>
        <v/>
      </c>
      <c r="S553" s="111">
        <f t="shared" ca="1" si="75"/>
        <v>0</v>
      </c>
      <c r="U553" s="131" t="str">
        <f t="shared" ca="1" si="76"/>
        <v/>
      </c>
      <c r="V553" s="131" t="str">
        <f t="shared" ca="1" si="77"/>
        <v/>
      </c>
      <c r="W553" s="111">
        <f ca="1">IF(OR((W552-13/12*Z552)*(1+PREMISSAS!$C$17)&lt;0,W552=""),0,(W552-13/12*Z552)*(1+PREMISSAS!$C$17))</f>
        <v>0</v>
      </c>
      <c r="X553" s="111">
        <f ca="1">IF(OR((X552-13/12*AA552)*(1+PREMISSAS!$C$17)&lt;0,X552=""),0,(X552-13/12*AA552)*(1+PREMISSAS!$C$17))</f>
        <v>0</v>
      </c>
      <c r="Y553" s="111">
        <f t="shared" ca="1" si="78"/>
        <v>0</v>
      </c>
      <c r="Z553" s="134">
        <f t="shared" ca="1" si="79"/>
        <v>0</v>
      </c>
      <c r="AA553" s="134">
        <f t="shared" ca="1" si="72"/>
        <v>0</v>
      </c>
    </row>
    <row r="554" spans="2:27" x14ac:dyDescent="0.3">
      <c r="B554" s="21" t="str">
        <f ca="1">IF(B553="","",IF(EOMONTH(B553,1)&gt;EOMONTH(ELEGIBILIDADE!$E$5,0),"",EOMONTH(B553,1)))</f>
        <v/>
      </c>
      <c r="C554" s="22" t="str">
        <f ca="1">IF(B554="","",IF(MONTH(B554)=1,C553*(1+PREMISSAS!$C$58),C553))</f>
        <v/>
      </c>
      <c r="D554" s="22">
        <f ca="1">IF(RESULTADOS!$C$17="Normal",IFERROR(MAX(C554-PREMISSAS!$C$14,0),0),IF(PREMISSAS!$H$117=0,0,MAX(10*PREMISSAS!$C$39,RESULTADOS!$F$17)))</f>
        <v>0</v>
      </c>
      <c r="E554" s="4">
        <f ca="1">D554*IF(RESULTADOS!$C$17="Normal",RESULTADOS!$C$16,0)</f>
        <v>0</v>
      </c>
      <c r="F554" s="4">
        <f ca="1">IF(D554&lt;&gt;0,PREMISSAS!$N$83,0)</f>
        <v>0</v>
      </c>
      <c r="G554" s="4">
        <f ca="1">IFERROR(IF(RESULTADOS!$C$17="Normal",0,D554)*IF(RESULTADOS!$C$17="Normal",RESULTADOS!$C$18,RESULTADOS!$C$16),0)</f>
        <v>0</v>
      </c>
      <c r="H554" s="4">
        <f ca="1">IF(RESULTADOS!$C$17="Normal",E554,0)</f>
        <v>0</v>
      </c>
      <c r="I554" s="4">
        <f ca="1">(E554+H554+G554)*IFERROR(VLOOKUP(INT(COUNT($B$5:B554)/12),PREMISSAS!$B$62:$C$69,2,FALSE),PREMISSAS!$C$69)</f>
        <v>0</v>
      </c>
      <c r="J554" s="4">
        <f ca="1">D554*IF(RESULTADOS!$C$17="Normal",PREMISSAS!$C$71,0)</f>
        <v>0</v>
      </c>
      <c r="K554" s="87">
        <f ca="1">IFERROR(K553*(1+PREMISSAS!$C$19)+(E554+H554-IF(RESULTADOS!$C$17="Normal",I554,0)-J554)*IF(MONTH(B554)=12,2,1),0)</f>
        <v>0</v>
      </c>
      <c r="L554" s="87">
        <f ca="1">IFERROR((L553+G554-IF(RESULTADOS!$C$17="Normal",0,I554))*(1+PREMISSAS!$C$19)+F554,0)</f>
        <v>0</v>
      </c>
      <c r="N554" s="58">
        <f t="shared" ca="1" si="73"/>
        <v>0</v>
      </c>
      <c r="P554" s="131" t="str">
        <f t="shared" ca="1" si="74"/>
        <v/>
      </c>
      <c r="Q554" s="111" t="str">
        <f ca="1">IF(C554="","",Q553+(E554+H554-IF(RESULTADOS!$C$17="Normal",I554,0)-J554)/2+(F554+G554-IF(RESULTADOS!$C$17="Normal",0,I554)))</f>
        <v/>
      </c>
      <c r="R554" s="111" t="str">
        <f ca="1">IF(C554="","",R553+(E554+H554-IF(RESULTADOS!$C$17="Normal",I554,0)-J554)/2)</f>
        <v/>
      </c>
      <c r="S554" s="111">
        <f t="shared" ca="1" si="75"/>
        <v>0</v>
      </c>
      <c r="U554" s="131" t="str">
        <f t="shared" ca="1" si="76"/>
        <v/>
      </c>
      <c r="V554" s="131" t="str">
        <f t="shared" ca="1" si="77"/>
        <v/>
      </c>
      <c r="W554" s="111">
        <f ca="1">IF(OR((W553-13/12*Z553)*(1+PREMISSAS!$C$17)&lt;0,W553=""),0,(W553-13/12*Z553)*(1+PREMISSAS!$C$17))</f>
        <v>0</v>
      </c>
      <c r="X554" s="111">
        <f ca="1">IF(OR((X553-13/12*AA553)*(1+PREMISSAS!$C$17)&lt;0,X553=""),0,(X553-13/12*AA553)*(1+PREMISSAS!$C$17))</f>
        <v>0</v>
      </c>
      <c r="Y554" s="111">
        <f t="shared" ca="1" si="78"/>
        <v>0</v>
      </c>
      <c r="Z554" s="134">
        <f t="shared" ca="1" si="79"/>
        <v>0</v>
      </c>
      <c r="AA554" s="134">
        <f t="shared" ca="1" si="72"/>
        <v>0</v>
      </c>
    </row>
    <row r="555" spans="2:27" x14ac:dyDescent="0.3">
      <c r="B555" s="21" t="str">
        <f ca="1">IF(B554="","",IF(EOMONTH(B554,1)&gt;EOMONTH(ELEGIBILIDADE!$E$5,0),"",EOMONTH(B554,1)))</f>
        <v/>
      </c>
      <c r="C555" s="22" t="str">
        <f ca="1">IF(B555="","",IF(MONTH(B555)=1,C554*(1+PREMISSAS!$C$58),C554))</f>
        <v/>
      </c>
      <c r="D555" s="22">
        <f ca="1">IF(RESULTADOS!$C$17="Normal",IFERROR(MAX(C555-PREMISSAS!$C$14,0),0),IF(PREMISSAS!$H$117=0,0,MAX(10*PREMISSAS!$C$39,RESULTADOS!$F$17)))</f>
        <v>0</v>
      </c>
      <c r="E555" s="4">
        <f ca="1">D555*IF(RESULTADOS!$C$17="Normal",RESULTADOS!$C$16,0)</f>
        <v>0</v>
      </c>
      <c r="F555" s="4">
        <f ca="1">IF(D555&lt;&gt;0,PREMISSAS!$N$83,0)</f>
        <v>0</v>
      </c>
      <c r="G555" s="4">
        <f ca="1">IFERROR(IF(RESULTADOS!$C$17="Normal",0,D555)*IF(RESULTADOS!$C$17="Normal",RESULTADOS!$C$18,RESULTADOS!$C$16),0)</f>
        <v>0</v>
      </c>
      <c r="H555" s="4">
        <f ca="1">IF(RESULTADOS!$C$17="Normal",E555,0)</f>
        <v>0</v>
      </c>
      <c r="I555" s="4">
        <f ca="1">(E555+H555+G555)*IFERROR(VLOOKUP(INT(COUNT($B$5:B555)/12),PREMISSAS!$B$62:$C$69,2,FALSE),PREMISSAS!$C$69)</f>
        <v>0</v>
      </c>
      <c r="J555" s="4">
        <f ca="1">D555*IF(RESULTADOS!$C$17="Normal",PREMISSAS!$C$71,0)</f>
        <v>0</v>
      </c>
      <c r="K555" s="87">
        <f ca="1">IFERROR(K554*(1+PREMISSAS!$C$19)+(E555+H555-IF(RESULTADOS!$C$17="Normal",I555,0)-J555)*IF(MONTH(B555)=12,2,1),0)</f>
        <v>0</v>
      </c>
      <c r="L555" s="87">
        <f ca="1">IFERROR((L554+G555-IF(RESULTADOS!$C$17="Normal",0,I555))*(1+PREMISSAS!$C$19)+F555,0)</f>
        <v>0</v>
      </c>
      <c r="N555" s="58">
        <f t="shared" ca="1" si="73"/>
        <v>0</v>
      </c>
      <c r="P555" s="131" t="str">
        <f t="shared" ca="1" si="74"/>
        <v/>
      </c>
      <c r="Q555" s="111" t="str">
        <f ca="1">IF(C555="","",Q554+(E555+H555-IF(RESULTADOS!$C$17="Normal",I555,0)-J555)/2+(F555+G555-IF(RESULTADOS!$C$17="Normal",0,I555)))</f>
        <v/>
      </c>
      <c r="R555" s="111" t="str">
        <f ca="1">IF(C555="","",R554+(E555+H555-IF(RESULTADOS!$C$17="Normal",I555,0)-J555)/2)</f>
        <v/>
      </c>
      <c r="S555" s="111">
        <f t="shared" ca="1" si="75"/>
        <v>0</v>
      </c>
      <c r="U555" s="131" t="str">
        <f t="shared" ca="1" si="76"/>
        <v/>
      </c>
      <c r="V555" s="131" t="str">
        <f t="shared" ca="1" si="77"/>
        <v/>
      </c>
      <c r="W555" s="111">
        <f ca="1">IF(OR((W554-13/12*Z554)*(1+PREMISSAS!$C$17)&lt;0,W554=""),0,(W554-13/12*Z554)*(1+PREMISSAS!$C$17))</f>
        <v>0</v>
      </c>
      <c r="X555" s="111">
        <f ca="1">IF(OR((X554-13/12*AA554)*(1+PREMISSAS!$C$17)&lt;0,X554=""),0,(X554-13/12*AA554)*(1+PREMISSAS!$C$17))</f>
        <v>0</v>
      </c>
      <c r="Y555" s="111">
        <f t="shared" ca="1" si="78"/>
        <v>0</v>
      </c>
      <c r="Z555" s="134">
        <f t="shared" ca="1" si="79"/>
        <v>0</v>
      </c>
      <c r="AA555" s="134">
        <f t="shared" ca="1" si="72"/>
        <v>0</v>
      </c>
    </row>
    <row r="556" spans="2:27" x14ac:dyDescent="0.3">
      <c r="B556" s="21" t="str">
        <f ca="1">IF(B555="","",IF(EOMONTH(B555,1)&gt;EOMONTH(ELEGIBILIDADE!$E$5,0),"",EOMONTH(B555,1)))</f>
        <v/>
      </c>
      <c r="C556" s="22" t="str">
        <f ca="1">IF(B556="","",IF(MONTH(B556)=1,C555*(1+PREMISSAS!$C$58),C555))</f>
        <v/>
      </c>
      <c r="D556" s="22">
        <f ca="1">IF(RESULTADOS!$C$17="Normal",IFERROR(MAX(C556-PREMISSAS!$C$14,0),0),IF(PREMISSAS!$H$117=0,0,MAX(10*PREMISSAS!$C$39,RESULTADOS!$F$17)))</f>
        <v>0</v>
      </c>
      <c r="E556" s="4">
        <f ca="1">D556*IF(RESULTADOS!$C$17="Normal",RESULTADOS!$C$16,0)</f>
        <v>0</v>
      </c>
      <c r="F556" s="4">
        <f ca="1">IF(D556&lt;&gt;0,PREMISSAS!$N$83,0)</f>
        <v>0</v>
      </c>
      <c r="G556" s="4">
        <f ca="1">IFERROR(IF(RESULTADOS!$C$17="Normal",0,D556)*IF(RESULTADOS!$C$17="Normal",RESULTADOS!$C$18,RESULTADOS!$C$16),0)</f>
        <v>0</v>
      </c>
      <c r="H556" s="4">
        <f ca="1">IF(RESULTADOS!$C$17="Normal",E556,0)</f>
        <v>0</v>
      </c>
      <c r="I556" s="4">
        <f ca="1">(E556+H556+G556)*IFERROR(VLOOKUP(INT(COUNT($B$5:B556)/12),PREMISSAS!$B$62:$C$69,2,FALSE),PREMISSAS!$C$69)</f>
        <v>0</v>
      </c>
      <c r="J556" s="4">
        <f ca="1">D556*IF(RESULTADOS!$C$17="Normal",PREMISSAS!$C$71,0)</f>
        <v>0</v>
      </c>
      <c r="K556" s="87">
        <f ca="1">IFERROR(K555*(1+PREMISSAS!$C$19)+(E556+H556-IF(RESULTADOS!$C$17="Normal",I556,0)-J556)*IF(MONTH(B556)=12,2,1),0)</f>
        <v>0</v>
      </c>
      <c r="L556" s="87">
        <f ca="1">IFERROR((L555+G556-IF(RESULTADOS!$C$17="Normal",0,I556))*(1+PREMISSAS!$C$19)+F556,0)</f>
        <v>0</v>
      </c>
      <c r="N556" s="58">
        <f t="shared" ca="1" si="73"/>
        <v>0</v>
      </c>
      <c r="P556" s="131" t="str">
        <f t="shared" ca="1" si="74"/>
        <v/>
      </c>
      <c r="Q556" s="111" t="str">
        <f ca="1">IF(C556="","",Q555+(E556+H556-IF(RESULTADOS!$C$17="Normal",I556,0)-J556)/2+(F556+G556-IF(RESULTADOS!$C$17="Normal",0,I556)))</f>
        <v/>
      </c>
      <c r="R556" s="111" t="str">
        <f ca="1">IF(C556="","",R555+(E556+H556-IF(RESULTADOS!$C$17="Normal",I556,0)-J556)/2)</f>
        <v/>
      </c>
      <c r="S556" s="111">
        <f t="shared" ca="1" si="75"/>
        <v>0</v>
      </c>
      <c r="U556" s="131" t="str">
        <f t="shared" ca="1" si="76"/>
        <v/>
      </c>
      <c r="V556" s="131" t="str">
        <f t="shared" ca="1" si="77"/>
        <v/>
      </c>
      <c r="W556" s="111">
        <f ca="1">IF(OR((W555-13/12*Z555)*(1+PREMISSAS!$C$17)&lt;0,W555=""),0,(W555-13/12*Z555)*(1+PREMISSAS!$C$17))</f>
        <v>0</v>
      </c>
      <c r="X556" s="111">
        <f ca="1">IF(OR((X555-13/12*AA555)*(1+PREMISSAS!$C$17)&lt;0,X555=""),0,(X555-13/12*AA555)*(1+PREMISSAS!$C$17))</f>
        <v>0</v>
      </c>
      <c r="Y556" s="111">
        <f t="shared" ca="1" si="78"/>
        <v>0</v>
      </c>
      <c r="Z556" s="134">
        <f t="shared" ca="1" si="79"/>
        <v>0</v>
      </c>
      <c r="AA556" s="134">
        <f t="shared" ca="1" si="72"/>
        <v>0</v>
      </c>
    </row>
    <row r="557" spans="2:27" x14ac:dyDescent="0.3">
      <c r="B557" s="21" t="str">
        <f ca="1">IF(B556="","",IF(EOMONTH(B556,1)&gt;EOMONTH(ELEGIBILIDADE!$E$5,0),"",EOMONTH(B556,1)))</f>
        <v/>
      </c>
      <c r="C557" s="22" t="str">
        <f ca="1">IF(B557="","",IF(MONTH(B557)=1,C556*(1+PREMISSAS!$C$58),C556))</f>
        <v/>
      </c>
      <c r="D557" s="22">
        <f ca="1">IF(RESULTADOS!$C$17="Normal",IFERROR(MAX(C557-PREMISSAS!$C$14,0),0),IF(PREMISSAS!$H$117=0,0,MAX(10*PREMISSAS!$C$39,RESULTADOS!$F$17)))</f>
        <v>0</v>
      </c>
      <c r="E557" s="4">
        <f ca="1">D557*IF(RESULTADOS!$C$17="Normal",RESULTADOS!$C$16,0)</f>
        <v>0</v>
      </c>
      <c r="F557" s="4">
        <f ca="1">IF(D557&lt;&gt;0,PREMISSAS!$N$83,0)</f>
        <v>0</v>
      </c>
      <c r="G557" s="4">
        <f ca="1">IFERROR(IF(RESULTADOS!$C$17="Normal",0,D557)*IF(RESULTADOS!$C$17="Normal",RESULTADOS!$C$18,RESULTADOS!$C$16),0)</f>
        <v>0</v>
      </c>
      <c r="H557" s="4">
        <f ca="1">IF(RESULTADOS!$C$17="Normal",E557,0)</f>
        <v>0</v>
      </c>
      <c r="I557" s="4">
        <f ca="1">(E557+H557+G557)*IFERROR(VLOOKUP(INT(COUNT($B$5:B557)/12),PREMISSAS!$B$62:$C$69,2,FALSE),PREMISSAS!$C$69)</f>
        <v>0</v>
      </c>
      <c r="J557" s="4">
        <f ca="1">D557*IF(RESULTADOS!$C$17="Normal",PREMISSAS!$C$71,0)</f>
        <v>0</v>
      </c>
      <c r="K557" s="87">
        <f ca="1">IFERROR(K556*(1+PREMISSAS!$C$19)+(E557+H557-IF(RESULTADOS!$C$17="Normal",I557,0)-J557)*IF(MONTH(B557)=12,2,1),0)</f>
        <v>0</v>
      </c>
      <c r="L557" s="87">
        <f ca="1">IFERROR((L556+G557-IF(RESULTADOS!$C$17="Normal",0,I557))*(1+PREMISSAS!$C$19)+F557,0)</f>
        <v>0</v>
      </c>
      <c r="N557" s="58">
        <f t="shared" ca="1" si="73"/>
        <v>0</v>
      </c>
      <c r="P557" s="131" t="str">
        <f t="shared" ca="1" si="74"/>
        <v/>
      </c>
      <c r="Q557" s="111" t="str">
        <f ca="1">IF(C557="","",Q556+(E557+H557-IF(RESULTADOS!$C$17="Normal",I557,0)-J557)/2+(F557+G557-IF(RESULTADOS!$C$17="Normal",0,I557)))</f>
        <v/>
      </c>
      <c r="R557" s="111" t="str">
        <f ca="1">IF(C557="","",R556+(E557+H557-IF(RESULTADOS!$C$17="Normal",I557,0)-J557)/2)</f>
        <v/>
      </c>
      <c r="S557" s="111">
        <f t="shared" ca="1" si="75"/>
        <v>0</v>
      </c>
      <c r="U557" s="131" t="str">
        <f t="shared" ca="1" si="76"/>
        <v/>
      </c>
      <c r="V557" s="131" t="str">
        <f t="shared" ca="1" si="77"/>
        <v/>
      </c>
      <c r="W557" s="111">
        <f ca="1">IF(OR((W556-13/12*Z556)*(1+PREMISSAS!$C$17)&lt;0,W556=""),0,(W556-13/12*Z556)*(1+PREMISSAS!$C$17))</f>
        <v>0</v>
      </c>
      <c r="X557" s="111">
        <f ca="1">IF(OR((X556-13/12*AA556)*(1+PREMISSAS!$C$17)&lt;0,X556=""),0,(X556-13/12*AA556)*(1+PREMISSAS!$C$17))</f>
        <v>0</v>
      </c>
      <c r="Y557" s="111">
        <f t="shared" ca="1" si="78"/>
        <v>0</v>
      </c>
      <c r="Z557" s="134">
        <f t="shared" ca="1" si="79"/>
        <v>0</v>
      </c>
      <c r="AA557" s="134">
        <f t="shared" ca="1" si="72"/>
        <v>0</v>
      </c>
    </row>
    <row r="558" spans="2:27" x14ac:dyDescent="0.3">
      <c r="B558" s="21" t="str">
        <f ca="1">IF(B557="","",IF(EOMONTH(B557,1)&gt;EOMONTH(ELEGIBILIDADE!$E$5,0),"",EOMONTH(B557,1)))</f>
        <v/>
      </c>
      <c r="C558" s="22" t="str">
        <f ca="1">IF(B558="","",IF(MONTH(B558)=1,C557*(1+PREMISSAS!$C$58),C557))</f>
        <v/>
      </c>
      <c r="D558" s="22">
        <f ca="1">IF(RESULTADOS!$C$17="Normal",IFERROR(MAX(C558-PREMISSAS!$C$14,0),0),IF(PREMISSAS!$H$117=0,0,MAX(10*PREMISSAS!$C$39,RESULTADOS!$F$17)))</f>
        <v>0</v>
      </c>
      <c r="E558" s="4">
        <f ca="1">D558*IF(RESULTADOS!$C$17="Normal",RESULTADOS!$C$16,0)</f>
        <v>0</v>
      </c>
      <c r="F558" s="4">
        <f ca="1">IF(D558&lt;&gt;0,PREMISSAS!$N$83,0)</f>
        <v>0</v>
      </c>
      <c r="G558" s="4">
        <f ca="1">IFERROR(IF(RESULTADOS!$C$17="Normal",0,D558)*IF(RESULTADOS!$C$17="Normal",RESULTADOS!$C$18,RESULTADOS!$C$16),0)</f>
        <v>0</v>
      </c>
      <c r="H558" s="4">
        <f ca="1">IF(RESULTADOS!$C$17="Normal",E558,0)</f>
        <v>0</v>
      </c>
      <c r="I558" s="4">
        <f ca="1">(E558+H558+G558)*IFERROR(VLOOKUP(INT(COUNT($B$5:B558)/12),PREMISSAS!$B$62:$C$69,2,FALSE),PREMISSAS!$C$69)</f>
        <v>0</v>
      </c>
      <c r="J558" s="4">
        <f ca="1">D558*IF(RESULTADOS!$C$17="Normal",PREMISSAS!$C$71,0)</f>
        <v>0</v>
      </c>
      <c r="K558" s="87">
        <f ca="1">IFERROR(K557*(1+PREMISSAS!$C$19)+(E558+H558-IF(RESULTADOS!$C$17="Normal",I558,0)-J558)*IF(MONTH(B558)=12,2,1),0)</f>
        <v>0</v>
      </c>
      <c r="L558" s="87">
        <f ca="1">IFERROR((L557+G558-IF(RESULTADOS!$C$17="Normal",0,I558))*(1+PREMISSAS!$C$19)+F558,0)</f>
        <v>0</v>
      </c>
      <c r="N558" s="58">
        <f t="shared" ca="1" si="73"/>
        <v>0</v>
      </c>
      <c r="P558" s="131" t="str">
        <f t="shared" ca="1" si="74"/>
        <v/>
      </c>
      <c r="Q558" s="111" t="str">
        <f ca="1">IF(C558="","",Q557+(E558+H558-IF(RESULTADOS!$C$17="Normal",I558,0)-J558)/2+(F558+G558-IF(RESULTADOS!$C$17="Normal",0,I558)))</f>
        <v/>
      </c>
      <c r="R558" s="111" t="str">
        <f ca="1">IF(C558="","",R557+(E558+H558-IF(RESULTADOS!$C$17="Normal",I558,0)-J558)/2)</f>
        <v/>
      </c>
      <c r="S558" s="111">
        <f t="shared" ca="1" si="75"/>
        <v>0</v>
      </c>
      <c r="U558" s="131" t="str">
        <f t="shared" ca="1" si="76"/>
        <v/>
      </c>
      <c r="V558" s="131" t="str">
        <f t="shared" ca="1" si="77"/>
        <v/>
      </c>
      <c r="W558" s="111">
        <f ca="1">IF(OR((W557-13/12*Z557)*(1+PREMISSAS!$C$17)&lt;0,W557=""),0,(W557-13/12*Z557)*(1+PREMISSAS!$C$17))</f>
        <v>0</v>
      </c>
      <c r="X558" s="111">
        <f ca="1">IF(OR((X557-13/12*AA557)*(1+PREMISSAS!$C$17)&lt;0,X557=""),0,(X557-13/12*AA557)*(1+PREMISSAS!$C$17))</f>
        <v>0</v>
      </c>
      <c r="Y558" s="111">
        <f t="shared" ca="1" si="78"/>
        <v>0</v>
      </c>
      <c r="Z558" s="134">
        <f t="shared" ca="1" si="79"/>
        <v>0</v>
      </c>
      <c r="AA558" s="134">
        <f t="shared" ca="1" si="72"/>
        <v>0</v>
      </c>
    </row>
    <row r="559" spans="2:27" x14ac:dyDescent="0.3">
      <c r="B559" s="21" t="str">
        <f ca="1">IF(B558="","",IF(EOMONTH(B558,1)&gt;EOMONTH(ELEGIBILIDADE!$E$5,0),"",EOMONTH(B558,1)))</f>
        <v/>
      </c>
      <c r="C559" s="22" t="str">
        <f ca="1">IF(B559="","",IF(MONTH(B559)=1,C558*(1+PREMISSAS!$C$58),C558))</f>
        <v/>
      </c>
      <c r="D559" s="22">
        <f ca="1">IF(RESULTADOS!$C$17="Normal",IFERROR(MAX(C559-PREMISSAS!$C$14,0),0),IF(PREMISSAS!$H$117=0,0,MAX(10*PREMISSAS!$C$39,RESULTADOS!$F$17)))</f>
        <v>0</v>
      </c>
      <c r="E559" s="4">
        <f ca="1">D559*IF(RESULTADOS!$C$17="Normal",RESULTADOS!$C$16,0)</f>
        <v>0</v>
      </c>
      <c r="F559" s="4">
        <f ca="1">IF(D559&lt;&gt;0,PREMISSAS!$N$83,0)</f>
        <v>0</v>
      </c>
      <c r="G559" s="4">
        <f ca="1">IFERROR(IF(RESULTADOS!$C$17="Normal",0,D559)*IF(RESULTADOS!$C$17="Normal",RESULTADOS!$C$18,RESULTADOS!$C$16),0)</f>
        <v>0</v>
      </c>
      <c r="H559" s="4">
        <f ca="1">IF(RESULTADOS!$C$17="Normal",E559,0)</f>
        <v>0</v>
      </c>
      <c r="I559" s="4">
        <f ca="1">(E559+H559+G559)*IFERROR(VLOOKUP(INT(COUNT($B$5:B559)/12),PREMISSAS!$B$62:$C$69,2,FALSE),PREMISSAS!$C$69)</f>
        <v>0</v>
      </c>
      <c r="J559" s="4">
        <f ca="1">D559*IF(RESULTADOS!$C$17="Normal",PREMISSAS!$C$71,0)</f>
        <v>0</v>
      </c>
      <c r="K559" s="87">
        <f ca="1">IFERROR(K558*(1+PREMISSAS!$C$19)+(E559+H559-IF(RESULTADOS!$C$17="Normal",I559,0)-J559)*IF(MONTH(B559)=12,2,1),0)</f>
        <v>0</v>
      </c>
      <c r="L559" s="87">
        <f ca="1">IFERROR((L558+G559-IF(RESULTADOS!$C$17="Normal",0,I559))*(1+PREMISSAS!$C$19)+F559,0)</f>
        <v>0</v>
      </c>
      <c r="N559" s="58">
        <f t="shared" ca="1" si="73"/>
        <v>0</v>
      </c>
      <c r="P559" s="131" t="str">
        <f t="shared" ca="1" si="74"/>
        <v/>
      </c>
      <c r="Q559" s="111" t="str">
        <f ca="1">IF(C559="","",Q558+(E559+H559-IF(RESULTADOS!$C$17="Normal",I559,0)-J559)/2+(F559+G559-IF(RESULTADOS!$C$17="Normal",0,I559)))</f>
        <v/>
      </c>
      <c r="R559" s="111" t="str">
        <f ca="1">IF(C559="","",R558+(E559+H559-IF(RESULTADOS!$C$17="Normal",I559,0)-J559)/2)</f>
        <v/>
      </c>
      <c r="S559" s="111">
        <f t="shared" ca="1" si="75"/>
        <v>0</v>
      </c>
      <c r="U559" s="131" t="str">
        <f t="shared" ca="1" si="76"/>
        <v/>
      </c>
      <c r="V559" s="131" t="str">
        <f t="shared" ca="1" si="77"/>
        <v/>
      </c>
      <c r="W559" s="111">
        <f ca="1">IF(OR((W558-13/12*Z558)*(1+PREMISSAS!$C$17)&lt;0,W558=""),0,(W558-13/12*Z558)*(1+PREMISSAS!$C$17))</f>
        <v>0</v>
      </c>
      <c r="X559" s="111">
        <f ca="1">IF(OR((X558-13/12*AA558)*(1+PREMISSAS!$C$17)&lt;0,X558=""),0,(X558-13/12*AA558)*(1+PREMISSAS!$C$17))</f>
        <v>0</v>
      </c>
      <c r="Y559" s="111">
        <f t="shared" ca="1" si="78"/>
        <v>0</v>
      </c>
      <c r="Z559" s="134">
        <f t="shared" ca="1" si="79"/>
        <v>0</v>
      </c>
      <c r="AA559" s="134">
        <f t="shared" ca="1" si="72"/>
        <v>0</v>
      </c>
    </row>
    <row r="560" spans="2:27" x14ac:dyDescent="0.3">
      <c r="B560" s="21" t="str">
        <f ca="1">IF(B559="","",IF(EOMONTH(B559,1)&gt;EOMONTH(ELEGIBILIDADE!$E$5,0),"",EOMONTH(B559,1)))</f>
        <v/>
      </c>
      <c r="C560" s="22" t="str">
        <f ca="1">IF(B560="","",IF(MONTH(B560)=1,C559*(1+PREMISSAS!$C$58),C559))</f>
        <v/>
      </c>
      <c r="D560" s="22">
        <f ca="1">IF(RESULTADOS!$C$17="Normal",IFERROR(MAX(C560-PREMISSAS!$C$14,0),0),IF(PREMISSAS!$H$117=0,0,MAX(10*PREMISSAS!$C$39,RESULTADOS!$F$17)))</f>
        <v>0</v>
      </c>
      <c r="E560" s="4">
        <f ca="1">D560*IF(RESULTADOS!$C$17="Normal",RESULTADOS!$C$16,0)</f>
        <v>0</v>
      </c>
      <c r="F560" s="4">
        <f ca="1">IF(D560&lt;&gt;0,PREMISSAS!$N$83,0)</f>
        <v>0</v>
      </c>
      <c r="G560" s="4">
        <f ca="1">IFERROR(IF(RESULTADOS!$C$17="Normal",0,D560)*IF(RESULTADOS!$C$17="Normal",RESULTADOS!$C$18,RESULTADOS!$C$16),0)</f>
        <v>0</v>
      </c>
      <c r="H560" s="4">
        <f ca="1">IF(RESULTADOS!$C$17="Normal",E560,0)</f>
        <v>0</v>
      </c>
      <c r="I560" s="4">
        <f ca="1">(E560+H560+G560)*IFERROR(VLOOKUP(INT(COUNT($B$5:B560)/12),PREMISSAS!$B$62:$C$69,2,FALSE),PREMISSAS!$C$69)</f>
        <v>0</v>
      </c>
      <c r="J560" s="4">
        <f ca="1">D560*IF(RESULTADOS!$C$17="Normal",PREMISSAS!$C$71,0)</f>
        <v>0</v>
      </c>
      <c r="K560" s="87">
        <f ca="1">IFERROR(K559*(1+PREMISSAS!$C$19)+(E560+H560-IF(RESULTADOS!$C$17="Normal",I560,0)-J560)*IF(MONTH(B560)=12,2,1),0)</f>
        <v>0</v>
      </c>
      <c r="L560" s="87">
        <f ca="1">IFERROR((L559+G560-IF(RESULTADOS!$C$17="Normal",0,I560))*(1+PREMISSAS!$C$19)+F560,0)</f>
        <v>0</v>
      </c>
      <c r="N560" s="58">
        <f t="shared" ca="1" si="73"/>
        <v>0</v>
      </c>
      <c r="P560" s="131" t="str">
        <f t="shared" ca="1" si="74"/>
        <v/>
      </c>
      <c r="Q560" s="111" t="str">
        <f ca="1">IF(C560="","",Q559+(E560+H560-IF(RESULTADOS!$C$17="Normal",I560,0)-J560)/2+(F560+G560-IF(RESULTADOS!$C$17="Normal",0,I560)))</f>
        <v/>
      </c>
      <c r="R560" s="111" t="str">
        <f ca="1">IF(C560="","",R559+(E560+H560-IF(RESULTADOS!$C$17="Normal",I560,0)-J560)/2)</f>
        <v/>
      </c>
      <c r="S560" s="111">
        <f t="shared" ca="1" si="75"/>
        <v>0</v>
      </c>
      <c r="U560" s="131" t="str">
        <f t="shared" ca="1" si="76"/>
        <v/>
      </c>
      <c r="V560" s="131" t="str">
        <f t="shared" ca="1" si="77"/>
        <v/>
      </c>
      <c r="W560" s="111">
        <f ca="1">IF(OR((W559-13/12*Z559)*(1+PREMISSAS!$C$17)&lt;0,W559=""),0,(W559-13/12*Z559)*(1+PREMISSAS!$C$17))</f>
        <v>0</v>
      </c>
      <c r="X560" s="111">
        <f ca="1">IF(OR((X559-13/12*AA559)*(1+PREMISSAS!$C$17)&lt;0,X559=""),0,(X559-13/12*AA559)*(1+PREMISSAS!$C$17))</f>
        <v>0</v>
      </c>
      <c r="Y560" s="111">
        <f t="shared" ca="1" si="78"/>
        <v>0</v>
      </c>
      <c r="Z560" s="134">
        <f t="shared" ca="1" si="79"/>
        <v>0</v>
      </c>
      <c r="AA560" s="134">
        <f t="shared" ca="1" si="72"/>
        <v>0</v>
      </c>
    </row>
    <row r="561" spans="2:27" x14ac:dyDescent="0.3">
      <c r="B561" s="21" t="str">
        <f ca="1">IF(B560="","",IF(EOMONTH(B560,1)&gt;EOMONTH(ELEGIBILIDADE!$E$5,0),"",EOMONTH(B560,1)))</f>
        <v/>
      </c>
      <c r="C561" s="22" t="str">
        <f ca="1">IF(B561="","",IF(MONTH(B561)=1,C560*(1+PREMISSAS!$C$58),C560))</f>
        <v/>
      </c>
      <c r="D561" s="22">
        <f ca="1">IF(RESULTADOS!$C$17="Normal",IFERROR(MAX(C561-PREMISSAS!$C$14,0),0),IF(PREMISSAS!$H$117=0,0,MAX(10*PREMISSAS!$C$39,RESULTADOS!$F$17)))</f>
        <v>0</v>
      </c>
      <c r="E561" s="4">
        <f ca="1">D561*IF(RESULTADOS!$C$17="Normal",RESULTADOS!$C$16,0)</f>
        <v>0</v>
      </c>
      <c r="F561" s="4">
        <f ca="1">IF(D561&lt;&gt;0,PREMISSAS!$N$83,0)</f>
        <v>0</v>
      </c>
      <c r="G561" s="4">
        <f ca="1">IFERROR(IF(RESULTADOS!$C$17="Normal",0,D561)*IF(RESULTADOS!$C$17="Normal",RESULTADOS!$C$18,RESULTADOS!$C$16),0)</f>
        <v>0</v>
      </c>
      <c r="H561" s="4">
        <f ca="1">IF(RESULTADOS!$C$17="Normal",E561,0)</f>
        <v>0</v>
      </c>
      <c r="I561" s="4">
        <f ca="1">(E561+H561+G561)*IFERROR(VLOOKUP(INT(COUNT($B$5:B561)/12),PREMISSAS!$B$62:$C$69,2,FALSE),PREMISSAS!$C$69)</f>
        <v>0</v>
      </c>
      <c r="J561" s="4">
        <f ca="1">D561*IF(RESULTADOS!$C$17="Normal",PREMISSAS!$C$71,0)</f>
        <v>0</v>
      </c>
      <c r="K561" s="87">
        <f ca="1">IFERROR(K560*(1+PREMISSAS!$C$19)+(E561+H561-IF(RESULTADOS!$C$17="Normal",I561,0)-J561)*IF(MONTH(B561)=12,2,1),0)</f>
        <v>0</v>
      </c>
      <c r="L561" s="87">
        <f ca="1">IFERROR((L560+G561-IF(RESULTADOS!$C$17="Normal",0,I561))*(1+PREMISSAS!$C$19)+F561,0)</f>
        <v>0</v>
      </c>
      <c r="N561" s="58">
        <f t="shared" ca="1" si="73"/>
        <v>0</v>
      </c>
      <c r="P561" s="131" t="str">
        <f t="shared" ca="1" si="74"/>
        <v/>
      </c>
      <c r="Q561" s="111" t="str">
        <f ca="1">IF(C561="","",Q560+(E561+H561-IF(RESULTADOS!$C$17="Normal",I561,0)-J561)/2+(F561+G561-IF(RESULTADOS!$C$17="Normal",0,I561)))</f>
        <v/>
      </c>
      <c r="R561" s="111" t="str">
        <f ca="1">IF(C561="","",R560+(E561+H561-IF(RESULTADOS!$C$17="Normal",I561,0)-J561)/2)</f>
        <v/>
      </c>
      <c r="S561" s="111">
        <f t="shared" ca="1" si="75"/>
        <v>0</v>
      </c>
      <c r="U561" s="131" t="str">
        <f t="shared" ca="1" si="76"/>
        <v/>
      </c>
      <c r="V561" s="131" t="str">
        <f t="shared" ca="1" si="77"/>
        <v/>
      </c>
      <c r="W561" s="111">
        <f ca="1">IF(OR((W560-13/12*Z560)*(1+PREMISSAS!$C$17)&lt;0,W560=""),0,(W560-13/12*Z560)*(1+PREMISSAS!$C$17))</f>
        <v>0</v>
      </c>
      <c r="X561" s="111">
        <f ca="1">IF(OR((X560-13/12*AA560)*(1+PREMISSAS!$C$17)&lt;0,X560=""),0,(X560-13/12*AA560)*(1+PREMISSAS!$C$17))</f>
        <v>0</v>
      </c>
      <c r="Y561" s="111">
        <f t="shared" ca="1" si="78"/>
        <v>0</v>
      </c>
      <c r="Z561" s="134">
        <f t="shared" ca="1" si="79"/>
        <v>0</v>
      </c>
      <c r="AA561" s="134">
        <f t="shared" ca="1" si="72"/>
        <v>0</v>
      </c>
    </row>
    <row r="562" spans="2:27" x14ac:dyDescent="0.3">
      <c r="B562" s="21" t="str">
        <f ca="1">IF(B561="","",IF(EOMONTH(B561,1)&gt;EOMONTH(ELEGIBILIDADE!$E$5,0),"",EOMONTH(B561,1)))</f>
        <v/>
      </c>
      <c r="C562" s="22" t="str">
        <f ca="1">IF(B562="","",IF(MONTH(B562)=1,C561*(1+PREMISSAS!$C$58),C561))</f>
        <v/>
      </c>
      <c r="D562" s="22">
        <f ca="1">IF(RESULTADOS!$C$17="Normal",IFERROR(MAX(C562-PREMISSAS!$C$14,0),0),IF(PREMISSAS!$H$117=0,0,MAX(10*PREMISSAS!$C$39,RESULTADOS!$F$17)))</f>
        <v>0</v>
      </c>
      <c r="E562" s="4">
        <f ca="1">D562*IF(RESULTADOS!$C$17="Normal",RESULTADOS!$C$16,0)</f>
        <v>0</v>
      </c>
      <c r="F562" s="4">
        <f ca="1">IF(D562&lt;&gt;0,PREMISSAS!$N$83,0)</f>
        <v>0</v>
      </c>
      <c r="G562" s="4">
        <f ca="1">IFERROR(IF(RESULTADOS!$C$17="Normal",0,D562)*IF(RESULTADOS!$C$17="Normal",RESULTADOS!$C$18,RESULTADOS!$C$16),0)</f>
        <v>0</v>
      </c>
      <c r="H562" s="4">
        <f ca="1">IF(RESULTADOS!$C$17="Normal",E562,0)</f>
        <v>0</v>
      </c>
      <c r="I562" s="4">
        <f ca="1">(E562+H562+G562)*IFERROR(VLOOKUP(INT(COUNT($B$5:B562)/12),PREMISSAS!$B$62:$C$69,2,FALSE),PREMISSAS!$C$69)</f>
        <v>0</v>
      </c>
      <c r="J562" s="4">
        <f ca="1">D562*IF(RESULTADOS!$C$17="Normal",PREMISSAS!$C$71,0)</f>
        <v>0</v>
      </c>
      <c r="K562" s="87">
        <f ca="1">IFERROR(K561*(1+PREMISSAS!$C$19)+(E562+H562-IF(RESULTADOS!$C$17="Normal",I562,0)-J562)*IF(MONTH(B562)=12,2,1),0)</f>
        <v>0</v>
      </c>
      <c r="L562" s="87">
        <f ca="1">IFERROR((L561+G562-IF(RESULTADOS!$C$17="Normal",0,I562))*(1+PREMISSAS!$C$19)+F562,0)</f>
        <v>0</v>
      </c>
      <c r="N562" s="58">
        <f t="shared" ca="1" si="73"/>
        <v>0</v>
      </c>
      <c r="P562" s="131" t="str">
        <f t="shared" ca="1" si="74"/>
        <v/>
      </c>
      <c r="Q562" s="111" t="str">
        <f ca="1">IF(C562="","",Q561+(E562+H562-IF(RESULTADOS!$C$17="Normal",I562,0)-J562)/2+(F562+G562-IF(RESULTADOS!$C$17="Normal",0,I562)))</f>
        <v/>
      </c>
      <c r="R562" s="111" t="str">
        <f ca="1">IF(C562="","",R561+(E562+H562-IF(RESULTADOS!$C$17="Normal",I562,0)-J562)/2)</f>
        <v/>
      </c>
      <c r="S562" s="111">
        <f t="shared" ca="1" si="75"/>
        <v>0</v>
      </c>
      <c r="U562" s="131" t="str">
        <f t="shared" ca="1" si="76"/>
        <v/>
      </c>
      <c r="V562" s="131" t="str">
        <f t="shared" ca="1" si="77"/>
        <v/>
      </c>
      <c r="W562" s="111">
        <f ca="1">IF(OR((W561-13/12*Z561)*(1+PREMISSAS!$C$17)&lt;0,W561=""),0,(W561-13/12*Z561)*(1+PREMISSAS!$C$17))</f>
        <v>0</v>
      </c>
      <c r="X562" s="111">
        <f ca="1">IF(OR((X561-13/12*AA561)*(1+PREMISSAS!$C$17)&lt;0,X561=""),0,(X561-13/12*AA561)*(1+PREMISSAS!$C$17))</f>
        <v>0</v>
      </c>
      <c r="Y562" s="111">
        <f t="shared" ca="1" si="78"/>
        <v>0</v>
      </c>
      <c r="Z562" s="134">
        <f t="shared" ca="1" si="79"/>
        <v>0</v>
      </c>
      <c r="AA562" s="134">
        <f t="shared" ca="1" si="72"/>
        <v>0</v>
      </c>
    </row>
    <row r="563" spans="2:27" x14ac:dyDescent="0.3">
      <c r="B563" s="21" t="str">
        <f ca="1">IF(B562="","",IF(EOMONTH(B562,1)&gt;EOMONTH(ELEGIBILIDADE!$E$5,0),"",EOMONTH(B562,1)))</f>
        <v/>
      </c>
      <c r="C563" s="22" t="str">
        <f ca="1">IF(B563="","",IF(MONTH(B563)=1,C562*(1+PREMISSAS!$C$58),C562))</f>
        <v/>
      </c>
      <c r="D563" s="22">
        <f ca="1">IF(RESULTADOS!$C$17="Normal",IFERROR(MAX(C563-PREMISSAS!$C$14,0),0),IF(PREMISSAS!$H$117=0,0,MAX(10*PREMISSAS!$C$39,RESULTADOS!$F$17)))</f>
        <v>0</v>
      </c>
      <c r="E563" s="4">
        <f ca="1">D563*IF(RESULTADOS!$C$17="Normal",RESULTADOS!$C$16,0)</f>
        <v>0</v>
      </c>
      <c r="F563" s="4">
        <f ca="1">IF(D563&lt;&gt;0,PREMISSAS!$N$83,0)</f>
        <v>0</v>
      </c>
      <c r="G563" s="4">
        <f ca="1">IFERROR(IF(RESULTADOS!$C$17="Normal",0,D563)*IF(RESULTADOS!$C$17="Normal",RESULTADOS!$C$18,RESULTADOS!$C$16),0)</f>
        <v>0</v>
      </c>
      <c r="H563" s="4">
        <f ca="1">IF(RESULTADOS!$C$17="Normal",E563,0)</f>
        <v>0</v>
      </c>
      <c r="I563" s="4">
        <f ca="1">(E563+H563+G563)*IFERROR(VLOOKUP(INT(COUNT($B$5:B563)/12),PREMISSAS!$B$62:$C$69,2,FALSE),PREMISSAS!$C$69)</f>
        <v>0</v>
      </c>
      <c r="J563" s="4">
        <f ca="1">D563*IF(RESULTADOS!$C$17="Normal",PREMISSAS!$C$71,0)</f>
        <v>0</v>
      </c>
      <c r="K563" s="87">
        <f ca="1">IFERROR(K562*(1+PREMISSAS!$C$19)+(E563+H563-IF(RESULTADOS!$C$17="Normal",I563,0)-J563)*IF(MONTH(B563)=12,2,1),0)</f>
        <v>0</v>
      </c>
      <c r="L563" s="87">
        <f ca="1">IFERROR((L562+G563-IF(RESULTADOS!$C$17="Normal",0,I563))*(1+PREMISSAS!$C$19)+F563,0)</f>
        <v>0</v>
      </c>
      <c r="N563" s="58">
        <f t="shared" ca="1" si="73"/>
        <v>0</v>
      </c>
      <c r="P563" s="131" t="str">
        <f t="shared" ca="1" si="74"/>
        <v/>
      </c>
      <c r="Q563" s="111" t="str">
        <f ca="1">IF(C563="","",Q562+(E563+H563-IF(RESULTADOS!$C$17="Normal",I563,0)-J563)/2+(F563+G563-IF(RESULTADOS!$C$17="Normal",0,I563)))</f>
        <v/>
      </c>
      <c r="R563" s="111" t="str">
        <f ca="1">IF(C563="","",R562+(E563+H563-IF(RESULTADOS!$C$17="Normal",I563,0)-J563)/2)</f>
        <v/>
      </c>
      <c r="S563" s="111">
        <f t="shared" ca="1" si="75"/>
        <v>0</v>
      </c>
      <c r="U563" s="131" t="str">
        <f t="shared" ca="1" si="76"/>
        <v/>
      </c>
      <c r="V563" s="131" t="str">
        <f t="shared" ca="1" si="77"/>
        <v/>
      </c>
      <c r="W563" s="111">
        <f ca="1">IF(OR((W562-13/12*Z562)*(1+PREMISSAS!$C$17)&lt;0,W562=""),0,(W562-13/12*Z562)*(1+PREMISSAS!$C$17))</f>
        <v>0</v>
      </c>
      <c r="X563" s="111">
        <f ca="1">IF(OR((X562-13/12*AA562)*(1+PREMISSAS!$C$17)&lt;0,X562=""),0,(X562-13/12*AA562)*(1+PREMISSAS!$C$17))</f>
        <v>0</v>
      </c>
      <c r="Y563" s="111">
        <f t="shared" ca="1" si="78"/>
        <v>0</v>
      </c>
      <c r="Z563" s="134">
        <f t="shared" ca="1" si="79"/>
        <v>0</v>
      </c>
      <c r="AA563" s="134">
        <f t="shared" ca="1" si="72"/>
        <v>0</v>
      </c>
    </row>
    <row r="564" spans="2:27" x14ac:dyDescent="0.3">
      <c r="B564" s="21" t="str">
        <f ca="1">IF(B563="","",IF(EOMONTH(B563,1)&gt;EOMONTH(ELEGIBILIDADE!$E$5,0),"",EOMONTH(B563,1)))</f>
        <v/>
      </c>
      <c r="C564" s="22" t="str">
        <f ca="1">IF(B564="","",IF(MONTH(B564)=1,C563*(1+PREMISSAS!$C$58),C563))</f>
        <v/>
      </c>
      <c r="D564" s="22">
        <f ca="1">IF(RESULTADOS!$C$17="Normal",IFERROR(MAX(C564-PREMISSAS!$C$14,0),0),IF(PREMISSAS!$H$117=0,0,MAX(10*PREMISSAS!$C$39,RESULTADOS!$F$17)))</f>
        <v>0</v>
      </c>
      <c r="E564" s="4">
        <f ca="1">D564*IF(RESULTADOS!$C$17="Normal",RESULTADOS!$C$16,0)</f>
        <v>0</v>
      </c>
      <c r="F564" s="4">
        <f ca="1">IF(D564&lt;&gt;0,PREMISSAS!$N$83,0)</f>
        <v>0</v>
      </c>
      <c r="G564" s="4">
        <f ca="1">IFERROR(IF(RESULTADOS!$C$17="Normal",0,D564)*IF(RESULTADOS!$C$17="Normal",RESULTADOS!$C$18,RESULTADOS!$C$16),0)</f>
        <v>0</v>
      </c>
      <c r="H564" s="4">
        <f ca="1">IF(RESULTADOS!$C$17="Normal",E564,0)</f>
        <v>0</v>
      </c>
      <c r="I564" s="4">
        <f ca="1">(E564+H564+G564)*IFERROR(VLOOKUP(INT(COUNT($B$5:B564)/12),PREMISSAS!$B$62:$C$69,2,FALSE),PREMISSAS!$C$69)</f>
        <v>0</v>
      </c>
      <c r="J564" s="4">
        <f ca="1">D564*IF(RESULTADOS!$C$17="Normal",PREMISSAS!$C$71,0)</f>
        <v>0</v>
      </c>
      <c r="K564" s="87">
        <f ca="1">IFERROR(K563*(1+PREMISSAS!$C$19)+(E564+H564-IF(RESULTADOS!$C$17="Normal",I564,0)-J564)*IF(MONTH(B564)=12,2,1),0)</f>
        <v>0</v>
      </c>
      <c r="L564" s="87">
        <f ca="1">IFERROR((L563+G564-IF(RESULTADOS!$C$17="Normal",0,I564))*(1+PREMISSAS!$C$19)+F564,0)</f>
        <v>0</v>
      </c>
      <c r="N564" s="58">
        <f t="shared" ca="1" si="73"/>
        <v>0</v>
      </c>
      <c r="P564" s="131" t="str">
        <f t="shared" ca="1" si="74"/>
        <v/>
      </c>
      <c r="Q564" s="111" t="str">
        <f ca="1">IF(C564="","",Q563+(E564+H564-IF(RESULTADOS!$C$17="Normal",I564,0)-J564)/2+(F564+G564-IF(RESULTADOS!$C$17="Normal",0,I564)))</f>
        <v/>
      </c>
      <c r="R564" s="111" t="str">
        <f ca="1">IF(C564="","",R563+(E564+H564-IF(RESULTADOS!$C$17="Normal",I564,0)-J564)/2)</f>
        <v/>
      </c>
      <c r="S564" s="111">
        <f t="shared" ca="1" si="75"/>
        <v>0</v>
      </c>
      <c r="U564" s="131" t="str">
        <f t="shared" ca="1" si="76"/>
        <v/>
      </c>
      <c r="V564" s="131" t="str">
        <f t="shared" ca="1" si="77"/>
        <v/>
      </c>
      <c r="W564" s="111">
        <f ca="1">IF(OR((W563-13/12*Z563)*(1+PREMISSAS!$C$17)&lt;0,W563=""),0,(W563-13/12*Z563)*(1+PREMISSAS!$C$17))</f>
        <v>0</v>
      </c>
      <c r="X564" s="111">
        <f ca="1">IF(OR((X563-13/12*AA563)*(1+PREMISSAS!$C$17)&lt;0,X563=""),0,(X563-13/12*AA563)*(1+PREMISSAS!$C$17))</f>
        <v>0</v>
      </c>
      <c r="Y564" s="111">
        <f t="shared" ca="1" si="78"/>
        <v>0</v>
      </c>
      <c r="Z564" s="134">
        <f t="shared" ca="1" si="79"/>
        <v>0</v>
      </c>
      <c r="AA564" s="134">
        <f t="shared" ca="1" si="72"/>
        <v>0</v>
      </c>
    </row>
    <row r="565" spans="2:27" x14ac:dyDescent="0.3">
      <c r="B565" s="21" t="str">
        <f ca="1">IF(B564="","",IF(EOMONTH(B564,1)&gt;EOMONTH(ELEGIBILIDADE!$E$5,0),"",EOMONTH(B564,1)))</f>
        <v/>
      </c>
      <c r="C565" s="22" t="str">
        <f ca="1">IF(B565="","",IF(MONTH(B565)=1,C564*(1+PREMISSAS!$C$58),C564))</f>
        <v/>
      </c>
      <c r="D565" s="22">
        <f ca="1">IF(RESULTADOS!$C$17="Normal",IFERROR(MAX(C565-PREMISSAS!$C$14,0),0),IF(PREMISSAS!$H$117=0,0,MAX(10*PREMISSAS!$C$39,RESULTADOS!$F$17)))</f>
        <v>0</v>
      </c>
      <c r="E565" s="4">
        <f ca="1">D565*IF(RESULTADOS!$C$17="Normal",RESULTADOS!$C$16,0)</f>
        <v>0</v>
      </c>
      <c r="F565" s="4">
        <f ca="1">IF(D565&lt;&gt;0,PREMISSAS!$N$83,0)</f>
        <v>0</v>
      </c>
      <c r="G565" s="4">
        <f ca="1">IFERROR(IF(RESULTADOS!$C$17="Normal",0,D565)*IF(RESULTADOS!$C$17="Normal",RESULTADOS!$C$18,RESULTADOS!$C$16),0)</f>
        <v>0</v>
      </c>
      <c r="H565" s="4">
        <f ca="1">IF(RESULTADOS!$C$17="Normal",E565,0)</f>
        <v>0</v>
      </c>
      <c r="I565" s="4">
        <f ca="1">(E565+H565+G565)*IFERROR(VLOOKUP(INT(COUNT($B$5:B565)/12),PREMISSAS!$B$62:$C$69,2,FALSE),PREMISSAS!$C$69)</f>
        <v>0</v>
      </c>
      <c r="J565" s="4">
        <f ca="1">D565*IF(RESULTADOS!$C$17="Normal",PREMISSAS!$C$71,0)</f>
        <v>0</v>
      </c>
      <c r="K565" s="87">
        <f ca="1">IFERROR(K564*(1+PREMISSAS!$C$19)+(E565+H565-IF(RESULTADOS!$C$17="Normal",I565,0)-J565)*IF(MONTH(B565)=12,2,1),0)</f>
        <v>0</v>
      </c>
      <c r="L565" s="87">
        <f ca="1">IFERROR((L564+G565-IF(RESULTADOS!$C$17="Normal",0,I565))*(1+PREMISSAS!$C$19)+F565,0)</f>
        <v>0</v>
      </c>
      <c r="N565" s="58">
        <f t="shared" ca="1" si="73"/>
        <v>0</v>
      </c>
      <c r="P565" s="131" t="str">
        <f t="shared" ca="1" si="74"/>
        <v/>
      </c>
      <c r="Q565" s="111" t="str">
        <f ca="1">IF(C565="","",Q564+(E565+H565-IF(RESULTADOS!$C$17="Normal",I565,0)-J565)/2+(F565+G565-IF(RESULTADOS!$C$17="Normal",0,I565)))</f>
        <v/>
      </c>
      <c r="R565" s="111" t="str">
        <f ca="1">IF(C565="","",R564+(E565+H565-IF(RESULTADOS!$C$17="Normal",I565,0)-J565)/2)</f>
        <v/>
      </c>
      <c r="S565" s="111">
        <f t="shared" ca="1" si="75"/>
        <v>0</v>
      </c>
      <c r="U565" s="131" t="str">
        <f t="shared" ca="1" si="76"/>
        <v/>
      </c>
      <c r="V565" s="131" t="str">
        <f t="shared" ca="1" si="77"/>
        <v/>
      </c>
      <c r="W565" s="111">
        <f ca="1">IF(OR((W564-13/12*Z564)*(1+PREMISSAS!$C$17)&lt;0,W564=""),0,(W564-13/12*Z564)*(1+PREMISSAS!$C$17))</f>
        <v>0</v>
      </c>
      <c r="X565" s="111">
        <f ca="1">IF(OR((X564-13/12*AA564)*(1+PREMISSAS!$C$17)&lt;0,X564=""),0,(X564-13/12*AA564)*(1+PREMISSAS!$C$17))</f>
        <v>0</v>
      </c>
      <c r="Y565" s="111">
        <f t="shared" ca="1" si="78"/>
        <v>0</v>
      </c>
      <c r="Z565" s="134">
        <f t="shared" ca="1" si="79"/>
        <v>0</v>
      </c>
      <c r="AA565" s="134">
        <f t="shared" ca="1" si="72"/>
        <v>0</v>
      </c>
    </row>
    <row r="566" spans="2:27" x14ac:dyDescent="0.3">
      <c r="B566" s="21" t="str">
        <f ca="1">IF(B565="","",IF(EOMONTH(B565,1)&gt;EOMONTH(ELEGIBILIDADE!$E$5,0),"",EOMONTH(B565,1)))</f>
        <v/>
      </c>
      <c r="C566" s="22" t="str">
        <f ca="1">IF(B566="","",IF(MONTH(B566)=1,C565*(1+PREMISSAS!$C$58),C565))</f>
        <v/>
      </c>
      <c r="D566" s="22">
        <f ca="1">IF(RESULTADOS!$C$17="Normal",IFERROR(MAX(C566-PREMISSAS!$C$14,0),0),IF(PREMISSAS!$H$117=0,0,MAX(10*PREMISSAS!$C$39,RESULTADOS!$F$17)))</f>
        <v>0</v>
      </c>
      <c r="E566" s="4">
        <f ca="1">D566*IF(RESULTADOS!$C$17="Normal",RESULTADOS!$C$16,0)</f>
        <v>0</v>
      </c>
      <c r="F566" s="4">
        <f ca="1">IF(D566&lt;&gt;0,PREMISSAS!$N$83,0)</f>
        <v>0</v>
      </c>
      <c r="G566" s="4">
        <f ca="1">IFERROR(IF(RESULTADOS!$C$17="Normal",0,D566)*IF(RESULTADOS!$C$17="Normal",RESULTADOS!$C$18,RESULTADOS!$C$16),0)</f>
        <v>0</v>
      </c>
      <c r="H566" s="4">
        <f ca="1">IF(RESULTADOS!$C$17="Normal",E566,0)</f>
        <v>0</v>
      </c>
      <c r="I566" s="4">
        <f ca="1">(E566+H566+G566)*IFERROR(VLOOKUP(INT(COUNT($B$5:B566)/12),PREMISSAS!$B$62:$C$69,2,FALSE),PREMISSAS!$C$69)</f>
        <v>0</v>
      </c>
      <c r="J566" s="4">
        <f ca="1">D566*IF(RESULTADOS!$C$17="Normal",PREMISSAS!$C$71,0)</f>
        <v>0</v>
      </c>
      <c r="K566" s="87">
        <f ca="1">IFERROR(K565*(1+PREMISSAS!$C$19)+(E566+H566-IF(RESULTADOS!$C$17="Normal",I566,0)-J566)*IF(MONTH(B566)=12,2,1),0)</f>
        <v>0</v>
      </c>
      <c r="L566" s="87">
        <f ca="1">IFERROR((L565+G566-IF(RESULTADOS!$C$17="Normal",0,I566))*(1+PREMISSAS!$C$19)+F566,0)</f>
        <v>0</v>
      </c>
      <c r="N566" s="58">
        <f t="shared" ca="1" si="73"/>
        <v>0</v>
      </c>
      <c r="P566" s="131" t="str">
        <f t="shared" ca="1" si="74"/>
        <v/>
      </c>
      <c r="Q566" s="111" t="str">
        <f ca="1">IF(C566="","",Q565+(E566+H566-IF(RESULTADOS!$C$17="Normal",I566,0)-J566)/2+(F566+G566-IF(RESULTADOS!$C$17="Normal",0,I566)))</f>
        <v/>
      </c>
      <c r="R566" s="111" t="str">
        <f ca="1">IF(C566="","",R565+(E566+H566-IF(RESULTADOS!$C$17="Normal",I566,0)-J566)/2)</f>
        <v/>
      </c>
      <c r="S566" s="111">
        <f t="shared" ca="1" si="75"/>
        <v>0</v>
      </c>
      <c r="U566" s="131" t="str">
        <f t="shared" ca="1" si="76"/>
        <v/>
      </c>
      <c r="V566" s="131" t="str">
        <f t="shared" ca="1" si="77"/>
        <v/>
      </c>
      <c r="W566" s="111">
        <f ca="1">IF(OR((W565-13/12*Z565)*(1+PREMISSAS!$C$17)&lt;0,W565=""),0,(W565-13/12*Z565)*(1+PREMISSAS!$C$17))</f>
        <v>0</v>
      </c>
      <c r="X566" s="111">
        <f ca="1">IF(OR((X565-13/12*AA565)*(1+PREMISSAS!$C$17)&lt;0,X565=""),0,(X565-13/12*AA565)*(1+PREMISSAS!$C$17))</f>
        <v>0</v>
      </c>
      <c r="Y566" s="111">
        <f t="shared" ca="1" si="78"/>
        <v>0</v>
      </c>
      <c r="Z566" s="134">
        <f t="shared" ca="1" si="79"/>
        <v>0</v>
      </c>
      <c r="AA566" s="134">
        <f t="shared" ca="1" si="72"/>
        <v>0</v>
      </c>
    </row>
    <row r="567" spans="2:27" x14ac:dyDescent="0.3">
      <c r="B567" s="21" t="str">
        <f ca="1">IF(B566="","",IF(EOMONTH(B566,1)&gt;EOMONTH(ELEGIBILIDADE!$E$5,0),"",EOMONTH(B566,1)))</f>
        <v/>
      </c>
      <c r="C567" s="22" t="str">
        <f ca="1">IF(B567="","",IF(MONTH(B567)=1,C566*(1+PREMISSAS!$C$58),C566))</f>
        <v/>
      </c>
      <c r="D567" s="22">
        <f ca="1">IF(RESULTADOS!$C$17="Normal",IFERROR(MAX(C567-PREMISSAS!$C$14,0),0),IF(PREMISSAS!$H$117=0,0,MAX(10*PREMISSAS!$C$39,RESULTADOS!$F$17)))</f>
        <v>0</v>
      </c>
      <c r="E567" s="4">
        <f ca="1">D567*IF(RESULTADOS!$C$17="Normal",RESULTADOS!$C$16,0)</f>
        <v>0</v>
      </c>
      <c r="F567" s="4">
        <f ca="1">IF(D567&lt;&gt;0,PREMISSAS!$N$83,0)</f>
        <v>0</v>
      </c>
      <c r="G567" s="4">
        <f ca="1">IFERROR(IF(RESULTADOS!$C$17="Normal",0,D567)*IF(RESULTADOS!$C$17="Normal",RESULTADOS!$C$18,RESULTADOS!$C$16),0)</f>
        <v>0</v>
      </c>
      <c r="H567" s="4">
        <f ca="1">IF(RESULTADOS!$C$17="Normal",E567,0)</f>
        <v>0</v>
      </c>
      <c r="I567" s="4">
        <f ca="1">(E567+H567+G567)*IFERROR(VLOOKUP(INT(COUNT($B$5:B567)/12),PREMISSAS!$B$62:$C$69,2,FALSE),PREMISSAS!$C$69)</f>
        <v>0</v>
      </c>
      <c r="J567" s="4">
        <f ca="1">D567*IF(RESULTADOS!$C$17="Normal",PREMISSAS!$C$71,0)</f>
        <v>0</v>
      </c>
      <c r="K567" s="87">
        <f ca="1">IFERROR(K566*(1+PREMISSAS!$C$19)+(E567+H567-IF(RESULTADOS!$C$17="Normal",I567,0)-J567)*IF(MONTH(B567)=12,2,1),0)</f>
        <v>0</v>
      </c>
      <c r="L567" s="87">
        <f ca="1">IFERROR((L566+G567-IF(RESULTADOS!$C$17="Normal",0,I567))*(1+PREMISSAS!$C$19)+F567,0)</f>
        <v>0</v>
      </c>
      <c r="N567" s="58">
        <f t="shared" ca="1" si="73"/>
        <v>0</v>
      </c>
      <c r="P567" s="131" t="str">
        <f t="shared" ca="1" si="74"/>
        <v/>
      </c>
      <c r="Q567" s="111" t="str">
        <f ca="1">IF(C567="","",Q566+(E567+H567-IF(RESULTADOS!$C$17="Normal",I567,0)-J567)/2+(F567+G567-IF(RESULTADOS!$C$17="Normal",0,I567)))</f>
        <v/>
      </c>
      <c r="R567" s="111" t="str">
        <f ca="1">IF(C567="","",R566+(E567+H567-IF(RESULTADOS!$C$17="Normal",I567,0)-J567)/2)</f>
        <v/>
      </c>
      <c r="S567" s="111">
        <f t="shared" ca="1" si="75"/>
        <v>0</v>
      </c>
      <c r="U567" s="131" t="str">
        <f t="shared" ca="1" si="76"/>
        <v/>
      </c>
      <c r="V567" s="131" t="str">
        <f t="shared" ca="1" si="77"/>
        <v/>
      </c>
      <c r="W567" s="111">
        <f ca="1">IF(OR((W566-13/12*Z566)*(1+PREMISSAS!$C$17)&lt;0,W566=""),0,(W566-13/12*Z566)*(1+PREMISSAS!$C$17))</f>
        <v>0</v>
      </c>
      <c r="X567" s="111">
        <f ca="1">IF(OR((X566-13/12*AA566)*(1+PREMISSAS!$C$17)&lt;0,X566=""),0,(X566-13/12*AA566)*(1+PREMISSAS!$C$17))</f>
        <v>0</v>
      </c>
      <c r="Y567" s="111">
        <f t="shared" ca="1" si="78"/>
        <v>0</v>
      </c>
      <c r="Z567" s="134">
        <f t="shared" ca="1" si="79"/>
        <v>0</v>
      </c>
      <c r="AA567" s="134">
        <f t="shared" ca="1" si="72"/>
        <v>0</v>
      </c>
    </row>
    <row r="568" spans="2:27" x14ac:dyDescent="0.3">
      <c r="B568" s="21" t="str">
        <f ca="1">IF(B567="","",IF(EOMONTH(B567,1)&gt;EOMONTH(ELEGIBILIDADE!$E$5,0),"",EOMONTH(B567,1)))</f>
        <v/>
      </c>
      <c r="C568" s="22" t="str">
        <f ca="1">IF(B568="","",IF(MONTH(B568)=1,C567*(1+PREMISSAS!$C$58),C567))</f>
        <v/>
      </c>
      <c r="D568" s="22">
        <f ca="1">IF(RESULTADOS!$C$17="Normal",IFERROR(MAX(C568-PREMISSAS!$C$14,0),0),IF(PREMISSAS!$H$117=0,0,MAX(10*PREMISSAS!$C$39,RESULTADOS!$F$17)))</f>
        <v>0</v>
      </c>
      <c r="E568" s="4">
        <f ca="1">D568*IF(RESULTADOS!$C$17="Normal",RESULTADOS!$C$16,0)</f>
        <v>0</v>
      </c>
      <c r="F568" s="4">
        <f ca="1">IF(D568&lt;&gt;0,PREMISSAS!$N$83,0)</f>
        <v>0</v>
      </c>
      <c r="G568" s="4">
        <f ca="1">IFERROR(IF(RESULTADOS!$C$17="Normal",0,D568)*IF(RESULTADOS!$C$17="Normal",RESULTADOS!$C$18,RESULTADOS!$C$16),0)</f>
        <v>0</v>
      </c>
      <c r="H568" s="4">
        <f ca="1">IF(RESULTADOS!$C$17="Normal",E568,0)</f>
        <v>0</v>
      </c>
      <c r="I568" s="4">
        <f ca="1">(E568+H568+G568)*IFERROR(VLOOKUP(INT(COUNT($B$5:B568)/12),PREMISSAS!$B$62:$C$69,2,FALSE),PREMISSAS!$C$69)</f>
        <v>0</v>
      </c>
      <c r="J568" s="4">
        <f ca="1">D568*IF(RESULTADOS!$C$17="Normal",PREMISSAS!$C$71,0)</f>
        <v>0</v>
      </c>
      <c r="K568" s="87">
        <f ca="1">IFERROR(K567*(1+PREMISSAS!$C$19)+(E568+H568-IF(RESULTADOS!$C$17="Normal",I568,0)-J568)*IF(MONTH(B568)=12,2,1),0)</f>
        <v>0</v>
      </c>
      <c r="L568" s="87">
        <f ca="1">IFERROR((L567+G568-IF(RESULTADOS!$C$17="Normal",0,I568))*(1+PREMISSAS!$C$19)+F568,0)</f>
        <v>0</v>
      </c>
      <c r="N568" s="58">
        <f t="shared" ca="1" si="73"/>
        <v>0</v>
      </c>
      <c r="P568" s="131" t="str">
        <f t="shared" ca="1" si="74"/>
        <v/>
      </c>
      <c r="Q568" s="111" t="str">
        <f ca="1">IF(C568="","",Q567+(E568+H568-IF(RESULTADOS!$C$17="Normal",I568,0)-J568)/2+(F568+G568-IF(RESULTADOS!$C$17="Normal",0,I568)))</f>
        <v/>
      </c>
      <c r="R568" s="111" t="str">
        <f ca="1">IF(C568="","",R567+(E568+H568-IF(RESULTADOS!$C$17="Normal",I568,0)-J568)/2)</f>
        <v/>
      </c>
      <c r="S568" s="111">
        <f t="shared" ca="1" si="75"/>
        <v>0</v>
      </c>
      <c r="U568" s="131" t="str">
        <f t="shared" ca="1" si="76"/>
        <v/>
      </c>
      <c r="V568" s="131" t="str">
        <f t="shared" ca="1" si="77"/>
        <v/>
      </c>
      <c r="W568" s="111">
        <f ca="1">IF(OR((W567-13/12*Z567)*(1+PREMISSAS!$C$17)&lt;0,W567=""),0,(W567-13/12*Z567)*(1+PREMISSAS!$C$17))</f>
        <v>0</v>
      </c>
      <c r="X568" s="111">
        <f ca="1">IF(OR((X567-13/12*AA567)*(1+PREMISSAS!$C$17)&lt;0,X567=""),0,(X567-13/12*AA567)*(1+PREMISSAS!$C$17))</f>
        <v>0</v>
      </c>
      <c r="Y568" s="111">
        <f t="shared" ca="1" si="78"/>
        <v>0</v>
      </c>
      <c r="Z568" s="134">
        <f t="shared" ca="1" si="79"/>
        <v>0</v>
      </c>
      <c r="AA568" s="134">
        <f t="shared" ca="1" si="72"/>
        <v>0</v>
      </c>
    </row>
    <row r="569" spans="2:27" x14ac:dyDescent="0.3">
      <c r="B569" s="21" t="str">
        <f ca="1">IF(B568="","",IF(EOMONTH(B568,1)&gt;EOMONTH(ELEGIBILIDADE!$E$5,0),"",EOMONTH(B568,1)))</f>
        <v/>
      </c>
      <c r="C569" s="22" t="str">
        <f ca="1">IF(B569="","",IF(MONTH(B569)=1,C568*(1+PREMISSAS!$C$58),C568))</f>
        <v/>
      </c>
      <c r="D569" s="22">
        <f ca="1">IF(RESULTADOS!$C$17="Normal",IFERROR(MAX(C569-PREMISSAS!$C$14,0),0),IF(PREMISSAS!$H$117=0,0,MAX(10*PREMISSAS!$C$39,RESULTADOS!$F$17)))</f>
        <v>0</v>
      </c>
      <c r="E569" s="4">
        <f ca="1">D569*IF(RESULTADOS!$C$17="Normal",RESULTADOS!$C$16,0)</f>
        <v>0</v>
      </c>
      <c r="F569" s="4">
        <f ca="1">IF(D569&lt;&gt;0,PREMISSAS!$N$83,0)</f>
        <v>0</v>
      </c>
      <c r="G569" s="4">
        <f ca="1">IFERROR(IF(RESULTADOS!$C$17="Normal",0,D569)*IF(RESULTADOS!$C$17="Normal",RESULTADOS!$C$18,RESULTADOS!$C$16),0)</f>
        <v>0</v>
      </c>
      <c r="H569" s="4">
        <f ca="1">IF(RESULTADOS!$C$17="Normal",E569,0)</f>
        <v>0</v>
      </c>
      <c r="I569" s="4">
        <f ca="1">(E569+H569+G569)*IFERROR(VLOOKUP(INT(COUNT($B$5:B569)/12),PREMISSAS!$B$62:$C$69,2,FALSE),PREMISSAS!$C$69)</f>
        <v>0</v>
      </c>
      <c r="J569" s="4">
        <f ca="1">D569*IF(RESULTADOS!$C$17="Normal",PREMISSAS!$C$71,0)</f>
        <v>0</v>
      </c>
      <c r="K569" s="87">
        <f ca="1">IFERROR(K568*(1+PREMISSAS!$C$19)+(E569+H569-IF(RESULTADOS!$C$17="Normal",I569,0)-J569)*IF(MONTH(B569)=12,2,1),0)</f>
        <v>0</v>
      </c>
      <c r="L569" s="87">
        <f ca="1">IFERROR((L568+G569-IF(RESULTADOS!$C$17="Normal",0,I569))*(1+PREMISSAS!$C$19)+F569,0)</f>
        <v>0</v>
      </c>
      <c r="N569" s="58">
        <f t="shared" ca="1" si="73"/>
        <v>0</v>
      </c>
      <c r="P569" s="131" t="str">
        <f t="shared" ca="1" si="74"/>
        <v/>
      </c>
      <c r="Q569" s="111" t="str">
        <f ca="1">IF(C569="","",Q568+(E569+H569-IF(RESULTADOS!$C$17="Normal",I569,0)-J569)/2+(F569+G569-IF(RESULTADOS!$C$17="Normal",0,I569)))</f>
        <v/>
      </c>
      <c r="R569" s="111" t="str">
        <f ca="1">IF(C569="","",R568+(E569+H569-IF(RESULTADOS!$C$17="Normal",I569,0)-J569)/2)</f>
        <v/>
      </c>
      <c r="S569" s="111">
        <f t="shared" ca="1" si="75"/>
        <v>0</v>
      </c>
      <c r="U569" s="131" t="str">
        <f t="shared" ca="1" si="76"/>
        <v/>
      </c>
      <c r="V569" s="131" t="str">
        <f t="shared" ca="1" si="77"/>
        <v/>
      </c>
      <c r="W569" s="111">
        <f ca="1">IF(OR((W568-13/12*Z568)*(1+PREMISSAS!$C$17)&lt;0,W568=""),0,(W568-13/12*Z568)*(1+PREMISSAS!$C$17))</f>
        <v>0</v>
      </c>
      <c r="X569" s="111">
        <f ca="1">IF(OR((X568-13/12*AA568)*(1+PREMISSAS!$C$17)&lt;0,X568=""),0,(X568-13/12*AA568)*(1+PREMISSAS!$C$17))</f>
        <v>0</v>
      </c>
      <c r="Y569" s="111">
        <f t="shared" ca="1" si="78"/>
        <v>0</v>
      </c>
      <c r="Z569" s="134">
        <f t="shared" ca="1" si="79"/>
        <v>0</v>
      </c>
      <c r="AA569" s="134">
        <f t="shared" ca="1" si="72"/>
        <v>0</v>
      </c>
    </row>
    <row r="570" spans="2:27" x14ac:dyDescent="0.3">
      <c r="B570" s="21" t="str">
        <f ca="1">IF(B569="","",IF(EOMONTH(B569,1)&gt;EOMONTH(ELEGIBILIDADE!$E$5,0),"",EOMONTH(B569,1)))</f>
        <v/>
      </c>
      <c r="C570" s="22" t="str">
        <f ca="1">IF(B570="","",IF(MONTH(B570)=1,C569*(1+PREMISSAS!$C$58),C569))</f>
        <v/>
      </c>
      <c r="D570" s="22">
        <f ca="1">IF(RESULTADOS!$C$17="Normal",IFERROR(MAX(C570-PREMISSAS!$C$14,0),0),IF(PREMISSAS!$H$117=0,0,MAX(10*PREMISSAS!$C$39,RESULTADOS!$F$17)))</f>
        <v>0</v>
      </c>
      <c r="E570" s="4">
        <f ca="1">D570*IF(RESULTADOS!$C$17="Normal",RESULTADOS!$C$16,0)</f>
        <v>0</v>
      </c>
      <c r="F570" s="4">
        <f ca="1">IF(D570&lt;&gt;0,PREMISSAS!$N$83,0)</f>
        <v>0</v>
      </c>
      <c r="G570" s="4">
        <f ca="1">IFERROR(IF(RESULTADOS!$C$17="Normal",0,D570)*IF(RESULTADOS!$C$17="Normal",RESULTADOS!$C$18,RESULTADOS!$C$16),0)</f>
        <v>0</v>
      </c>
      <c r="H570" s="4">
        <f ca="1">IF(RESULTADOS!$C$17="Normal",E570,0)</f>
        <v>0</v>
      </c>
      <c r="I570" s="4">
        <f ca="1">(E570+H570+G570)*IFERROR(VLOOKUP(INT(COUNT($B$5:B570)/12),PREMISSAS!$B$62:$C$69,2,FALSE),PREMISSAS!$C$69)</f>
        <v>0</v>
      </c>
      <c r="J570" s="4">
        <f ca="1">D570*IF(RESULTADOS!$C$17="Normal",PREMISSAS!$C$71,0)</f>
        <v>0</v>
      </c>
      <c r="K570" s="87">
        <f ca="1">IFERROR(K569*(1+PREMISSAS!$C$19)+(E570+H570-IF(RESULTADOS!$C$17="Normal",I570,0)-J570)*IF(MONTH(B570)=12,2,1),0)</f>
        <v>0</v>
      </c>
      <c r="L570" s="87">
        <f ca="1">IFERROR((L569+G570-IF(RESULTADOS!$C$17="Normal",0,I570))*(1+PREMISSAS!$C$19)+F570,0)</f>
        <v>0</v>
      </c>
      <c r="N570" s="58">
        <f t="shared" ca="1" si="73"/>
        <v>0</v>
      </c>
      <c r="P570" s="131" t="str">
        <f t="shared" ca="1" si="74"/>
        <v/>
      </c>
      <c r="Q570" s="111" t="str">
        <f ca="1">IF(C570="","",Q569+(E570+H570-IF(RESULTADOS!$C$17="Normal",I570,0)-J570)/2+(F570+G570-IF(RESULTADOS!$C$17="Normal",0,I570)))</f>
        <v/>
      </c>
      <c r="R570" s="111" t="str">
        <f ca="1">IF(C570="","",R569+(E570+H570-IF(RESULTADOS!$C$17="Normal",I570,0)-J570)/2)</f>
        <v/>
      </c>
      <c r="S570" s="111">
        <f t="shared" ca="1" si="75"/>
        <v>0</v>
      </c>
      <c r="U570" s="131" t="str">
        <f t="shared" ca="1" si="76"/>
        <v/>
      </c>
      <c r="V570" s="131" t="str">
        <f t="shared" ca="1" si="77"/>
        <v/>
      </c>
      <c r="W570" s="111">
        <f ca="1">IF(OR((W569-13/12*Z569)*(1+PREMISSAS!$C$17)&lt;0,W569=""),0,(W569-13/12*Z569)*(1+PREMISSAS!$C$17))</f>
        <v>0</v>
      </c>
      <c r="X570" s="111">
        <f ca="1">IF(OR((X569-13/12*AA569)*(1+PREMISSAS!$C$17)&lt;0,X569=""),0,(X569-13/12*AA569)*(1+PREMISSAS!$C$17))</f>
        <v>0</v>
      </c>
      <c r="Y570" s="111">
        <f t="shared" ca="1" si="78"/>
        <v>0</v>
      </c>
      <c r="Z570" s="134">
        <f t="shared" ca="1" si="79"/>
        <v>0</v>
      </c>
      <c r="AA570" s="134">
        <f t="shared" ca="1" si="72"/>
        <v>0</v>
      </c>
    </row>
    <row r="571" spans="2:27" x14ac:dyDescent="0.3">
      <c r="B571" s="21" t="str">
        <f ca="1">IF(B570="","",IF(EOMONTH(B570,1)&gt;EOMONTH(ELEGIBILIDADE!$E$5,0),"",EOMONTH(B570,1)))</f>
        <v/>
      </c>
      <c r="C571" s="22" t="str">
        <f ca="1">IF(B571="","",IF(MONTH(B571)=1,C570*(1+PREMISSAS!$C$58),C570))</f>
        <v/>
      </c>
      <c r="D571" s="22">
        <f ca="1">IF(RESULTADOS!$C$17="Normal",IFERROR(MAX(C571-PREMISSAS!$C$14,0),0),IF(PREMISSAS!$H$117=0,0,MAX(10*PREMISSAS!$C$39,RESULTADOS!$F$17)))</f>
        <v>0</v>
      </c>
      <c r="E571" s="4">
        <f ca="1">D571*IF(RESULTADOS!$C$17="Normal",RESULTADOS!$C$16,0)</f>
        <v>0</v>
      </c>
      <c r="F571" s="4">
        <f ca="1">IF(D571&lt;&gt;0,PREMISSAS!$N$83,0)</f>
        <v>0</v>
      </c>
      <c r="G571" s="4">
        <f ca="1">IFERROR(IF(RESULTADOS!$C$17="Normal",0,D571)*IF(RESULTADOS!$C$17="Normal",RESULTADOS!$C$18,RESULTADOS!$C$16),0)</f>
        <v>0</v>
      </c>
      <c r="H571" s="4">
        <f ca="1">IF(RESULTADOS!$C$17="Normal",E571,0)</f>
        <v>0</v>
      </c>
      <c r="I571" s="4">
        <f ca="1">(E571+H571+G571)*IFERROR(VLOOKUP(INT(COUNT($B$5:B571)/12),PREMISSAS!$B$62:$C$69,2,FALSE),PREMISSAS!$C$69)</f>
        <v>0</v>
      </c>
      <c r="J571" s="4">
        <f ca="1">D571*IF(RESULTADOS!$C$17="Normal",PREMISSAS!$C$71,0)</f>
        <v>0</v>
      </c>
      <c r="K571" s="87">
        <f ca="1">IFERROR(K570*(1+PREMISSAS!$C$19)+(E571+H571-IF(RESULTADOS!$C$17="Normal",I571,0)-J571)*IF(MONTH(B571)=12,2,1),0)</f>
        <v>0</v>
      </c>
      <c r="L571" s="87">
        <f ca="1">IFERROR((L570+G571-IF(RESULTADOS!$C$17="Normal",0,I571))*(1+PREMISSAS!$C$19)+F571,0)</f>
        <v>0</v>
      </c>
      <c r="N571" s="58">
        <f t="shared" ca="1" si="73"/>
        <v>0</v>
      </c>
      <c r="P571" s="131" t="str">
        <f t="shared" ca="1" si="74"/>
        <v/>
      </c>
      <c r="Q571" s="111" t="str">
        <f ca="1">IF(C571="","",Q570+(E571+H571-IF(RESULTADOS!$C$17="Normal",I571,0)-J571)/2+(F571+G571-IF(RESULTADOS!$C$17="Normal",0,I571)))</f>
        <v/>
      </c>
      <c r="R571" s="111" t="str">
        <f ca="1">IF(C571="","",R570+(E571+H571-IF(RESULTADOS!$C$17="Normal",I571,0)-J571)/2)</f>
        <v/>
      </c>
      <c r="S571" s="111">
        <f t="shared" ca="1" si="75"/>
        <v>0</v>
      </c>
      <c r="U571" s="131" t="str">
        <f t="shared" ca="1" si="76"/>
        <v/>
      </c>
      <c r="V571" s="131" t="str">
        <f t="shared" ca="1" si="77"/>
        <v/>
      </c>
      <c r="W571" s="111">
        <f ca="1">IF(OR((W570-13/12*Z570)*(1+PREMISSAS!$C$17)&lt;0,W570=""),0,(W570-13/12*Z570)*(1+PREMISSAS!$C$17))</f>
        <v>0</v>
      </c>
      <c r="X571" s="111">
        <f ca="1">IF(OR((X570-13/12*AA570)*(1+PREMISSAS!$C$17)&lt;0,X570=""),0,(X570-13/12*AA570)*(1+PREMISSAS!$C$17))</f>
        <v>0</v>
      </c>
      <c r="Y571" s="111">
        <f t="shared" ca="1" si="78"/>
        <v>0</v>
      </c>
      <c r="Z571" s="134">
        <f t="shared" ca="1" si="79"/>
        <v>0</v>
      </c>
      <c r="AA571" s="134">
        <f t="shared" ca="1" si="72"/>
        <v>0</v>
      </c>
    </row>
    <row r="572" spans="2:27" x14ac:dyDescent="0.3">
      <c r="B572" s="21" t="str">
        <f ca="1">IF(B571="","",IF(EOMONTH(B571,1)&gt;EOMONTH(ELEGIBILIDADE!$E$5,0),"",EOMONTH(B571,1)))</f>
        <v/>
      </c>
      <c r="C572" s="22" t="str">
        <f ca="1">IF(B572="","",IF(MONTH(B572)=1,C571*(1+PREMISSAS!$C$58),C571))</f>
        <v/>
      </c>
      <c r="D572" s="22">
        <f ca="1">IF(RESULTADOS!$C$17="Normal",IFERROR(MAX(C572-PREMISSAS!$C$14,0),0),IF(PREMISSAS!$H$117=0,0,MAX(10*PREMISSAS!$C$39,RESULTADOS!$F$17)))</f>
        <v>0</v>
      </c>
      <c r="E572" s="4">
        <f ca="1">D572*IF(RESULTADOS!$C$17="Normal",RESULTADOS!$C$16,0)</f>
        <v>0</v>
      </c>
      <c r="F572" s="4">
        <f ca="1">IF(D572&lt;&gt;0,PREMISSAS!$N$83,0)</f>
        <v>0</v>
      </c>
      <c r="G572" s="4">
        <f ca="1">IFERROR(IF(RESULTADOS!$C$17="Normal",0,D572)*IF(RESULTADOS!$C$17="Normal",RESULTADOS!$C$18,RESULTADOS!$C$16),0)</f>
        <v>0</v>
      </c>
      <c r="H572" s="4">
        <f ca="1">IF(RESULTADOS!$C$17="Normal",E572,0)</f>
        <v>0</v>
      </c>
      <c r="I572" s="4">
        <f ca="1">(E572+H572+G572)*IFERROR(VLOOKUP(INT(COUNT($B$5:B572)/12),PREMISSAS!$B$62:$C$69,2,FALSE),PREMISSAS!$C$69)</f>
        <v>0</v>
      </c>
      <c r="J572" s="4">
        <f ca="1">D572*IF(RESULTADOS!$C$17="Normal",PREMISSAS!$C$71,0)</f>
        <v>0</v>
      </c>
      <c r="K572" s="87">
        <f ca="1">IFERROR(K571*(1+PREMISSAS!$C$19)+(E572+H572-IF(RESULTADOS!$C$17="Normal",I572,0)-J572)*IF(MONTH(B572)=12,2,1),0)</f>
        <v>0</v>
      </c>
      <c r="L572" s="87">
        <f ca="1">IFERROR((L571+G572-IF(RESULTADOS!$C$17="Normal",0,I572))*(1+PREMISSAS!$C$19)+F572,0)</f>
        <v>0</v>
      </c>
      <c r="N572" s="58">
        <f t="shared" ca="1" si="73"/>
        <v>0</v>
      </c>
      <c r="P572" s="131" t="str">
        <f t="shared" ca="1" si="74"/>
        <v/>
      </c>
      <c r="Q572" s="111" t="str">
        <f ca="1">IF(C572="","",Q571+(E572+H572-IF(RESULTADOS!$C$17="Normal",I572,0)-J572)/2+(F572+G572-IF(RESULTADOS!$C$17="Normal",0,I572)))</f>
        <v/>
      </c>
      <c r="R572" s="111" t="str">
        <f ca="1">IF(C572="","",R571+(E572+H572-IF(RESULTADOS!$C$17="Normal",I572,0)-J572)/2)</f>
        <v/>
      </c>
      <c r="S572" s="111">
        <f t="shared" ca="1" si="75"/>
        <v>0</v>
      </c>
      <c r="U572" s="131" t="str">
        <f t="shared" ca="1" si="76"/>
        <v/>
      </c>
      <c r="V572" s="131" t="str">
        <f t="shared" ca="1" si="77"/>
        <v/>
      </c>
      <c r="W572" s="111">
        <f ca="1">IF(OR((W571-13/12*Z571)*(1+PREMISSAS!$C$17)&lt;0,W571=""),0,(W571-13/12*Z571)*(1+PREMISSAS!$C$17))</f>
        <v>0</v>
      </c>
      <c r="X572" s="111">
        <f ca="1">IF(OR((X571-13/12*AA571)*(1+PREMISSAS!$C$17)&lt;0,X571=""),0,(X571-13/12*AA571)*(1+PREMISSAS!$C$17))</f>
        <v>0</v>
      </c>
      <c r="Y572" s="111">
        <f t="shared" ca="1" si="78"/>
        <v>0</v>
      </c>
      <c r="Z572" s="134">
        <f t="shared" ca="1" si="79"/>
        <v>0</v>
      </c>
      <c r="AA572" s="134">
        <f t="shared" ca="1" si="72"/>
        <v>0</v>
      </c>
    </row>
    <row r="573" spans="2:27" x14ac:dyDescent="0.3">
      <c r="B573" s="21" t="str">
        <f ca="1">IF(B572="","",IF(EOMONTH(B572,1)&gt;EOMONTH(ELEGIBILIDADE!$E$5,0),"",EOMONTH(B572,1)))</f>
        <v/>
      </c>
      <c r="C573" s="22" t="str">
        <f ca="1">IF(B573="","",IF(MONTH(B573)=1,C572*(1+PREMISSAS!$C$58),C572))</f>
        <v/>
      </c>
      <c r="D573" s="22">
        <f ca="1">IF(RESULTADOS!$C$17="Normal",IFERROR(MAX(C573-PREMISSAS!$C$14,0),0),IF(PREMISSAS!$H$117=0,0,MAX(10*PREMISSAS!$C$39,RESULTADOS!$F$17)))</f>
        <v>0</v>
      </c>
      <c r="E573" s="4">
        <f ca="1">D573*IF(RESULTADOS!$C$17="Normal",RESULTADOS!$C$16,0)</f>
        <v>0</v>
      </c>
      <c r="F573" s="4">
        <f ca="1">IF(D573&lt;&gt;0,PREMISSAS!$N$83,0)</f>
        <v>0</v>
      </c>
      <c r="G573" s="4">
        <f ca="1">IFERROR(IF(RESULTADOS!$C$17="Normal",0,D573)*IF(RESULTADOS!$C$17="Normal",RESULTADOS!$C$18,RESULTADOS!$C$16),0)</f>
        <v>0</v>
      </c>
      <c r="H573" s="4">
        <f ca="1">IF(RESULTADOS!$C$17="Normal",E573,0)</f>
        <v>0</v>
      </c>
      <c r="I573" s="4">
        <f ca="1">(E573+H573+G573)*IFERROR(VLOOKUP(INT(COUNT($B$5:B573)/12),PREMISSAS!$B$62:$C$69,2,FALSE),PREMISSAS!$C$69)</f>
        <v>0</v>
      </c>
      <c r="J573" s="4">
        <f ca="1">D573*IF(RESULTADOS!$C$17="Normal",PREMISSAS!$C$71,0)</f>
        <v>0</v>
      </c>
      <c r="K573" s="87">
        <f ca="1">IFERROR(K572*(1+PREMISSAS!$C$19)+(E573+H573-IF(RESULTADOS!$C$17="Normal",I573,0)-J573)*IF(MONTH(B573)=12,2,1),0)</f>
        <v>0</v>
      </c>
      <c r="L573" s="87">
        <f ca="1">IFERROR((L572+G573-IF(RESULTADOS!$C$17="Normal",0,I573))*(1+PREMISSAS!$C$19)+F573,0)</f>
        <v>0</v>
      </c>
      <c r="N573" s="58">
        <f t="shared" ca="1" si="73"/>
        <v>0</v>
      </c>
      <c r="P573" s="131" t="str">
        <f t="shared" ca="1" si="74"/>
        <v/>
      </c>
      <c r="Q573" s="111" t="str">
        <f ca="1">IF(C573="","",Q572+(E573+H573-IF(RESULTADOS!$C$17="Normal",I573,0)-J573)/2+(F573+G573-IF(RESULTADOS!$C$17="Normal",0,I573)))</f>
        <v/>
      </c>
      <c r="R573" s="111" t="str">
        <f ca="1">IF(C573="","",R572+(E573+H573-IF(RESULTADOS!$C$17="Normal",I573,0)-J573)/2)</f>
        <v/>
      </c>
      <c r="S573" s="111">
        <f t="shared" ca="1" si="75"/>
        <v>0</v>
      </c>
      <c r="U573" s="131" t="str">
        <f t="shared" ca="1" si="76"/>
        <v/>
      </c>
      <c r="V573" s="131" t="str">
        <f t="shared" ca="1" si="77"/>
        <v/>
      </c>
      <c r="W573" s="111">
        <f ca="1">IF(OR((W572-13/12*Z572)*(1+PREMISSAS!$C$17)&lt;0,W572=""),0,(W572-13/12*Z572)*(1+PREMISSAS!$C$17))</f>
        <v>0</v>
      </c>
      <c r="X573" s="111">
        <f ca="1">IF(OR((X572-13/12*AA572)*(1+PREMISSAS!$C$17)&lt;0,X572=""),0,(X572-13/12*AA572)*(1+PREMISSAS!$C$17))</f>
        <v>0</v>
      </c>
      <c r="Y573" s="111">
        <f t="shared" ca="1" si="78"/>
        <v>0</v>
      </c>
      <c r="Z573" s="134">
        <f t="shared" ca="1" si="79"/>
        <v>0</v>
      </c>
      <c r="AA573" s="134">
        <f t="shared" ca="1" si="72"/>
        <v>0</v>
      </c>
    </row>
    <row r="574" spans="2:27" x14ac:dyDescent="0.3">
      <c r="B574" s="21" t="str">
        <f ca="1">IF(B573="","",IF(EOMONTH(B573,1)&gt;EOMONTH(ELEGIBILIDADE!$E$5,0),"",EOMONTH(B573,1)))</f>
        <v/>
      </c>
      <c r="C574" s="22" t="str">
        <f ca="1">IF(B574="","",IF(MONTH(B574)=1,C573*(1+PREMISSAS!$C$58),C573))</f>
        <v/>
      </c>
      <c r="D574" s="22">
        <f ca="1">IF(RESULTADOS!$C$17="Normal",IFERROR(MAX(C574-PREMISSAS!$C$14,0),0),IF(PREMISSAS!$H$117=0,0,MAX(10*PREMISSAS!$C$39,RESULTADOS!$F$17)))</f>
        <v>0</v>
      </c>
      <c r="E574" s="4">
        <f ca="1">D574*IF(RESULTADOS!$C$17="Normal",RESULTADOS!$C$16,0)</f>
        <v>0</v>
      </c>
      <c r="F574" s="4">
        <f ca="1">IF(D574&lt;&gt;0,PREMISSAS!$N$83,0)</f>
        <v>0</v>
      </c>
      <c r="G574" s="4">
        <f ca="1">IFERROR(IF(RESULTADOS!$C$17="Normal",0,D574)*IF(RESULTADOS!$C$17="Normal",RESULTADOS!$C$18,RESULTADOS!$C$16),0)</f>
        <v>0</v>
      </c>
      <c r="H574" s="4">
        <f ca="1">IF(RESULTADOS!$C$17="Normal",E574,0)</f>
        <v>0</v>
      </c>
      <c r="I574" s="4">
        <f ca="1">(E574+H574+G574)*IFERROR(VLOOKUP(INT(COUNT($B$5:B574)/12),PREMISSAS!$B$62:$C$69,2,FALSE),PREMISSAS!$C$69)</f>
        <v>0</v>
      </c>
      <c r="J574" s="4">
        <f ca="1">D574*IF(RESULTADOS!$C$17="Normal",PREMISSAS!$C$71,0)</f>
        <v>0</v>
      </c>
      <c r="K574" s="87">
        <f ca="1">IFERROR(K573*(1+PREMISSAS!$C$19)+(E574+H574-IF(RESULTADOS!$C$17="Normal",I574,0)-J574)*IF(MONTH(B574)=12,2,1),0)</f>
        <v>0</v>
      </c>
      <c r="L574" s="87">
        <f ca="1">IFERROR((L573+G574-IF(RESULTADOS!$C$17="Normal",0,I574))*(1+PREMISSAS!$C$19)+F574,0)</f>
        <v>0</v>
      </c>
      <c r="N574" s="58">
        <f t="shared" ca="1" si="73"/>
        <v>0</v>
      </c>
      <c r="P574" s="131" t="str">
        <f t="shared" ca="1" si="74"/>
        <v/>
      </c>
      <c r="Q574" s="111" t="str">
        <f ca="1">IF(C574="","",Q573+(E574+H574-IF(RESULTADOS!$C$17="Normal",I574,0)-J574)/2+(F574+G574-IF(RESULTADOS!$C$17="Normal",0,I574)))</f>
        <v/>
      </c>
      <c r="R574" s="111" t="str">
        <f ca="1">IF(C574="","",R573+(E574+H574-IF(RESULTADOS!$C$17="Normal",I574,0)-J574)/2)</f>
        <v/>
      </c>
      <c r="S574" s="111">
        <f t="shared" ca="1" si="75"/>
        <v>0</v>
      </c>
      <c r="U574" s="131" t="str">
        <f t="shared" ca="1" si="76"/>
        <v/>
      </c>
      <c r="V574" s="131" t="str">
        <f t="shared" ca="1" si="77"/>
        <v/>
      </c>
      <c r="W574" s="111">
        <f ca="1">IF(OR((W573-13/12*Z573)*(1+PREMISSAS!$C$17)&lt;0,W573=""),0,(W573-13/12*Z573)*(1+PREMISSAS!$C$17))</f>
        <v>0</v>
      </c>
      <c r="X574" s="111">
        <f ca="1">IF(OR((X573-13/12*AA573)*(1+PREMISSAS!$C$17)&lt;0,X573=""),0,(X573-13/12*AA573)*(1+PREMISSAS!$C$17))</f>
        <v>0</v>
      </c>
      <c r="Y574" s="111">
        <f t="shared" ca="1" si="78"/>
        <v>0</v>
      </c>
      <c r="Z574" s="134">
        <f t="shared" ca="1" si="79"/>
        <v>0</v>
      </c>
      <c r="AA574" s="134">
        <f t="shared" ca="1" si="72"/>
        <v>0</v>
      </c>
    </row>
    <row r="575" spans="2:27" x14ac:dyDescent="0.3">
      <c r="B575" s="21" t="str">
        <f ca="1">IF(B574="","",IF(EOMONTH(B574,1)&gt;EOMONTH(ELEGIBILIDADE!$E$5,0),"",EOMONTH(B574,1)))</f>
        <v/>
      </c>
      <c r="C575" s="22" t="str">
        <f ca="1">IF(B575="","",IF(MONTH(B575)=1,C574*(1+PREMISSAS!$C$58),C574))</f>
        <v/>
      </c>
      <c r="D575" s="22">
        <f ca="1">IF(RESULTADOS!$C$17="Normal",IFERROR(MAX(C575-PREMISSAS!$C$14,0),0),IF(PREMISSAS!$H$117=0,0,MAX(10*PREMISSAS!$C$39,RESULTADOS!$F$17)))</f>
        <v>0</v>
      </c>
      <c r="E575" s="4">
        <f ca="1">D575*IF(RESULTADOS!$C$17="Normal",RESULTADOS!$C$16,0)</f>
        <v>0</v>
      </c>
      <c r="F575" s="4">
        <f ca="1">IF(D575&lt;&gt;0,PREMISSAS!$N$83,0)</f>
        <v>0</v>
      </c>
      <c r="G575" s="4">
        <f ca="1">IFERROR(IF(RESULTADOS!$C$17="Normal",0,D575)*IF(RESULTADOS!$C$17="Normal",RESULTADOS!$C$18,RESULTADOS!$C$16),0)</f>
        <v>0</v>
      </c>
      <c r="H575" s="4">
        <f ca="1">IF(RESULTADOS!$C$17="Normal",E575,0)</f>
        <v>0</v>
      </c>
      <c r="I575" s="4">
        <f ca="1">(E575+H575+G575)*IFERROR(VLOOKUP(INT(COUNT($B$5:B575)/12),PREMISSAS!$B$62:$C$69,2,FALSE),PREMISSAS!$C$69)</f>
        <v>0</v>
      </c>
      <c r="J575" s="4">
        <f ca="1">D575*IF(RESULTADOS!$C$17="Normal",PREMISSAS!$C$71,0)</f>
        <v>0</v>
      </c>
      <c r="K575" s="87">
        <f ca="1">IFERROR(K574*(1+PREMISSAS!$C$19)+(E575+H575-IF(RESULTADOS!$C$17="Normal",I575,0)-J575)*IF(MONTH(B575)=12,2,1),0)</f>
        <v>0</v>
      </c>
      <c r="L575" s="87">
        <f ca="1">IFERROR((L574+G575-IF(RESULTADOS!$C$17="Normal",0,I575))*(1+PREMISSAS!$C$19)+F575,0)</f>
        <v>0</v>
      </c>
      <c r="N575" s="58">
        <f t="shared" ca="1" si="73"/>
        <v>0</v>
      </c>
      <c r="P575" s="131" t="str">
        <f t="shared" ca="1" si="74"/>
        <v/>
      </c>
      <c r="Q575" s="111" t="str">
        <f ca="1">IF(C575="","",Q574+(E575+H575-IF(RESULTADOS!$C$17="Normal",I575,0)-J575)/2+(F575+G575-IF(RESULTADOS!$C$17="Normal",0,I575)))</f>
        <v/>
      </c>
      <c r="R575" s="111" t="str">
        <f ca="1">IF(C575="","",R574+(E575+H575-IF(RESULTADOS!$C$17="Normal",I575,0)-J575)/2)</f>
        <v/>
      </c>
      <c r="S575" s="111">
        <f t="shared" ca="1" si="75"/>
        <v>0</v>
      </c>
      <c r="U575" s="131" t="str">
        <f t="shared" ca="1" si="76"/>
        <v/>
      </c>
      <c r="V575" s="131" t="str">
        <f t="shared" ca="1" si="77"/>
        <v/>
      </c>
      <c r="W575" s="111">
        <f ca="1">IF(OR((W574-13/12*Z574)*(1+PREMISSAS!$C$17)&lt;0,W574=""),0,(W574-13/12*Z574)*(1+PREMISSAS!$C$17))</f>
        <v>0</v>
      </c>
      <c r="X575" s="111">
        <f ca="1">IF(OR((X574-13/12*AA574)*(1+PREMISSAS!$C$17)&lt;0,X574=""),0,(X574-13/12*AA574)*(1+PREMISSAS!$C$17))</f>
        <v>0</v>
      </c>
      <c r="Y575" s="111">
        <f t="shared" ca="1" si="78"/>
        <v>0</v>
      </c>
      <c r="Z575" s="134">
        <f t="shared" ca="1" si="79"/>
        <v>0</v>
      </c>
      <c r="AA575" s="134">
        <f t="shared" ca="1" si="72"/>
        <v>0</v>
      </c>
    </row>
    <row r="576" spans="2:27" x14ac:dyDescent="0.3">
      <c r="B576" s="21" t="str">
        <f ca="1">IF(B575="","",IF(EOMONTH(B575,1)&gt;EOMONTH(ELEGIBILIDADE!$E$5,0),"",EOMONTH(B575,1)))</f>
        <v/>
      </c>
      <c r="C576" s="22" t="str">
        <f ca="1">IF(B576="","",IF(MONTH(B576)=1,C575*(1+PREMISSAS!$C$58),C575))</f>
        <v/>
      </c>
      <c r="D576" s="22">
        <f ca="1">IF(RESULTADOS!$C$17="Normal",IFERROR(MAX(C576-PREMISSAS!$C$14,0),0),IF(PREMISSAS!$H$117=0,0,MAX(10*PREMISSAS!$C$39,RESULTADOS!$F$17)))</f>
        <v>0</v>
      </c>
      <c r="E576" s="4">
        <f ca="1">D576*IF(RESULTADOS!$C$17="Normal",RESULTADOS!$C$16,0)</f>
        <v>0</v>
      </c>
      <c r="F576" s="4">
        <f ca="1">IF(D576&lt;&gt;0,PREMISSAS!$N$83,0)</f>
        <v>0</v>
      </c>
      <c r="G576" s="4">
        <f ca="1">IFERROR(IF(RESULTADOS!$C$17="Normal",0,D576)*IF(RESULTADOS!$C$17="Normal",RESULTADOS!$C$18,RESULTADOS!$C$16),0)</f>
        <v>0</v>
      </c>
      <c r="H576" s="4">
        <f ca="1">IF(RESULTADOS!$C$17="Normal",E576,0)</f>
        <v>0</v>
      </c>
      <c r="I576" s="4">
        <f ca="1">(E576+H576+G576)*IFERROR(VLOOKUP(INT(COUNT($B$5:B576)/12),PREMISSAS!$B$62:$C$69,2,FALSE),PREMISSAS!$C$69)</f>
        <v>0</v>
      </c>
      <c r="J576" s="4">
        <f ca="1">D576*IF(RESULTADOS!$C$17="Normal",PREMISSAS!$C$71,0)</f>
        <v>0</v>
      </c>
      <c r="K576" s="87">
        <f ca="1">IFERROR(K575*(1+PREMISSAS!$C$19)+(E576+H576-IF(RESULTADOS!$C$17="Normal",I576,0)-J576)*IF(MONTH(B576)=12,2,1),0)</f>
        <v>0</v>
      </c>
      <c r="L576" s="87">
        <f ca="1">IFERROR((L575+G576-IF(RESULTADOS!$C$17="Normal",0,I576))*(1+PREMISSAS!$C$19)+F576,0)</f>
        <v>0</v>
      </c>
      <c r="N576" s="58">
        <f t="shared" ca="1" si="73"/>
        <v>0</v>
      </c>
      <c r="P576" s="131" t="str">
        <f t="shared" ca="1" si="74"/>
        <v/>
      </c>
      <c r="Q576" s="111" t="str">
        <f ca="1">IF(C576="","",Q575+(E576+H576-IF(RESULTADOS!$C$17="Normal",I576,0)-J576)/2+(F576+G576-IF(RESULTADOS!$C$17="Normal",0,I576)))</f>
        <v/>
      </c>
      <c r="R576" s="111" t="str">
        <f ca="1">IF(C576="","",R575+(E576+H576-IF(RESULTADOS!$C$17="Normal",I576,0)-J576)/2)</f>
        <v/>
      </c>
      <c r="S576" s="111">
        <f t="shared" ca="1" si="75"/>
        <v>0</v>
      </c>
      <c r="U576" s="131" t="str">
        <f t="shared" ca="1" si="76"/>
        <v/>
      </c>
      <c r="V576" s="131" t="str">
        <f t="shared" ca="1" si="77"/>
        <v/>
      </c>
      <c r="W576" s="111">
        <f ca="1">IF(OR((W575-13/12*Z575)*(1+PREMISSAS!$C$17)&lt;0,W575=""),0,(W575-13/12*Z575)*(1+PREMISSAS!$C$17))</f>
        <v>0</v>
      </c>
      <c r="X576" s="111">
        <f ca="1">IF(OR((X575-13/12*AA575)*(1+PREMISSAS!$C$17)&lt;0,X575=""),0,(X575-13/12*AA575)*(1+PREMISSAS!$C$17))</f>
        <v>0</v>
      </c>
      <c r="Y576" s="111">
        <f t="shared" ca="1" si="78"/>
        <v>0</v>
      </c>
      <c r="Z576" s="134">
        <f t="shared" ca="1" si="79"/>
        <v>0</v>
      </c>
      <c r="AA576" s="134">
        <f t="shared" ca="1" si="72"/>
        <v>0</v>
      </c>
    </row>
    <row r="577" spans="2:27" x14ac:dyDescent="0.3">
      <c r="B577" s="21" t="str">
        <f ca="1">IF(B576="","",IF(EOMONTH(B576,1)&gt;EOMONTH(ELEGIBILIDADE!$E$5,0),"",EOMONTH(B576,1)))</f>
        <v/>
      </c>
      <c r="C577" s="22" t="str">
        <f ca="1">IF(B577="","",IF(MONTH(B577)=1,C576*(1+PREMISSAS!$C$58),C576))</f>
        <v/>
      </c>
      <c r="D577" s="22">
        <f ca="1">IF(RESULTADOS!$C$17="Normal",IFERROR(MAX(C577-PREMISSAS!$C$14,0),0),IF(PREMISSAS!$H$117=0,0,MAX(10*PREMISSAS!$C$39,RESULTADOS!$F$17)))</f>
        <v>0</v>
      </c>
      <c r="E577" s="4">
        <f ca="1">D577*IF(RESULTADOS!$C$17="Normal",RESULTADOS!$C$16,0)</f>
        <v>0</v>
      </c>
      <c r="F577" s="4">
        <f ca="1">IF(D577&lt;&gt;0,PREMISSAS!$N$83,0)</f>
        <v>0</v>
      </c>
      <c r="G577" s="4">
        <f ca="1">IFERROR(IF(RESULTADOS!$C$17="Normal",0,D577)*IF(RESULTADOS!$C$17="Normal",RESULTADOS!$C$18,RESULTADOS!$C$16),0)</f>
        <v>0</v>
      </c>
      <c r="H577" s="4">
        <f ca="1">IF(RESULTADOS!$C$17="Normal",E577,0)</f>
        <v>0</v>
      </c>
      <c r="I577" s="4">
        <f ca="1">(E577+H577+G577)*IFERROR(VLOOKUP(INT(COUNT($B$5:B577)/12),PREMISSAS!$B$62:$C$69,2,FALSE),PREMISSAS!$C$69)</f>
        <v>0</v>
      </c>
      <c r="J577" s="4">
        <f ca="1">D577*IF(RESULTADOS!$C$17="Normal",PREMISSAS!$C$71,0)</f>
        <v>0</v>
      </c>
      <c r="K577" s="87">
        <f ca="1">IFERROR(K576*(1+PREMISSAS!$C$19)+(E577+H577-IF(RESULTADOS!$C$17="Normal",I577,0)-J577)*IF(MONTH(B577)=12,2,1),0)</f>
        <v>0</v>
      </c>
      <c r="L577" s="87">
        <f ca="1">IFERROR((L576+G577-IF(RESULTADOS!$C$17="Normal",0,I577))*(1+PREMISSAS!$C$19)+F577,0)</f>
        <v>0</v>
      </c>
      <c r="N577" s="58">
        <f t="shared" ca="1" si="73"/>
        <v>0</v>
      </c>
      <c r="P577" s="131" t="str">
        <f t="shared" ca="1" si="74"/>
        <v/>
      </c>
      <c r="Q577" s="111" t="str">
        <f ca="1">IF(C577="","",Q576+(E577+H577-IF(RESULTADOS!$C$17="Normal",I577,0)-J577)/2+(F577+G577-IF(RESULTADOS!$C$17="Normal",0,I577)))</f>
        <v/>
      </c>
      <c r="R577" s="111" t="str">
        <f ca="1">IF(C577="","",R576+(E577+H577-IF(RESULTADOS!$C$17="Normal",I577,0)-J577)/2)</f>
        <v/>
      </c>
      <c r="S577" s="111">
        <f t="shared" ca="1" si="75"/>
        <v>0</v>
      </c>
      <c r="U577" s="131" t="str">
        <f t="shared" ca="1" si="76"/>
        <v/>
      </c>
      <c r="V577" s="131" t="str">
        <f t="shared" ca="1" si="77"/>
        <v/>
      </c>
      <c r="W577" s="111">
        <f ca="1">IF(OR((W576-13/12*Z576)*(1+PREMISSAS!$C$17)&lt;0,W576=""),0,(W576-13/12*Z576)*(1+PREMISSAS!$C$17))</f>
        <v>0</v>
      </c>
      <c r="X577" s="111">
        <f ca="1">IF(OR((X576-13/12*AA576)*(1+PREMISSAS!$C$17)&lt;0,X576=""),0,(X576-13/12*AA576)*(1+PREMISSAS!$C$17))</f>
        <v>0</v>
      </c>
      <c r="Y577" s="111">
        <f t="shared" ca="1" si="78"/>
        <v>0</v>
      </c>
      <c r="Z577" s="134">
        <f t="shared" ca="1" si="79"/>
        <v>0</v>
      </c>
      <c r="AA577" s="134">
        <f t="shared" ca="1" si="72"/>
        <v>0</v>
      </c>
    </row>
    <row r="578" spans="2:27" x14ac:dyDescent="0.3">
      <c r="B578" s="21" t="str">
        <f ca="1">IF(B577="","",IF(EOMONTH(B577,1)&gt;EOMONTH(ELEGIBILIDADE!$E$5,0),"",EOMONTH(B577,1)))</f>
        <v/>
      </c>
      <c r="C578" s="22" t="str">
        <f ca="1">IF(B578="","",IF(MONTH(B578)=1,C577*(1+PREMISSAS!$C$58),C577))</f>
        <v/>
      </c>
      <c r="D578" s="22">
        <f ca="1">IF(RESULTADOS!$C$17="Normal",IFERROR(MAX(C578-PREMISSAS!$C$14,0),0),IF(PREMISSAS!$H$117=0,0,MAX(10*PREMISSAS!$C$39,RESULTADOS!$F$17)))</f>
        <v>0</v>
      </c>
      <c r="E578" s="4">
        <f ca="1">D578*IF(RESULTADOS!$C$17="Normal",RESULTADOS!$C$16,0)</f>
        <v>0</v>
      </c>
      <c r="F578" s="4">
        <f ca="1">IF(D578&lt;&gt;0,PREMISSAS!$N$83,0)</f>
        <v>0</v>
      </c>
      <c r="G578" s="4">
        <f ca="1">IFERROR(IF(RESULTADOS!$C$17="Normal",0,D578)*IF(RESULTADOS!$C$17="Normal",RESULTADOS!$C$18,RESULTADOS!$C$16),0)</f>
        <v>0</v>
      </c>
      <c r="H578" s="4">
        <f ca="1">IF(RESULTADOS!$C$17="Normal",E578,0)</f>
        <v>0</v>
      </c>
      <c r="I578" s="4">
        <f ca="1">(E578+H578+G578)*IFERROR(VLOOKUP(INT(COUNT($B$5:B578)/12),PREMISSAS!$B$62:$C$69,2,FALSE),PREMISSAS!$C$69)</f>
        <v>0</v>
      </c>
      <c r="J578" s="4">
        <f ca="1">D578*IF(RESULTADOS!$C$17="Normal",PREMISSAS!$C$71,0)</f>
        <v>0</v>
      </c>
      <c r="K578" s="87">
        <f ca="1">IFERROR(K577*(1+PREMISSAS!$C$19)+(E578+H578-IF(RESULTADOS!$C$17="Normal",I578,0)-J578)*IF(MONTH(B578)=12,2,1),0)</f>
        <v>0</v>
      </c>
      <c r="L578" s="87">
        <f ca="1">IFERROR((L577+G578-IF(RESULTADOS!$C$17="Normal",0,I578))*(1+PREMISSAS!$C$19)+F578,0)</f>
        <v>0</v>
      </c>
      <c r="N578" s="58">
        <f t="shared" ca="1" si="73"/>
        <v>0</v>
      </c>
      <c r="P578" s="131" t="str">
        <f t="shared" ca="1" si="74"/>
        <v/>
      </c>
      <c r="Q578" s="111" t="str">
        <f ca="1">IF(C578="","",Q577+(E578+H578-IF(RESULTADOS!$C$17="Normal",I578,0)-J578)/2+(F578+G578-IF(RESULTADOS!$C$17="Normal",0,I578)))</f>
        <v/>
      </c>
      <c r="R578" s="111" t="str">
        <f ca="1">IF(C578="","",R577+(E578+H578-IF(RESULTADOS!$C$17="Normal",I578,0)-J578)/2)</f>
        <v/>
      </c>
      <c r="S578" s="111">
        <f t="shared" ca="1" si="75"/>
        <v>0</v>
      </c>
      <c r="U578" s="131" t="str">
        <f t="shared" ca="1" si="76"/>
        <v/>
      </c>
      <c r="V578" s="131" t="str">
        <f t="shared" ca="1" si="77"/>
        <v/>
      </c>
      <c r="W578" s="111">
        <f ca="1">IF(OR((W577-13/12*Z577)*(1+PREMISSAS!$C$17)&lt;0,W577=""),0,(W577-13/12*Z577)*(1+PREMISSAS!$C$17))</f>
        <v>0</v>
      </c>
      <c r="X578" s="111">
        <f ca="1">IF(OR((X577-13/12*AA577)*(1+PREMISSAS!$C$17)&lt;0,X577=""),0,(X577-13/12*AA577)*(1+PREMISSAS!$C$17))</f>
        <v>0</v>
      </c>
      <c r="Y578" s="111">
        <f t="shared" ca="1" si="78"/>
        <v>0</v>
      </c>
      <c r="Z578" s="134">
        <f t="shared" ca="1" si="79"/>
        <v>0</v>
      </c>
      <c r="AA578" s="134">
        <f t="shared" ca="1" si="72"/>
        <v>0</v>
      </c>
    </row>
    <row r="579" spans="2:27" x14ac:dyDescent="0.3">
      <c r="B579" s="21" t="str">
        <f ca="1">IF(B578="","",IF(EOMONTH(B578,1)&gt;EOMONTH(ELEGIBILIDADE!$E$5,0),"",EOMONTH(B578,1)))</f>
        <v/>
      </c>
      <c r="C579" s="22" t="str">
        <f ca="1">IF(B579="","",IF(MONTH(B579)=1,C578*(1+PREMISSAS!$C$58),C578))</f>
        <v/>
      </c>
      <c r="D579" s="22">
        <f ca="1">IF(RESULTADOS!$C$17="Normal",IFERROR(MAX(C579-PREMISSAS!$C$14,0),0),IF(PREMISSAS!$H$117=0,0,MAX(10*PREMISSAS!$C$39,RESULTADOS!$F$17)))</f>
        <v>0</v>
      </c>
      <c r="E579" s="4">
        <f ca="1">D579*IF(RESULTADOS!$C$17="Normal",RESULTADOS!$C$16,0)</f>
        <v>0</v>
      </c>
      <c r="F579" s="4">
        <f ca="1">IF(D579&lt;&gt;0,PREMISSAS!$N$83,0)</f>
        <v>0</v>
      </c>
      <c r="G579" s="4">
        <f ca="1">IFERROR(IF(RESULTADOS!$C$17="Normal",0,D579)*IF(RESULTADOS!$C$17="Normal",RESULTADOS!$C$18,RESULTADOS!$C$16),0)</f>
        <v>0</v>
      </c>
      <c r="H579" s="4">
        <f ca="1">IF(RESULTADOS!$C$17="Normal",E579,0)</f>
        <v>0</v>
      </c>
      <c r="I579" s="4">
        <f ca="1">(E579+H579+G579)*IFERROR(VLOOKUP(INT(COUNT($B$5:B579)/12),PREMISSAS!$B$62:$C$69,2,FALSE),PREMISSAS!$C$69)</f>
        <v>0</v>
      </c>
      <c r="J579" s="4">
        <f ca="1">D579*IF(RESULTADOS!$C$17="Normal",PREMISSAS!$C$71,0)</f>
        <v>0</v>
      </c>
      <c r="K579" s="87">
        <f ca="1">IFERROR(K578*(1+PREMISSAS!$C$19)+(E579+H579-IF(RESULTADOS!$C$17="Normal",I579,0)-J579)*IF(MONTH(B579)=12,2,1),0)</f>
        <v>0</v>
      </c>
      <c r="L579" s="87">
        <f ca="1">IFERROR((L578+G579-IF(RESULTADOS!$C$17="Normal",0,I579))*(1+PREMISSAS!$C$19)+F579,0)</f>
        <v>0</v>
      </c>
      <c r="N579" s="58">
        <f t="shared" ca="1" si="73"/>
        <v>0</v>
      </c>
      <c r="P579" s="131" t="str">
        <f t="shared" ca="1" si="74"/>
        <v/>
      </c>
      <c r="Q579" s="111" t="str">
        <f ca="1">IF(C579="","",Q578+(E579+H579-IF(RESULTADOS!$C$17="Normal",I579,0)-J579)/2+(F579+G579-IF(RESULTADOS!$C$17="Normal",0,I579)))</f>
        <v/>
      </c>
      <c r="R579" s="111" t="str">
        <f ca="1">IF(C579="","",R578+(E579+H579-IF(RESULTADOS!$C$17="Normal",I579,0)-J579)/2)</f>
        <v/>
      </c>
      <c r="S579" s="111">
        <f t="shared" ca="1" si="75"/>
        <v>0</v>
      </c>
      <c r="U579" s="131" t="str">
        <f t="shared" ca="1" si="76"/>
        <v/>
      </c>
      <c r="V579" s="131" t="str">
        <f t="shared" ca="1" si="77"/>
        <v/>
      </c>
      <c r="W579" s="111">
        <f ca="1">IF(OR((W578-13/12*Z578)*(1+PREMISSAS!$C$17)&lt;0,W578=""),0,(W578-13/12*Z578)*(1+PREMISSAS!$C$17))</f>
        <v>0</v>
      </c>
      <c r="X579" s="111">
        <f ca="1">IF(OR((X578-13/12*AA578)*(1+PREMISSAS!$C$17)&lt;0,X578=""),0,(X578-13/12*AA578)*(1+PREMISSAS!$C$17))</f>
        <v>0</v>
      </c>
      <c r="Y579" s="111">
        <f t="shared" ca="1" si="78"/>
        <v>0</v>
      </c>
      <c r="Z579" s="134">
        <f t="shared" ca="1" si="79"/>
        <v>0</v>
      </c>
      <c r="AA579" s="134">
        <f t="shared" ca="1" si="72"/>
        <v>0</v>
      </c>
    </row>
    <row r="580" spans="2:27" x14ac:dyDescent="0.3">
      <c r="B580" s="21" t="str">
        <f ca="1">IF(B579="","",IF(EOMONTH(B579,1)&gt;EOMONTH(ELEGIBILIDADE!$E$5,0),"",EOMONTH(B579,1)))</f>
        <v/>
      </c>
      <c r="C580" s="22" t="str">
        <f ca="1">IF(B580="","",IF(MONTH(B580)=1,C579*(1+PREMISSAS!$C$58),C579))</f>
        <v/>
      </c>
      <c r="D580" s="22">
        <f ca="1">IF(RESULTADOS!$C$17="Normal",IFERROR(MAX(C580-PREMISSAS!$C$14,0),0),IF(PREMISSAS!$H$117=0,0,MAX(10*PREMISSAS!$C$39,RESULTADOS!$F$17)))</f>
        <v>0</v>
      </c>
      <c r="E580" s="4">
        <f ca="1">D580*IF(RESULTADOS!$C$17="Normal",RESULTADOS!$C$16,0)</f>
        <v>0</v>
      </c>
      <c r="F580" s="4">
        <f ca="1">IF(D580&lt;&gt;0,PREMISSAS!$N$83,0)</f>
        <v>0</v>
      </c>
      <c r="G580" s="4">
        <f ca="1">IFERROR(IF(RESULTADOS!$C$17="Normal",0,D580)*IF(RESULTADOS!$C$17="Normal",RESULTADOS!$C$18,RESULTADOS!$C$16),0)</f>
        <v>0</v>
      </c>
      <c r="H580" s="4">
        <f ca="1">IF(RESULTADOS!$C$17="Normal",E580,0)</f>
        <v>0</v>
      </c>
      <c r="I580" s="4">
        <f ca="1">(E580+H580+G580)*IFERROR(VLOOKUP(INT(COUNT($B$5:B580)/12),PREMISSAS!$B$62:$C$69,2,FALSE),PREMISSAS!$C$69)</f>
        <v>0</v>
      </c>
      <c r="J580" s="4">
        <f ca="1">D580*IF(RESULTADOS!$C$17="Normal",PREMISSAS!$C$71,0)</f>
        <v>0</v>
      </c>
      <c r="K580" s="87">
        <f ca="1">IFERROR(K579*(1+PREMISSAS!$C$19)+(E580+H580-IF(RESULTADOS!$C$17="Normal",I580,0)-J580)*IF(MONTH(B580)=12,2,1),0)</f>
        <v>0</v>
      </c>
      <c r="L580" s="87">
        <f ca="1">IFERROR((L579+G580-IF(RESULTADOS!$C$17="Normal",0,I580))*(1+PREMISSAS!$C$19)+F580,0)</f>
        <v>0</v>
      </c>
      <c r="N580" s="58">
        <f t="shared" ca="1" si="73"/>
        <v>0</v>
      </c>
      <c r="P580" s="131" t="str">
        <f t="shared" ca="1" si="74"/>
        <v/>
      </c>
      <c r="Q580" s="111" t="str">
        <f ca="1">IF(C580="","",Q579+(E580+H580-IF(RESULTADOS!$C$17="Normal",I580,0)-J580)/2+(F580+G580-IF(RESULTADOS!$C$17="Normal",0,I580)))</f>
        <v/>
      </c>
      <c r="R580" s="111" t="str">
        <f ca="1">IF(C580="","",R579+(E580+H580-IF(RESULTADOS!$C$17="Normal",I580,0)-J580)/2)</f>
        <v/>
      </c>
      <c r="S580" s="111">
        <f t="shared" ca="1" si="75"/>
        <v>0</v>
      </c>
      <c r="U580" s="131" t="str">
        <f t="shared" ca="1" si="76"/>
        <v/>
      </c>
      <c r="V580" s="131" t="str">
        <f t="shared" ca="1" si="77"/>
        <v/>
      </c>
      <c r="W580" s="111">
        <f ca="1">IF(OR((W579-13/12*Z579)*(1+PREMISSAS!$C$17)&lt;0,W579=""),0,(W579-13/12*Z579)*(1+PREMISSAS!$C$17))</f>
        <v>0</v>
      </c>
      <c r="X580" s="111">
        <f ca="1">IF(OR((X579-13/12*AA579)*(1+PREMISSAS!$C$17)&lt;0,X579=""),0,(X579-13/12*AA579)*(1+PREMISSAS!$C$17))</f>
        <v>0</v>
      </c>
      <c r="Y580" s="111">
        <f t="shared" ca="1" si="78"/>
        <v>0</v>
      </c>
      <c r="Z580" s="134">
        <f t="shared" ca="1" si="79"/>
        <v>0</v>
      </c>
      <c r="AA580" s="134">
        <f t="shared" ca="1" si="72"/>
        <v>0</v>
      </c>
    </row>
    <row r="581" spans="2:27" x14ac:dyDescent="0.3">
      <c r="B581" s="21" t="str">
        <f ca="1">IF(B580="","",IF(EOMONTH(B580,1)&gt;EOMONTH(ELEGIBILIDADE!$E$5,0),"",EOMONTH(B580,1)))</f>
        <v/>
      </c>
      <c r="C581" s="22" t="str">
        <f ca="1">IF(B581="","",IF(MONTH(B581)=1,C580*(1+PREMISSAS!$C$58),C580))</f>
        <v/>
      </c>
      <c r="D581" s="22">
        <f ca="1">IF(RESULTADOS!$C$17="Normal",IFERROR(MAX(C581-PREMISSAS!$C$14,0),0),IF(PREMISSAS!$H$117=0,0,MAX(10*PREMISSAS!$C$39,RESULTADOS!$F$17)))</f>
        <v>0</v>
      </c>
      <c r="E581" s="4">
        <f ca="1">D581*IF(RESULTADOS!$C$17="Normal",RESULTADOS!$C$16,0)</f>
        <v>0</v>
      </c>
      <c r="F581" s="4">
        <f ca="1">IF(D581&lt;&gt;0,PREMISSAS!$N$83,0)</f>
        <v>0</v>
      </c>
      <c r="G581" s="4">
        <f ca="1">IFERROR(IF(RESULTADOS!$C$17="Normal",0,D581)*IF(RESULTADOS!$C$17="Normal",RESULTADOS!$C$18,RESULTADOS!$C$16),0)</f>
        <v>0</v>
      </c>
      <c r="H581" s="4">
        <f ca="1">IF(RESULTADOS!$C$17="Normal",E581,0)</f>
        <v>0</v>
      </c>
      <c r="I581" s="4">
        <f ca="1">(E581+H581+G581)*IFERROR(VLOOKUP(INT(COUNT($B$5:B581)/12),PREMISSAS!$B$62:$C$69,2,FALSE),PREMISSAS!$C$69)</f>
        <v>0</v>
      </c>
      <c r="J581" s="4">
        <f ca="1">D581*IF(RESULTADOS!$C$17="Normal",PREMISSAS!$C$71,0)</f>
        <v>0</v>
      </c>
      <c r="K581" s="87">
        <f ca="1">IFERROR(K580*(1+PREMISSAS!$C$19)+(E581+H581-IF(RESULTADOS!$C$17="Normal",I581,0)-J581)*IF(MONTH(B581)=12,2,1),0)</f>
        <v>0</v>
      </c>
      <c r="L581" s="87">
        <f ca="1">IFERROR((L580+G581-IF(RESULTADOS!$C$17="Normal",0,I581))*(1+PREMISSAS!$C$19)+F581,0)</f>
        <v>0</v>
      </c>
      <c r="N581" s="58">
        <f t="shared" ca="1" si="73"/>
        <v>0</v>
      </c>
      <c r="P581" s="131" t="str">
        <f t="shared" ca="1" si="74"/>
        <v/>
      </c>
      <c r="Q581" s="111" t="str">
        <f ca="1">IF(C581="","",Q580+(E581+H581-IF(RESULTADOS!$C$17="Normal",I581,0)-J581)/2+(F581+G581-IF(RESULTADOS!$C$17="Normal",0,I581)))</f>
        <v/>
      </c>
      <c r="R581" s="111" t="str">
        <f ca="1">IF(C581="","",R580+(E581+H581-IF(RESULTADOS!$C$17="Normal",I581,0)-J581)/2)</f>
        <v/>
      </c>
      <c r="S581" s="111">
        <f t="shared" ca="1" si="75"/>
        <v>0</v>
      </c>
      <c r="U581" s="131" t="str">
        <f t="shared" ca="1" si="76"/>
        <v/>
      </c>
      <c r="V581" s="131" t="str">
        <f t="shared" ca="1" si="77"/>
        <v/>
      </c>
      <c r="W581" s="111">
        <f ca="1">IF(OR((W580-13/12*Z580)*(1+PREMISSAS!$C$17)&lt;0,W580=""),0,(W580-13/12*Z580)*(1+PREMISSAS!$C$17))</f>
        <v>0</v>
      </c>
      <c r="X581" s="111">
        <f ca="1">IF(OR((X580-13/12*AA580)*(1+PREMISSAS!$C$17)&lt;0,X580=""),0,(X580-13/12*AA580)*(1+PREMISSAS!$C$17))</f>
        <v>0</v>
      </c>
      <c r="Y581" s="111">
        <f t="shared" ca="1" si="78"/>
        <v>0</v>
      </c>
      <c r="Z581" s="134">
        <f t="shared" ca="1" si="79"/>
        <v>0</v>
      </c>
      <c r="AA581" s="134">
        <f t="shared" ca="1" si="72"/>
        <v>0</v>
      </c>
    </row>
    <row r="582" spans="2:27" x14ac:dyDescent="0.3">
      <c r="B582" s="21" t="str">
        <f ca="1">IF(B581="","",IF(EOMONTH(B581,1)&gt;EOMONTH(ELEGIBILIDADE!$E$5,0),"",EOMONTH(B581,1)))</f>
        <v/>
      </c>
      <c r="C582" s="22" t="str">
        <f ca="1">IF(B582="","",IF(MONTH(B582)=1,C581*(1+PREMISSAS!$C$58),C581))</f>
        <v/>
      </c>
      <c r="D582" s="22">
        <f ca="1">IF(RESULTADOS!$C$17="Normal",IFERROR(MAX(C582-PREMISSAS!$C$14,0),0),IF(PREMISSAS!$H$117=0,0,MAX(10*PREMISSAS!$C$39,RESULTADOS!$F$17)))</f>
        <v>0</v>
      </c>
      <c r="E582" s="4">
        <f ca="1">D582*IF(RESULTADOS!$C$17="Normal",RESULTADOS!$C$16,0)</f>
        <v>0</v>
      </c>
      <c r="F582" s="4">
        <f ca="1">IF(D582&lt;&gt;0,PREMISSAS!$N$83,0)</f>
        <v>0</v>
      </c>
      <c r="G582" s="4">
        <f ca="1">IFERROR(IF(RESULTADOS!$C$17="Normal",0,D582)*IF(RESULTADOS!$C$17="Normal",RESULTADOS!$C$18,RESULTADOS!$C$16),0)</f>
        <v>0</v>
      </c>
      <c r="H582" s="4">
        <f ca="1">IF(RESULTADOS!$C$17="Normal",E582,0)</f>
        <v>0</v>
      </c>
      <c r="I582" s="4">
        <f ca="1">(E582+H582+G582)*IFERROR(VLOOKUP(INT(COUNT($B$5:B582)/12),PREMISSAS!$B$62:$C$69,2,FALSE),PREMISSAS!$C$69)</f>
        <v>0</v>
      </c>
      <c r="J582" s="4">
        <f ca="1">D582*IF(RESULTADOS!$C$17="Normal",PREMISSAS!$C$71,0)</f>
        <v>0</v>
      </c>
      <c r="K582" s="87">
        <f ca="1">IFERROR(K581*(1+PREMISSAS!$C$19)+(E582+H582-IF(RESULTADOS!$C$17="Normal",I582,0)-J582)*IF(MONTH(B582)=12,2,1),0)</f>
        <v>0</v>
      </c>
      <c r="L582" s="87">
        <f ca="1">IFERROR((L581+G582-IF(RESULTADOS!$C$17="Normal",0,I582))*(1+PREMISSAS!$C$19)+F582,0)</f>
        <v>0</v>
      </c>
      <c r="N582" s="58">
        <f t="shared" ca="1" si="73"/>
        <v>0</v>
      </c>
      <c r="P582" s="131" t="str">
        <f t="shared" ca="1" si="74"/>
        <v/>
      </c>
      <c r="Q582" s="111" t="str">
        <f ca="1">IF(C582="","",Q581+(E582+H582-IF(RESULTADOS!$C$17="Normal",I582,0)-J582)/2+(F582+G582-IF(RESULTADOS!$C$17="Normal",0,I582)))</f>
        <v/>
      </c>
      <c r="R582" s="111" t="str">
        <f ca="1">IF(C582="","",R581+(E582+H582-IF(RESULTADOS!$C$17="Normal",I582,0)-J582)/2)</f>
        <v/>
      </c>
      <c r="S582" s="111">
        <f t="shared" ca="1" si="75"/>
        <v>0</v>
      </c>
      <c r="U582" s="131" t="str">
        <f t="shared" ca="1" si="76"/>
        <v/>
      </c>
      <c r="V582" s="131" t="str">
        <f t="shared" ca="1" si="77"/>
        <v/>
      </c>
      <c r="W582" s="111">
        <f ca="1">IF(OR((W581-13/12*Z581)*(1+PREMISSAS!$C$17)&lt;0,W581=""),0,(W581-13/12*Z581)*(1+PREMISSAS!$C$17))</f>
        <v>0</v>
      </c>
      <c r="X582" s="111">
        <f ca="1">IF(OR((X581-13/12*AA581)*(1+PREMISSAS!$C$17)&lt;0,X581=""),0,(X581-13/12*AA581)*(1+PREMISSAS!$C$17))</f>
        <v>0</v>
      </c>
      <c r="Y582" s="111">
        <f t="shared" ca="1" si="78"/>
        <v>0</v>
      </c>
      <c r="Z582" s="134">
        <f t="shared" ca="1" si="79"/>
        <v>0</v>
      </c>
      <c r="AA582" s="134">
        <f t="shared" ca="1" si="72"/>
        <v>0</v>
      </c>
    </row>
    <row r="583" spans="2:27" x14ac:dyDescent="0.3">
      <c r="B583" s="21" t="str">
        <f ca="1">IF(B582="","",IF(EOMONTH(B582,1)&gt;EOMONTH(ELEGIBILIDADE!$E$5,0),"",EOMONTH(B582,1)))</f>
        <v/>
      </c>
      <c r="C583" s="22" t="str">
        <f ca="1">IF(B583="","",IF(MONTH(B583)=1,C582*(1+PREMISSAS!$C$58),C582))</f>
        <v/>
      </c>
      <c r="D583" s="22">
        <f ca="1">IF(RESULTADOS!$C$17="Normal",IFERROR(MAX(C583-PREMISSAS!$C$14,0),0),IF(PREMISSAS!$H$117=0,0,MAX(10*PREMISSAS!$C$39,RESULTADOS!$F$17)))</f>
        <v>0</v>
      </c>
      <c r="E583" s="4">
        <f ca="1">D583*IF(RESULTADOS!$C$17="Normal",RESULTADOS!$C$16,0)</f>
        <v>0</v>
      </c>
      <c r="F583" s="4">
        <f ca="1">IF(D583&lt;&gt;0,PREMISSAS!$N$83,0)</f>
        <v>0</v>
      </c>
      <c r="G583" s="4">
        <f ca="1">IFERROR(IF(RESULTADOS!$C$17="Normal",0,D583)*IF(RESULTADOS!$C$17="Normal",RESULTADOS!$C$18,RESULTADOS!$C$16),0)</f>
        <v>0</v>
      </c>
      <c r="H583" s="4">
        <f ca="1">IF(RESULTADOS!$C$17="Normal",E583,0)</f>
        <v>0</v>
      </c>
      <c r="I583" s="4">
        <f ca="1">(E583+H583+G583)*IFERROR(VLOOKUP(INT(COUNT($B$5:B583)/12),PREMISSAS!$B$62:$C$69,2,FALSE),PREMISSAS!$C$69)</f>
        <v>0</v>
      </c>
      <c r="J583" s="4">
        <f ca="1">D583*IF(RESULTADOS!$C$17="Normal",PREMISSAS!$C$71,0)</f>
        <v>0</v>
      </c>
      <c r="K583" s="87">
        <f ca="1">IFERROR(K582*(1+PREMISSAS!$C$19)+(E583+H583-IF(RESULTADOS!$C$17="Normal",I583,0)-J583)*IF(MONTH(B583)=12,2,1),0)</f>
        <v>0</v>
      </c>
      <c r="L583" s="87">
        <f ca="1">IFERROR((L582+G583-IF(RESULTADOS!$C$17="Normal",0,I583))*(1+PREMISSAS!$C$19)+F583,0)</f>
        <v>0</v>
      </c>
      <c r="N583" s="58">
        <f t="shared" ca="1" si="73"/>
        <v>0</v>
      </c>
      <c r="P583" s="131" t="str">
        <f t="shared" ca="1" si="74"/>
        <v/>
      </c>
      <c r="Q583" s="111" t="str">
        <f ca="1">IF(C583="","",Q582+(E583+H583-IF(RESULTADOS!$C$17="Normal",I583,0)-J583)/2+(F583+G583-IF(RESULTADOS!$C$17="Normal",0,I583)))</f>
        <v/>
      </c>
      <c r="R583" s="111" t="str">
        <f ca="1">IF(C583="","",R582+(E583+H583-IF(RESULTADOS!$C$17="Normal",I583,0)-J583)/2)</f>
        <v/>
      </c>
      <c r="S583" s="111">
        <f t="shared" ca="1" si="75"/>
        <v>0</v>
      </c>
      <c r="U583" s="131" t="str">
        <f t="shared" ca="1" si="76"/>
        <v/>
      </c>
      <c r="V583" s="131" t="str">
        <f t="shared" ca="1" si="77"/>
        <v/>
      </c>
      <c r="W583" s="111">
        <f ca="1">IF(OR((W582-13/12*Z582)*(1+PREMISSAS!$C$17)&lt;0,W582=""),0,(W582-13/12*Z582)*(1+PREMISSAS!$C$17))</f>
        <v>0</v>
      </c>
      <c r="X583" s="111">
        <f ca="1">IF(OR((X582-13/12*AA582)*(1+PREMISSAS!$C$17)&lt;0,X582=""),0,(X582-13/12*AA582)*(1+PREMISSAS!$C$17))</f>
        <v>0</v>
      </c>
      <c r="Y583" s="111">
        <f t="shared" ca="1" si="78"/>
        <v>0</v>
      </c>
      <c r="Z583" s="134">
        <f t="shared" ca="1" si="79"/>
        <v>0</v>
      </c>
      <c r="AA583" s="134">
        <f t="shared" ref="AA583:AA646" ca="1" si="80">IF(X583&lt;&gt;0,AA582,0)</f>
        <v>0</v>
      </c>
    </row>
    <row r="584" spans="2:27" x14ac:dyDescent="0.3">
      <c r="B584" s="21" t="str">
        <f ca="1">IF(B583="","",IF(EOMONTH(B583,1)&gt;EOMONTH(ELEGIBILIDADE!$E$5,0),"",EOMONTH(B583,1)))</f>
        <v/>
      </c>
      <c r="C584" s="22" t="str">
        <f ca="1">IF(B584="","",IF(MONTH(B584)=1,C583*(1+PREMISSAS!$C$58),C583))</f>
        <v/>
      </c>
      <c r="D584" s="22">
        <f ca="1">IF(RESULTADOS!$C$17="Normal",IFERROR(MAX(C584-PREMISSAS!$C$14,0),0),IF(PREMISSAS!$H$117=0,0,MAX(10*PREMISSAS!$C$39,RESULTADOS!$F$17)))</f>
        <v>0</v>
      </c>
      <c r="E584" s="4">
        <f ca="1">D584*IF(RESULTADOS!$C$17="Normal",RESULTADOS!$C$16,0)</f>
        <v>0</v>
      </c>
      <c r="F584" s="4">
        <f ca="1">IF(D584&lt;&gt;0,PREMISSAS!$N$83,0)</f>
        <v>0</v>
      </c>
      <c r="G584" s="4">
        <f ca="1">IFERROR(IF(RESULTADOS!$C$17="Normal",0,D584)*IF(RESULTADOS!$C$17="Normal",RESULTADOS!$C$18,RESULTADOS!$C$16),0)</f>
        <v>0</v>
      </c>
      <c r="H584" s="4">
        <f ca="1">IF(RESULTADOS!$C$17="Normal",E584,0)</f>
        <v>0</v>
      </c>
      <c r="I584" s="4">
        <f ca="1">(E584+H584+G584)*IFERROR(VLOOKUP(INT(COUNT($B$5:B584)/12),PREMISSAS!$B$62:$C$69,2,FALSE),PREMISSAS!$C$69)</f>
        <v>0</v>
      </c>
      <c r="J584" s="4">
        <f ca="1">D584*IF(RESULTADOS!$C$17="Normal",PREMISSAS!$C$71,0)</f>
        <v>0</v>
      </c>
      <c r="K584" s="87">
        <f ca="1">IFERROR(K583*(1+PREMISSAS!$C$19)+(E584+H584-IF(RESULTADOS!$C$17="Normal",I584,0)-J584)*IF(MONTH(B584)=12,2,1),0)</f>
        <v>0</v>
      </c>
      <c r="L584" s="87">
        <f ca="1">IFERROR((L583+G584-IF(RESULTADOS!$C$17="Normal",0,I584))*(1+PREMISSAS!$C$19)+F584,0)</f>
        <v>0</v>
      </c>
      <c r="N584" s="58">
        <f t="shared" ca="1" si="73"/>
        <v>0</v>
      </c>
      <c r="P584" s="131" t="str">
        <f t="shared" ca="1" si="74"/>
        <v/>
      </c>
      <c r="Q584" s="111" t="str">
        <f ca="1">IF(C584="","",Q583+(E584+H584-IF(RESULTADOS!$C$17="Normal",I584,0)-J584)/2+(F584+G584-IF(RESULTADOS!$C$17="Normal",0,I584)))</f>
        <v/>
      </c>
      <c r="R584" s="111" t="str">
        <f ca="1">IF(C584="","",R583+(E584+H584-IF(RESULTADOS!$C$17="Normal",I584,0)-J584)/2)</f>
        <v/>
      </c>
      <c r="S584" s="111">
        <f t="shared" ca="1" si="75"/>
        <v>0</v>
      </c>
      <c r="U584" s="131" t="str">
        <f t="shared" ca="1" si="76"/>
        <v/>
      </c>
      <c r="V584" s="131" t="str">
        <f t="shared" ca="1" si="77"/>
        <v/>
      </c>
      <c r="W584" s="111">
        <f ca="1">IF(OR((W583-13/12*Z583)*(1+PREMISSAS!$C$17)&lt;0,W583=""),0,(W583-13/12*Z583)*(1+PREMISSAS!$C$17))</f>
        <v>0</v>
      </c>
      <c r="X584" s="111">
        <f ca="1">IF(OR((X583-13/12*AA583)*(1+PREMISSAS!$C$17)&lt;0,X583=""),0,(X583-13/12*AA583)*(1+PREMISSAS!$C$17))</f>
        <v>0</v>
      </c>
      <c r="Y584" s="111">
        <f t="shared" ca="1" si="78"/>
        <v>0</v>
      </c>
      <c r="Z584" s="134">
        <f t="shared" ca="1" si="79"/>
        <v>0</v>
      </c>
      <c r="AA584" s="134">
        <f t="shared" ca="1" si="80"/>
        <v>0</v>
      </c>
    </row>
    <row r="585" spans="2:27" x14ac:dyDescent="0.3">
      <c r="B585" s="21" t="str">
        <f ca="1">IF(B584="","",IF(EOMONTH(B584,1)&gt;EOMONTH(ELEGIBILIDADE!$E$5,0),"",EOMONTH(B584,1)))</f>
        <v/>
      </c>
      <c r="C585" s="22" t="str">
        <f ca="1">IF(B585="","",IF(MONTH(B585)=1,C584*(1+PREMISSAS!$C$58),C584))</f>
        <v/>
      </c>
      <c r="D585" s="22">
        <f ca="1">IF(RESULTADOS!$C$17="Normal",IFERROR(MAX(C585-PREMISSAS!$C$14,0),0),IF(PREMISSAS!$H$117=0,0,MAX(10*PREMISSAS!$C$39,RESULTADOS!$F$17)))</f>
        <v>0</v>
      </c>
      <c r="E585" s="4">
        <f ca="1">D585*IF(RESULTADOS!$C$17="Normal",RESULTADOS!$C$16,0)</f>
        <v>0</v>
      </c>
      <c r="F585" s="4">
        <f ca="1">IF(D585&lt;&gt;0,PREMISSAS!$N$83,0)</f>
        <v>0</v>
      </c>
      <c r="G585" s="4">
        <f ca="1">IFERROR(IF(RESULTADOS!$C$17="Normal",0,D585)*IF(RESULTADOS!$C$17="Normal",RESULTADOS!$C$18,RESULTADOS!$C$16),0)</f>
        <v>0</v>
      </c>
      <c r="H585" s="4">
        <f ca="1">IF(RESULTADOS!$C$17="Normal",E585,0)</f>
        <v>0</v>
      </c>
      <c r="I585" s="4">
        <f ca="1">(E585+H585+G585)*IFERROR(VLOOKUP(INT(COUNT($B$5:B585)/12),PREMISSAS!$B$62:$C$69,2,FALSE),PREMISSAS!$C$69)</f>
        <v>0</v>
      </c>
      <c r="J585" s="4">
        <f ca="1">D585*IF(RESULTADOS!$C$17="Normal",PREMISSAS!$C$71,0)</f>
        <v>0</v>
      </c>
      <c r="K585" s="87">
        <f ca="1">IFERROR(K584*(1+PREMISSAS!$C$19)+(E585+H585-IF(RESULTADOS!$C$17="Normal",I585,0)-J585)*IF(MONTH(B585)=12,2,1),0)</f>
        <v>0</v>
      </c>
      <c r="L585" s="87">
        <f ca="1">IFERROR((L584+G585-IF(RESULTADOS!$C$17="Normal",0,I585))*(1+PREMISSAS!$C$19)+F585,0)</f>
        <v>0</v>
      </c>
      <c r="N585" s="58">
        <f t="shared" ca="1" si="73"/>
        <v>0</v>
      </c>
      <c r="P585" s="131" t="str">
        <f t="shared" ca="1" si="74"/>
        <v/>
      </c>
      <c r="Q585" s="111" t="str">
        <f ca="1">IF(C585="","",Q584+(E585+H585-IF(RESULTADOS!$C$17="Normal",I585,0)-J585)/2+(F585+G585-IF(RESULTADOS!$C$17="Normal",0,I585)))</f>
        <v/>
      </c>
      <c r="R585" s="111" t="str">
        <f ca="1">IF(C585="","",R584+(E585+H585-IF(RESULTADOS!$C$17="Normal",I585,0)-J585)/2)</f>
        <v/>
      </c>
      <c r="S585" s="111">
        <f t="shared" ca="1" si="75"/>
        <v>0</v>
      </c>
      <c r="U585" s="131" t="str">
        <f t="shared" ca="1" si="76"/>
        <v/>
      </c>
      <c r="V585" s="131" t="str">
        <f t="shared" ca="1" si="77"/>
        <v/>
      </c>
      <c r="W585" s="111">
        <f ca="1">IF(OR((W584-13/12*Z584)*(1+PREMISSAS!$C$17)&lt;0,W584=""),0,(W584-13/12*Z584)*(1+PREMISSAS!$C$17))</f>
        <v>0</v>
      </c>
      <c r="X585" s="111">
        <f ca="1">IF(OR((X584-13/12*AA584)*(1+PREMISSAS!$C$17)&lt;0,X584=""),0,(X584-13/12*AA584)*(1+PREMISSAS!$C$17))</f>
        <v>0</v>
      </c>
      <c r="Y585" s="111">
        <f t="shared" ca="1" si="78"/>
        <v>0</v>
      </c>
      <c r="Z585" s="134">
        <f t="shared" ca="1" si="79"/>
        <v>0</v>
      </c>
      <c r="AA585" s="134">
        <f t="shared" ca="1" si="80"/>
        <v>0</v>
      </c>
    </row>
    <row r="586" spans="2:27" x14ac:dyDescent="0.3">
      <c r="B586" s="21" t="str">
        <f ca="1">IF(B585="","",IF(EOMONTH(B585,1)&gt;EOMONTH(ELEGIBILIDADE!$E$5,0),"",EOMONTH(B585,1)))</f>
        <v/>
      </c>
      <c r="C586" s="22" t="str">
        <f ca="1">IF(B586="","",IF(MONTH(B586)=1,C585*(1+PREMISSAS!$C$58),C585))</f>
        <v/>
      </c>
      <c r="D586" s="22">
        <f ca="1">IF(RESULTADOS!$C$17="Normal",IFERROR(MAX(C586-PREMISSAS!$C$14,0),0),IF(PREMISSAS!$H$117=0,0,MAX(10*PREMISSAS!$C$39,RESULTADOS!$F$17)))</f>
        <v>0</v>
      </c>
      <c r="E586" s="4">
        <f ca="1">D586*IF(RESULTADOS!$C$17="Normal",RESULTADOS!$C$16,0)</f>
        <v>0</v>
      </c>
      <c r="F586" s="4">
        <f ca="1">IF(D586&lt;&gt;0,PREMISSAS!$N$83,0)</f>
        <v>0</v>
      </c>
      <c r="G586" s="4">
        <f ca="1">IFERROR(IF(RESULTADOS!$C$17="Normal",0,D586)*IF(RESULTADOS!$C$17="Normal",RESULTADOS!$C$18,RESULTADOS!$C$16),0)</f>
        <v>0</v>
      </c>
      <c r="H586" s="4">
        <f ca="1">IF(RESULTADOS!$C$17="Normal",E586,0)</f>
        <v>0</v>
      </c>
      <c r="I586" s="4">
        <f ca="1">(E586+H586+G586)*IFERROR(VLOOKUP(INT(COUNT($B$5:B586)/12),PREMISSAS!$B$62:$C$69,2,FALSE),PREMISSAS!$C$69)</f>
        <v>0</v>
      </c>
      <c r="J586" s="4">
        <f ca="1">D586*IF(RESULTADOS!$C$17="Normal",PREMISSAS!$C$71,0)</f>
        <v>0</v>
      </c>
      <c r="K586" s="87">
        <f ca="1">IFERROR(K585*(1+PREMISSAS!$C$19)+(E586+H586-IF(RESULTADOS!$C$17="Normal",I586,0)-J586)*IF(MONTH(B586)=12,2,1),0)</f>
        <v>0</v>
      </c>
      <c r="L586" s="87">
        <f ca="1">IFERROR((L585+G586-IF(RESULTADOS!$C$17="Normal",0,I586))*(1+PREMISSAS!$C$19)+F586,0)</f>
        <v>0</v>
      </c>
      <c r="N586" s="58">
        <f t="shared" ca="1" si="73"/>
        <v>0</v>
      </c>
      <c r="P586" s="131" t="str">
        <f t="shared" ca="1" si="74"/>
        <v/>
      </c>
      <c r="Q586" s="111" t="str">
        <f ca="1">IF(C586="","",Q585+(E586+H586-IF(RESULTADOS!$C$17="Normal",I586,0)-J586)/2+(F586+G586-IF(RESULTADOS!$C$17="Normal",0,I586)))</f>
        <v/>
      </c>
      <c r="R586" s="111" t="str">
        <f ca="1">IF(C586="","",R585+(E586+H586-IF(RESULTADOS!$C$17="Normal",I586,0)-J586)/2)</f>
        <v/>
      </c>
      <c r="S586" s="111">
        <f t="shared" ca="1" si="75"/>
        <v>0</v>
      </c>
      <c r="U586" s="131" t="str">
        <f t="shared" ca="1" si="76"/>
        <v/>
      </c>
      <c r="V586" s="131" t="str">
        <f t="shared" ca="1" si="77"/>
        <v/>
      </c>
      <c r="W586" s="111">
        <f ca="1">IF(OR((W585-13/12*Z585)*(1+PREMISSAS!$C$17)&lt;0,W585=""),0,(W585-13/12*Z585)*(1+PREMISSAS!$C$17))</f>
        <v>0</v>
      </c>
      <c r="X586" s="111">
        <f ca="1">IF(OR((X585-13/12*AA585)*(1+PREMISSAS!$C$17)&lt;0,X585=""),0,(X585-13/12*AA585)*(1+PREMISSAS!$C$17))</f>
        <v>0</v>
      </c>
      <c r="Y586" s="111">
        <f t="shared" ca="1" si="78"/>
        <v>0</v>
      </c>
      <c r="Z586" s="134">
        <f t="shared" ca="1" si="79"/>
        <v>0</v>
      </c>
      <c r="AA586" s="134">
        <f t="shared" ca="1" si="80"/>
        <v>0</v>
      </c>
    </row>
    <row r="587" spans="2:27" x14ac:dyDescent="0.3">
      <c r="B587" s="21" t="str">
        <f ca="1">IF(B586="","",IF(EOMONTH(B586,1)&gt;EOMONTH(ELEGIBILIDADE!$E$5,0),"",EOMONTH(B586,1)))</f>
        <v/>
      </c>
      <c r="C587" s="22" t="str">
        <f ca="1">IF(B587="","",IF(MONTH(B587)=1,C586*(1+PREMISSAS!$C$58),C586))</f>
        <v/>
      </c>
      <c r="D587" s="22">
        <f ca="1">IF(RESULTADOS!$C$17="Normal",IFERROR(MAX(C587-PREMISSAS!$C$14,0),0),IF(PREMISSAS!$H$117=0,0,MAX(10*PREMISSAS!$C$39,RESULTADOS!$F$17)))</f>
        <v>0</v>
      </c>
      <c r="E587" s="4">
        <f ca="1">D587*IF(RESULTADOS!$C$17="Normal",RESULTADOS!$C$16,0)</f>
        <v>0</v>
      </c>
      <c r="F587" s="4">
        <f ca="1">IF(D587&lt;&gt;0,PREMISSAS!$N$83,0)</f>
        <v>0</v>
      </c>
      <c r="G587" s="4">
        <f ca="1">IFERROR(IF(RESULTADOS!$C$17="Normal",0,D587)*IF(RESULTADOS!$C$17="Normal",RESULTADOS!$C$18,RESULTADOS!$C$16),0)</f>
        <v>0</v>
      </c>
      <c r="H587" s="4">
        <f ca="1">IF(RESULTADOS!$C$17="Normal",E587,0)</f>
        <v>0</v>
      </c>
      <c r="I587" s="4">
        <f ca="1">(E587+H587+G587)*IFERROR(VLOOKUP(INT(COUNT($B$5:B587)/12),PREMISSAS!$B$62:$C$69,2,FALSE),PREMISSAS!$C$69)</f>
        <v>0</v>
      </c>
      <c r="J587" s="4">
        <f ca="1">D587*IF(RESULTADOS!$C$17="Normal",PREMISSAS!$C$71,0)</f>
        <v>0</v>
      </c>
      <c r="K587" s="87">
        <f ca="1">IFERROR(K586*(1+PREMISSAS!$C$19)+(E587+H587-IF(RESULTADOS!$C$17="Normal",I587,0)-J587)*IF(MONTH(B587)=12,2,1),0)</f>
        <v>0</v>
      </c>
      <c r="L587" s="87">
        <f ca="1">IFERROR((L586+G587-IF(RESULTADOS!$C$17="Normal",0,I587))*(1+PREMISSAS!$C$19)+F587,0)</f>
        <v>0</v>
      </c>
      <c r="N587" s="58">
        <f t="shared" ca="1" si="73"/>
        <v>0</v>
      </c>
      <c r="P587" s="131" t="str">
        <f t="shared" ca="1" si="74"/>
        <v/>
      </c>
      <c r="Q587" s="111" t="str">
        <f ca="1">IF(C587="","",Q586+(E587+H587-IF(RESULTADOS!$C$17="Normal",I587,0)-J587)/2+(F587+G587-IF(RESULTADOS!$C$17="Normal",0,I587)))</f>
        <v/>
      </c>
      <c r="R587" s="111" t="str">
        <f ca="1">IF(C587="","",R586+(E587+H587-IF(RESULTADOS!$C$17="Normal",I587,0)-J587)/2)</f>
        <v/>
      </c>
      <c r="S587" s="111">
        <f t="shared" ca="1" si="75"/>
        <v>0</v>
      </c>
      <c r="U587" s="131" t="str">
        <f t="shared" ca="1" si="76"/>
        <v/>
      </c>
      <c r="V587" s="131" t="str">
        <f t="shared" ca="1" si="77"/>
        <v/>
      </c>
      <c r="W587" s="111">
        <f ca="1">IF(OR((W586-13/12*Z586)*(1+PREMISSAS!$C$17)&lt;0,W586=""),0,(W586-13/12*Z586)*(1+PREMISSAS!$C$17))</f>
        <v>0</v>
      </c>
      <c r="X587" s="111">
        <f ca="1">IF(OR((X586-13/12*AA586)*(1+PREMISSAS!$C$17)&lt;0,X586=""),0,(X586-13/12*AA586)*(1+PREMISSAS!$C$17))</f>
        <v>0</v>
      </c>
      <c r="Y587" s="111">
        <f t="shared" ca="1" si="78"/>
        <v>0</v>
      </c>
      <c r="Z587" s="134">
        <f t="shared" ca="1" si="79"/>
        <v>0</v>
      </c>
      <c r="AA587" s="134">
        <f t="shared" ca="1" si="80"/>
        <v>0</v>
      </c>
    </row>
    <row r="588" spans="2:27" x14ac:dyDescent="0.3">
      <c r="B588" s="21" t="str">
        <f ca="1">IF(B587="","",IF(EOMONTH(B587,1)&gt;EOMONTH(ELEGIBILIDADE!$E$5,0),"",EOMONTH(B587,1)))</f>
        <v/>
      </c>
      <c r="C588" s="22" t="str">
        <f ca="1">IF(B588="","",IF(MONTH(B588)=1,C587*(1+PREMISSAS!$C$58),C587))</f>
        <v/>
      </c>
      <c r="D588" s="22">
        <f ca="1">IF(RESULTADOS!$C$17="Normal",IFERROR(MAX(C588-PREMISSAS!$C$14,0),0),IF(PREMISSAS!$H$117=0,0,MAX(10*PREMISSAS!$C$39,RESULTADOS!$F$17)))</f>
        <v>0</v>
      </c>
      <c r="E588" s="4">
        <f ca="1">D588*IF(RESULTADOS!$C$17="Normal",RESULTADOS!$C$16,0)</f>
        <v>0</v>
      </c>
      <c r="F588" s="4">
        <f ca="1">IF(D588&lt;&gt;0,PREMISSAS!$N$83,0)</f>
        <v>0</v>
      </c>
      <c r="G588" s="4">
        <f ca="1">IFERROR(IF(RESULTADOS!$C$17="Normal",0,D588)*IF(RESULTADOS!$C$17="Normal",RESULTADOS!$C$18,RESULTADOS!$C$16),0)</f>
        <v>0</v>
      </c>
      <c r="H588" s="4">
        <f ca="1">IF(RESULTADOS!$C$17="Normal",E588,0)</f>
        <v>0</v>
      </c>
      <c r="I588" s="4">
        <f ca="1">(E588+H588+G588)*IFERROR(VLOOKUP(INT(COUNT($B$5:B588)/12),PREMISSAS!$B$62:$C$69,2,FALSE),PREMISSAS!$C$69)</f>
        <v>0</v>
      </c>
      <c r="J588" s="4">
        <f ca="1">D588*IF(RESULTADOS!$C$17="Normal",PREMISSAS!$C$71,0)</f>
        <v>0</v>
      </c>
      <c r="K588" s="87">
        <f ca="1">IFERROR(K587*(1+PREMISSAS!$C$19)+(E588+H588-IF(RESULTADOS!$C$17="Normal",I588,0)-J588)*IF(MONTH(B588)=12,2,1),0)</f>
        <v>0</v>
      </c>
      <c r="L588" s="87">
        <f ca="1">IFERROR((L587+G588-IF(RESULTADOS!$C$17="Normal",0,I588))*(1+PREMISSAS!$C$19)+F588,0)</f>
        <v>0</v>
      </c>
      <c r="N588" s="58">
        <f t="shared" ca="1" si="73"/>
        <v>0</v>
      </c>
      <c r="P588" s="131" t="str">
        <f t="shared" ca="1" si="74"/>
        <v/>
      </c>
      <c r="Q588" s="111" t="str">
        <f ca="1">IF(C588="","",Q587+(E588+H588-IF(RESULTADOS!$C$17="Normal",I588,0)-J588)/2+(F588+G588-IF(RESULTADOS!$C$17="Normal",0,I588)))</f>
        <v/>
      </c>
      <c r="R588" s="111" t="str">
        <f ca="1">IF(C588="","",R587+(E588+H588-IF(RESULTADOS!$C$17="Normal",I588,0)-J588)/2)</f>
        <v/>
      </c>
      <c r="S588" s="111">
        <f t="shared" ca="1" si="75"/>
        <v>0</v>
      </c>
      <c r="U588" s="131" t="str">
        <f t="shared" ca="1" si="76"/>
        <v/>
      </c>
      <c r="V588" s="131" t="str">
        <f t="shared" ca="1" si="77"/>
        <v/>
      </c>
      <c r="W588" s="111">
        <f ca="1">IF(OR((W587-13/12*Z587)*(1+PREMISSAS!$C$17)&lt;0,W587=""),0,(W587-13/12*Z587)*(1+PREMISSAS!$C$17))</f>
        <v>0</v>
      </c>
      <c r="X588" s="111">
        <f ca="1">IF(OR((X587-13/12*AA587)*(1+PREMISSAS!$C$17)&lt;0,X587=""),0,(X587-13/12*AA587)*(1+PREMISSAS!$C$17))</f>
        <v>0</v>
      </c>
      <c r="Y588" s="111">
        <f t="shared" ca="1" si="78"/>
        <v>0</v>
      </c>
      <c r="Z588" s="134">
        <f t="shared" ca="1" si="79"/>
        <v>0</v>
      </c>
      <c r="AA588" s="134">
        <f t="shared" ca="1" si="80"/>
        <v>0</v>
      </c>
    </row>
    <row r="589" spans="2:27" x14ac:dyDescent="0.3">
      <c r="B589" s="21" t="str">
        <f ca="1">IF(B588="","",IF(EOMONTH(B588,1)&gt;EOMONTH(ELEGIBILIDADE!$E$5,0),"",EOMONTH(B588,1)))</f>
        <v/>
      </c>
      <c r="C589" s="22" t="str">
        <f ca="1">IF(B589="","",IF(MONTH(B589)=1,C588*(1+PREMISSAS!$C$58),C588))</f>
        <v/>
      </c>
      <c r="D589" s="22">
        <f ca="1">IF(RESULTADOS!$C$17="Normal",IFERROR(MAX(C589-PREMISSAS!$C$14,0),0),IF(PREMISSAS!$H$117=0,0,MAX(10*PREMISSAS!$C$39,RESULTADOS!$F$17)))</f>
        <v>0</v>
      </c>
      <c r="E589" s="4">
        <f ca="1">D589*IF(RESULTADOS!$C$17="Normal",RESULTADOS!$C$16,0)</f>
        <v>0</v>
      </c>
      <c r="F589" s="4">
        <f ca="1">IF(D589&lt;&gt;0,PREMISSAS!$N$83,0)</f>
        <v>0</v>
      </c>
      <c r="G589" s="4">
        <f ca="1">IFERROR(IF(RESULTADOS!$C$17="Normal",0,D589)*IF(RESULTADOS!$C$17="Normal",RESULTADOS!$C$18,RESULTADOS!$C$16),0)</f>
        <v>0</v>
      </c>
      <c r="H589" s="4">
        <f ca="1">IF(RESULTADOS!$C$17="Normal",E589,0)</f>
        <v>0</v>
      </c>
      <c r="I589" s="4">
        <f ca="1">(E589+H589+G589)*IFERROR(VLOOKUP(INT(COUNT($B$5:B589)/12),PREMISSAS!$B$62:$C$69,2,FALSE),PREMISSAS!$C$69)</f>
        <v>0</v>
      </c>
      <c r="J589" s="4">
        <f ca="1">D589*IF(RESULTADOS!$C$17="Normal",PREMISSAS!$C$71,0)</f>
        <v>0</v>
      </c>
      <c r="K589" s="87">
        <f ca="1">IFERROR(K588*(1+PREMISSAS!$C$19)+(E589+H589-IF(RESULTADOS!$C$17="Normal",I589,0)-J589)*IF(MONTH(B589)=12,2,1),0)</f>
        <v>0</v>
      </c>
      <c r="L589" s="87">
        <f ca="1">IFERROR((L588+G589-IF(RESULTADOS!$C$17="Normal",0,I589))*(1+PREMISSAS!$C$19)+F589,0)</f>
        <v>0</v>
      </c>
      <c r="N589" s="58">
        <f t="shared" ca="1" si="73"/>
        <v>0</v>
      </c>
      <c r="P589" s="131" t="str">
        <f t="shared" ca="1" si="74"/>
        <v/>
      </c>
      <c r="Q589" s="111" t="str">
        <f ca="1">IF(C589="","",Q588+(E589+H589-IF(RESULTADOS!$C$17="Normal",I589,0)-J589)/2+(F589+G589-IF(RESULTADOS!$C$17="Normal",0,I589)))</f>
        <v/>
      </c>
      <c r="R589" s="111" t="str">
        <f ca="1">IF(C589="","",R588+(E589+H589-IF(RESULTADOS!$C$17="Normal",I589,0)-J589)/2)</f>
        <v/>
      </c>
      <c r="S589" s="111">
        <f t="shared" ca="1" si="75"/>
        <v>0</v>
      </c>
      <c r="U589" s="131" t="str">
        <f t="shared" ca="1" si="76"/>
        <v/>
      </c>
      <c r="V589" s="131" t="str">
        <f t="shared" ca="1" si="77"/>
        <v/>
      </c>
      <c r="W589" s="111">
        <f ca="1">IF(OR((W588-13/12*Z588)*(1+PREMISSAS!$C$17)&lt;0,W588=""),0,(W588-13/12*Z588)*(1+PREMISSAS!$C$17))</f>
        <v>0</v>
      </c>
      <c r="X589" s="111">
        <f ca="1">IF(OR((X588-13/12*AA588)*(1+PREMISSAS!$C$17)&lt;0,X588=""),0,(X588-13/12*AA588)*(1+PREMISSAS!$C$17))</f>
        <v>0</v>
      </c>
      <c r="Y589" s="111">
        <f t="shared" ca="1" si="78"/>
        <v>0</v>
      </c>
      <c r="Z589" s="134">
        <f t="shared" ca="1" si="79"/>
        <v>0</v>
      </c>
      <c r="AA589" s="134">
        <f t="shared" ca="1" si="80"/>
        <v>0</v>
      </c>
    </row>
    <row r="590" spans="2:27" x14ac:dyDescent="0.3">
      <c r="B590" s="21" t="str">
        <f ca="1">IF(B589="","",IF(EOMONTH(B589,1)&gt;EOMONTH(ELEGIBILIDADE!$E$5,0),"",EOMONTH(B589,1)))</f>
        <v/>
      </c>
      <c r="C590" s="22" t="str">
        <f ca="1">IF(B590="","",IF(MONTH(B590)=1,C589*(1+PREMISSAS!$C$58),C589))</f>
        <v/>
      </c>
      <c r="D590" s="22">
        <f ca="1">IF(RESULTADOS!$C$17="Normal",IFERROR(MAX(C590-PREMISSAS!$C$14,0),0),IF(PREMISSAS!$H$117=0,0,MAX(10*PREMISSAS!$C$39,RESULTADOS!$F$17)))</f>
        <v>0</v>
      </c>
      <c r="E590" s="4">
        <f ca="1">D590*IF(RESULTADOS!$C$17="Normal",RESULTADOS!$C$16,0)</f>
        <v>0</v>
      </c>
      <c r="F590" s="4">
        <f ca="1">IF(D590&lt;&gt;0,PREMISSAS!$N$83,0)</f>
        <v>0</v>
      </c>
      <c r="G590" s="4">
        <f ca="1">IFERROR(IF(RESULTADOS!$C$17="Normal",0,D590)*IF(RESULTADOS!$C$17="Normal",RESULTADOS!$C$18,RESULTADOS!$C$16),0)</f>
        <v>0</v>
      </c>
      <c r="H590" s="4">
        <f ca="1">IF(RESULTADOS!$C$17="Normal",E590,0)</f>
        <v>0</v>
      </c>
      <c r="I590" s="4">
        <f ca="1">(E590+H590+G590)*IFERROR(VLOOKUP(INT(COUNT($B$5:B590)/12),PREMISSAS!$B$62:$C$69,2,FALSE),PREMISSAS!$C$69)</f>
        <v>0</v>
      </c>
      <c r="J590" s="4">
        <f ca="1">D590*IF(RESULTADOS!$C$17="Normal",PREMISSAS!$C$71,0)</f>
        <v>0</v>
      </c>
      <c r="K590" s="87">
        <f ca="1">IFERROR(K589*(1+PREMISSAS!$C$19)+(E590+H590-IF(RESULTADOS!$C$17="Normal",I590,0)-J590)*IF(MONTH(B590)=12,2,1),0)</f>
        <v>0</v>
      </c>
      <c r="L590" s="87">
        <f ca="1">IFERROR((L589+G590-IF(RESULTADOS!$C$17="Normal",0,I590))*(1+PREMISSAS!$C$19)+F590,0)</f>
        <v>0</v>
      </c>
      <c r="N590" s="58">
        <f t="shared" ca="1" si="73"/>
        <v>0</v>
      </c>
      <c r="P590" s="131" t="str">
        <f t="shared" ca="1" si="74"/>
        <v/>
      </c>
      <c r="Q590" s="111" t="str">
        <f ca="1">IF(C590="","",Q589+(E590+H590-IF(RESULTADOS!$C$17="Normal",I590,0)-J590)/2+(F590+G590-IF(RESULTADOS!$C$17="Normal",0,I590)))</f>
        <v/>
      </c>
      <c r="R590" s="111" t="str">
        <f ca="1">IF(C590="","",R589+(E590+H590-IF(RESULTADOS!$C$17="Normal",I590,0)-J590)/2)</f>
        <v/>
      </c>
      <c r="S590" s="111">
        <f t="shared" ca="1" si="75"/>
        <v>0</v>
      </c>
      <c r="U590" s="131" t="str">
        <f t="shared" ca="1" si="76"/>
        <v/>
      </c>
      <c r="V590" s="131" t="str">
        <f t="shared" ca="1" si="77"/>
        <v/>
      </c>
      <c r="W590" s="111">
        <f ca="1">IF(OR((W589-13/12*Z589)*(1+PREMISSAS!$C$17)&lt;0,W589=""),0,(W589-13/12*Z589)*(1+PREMISSAS!$C$17))</f>
        <v>0</v>
      </c>
      <c r="X590" s="111">
        <f ca="1">IF(OR((X589-13/12*AA589)*(1+PREMISSAS!$C$17)&lt;0,X589=""),0,(X589-13/12*AA589)*(1+PREMISSAS!$C$17))</f>
        <v>0</v>
      </c>
      <c r="Y590" s="111">
        <f t="shared" ca="1" si="78"/>
        <v>0</v>
      </c>
      <c r="Z590" s="134">
        <f t="shared" ca="1" si="79"/>
        <v>0</v>
      </c>
      <c r="AA590" s="134">
        <f t="shared" ca="1" si="80"/>
        <v>0</v>
      </c>
    </row>
    <row r="591" spans="2:27" x14ac:dyDescent="0.3">
      <c r="B591" s="21" t="str">
        <f ca="1">IF(B590="","",IF(EOMONTH(B590,1)&gt;EOMONTH(ELEGIBILIDADE!$E$5,0),"",EOMONTH(B590,1)))</f>
        <v/>
      </c>
      <c r="C591" s="22" t="str">
        <f ca="1">IF(B591="","",IF(MONTH(B591)=1,C590*(1+PREMISSAS!$C$58),C590))</f>
        <v/>
      </c>
      <c r="D591" s="22">
        <f ca="1">IF(RESULTADOS!$C$17="Normal",IFERROR(MAX(C591-PREMISSAS!$C$14,0),0),IF(PREMISSAS!$H$117=0,0,MAX(10*PREMISSAS!$C$39,RESULTADOS!$F$17)))</f>
        <v>0</v>
      </c>
      <c r="E591" s="4">
        <f ca="1">D591*IF(RESULTADOS!$C$17="Normal",RESULTADOS!$C$16,0)</f>
        <v>0</v>
      </c>
      <c r="F591" s="4">
        <f ca="1">IF(D591&lt;&gt;0,PREMISSAS!$N$83,0)</f>
        <v>0</v>
      </c>
      <c r="G591" s="4">
        <f ca="1">IFERROR(IF(RESULTADOS!$C$17="Normal",0,D591)*IF(RESULTADOS!$C$17="Normal",RESULTADOS!$C$18,RESULTADOS!$C$16),0)</f>
        <v>0</v>
      </c>
      <c r="H591" s="4">
        <f ca="1">IF(RESULTADOS!$C$17="Normal",E591,0)</f>
        <v>0</v>
      </c>
      <c r="I591" s="4">
        <f ca="1">(E591+H591+G591)*IFERROR(VLOOKUP(INT(COUNT($B$5:B591)/12),PREMISSAS!$B$62:$C$69,2,FALSE),PREMISSAS!$C$69)</f>
        <v>0</v>
      </c>
      <c r="J591" s="4">
        <f ca="1">D591*IF(RESULTADOS!$C$17="Normal",PREMISSAS!$C$71,0)</f>
        <v>0</v>
      </c>
      <c r="K591" s="87">
        <f ca="1">IFERROR(K590*(1+PREMISSAS!$C$19)+(E591+H591-IF(RESULTADOS!$C$17="Normal",I591,0)-J591)*IF(MONTH(B591)=12,2,1),0)</f>
        <v>0</v>
      </c>
      <c r="L591" s="87">
        <f ca="1">IFERROR((L590+G591-IF(RESULTADOS!$C$17="Normal",0,I591))*(1+PREMISSAS!$C$19)+F591,0)</f>
        <v>0</v>
      </c>
      <c r="N591" s="58">
        <f t="shared" ca="1" si="73"/>
        <v>0</v>
      </c>
      <c r="P591" s="131" t="str">
        <f t="shared" ca="1" si="74"/>
        <v/>
      </c>
      <c r="Q591" s="111" t="str">
        <f ca="1">IF(C591="","",Q590+(E591+H591-IF(RESULTADOS!$C$17="Normal",I591,0)-J591)/2+(F591+G591-IF(RESULTADOS!$C$17="Normal",0,I591)))</f>
        <v/>
      </c>
      <c r="R591" s="111" t="str">
        <f ca="1">IF(C591="","",R590+(E591+H591-IF(RESULTADOS!$C$17="Normal",I591,0)-J591)/2)</f>
        <v/>
      </c>
      <c r="S591" s="111">
        <f t="shared" ca="1" si="75"/>
        <v>0</v>
      </c>
      <c r="U591" s="131" t="str">
        <f t="shared" ca="1" si="76"/>
        <v/>
      </c>
      <c r="V591" s="131" t="str">
        <f t="shared" ca="1" si="77"/>
        <v/>
      </c>
      <c r="W591" s="111">
        <f ca="1">IF(OR((W590-13/12*Z590)*(1+PREMISSAS!$C$17)&lt;0,W590=""),0,(W590-13/12*Z590)*(1+PREMISSAS!$C$17))</f>
        <v>0</v>
      </c>
      <c r="X591" s="111">
        <f ca="1">IF(OR((X590-13/12*AA590)*(1+PREMISSAS!$C$17)&lt;0,X590=""),0,(X590-13/12*AA590)*(1+PREMISSAS!$C$17))</f>
        <v>0</v>
      </c>
      <c r="Y591" s="111">
        <f t="shared" ca="1" si="78"/>
        <v>0</v>
      </c>
      <c r="Z591" s="134">
        <f t="shared" ca="1" si="79"/>
        <v>0</v>
      </c>
      <c r="AA591" s="134">
        <f t="shared" ca="1" si="80"/>
        <v>0</v>
      </c>
    </row>
    <row r="592" spans="2:27" x14ac:dyDescent="0.3">
      <c r="B592" s="21" t="str">
        <f ca="1">IF(B591="","",IF(EOMONTH(B591,1)&gt;EOMONTH(ELEGIBILIDADE!$E$5,0),"",EOMONTH(B591,1)))</f>
        <v/>
      </c>
      <c r="C592" s="22" t="str">
        <f ca="1">IF(B592="","",IF(MONTH(B592)=1,C591*(1+PREMISSAS!$C$58),C591))</f>
        <v/>
      </c>
      <c r="D592" s="22">
        <f ca="1">IF(RESULTADOS!$C$17="Normal",IFERROR(MAX(C592-PREMISSAS!$C$14,0),0),IF(PREMISSAS!$H$117=0,0,MAX(10*PREMISSAS!$C$39,RESULTADOS!$F$17)))</f>
        <v>0</v>
      </c>
      <c r="E592" s="4">
        <f ca="1">D592*IF(RESULTADOS!$C$17="Normal",RESULTADOS!$C$16,0)</f>
        <v>0</v>
      </c>
      <c r="F592" s="4">
        <f ca="1">IF(D592&lt;&gt;0,PREMISSAS!$N$83,0)</f>
        <v>0</v>
      </c>
      <c r="G592" s="4">
        <f ca="1">IFERROR(IF(RESULTADOS!$C$17="Normal",0,D592)*IF(RESULTADOS!$C$17="Normal",RESULTADOS!$C$18,RESULTADOS!$C$16),0)</f>
        <v>0</v>
      </c>
      <c r="H592" s="4">
        <f ca="1">IF(RESULTADOS!$C$17="Normal",E592,0)</f>
        <v>0</v>
      </c>
      <c r="I592" s="4">
        <f ca="1">(E592+H592+G592)*IFERROR(VLOOKUP(INT(COUNT($B$5:B592)/12),PREMISSAS!$B$62:$C$69,2,FALSE),PREMISSAS!$C$69)</f>
        <v>0</v>
      </c>
      <c r="J592" s="4">
        <f ca="1">D592*IF(RESULTADOS!$C$17="Normal",PREMISSAS!$C$71,0)</f>
        <v>0</v>
      </c>
      <c r="K592" s="87">
        <f ca="1">IFERROR(K591*(1+PREMISSAS!$C$19)+(E592+H592-IF(RESULTADOS!$C$17="Normal",I592,0)-J592)*IF(MONTH(B592)=12,2,1),0)</f>
        <v>0</v>
      </c>
      <c r="L592" s="87">
        <f ca="1">IFERROR((L591+G592-IF(RESULTADOS!$C$17="Normal",0,I592))*(1+PREMISSAS!$C$19)+F592,0)</f>
        <v>0</v>
      </c>
      <c r="N592" s="58">
        <f t="shared" ref="N592:N633" ca="1" si="81">IFERROR((E592+F592+G592)/C592,0)</f>
        <v>0</v>
      </c>
      <c r="P592" s="131" t="str">
        <f t="shared" ref="P592:P633" ca="1" si="82">IF(C592="","",B592)</f>
        <v/>
      </c>
      <c r="Q592" s="111" t="str">
        <f ca="1">IF(C592="","",Q591+(E592+H592-IF(RESULTADOS!$C$17="Normal",I592,0)-J592)/2+(F592+G592-IF(RESULTADOS!$C$17="Normal",0,I592)))</f>
        <v/>
      </c>
      <c r="R592" s="111" t="str">
        <f ca="1">IF(C592="","",R591+(E592+H592-IF(RESULTADOS!$C$17="Normal",I592,0)-J592)/2)</f>
        <v/>
      </c>
      <c r="S592" s="111">
        <f t="shared" ref="S592:S633" ca="1" si="83">SUM(K592:L592)-SUM(Q592:R592)</f>
        <v>0</v>
      </c>
      <c r="U592" s="131" t="str">
        <f t="shared" ref="U592:U633" ca="1" si="84">IF(Y592=0,"",EOMONTH(U591,1))</f>
        <v/>
      </c>
      <c r="V592" s="131" t="str">
        <f t="shared" ref="V592:V633" ca="1" si="85">IF(AA592&lt;&gt;"",U592,"")</f>
        <v/>
      </c>
      <c r="W592" s="111">
        <f ca="1">IF(OR((W591-13/12*Z591)*(1+PREMISSAS!$C$17)&lt;0,W591=""),0,(W591-13/12*Z591)*(1+PREMISSAS!$C$17))</f>
        <v>0</v>
      </c>
      <c r="X592" s="111">
        <f ca="1">IF(OR((X591-13/12*AA591)*(1+PREMISSAS!$C$17)&lt;0,X591=""),0,(X591-13/12*AA591)*(1+PREMISSAS!$C$17))</f>
        <v>0</v>
      </c>
      <c r="Y592" s="111">
        <f t="shared" ref="Y592:Y633" ca="1" si="86">SUM(W592:X592)</f>
        <v>0</v>
      </c>
      <c r="Z592" s="134">
        <f t="shared" ref="Z592:Z633" ca="1" si="87">IF(W592&lt;&gt;0,Z591,0)</f>
        <v>0</v>
      </c>
      <c r="AA592" s="134">
        <f t="shared" ca="1" si="80"/>
        <v>0</v>
      </c>
    </row>
    <row r="593" spans="2:27" x14ac:dyDescent="0.3">
      <c r="B593" s="21" t="str">
        <f ca="1">IF(B592="","",IF(EOMONTH(B592,1)&gt;EOMONTH(ELEGIBILIDADE!$E$5,0),"",EOMONTH(B592,1)))</f>
        <v/>
      </c>
      <c r="C593" s="22" t="str">
        <f ca="1">IF(B593="","",IF(MONTH(B593)=1,C592*(1+PREMISSAS!$C$58),C592))</f>
        <v/>
      </c>
      <c r="D593" s="22">
        <f ca="1">IF(RESULTADOS!$C$17="Normal",IFERROR(MAX(C593-PREMISSAS!$C$14,0),0),IF(PREMISSAS!$H$117=0,0,MAX(10*PREMISSAS!$C$39,RESULTADOS!$F$17)))</f>
        <v>0</v>
      </c>
      <c r="E593" s="4">
        <f ca="1">D593*IF(RESULTADOS!$C$17="Normal",RESULTADOS!$C$16,0)</f>
        <v>0</v>
      </c>
      <c r="F593" s="4">
        <f ca="1">IF(D593&lt;&gt;0,PREMISSAS!$N$83,0)</f>
        <v>0</v>
      </c>
      <c r="G593" s="4">
        <f ca="1">IFERROR(IF(RESULTADOS!$C$17="Normal",0,D593)*IF(RESULTADOS!$C$17="Normal",RESULTADOS!$C$18,RESULTADOS!$C$16),0)</f>
        <v>0</v>
      </c>
      <c r="H593" s="4">
        <f ca="1">IF(RESULTADOS!$C$17="Normal",E593,0)</f>
        <v>0</v>
      </c>
      <c r="I593" s="4">
        <f ca="1">(E593+H593+G593)*IFERROR(VLOOKUP(INT(COUNT($B$5:B593)/12),PREMISSAS!$B$62:$C$69,2,FALSE),PREMISSAS!$C$69)</f>
        <v>0</v>
      </c>
      <c r="J593" s="4">
        <f ca="1">D593*IF(RESULTADOS!$C$17="Normal",PREMISSAS!$C$71,0)</f>
        <v>0</v>
      </c>
      <c r="K593" s="87">
        <f ca="1">IFERROR(K592*(1+PREMISSAS!$C$19)+(E593+H593-IF(RESULTADOS!$C$17="Normal",I593,0)-J593)*IF(MONTH(B593)=12,2,1),0)</f>
        <v>0</v>
      </c>
      <c r="L593" s="87">
        <f ca="1">IFERROR((L592+G593-IF(RESULTADOS!$C$17="Normal",0,I593))*(1+PREMISSAS!$C$19)+F593,0)</f>
        <v>0</v>
      </c>
      <c r="N593" s="58">
        <f t="shared" ca="1" si="81"/>
        <v>0</v>
      </c>
      <c r="P593" s="131" t="str">
        <f t="shared" ca="1" si="82"/>
        <v/>
      </c>
      <c r="Q593" s="111" t="str">
        <f ca="1">IF(C593="","",Q592+(E593+H593-IF(RESULTADOS!$C$17="Normal",I593,0)-J593)/2+(F593+G593-IF(RESULTADOS!$C$17="Normal",0,I593)))</f>
        <v/>
      </c>
      <c r="R593" s="111" t="str">
        <f ca="1">IF(C593="","",R592+(E593+H593-IF(RESULTADOS!$C$17="Normal",I593,0)-J593)/2)</f>
        <v/>
      </c>
      <c r="S593" s="111">
        <f t="shared" ca="1" si="83"/>
        <v>0</v>
      </c>
      <c r="U593" s="131" t="str">
        <f t="shared" ca="1" si="84"/>
        <v/>
      </c>
      <c r="V593" s="131" t="str">
        <f t="shared" ca="1" si="85"/>
        <v/>
      </c>
      <c r="W593" s="111">
        <f ca="1">IF(OR((W592-13/12*Z592)*(1+PREMISSAS!$C$17)&lt;0,W592=""),0,(W592-13/12*Z592)*(1+PREMISSAS!$C$17))</f>
        <v>0</v>
      </c>
      <c r="X593" s="111">
        <f ca="1">IF(OR((X592-13/12*AA592)*(1+PREMISSAS!$C$17)&lt;0,X592=""),0,(X592-13/12*AA592)*(1+PREMISSAS!$C$17))</f>
        <v>0</v>
      </c>
      <c r="Y593" s="111">
        <f t="shared" ca="1" si="86"/>
        <v>0</v>
      </c>
      <c r="Z593" s="134">
        <f t="shared" ca="1" si="87"/>
        <v>0</v>
      </c>
      <c r="AA593" s="134">
        <f t="shared" ca="1" si="80"/>
        <v>0</v>
      </c>
    </row>
    <row r="594" spans="2:27" x14ac:dyDescent="0.3">
      <c r="B594" s="21" t="str">
        <f ca="1">IF(B593="","",IF(EOMONTH(B593,1)&gt;EOMONTH(ELEGIBILIDADE!$E$5,0),"",EOMONTH(B593,1)))</f>
        <v/>
      </c>
      <c r="C594" s="22" t="str">
        <f ca="1">IF(B594="","",IF(MONTH(B594)=1,C593*(1+PREMISSAS!$C$58),C593))</f>
        <v/>
      </c>
      <c r="D594" s="22">
        <f ca="1">IF(RESULTADOS!$C$17="Normal",IFERROR(MAX(C594-PREMISSAS!$C$14,0),0),IF(PREMISSAS!$H$117=0,0,MAX(10*PREMISSAS!$C$39,RESULTADOS!$F$17)))</f>
        <v>0</v>
      </c>
      <c r="E594" s="4">
        <f ca="1">D594*IF(RESULTADOS!$C$17="Normal",RESULTADOS!$C$16,0)</f>
        <v>0</v>
      </c>
      <c r="F594" s="4">
        <f ca="1">IF(D594&lt;&gt;0,PREMISSAS!$N$83,0)</f>
        <v>0</v>
      </c>
      <c r="G594" s="4">
        <f ca="1">IFERROR(IF(RESULTADOS!$C$17="Normal",0,D594)*IF(RESULTADOS!$C$17="Normal",RESULTADOS!$C$18,RESULTADOS!$C$16),0)</f>
        <v>0</v>
      </c>
      <c r="H594" s="4">
        <f ca="1">IF(RESULTADOS!$C$17="Normal",E594,0)</f>
        <v>0</v>
      </c>
      <c r="I594" s="4">
        <f ca="1">(E594+H594+G594)*IFERROR(VLOOKUP(INT(COUNT($B$5:B594)/12),PREMISSAS!$B$62:$C$69,2,FALSE),PREMISSAS!$C$69)</f>
        <v>0</v>
      </c>
      <c r="J594" s="4">
        <f ca="1">D594*IF(RESULTADOS!$C$17="Normal",PREMISSAS!$C$71,0)</f>
        <v>0</v>
      </c>
      <c r="K594" s="87">
        <f ca="1">IFERROR(K593*(1+PREMISSAS!$C$19)+(E594+H594-IF(RESULTADOS!$C$17="Normal",I594,0)-J594)*IF(MONTH(B594)=12,2,1),0)</f>
        <v>0</v>
      </c>
      <c r="L594" s="87">
        <f ca="1">IFERROR((L593+G594-IF(RESULTADOS!$C$17="Normal",0,I594))*(1+PREMISSAS!$C$19)+F594,0)</f>
        <v>0</v>
      </c>
      <c r="N594" s="58">
        <f t="shared" ca="1" si="81"/>
        <v>0</v>
      </c>
      <c r="P594" s="131" t="str">
        <f t="shared" ca="1" si="82"/>
        <v/>
      </c>
      <c r="Q594" s="111" t="str">
        <f ca="1">IF(C594="","",Q593+(E594+H594-IF(RESULTADOS!$C$17="Normal",I594,0)-J594)/2+(F594+G594-IF(RESULTADOS!$C$17="Normal",0,I594)))</f>
        <v/>
      </c>
      <c r="R594" s="111" t="str">
        <f ca="1">IF(C594="","",R593+(E594+H594-IF(RESULTADOS!$C$17="Normal",I594,0)-J594)/2)</f>
        <v/>
      </c>
      <c r="S594" s="111">
        <f t="shared" ca="1" si="83"/>
        <v>0</v>
      </c>
      <c r="U594" s="131" t="str">
        <f t="shared" ca="1" si="84"/>
        <v/>
      </c>
      <c r="V594" s="131" t="str">
        <f t="shared" ca="1" si="85"/>
        <v/>
      </c>
      <c r="W594" s="111">
        <f ca="1">IF(OR((W593-13/12*Z593)*(1+PREMISSAS!$C$17)&lt;0,W593=""),0,(W593-13/12*Z593)*(1+PREMISSAS!$C$17))</f>
        <v>0</v>
      </c>
      <c r="X594" s="111">
        <f ca="1">IF(OR((X593-13/12*AA593)*(1+PREMISSAS!$C$17)&lt;0,X593=""),0,(X593-13/12*AA593)*(1+PREMISSAS!$C$17))</f>
        <v>0</v>
      </c>
      <c r="Y594" s="111">
        <f t="shared" ca="1" si="86"/>
        <v>0</v>
      </c>
      <c r="Z594" s="134">
        <f t="shared" ca="1" si="87"/>
        <v>0</v>
      </c>
      <c r="AA594" s="134">
        <f t="shared" ca="1" si="80"/>
        <v>0</v>
      </c>
    </row>
    <row r="595" spans="2:27" x14ac:dyDescent="0.3">
      <c r="B595" s="21" t="str">
        <f ca="1">IF(B594="","",IF(EOMONTH(B594,1)&gt;EOMONTH(ELEGIBILIDADE!$E$5,0),"",EOMONTH(B594,1)))</f>
        <v/>
      </c>
      <c r="C595" s="22" t="str">
        <f ca="1">IF(B595="","",IF(MONTH(B595)=1,C594*(1+PREMISSAS!$C$58),C594))</f>
        <v/>
      </c>
      <c r="D595" s="22">
        <f ca="1">IF(RESULTADOS!$C$17="Normal",IFERROR(MAX(C595-PREMISSAS!$C$14,0),0),IF(PREMISSAS!$H$117=0,0,MAX(10*PREMISSAS!$C$39,RESULTADOS!$F$17)))</f>
        <v>0</v>
      </c>
      <c r="E595" s="4">
        <f ca="1">D595*IF(RESULTADOS!$C$17="Normal",RESULTADOS!$C$16,0)</f>
        <v>0</v>
      </c>
      <c r="F595" s="4">
        <f ca="1">IF(D595&lt;&gt;0,PREMISSAS!$N$83,0)</f>
        <v>0</v>
      </c>
      <c r="G595" s="4">
        <f ca="1">IFERROR(IF(RESULTADOS!$C$17="Normal",0,D595)*IF(RESULTADOS!$C$17="Normal",RESULTADOS!$C$18,RESULTADOS!$C$16),0)</f>
        <v>0</v>
      </c>
      <c r="H595" s="4">
        <f ca="1">IF(RESULTADOS!$C$17="Normal",E595,0)</f>
        <v>0</v>
      </c>
      <c r="I595" s="4">
        <f ca="1">(E595+H595+G595)*IFERROR(VLOOKUP(INT(COUNT($B$5:B595)/12),PREMISSAS!$B$62:$C$69,2,FALSE),PREMISSAS!$C$69)</f>
        <v>0</v>
      </c>
      <c r="J595" s="4">
        <f ca="1">D595*IF(RESULTADOS!$C$17="Normal",PREMISSAS!$C$71,0)</f>
        <v>0</v>
      </c>
      <c r="K595" s="87">
        <f ca="1">IFERROR(K594*(1+PREMISSAS!$C$19)+(E595+H595-IF(RESULTADOS!$C$17="Normal",I595,0)-J595)*IF(MONTH(B595)=12,2,1),0)</f>
        <v>0</v>
      </c>
      <c r="L595" s="87">
        <f ca="1">IFERROR((L594+G595-IF(RESULTADOS!$C$17="Normal",0,I595))*(1+PREMISSAS!$C$19)+F595,0)</f>
        <v>0</v>
      </c>
      <c r="N595" s="58">
        <f t="shared" ca="1" si="81"/>
        <v>0</v>
      </c>
      <c r="P595" s="131" t="str">
        <f t="shared" ca="1" si="82"/>
        <v/>
      </c>
      <c r="Q595" s="111" t="str">
        <f ca="1">IF(C595="","",Q594+(E595+H595-IF(RESULTADOS!$C$17="Normal",I595,0)-J595)/2+(F595+G595-IF(RESULTADOS!$C$17="Normal",0,I595)))</f>
        <v/>
      </c>
      <c r="R595" s="111" t="str">
        <f ca="1">IF(C595="","",R594+(E595+H595-IF(RESULTADOS!$C$17="Normal",I595,0)-J595)/2)</f>
        <v/>
      </c>
      <c r="S595" s="111">
        <f t="shared" ca="1" si="83"/>
        <v>0</v>
      </c>
      <c r="U595" s="131" t="str">
        <f t="shared" ca="1" si="84"/>
        <v/>
      </c>
      <c r="V595" s="131" t="str">
        <f t="shared" ca="1" si="85"/>
        <v/>
      </c>
      <c r="W595" s="111">
        <f ca="1">IF(OR((W594-13/12*Z594)*(1+PREMISSAS!$C$17)&lt;0,W594=""),0,(W594-13/12*Z594)*(1+PREMISSAS!$C$17))</f>
        <v>0</v>
      </c>
      <c r="X595" s="111">
        <f ca="1">IF(OR((X594-13/12*AA594)*(1+PREMISSAS!$C$17)&lt;0,X594=""),0,(X594-13/12*AA594)*(1+PREMISSAS!$C$17))</f>
        <v>0</v>
      </c>
      <c r="Y595" s="111">
        <f t="shared" ca="1" si="86"/>
        <v>0</v>
      </c>
      <c r="Z595" s="134">
        <f t="shared" ca="1" si="87"/>
        <v>0</v>
      </c>
      <c r="AA595" s="134">
        <f t="shared" ca="1" si="80"/>
        <v>0</v>
      </c>
    </row>
    <row r="596" spans="2:27" x14ac:dyDescent="0.3">
      <c r="B596" s="21" t="str">
        <f ca="1">IF(B595="","",IF(EOMONTH(B595,1)&gt;EOMONTH(ELEGIBILIDADE!$E$5,0),"",EOMONTH(B595,1)))</f>
        <v/>
      </c>
      <c r="C596" s="22" t="str">
        <f ca="1">IF(B596="","",IF(MONTH(B596)=1,C595*(1+PREMISSAS!$C$58),C595))</f>
        <v/>
      </c>
      <c r="D596" s="22">
        <f ca="1">IF(RESULTADOS!$C$17="Normal",IFERROR(MAX(C596-PREMISSAS!$C$14,0),0),IF(PREMISSAS!$H$117=0,0,MAX(10*PREMISSAS!$C$39,RESULTADOS!$F$17)))</f>
        <v>0</v>
      </c>
      <c r="E596" s="4">
        <f ca="1">D596*IF(RESULTADOS!$C$17="Normal",RESULTADOS!$C$16,0)</f>
        <v>0</v>
      </c>
      <c r="F596" s="4">
        <f ca="1">IF(D596&lt;&gt;0,PREMISSAS!$N$83,0)</f>
        <v>0</v>
      </c>
      <c r="G596" s="4">
        <f ca="1">IFERROR(IF(RESULTADOS!$C$17="Normal",0,D596)*IF(RESULTADOS!$C$17="Normal",RESULTADOS!$C$18,RESULTADOS!$C$16),0)</f>
        <v>0</v>
      </c>
      <c r="H596" s="4">
        <f ca="1">IF(RESULTADOS!$C$17="Normal",E596,0)</f>
        <v>0</v>
      </c>
      <c r="I596" s="4">
        <f ca="1">(E596+H596+G596)*IFERROR(VLOOKUP(INT(COUNT($B$5:B596)/12),PREMISSAS!$B$62:$C$69,2,FALSE),PREMISSAS!$C$69)</f>
        <v>0</v>
      </c>
      <c r="J596" s="4">
        <f ca="1">D596*IF(RESULTADOS!$C$17="Normal",PREMISSAS!$C$71,0)</f>
        <v>0</v>
      </c>
      <c r="K596" s="87">
        <f ca="1">IFERROR(K595*(1+PREMISSAS!$C$19)+(E596+H596-IF(RESULTADOS!$C$17="Normal",I596,0)-J596)*IF(MONTH(B596)=12,2,1),0)</f>
        <v>0</v>
      </c>
      <c r="L596" s="87">
        <f ca="1">IFERROR((L595+G596-IF(RESULTADOS!$C$17="Normal",0,I596))*(1+PREMISSAS!$C$19)+F596,0)</f>
        <v>0</v>
      </c>
      <c r="N596" s="58">
        <f t="shared" ca="1" si="81"/>
        <v>0</v>
      </c>
      <c r="P596" s="131" t="str">
        <f t="shared" ca="1" si="82"/>
        <v/>
      </c>
      <c r="Q596" s="111" t="str">
        <f ca="1">IF(C596="","",Q595+(E596+H596-IF(RESULTADOS!$C$17="Normal",I596,0)-J596)/2+(F596+G596-IF(RESULTADOS!$C$17="Normal",0,I596)))</f>
        <v/>
      </c>
      <c r="R596" s="111" t="str">
        <f ca="1">IF(C596="","",R595+(E596+H596-IF(RESULTADOS!$C$17="Normal",I596,0)-J596)/2)</f>
        <v/>
      </c>
      <c r="S596" s="111">
        <f t="shared" ca="1" si="83"/>
        <v>0</v>
      </c>
      <c r="U596" s="131" t="str">
        <f t="shared" ca="1" si="84"/>
        <v/>
      </c>
      <c r="V596" s="131" t="str">
        <f t="shared" ca="1" si="85"/>
        <v/>
      </c>
      <c r="W596" s="111">
        <f ca="1">IF(OR((W595-13/12*Z595)*(1+PREMISSAS!$C$17)&lt;0,W595=""),0,(W595-13/12*Z595)*(1+PREMISSAS!$C$17))</f>
        <v>0</v>
      </c>
      <c r="X596" s="111">
        <f ca="1">IF(OR((X595-13/12*AA595)*(1+PREMISSAS!$C$17)&lt;0,X595=""),0,(X595-13/12*AA595)*(1+PREMISSAS!$C$17))</f>
        <v>0</v>
      </c>
      <c r="Y596" s="111">
        <f t="shared" ca="1" si="86"/>
        <v>0</v>
      </c>
      <c r="Z596" s="134">
        <f t="shared" ca="1" si="87"/>
        <v>0</v>
      </c>
      <c r="AA596" s="134">
        <f t="shared" ca="1" si="80"/>
        <v>0</v>
      </c>
    </row>
    <row r="597" spans="2:27" x14ac:dyDescent="0.3">
      <c r="B597" s="21" t="str">
        <f ca="1">IF(B596="","",IF(EOMONTH(B596,1)&gt;EOMONTH(ELEGIBILIDADE!$E$5,0),"",EOMONTH(B596,1)))</f>
        <v/>
      </c>
      <c r="C597" s="22" t="str">
        <f ca="1">IF(B597="","",IF(MONTH(B597)=1,C596*(1+PREMISSAS!$C$58),C596))</f>
        <v/>
      </c>
      <c r="D597" s="22">
        <f ca="1">IF(RESULTADOS!$C$17="Normal",IFERROR(MAX(C597-PREMISSAS!$C$14,0),0),IF(PREMISSAS!$H$117=0,0,MAX(10*PREMISSAS!$C$39,RESULTADOS!$F$17)))</f>
        <v>0</v>
      </c>
      <c r="E597" s="4">
        <f ca="1">D597*IF(RESULTADOS!$C$17="Normal",RESULTADOS!$C$16,0)</f>
        <v>0</v>
      </c>
      <c r="F597" s="4">
        <f ca="1">IF(D597&lt;&gt;0,PREMISSAS!$N$83,0)</f>
        <v>0</v>
      </c>
      <c r="G597" s="4">
        <f ca="1">IFERROR(IF(RESULTADOS!$C$17="Normal",0,D597)*IF(RESULTADOS!$C$17="Normal",RESULTADOS!$C$18,RESULTADOS!$C$16),0)</f>
        <v>0</v>
      </c>
      <c r="H597" s="4">
        <f ca="1">IF(RESULTADOS!$C$17="Normal",E597,0)</f>
        <v>0</v>
      </c>
      <c r="I597" s="4">
        <f ca="1">(E597+H597+G597)*IFERROR(VLOOKUP(INT(COUNT($B$5:B597)/12),PREMISSAS!$B$62:$C$69,2,FALSE),PREMISSAS!$C$69)</f>
        <v>0</v>
      </c>
      <c r="J597" s="4">
        <f ca="1">D597*IF(RESULTADOS!$C$17="Normal",PREMISSAS!$C$71,0)</f>
        <v>0</v>
      </c>
      <c r="K597" s="87">
        <f ca="1">IFERROR(K596*(1+PREMISSAS!$C$19)+(E597+H597-IF(RESULTADOS!$C$17="Normal",I597,0)-J597)*IF(MONTH(B597)=12,2,1),0)</f>
        <v>0</v>
      </c>
      <c r="L597" s="87">
        <f ca="1">IFERROR((L596+G597-IF(RESULTADOS!$C$17="Normal",0,I597))*(1+PREMISSAS!$C$19)+F597,0)</f>
        <v>0</v>
      </c>
      <c r="N597" s="58">
        <f t="shared" ca="1" si="81"/>
        <v>0</v>
      </c>
      <c r="P597" s="131" t="str">
        <f t="shared" ca="1" si="82"/>
        <v/>
      </c>
      <c r="Q597" s="111" t="str">
        <f ca="1">IF(C597="","",Q596+(E597+H597-IF(RESULTADOS!$C$17="Normal",I597,0)-J597)/2+(F597+G597-IF(RESULTADOS!$C$17="Normal",0,I597)))</f>
        <v/>
      </c>
      <c r="R597" s="111" t="str">
        <f ca="1">IF(C597="","",R596+(E597+H597-IF(RESULTADOS!$C$17="Normal",I597,0)-J597)/2)</f>
        <v/>
      </c>
      <c r="S597" s="111">
        <f t="shared" ca="1" si="83"/>
        <v>0</v>
      </c>
      <c r="U597" s="131" t="str">
        <f t="shared" ca="1" si="84"/>
        <v/>
      </c>
      <c r="V597" s="131" t="str">
        <f t="shared" ca="1" si="85"/>
        <v/>
      </c>
      <c r="W597" s="111">
        <f ca="1">IF(OR((W596-13/12*Z596)*(1+PREMISSAS!$C$17)&lt;0,W596=""),0,(W596-13/12*Z596)*(1+PREMISSAS!$C$17))</f>
        <v>0</v>
      </c>
      <c r="X597" s="111">
        <f ca="1">IF(OR((X596-13/12*AA596)*(1+PREMISSAS!$C$17)&lt;0,X596=""),0,(X596-13/12*AA596)*(1+PREMISSAS!$C$17))</f>
        <v>0</v>
      </c>
      <c r="Y597" s="111">
        <f t="shared" ca="1" si="86"/>
        <v>0</v>
      </c>
      <c r="Z597" s="134">
        <f t="shared" ca="1" si="87"/>
        <v>0</v>
      </c>
      <c r="AA597" s="134">
        <f t="shared" ca="1" si="80"/>
        <v>0</v>
      </c>
    </row>
    <row r="598" spans="2:27" x14ac:dyDescent="0.3">
      <c r="B598" s="21" t="str">
        <f ca="1">IF(B597="","",IF(EOMONTH(B597,1)&gt;EOMONTH(ELEGIBILIDADE!$E$5,0),"",EOMONTH(B597,1)))</f>
        <v/>
      </c>
      <c r="C598" s="22" t="str">
        <f ca="1">IF(B598="","",IF(MONTH(B598)=1,C597*(1+PREMISSAS!$C$58),C597))</f>
        <v/>
      </c>
      <c r="D598" s="22">
        <f ca="1">IF(RESULTADOS!$C$17="Normal",IFERROR(MAX(C598-PREMISSAS!$C$14,0),0),IF(PREMISSAS!$H$117=0,0,MAX(10*PREMISSAS!$C$39,RESULTADOS!$F$17)))</f>
        <v>0</v>
      </c>
      <c r="E598" s="4">
        <f ca="1">D598*IF(RESULTADOS!$C$17="Normal",RESULTADOS!$C$16,0)</f>
        <v>0</v>
      </c>
      <c r="F598" s="4">
        <f ca="1">IF(D598&lt;&gt;0,PREMISSAS!$N$83,0)</f>
        <v>0</v>
      </c>
      <c r="G598" s="4">
        <f ca="1">IFERROR(IF(RESULTADOS!$C$17="Normal",0,D598)*IF(RESULTADOS!$C$17="Normal",RESULTADOS!$C$18,RESULTADOS!$C$16),0)</f>
        <v>0</v>
      </c>
      <c r="H598" s="4">
        <f ca="1">IF(RESULTADOS!$C$17="Normal",E598,0)</f>
        <v>0</v>
      </c>
      <c r="I598" s="4">
        <f ca="1">(E598+H598+G598)*IFERROR(VLOOKUP(INT(COUNT($B$5:B598)/12),PREMISSAS!$B$62:$C$69,2,FALSE),PREMISSAS!$C$69)</f>
        <v>0</v>
      </c>
      <c r="J598" s="4">
        <f ca="1">D598*IF(RESULTADOS!$C$17="Normal",PREMISSAS!$C$71,0)</f>
        <v>0</v>
      </c>
      <c r="K598" s="87">
        <f ca="1">IFERROR(K597*(1+PREMISSAS!$C$19)+(E598+H598-IF(RESULTADOS!$C$17="Normal",I598,0)-J598)*IF(MONTH(B598)=12,2,1),0)</f>
        <v>0</v>
      </c>
      <c r="L598" s="87">
        <f ca="1">IFERROR((L597+G598-IF(RESULTADOS!$C$17="Normal",0,I598))*(1+PREMISSAS!$C$19)+F598,0)</f>
        <v>0</v>
      </c>
      <c r="N598" s="58">
        <f t="shared" ca="1" si="81"/>
        <v>0</v>
      </c>
      <c r="P598" s="131" t="str">
        <f t="shared" ca="1" si="82"/>
        <v/>
      </c>
      <c r="Q598" s="111" t="str">
        <f ca="1">IF(C598="","",Q597+(E598+H598-IF(RESULTADOS!$C$17="Normal",I598,0)-J598)/2+(F598+G598-IF(RESULTADOS!$C$17="Normal",0,I598)))</f>
        <v/>
      </c>
      <c r="R598" s="111" t="str">
        <f ca="1">IF(C598="","",R597+(E598+H598-IF(RESULTADOS!$C$17="Normal",I598,0)-J598)/2)</f>
        <v/>
      </c>
      <c r="S598" s="111">
        <f t="shared" ca="1" si="83"/>
        <v>0</v>
      </c>
      <c r="U598" s="131" t="str">
        <f t="shared" ca="1" si="84"/>
        <v/>
      </c>
      <c r="V598" s="131" t="str">
        <f t="shared" ca="1" si="85"/>
        <v/>
      </c>
      <c r="W598" s="111">
        <f ca="1">IF(OR((W597-13/12*Z597)*(1+PREMISSAS!$C$17)&lt;0,W597=""),0,(W597-13/12*Z597)*(1+PREMISSAS!$C$17))</f>
        <v>0</v>
      </c>
      <c r="X598" s="111">
        <f ca="1">IF(OR((X597-13/12*AA597)*(1+PREMISSAS!$C$17)&lt;0,X597=""),0,(X597-13/12*AA597)*(1+PREMISSAS!$C$17))</f>
        <v>0</v>
      </c>
      <c r="Y598" s="111">
        <f t="shared" ca="1" si="86"/>
        <v>0</v>
      </c>
      <c r="Z598" s="134">
        <f t="shared" ca="1" si="87"/>
        <v>0</v>
      </c>
      <c r="AA598" s="134">
        <f t="shared" ca="1" si="80"/>
        <v>0</v>
      </c>
    </row>
    <row r="599" spans="2:27" x14ac:dyDescent="0.3">
      <c r="B599" s="21" t="str">
        <f ca="1">IF(B598="","",IF(EOMONTH(B598,1)&gt;EOMONTH(ELEGIBILIDADE!$E$5,0),"",EOMONTH(B598,1)))</f>
        <v/>
      </c>
      <c r="C599" s="22" t="str">
        <f ca="1">IF(B599="","",IF(MONTH(B599)=1,C598*(1+PREMISSAS!$C$58),C598))</f>
        <v/>
      </c>
      <c r="D599" s="22">
        <f ca="1">IF(RESULTADOS!$C$17="Normal",IFERROR(MAX(C599-PREMISSAS!$C$14,0),0),IF(PREMISSAS!$H$117=0,0,MAX(10*PREMISSAS!$C$39,RESULTADOS!$F$17)))</f>
        <v>0</v>
      </c>
      <c r="E599" s="4">
        <f ca="1">D599*IF(RESULTADOS!$C$17="Normal",RESULTADOS!$C$16,0)</f>
        <v>0</v>
      </c>
      <c r="F599" s="4">
        <f ca="1">IF(D599&lt;&gt;0,PREMISSAS!$N$83,0)</f>
        <v>0</v>
      </c>
      <c r="G599" s="4">
        <f ca="1">IFERROR(IF(RESULTADOS!$C$17="Normal",0,D599)*IF(RESULTADOS!$C$17="Normal",RESULTADOS!$C$18,RESULTADOS!$C$16),0)</f>
        <v>0</v>
      </c>
      <c r="H599" s="4">
        <f ca="1">IF(RESULTADOS!$C$17="Normal",E599,0)</f>
        <v>0</v>
      </c>
      <c r="I599" s="4">
        <f ca="1">(E599+H599+G599)*IFERROR(VLOOKUP(INT(COUNT($B$5:B599)/12),PREMISSAS!$B$62:$C$69,2,FALSE),PREMISSAS!$C$69)</f>
        <v>0</v>
      </c>
      <c r="J599" s="4">
        <f ca="1">D599*IF(RESULTADOS!$C$17="Normal",PREMISSAS!$C$71,0)</f>
        <v>0</v>
      </c>
      <c r="K599" s="87">
        <f ca="1">IFERROR(K598*(1+PREMISSAS!$C$19)+(E599+H599-IF(RESULTADOS!$C$17="Normal",I599,0)-J599)*IF(MONTH(B599)=12,2,1),0)</f>
        <v>0</v>
      </c>
      <c r="L599" s="87">
        <f ca="1">IFERROR((L598+G599-IF(RESULTADOS!$C$17="Normal",0,I599))*(1+PREMISSAS!$C$19)+F599,0)</f>
        <v>0</v>
      </c>
      <c r="N599" s="58">
        <f t="shared" ca="1" si="81"/>
        <v>0</v>
      </c>
      <c r="P599" s="131" t="str">
        <f t="shared" ca="1" si="82"/>
        <v/>
      </c>
      <c r="Q599" s="111" t="str">
        <f ca="1">IF(C599="","",Q598+(E599+H599-IF(RESULTADOS!$C$17="Normal",I599,0)-J599)/2+(F599+G599-IF(RESULTADOS!$C$17="Normal",0,I599)))</f>
        <v/>
      </c>
      <c r="R599" s="111" t="str">
        <f ca="1">IF(C599="","",R598+(E599+H599-IF(RESULTADOS!$C$17="Normal",I599,0)-J599)/2)</f>
        <v/>
      </c>
      <c r="S599" s="111">
        <f t="shared" ca="1" si="83"/>
        <v>0</v>
      </c>
      <c r="U599" s="131" t="str">
        <f t="shared" ca="1" si="84"/>
        <v/>
      </c>
      <c r="V599" s="131" t="str">
        <f t="shared" ca="1" si="85"/>
        <v/>
      </c>
      <c r="W599" s="111">
        <f ca="1">IF(OR((W598-13/12*Z598)*(1+PREMISSAS!$C$17)&lt;0,W598=""),0,(W598-13/12*Z598)*(1+PREMISSAS!$C$17))</f>
        <v>0</v>
      </c>
      <c r="X599" s="111">
        <f ca="1">IF(OR((X598-13/12*AA598)*(1+PREMISSAS!$C$17)&lt;0,X598=""),0,(X598-13/12*AA598)*(1+PREMISSAS!$C$17))</f>
        <v>0</v>
      </c>
      <c r="Y599" s="111">
        <f t="shared" ca="1" si="86"/>
        <v>0</v>
      </c>
      <c r="Z599" s="134">
        <f t="shared" ca="1" si="87"/>
        <v>0</v>
      </c>
      <c r="AA599" s="134">
        <f t="shared" ca="1" si="80"/>
        <v>0</v>
      </c>
    </row>
    <row r="600" spans="2:27" x14ac:dyDescent="0.3">
      <c r="B600" s="21" t="str">
        <f ca="1">IF(B599="","",IF(EOMONTH(B599,1)&gt;EOMONTH(ELEGIBILIDADE!$E$5,0),"",EOMONTH(B599,1)))</f>
        <v/>
      </c>
      <c r="C600" s="22" t="str">
        <f ca="1">IF(B600="","",IF(MONTH(B600)=1,C599*(1+PREMISSAS!$C$58),C599))</f>
        <v/>
      </c>
      <c r="D600" s="22">
        <f ca="1">IF(RESULTADOS!$C$17="Normal",IFERROR(MAX(C600-PREMISSAS!$C$14,0),0),IF(PREMISSAS!$H$117=0,0,MAX(10*PREMISSAS!$C$39,RESULTADOS!$F$17)))</f>
        <v>0</v>
      </c>
      <c r="E600" s="4">
        <f ca="1">D600*IF(RESULTADOS!$C$17="Normal",RESULTADOS!$C$16,0)</f>
        <v>0</v>
      </c>
      <c r="F600" s="4">
        <f ca="1">IF(D600&lt;&gt;0,PREMISSAS!$N$83,0)</f>
        <v>0</v>
      </c>
      <c r="G600" s="4">
        <f ca="1">IFERROR(IF(RESULTADOS!$C$17="Normal",0,D600)*IF(RESULTADOS!$C$17="Normal",RESULTADOS!$C$18,RESULTADOS!$C$16),0)</f>
        <v>0</v>
      </c>
      <c r="H600" s="4">
        <f ca="1">IF(RESULTADOS!$C$17="Normal",E600,0)</f>
        <v>0</v>
      </c>
      <c r="I600" s="4">
        <f ca="1">(E600+H600+G600)*IFERROR(VLOOKUP(INT(COUNT($B$5:B600)/12),PREMISSAS!$B$62:$C$69,2,FALSE),PREMISSAS!$C$69)</f>
        <v>0</v>
      </c>
      <c r="J600" s="4">
        <f ca="1">D600*IF(RESULTADOS!$C$17="Normal",PREMISSAS!$C$71,0)</f>
        <v>0</v>
      </c>
      <c r="K600" s="87">
        <f ca="1">IFERROR(K599*(1+PREMISSAS!$C$19)+(E600+H600-IF(RESULTADOS!$C$17="Normal",I600,0)-J600)*IF(MONTH(B600)=12,2,1),0)</f>
        <v>0</v>
      </c>
      <c r="L600" s="87">
        <f ca="1">IFERROR((L599+G600-IF(RESULTADOS!$C$17="Normal",0,I600))*(1+PREMISSAS!$C$19)+F600,0)</f>
        <v>0</v>
      </c>
      <c r="N600" s="58">
        <f t="shared" ca="1" si="81"/>
        <v>0</v>
      </c>
      <c r="P600" s="131" t="str">
        <f t="shared" ca="1" si="82"/>
        <v/>
      </c>
      <c r="Q600" s="111" t="str">
        <f ca="1">IF(C600="","",Q599+(E600+H600-IF(RESULTADOS!$C$17="Normal",I600,0)-J600)/2+(F600+G600-IF(RESULTADOS!$C$17="Normal",0,I600)))</f>
        <v/>
      </c>
      <c r="R600" s="111" t="str">
        <f ca="1">IF(C600="","",R599+(E600+H600-IF(RESULTADOS!$C$17="Normal",I600,0)-J600)/2)</f>
        <v/>
      </c>
      <c r="S600" s="111">
        <f t="shared" ca="1" si="83"/>
        <v>0</v>
      </c>
      <c r="U600" s="131" t="str">
        <f t="shared" ca="1" si="84"/>
        <v/>
      </c>
      <c r="V600" s="131" t="str">
        <f t="shared" ca="1" si="85"/>
        <v/>
      </c>
      <c r="W600" s="111">
        <f ca="1">IF(OR((W599-13/12*Z599)*(1+PREMISSAS!$C$17)&lt;0,W599=""),0,(W599-13/12*Z599)*(1+PREMISSAS!$C$17))</f>
        <v>0</v>
      </c>
      <c r="X600" s="111">
        <f ca="1">IF(OR((X599-13/12*AA599)*(1+PREMISSAS!$C$17)&lt;0,X599=""),0,(X599-13/12*AA599)*(1+PREMISSAS!$C$17))</f>
        <v>0</v>
      </c>
      <c r="Y600" s="111">
        <f t="shared" ca="1" si="86"/>
        <v>0</v>
      </c>
      <c r="Z600" s="134">
        <f t="shared" ca="1" si="87"/>
        <v>0</v>
      </c>
      <c r="AA600" s="134">
        <f t="shared" ca="1" si="80"/>
        <v>0</v>
      </c>
    </row>
    <row r="601" spans="2:27" x14ac:dyDescent="0.3">
      <c r="B601" s="21" t="str">
        <f ca="1">IF(B600="","",IF(EOMONTH(B600,1)&gt;EOMONTH(ELEGIBILIDADE!$E$5,0),"",EOMONTH(B600,1)))</f>
        <v/>
      </c>
      <c r="C601" s="22" t="str">
        <f ca="1">IF(B601="","",IF(MONTH(B601)=1,C600*(1+PREMISSAS!$C$58),C600))</f>
        <v/>
      </c>
      <c r="D601" s="22">
        <f ca="1">IF(RESULTADOS!$C$17="Normal",IFERROR(MAX(C601-PREMISSAS!$C$14,0),0),IF(PREMISSAS!$H$117=0,0,MAX(10*PREMISSAS!$C$39,RESULTADOS!$F$17)))</f>
        <v>0</v>
      </c>
      <c r="E601" s="4">
        <f ca="1">D601*IF(RESULTADOS!$C$17="Normal",RESULTADOS!$C$16,0)</f>
        <v>0</v>
      </c>
      <c r="F601" s="4">
        <f ca="1">IF(D601&lt;&gt;0,PREMISSAS!$N$83,0)</f>
        <v>0</v>
      </c>
      <c r="G601" s="4">
        <f ca="1">IFERROR(IF(RESULTADOS!$C$17="Normal",0,D601)*IF(RESULTADOS!$C$17="Normal",RESULTADOS!$C$18,RESULTADOS!$C$16),0)</f>
        <v>0</v>
      </c>
      <c r="H601" s="4">
        <f ca="1">IF(RESULTADOS!$C$17="Normal",E601,0)</f>
        <v>0</v>
      </c>
      <c r="I601" s="4">
        <f ca="1">(E601+H601+G601)*IFERROR(VLOOKUP(INT(COUNT($B$5:B601)/12),PREMISSAS!$B$62:$C$69,2,FALSE),PREMISSAS!$C$69)</f>
        <v>0</v>
      </c>
      <c r="J601" s="4">
        <f ca="1">D601*IF(RESULTADOS!$C$17="Normal",PREMISSAS!$C$71,0)</f>
        <v>0</v>
      </c>
      <c r="K601" s="87">
        <f ca="1">IFERROR(K600*(1+PREMISSAS!$C$19)+(E601+H601-IF(RESULTADOS!$C$17="Normal",I601,0)-J601)*IF(MONTH(B601)=12,2,1),0)</f>
        <v>0</v>
      </c>
      <c r="L601" s="87">
        <f ca="1">IFERROR((L600+G601-IF(RESULTADOS!$C$17="Normal",0,I601))*(1+PREMISSAS!$C$19)+F601,0)</f>
        <v>0</v>
      </c>
      <c r="N601" s="58">
        <f t="shared" ca="1" si="81"/>
        <v>0</v>
      </c>
      <c r="P601" s="131" t="str">
        <f t="shared" ca="1" si="82"/>
        <v/>
      </c>
      <c r="Q601" s="111" t="str">
        <f ca="1">IF(C601="","",Q600+(E601+H601-IF(RESULTADOS!$C$17="Normal",I601,0)-J601)/2+(F601+G601-IF(RESULTADOS!$C$17="Normal",0,I601)))</f>
        <v/>
      </c>
      <c r="R601" s="111" t="str">
        <f ca="1">IF(C601="","",R600+(E601+H601-IF(RESULTADOS!$C$17="Normal",I601,0)-J601)/2)</f>
        <v/>
      </c>
      <c r="S601" s="111">
        <f t="shared" ca="1" si="83"/>
        <v>0</v>
      </c>
      <c r="U601" s="131" t="str">
        <f t="shared" ca="1" si="84"/>
        <v/>
      </c>
      <c r="V601" s="131" t="str">
        <f t="shared" ca="1" si="85"/>
        <v/>
      </c>
      <c r="W601" s="111">
        <f ca="1">IF(OR((W600-13/12*Z600)*(1+PREMISSAS!$C$17)&lt;0,W600=""),0,(W600-13/12*Z600)*(1+PREMISSAS!$C$17))</f>
        <v>0</v>
      </c>
      <c r="X601" s="111">
        <f ca="1">IF(OR((X600-13/12*AA600)*(1+PREMISSAS!$C$17)&lt;0,X600=""),0,(X600-13/12*AA600)*(1+PREMISSAS!$C$17))</f>
        <v>0</v>
      </c>
      <c r="Y601" s="111">
        <f t="shared" ca="1" si="86"/>
        <v>0</v>
      </c>
      <c r="Z601" s="134">
        <f t="shared" ca="1" si="87"/>
        <v>0</v>
      </c>
      <c r="AA601" s="134">
        <f t="shared" ca="1" si="80"/>
        <v>0</v>
      </c>
    </row>
    <row r="602" spans="2:27" x14ac:dyDescent="0.3">
      <c r="B602" s="21" t="str">
        <f ca="1">IF(B601="","",IF(EOMONTH(B601,1)&gt;EOMONTH(ELEGIBILIDADE!$E$5,0),"",EOMONTH(B601,1)))</f>
        <v/>
      </c>
      <c r="C602" s="22" t="str">
        <f ca="1">IF(B602="","",IF(MONTH(B602)=1,C601*(1+PREMISSAS!$C$58),C601))</f>
        <v/>
      </c>
      <c r="D602" s="22">
        <f ca="1">IF(RESULTADOS!$C$17="Normal",IFERROR(MAX(C602-PREMISSAS!$C$14,0),0),IF(PREMISSAS!$H$117=0,0,MAX(10*PREMISSAS!$C$39,RESULTADOS!$F$17)))</f>
        <v>0</v>
      </c>
      <c r="E602" s="4">
        <f ca="1">D602*IF(RESULTADOS!$C$17="Normal",RESULTADOS!$C$16,0)</f>
        <v>0</v>
      </c>
      <c r="F602" s="4">
        <f ca="1">IF(D602&lt;&gt;0,PREMISSAS!$N$83,0)</f>
        <v>0</v>
      </c>
      <c r="G602" s="4">
        <f ca="1">IFERROR(IF(RESULTADOS!$C$17="Normal",0,D602)*IF(RESULTADOS!$C$17="Normal",RESULTADOS!$C$18,RESULTADOS!$C$16),0)</f>
        <v>0</v>
      </c>
      <c r="H602" s="4">
        <f ca="1">IF(RESULTADOS!$C$17="Normal",E602,0)</f>
        <v>0</v>
      </c>
      <c r="I602" s="4">
        <f ca="1">(E602+H602+G602)*IFERROR(VLOOKUP(INT(COUNT($B$5:B602)/12),PREMISSAS!$B$62:$C$69,2,FALSE),PREMISSAS!$C$69)</f>
        <v>0</v>
      </c>
      <c r="J602" s="4">
        <f ca="1">D602*IF(RESULTADOS!$C$17="Normal",PREMISSAS!$C$71,0)</f>
        <v>0</v>
      </c>
      <c r="K602" s="87">
        <f ca="1">IFERROR(K601*(1+PREMISSAS!$C$19)+(E602+H602-IF(RESULTADOS!$C$17="Normal",I602,0)-J602)*IF(MONTH(B602)=12,2,1),0)</f>
        <v>0</v>
      </c>
      <c r="L602" s="87">
        <f ca="1">IFERROR((L601+G602-IF(RESULTADOS!$C$17="Normal",0,I602))*(1+PREMISSAS!$C$19)+F602,0)</f>
        <v>0</v>
      </c>
      <c r="N602" s="58">
        <f t="shared" ca="1" si="81"/>
        <v>0</v>
      </c>
      <c r="P602" s="131" t="str">
        <f t="shared" ca="1" si="82"/>
        <v/>
      </c>
      <c r="Q602" s="111" t="str">
        <f ca="1">IF(C602="","",Q601+(E602+H602-IF(RESULTADOS!$C$17="Normal",I602,0)-J602)/2+(F602+G602-IF(RESULTADOS!$C$17="Normal",0,I602)))</f>
        <v/>
      </c>
      <c r="R602" s="111" t="str">
        <f ca="1">IF(C602="","",R601+(E602+H602-IF(RESULTADOS!$C$17="Normal",I602,0)-J602)/2)</f>
        <v/>
      </c>
      <c r="S602" s="111">
        <f t="shared" ca="1" si="83"/>
        <v>0</v>
      </c>
      <c r="U602" s="131" t="str">
        <f t="shared" ca="1" si="84"/>
        <v/>
      </c>
      <c r="V602" s="131" t="str">
        <f t="shared" ca="1" si="85"/>
        <v/>
      </c>
      <c r="W602" s="111">
        <f ca="1">IF(OR((W601-13/12*Z601)*(1+PREMISSAS!$C$17)&lt;0,W601=""),0,(W601-13/12*Z601)*(1+PREMISSAS!$C$17))</f>
        <v>0</v>
      </c>
      <c r="X602" s="111">
        <f ca="1">IF(OR((X601-13/12*AA601)*(1+PREMISSAS!$C$17)&lt;0,X601=""),0,(X601-13/12*AA601)*(1+PREMISSAS!$C$17))</f>
        <v>0</v>
      </c>
      <c r="Y602" s="111">
        <f t="shared" ca="1" si="86"/>
        <v>0</v>
      </c>
      <c r="Z602" s="134">
        <f t="shared" ca="1" si="87"/>
        <v>0</v>
      </c>
      <c r="AA602" s="134">
        <f t="shared" ca="1" si="80"/>
        <v>0</v>
      </c>
    </row>
    <row r="603" spans="2:27" x14ac:dyDescent="0.3">
      <c r="B603" s="21" t="str">
        <f ca="1">IF(B602="","",IF(EOMONTH(B602,1)&gt;EOMONTH(ELEGIBILIDADE!$E$5,0),"",EOMONTH(B602,1)))</f>
        <v/>
      </c>
      <c r="C603" s="22" t="str">
        <f ca="1">IF(B603="","",IF(MONTH(B603)=1,C602*(1+PREMISSAS!$C$58),C602))</f>
        <v/>
      </c>
      <c r="D603" s="22">
        <f ca="1">IF(RESULTADOS!$C$17="Normal",IFERROR(MAX(C603-PREMISSAS!$C$14,0),0),IF(PREMISSAS!$H$117=0,0,MAX(10*PREMISSAS!$C$39,RESULTADOS!$F$17)))</f>
        <v>0</v>
      </c>
      <c r="E603" s="4">
        <f ca="1">D603*IF(RESULTADOS!$C$17="Normal",RESULTADOS!$C$16,0)</f>
        <v>0</v>
      </c>
      <c r="F603" s="4">
        <f ca="1">IF(D603&lt;&gt;0,PREMISSAS!$N$83,0)</f>
        <v>0</v>
      </c>
      <c r="G603" s="4">
        <f ca="1">IFERROR(IF(RESULTADOS!$C$17="Normal",0,D603)*IF(RESULTADOS!$C$17="Normal",RESULTADOS!$C$18,RESULTADOS!$C$16),0)</f>
        <v>0</v>
      </c>
      <c r="H603" s="4">
        <f ca="1">IF(RESULTADOS!$C$17="Normal",E603,0)</f>
        <v>0</v>
      </c>
      <c r="I603" s="4">
        <f ca="1">(E603+H603+G603)*IFERROR(VLOOKUP(INT(COUNT($B$5:B603)/12),PREMISSAS!$B$62:$C$69,2,FALSE),PREMISSAS!$C$69)</f>
        <v>0</v>
      </c>
      <c r="J603" s="4">
        <f ca="1">D603*IF(RESULTADOS!$C$17="Normal",PREMISSAS!$C$71,0)</f>
        <v>0</v>
      </c>
      <c r="K603" s="87">
        <f ca="1">IFERROR(K602*(1+PREMISSAS!$C$19)+(E603+H603-IF(RESULTADOS!$C$17="Normal",I603,0)-J603)*IF(MONTH(B603)=12,2,1),0)</f>
        <v>0</v>
      </c>
      <c r="L603" s="87">
        <f ca="1">IFERROR((L602+G603-IF(RESULTADOS!$C$17="Normal",0,I603))*(1+PREMISSAS!$C$19)+F603,0)</f>
        <v>0</v>
      </c>
      <c r="N603" s="58">
        <f t="shared" ca="1" si="81"/>
        <v>0</v>
      </c>
      <c r="P603" s="131" t="str">
        <f t="shared" ca="1" si="82"/>
        <v/>
      </c>
      <c r="Q603" s="111" t="str">
        <f ca="1">IF(C603="","",Q602+(E603+H603-IF(RESULTADOS!$C$17="Normal",I603,0)-J603)/2+(F603+G603-IF(RESULTADOS!$C$17="Normal",0,I603)))</f>
        <v/>
      </c>
      <c r="R603" s="111" t="str">
        <f ca="1">IF(C603="","",R602+(E603+H603-IF(RESULTADOS!$C$17="Normal",I603,0)-J603)/2)</f>
        <v/>
      </c>
      <c r="S603" s="111">
        <f t="shared" ca="1" si="83"/>
        <v>0</v>
      </c>
      <c r="U603" s="131" t="str">
        <f t="shared" ca="1" si="84"/>
        <v/>
      </c>
      <c r="V603" s="131" t="str">
        <f t="shared" ca="1" si="85"/>
        <v/>
      </c>
      <c r="W603" s="111">
        <f ca="1">IF(OR((W602-13/12*Z602)*(1+PREMISSAS!$C$17)&lt;0,W602=""),0,(W602-13/12*Z602)*(1+PREMISSAS!$C$17))</f>
        <v>0</v>
      </c>
      <c r="X603" s="111">
        <f ca="1">IF(OR((X602-13/12*AA602)*(1+PREMISSAS!$C$17)&lt;0,X602=""),0,(X602-13/12*AA602)*(1+PREMISSAS!$C$17))</f>
        <v>0</v>
      </c>
      <c r="Y603" s="111">
        <f t="shared" ca="1" si="86"/>
        <v>0</v>
      </c>
      <c r="Z603" s="134">
        <f t="shared" ca="1" si="87"/>
        <v>0</v>
      </c>
      <c r="AA603" s="134">
        <f t="shared" ca="1" si="80"/>
        <v>0</v>
      </c>
    </row>
    <row r="604" spans="2:27" x14ac:dyDescent="0.3">
      <c r="B604" s="21" t="str">
        <f ca="1">IF(B603="","",IF(EOMONTH(B603,1)&gt;EOMONTH(ELEGIBILIDADE!$E$5,0),"",EOMONTH(B603,1)))</f>
        <v/>
      </c>
      <c r="C604" s="22" t="str">
        <f ca="1">IF(B604="","",IF(MONTH(B604)=1,C603*(1+PREMISSAS!$C$58),C603))</f>
        <v/>
      </c>
      <c r="D604" s="22">
        <f ca="1">IF(RESULTADOS!$C$17="Normal",IFERROR(MAX(C604-PREMISSAS!$C$14,0),0),IF(PREMISSAS!$H$117=0,0,MAX(10*PREMISSAS!$C$39,RESULTADOS!$F$17)))</f>
        <v>0</v>
      </c>
      <c r="E604" s="4">
        <f ca="1">D604*IF(RESULTADOS!$C$17="Normal",RESULTADOS!$C$16,0)</f>
        <v>0</v>
      </c>
      <c r="F604" s="4">
        <f ca="1">IF(D604&lt;&gt;0,PREMISSAS!$N$83,0)</f>
        <v>0</v>
      </c>
      <c r="G604" s="4">
        <f ca="1">IFERROR(IF(RESULTADOS!$C$17="Normal",0,D604)*IF(RESULTADOS!$C$17="Normal",RESULTADOS!$C$18,RESULTADOS!$C$16),0)</f>
        <v>0</v>
      </c>
      <c r="H604" s="4">
        <f ca="1">IF(RESULTADOS!$C$17="Normal",E604,0)</f>
        <v>0</v>
      </c>
      <c r="I604" s="4">
        <f ca="1">(E604+H604+G604)*IFERROR(VLOOKUP(INT(COUNT($B$5:B604)/12),PREMISSAS!$B$62:$C$69,2,FALSE),PREMISSAS!$C$69)</f>
        <v>0</v>
      </c>
      <c r="J604" s="4">
        <f ca="1">D604*IF(RESULTADOS!$C$17="Normal",PREMISSAS!$C$71,0)</f>
        <v>0</v>
      </c>
      <c r="K604" s="87">
        <f ca="1">IFERROR(K603*(1+PREMISSAS!$C$19)+(E604+H604-IF(RESULTADOS!$C$17="Normal",I604,0)-J604)*IF(MONTH(B604)=12,2,1),0)</f>
        <v>0</v>
      </c>
      <c r="L604" s="87">
        <f ca="1">IFERROR((L603+G604-IF(RESULTADOS!$C$17="Normal",0,I604))*(1+PREMISSAS!$C$19)+F604,0)</f>
        <v>0</v>
      </c>
      <c r="N604" s="58">
        <f t="shared" ca="1" si="81"/>
        <v>0</v>
      </c>
      <c r="P604" s="131" t="str">
        <f t="shared" ca="1" si="82"/>
        <v/>
      </c>
      <c r="Q604" s="111" t="str">
        <f ca="1">IF(C604="","",Q603+(E604+H604-IF(RESULTADOS!$C$17="Normal",I604,0)-J604)/2+(F604+G604-IF(RESULTADOS!$C$17="Normal",0,I604)))</f>
        <v/>
      </c>
      <c r="R604" s="111" t="str">
        <f ca="1">IF(C604="","",R603+(E604+H604-IF(RESULTADOS!$C$17="Normal",I604,0)-J604)/2)</f>
        <v/>
      </c>
      <c r="S604" s="111">
        <f t="shared" ca="1" si="83"/>
        <v>0</v>
      </c>
      <c r="U604" s="131" t="str">
        <f t="shared" ca="1" si="84"/>
        <v/>
      </c>
      <c r="V604" s="131" t="str">
        <f t="shared" ca="1" si="85"/>
        <v/>
      </c>
      <c r="W604" s="111">
        <f ca="1">IF(OR((W603-13/12*Z603)*(1+PREMISSAS!$C$17)&lt;0,W603=""),0,(W603-13/12*Z603)*(1+PREMISSAS!$C$17))</f>
        <v>0</v>
      </c>
      <c r="X604" s="111">
        <f ca="1">IF(OR((X603-13/12*AA603)*(1+PREMISSAS!$C$17)&lt;0,X603=""),0,(X603-13/12*AA603)*(1+PREMISSAS!$C$17))</f>
        <v>0</v>
      </c>
      <c r="Y604" s="111">
        <f t="shared" ca="1" si="86"/>
        <v>0</v>
      </c>
      <c r="Z604" s="134">
        <f t="shared" ca="1" si="87"/>
        <v>0</v>
      </c>
      <c r="AA604" s="134">
        <f t="shared" ca="1" si="80"/>
        <v>0</v>
      </c>
    </row>
    <row r="605" spans="2:27" x14ac:dyDescent="0.3">
      <c r="B605" s="21" t="str">
        <f ca="1">IF(B604="","",IF(EOMONTH(B604,1)&gt;EOMONTH(ELEGIBILIDADE!$E$5,0),"",EOMONTH(B604,1)))</f>
        <v/>
      </c>
      <c r="C605" s="22" t="str">
        <f ca="1">IF(B605="","",IF(MONTH(B605)=1,C604*(1+PREMISSAS!$C$58),C604))</f>
        <v/>
      </c>
      <c r="D605" s="22">
        <f ca="1">IF(RESULTADOS!$C$17="Normal",IFERROR(MAX(C605-PREMISSAS!$C$14,0),0),IF(PREMISSAS!$H$117=0,0,MAX(10*PREMISSAS!$C$39,RESULTADOS!$F$17)))</f>
        <v>0</v>
      </c>
      <c r="E605" s="4">
        <f ca="1">D605*IF(RESULTADOS!$C$17="Normal",RESULTADOS!$C$16,0)</f>
        <v>0</v>
      </c>
      <c r="F605" s="4">
        <f ca="1">IF(D605&lt;&gt;0,PREMISSAS!$N$83,0)</f>
        <v>0</v>
      </c>
      <c r="G605" s="4">
        <f ca="1">IFERROR(IF(RESULTADOS!$C$17="Normal",0,D605)*IF(RESULTADOS!$C$17="Normal",RESULTADOS!$C$18,RESULTADOS!$C$16),0)</f>
        <v>0</v>
      </c>
      <c r="H605" s="4">
        <f ca="1">IF(RESULTADOS!$C$17="Normal",E605,0)</f>
        <v>0</v>
      </c>
      <c r="I605" s="4">
        <f ca="1">(E605+H605+G605)*IFERROR(VLOOKUP(INT(COUNT($B$5:B605)/12),PREMISSAS!$B$62:$C$69,2,FALSE),PREMISSAS!$C$69)</f>
        <v>0</v>
      </c>
      <c r="J605" s="4">
        <f ca="1">D605*IF(RESULTADOS!$C$17="Normal",PREMISSAS!$C$71,0)</f>
        <v>0</v>
      </c>
      <c r="K605" s="87">
        <f ca="1">IFERROR(K604*(1+PREMISSAS!$C$19)+(E605+H605-IF(RESULTADOS!$C$17="Normal",I605,0)-J605)*IF(MONTH(B605)=12,2,1),0)</f>
        <v>0</v>
      </c>
      <c r="L605" s="87">
        <f ca="1">IFERROR((L604+G605-IF(RESULTADOS!$C$17="Normal",0,I605))*(1+PREMISSAS!$C$19)+F605,0)</f>
        <v>0</v>
      </c>
      <c r="N605" s="58">
        <f t="shared" ca="1" si="81"/>
        <v>0</v>
      </c>
      <c r="P605" s="131" t="str">
        <f t="shared" ca="1" si="82"/>
        <v/>
      </c>
      <c r="Q605" s="111" t="str">
        <f ca="1">IF(C605="","",Q604+(E605+H605-IF(RESULTADOS!$C$17="Normal",I605,0)-J605)/2+(F605+G605-IF(RESULTADOS!$C$17="Normal",0,I605)))</f>
        <v/>
      </c>
      <c r="R605" s="111" t="str">
        <f ca="1">IF(C605="","",R604+(E605+H605-IF(RESULTADOS!$C$17="Normal",I605,0)-J605)/2)</f>
        <v/>
      </c>
      <c r="S605" s="111">
        <f t="shared" ca="1" si="83"/>
        <v>0</v>
      </c>
      <c r="U605" s="131" t="str">
        <f t="shared" ca="1" si="84"/>
        <v/>
      </c>
      <c r="V605" s="131" t="str">
        <f t="shared" ca="1" si="85"/>
        <v/>
      </c>
      <c r="W605" s="111">
        <f ca="1">IF(OR((W604-13/12*Z604)*(1+PREMISSAS!$C$17)&lt;0,W604=""),0,(W604-13/12*Z604)*(1+PREMISSAS!$C$17))</f>
        <v>0</v>
      </c>
      <c r="X605" s="111">
        <f ca="1">IF(OR((X604-13/12*AA604)*(1+PREMISSAS!$C$17)&lt;0,X604=""),0,(X604-13/12*AA604)*(1+PREMISSAS!$C$17))</f>
        <v>0</v>
      </c>
      <c r="Y605" s="111">
        <f t="shared" ca="1" si="86"/>
        <v>0</v>
      </c>
      <c r="Z605" s="134">
        <f t="shared" ca="1" si="87"/>
        <v>0</v>
      </c>
      <c r="AA605" s="134">
        <f t="shared" ca="1" si="80"/>
        <v>0</v>
      </c>
    </row>
    <row r="606" spans="2:27" x14ac:dyDescent="0.3">
      <c r="B606" s="21" t="str">
        <f ca="1">IF(B605="","",IF(EOMONTH(B605,1)&gt;EOMONTH(ELEGIBILIDADE!$E$5,0),"",EOMONTH(B605,1)))</f>
        <v/>
      </c>
      <c r="C606" s="22" t="str">
        <f ca="1">IF(B606="","",IF(MONTH(B606)=1,C605*(1+PREMISSAS!$C$58),C605))</f>
        <v/>
      </c>
      <c r="D606" s="22">
        <f ca="1">IF(RESULTADOS!$C$17="Normal",IFERROR(MAX(C606-PREMISSAS!$C$14,0),0),IF(PREMISSAS!$H$117=0,0,MAX(10*PREMISSAS!$C$39,RESULTADOS!$F$17)))</f>
        <v>0</v>
      </c>
      <c r="E606" s="4">
        <f ca="1">D606*IF(RESULTADOS!$C$17="Normal",RESULTADOS!$C$16,0)</f>
        <v>0</v>
      </c>
      <c r="F606" s="4">
        <f ca="1">IF(D606&lt;&gt;0,PREMISSAS!$N$83,0)</f>
        <v>0</v>
      </c>
      <c r="G606" s="4">
        <f ca="1">IFERROR(IF(RESULTADOS!$C$17="Normal",0,D606)*IF(RESULTADOS!$C$17="Normal",RESULTADOS!$C$18,RESULTADOS!$C$16),0)</f>
        <v>0</v>
      </c>
      <c r="H606" s="4">
        <f ca="1">IF(RESULTADOS!$C$17="Normal",E606,0)</f>
        <v>0</v>
      </c>
      <c r="I606" s="4">
        <f ca="1">(E606+H606+G606)*IFERROR(VLOOKUP(INT(COUNT($B$5:B606)/12),PREMISSAS!$B$62:$C$69,2,FALSE),PREMISSAS!$C$69)</f>
        <v>0</v>
      </c>
      <c r="J606" s="4">
        <f ca="1">D606*IF(RESULTADOS!$C$17="Normal",PREMISSAS!$C$71,0)</f>
        <v>0</v>
      </c>
      <c r="K606" s="87">
        <f ca="1">IFERROR(K605*(1+PREMISSAS!$C$19)+(E606+H606-IF(RESULTADOS!$C$17="Normal",I606,0)-J606)*IF(MONTH(B606)=12,2,1),0)</f>
        <v>0</v>
      </c>
      <c r="L606" s="87">
        <f ca="1">IFERROR((L605+G606-IF(RESULTADOS!$C$17="Normal",0,I606))*(1+PREMISSAS!$C$19)+F606,0)</f>
        <v>0</v>
      </c>
      <c r="N606" s="58">
        <f t="shared" ca="1" si="81"/>
        <v>0</v>
      </c>
      <c r="P606" s="131" t="str">
        <f t="shared" ca="1" si="82"/>
        <v/>
      </c>
      <c r="Q606" s="111" t="str">
        <f ca="1">IF(C606="","",Q605+(E606+H606-IF(RESULTADOS!$C$17="Normal",I606,0)-J606)/2+(F606+G606-IF(RESULTADOS!$C$17="Normal",0,I606)))</f>
        <v/>
      </c>
      <c r="R606" s="111" t="str">
        <f ca="1">IF(C606="","",R605+(E606+H606-IF(RESULTADOS!$C$17="Normal",I606,0)-J606)/2)</f>
        <v/>
      </c>
      <c r="S606" s="111">
        <f t="shared" ca="1" si="83"/>
        <v>0</v>
      </c>
      <c r="U606" s="131" t="str">
        <f t="shared" ca="1" si="84"/>
        <v/>
      </c>
      <c r="V606" s="131" t="str">
        <f t="shared" ca="1" si="85"/>
        <v/>
      </c>
      <c r="W606" s="111">
        <f ca="1">IF(OR((W605-13/12*Z605)*(1+PREMISSAS!$C$17)&lt;0,W605=""),0,(W605-13/12*Z605)*(1+PREMISSAS!$C$17))</f>
        <v>0</v>
      </c>
      <c r="X606" s="111">
        <f ca="1">IF(OR((X605-13/12*AA605)*(1+PREMISSAS!$C$17)&lt;0,X605=""),0,(X605-13/12*AA605)*(1+PREMISSAS!$C$17))</f>
        <v>0</v>
      </c>
      <c r="Y606" s="111">
        <f t="shared" ca="1" si="86"/>
        <v>0</v>
      </c>
      <c r="Z606" s="134">
        <f t="shared" ca="1" si="87"/>
        <v>0</v>
      </c>
      <c r="AA606" s="134">
        <f t="shared" ca="1" si="80"/>
        <v>0</v>
      </c>
    </row>
    <row r="607" spans="2:27" x14ac:dyDescent="0.3">
      <c r="B607" s="21" t="str">
        <f ca="1">IF(B606="","",IF(EOMONTH(B606,1)&gt;EOMONTH(ELEGIBILIDADE!$E$5,0),"",EOMONTH(B606,1)))</f>
        <v/>
      </c>
      <c r="C607" s="22" t="str">
        <f ca="1">IF(B607="","",IF(MONTH(B607)=1,C606*(1+PREMISSAS!$C$58),C606))</f>
        <v/>
      </c>
      <c r="D607" s="22">
        <f ca="1">IF(RESULTADOS!$C$17="Normal",IFERROR(MAX(C607-PREMISSAS!$C$14,0),0),IF(PREMISSAS!$H$117=0,0,MAX(10*PREMISSAS!$C$39,RESULTADOS!$F$17)))</f>
        <v>0</v>
      </c>
      <c r="E607" s="4">
        <f ca="1">D607*IF(RESULTADOS!$C$17="Normal",RESULTADOS!$C$16,0)</f>
        <v>0</v>
      </c>
      <c r="F607" s="4">
        <f ca="1">IF(D607&lt;&gt;0,PREMISSAS!$N$83,0)</f>
        <v>0</v>
      </c>
      <c r="G607" s="4">
        <f ca="1">IFERROR(IF(RESULTADOS!$C$17="Normal",0,D607)*IF(RESULTADOS!$C$17="Normal",RESULTADOS!$C$18,RESULTADOS!$C$16),0)</f>
        <v>0</v>
      </c>
      <c r="H607" s="4">
        <f ca="1">IF(RESULTADOS!$C$17="Normal",E607,0)</f>
        <v>0</v>
      </c>
      <c r="I607" s="4">
        <f ca="1">(E607+H607+G607)*IFERROR(VLOOKUP(INT(COUNT($B$5:B607)/12),PREMISSAS!$B$62:$C$69,2,FALSE),PREMISSAS!$C$69)</f>
        <v>0</v>
      </c>
      <c r="J607" s="4">
        <f ca="1">D607*IF(RESULTADOS!$C$17="Normal",PREMISSAS!$C$71,0)</f>
        <v>0</v>
      </c>
      <c r="K607" s="87">
        <f ca="1">IFERROR(K606*(1+PREMISSAS!$C$19)+(E607+H607-IF(RESULTADOS!$C$17="Normal",I607,0)-J607)*IF(MONTH(B607)=12,2,1),0)</f>
        <v>0</v>
      </c>
      <c r="L607" s="87">
        <f ca="1">IFERROR((L606+G607-IF(RESULTADOS!$C$17="Normal",0,I607))*(1+PREMISSAS!$C$19)+F607,0)</f>
        <v>0</v>
      </c>
      <c r="N607" s="58">
        <f t="shared" ca="1" si="81"/>
        <v>0</v>
      </c>
      <c r="P607" s="131" t="str">
        <f t="shared" ca="1" si="82"/>
        <v/>
      </c>
      <c r="Q607" s="111" t="str">
        <f ca="1">IF(C607="","",Q606+(E607+H607-IF(RESULTADOS!$C$17="Normal",I607,0)-J607)/2+(F607+G607-IF(RESULTADOS!$C$17="Normal",0,I607)))</f>
        <v/>
      </c>
      <c r="R607" s="111" t="str">
        <f ca="1">IF(C607="","",R606+(E607+H607-IF(RESULTADOS!$C$17="Normal",I607,0)-J607)/2)</f>
        <v/>
      </c>
      <c r="S607" s="111">
        <f t="shared" ca="1" si="83"/>
        <v>0</v>
      </c>
      <c r="U607" s="131" t="str">
        <f t="shared" ca="1" si="84"/>
        <v/>
      </c>
      <c r="V607" s="131" t="str">
        <f t="shared" ca="1" si="85"/>
        <v/>
      </c>
      <c r="W607" s="111">
        <f ca="1">IF(OR((W606-13/12*Z606)*(1+PREMISSAS!$C$17)&lt;0,W606=""),0,(W606-13/12*Z606)*(1+PREMISSAS!$C$17))</f>
        <v>0</v>
      </c>
      <c r="X607" s="111">
        <f ca="1">IF(OR((X606-13/12*AA606)*(1+PREMISSAS!$C$17)&lt;0,X606=""),0,(X606-13/12*AA606)*(1+PREMISSAS!$C$17))</f>
        <v>0</v>
      </c>
      <c r="Y607" s="111">
        <f t="shared" ca="1" si="86"/>
        <v>0</v>
      </c>
      <c r="Z607" s="134">
        <f t="shared" ca="1" si="87"/>
        <v>0</v>
      </c>
      <c r="AA607" s="134">
        <f t="shared" ca="1" si="80"/>
        <v>0</v>
      </c>
    </row>
    <row r="608" spans="2:27" x14ac:dyDescent="0.3">
      <c r="B608" s="21" t="str">
        <f ca="1">IF(B607="","",IF(EOMONTH(B607,1)&gt;EOMONTH(ELEGIBILIDADE!$E$5,0),"",EOMONTH(B607,1)))</f>
        <v/>
      </c>
      <c r="C608" s="22" t="str">
        <f ca="1">IF(B608="","",IF(MONTH(B608)=1,C607*(1+PREMISSAS!$C$58),C607))</f>
        <v/>
      </c>
      <c r="D608" s="22">
        <f ca="1">IF(RESULTADOS!$C$17="Normal",IFERROR(MAX(C608-PREMISSAS!$C$14,0),0),IF(PREMISSAS!$H$117=0,0,MAX(10*PREMISSAS!$C$39,RESULTADOS!$F$17)))</f>
        <v>0</v>
      </c>
      <c r="E608" s="4">
        <f ca="1">D608*IF(RESULTADOS!$C$17="Normal",RESULTADOS!$C$16,0)</f>
        <v>0</v>
      </c>
      <c r="F608" s="4">
        <f ca="1">IF(D608&lt;&gt;0,PREMISSAS!$N$83,0)</f>
        <v>0</v>
      </c>
      <c r="G608" s="4">
        <f ca="1">IFERROR(IF(RESULTADOS!$C$17="Normal",0,D608)*IF(RESULTADOS!$C$17="Normal",RESULTADOS!$C$18,RESULTADOS!$C$16),0)</f>
        <v>0</v>
      </c>
      <c r="H608" s="4">
        <f ca="1">IF(RESULTADOS!$C$17="Normal",E608,0)</f>
        <v>0</v>
      </c>
      <c r="I608" s="4">
        <f ca="1">(E608+H608+G608)*IFERROR(VLOOKUP(INT(COUNT($B$5:B608)/12),PREMISSAS!$B$62:$C$69,2,FALSE),PREMISSAS!$C$69)</f>
        <v>0</v>
      </c>
      <c r="J608" s="4">
        <f ca="1">D608*IF(RESULTADOS!$C$17="Normal",PREMISSAS!$C$71,0)</f>
        <v>0</v>
      </c>
      <c r="K608" s="87">
        <f ca="1">IFERROR(K607*(1+PREMISSAS!$C$19)+(E608+H608-IF(RESULTADOS!$C$17="Normal",I608,0)-J608)*IF(MONTH(B608)=12,2,1),0)</f>
        <v>0</v>
      </c>
      <c r="L608" s="87">
        <f ca="1">IFERROR((L607+G608-IF(RESULTADOS!$C$17="Normal",0,I608))*(1+PREMISSAS!$C$19)+F608,0)</f>
        <v>0</v>
      </c>
      <c r="N608" s="58">
        <f t="shared" ca="1" si="81"/>
        <v>0</v>
      </c>
      <c r="P608" s="131" t="str">
        <f t="shared" ca="1" si="82"/>
        <v/>
      </c>
      <c r="Q608" s="111" t="str">
        <f ca="1">IF(C608="","",Q607+(E608+H608-IF(RESULTADOS!$C$17="Normal",I608,0)-J608)/2+(F608+G608-IF(RESULTADOS!$C$17="Normal",0,I608)))</f>
        <v/>
      </c>
      <c r="R608" s="111" t="str">
        <f ca="1">IF(C608="","",R607+(E608+H608-IF(RESULTADOS!$C$17="Normal",I608,0)-J608)/2)</f>
        <v/>
      </c>
      <c r="S608" s="111">
        <f t="shared" ca="1" si="83"/>
        <v>0</v>
      </c>
      <c r="U608" s="131" t="str">
        <f t="shared" ca="1" si="84"/>
        <v/>
      </c>
      <c r="V608" s="131" t="str">
        <f t="shared" ca="1" si="85"/>
        <v/>
      </c>
      <c r="W608" s="111">
        <f ca="1">IF(OR((W607-13/12*Z607)*(1+PREMISSAS!$C$17)&lt;0,W607=""),0,(W607-13/12*Z607)*(1+PREMISSAS!$C$17))</f>
        <v>0</v>
      </c>
      <c r="X608" s="111">
        <f ca="1">IF(OR((X607-13/12*AA607)*(1+PREMISSAS!$C$17)&lt;0,X607=""),0,(X607-13/12*AA607)*(1+PREMISSAS!$C$17))</f>
        <v>0</v>
      </c>
      <c r="Y608" s="111">
        <f t="shared" ca="1" si="86"/>
        <v>0</v>
      </c>
      <c r="Z608" s="134">
        <f t="shared" ca="1" si="87"/>
        <v>0</v>
      </c>
      <c r="AA608" s="134">
        <f t="shared" ca="1" si="80"/>
        <v>0</v>
      </c>
    </row>
    <row r="609" spans="2:27" x14ac:dyDescent="0.3">
      <c r="B609" s="21" t="str">
        <f ca="1">IF(B608="","",IF(EOMONTH(B608,1)&gt;EOMONTH(ELEGIBILIDADE!$E$5,0),"",EOMONTH(B608,1)))</f>
        <v/>
      </c>
      <c r="C609" s="22" t="str">
        <f ca="1">IF(B609="","",IF(MONTH(B609)=1,C608*(1+PREMISSAS!$C$58),C608))</f>
        <v/>
      </c>
      <c r="D609" s="22">
        <f ca="1">IF(RESULTADOS!$C$17="Normal",IFERROR(MAX(C609-PREMISSAS!$C$14,0),0),IF(PREMISSAS!$H$117=0,0,MAX(10*PREMISSAS!$C$39,RESULTADOS!$F$17)))</f>
        <v>0</v>
      </c>
      <c r="E609" s="4">
        <f ca="1">D609*IF(RESULTADOS!$C$17="Normal",RESULTADOS!$C$16,0)</f>
        <v>0</v>
      </c>
      <c r="F609" s="4">
        <f ca="1">IF(D609&lt;&gt;0,PREMISSAS!$N$83,0)</f>
        <v>0</v>
      </c>
      <c r="G609" s="4">
        <f ca="1">IFERROR(IF(RESULTADOS!$C$17="Normal",0,D609)*IF(RESULTADOS!$C$17="Normal",RESULTADOS!$C$18,RESULTADOS!$C$16),0)</f>
        <v>0</v>
      </c>
      <c r="H609" s="4">
        <f ca="1">IF(RESULTADOS!$C$17="Normal",E609,0)</f>
        <v>0</v>
      </c>
      <c r="I609" s="4">
        <f ca="1">(E609+H609+G609)*IFERROR(VLOOKUP(INT(COUNT($B$5:B609)/12),PREMISSAS!$B$62:$C$69,2,FALSE),PREMISSAS!$C$69)</f>
        <v>0</v>
      </c>
      <c r="J609" s="4">
        <f ca="1">D609*IF(RESULTADOS!$C$17="Normal",PREMISSAS!$C$71,0)</f>
        <v>0</v>
      </c>
      <c r="K609" s="87">
        <f ca="1">IFERROR(K608*(1+PREMISSAS!$C$19)+(E609+H609-IF(RESULTADOS!$C$17="Normal",I609,0)-J609)*IF(MONTH(B609)=12,2,1),0)</f>
        <v>0</v>
      </c>
      <c r="L609" s="87">
        <f ca="1">IFERROR((L608+G609-IF(RESULTADOS!$C$17="Normal",0,I609))*(1+PREMISSAS!$C$19)+F609,0)</f>
        <v>0</v>
      </c>
      <c r="N609" s="58">
        <f t="shared" ca="1" si="81"/>
        <v>0</v>
      </c>
      <c r="P609" s="131" t="str">
        <f t="shared" ca="1" si="82"/>
        <v/>
      </c>
      <c r="Q609" s="111" t="str">
        <f ca="1">IF(C609="","",Q608+(E609+H609-IF(RESULTADOS!$C$17="Normal",I609,0)-J609)/2+(F609+G609-IF(RESULTADOS!$C$17="Normal",0,I609)))</f>
        <v/>
      </c>
      <c r="R609" s="111" t="str">
        <f ca="1">IF(C609="","",R608+(E609+H609-IF(RESULTADOS!$C$17="Normal",I609,0)-J609)/2)</f>
        <v/>
      </c>
      <c r="S609" s="111">
        <f t="shared" ca="1" si="83"/>
        <v>0</v>
      </c>
      <c r="U609" s="131" t="str">
        <f t="shared" ca="1" si="84"/>
        <v/>
      </c>
      <c r="V609" s="131" t="str">
        <f t="shared" ca="1" si="85"/>
        <v/>
      </c>
      <c r="W609" s="111">
        <f ca="1">IF(OR((W608-13/12*Z608)*(1+PREMISSAS!$C$17)&lt;0,W608=""),0,(W608-13/12*Z608)*(1+PREMISSAS!$C$17))</f>
        <v>0</v>
      </c>
      <c r="X609" s="111">
        <f ca="1">IF(OR((X608-13/12*AA608)*(1+PREMISSAS!$C$17)&lt;0,X608=""),0,(X608-13/12*AA608)*(1+PREMISSAS!$C$17))</f>
        <v>0</v>
      </c>
      <c r="Y609" s="111">
        <f t="shared" ca="1" si="86"/>
        <v>0</v>
      </c>
      <c r="Z609" s="134">
        <f t="shared" ca="1" si="87"/>
        <v>0</v>
      </c>
      <c r="AA609" s="134">
        <f t="shared" ca="1" si="80"/>
        <v>0</v>
      </c>
    </row>
    <row r="610" spans="2:27" x14ac:dyDescent="0.3">
      <c r="B610" s="21" t="str">
        <f ca="1">IF(B609="","",IF(EOMONTH(B609,1)&gt;EOMONTH(ELEGIBILIDADE!$E$5,0),"",EOMONTH(B609,1)))</f>
        <v/>
      </c>
      <c r="C610" s="22" t="str">
        <f ca="1">IF(B610="","",IF(MONTH(B610)=1,C609*(1+PREMISSAS!$C$58),C609))</f>
        <v/>
      </c>
      <c r="D610" s="22">
        <f ca="1">IF(RESULTADOS!$C$17="Normal",IFERROR(MAX(C610-PREMISSAS!$C$14,0),0),IF(PREMISSAS!$H$117=0,0,MAX(10*PREMISSAS!$C$39,RESULTADOS!$F$17)))</f>
        <v>0</v>
      </c>
      <c r="E610" s="4">
        <f ca="1">D610*IF(RESULTADOS!$C$17="Normal",RESULTADOS!$C$16,0)</f>
        <v>0</v>
      </c>
      <c r="F610" s="4">
        <f ca="1">IF(D610&lt;&gt;0,PREMISSAS!$N$83,0)</f>
        <v>0</v>
      </c>
      <c r="G610" s="4">
        <f ca="1">IFERROR(IF(RESULTADOS!$C$17="Normal",0,D610)*IF(RESULTADOS!$C$17="Normal",RESULTADOS!$C$18,RESULTADOS!$C$16),0)</f>
        <v>0</v>
      </c>
      <c r="H610" s="4">
        <f ca="1">IF(RESULTADOS!$C$17="Normal",E610,0)</f>
        <v>0</v>
      </c>
      <c r="I610" s="4">
        <f ca="1">(E610+H610+G610)*IFERROR(VLOOKUP(INT(COUNT($B$5:B610)/12),PREMISSAS!$B$62:$C$69,2,FALSE),PREMISSAS!$C$69)</f>
        <v>0</v>
      </c>
      <c r="J610" s="4">
        <f ca="1">D610*IF(RESULTADOS!$C$17="Normal",PREMISSAS!$C$71,0)</f>
        <v>0</v>
      </c>
      <c r="K610" s="87">
        <f ca="1">IFERROR(K609*(1+PREMISSAS!$C$19)+(E610+H610-IF(RESULTADOS!$C$17="Normal",I610,0)-J610)*IF(MONTH(B610)=12,2,1),0)</f>
        <v>0</v>
      </c>
      <c r="L610" s="87">
        <f ca="1">IFERROR((L609+G610-IF(RESULTADOS!$C$17="Normal",0,I610))*(1+PREMISSAS!$C$19)+F610,0)</f>
        <v>0</v>
      </c>
      <c r="N610" s="58">
        <f t="shared" ca="1" si="81"/>
        <v>0</v>
      </c>
      <c r="P610" s="131" t="str">
        <f t="shared" ca="1" si="82"/>
        <v/>
      </c>
      <c r="Q610" s="111" t="str">
        <f ca="1">IF(C610="","",Q609+(E610+H610-IF(RESULTADOS!$C$17="Normal",I610,0)-J610)/2+(F610+G610-IF(RESULTADOS!$C$17="Normal",0,I610)))</f>
        <v/>
      </c>
      <c r="R610" s="111" t="str">
        <f ca="1">IF(C610="","",R609+(E610+H610-IF(RESULTADOS!$C$17="Normal",I610,0)-J610)/2)</f>
        <v/>
      </c>
      <c r="S610" s="111">
        <f t="shared" ca="1" si="83"/>
        <v>0</v>
      </c>
      <c r="U610" s="131" t="str">
        <f t="shared" ca="1" si="84"/>
        <v/>
      </c>
      <c r="V610" s="131" t="str">
        <f t="shared" ca="1" si="85"/>
        <v/>
      </c>
      <c r="W610" s="111">
        <f ca="1">IF(OR((W609-13/12*Z609)*(1+PREMISSAS!$C$17)&lt;0,W609=""),0,(W609-13/12*Z609)*(1+PREMISSAS!$C$17))</f>
        <v>0</v>
      </c>
      <c r="X610" s="111">
        <f ca="1">IF(OR((X609-13/12*AA609)*(1+PREMISSAS!$C$17)&lt;0,X609=""),0,(X609-13/12*AA609)*(1+PREMISSAS!$C$17))</f>
        <v>0</v>
      </c>
      <c r="Y610" s="111">
        <f t="shared" ca="1" si="86"/>
        <v>0</v>
      </c>
      <c r="Z610" s="134">
        <f t="shared" ca="1" si="87"/>
        <v>0</v>
      </c>
      <c r="AA610" s="134">
        <f t="shared" ca="1" si="80"/>
        <v>0</v>
      </c>
    </row>
    <row r="611" spans="2:27" x14ac:dyDescent="0.3">
      <c r="B611" s="21" t="str">
        <f ca="1">IF(B610="","",IF(EOMONTH(B610,1)&gt;EOMONTH(ELEGIBILIDADE!$E$5,0),"",EOMONTH(B610,1)))</f>
        <v/>
      </c>
      <c r="C611" s="22" t="str">
        <f ca="1">IF(B611="","",IF(MONTH(B611)=1,C610*(1+PREMISSAS!$C$58),C610))</f>
        <v/>
      </c>
      <c r="D611" s="22">
        <f ca="1">IF(RESULTADOS!$C$17="Normal",IFERROR(MAX(C611-PREMISSAS!$C$14,0),0),IF(PREMISSAS!$H$117=0,0,MAX(10*PREMISSAS!$C$39,RESULTADOS!$F$17)))</f>
        <v>0</v>
      </c>
      <c r="E611" s="4">
        <f ca="1">D611*IF(RESULTADOS!$C$17="Normal",RESULTADOS!$C$16,0)</f>
        <v>0</v>
      </c>
      <c r="F611" s="4">
        <f ca="1">IF(D611&lt;&gt;0,PREMISSAS!$N$83,0)</f>
        <v>0</v>
      </c>
      <c r="G611" s="4">
        <f ca="1">IFERROR(IF(RESULTADOS!$C$17="Normal",0,D611)*IF(RESULTADOS!$C$17="Normal",RESULTADOS!$C$18,RESULTADOS!$C$16),0)</f>
        <v>0</v>
      </c>
      <c r="H611" s="4">
        <f ca="1">IF(RESULTADOS!$C$17="Normal",E611,0)</f>
        <v>0</v>
      </c>
      <c r="I611" s="4">
        <f ca="1">(E611+H611+G611)*IFERROR(VLOOKUP(INT(COUNT($B$5:B611)/12),PREMISSAS!$B$62:$C$69,2,FALSE),PREMISSAS!$C$69)</f>
        <v>0</v>
      </c>
      <c r="J611" s="4">
        <f ca="1">D611*IF(RESULTADOS!$C$17="Normal",PREMISSAS!$C$71,0)</f>
        <v>0</v>
      </c>
      <c r="K611" s="87">
        <f ca="1">IFERROR(K610*(1+PREMISSAS!$C$19)+(E611+H611-IF(RESULTADOS!$C$17="Normal",I611,0)-J611)*IF(MONTH(B611)=12,2,1),0)</f>
        <v>0</v>
      </c>
      <c r="L611" s="87">
        <f ca="1">IFERROR((L610+G611-IF(RESULTADOS!$C$17="Normal",0,I611))*(1+PREMISSAS!$C$19)+F611,0)</f>
        <v>0</v>
      </c>
      <c r="N611" s="58">
        <f t="shared" ca="1" si="81"/>
        <v>0</v>
      </c>
      <c r="P611" s="131" t="str">
        <f t="shared" ca="1" si="82"/>
        <v/>
      </c>
      <c r="Q611" s="111" t="str">
        <f ca="1">IF(C611="","",Q610+(E611+H611-IF(RESULTADOS!$C$17="Normal",I611,0)-J611)/2+(F611+G611-IF(RESULTADOS!$C$17="Normal",0,I611)))</f>
        <v/>
      </c>
      <c r="R611" s="111" t="str">
        <f ca="1">IF(C611="","",R610+(E611+H611-IF(RESULTADOS!$C$17="Normal",I611,0)-J611)/2)</f>
        <v/>
      </c>
      <c r="S611" s="111">
        <f t="shared" ca="1" si="83"/>
        <v>0</v>
      </c>
      <c r="U611" s="131" t="str">
        <f t="shared" ca="1" si="84"/>
        <v/>
      </c>
      <c r="V611" s="131" t="str">
        <f t="shared" ca="1" si="85"/>
        <v/>
      </c>
      <c r="W611" s="111">
        <f ca="1">IF(OR((W610-13/12*Z610)*(1+PREMISSAS!$C$17)&lt;0,W610=""),0,(W610-13/12*Z610)*(1+PREMISSAS!$C$17))</f>
        <v>0</v>
      </c>
      <c r="X611" s="111">
        <f ca="1">IF(OR((X610-13/12*AA610)*(1+PREMISSAS!$C$17)&lt;0,X610=""),0,(X610-13/12*AA610)*(1+PREMISSAS!$C$17))</f>
        <v>0</v>
      </c>
      <c r="Y611" s="111">
        <f t="shared" ca="1" si="86"/>
        <v>0</v>
      </c>
      <c r="Z611" s="134">
        <f t="shared" ca="1" si="87"/>
        <v>0</v>
      </c>
      <c r="AA611" s="134">
        <f t="shared" ca="1" si="80"/>
        <v>0</v>
      </c>
    </row>
    <row r="612" spans="2:27" x14ac:dyDescent="0.3">
      <c r="B612" s="21" t="str">
        <f ca="1">IF(B611="","",IF(EOMONTH(B611,1)&gt;EOMONTH(ELEGIBILIDADE!$E$5,0),"",EOMONTH(B611,1)))</f>
        <v/>
      </c>
      <c r="C612" s="22" t="str">
        <f ca="1">IF(B612="","",IF(MONTH(B612)=1,C611*(1+PREMISSAS!$C$58),C611))</f>
        <v/>
      </c>
      <c r="D612" s="22">
        <f ca="1">IF(RESULTADOS!$C$17="Normal",IFERROR(MAX(C612-PREMISSAS!$C$14,0),0),IF(PREMISSAS!$H$117=0,0,MAX(10*PREMISSAS!$C$39,RESULTADOS!$F$17)))</f>
        <v>0</v>
      </c>
      <c r="E612" s="4">
        <f ca="1">D612*IF(RESULTADOS!$C$17="Normal",RESULTADOS!$C$16,0)</f>
        <v>0</v>
      </c>
      <c r="F612" s="4">
        <f ca="1">IF(D612&lt;&gt;0,PREMISSAS!$N$83,0)</f>
        <v>0</v>
      </c>
      <c r="G612" s="4">
        <f ca="1">IFERROR(IF(RESULTADOS!$C$17="Normal",0,D612)*IF(RESULTADOS!$C$17="Normal",RESULTADOS!$C$18,RESULTADOS!$C$16),0)</f>
        <v>0</v>
      </c>
      <c r="H612" s="4">
        <f ca="1">IF(RESULTADOS!$C$17="Normal",E612,0)</f>
        <v>0</v>
      </c>
      <c r="I612" s="4">
        <f ca="1">(E612+H612+G612)*IFERROR(VLOOKUP(INT(COUNT($B$5:B612)/12),PREMISSAS!$B$62:$C$69,2,FALSE),PREMISSAS!$C$69)</f>
        <v>0</v>
      </c>
      <c r="J612" s="4">
        <f ca="1">D612*IF(RESULTADOS!$C$17="Normal",PREMISSAS!$C$71,0)</f>
        <v>0</v>
      </c>
      <c r="K612" s="87">
        <f ca="1">IFERROR(K611*(1+PREMISSAS!$C$19)+(E612+H612-IF(RESULTADOS!$C$17="Normal",I612,0)-J612)*IF(MONTH(B612)=12,2,1),0)</f>
        <v>0</v>
      </c>
      <c r="L612" s="87">
        <f ca="1">IFERROR((L611+G612-IF(RESULTADOS!$C$17="Normal",0,I612))*(1+PREMISSAS!$C$19)+F612,0)</f>
        <v>0</v>
      </c>
      <c r="N612" s="58">
        <f t="shared" ca="1" si="81"/>
        <v>0</v>
      </c>
      <c r="P612" s="131" t="str">
        <f t="shared" ca="1" si="82"/>
        <v/>
      </c>
      <c r="Q612" s="111" t="str">
        <f ca="1">IF(C612="","",Q611+(E612+H612-IF(RESULTADOS!$C$17="Normal",I612,0)-J612)/2+(F612+G612-IF(RESULTADOS!$C$17="Normal",0,I612)))</f>
        <v/>
      </c>
      <c r="R612" s="111" t="str">
        <f ca="1">IF(C612="","",R611+(E612+H612-IF(RESULTADOS!$C$17="Normal",I612,0)-J612)/2)</f>
        <v/>
      </c>
      <c r="S612" s="111">
        <f t="shared" ca="1" si="83"/>
        <v>0</v>
      </c>
      <c r="U612" s="131" t="str">
        <f t="shared" ca="1" si="84"/>
        <v/>
      </c>
      <c r="V612" s="131" t="str">
        <f t="shared" ca="1" si="85"/>
        <v/>
      </c>
      <c r="W612" s="111">
        <f ca="1">IF(OR((W611-13/12*Z611)*(1+PREMISSAS!$C$17)&lt;0,W611=""),0,(W611-13/12*Z611)*(1+PREMISSAS!$C$17))</f>
        <v>0</v>
      </c>
      <c r="X612" s="111">
        <f ca="1">IF(OR((X611-13/12*AA611)*(1+PREMISSAS!$C$17)&lt;0,X611=""),0,(X611-13/12*AA611)*(1+PREMISSAS!$C$17))</f>
        <v>0</v>
      </c>
      <c r="Y612" s="111">
        <f t="shared" ca="1" si="86"/>
        <v>0</v>
      </c>
      <c r="Z612" s="134">
        <f t="shared" ca="1" si="87"/>
        <v>0</v>
      </c>
      <c r="AA612" s="134">
        <f t="shared" ca="1" si="80"/>
        <v>0</v>
      </c>
    </row>
    <row r="613" spans="2:27" x14ac:dyDescent="0.3">
      <c r="B613" s="21" t="str">
        <f ca="1">IF(B612="","",IF(EOMONTH(B612,1)&gt;EOMONTH(ELEGIBILIDADE!$E$5,0),"",EOMONTH(B612,1)))</f>
        <v/>
      </c>
      <c r="C613" s="22" t="str">
        <f ca="1">IF(B613="","",IF(MONTH(B613)=1,C612*(1+PREMISSAS!$C$58),C612))</f>
        <v/>
      </c>
      <c r="D613" s="22">
        <f ca="1">IF(RESULTADOS!$C$17="Normal",IFERROR(MAX(C613-PREMISSAS!$C$14,0),0),IF(PREMISSAS!$H$117=0,0,MAX(10*PREMISSAS!$C$39,RESULTADOS!$F$17)))</f>
        <v>0</v>
      </c>
      <c r="E613" s="4">
        <f ca="1">D613*IF(RESULTADOS!$C$17="Normal",RESULTADOS!$C$16,0)</f>
        <v>0</v>
      </c>
      <c r="F613" s="4">
        <f ca="1">IF(D613&lt;&gt;0,PREMISSAS!$N$83,0)</f>
        <v>0</v>
      </c>
      <c r="G613" s="4">
        <f ca="1">IFERROR(IF(RESULTADOS!$C$17="Normal",0,D613)*IF(RESULTADOS!$C$17="Normal",RESULTADOS!$C$18,RESULTADOS!$C$16),0)</f>
        <v>0</v>
      </c>
      <c r="H613" s="4">
        <f ca="1">IF(RESULTADOS!$C$17="Normal",E613,0)</f>
        <v>0</v>
      </c>
      <c r="I613" s="4">
        <f ca="1">(E613+H613+G613)*IFERROR(VLOOKUP(INT(COUNT($B$5:B613)/12),PREMISSAS!$B$62:$C$69,2,FALSE),PREMISSAS!$C$69)</f>
        <v>0</v>
      </c>
      <c r="J613" s="4">
        <f ca="1">D613*IF(RESULTADOS!$C$17="Normal",PREMISSAS!$C$71,0)</f>
        <v>0</v>
      </c>
      <c r="K613" s="87">
        <f ca="1">IFERROR(K612*(1+PREMISSAS!$C$19)+(E613+H613-IF(RESULTADOS!$C$17="Normal",I613,0)-J613)*IF(MONTH(B613)=12,2,1),0)</f>
        <v>0</v>
      </c>
      <c r="L613" s="87">
        <f ca="1">IFERROR((L612+G613-IF(RESULTADOS!$C$17="Normal",0,I613))*(1+PREMISSAS!$C$19)+F613,0)</f>
        <v>0</v>
      </c>
      <c r="N613" s="58">
        <f t="shared" ca="1" si="81"/>
        <v>0</v>
      </c>
      <c r="P613" s="131" t="str">
        <f t="shared" ca="1" si="82"/>
        <v/>
      </c>
      <c r="Q613" s="111" t="str">
        <f ca="1">IF(C613="","",Q612+(E613+H613-IF(RESULTADOS!$C$17="Normal",I613,0)-J613)/2+(F613+G613-IF(RESULTADOS!$C$17="Normal",0,I613)))</f>
        <v/>
      </c>
      <c r="R613" s="111" t="str">
        <f ca="1">IF(C613="","",R612+(E613+H613-IF(RESULTADOS!$C$17="Normal",I613,0)-J613)/2)</f>
        <v/>
      </c>
      <c r="S613" s="111">
        <f t="shared" ca="1" si="83"/>
        <v>0</v>
      </c>
      <c r="U613" s="131" t="str">
        <f t="shared" ca="1" si="84"/>
        <v/>
      </c>
      <c r="V613" s="131" t="str">
        <f t="shared" ca="1" si="85"/>
        <v/>
      </c>
      <c r="W613" s="111">
        <f ca="1">IF(OR((W612-13/12*Z612)*(1+PREMISSAS!$C$17)&lt;0,W612=""),0,(W612-13/12*Z612)*(1+PREMISSAS!$C$17))</f>
        <v>0</v>
      </c>
      <c r="X613" s="111">
        <f ca="1">IF(OR((X612-13/12*AA612)*(1+PREMISSAS!$C$17)&lt;0,X612=""),0,(X612-13/12*AA612)*(1+PREMISSAS!$C$17))</f>
        <v>0</v>
      </c>
      <c r="Y613" s="111">
        <f t="shared" ca="1" si="86"/>
        <v>0</v>
      </c>
      <c r="Z613" s="134">
        <f t="shared" ca="1" si="87"/>
        <v>0</v>
      </c>
      <c r="AA613" s="134">
        <f t="shared" ca="1" si="80"/>
        <v>0</v>
      </c>
    </row>
    <row r="614" spans="2:27" x14ac:dyDescent="0.3">
      <c r="B614" s="21" t="str">
        <f ca="1">IF(B613="","",IF(EOMONTH(B613,1)&gt;EOMONTH(ELEGIBILIDADE!$E$5,0),"",EOMONTH(B613,1)))</f>
        <v/>
      </c>
      <c r="C614" s="22" t="str">
        <f ca="1">IF(B614="","",IF(MONTH(B614)=1,C613*(1+PREMISSAS!$C$58),C613))</f>
        <v/>
      </c>
      <c r="D614" s="22">
        <f ca="1">IF(RESULTADOS!$C$17="Normal",IFERROR(MAX(C614-PREMISSAS!$C$14,0),0),IF(PREMISSAS!$H$117=0,0,MAX(10*PREMISSAS!$C$39,RESULTADOS!$F$17)))</f>
        <v>0</v>
      </c>
      <c r="E614" s="4">
        <f ca="1">D614*IF(RESULTADOS!$C$17="Normal",RESULTADOS!$C$16,0)</f>
        <v>0</v>
      </c>
      <c r="F614" s="4">
        <f ca="1">IF(D614&lt;&gt;0,PREMISSAS!$N$83,0)</f>
        <v>0</v>
      </c>
      <c r="G614" s="4">
        <f ca="1">IFERROR(IF(RESULTADOS!$C$17="Normal",0,D614)*IF(RESULTADOS!$C$17="Normal",RESULTADOS!$C$18,RESULTADOS!$C$16),0)</f>
        <v>0</v>
      </c>
      <c r="H614" s="4">
        <f ca="1">IF(RESULTADOS!$C$17="Normal",E614,0)</f>
        <v>0</v>
      </c>
      <c r="I614" s="4">
        <f ca="1">(E614+H614+G614)*IFERROR(VLOOKUP(INT(COUNT($B$5:B614)/12),PREMISSAS!$B$62:$C$69,2,FALSE),PREMISSAS!$C$69)</f>
        <v>0</v>
      </c>
      <c r="J614" s="4">
        <f ca="1">D614*IF(RESULTADOS!$C$17="Normal",PREMISSAS!$C$71,0)</f>
        <v>0</v>
      </c>
      <c r="K614" s="87">
        <f ca="1">IFERROR(K613*(1+PREMISSAS!$C$19)+(E614+H614-IF(RESULTADOS!$C$17="Normal",I614,0)-J614)*IF(MONTH(B614)=12,2,1),0)</f>
        <v>0</v>
      </c>
      <c r="L614" s="87">
        <f ca="1">IFERROR((L613+G614-IF(RESULTADOS!$C$17="Normal",0,I614))*(1+PREMISSAS!$C$19)+F614,0)</f>
        <v>0</v>
      </c>
      <c r="N614" s="58">
        <f t="shared" ca="1" si="81"/>
        <v>0</v>
      </c>
      <c r="P614" s="131" t="str">
        <f t="shared" ca="1" si="82"/>
        <v/>
      </c>
      <c r="Q614" s="111" t="str">
        <f ca="1">IF(C614="","",Q613+(E614+H614-IF(RESULTADOS!$C$17="Normal",I614,0)-J614)/2+(F614+G614-IF(RESULTADOS!$C$17="Normal",0,I614)))</f>
        <v/>
      </c>
      <c r="R614" s="111" t="str">
        <f ca="1">IF(C614="","",R613+(E614+H614-IF(RESULTADOS!$C$17="Normal",I614,0)-J614)/2)</f>
        <v/>
      </c>
      <c r="S614" s="111">
        <f t="shared" ca="1" si="83"/>
        <v>0</v>
      </c>
      <c r="U614" s="131" t="str">
        <f t="shared" ca="1" si="84"/>
        <v/>
      </c>
      <c r="V614" s="131" t="str">
        <f t="shared" ca="1" si="85"/>
        <v/>
      </c>
      <c r="W614" s="111">
        <f ca="1">IF(OR((W613-13/12*Z613)*(1+PREMISSAS!$C$17)&lt;0,W613=""),0,(W613-13/12*Z613)*(1+PREMISSAS!$C$17))</f>
        <v>0</v>
      </c>
      <c r="X614" s="111">
        <f ca="1">IF(OR((X613-13/12*AA613)*(1+PREMISSAS!$C$17)&lt;0,X613=""),0,(X613-13/12*AA613)*(1+PREMISSAS!$C$17))</f>
        <v>0</v>
      </c>
      <c r="Y614" s="111">
        <f t="shared" ca="1" si="86"/>
        <v>0</v>
      </c>
      <c r="Z614" s="134">
        <f t="shared" ca="1" si="87"/>
        <v>0</v>
      </c>
      <c r="AA614" s="134">
        <f t="shared" ca="1" si="80"/>
        <v>0</v>
      </c>
    </row>
    <row r="615" spans="2:27" x14ac:dyDescent="0.3">
      <c r="B615" s="21" t="str">
        <f ca="1">IF(B614="","",IF(EOMONTH(B614,1)&gt;EOMONTH(ELEGIBILIDADE!$E$5,0),"",EOMONTH(B614,1)))</f>
        <v/>
      </c>
      <c r="C615" s="22" t="str">
        <f ca="1">IF(B615="","",IF(MONTH(B615)=1,C614*(1+PREMISSAS!$C$58),C614))</f>
        <v/>
      </c>
      <c r="D615" s="22">
        <f ca="1">IF(RESULTADOS!$C$17="Normal",IFERROR(MAX(C615-PREMISSAS!$C$14,0),0),IF(PREMISSAS!$H$117=0,0,MAX(10*PREMISSAS!$C$39,RESULTADOS!$F$17)))</f>
        <v>0</v>
      </c>
      <c r="E615" s="4">
        <f ca="1">D615*IF(RESULTADOS!$C$17="Normal",RESULTADOS!$C$16,0)</f>
        <v>0</v>
      </c>
      <c r="F615" s="4">
        <f ca="1">IF(D615&lt;&gt;0,PREMISSAS!$N$83,0)</f>
        <v>0</v>
      </c>
      <c r="G615" s="4">
        <f ca="1">IFERROR(IF(RESULTADOS!$C$17="Normal",0,D615)*IF(RESULTADOS!$C$17="Normal",RESULTADOS!$C$18,RESULTADOS!$C$16),0)</f>
        <v>0</v>
      </c>
      <c r="H615" s="4">
        <f ca="1">IF(RESULTADOS!$C$17="Normal",E615,0)</f>
        <v>0</v>
      </c>
      <c r="I615" s="4">
        <f ca="1">(E615+H615+G615)*IFERROR(VLOOKUP(INT(COUNT($B$5:B615)/12),PREMISSAS!$B$62:$C$69,2,FALSE),PREMISSAS!$C$69)</f>
        <v>0</v>
      </c>
      <c r="J615" s="4">
        <f ca="1">D615*IF(RESULTADOS!$C$17="Normal",PREMISSAS!$C$71,0)</f>
        <v>0</v>
      </c>
      <c r="K615" s="87">
        <f ca="1">IFERROR(K614*(1+PREMISSAS!$C$19)+(E615+H615-IF(RESULTADOS!$C$17="Normal",I615,0)-J615)*IF(MONTH(B615)=12,2,1),0)</f>
        <v>0</v>
      </c>
      <c r="L615" s="87">
        <f ca="1">IFERROR((L614+G615-IF(RESULTADOS!$C$17="Normal",0,I615))*(1+PREMISSAS!$C$19)+F615,0)</f>
        <v>0</v>
      </c>
      <c r="N615" s="58">
        <f t="shared" ca="1" si="81"/>
        <v>0</v>
      </c>
      <c r="P615" s="131" t="str">
        <f t="shared" ca="1" si="82"/>
        <v/>
      </c>
      <c r="Q615" s="111" t="str">
        <f ca="1">IF(C615="","",Q614+(E615+H615-IF(RESULTADOS!$C$17="Normal",I615,0)-J615)/2+(F615+G615-IF(RESULTADOS!$C$17="Normal",0,I615)))</f>
        <v/>
      </c>
      <c r="R615" s="111" t="str">
        <f ca="1">IF(C615="","",R614+(E615+H615-IF(RESULTADOS!$C$17="Normal",I615,0)-J615)/2)</f>
        <v/>
      </c>
      <c r="S615" s="111">
        <f t="shared" ca="1" si="83"/>
        <v>0</v>
      </c>
      <c r="U615" s="131" t="str">
        <f t="shared" ca="1" si="84"/>
        <v/>
      </c>
      <c r="V615" s="131" t="str">
        <f t="shared" ca="1" si="85"/>
        <v/>
      </c>
      <c r="W615" s="111">
        <f ca="1">IF(OR((W614-13/12*Z614)*(1+PREMISSAS!$C$17)&lt;0,W614=""),0,(W614-13/12*Z614)*(1+PREMISSAS!$C$17))</f>
        <v>0</v>
      </c>
      <c r="X615" s="111">
        <f ca="1">IF(OR((X614-13/12*AA614)*(1+PREMISSAS!$C$17)&lt;0,X614=""),0,(X614-13/12*AA614)*(1+PREMISSAS!$C$17))</f>
        <v>0</v>
      </c>
      <c r="Y615" s="111">
        <f t="shared" ca="1" si="86"/>
        <v>0</v>
      </c>
      <c r="Z615" s="134">
        <f t="shared" ca="1" si="87"/>
        <v>0</v>
      </c>
      <c r="AA615" s="134">
        <f t="shared" ca="1" si="80"/>
        <v>0</v>
      </c>
    </row>
    <row r="616" spans="2:27" x14ac:dyDescent="0.3">
      <c r="B616" s="21" t="str">
        <f ca="1">IF(B615="","",IF(EOMONTH(B615,1)&gt;EOMONTH(ELEGIBILIDADE!$E$5,0),"",EOMONTH(B615,1)))</f>
        <v/>
      </c>
      <c r="C616" s="22" t="str">
        <f ca="1">IF(B616="","",IF(MONTH(B616)=1,C615*(1+PREMISSAS!$C$58),C615))</f>
        <v/>
      </c>
      <c r="D616" s="22">
        <f ca="1">IF(RESULTADOS!$C$17="Normal",IFERROR(MAX(C616-PREMISSAS!$C$14,0),0),IF(PREMISSAS!$H$117=0,0,MAX(10*PREMISSAS!$C$39,RESULTADOS!$F$17)))</f>
        <v>0</v>
      </c>
      <c r="E616" s="4">
        <f ca="1">D616*IF(RESULTADOS!$C$17="Normal",RESULTADOS!$C$16,0)</f>
        <v>0</v>
      </c>
      <c r="F616" s="4">
        <f ca="1">IF(D616&lt;&gt;0,PREMISSAS!$N$83,0)</f>
        <v>0</v>
      </c>
      <c r="G616" s="4">
        <f ca="1">IFERROR(IF(RESULTADOS!$C$17="Normal",0,D616)*IF(RESULTADOS!$C$17="Normal",RESULTADOS!$C$18,RESULTADOS!$C$16),0)</f>
        <v>0</v>
      </c>
      <c r="H616" s="4">
        <f ca="1">IF(RESULTADOS!$C$17="Normal",E616,0)</f>
        <v>0</v>
      </c>
      <c r="I616" s="4">
        <f ca="1">(E616+H616+G616)*IFERROR(VLOOKUP(INT(COUNT($B$5:B616)/12),PREMISSAS!$B$62:$C$69,2,FALSE),PREMISSAS!$C$69)</f>
        <v>0</v>
      </c>
      <c r="J616" s="4">
        <f ca="1">D616*IF(RESULTADOS!$C$17="Normal",PREMISSAS!$C$71,0)</f>
        <v>0</v>
      </c>
      <c r="K616" s="87">
        <f ca="1">IFERROR(K615*(1+PREMISSAS!$C$19)+(E616+H616-IF(RESULTADOS!$C$17="Normal",I616,0)-J616)*IF(MONTH(B616)=12,2,1),0)</f>
        <v>0</v>
      </c>
      <c r="L616" s="87">
        <f ca="1">IFERROR((L615+G616-IF(RESULTADOS!$C$17="Normal",0,I616))*(1+PREMISSAS!$C$19)+F616,0)</f>
        <v>0</v>
      </c>
      <c r="N616" s="58">
        <f t="shared" ca="1" si="81"/>
        <v>0</v>
      </c>
      <c r="P616" s="131" t="str">
        <f t="shared" ca="1" si="82"/>
        <v/>
      </c>
      <c r="Q616" s="111" t="str">
        <f ca="1">IF(C616="","",Q615+(E616+H616-IF(RESULTADOS!$C$17="Normal",I616,0)-J616)/2+(F616+G616-IF(RESULTADOS!$C$17="Normal",0,I616)))</f>
        <v/>
      </c>
      <c r="R616" s="111" t="str">
        <f ca="1">IF(C616="","",R615+(E616+H616-IF(RESULTADOS!$C$17="Normal",I616,0)-J616)/2)</f>
        <v/>
      </c>
      <c r="S616" s="111">
        <f t="shared" ca="1" si="83"/>
        <v>0</v>
      </c>
      <c r="U616" s="131" t="str">
        <f t="shared" ca="1" si="84"/>
        <v/>
      </c>
      <c r="V616" s="131" t="str">
        <f t="shared" ca="1" si="85"/>
        <v/>
      </c>
      <c r="W616" s="111">
        <f ca="1">IF(OR((W615-13/12*Z615)*(1+PREMISSAS!$C$17)&lt;0,W615=""),0,(W615-13/12*Z615)*(1+PREMISSAS!$C$17))</f>
        <v>0</v>
      </c>
      <c r="X616" s="111">
        <f ca="1">IF(OR((X615-13/12*AA615)*(1+PREMISSAS!$C$17)&lt;0,X615=""),0,(X615-13/12*AA615)*(1+PREMISSAS!$C$17))</f>
        <v>0</v>
      </c>
      <c r="Y616" s="111">
        <f t="shared" ca="1" si="86"/>
        <v>0</v>
      </c>
      <c r="Z616" s="134">
        <f t="shared" ca="1" si="87"/>
        <v>0</v>
      </c>
      <c r="AA616" s="134">
        <f t="shared" ca="1" si="80"/>
        <v>0</v>
      </c>
    </row>
    <row r="617" spans="2:27" x14ac:dyDescent="0.3">
      <c r="B617" s="21" t="str">
        <f ca="1">IF(B616="","",IF(EOMONTH(B616,1)&gt;EOMONTH(ELEGIBILIDADE!$E$5,0),"",EOMONTH(B616,1)))</f>
        <v/>
      </c>
      <c r="C617" s="22" t="str">
        <f ca="1">IF(B617="","",IF(MONTH(B617)=1,C616*(1+PREMISSAS!$C$58),C616))</f>
        <v/>
      </c>
      <c r="D617" s="22">
        <f ca="1">IF(RESULTADOS!$C$17="Normal",IFERROR(MAX(C617-PREMISSAS!$C$14,0),0),IF(PREMISSAS!$H$117=0,0,MAX(10*PREMISSAS!$C$39,RESULTADOS!$F$17)))</f>
        <v>0</v>
      </c>
      <c r="E617" s="4">
        <f ca="1">D617*IF(RESULTADOS!$C$17="Normal",RESULTADOS!$C$16,0)</f>
        <v>0</v>
      </c>
      <c r="F617" s="4">
        <f ca="1">IF(D617&lt;&gt;0,PREMISSAS!$N$83,0)</f>
        <v>0</v>
      </c>
      <c r="G617" s="4">
        <f ca="1">IFERROR(IF(RESULTADOS!$C$17="Normal",0,D617)*IF(RESULTADOS!$C$17="Normal",RESULTADOS!$C$18,RESULTADOS!$C$16),0)</f>
        <v>0</v>
      </c>
      <c r="H617" s="4">
        <f ca="1">IF(RESULTADOS!$C$17="Normal",E617,0)</f>
        <v>0</v>
      </c>
      <c r="I617" s="4">
        <f ca="1">(E617+H617+G617)*IFERROR(VLOOKUP(INT(COUNT($B$5:B617)/12),PREMISSAS!$B$62:$C$69,2,FALSE),PREMISSAS!$C$69)</f>
        <v>0</v>
      </c>
      <c r="J617" s="4">
        <f ca="1">D617*IF(RESULTADOS!$C$17="Normal",PREMISSAS!$C$71,0)</f>
        <v>0</v>
      </c>
      <c r="K617" s="87">
        <f ca="1">IFERROR(K616*(1+PREMISSAS!$C$19)+(E617+H617-IF(RESULTADOS!$C$17="Normal",I617,0)-J617)*IF(MONTH(B617)=12,2,1),0)</f>
        <v>0</v>
      </c>
      <c r="L617" s="87">
        <f ca="1">IFERROR((L616+G617-IF(RESULTADOS!$C$17="Normal",0,I617))*(1+PREMISSAS!$C$19)+F617,0)</f>
        <v>0</v>
      </c>
      <c r="N617" s="58">
        <f t="shared" ca="1" si="81"/>
        <v>0</v>
      </c>
      <c r="P617" s="131" t="str">
        <f t="shared" ca="1" si="82"/>
        <v/>
      </c>
      <c r="Q617" s="111" t="str">
        <f ca="1">IF(C617="","",Q616+(E617+H617-IF(RESULTADOS!$C$17="Normal",I617,0)-J617)/2+(F617+G617-IF(RESULTADOS!$C$17="Normal",0,I617)))</f>
        <v/>
      </c>
      <c r="R617" s="111" t="str">
        <f ca="1">IF(C617="","",R616+(E617+H617-IF(RESULTADOS!$C$17="Normal",I617,0)-J617)/2)</f>
        <v/>
      </c>
      <c r="S617" s="111">
        <f t="shared" ca="1" si="83"/>
        <v>0</v>
      </c>
      <c r="U617" s="131" t="str">
        <f t="shared" ca="1" si="84"/>
        <v/>
      </c>
      <c r="V617" s="131" t="str">
        <f t="shared" ca="1" si="85"/>
        <v/>
      </c>
      <c r="W617" s="111">
        <f ca="1">IF(OR((W616-13/12*Z616)*(1+PREMISSAS!$C$17)&lt;0,W616=""),0,(W616-13/12*Z616)*(1+PREMISSAS!$C$17))</f>
        <v>0</v>
      </c>
      <c r="X617" s="111">
        <f ca="1">IF(OR((X616-13/12*AA616)*(1+PREMISSAS!$C$17)&lt;0,X616=""),0,(X616-13/12*AA616)*(1+PREMISSAS!$C$17))</f>
        <v>0</v>
      </c>
      <c r="Y617" s="111">
        <f t="shared" ca="1" si="86"/>
        <v>0</v>
      </c>
      <c r="Z617" s="134">
        <f t="shared" ca="1" si="87"/>
        <v>0</v>
      </c>
      <c r="AA617" s="134">
        <f t="shared" ca="1" si="80"/>
        <v>0</v>
      </c>
    </row>
    <row r="618" spans="2:27" x14ac:dyDescent="0.3">
      <c r="B618" s="21" t="str">
        <f ca="1">IF(B617="","",IF(EOMONTH(B617,1)&gt;EOMONTH(ELEGIBILIDADE!$E$5,0),"",EOMONTH(B617,1)))</f>
        <v/>
      </c>
      <c r="C618" s="22" t="str">
        <f ca="1">IF(B618="","",IF(MONTH(B618)=1,C617*(1+PREMISSAS!$C$58),C617))</f>
        <v/>
      </c>
      <c r="D618" s="22">
        <f ca="1">IF(RESULTADOS!$C$17="Normal",IFERROR(MAX(C618-PREMISSAS!$C$14,0),0),IF(PREMISSAS!$H$117=0,0,MAX(10*PREMISSAS!$C$39,RESULTADOS!$F$17)))</f>
        <v>0</v>
      </c>
      <c r="E618" s="4">
        <f ca="1">D618*IF(RESULTADOS!$C$17="Normal",RESULTADOS!$C$16,0)</f>
        <v>0</v>
      </c>
      <c r="F618" s="4">
        <f ca="1">IF(D618&lt;&gt;0,PREMISSAS!$N$83,0)</f>
        <v>0</v>
      </c>
      <c r="G618" s="4">
        <f ca="1">IFERROR(IF(RESULTADOS!$C$17="Normal",0,D618)*IF(RESULTADOS!$C$17="Normal",RESULTADOS!$C$18,RESULTADOS!$C$16),0)</f>
        <v>0</v>
      </c>
      <c r="H618" s="4">
        <f ca="1">IF(RESULTADOS!$C$17="Normal",E618,0)</f>
        <v>0</v>
      </c>
      <c r="I618" s="4">
        <f ca="1">(E618+H618+G618)*IFERROR(VLOOKUP(INT(COUNT($B$5:B618)/12),PREMISSAS!$B$62:$C$69,2,FALSE),PREMISSAS!$C$69)</f>
        <v>0</v>
      </c>
      <c r="J618" s="4">
        <f ca="1">D618*IF(RESULTADOS!$C$17="Normal",PREMISSAS!$C$71,0)</f>
        <v>0</v>
      </c>
      <c r="K618" s="87">
        <f ca="1">IFERROR(K617*(1+PREMISSAS!$C$19)+(E618+H618-IF(RESULTADOS!$C$17="Normal",I618,0)-J618)*IF(MONTH(B618)=12,2,1),0)</f>
        <v>0</v>
      </c>
      <c r="L618" s="87">
        <f ca="1">IFERROR((L617+G618-IF(RESULTADOS!$C$17="Normal",0,I618))*(1+PREMISSAS!$C$19)+F618,0)</f>
        <v>0</v>
      </c>
      <c r="N618" s="58">
        <f t="shared" ca="1" si="81"/>
        <v>0</v>
      </c>
      <c r="P618" s="131" t="str">
        <f t="shared" ca="1" si="82"/>
        <v/>
      </c>
      <c r="Q618" s="111" t="str">
        <f ca="1">IF(C618="","",Q617+(E618+H618-IF(RESULTADOS!$C$17="Normal",I618,0)-J618)/2+(F618+G618-IF(RESULTADOS!$C$17="Normal",0,I618)))</f>
        <v/>
      </c>
      <c r="R618" s="111" t="str">
        <f ca="1">IF(C618="","",R617+(E618+H618-IF(RESULTADOS!$C$17="Normal",I618,0)-J618)/2)</f>
        <v/>
      </c>
      <c r="S618" s="111">
        <f t="shared" ca="1" si="83"/>
        <v>0</v>
      </c>
      <c r="U618" s="131" t="str">
        <f t="shared" ca="1" si="84"/>
        <v/>
      </c>
      <c r="V618" s="131" t="str">
        <f t="shared" ca="1" si="85"/>
        <v/>
      </c>
      <c r="W618" s="111">
        <f ca="1">IF(OR((W617-13/12*Z617)*(1+PREMISSAS!$C$17)&lt;0,W617=""),0,(W617-13/12*Z617)*(1+PREMISSAS!$C$17))</f>
        <v>0</v>
      </c>
      <c r="X618" s="111">
        <f ca="1">IF(OR((X617-13/12*AA617)*(1+PREMISSAS!$C$17)&lt;0,X617=""),0,(X617-13/12*AA617)*(1+PREMISSAS!$C$17))</f>
        <v>0</v>
      </c>
      <c r="Y618" s="111">
        <f t="shared" ca="1" si="86"/>
        <v>0</v>
      </c>
      <c r="Z618" s="134">
        <f t="shared" ca="1" si="87"/>
        <v>0</v>
      </c>
      <c r="AA618" s="134">
        <f t="shared" ca="1" si="80"/>
        <v>0</v>
      </c>
    </row>
    <row r="619" spans="2:27" x14ac:dyDescent="0.3">
      <c r="B619" s="21" t="str">
        <f ca="1">IF(B618="","",IF(EOMONTH(B618,1)&gt;EOMONTH(ELEGIBILIDADE!$E$5,0),"",EOMONTH(B618,1)))</f>
        <v/>
      </c>
      <c r="C619" s="22" t="str">
        <f ca="1">IF(B619="","",IF(MONTH(B619)=1,C618*(1+PREMISSAS!$C$58),C618))</f>
        <v/>
      </c>
      <c r="D619" s="22">
        <f ca="1">IF(RESULTADOS!$C$17="Normal",IFERROR(MAX(C619-PREMISSAS!$C$14,0),0),IF(PREMISSAS!$H$117=0,0,MAX(10*PREMISSAS!$C$39,RESULTADOS!$F$17)))</f>
        <v>0</v>
      </c>
      <c r="E619" s="4">
        <f ca="1">D619*IF(RESULTADOS!$C$17="Normal",RESULTADOS!$C$16,0)</f>
        <v>0</v>
      </c>
      <c r="F619" s="4">
        <f ca="1">IF(D619&lt;&gt;0,PREMISSAS!$N$83,0)</f>
        <v>0</v>
      </c>
      <c r="G619" s="4">
        <f ca="1">IFERROR(IF(RESULTADOS!$C$17="Normal",0,D619)*IF(RESULTADOS!$C$17="Normal",RESULTADOS!$C$18,RESULTADOS!$C$16),0)</f>
        <v>0</v>
      </c>
      <c r="H619" s="4">
        <f ca="1">IF(RESULTADOS!$C$17="Normal",E619,0)</f>
        <v>0</v>
      </c>
      <c r="I619" s="4">
        <f ca="1">(E619+H619+G619)*IFERROR(VLOOKUP(INT(COUNT($B$5:B619)/12),PREMISSAS!$B$62:$C$69,2,FALSE),PREMISSAS!$C$69)</f>
        <v>0</v>
      </c>
      <c r="J619" s="4">
        <f ca="1">D619*IF(RESULTADOS!$C$17="Normal",PREMISSAS!$C$71,0)</f>
        <v>0</v>
      </c>
      <c r="K619" s="87">
        <f ca="1">IFERROR(K618*(1+PREMISSAS!$C$19)+(E619+H619-IF(RESULTADOS!$C$17="Normal",I619,0)-J619)*IF(MONTH(B619)=12,2,1),0)</f>
        <v>0</v>
      </c>
      <c r="L619" s="87">
        <f ca="1">IFERROR((L618+G619-IF(RESULTADOS!$C$17="Normal",0,I619))*(1+PREMISSAS!$C$19)+F619,0)</f>
        <v>0</v>
      </c>
      <c r="N619" s="58">
        <f t="shared" ca="1" si="81"/>
        <v>0</v>
      </c>
      <c r="P619" s="131" t="str">
        <f t="shared" ca="1" si="82"/>
        <v/>
      </c>
      <c r="Q619" s="111" t="str">
        <f ca="1">IF(C619="","",Q618+(E619+H619-IF(RESULTADOS!$C$17="Normal",I619,0)-J619)/2+(F619+G619-IF(RESULTADOS!$C$17="Normal",0,I619)))</f>
        <v/>
      </c>
      <c r="R619" s="111" t="str">
        <f ca="1">IF(C619="","",R618+(E619+H619-IF(RESULTADOS!$C$17="Normal",I619,0)-J619)/2)</f>
        <v/>
      </c>
      <c r="S619" s="111">
        <f t="shared" ca="1" si="83"/>
        <v>0</v>
      </c>
      <c r="U619" s="131" t="str">
        <f t="shared" ca="1" si="84"/>
        <v/>
      </c>
      <c r="V619" s="131" t="str">
        <f t="shared" ca="1" si="85"/>
        <v/>
      </c>
      <c r="W619" s="111">
        <f ca="1">IF(OR((W618-13/12*Z618)*(1+PREMISSAS!$C$17)&lt;0,W618=""),0,(W618-13/12*Z618)*(1+PREMISSAS!$C$17))</f>
        <v>0</v>
      </c>
      <c r="X619" s="111">
        <f ca="1">IF(OR((X618-13/12*AA618)*(1+PREMISSAS!$C$17)&lt;0,X618=""),0,(X618-13/12*AA618)*(1+PREMISSAS!$C$17))</f>
        <v>0</v>
      </c>
      <c r="Y619" s="111">
        <f t="shared" ca="1" si="86"/>
        <v>0</v>
      </c>
      <c r="Z619" s="134">
        <f t="shared" ca="1" si="87"/>
        <v>0</v>
      </c>
      <c r="AA619" s="134">
        <f t="shared" ca="1" si="80"/>
        <v>0</v>
      </c>
    </row>
    <row r="620" spans="2:27" x14ac:dyDescent="0.3">
      <c r="B620" s="21" t="str">
        <f ca="1">IF(B619="","",IF(EOMONTH(B619,1)&gt;EOMONTH(ELEGIBILIDADE!$E$5,0),"",EOMONTH(B619,1)))</f>
        <v/>
      </c>
      <c r="C620" s="22" t="str">
        <f ca="1">IF(B620="","",IF(MONTH(B620)=1,C619*(1+PREMISSAS!$C$58),C619))</f>
        <v/>
      </c>
      <c r="D620" s="22">
        <f ca="1">IF(RESULTADOS!$C$17="Normal",IFERROR(MAX(C620-PREMISSAS!$C$14,0),0),IF(PREMISSAS!$H$117=0,0,MAX(10*PREMISSAS!$C$39,RESULTADOS!$F$17)))</f>
        <v>0</v>
      </c>
      <c r="E620" s="4">
        <f ca="1">D620*IF(RESULTADOS!$C$17="Normal",RESULTADOS!$C$16,0)</f>
        <v>0</v>
      </c>
      <c r="F620" s="4">
        <f ca="1">IF(D620&lt;&gt;0,PREMISSAS!$N$83,0)</f>
        <v>0</v>
      </c>
      <c r="G620" s="4">
        <f ca="1">IFERROR(IF(RESULTADOS!$C$17="Normal",0,D620)*IF(RESULTADOS!$C$17="Normal",RESULTADOS!$C$18,RESULTADOS!$C$16),0)</f>
        <v>0</v>
      </c>
      <c r="H620" s="4">
        <f ca="1">IF(RESULTADOS!$C$17="Normal",E620,0)</f>
        <v>0</v>
      </c>
      <c r="I620" s="4">
        <f ca="1">(E620+H620+G620)*IFERROR(VLOOKUP(INT(COUNT($B$5:B620)/12),PREMISSAS!$B$62:$C$69,2,FALSE),PREMISSAS!$C$69)</f>
        <v>0</v>
      </c>
      <c r="J620" s="4">
        <f ca="1">D620*IF(RESULTADOS!$C$17="Normal",PREMISSAS!$C$71,0)</f>
        <v>0</v>
      </c>
      <c r="K620" s="87">
        <f ca="1">IFERROR(K619*(1+PREMISSAS!$C$19)+(E620+H620-IF(RESULTADOS!$C$17="Normal",I620,0)-J620)*IF(MONTH(B620)=12,2,1),0)</f>
        <v>0</v>
      </c>
      <c r="L620" s="87">
        <f ca="1">IFERROR((L619+G620-IF(RESULTADOS!$C$17="Normal",0,I620))*(1+PREMISSAS!$C$19)+F620,0)</f>
        <v>0</v>
      </c>
      <c r="N620" s="58">
        <f t="shared" ca="1" si="81"/>
        <v>0</v>
      </c>
      <c r="P620" s="131" t="str">
        <f t="shared" ca="1" si="82"/>
        <v/>
      </c>
      <c r="Q620" s="111" t="str">
        <f ca="1">IF(C620="","",Q619+(E620+H620-IF(RESULTADOS!$C$17="Normal",I620,0)-J620)/2+(F620+G620-IF(RESULTADOS!$C$17="Normal",0,I620)))</f>
        <v/>
      </c>
      <c r="R620" s="111" t="str">
        <f ca="1">IF(C620="","",R619+(E620+H620-IF(RESULTADOS!$C$17="Normal",I620,0)-J620)/2)</f>
        <v/>
      </c>
      <c r="S620" s="111">
        <f t="shared" ca="1" si="83"/>
        <v>0</v>
      </c>
      <c r="U620" s="131" t="str">
        <f t="shared" ca="1" si="84"/>
        <v/>
      </c>
      <c r="V620" s="131" t="str">
        <f t="shared" ca="1" si="85"/>
        <v/>
      </c>
      <c r="W620" s="111">
        <f ca="1">IF(OR((W619-13/12*Z619)*(1+PREMISSAS!$C$17)&lt;0,W619=""),0,(W619-13/12*Z619)*(1+PREMISSAS!$C$17))</f>
        <v>0</v>
      </c>
      <c r="X620" s="111">
        <f ca="1">IF(OR((X619-13/12*AA619)*(1+PREMISSAS!$C$17)&lt;0,X619=""),0,(X619-13/12*AA619)*(1+PREMISSAS!$C$17))</f>
        <v>0</v>
      </c>
      <c r="Y620" s="111">
        <f t="shared" ca="1" si="86"/>
        <v>0</v>
      </c>
      <c r="Z620" s="134">
        <f t="shared" ca="1" si="87"/>
        <v>0</v>
      </c>
      <c r="AA620" s="134">
        <f t="shared" ca="1" si="80"/>
        <v>0</v>
      </c>
    </row>
    <row r="621" spans="2:27" x14ac:dyDescent="0.3">
      <c r="B621" s="21" t="str">
        <f ca="1">IF(B620="","",IF(EOMONTH(B620,1)&gt;EOMONTH(ELEGIBILIDADE!$E$5,0),"",EOMONTH(B620,1)))</f>
        <v/>
      </c>
      <c r="C621" s="22" t="str">
        <f ca="1">IF(B621="","",IF(MONTH(B621)=1,C620*(1+PREMISSAS!$C$58),C620))</f>
        <v/>
      </c>
      <c r="D621" s="22">
        <f ca="1">IF(RESULTADOS!$C$17="Normal",IFERROR(MAX(C621-PREMISSAS!$C$14,0),0),IF(PREMISSAS!$H$117=0,0,MAX(10*PREMISSAS!$C$39,RESULTADOS!$F$17)))</f>
        <v>0</v>
      </c>
      <c r="E621" s="4">
        <f ca="1">D621*IF(RESULTADOS!$C$17="Normal",RESULTADOS!$C$16,0)</f>
        <v>0</v>
      </c>
      <c r="F621" s="4">
        <f ca="1">IF(D621&lt;&gt;0,PREMISSAS!$N$83,0)</f>
        <v>0</v>
      </c>
      <c r="G621" s="4">
        <f ca="1">IFERROR(IF(RESULTADOS!$C$17="Normal",0,D621)*IF(RESULTADOS!$C$17="Normal",RESULTADOS!$C$18,RESULTADOS!$C$16),0)</f>
        <v>0</v>
      </c>
      <c r="H621" s="4">
        <f ca="1">IF(RESULTADOS!$C$17="Normal",E621,0)</f>
        <v>0</v>
      </c>
      <c r="I621" s="4">
        <f ca="1">(E621+H621+G621)*IFERROR(VLOOKUP(INT(COUNT($B$5:B621)/12),PREMISSAS!$B$62:$C$69,2,FALSE),PREMISSAS!$C$69)</f>
        <v>0</v>
      </c>
      <c r="J621" s="4">
        <f ca="1">D621*IF(RESULTADOS!$C$17="Normal",PREMISSAS!$C$71,0)</f>
        <v>0</v>
      </c>
      <c r="K621" s="87">
        <f ca="1">IFERROR(K620*(1+PREMISSAS!$C$19)+(E621+H621-IF(RESULTADOS!$C$17="Normal",I621,0)-J621)*IF(MONTH(B621)=12,2,1),0)</f>
        <v>0</v>
      </c>
      <c r="L621" s="87">
        <f ca="1">IFERROR((L620+G621-IF(RESULTADOS!$C$17="Normal",0,I621))*(1+PREMISSAS!$C$19)+F621,0)</f>
        <v>0</v>
      </c>
      <c r="N621" s="58">
        <f t="shared" ca="1" si="81"/>
        <v>0</v>
      </c>
      <c r="P621" s="131" t="str">
        <f t="shared" ca="1" si="82"/>
        <v/>
      </c>
      <c r="Q621" s="111" t="str">
        <f ca="1">IF(C621="","",Q620+(E621+H621-IF(RESULTADOS!$C$17="Normal",I621,0)-J621)/2+(F621+G621-IF(RESULTADOS!$C$17="Normal",0,I621)))</f>
        <v/>
      </c>
      <c r="R621" s="111" t="str">
        <f ca="1">IF(C621="","",R620+(E621+H621-IF(RESULTADOS!$C$17="Normal",I621,0)-J621)/2)</f>
        <v/>
      </c>
      <c r="S621" s="111">
        <f t="shared" ca="1" si="83"/>
        <v>0</v>
      </c>
      <c r="U621" s="131" t="str">
        <f t="shared" ca="1" si="84"/>
        <v/>
      </c>
      <c r="V621" s="131" t="str">
        <f t="shared" ca="1" si="85"/>
        <v/>
      </c>
      <c r="W621" s="111">
        <f ca="1">IF(OR((W620-13/12*Z620)*(1+PREMISSAS!$C$17)&lt;0,W620=""),0,(W620-13/12*Z620)*(1+PREMISSAS!$C$17))</f>
        <v>0</v>
      </c>
      <c r="X621" s="111">
        <f ca="1">IF(OR((X620-13/12*AA620)*(1+PREMISSAS!$C$17)&lt;0,X620=""),0,(X620-13/12*AA620)*(1+PREMISSAS!$C$17))</f>
        <v>0</v>
      </c>
      <c r="Y621" s="111">
        <f t="shared" ca="1" si="86"/>
        <v>0</v>
      </c>
      <c r="Z621" s="134">
        <f t="shared" ca="1" si="87"/>
        <v>0</v>
      </c>
      <c r="AA621" s="134">
        <f t="shared" ca="1" si="80"/>
        <v>0</v>
      </c>
    </row>
    <row r="622" spans="2:27" x14ac:dyDescent="0.3">
      <c r="B622" s="21" t="str">
        <f ca="1">IF(B621="","",IF(EOMONTH(B621,1)&gt;EOMONTH(ELEGIBILIDADE!$E$5,0),"",EOMONTH(B621,1)))</f>
        <v/>
      </c>
      <c r="C622" s="22" t="str">
        <f ca="1">IF(B622="","",IF(MONTH(B622)=1,C621*(1+PREMISSAS!$C$58),C621))</f>
        <v/>
      </c>
      <c r="D622" s="22">
        <f ca="1">IF(RESULTADOS!$C$17="Normal",IFERROR(MAX(C622-PREMISSAS!$C$14,0),0),IF(PREMISSAS!$H$117=0,0,MAX(10*PREMISSAS!$C$39,RESULTADOS!$F$17)))</f>
        <v>0</v>
      </c>
      <c r="E622" s="4">
        <f ca="1">D622*IF(RESULTADOS!$C$17="Normal",RESULTADOS!$C$16,0)</f>
        <v>0</v>
      </c>
      <c r="F622" s="4">
        <f ca="1">IF(D622&lt;&gt;0,PREMISSAS!$N$83,0)</f>
        <v>0</v>
      </c>
      <c r="G622" s="4">
        <f ca="1">IFERROR(IF(RESULTADOS!$C$17="Normal",0,D622)*IF(RESULTADOS!$C$17="Normal",RESULTADOS!$C$18,RESULTADOS!$C$16),0)</f>
        <v>0</v>
      </c>
      <c r="H622" s="4">
        <f ca="1">IF(RESULTADOS!$C$17="Normal",E622,0)</f>
        <v>0</v>
      </c>
      <c r="I622" s="4">
        <f ca="1">(E622+H622+G622)*IFERROR(VLOOKUP(INT(COUNT($B$5:B622)/12),PREMISSAS!$B$62:$C$69,2,FALSE),PREMISSAS!$C$69)</f>
        <v>0</v>
      </c>
      <c r="J622" s="4">
        <f ca="1">D622*IF(RESULTADOS!$C$17="Normal",PREMISSAS!$C$71,0)</f>
        <v>0</v>
      </c>
      <c r="K622" s="87">
        <f ca="1">IFERROR(K621*(1+PREMISSAS!$C$19)+(E622+H622-IF(RESULTADOS!$C$17="Normal",I622,0)-J622)*IF(MONTH(B622)=12,2,1),0)</f>
        <v>0</v>
      </c>
      <c r="L622" s="87">
        <f ca="1">IFERROR((L621+G622-IF(RESULTADOS!$C$17="Normal",0,I622))*(1+PREMISSAS!$C$19)+F622,0)</f>
        <v>0</v>
      </c>
      <c r="N622" s="58">
        <f t="shared" ca="1" si="81"/>
        <v>0</v>
      </c>
      <c r="P622" s="131" t="str">
        <f t="shared" ca="1" si="82"/>
        <v/>
      </c>
      <c r="Q622" s="111" t="str">
        <f ca="1">IF(C622="","",Q621+(E622+H622-IF(RESULTADOS!$C$17="Normal",I622,0)-J622)/2+(F622+G622-IF(RESULTADOS!$C$17="Normal",0,I622)))</f>
        <v/>
      </c>
      <c r="R622" s="111" t="str">
        <f ca="1">IF(C622="","",R621+(E622+H622-IF(RESULTADOS!$C$17="Normal",I622,0)-J622)/2)</f>
        <v/>
      </c>
      <c r="S622" s="111">
        <f t="shared" ca="1" si="83"/>
        <v>0</v>
      </c>
      <c r="U622" s="131" t="str">
        <f t="shared" ca="1" si="84"/>
        <v/>
      </c>
      <c r="V622" s="131" t="str">
        <f t="shared" ca="1" si="85"/>
        <v/>
      </c>
      <c r="W622" s="111">
        <f ca="1">IF(OR((W621-13/12*Z621)*(1+PREMISSAS!$C$17)&lt;0,W621=""),0,(W621-13/12*Z621)*(1+PREMISSAS!$C$17))</f>
        <v>0</v>
      </c>
      <c r="X622" s="111">
        <f ca="1">IF(OR((X621-13/12*AA621)*(1+PREMISSAS!$C$17)&lt;0,X621=""),0,(X621-13/12*AA621)*(1+PREMISSAS!$C$17))</f>
        <v>0</v>
      </c>
      <c r="Y622" s="111">
        <f t="shared" ca="1" si="86"/>
        <v>0</v>
      </c>
      <c r="Z622" s="134">
        <f t="shared" ca="1" si="87"/>
        <v>0</v>
      </c>
      <c r="AA622" s="134">
        <f t="shared" ca="1" si="80"/>
        <v>0</v>
      </c>
    </row>
    <row r="623" spans="2:27" x14ac:dyDescent="0.3">
      <c r="B623" s="21" t="str">
        <f ca="1">IF(B622="","",IF(EOMONTH(B622,1)&gt;EOMONTH(ELEGIBILIDADE!$E$5,0),"",EOMONTH(B622,1)))</f>
        <v/>
      </c>
      <c r="C623" s="22" t="str">
        <f ca="1">IF(B623="","",IF(MONTH(B623)=1,C622*(1+PREMISSAS!$C$58),C622))</f>
        <v/>
      </c>
      <c r="D623" s="22">
        <f ca="1">IF(RESULTADOS!$C$17="Normal",IFERROR(MAX(C623-PREMISSAS!$C$14,0),0),IF(PREMISSAS!$H$117=0,0,MAX(10*PREMISSAS!$C$39,RESULTADOS!$F$17)))</f>
        <v>0</v>
      </c>
      <c r="E623" s="4">
        <f ca="1">D623*IF(RESULTADOS!$C$17="Normal",RESULTADOS!$C$16,0)</f>
        <v>0</v>
      </c>
      <c r="F623" s="4">
        <f ca="1">IF(D623&lt;&gt;0,PREMISSAS!$N$83,0)</f>
        <v>0</v>
      </c>
      <c r="G623" s="4">
        <f ca="1">IFERROR(IF(RESULTADOS!$C$17="Normal",0,D623)*IF(RESULTADOS!$C$17="Normal",RESULTADOS!$C$18,RESULTADOS!$C$16),0)</f>
        <v>0</v>
      </c>
      <c r="H623" s="4">
        <f ca="1">IF(RESULTADOS!$C$17="Normal",E623,0)</f>
        <v>0</v>
      </c>
      <c r="I623" s="4">
        <f ca="1">(E623+H623+G623)*IFERROR(VLOOKUP(INT(COUNT($B$5:B623)/12),PREMISSAS!$B$62:$C$69,2,FALSE),PREMISSAS!$C$69)</f>
        <v>0</v>
      </c>
      <c r="J623" s="4">
        <f ca="1">D623*IF(RESULTADOS!$C$17="Normal",PREMISSAS!$C$71,0)</f>
        <v>0</v>
      </c>
      <c r="K623" s="87">
        <f ca="1">IFERROR(K622*(1+PREMISSAS!$C$19)+(E623+H623-IF(RESULTADOS!$C$17="Normal",I623,0)-J623)*IF(MONTH(B623)=12,2,1),0)</f>
        <v>0</v>
      </c>
      <c r="L623" s="87">
        <f ca="1">IFERROR((L622+G623-IF(RESULTADOS!$C$17="Normal",0,I623))*(1+PREMISSAS!$C$19)+F623,0)</f>
        <v>0</v>
      </c>
      <c r="N623" s="58">
        <f t="shared" ca="1" si="81"/>
        <v>0</v>
      </c>
      <c r="P623" s="131" t="str">
        <f t="shared" ca="1" si="82"/>
        <v/>
      </c>
      <c r="Q623" s="111" t="str">
        <f ca="1">IF(C623="","",Q622+(E623+H623-IF(RESULTADOS!$C$17="Normal",I623,0)-J623)/2+(F623+G623-IF(RESULTADOS!$C$17="Normal",0,I623)))</f>
        <v/>
      </c>
      <c r="R623" s="111" t="str">
        <f ca="1">IF(C623="","",R622+(E623+H623-IF(RESULTADOS!$C$17="Normal",I623,0)-J623)/2)</f>
        <v/>
      </c>
      <c r="S623" s="111">
        <f t="shared" ca="1" si="83"/>
        <v>0</v>
      </c>
      <c r="U623" s="131" t="str">
        <f t="shared" ca="1" si="84"/>
        <v/>
      </c>
      <c r="V623" s="131" t="str">
        <f t="shared" ca="1" si="85"/>
        <v/>
      </c>
      <c r="W623" s="111">
        <f ca="1">IF(OR((W622-13/12*Z622)*(1+PREMISSAS!$C$17)&lt;0,W622=""),0,(W622-13/12*Z622)*(1+PREMISSAS!$C$17))</f>
        <v>0</v>
      </c>
      <c r="X623" s="111">
        <f ca="1">IF(OR((X622-13/12*AA622)*(1+PREMISSAS!$C$17)&lt;0,X622=""),0,(X622-13/12*AA622)*(1+PREMISSAS!$C$17))</f>
        <v>0</v>
      </c>
      <c r="Y623" s="111">
        <f t="shared" ca="1" si="86"/>
        <v>0</v>
      </c>
      <c r="Z623" s="134">
        <f t="shared" ca="1" si="87"/>
        <v>0</v>
      </c>
      <c r="AA623" s="134">
        <f t="shared" ca="1" si="80"/>
        <v>0</v>
      </c>
    </row>
    <row r="624" spans="2:27" x14ac:dyDescent="0.3">
      <c r="B624" s="21" t="str">
        <f ca="1">IF(B623="","",IF(EOMONTH(B623,1)&gt;EOMONTH(ELEGIBILIDADE!$E$5,0),"",EOMONTH(B623,1)))</f>
        <v/>
      </c>
      <c r="C624" s="22" t="str">
        <f ca="1">IF(B624="","",IF(MONTH(B624)=1,C623*(1+PREMISSAS!$C$58),C623))</f>
        <v/>
      </c>
      <c r="D624" s="22">
        <f ca="1">IF(RESULTADOS!$C$17="Normal",IFERROR(MAX(C624-PREMISSAS!$C$14,0),0),IF(PREMISSAS!$H$117=0,0,MAX(10*PREMISSAS!$C$39,RESULTADOS!$F$17)))</f>
        <v>0</v>
      </c>
      <c r="E624" s="4">
        <f ca="1">D624*IF(RESULTADOS!$C$17="Normal",RESULTADOS!$C$16,0)</f>
        <v>0</v>
      </c>
      <c r="F624" s="4">
        <f ca="1">IF(D624&lt;&gt;0,PREMISSAS!$N$83,0)</f>
        <v>0</v>
      </c>
      <c r="G624" s="4">
        <f ca="1">IFERROR(IF(RESULTADOS!$C$17="Normal",0,D624)*IF(RESULTADOS!$C$17="Normal",RESULTADOS!$C$18,RESULTADOS!$C$16),0)</f>
        <v>0</v>
      </c>
      <c r="H624" s="4">
        <f ca="1">IF(RESULTADOS!$C$17="Normal",E624,0)</f>
        <v>0</v>
      </c>
      <c r="I624" s="4">
        <f ca="1">(E624+H624+G624)*IFERROR(VLOOKUP(INT(COUNT($B$5:B624)/12),PREMISSAS!$B$62:$C$69,2,FALSE),PREMISSAS!$C$69)</f>
        <v>0</v>
      </c>
      <c r="J624" s="4">
        <f ca="1">D624*IF(RESULTADOS!$C$17="Normal",PREMISSAS!$C$71,0)</f>
        <v>0</v>
      </c>
      <c r="K624" s="87">
        <f ca="1">IFERROR(K623*(1+PREMISSAS!$C$19)+(E624+H624-IF(RESULTADOS!$C$17="Normal",I624,0)-J624)*IF(MONTH(B624)=12,2,1),0)</f>
        <v>0</v>
      </c>
      <c r="L624" s="87">
        <f ca="1">IFERROR((L623+G624-IF(RESULTADOS!$C$17="Normal",0,I624))*(1+PREMISSAS!$C$19)+F624,0)</f>
        <v>0</v>
      </c>
      <c r="N624" s="58">
        <f t="shared" ca="1" si="81"/>
        <v>0</v>
      </c>
      <c r="P624" s="131" t="str">
        <f t="shared" ca="1" si="82"/>
        <v/>
      </c>
      <c r="Q624" s="111" t="str">
        <f ca="1">IF(C624="","",Q623+(E624+H624-IF(RESULTADOS!$C$17="Normal",I624,0)-J624)/2+(F624+G624-IF(RESULTADOS!$C$17="Normal",0,I624)))</f>
        <v/>
      </c>
      <c r="R624" s="111" t="str">
        <f ca="1">IF(C624="","",R623+(E624+H624-IF(RESULTADOS!$C$17="Normal",I624,0)-J624)/2)</f>
        <v/>
      </c>
      <c r="S624" s="111">
        <f t="shared" ca="1" si="83"/>
        <v>0</v>
      </c>
      <c r="U624" s="131" t="str">
        <f t="shared" ca="1" si="84"/>
        <v/>
      </c>
      <c r="V624" s="131" t="str">
        <f t="shared" ca="1" si="85"/>
        <v/>
      </c>
      <c r="W624" s="111">
        <f ca="1">IF(OR((W623-13/12*Z623)*(1+PREMISSAS!$C$17)&lt;0,W623=""),0,(W623-13/12*Z623)*(1+PREMISSAS!$C$17))</f>
        <v>0</v>
      </c>
      <c r="X624" s="111">
        <f ca="1">IF(OR((X623-13/12*AA623)*(1+PREMISSAS!$C$17)&lt;0,X623=""),0,(X623-13/12*AA623)*(1+PREMISSAS!$C$17))</f>
        <v>0</v>
      </c>
      <c r="Y624" s="111">
        <f t="shared" ca="1" si="86"/>
        <v>0</v>
      </c>
      <c r="Z624" s="134">
        <f t="shared" ca="1" si="87"/>
        <v>0</v>
      </c>
      <c r="AA624" s="134">
        <f t="shared" ca="1" si="80"/>
        <v>0</v>
      </c>
    </row>
    <row r="625" spans="2:27" x14ac:dyDescent="0.3">
      <c r="B625" s="21" t="str">
        <f ca="1">IF(B624="","",IF(EOMONTH(B624,1)&gt;EOMONTH(ELEGIBILIDADE!$E$5,0),"",EOMONTH(B624,1)))</f>
        <v/>
      </c>
      <c r="C625" s="22" t="str">
        <f ca="1">IF(B625="","",IF(MONTH(B625)=1,C624*(1+PREMISSAS!$C$58),C624))</f>
        <v/>
      </c>
      <c r="D625" s="22">
        <f ca="1">IF(RESULTADOS!$C$17="Normal",IFERROR(MAX(C625-PREMISSAS!$C$14,0),0),IF(PREMISSAS!$H$117=0,0,MAX(10*PREMISSAS!$C$39,RESULTADOS!$F$17)))</f>
        <v>0</v>
      </c>
      <c r="E625" s="4">
        <f ca="1">D625*IF(RESULTADOS!$C$17="Normal",RESULTADOS!$C$16,0)</f>
        <v>0</v>
      </c>
      <c r="F625" s="4">
        <f ca="1">IF(D625&lt;&gt;0,PREMISSAS!$N$83,0)</f>
        <v>0</v>
      </c>
      <c r="G625" s="4">
        <f ca="1">IFERROR(IF(RESULTADOS!$C$17="Normal",0,D625)*IF(RESULTADOS!$C$17="Normal",RESULTADOS!$C$18,RESULTADOS!$C$16),0)</f>
        <v>0</v>
      </c>
      <c r="H625" s="4">
        <f ca="1">IF(RESULTADOS!$C$17="Normal",E625,0)</f>
        <v>0</v>
      </c>
      <c r="I625" s="4">
        <f ca="1">(E625+H625+G625)*IFERROR(VLOOKUP(INT(COUNT($B$5:B625)/12),PREMISSAS!$B$62:$C$69,2,FALSE),PREMISSAS!$C$69)</f>
        <v>0</v>
      </c>
      <c r="J625" s="4">
        <f ca="1">D625*IF(RESULTADOS!$C$17="Normal",PREMISSAS!$C$71,0)</f>
        <v>0</v>
      </c>
      <c r="K625" s="87">
        <f ca="1">IFERROR(K624*(1+PREMISSAS!$C$19)+(E625+H625-IF(RESULTADOS!$C$17="Normal",I625,0)-J625)*IF(MONTH(B625)=12,2,1),0)</f>
        <v>0</v>
      </c>
      <c r="L625" s="87">
        <f ca="1">IFERROR((L624+G625-IF(RESULTADOS!$C$17="Normal",0,I625))*(1+PREMISSAS!$C$19)+F625,0)</f>
        <v>0</v>
      </c>
      <c r="N625" s="58">
        <f t="shared" ca="1" si="81"/>
        <v>0</v>
      </c>
      <c r="P625" s="131" t="str">
        <f t="shared" ca="1" si="82"/>
        <v/>
      </c>
      <c r="Q625" s="111" t="str">
        <f ca="1">IF(C625="","",Q624+(E625+H625-IF(RESULTADOS!$C$17="Normal",I625,0)-J625)/2+(F625+G625-IF(RESULTADOS!$C$17="Normal",0,I625)))</f>
        <v/>
      </c>
      <c r="R625" s="111" t="str">
        <f ca="1">IF(C625="","",R624+(E625+H625-IF(RESULTADOS!$C$17="Normal",I625,0)-J625)/2)</f>
        <v/>
      </c>
      <c r="S625" s="111">
        <f t="shared" ca="1" si="83"/>
        <v>0</v>
      </c>
      <c r="U625" s="131" t="str">
        <f t="shared" ca="1" si="84"/>
        <v/>
      </c>
      <c r="V625" s="131" t="str">
        <f t="shared" ca="1" si="85"/>
        <v/>
      </c>
      <c r="W625" s="111">
        <f ca="1">IF(OR((W624-13/12*Z624)*(1+PREMISSAS!$C$17)&lt;0,W624=""),0,(W624-13/12*Z624)*(1+PREMISSAS!$C$17))</f>
        <v>0</v>
      </c>
      <c r="X625" s="111">
        <f ca="1">IF(OR((X624-13/12*AA624)*(1+PREMISSAS!$C$17)&lt;0,X624=""),0,(X624-13/12*AA624)*(1+PREMISSAS!$C$17))</f>
        <v>0</v>
      </c>
      <c r="Y625" s="111">
        <f t="shared" ca="1" si="86"/>
        <v>0</v>
      </c>
      <c r="Z625" s="134">
        <f t="shared" ca="1" si="87"/>
        <v>0</v>
      </c>
      <c r="AA625" s="134">
        <f t="shared" ca="1" si="80"/>
        <v>0</v>
      </c>
    </row>
    <row r="626" spans="2:27" x14ac:dyDescent="0.3">
      <c r="B626" s="21" t="str">
        <f ca="1">IF(B625="","",IF(EOMONTH(B625,1)&gt;EOMONTH(ELEGIBILIDADE!$E$5,0),"",EOMONTH(B625,1)))</f>
        <v/>
      </c>
      <c r="C626" s="22" t="str">
        <f ca="1">IF(B626="","",IF(MONTH(B626)=1,C625*(1+PREMISSAS!$C$58),C625))</f>
        <v/>
      </c>
      <c r="D626" s="22">
        <f ca="1">IF(RESULTADOS!$C$17="Normal",IFERROR(MAX(C626-PREMISSAS!$C$14,0),0),IF(PREMISSAS!$H$117=0,0,MAX(10*PREMISSAS!$C$39,RESULTADOS!$F$17)))</f>
        <v>0</v>
      </c>
      <c r="E626" s="4">
        <f ca="1">D626*IF(RESULTADOS!$C$17="Normal",RESULTADOS!$C$16,0)</f>
        <v>0</v>
      </c>
      <c r="F626" s="4">
        <f ca="1">IF(D626&lt;&gt;0,PREMISSAS!$N$83,0)</f>
        <v>0</v>
      </c>
      <c r="G626" s="4">
        <f ca="1">IFERROR(IF(RESULTADOS!$C$17="Normal",0,D626)*IF(RESULTADOS!$C$17="Normal",RESULTADOS!$C$18,RESULTADOS!$C$16),0)</f>
        <v>0</v>
      </c>
      <c r="H626" s="4">
        <f ca="1">IF(RESULTADOS!$C$17="Normal",E626,0)</f>
        <v>0</v>
      </c>
      <c r="I626" s="4">
        <f ca="1">(E626+H626+G626)*IFERROR(VLOOKUP(INT(COUNT($B$5:B626)/12),PREMISSAS!$B$62:$C$69,2,FALSE),PREMISSAS!$C$69)</f>
        <v>0</v>
      </c>
      <c r="J626" s="4">
        <f ca="1">D626*IF(RESULTADOS!$C$17="Normal",PREMISSAS!$C$71,0)</f>
        <v>0</v>
      </c>
      <c r="K626" s="87">
        <f ca="1">IFERROR(K625*(1+PREMISSAS!$C$19)+(E626+H626-IF(RESULTADOS!$C$17="Normal",I626,0)-J626)*IF(MONTH(B626)=12,2,1),0)</f>
        <v>0</v>
      </c>
      <c r="L626" s="87">
        <f ca="1">IFERROR((L625+G626-IF(RESULTADOS!$C$17="Normal",0,I626))*(1+PREMISSAS!$C$19)+F626,0)</f>
        <v>0</v>
      </c>
      <c r="N626" s="58">
        <f t="shared" ca="1" si="81"/>
        <v>0</v>
      </c>
      <c r="P626" s="131" t="str">
        <f t="shared" ca="1" si="82"/>
        <v/>
      </c>
      <c r="Q626" s="111" t="str">
        <f ca="1">IF(C626="","",Q625+(E626+H626-IF(RESULTADOS!$C$17="Normal",I626,0)-J626)/2+(F626+G626-IF(RESULTADOS!$C$17="Normal",0,I626)))</f>
        <v/>
      </c>
      <c r="R626" s="111" t="str">
        <f ca="1">IF(C626="","",R625+(E626+H626-IF(RESULTADOS!$C$17="Normal",I626,0)-J626)/2)</f>
        <v/>
      </c>
      <c r="S626" s="111">
        <f t="shared" ca="1" si="83"/>
        <v>0</v>
      </c>
      <c r="U626" s="131" t="str">
        <f t="shared" ca="1" si="84"/>
        <v/>
      </c>
      <c r="V626" s="131" t="str">
        <f t="shared" ca="1" si="85"/>
        <v/>
      </c>
      <c r="W626" s="111">
        <f ca="1">IF(OR((W625-13/12*Z625)*(1+PREMISSAS!$C$17)&lt;0,W625=""),0,(W625-13/12*Z625)*(1+PREMISSAS!$C$17))</f>
        <v>0</v>
      </c>
      <c r="X626" s="111">
        <f ca="1">IF(OR((X625-13/12*AA625)*(1+PREMISSAS!$C$17)&lt;0,X625=""),0,(X625-13/12*AA625)*(1+PREMISSAS!$C$17))</f>
        <v>0</v>
      </c>
      <c r="Y626" s="111">
        <f t="shared" ca="1" si="86"/>
        <v>0</v>
      </c>
      <c r="Z626" s="134">
        <f t="shared" ca="1" si="87"/>
        <v>0</v>
      </c>
      <c r="AA626" s="134">
        <f t="shared" ca="1" si="80"/>
        <v>0</v>
      </c>
    </row>
    <row r="627" spans="2:27" x14ac:dyDescent="0.3">
      <c r="B627" s="21" t="str">
        <f ca="1">IF(B626="","",IF(EOMONTH(B626,1)&gt;EOMONTH(ELEGIBILIDADE!$E$5,0),"",EOMONTH(B626,1)))</f>
        <v/>
      </c>
      <c r="C627" s="22" t="str">
        <f ca="1">IF(B627="","",IF(MONTH(B627)=1,C626*(1+PREMISSAS!$C$58),C626))</f>
        <v/>
      </c>
      <c r="D627" s="22">
        <f ca="1">IF(RESULTADOS!$C$17="Normal",IFERROR(MAX(C627-PREMISSAS!$C$14,0),0),IF(PREMISSAS!$H$117=0,0,MAX(10*PREMISSAS!$C$39,RESULTADOS!$F$17)))</f>
        <v>0</v>
      </c>
      <c r="E627" s="4">
        <f ca="1">D627*IF(RESULTADOS!$C$17="Normal",RESULTADOS!$C$16,0)</f>
        <v>0</v>
      </c>
      <c r="F627" s="4">
        <f ca="1">IF(D627&lt;&gt;0,PREMISSAS!$N$83,0)</f>
        <v>0</v>
      </c>
      <c r="G627" s="4">
        <f ca="1">IFERROR(IF(RESULTADOS!$C$17="Normal",0,D627)*IF(RESULTADOS!$C$17="Normal",RESULTADOS!$C$18,RESULTADOS!$C$16),0)</f>
        <v>0</v>
      </c>
      <c r="H627" s="4">
        <f ca="1">IF(RESULTADOS!$C$17="Normal",E627,0)</f>
        <v>0</v>
      </c>
      <c r="I627" s="4">
        <f ca="1">(E627+H627+G627)*IFERROR(VLOOKUP(INT(COUNT($B$5:B627)/12),PREMISSAS!$B$62:$C$69,2,FALSE),PREMISSAS!$C$69)</f>
        <v>0</v>
      </c>
      <c r="J627" s="4">
        <f ca="1">D627*IF(RESULTADOS!$C$17="Normal",PREMISSAS!$C$71,0)</f>
        <v>0</v>
      </c>
      <c r="K627" s="87">
        <f ca="1">IFERROR(K626*(1+PREMISSAS!$C$19)+(E627+H627-IF(RESULTADOS!$C$17="Normal",I627,0)-J627)*IF(MONTH(B627)=12,2,1),0)</f>
        <v>0</v>
      </c>
      <c r="L627" s="87">
        <f ca="1">IFERROR((L626+G627-IF(RESULTADOS!$C$17="Normal",0,I627))*(1+PREMISSAS!$C$19)+F627,0)</f>
        <v>0</v>
      </c>
      <c r="N627" s="58">
        <f t="shared" ca="1" si="81"/>
        <v>0</v>
      </c>
      <c r="P627" s="131" t="str">
        <f t="shared" ca="1" si="82"/>
        <v/>
      </c>
      <c r="Q627" s="111" t="str">
        <f ca="1">IF(C627="","",Q626+(E627+H627-IF(RESULTADOS!$C$17="Normal",I627,0)-J627)/2+(F627+G627-IF(RESULTADOS!$C$17="Normal",0,I627)))</f>
        <v/>
      </c>
      <c r="R627" s="111" t="str">
        <f ca="1">IF(C627="","",R626+(E627+H627-IF(RESULTADOS!$C$17="Normal",I627,0)-J627)/2)</f>
        <v/>
      </c>
      <c r="S627" s="111">
        <f t="shared" ca="1" si="83"/>
        <v>0</v>
      </c>
      <c r="U627" s="131" t="str">
        <f t="shared" ca="1" si="84"/>
        <v/>
      </c>
      <c r="V627" s="131" t="str">
        <f t="shared" ca="1" si="85"/>
        <v/>
      </c>
      <c r="W627" s="111">
        <f ca="1">IF(OR((W626-13/12*Z626)*(1+PREMISSAS!$C$17)&lt;0,W626=""),0,(W626-13/12*Z626)*(1+PREMISSAS!$C$17))</f>
        <v>0</v>
      </c>
      <c r="X627" s="111">
        <f ca="1">IF(OR((X626-13/12*AA626)*(1+PREMISSAS!$C$17)&lt;0,X626=""),0,(X626-13/12*AA626)*(1+PREMISSAS!$C$17))</f>
        <v>0</v>
      </c>
      <c r="Y627" s="111">
        <f t="shared" ca="1" si="86"/>
        <v>0</v>
      </c>
      <c r="Z627" s="134">
        <f t="shared" ca="1" si="87"/>
        <v>0</v>
      </c>
      <c r="AA627" s="134">
        <f t="shared" ca="1" si="80"/>
        <v>0</v>
      </c>
    </row>
    <row r="628" spans="2:27" x14ac:dyDescent="0.3">
      <c r="B628" s="21" t="str">
        <f ca="1">IF(B627="","",IF(EOMONTH(B627,1)&gt;EOMONTH(ELEGIBILIDADE!$E$5,0),"",EOMONTH(B627,1)))</f>
        <v/>
      </c>
      <c r="C628" s="22" t="str">
        <f ca="1">IF(B628="","",IF(MONTH(B628)=1,C627*(1+PREMISSAS!$C$58),C627))</f>
        <v/>
      </c>
      <c r="D628" s="22">
        <f ca="1">IF(RESULTADOS!$C$17="Normal",IFERROR(MAX(C628-PREMISSAS!$C$14,0),0),IF(PREMISSAS!$H$117=0,0,MAX(10*PREMISSAS!$C$39,RESULTADOS!$F$17)))</f>
        <v>0</v>
      </c>
      <c r="E628" s="4">
        <f ca="1">D628*IF(RESULTADOS!$C$17="Normal",RESULTADOS!$C$16,0)</f>
        <v>0</v>
      </c>
      <c r="F628" s="4">
        <f ca="1">IF(D628&lt;&gt;0,PREMISSAS!$N$83,0)</f>
        <v>0</v>
      </c>
      <c r="G628" s="4">
        <f ca="1">IFERROR(IF(RESULTADOS!$C$17="Normal",0,D628)*IF(RESULTADOS!$C$17="Normal",RESULTADOS!$C$18,RESULTADOS!$C$16),0)</f>
        <v>0</v>
      </c>
      <c r="H628" s="4">
        <f ca="1">IF(RESULTADOS!$C$17="Normal",E628,0)</f>
        <v>0</v>
      </c>
      <c r="I628" s="4">
        <f ca="1">(E628+H628+G628)*IFERROR(VLOOKUP(INT(COUNT($B$5:B628)/12),PREMISSAS!$B$62:$C$69,2,FALSE),PREMISSAS!$C$69)</f>
        <v>0</v>
      </c>
      <c r="J628" s="4">
        <f ca="1">D628*IF(RESULTADOS!$C$17="Normal",PREMISSAS!$C$71,0)</f>
        <v>0</v>
      </c>
      <c r="K628" s="87">
        <f ca="1">IFERROR(K627*(1+PREMISSAS!$C$19)+(E628+H628-IF(RESULTADOS!$C$17="Normal",I628,0)-J628)*IF(MONTH(B628)=12,2,1),0)</f>
        <v>0</v>
      </c>
      <c r="L628" s="87">
        <f ca="1">IFERROR((L627+G628-IF(RESULTADOS!$C$17="Normal",0,I628))*(1+PREMISSAS!$C$19)+F628,0)</f>
        <v>0</v>
      </c>
      <c r="N628" s="58">
        <f t="shared" ca="1" si="81"/>
        <v>0</v>
      </c>
      <c r="P628" s="131" t="str">
        <f t="shared" ca="1" si="82"/>
        <v/>
      </c>
      <c r="Q628" s="111" t="str">
        <f ca="1">IF(C628="","",Q627+(E628+H628-IF(RESULTADOS!$C$17="Normal",I628,0)-J628)/2+(F628+G628-IF(RESULTADOS!$C$17="Normal",0,I628)))</f>
        <v/>
      </c>
      <c r="R628" s="111" t="str">
        <f ca="1">IF(C628="","",R627+(E628+H628-IF(RESULTADOS!$C$17="Normal",I628,0)-J628)/2)</f>
        <v/>
      </c>
      <c r="S628" s="111">
        <f t="shared" ca="1" si="83"/>
        <v>0</v>
      </c>
      <c r="U628" s="131" t="str">
        <f t="shared" ca="1" si="84"/>
        <v/>
      </c>
      <c r="V628" s="131" t="str">
        <f t="shared" ca="1" si="85"/>
        <v/>
      </c>
      <c r="W628" s="111">
        <f ca="1">IF(OR((W627-13/12*Z627)*(1+PREMISSAS!$C$17)&lt;0,W627=""),0,(W627-13/12*Z627)*(1+PREMISSAS!$C$17))</f>
        <v>0</v>
      </c>
      <c r="X628" s="111">
        <f ca="1">IF(OR((X627-13/12*AA627)*(1+PREMISSAS!$C$17)&lt;0,X627=""),0,(X627-13/12*AA627)*(1+PREMISSAS!$C$17))</f>
        <v>0</v>
      </c>
      <c r="Y628" s="111">
        <f t="shared" ca="1" si="86"/>
        <v>0</v>
      </c>
      <c r="Z628" s="134">
        <f t="shared" ca="1" si="87"/>
        <v>0</v>
      </c>
      <c r="AA628" s="134">
        <f t="shared" ca="1" si="80"/>
        <v>0</v>
      </c>
    </row>
    <row r="629" spans="2:27" x14ac:dyDescent="0.3">
      <c r="B629" s="21" t="str">
        <f ca="1">IF(B628="","",IF(EOMONTH(B628,1)&gt;EOMONTH(ELEGIBILIDADE!$E$5,0),"",EOMONTH(B628,1)))</f>
        <v/>
      </c>
      <c r="C629" s="22" t="str">
        <f ca="1">IF(B629="","",IF(MONTH(B629)=1,C628*(1+PREMISSAS!$C$58),C628))</f>
        <v/>
      </c>
      <c r="D629" s="22">
        <f ca="1">IF(RESULTADOS!$C$17="Normal",IFERROR(MAX(C629-PREMISSAS!$C$14,0),0),IF(PREMISSAS!$H$117=0,0,MAX(10*PREMISSAS!$C$39,RESULTADOS!$F$17)))</f>
        <v>0</v>
      </c>
      <c r="E629" s="4">
        <f ca="1">D629*IF(RESULTADOS!$C$17="Normal",RESULTADOS!$C$16,0)</f>
        <v>0</v>
      </c>
      <c r="F629" s="4">
        <f ca="1">IF(D629&lt;&gt;0,PREMISSAS!$N$83,0)</f>
        <v>0</v>
      </c>
      <c r="G629" s="4">
        <f ca="1">IFERROR(IF(RESULTADOS!$C$17="Normal",0,D629)*IF(RESULTADOS!$C$17="Normal",RESULTADOS!$C$18,RESULTADOS!$C$16),0)</f>
        <v>0</v>
      </c>
      <c r="H629" s="4">
        <f ca="1">IF(RESULTADOS!$C$17="Normal",E629,0)</f>
        <v>0</v>
      </c>
      <c r="I629" s="4">
        <f ca="1">(E629+H629+G629)*IFERROR(VLOOKUP(INT(COUNT($B$5:B629)/12),PREMISSAS!$B$62:$C$69,2,FALSE),PREMISSAS!$C$69)</f>
        <v>0</v>
      </c>
      <c r="J629" s="4">
        <f ca="1">D629*IF(RESULTADOS!$C$17="Normal",PREMISSAS!$C$71,0)</f>
        <v>0</v>
      </c>
      <c r="K629" s="87">
        <f ca="1">IFERROR(K628*(1+PREMISSAS!$C$19)+(E629+H629-IF(RESULTADOS!$C$17="Normal",I629,0)-J629)*IF(MONTH(B629)=12,2,1),0)</f>
        <v>0</v>
      </c>
      <c r="L629" s="87">
        <f ca="1">IFERROR((L628+G629-IF(RESULTADOS!$C$17="Normal",0,I629))*(1+PREMISSAS!$C$19)+F629,0)</f>
        <v>0</v>
      </c>
      <c r="N629" s="58">
        <f t="shared" ca="1" si="81"/>
        <v>0</v>
      </c>
      <c r="P629" s="131" t="str">
        <f t="shared" ca="1" si="82"/>
        <v/>
      </c>
      <c r="Q629" s="111" t="str">
        <f ca="1">IF(C629="","",Q628+(E629+H629-IF(RESULTADOS!$C$17="Normal",I629,0)-J629)/2+(F629+G629-IF(RESULTADOS!$C$17="Normal",0,I629)))</f>
        <v/>
      </c>
      <c r="R629" s="111" t="str">
        <f ca="1">IF(C629="","",R628+(E629+H629-IF(RESULTADOS!$C$17="Normal",I629,0)-J629)/2)</f>
        <v/>
      </c>
      <c r="S629" s="111">
        <f t="shared" ca="1" si="83"/>
        <v>0</v>
      </c>
      <c r="U629" s="131" t="str">
        <f t="shared" ca="1" si="84"/>
        <v/>
      </c>
      <c r="V629" s="131" t="str">
        <f t="shared" ca="1" si="85"/>
        <v/>
      </c>
      <c r="W629" s="111">
        <f ca="1">IF(OR((W628-13/12*Z628)*(1+PREMISSAS!$C$17)&lt;0,W628=""),0,(W628-13/12*Z628)*(1+PREMISSAS!$C$17))</f>
        <v>0</v>
      </c>
      <c r="X629" s="111">
        <f ca="1">IF(OR((X628-13/12*AA628)*(1+PREMISSAS!$C$17)&lt;0,X628=""),0,(X628-13/12*AA628)*(1+PREMISSAS!$C$17))</f>
        <v>0</v>
      </c>
      <c r="Y629" s="111">
        <f t="shared" ca="1" si="86"/>
        <v>0</v>
      </c>
      <c r="Z629" s="134">
        <f t="shared" ca="1" si="87"/>
        <v>0</v>
      </c>
      <c r="AA629" s="134">
        <f t="shared" ca="1" si="80"/>
        <v>0</v>
      </c>
    </row>
    <row r="630" spans="2:27" x14ac:dyDescent="0.3">
      <c r="B630" s="21" t="str">
        <f ca="1">IF(B629="","",IF(EOMONTH(B629,1)&gt;EOMONTH(ELEGIBILIDADE!$E$5,0),"",EOMONTH(B629,1)))</f>
        <v/>
      </c>
      <c r="C630" s="22" t="str">
        <f ca="1">IF(B630="","",IF(MONTH(B630)=1,C629*(1+PREMISSAS!$C$58),C629))</f>
        <v/>
      </c>
      <c r="D630" s="22">
        <f ca="1">IF(RESULTADOS!$C$17="Normal",IFERROR(MAX(C630-PREMISSAS!$C$14,0),0),IF(PREMISSAS!$H$117=0,0,MAX(10*PREMISSAS!$C$39,RESULTADOS!$F$17)))</f>
        <v>0</v>
      </c>
      <c r="E630" s="4">
        <f ca="1">D630*IF(RESULTADOS!$C$17="Normal",RESULTADOS!$C$16,0)</f>
        <v>0</v>
      </c>
      <c r="F630" s="4">
        <f ca="1">IF(D630&lt;&gt;0,PREMISSAS!$N$83,0)</f>
        <v>0</v>
      </c>
      <c r="G630" s="4">
        <f ca="1">IFERROR(IF(RESULTADOS!$C$17="Normal",0,D630)*IF(RESULTADOS!$C$17="Normal",RESULTADOS!$C$18,RESULTADOS!$C$16),0)</f>
        <v>0</v>
      </c>
      <c r="H630" s="4">
        <f ca="1">IF(RESULTADOS!$C$17="Normal",E630,0)</f>
        <v>0</v>
      </c>
      <c r="I630" s="4">
        <f ca="1">(E630+H630+G630)*IFERROR(VLOOKUP(INT(COUNT($B$5:B630)/12),PREMISSAS!$B$62:$C$69,2,FALSE),PREMISSAS!$C$69)</f>
        <v>0</v>
      </c>
      <c r="J630" s="4">
        <f ca="1">D630*IF(RESULTADOS!$C$17="Normal",PREMISSAS!$C$71,0)</f>
        <v>0</v>
      </c>
      <c r="K630" s="87">
        <f ca="1">IFERROR(K629*(1+PREMISSAS!$C$19)+(E630+H630-IF(RESULTADOS!$C$17="Normal",I630,0)-J630)*IF(MONTH(B630)=12,2,1),0)</f>
        <v>0</v>
      </c>
      <c r="L630" s="87">
        <f ca="1">IFERROR((L629+G630-IF(RESULTADOS!$C$17="Normal",0,I630))*(1+PREMISSAS!$C$19)+F630,0)</f>
        <v>0</v>
      </c>
      <c r="N630" s="58">
        <f t="shared" ca="1" si="81"/>
        <v>0</v>
      </c>
      <c r="P630" s="131" t="str">
        <f t="shared" ca="1" si="82"/>
        <v/>
      </c>
      <c r="Q630" s="111" t="str">
        <f ca="1">IF(C630="","",Q629+(E630+H630-IF(RESULTADOS!$C$17="Normal",I630,0)-J630)/2+(F630+G630-IF(RESULTADOS!$C$17="Normal",0,I630)))</f>
        <v/>
      </c>
      <c r="R630" s="111" t="str">
        <f ca="1">IF(C630="","",R629+(E630+H630-IF(RESULTADOS!$C$17="Normal",I630,0)-J630)/2)</f>
        <v/>
      </c>
      <c r="S630" s="111">
        <f t="shared" ca="1" si="83"/>
        <v>0</v>
      </c>
      <c r="U630" s="131" t="str">
        <f t="shared" ca="1" si="84"/>
        <v/>
      </c>
      <c r="V630" s="131" t="str">
        <f t="shared" ca="1" si="85"/>
        <v/>
      </c>
      <c r="W630" s="111">
        <f ca="1">IF(OR((W629-13/12*Z629)*(1+PREMISSAS!$C$17)&lt;0,W629=""),0,(W629-13/12*Z629)*(1+PREMISSAS!$C$17))</f>
        <v>0</v>
      </c>
      <c r="X630" s="111">
        <f ca="1">IF(OR((X629-13/12*AA629)*(1+PREMISSAS!$C$17)&lt;0,X629=""),0,(X629-13/12*AA629)*(1+PREMISSAS!$C$17))</f>
        <v>0</v>
      </c>
      <c r="Y630" s="111">
        <f t="shared" ca="1" si="86"/>
        <v>0</v>
      </c>
      <c r="Z630" s="134">
        <f t="shared" ca="1" si="87"/>
        <v>0</v>
      </c>
      <c r="AA630" s="134">
        <f t="shared" ca="1" si="80"/>
        <v>0</v>
      </c>
    </row>
    <row r="631" spans="2:27" x14ac:dyDescent="0.3">
      <c r="B631" s="21" t="str">
        <f ca="1">IF(B630="","",IF(EOMONTH(B630,1)&gt;EOMONTH(ELEGIBILIDADE!$E$5,0),"",EOMONTH(B630,1)))</f>
        <v/>
      </c>
      <c r="C631" s="22" t="str">
        <f ca="1">IF(B631="","",IF(MONTH(B631)=1,C630*(1+PREMISSAS!$C$58),C630))</f>
        <v/>
      </c>
      <c r="D631" s="22">
        <f ca="1">IF(RESULTADOS!$C$17="Normal",IFERROR(MAX(C631-PREMISSAS!$C$14,0),0),IF(PREMISSAS!$H$117=0,0,MAX(10*PREMISSAS!$C$39,RESULTADOS!$F$17)))</f>
        <v>0</v>
      </c>
      <c r="E631" s="4">
        <f ca="1">D631*IF(RESULTADOS!$C$17="Normal",RESULTADOS!$C$16,0)</f>
        <v>0</v>
      </c>
      <c r="F631" s="4">
        <f ca="1">IF(D631&lt;&gt;0,PREMISSAS!$N$83,0)</f>
        <v>0</v>
      </c>
      <c r="G631" s="4">
        <f ca="1">IFERROR(IF(RESULTADOS!$C$17="Normal",0,D631)*IF(RESULTADOS!$C$17="Normal",RESULTADOS!$C$18,RESULTADOS!$C$16),0)</f>
        <v>0</v>
      </c>
      <c r="H631" s="4">
        <f ca="1">IF(RESULTADOS!$C$17="Normal",E631,0)</f>
        <v>0</v>
      </c>
      <c r="I631" s="4">
        <f ca="1">(E631+H631+G631)*IFERROR(VLOOKUP(INT(COUNT($B$5:B631)/12),PREMISSAS!$B$62:$C$69,2,FALSE),PREMISSAS!$C$69)</f>
        <v>0</v>
      </c>
      <c r="J631" s="4">
        <f ca="1">D631*IF(RESULTADOS!$C$17="Normal",PREMISSAS!$C$71,0)</f>
        <v>0</v>
      </c>
      <c r="K631" s="87">
        <f ca="1">IFERROR(K630*(1+PREMISSAS!$C$19)+(E631+H631-IF(RESULTADOS!$C$17="Normal",I631,0)-J631)*IF(MONTH(B631)=12,2,1),0)</f>
        <v>0</v>
      </c>
      <c r="L631" s="87">
        <f ca="1">IFERROR((L630+G631-IF(RESULTADOS!$C$17="Normal",0,I631))*(1+PREMISSAS!$C$19)+F631,0)</f>
        <v>0</v>
      </c>
      <c r="N631" s="58">
        <f t="shared" ca="1" si="81"/>
        <v>0</v>
      </c>
      <c r="P631" s="131" t="str">
        <f t="shared" ca="1" si="82"/>
        <v/>
      </c>
      <c r="Q631" s="111" t="str">
        <f ca="1">IF(C631="","",Q630+(E631+H631-IF(RESULTADOS!$C$17="Normal",I631,0)-J631)/2+(F631+G631-IF(RESULTADOS!$C$17="Normal",0,I631)))</f>
        <v/>
      </c>
      <c r="R631" s="111" t="str">
        <f ca="1">IF(C631="","",R630+(E631+H631-IF(RESULTADOS!$C$17="Normal",I631,0)-J631)/2)</f>
        <v/>
      </c>
      <c r="S631" s="111">
        <f t="shared" ca="1" si="83"/>
        <v>0</v>
      </c>
      <c r="U631" s="131" t="str">
        <f t="shared" ca="1" si="84"/>
        <v/>
      </c>
      <c r="V631" s="131" t="str">
        <f t="shared" ca="1" si="85"/>
        <v/>
      </c>
      <c r="W631" s="111">
        <f ca="1">IF(OR((W630-13/12*Z630)*(1+PREMISSAS!$C$17)&lt;0,W630=""),0,(W630-13/12*Z630)*(1+PREMISSAS!$C$17))</f>
        <v>0</v>
      </c>
      <c r="X631" s="111">
        <f ca="1">IF(OR((X630-13/12*AA630)*(1+PREMISSAS!$C$17)&lt;0,X630=""),0,(X630-13/12*AA630)*(1+PREMISSAS!$C$17))</f>
        <v>0</v>
      </c>
      <c r="Y631" s="111">
        <f t="shared" ca="1" si="86"/>
        <v>0</v>
      </c>
      <c r="Z631" s="134">
        <f t="shared" ca="1" si="87"/>
        <v>0</v>
      </c>
      <c r="AA631" s="134">
        <f t="shared" ca="1" si="80"/>
        <v>0</v>
      </c>
    </row>
    <row r="632" spans="2:27" x14ac:dyDescent="0.3">
      <c r="B632" s="21" t="str">
        <f ca="1">IF(B631="","",IF(EOMONTH(B631,1)&gt;EOMONTH(ELEGIBILIDADE!$E$5,0),"",EOMONTH(B631,1)))</f>
        <v/>
      </c>
      <c r="C632" s="22" t="str">
        <f ca="1">IF(B632="","",IF(MONTH(B632)=1,C631*(1+PREMISSAS!$C$58),C631))</f>
        <v/>
      </c>
      <c r="D632" s="22">
        <f ca="1">IF(RESULTADOS!$C$17="Normal",IFERROR(MAX(C632-PREMISSAS!$C$14,0),0),IF(PREMISSAS!$H$117=0,0,MAX(10*PREMISSAS!$C$39,RESULTADOS!$F$17)))</f>
        <v>0</v>
      </c>
      <c r="E632" s="4">
        <f ca="1">D632*IF(RESULTADOS!$C$17="Normal",RESULTADOS!$C$16,0)</f>
        <v>0</v>
      </c>
      <c r="F632" s="4">
        <f ca="1">IF(D632&lt;&gt;0,PREMISSAS!$N$83,0)</f>
        <v>0</v>
      </c>
      <c r="G632" s="4">
        <f ca="1">IFERROR(IF(RESULTADOS!$C$17="Normal",0,D632)*IF(RESULTADOS!$C$17="Normal",RESULTADOS!$C$18,RESULTADOS!$C$16),0)</f>
        <v>0</v>
      </c>
      <c r="H632" s="4">
        <f ca="1">IF(RESULTADOS!$C$17="Normal",E632,0)</f>
        <v>0</v>
      </c>
      <c r="I632" s="4">
        <f ca="1">(E632+H632+G632)*IFERROR(VLOOKUP(INT(COUNT($B$5:B632)/12),PREMISSAS!$B$62:$C$69,2,FALSE),PREMISSAS!$C$69)</f>
        <v>0</v>
      </c>
      <c r="J632" s="4">
        <f ca="1">D632*IF(RESULTADOS!$C$17="Normal",PREMISSAS!$C$71,0)</f>
        <v>0</v>
      </c>
      <c r="K632" s="87">
        <f ca="1">IFERROR(K631*(1+PREMISSAS!$C$19)+(E632+H632-IF(RESULTADOS!$C$17="Normal",I632,0)-J632)*IF(MONTH(B632)=12,2,1),0)</f>
        <v>0</v>
      </c>
      <c r="L632" s="87">
        <f ca="1">IFERROR((L631+G632-IF(RESULTADOS!$C$17="Normal",0,I632))*(1+PREMISSAS!$C$19)+F632,0)</f>
        <v>0</v>
      </c>
      <c r="N632" s="58">
        <f t="shared" ca="1" si="81"/>
        <v>0</v>
      </c>
      <c r="P632" s="131" t="str">
        <f t="shared" ca="1" si="82"/>
        <v/>
      </c>
      <c r="Q632" s="111" t="str">
        <f ca="1">IF(C632="","",Q631+(E632+H632-IF(RESULTADOS!$C$17="Normal",I632,0)-J632)/2+(F632+G632-IF(RESULTADOS!$C$17="Normal",0,I632)))</f>
        <v/>
      </c>
      <c r="R632" s="111" t="str">
        <f ca="1">IF(C632="","",R631+(E632+H632-IF(RESULTADOS!$C$17="Normal",I632,0)-J632)/2)</f>
        <v/>
      </c>
      <c r="S632" s="111">
        <f t="shared" ca="1" si="83"/>
        <v>0</v>
      </c>
      <c r="U632" s="131" t="str">
        <f t="shared" ca="1" si="84"/>
        <v/>
      </c>
      <c r="V632" s="131" t="str">
        <f t="shared" ca="1" si="85"/>
        <v/>
      </c>
      <c r="W632" s="111">
        <f ca="1">IF(OR((W631-13/12*Z631)*(1+PREMISSAS!$C$17)&lt;0,W631=""),0,(W631-13/12*Z631)*(1+PREMISSAS!$C$17))</f>
        <v>0</v>
      </c>
      <c r="X632" s="111">
        <f ca="1">IF(OR((X631-13/12*AA631)*(1+PREMISSAS!$C$17)&lt;0,X631=""),0,(X631-13/12*AA631)*(1+PREMISSAS!$C$17))</f>
        <v>0</v>
      </c>
      <c r="Y632" s="111">
        <f t="shared" ca="1" si="86"/>
        <v>0</v>
      </c>
      <c r="Z632" s="134">
        <f t="shared" ca="1" si="87"/>
        <v>0</v>
      </c>
      <c r="AA632" s="134">
        <f t="shared" ca="1" si="80"/>
        <v>0</v>
      </c>
    </row>
    <row r="633" spans="2:27" x14ac:dyDescent="0.3">
      <c r="B633" s="21" t="str">
        <f ca="1">IF(B632="","",IF(EOMONTH(B632,1)&gt;EOMONTH(ELEGIBILIDADE!$E$5,0),"",EOMONTH(B632,1)))</f>
        <v/>
      </c>
      <c r="C633" s="22" t="str">
        <f ca="1">IF(B633="","",IF(MONTH(B633)=1,C632*(1+PREMISSAS!$C$58),C632))</f>
        <v/>
      </c>
      <c r="D633" s="22">
        <f ca="1">IF(RESULTADOS!$C$17="Normal",IFERROR(MAX(C633-PREMISSAS!$C$14,0),0),IF(PREMISSAS!$H$117=0,0,MAX(10*PREMISSAS!$C$39,RESULTADOS!$F$17)))</f>
        <v>0</v>
      </c>
      <c r="E633" s="4">
        <f ca="1">D633*IF(RESULTADOS!$C$17="Normal",RESULTADOS!$C$16,0)</f>
        <v>0</v>
      </c>
      <c r="F633" s="4">
        <f ca="1">IF(D633&lt;&gt;0,PREMISSAS!$N$83,0)</f>
        <v>0</v>
      </c>
      <c r="G633" s="4">
        <f ca="1">IFERROR(IF(RESULTADOS!$C$17="Normal",0,D633)*IF(RESULTADOS!$C$17="Normal",RESULTADOS!$C$18,RESULTADOS!$C$16),0)</f>
        <v>0</v>
      </c>
      <c r="H633" s="4">
        <f ca="1">IF(RESULTADOS!$C$17="Normal",E633,0)</f>
        <v>0</v>
      </c>
      <c r="I633" s="4">
        <f ca="1">(E633+H633+G633)*IFERROR(VLOOKUP(INT(COUNT($B$5:B633)/12),PREMISSAS!$B$62:$C$69,2,FALSE),PREMISSAS!$C$69)</f>
        <v>0</v>
      </c>
      <c r="J633" s="4">
        <f ca="1">D633*IF(RESULTADOS!$C$17="Normal",PREMISSAS!$C$71,0)</f>
        <v>0</v>
      </c>
      <c r="K633" s="87">
        <f ca="1">IFERROR(K632*(1+PREMISSAS!$C$19)+(E633+H633-IF(RESULTADOS!$C$17="Normal",I633,0)-J633)*IF(MONTH(B633)=12,2,1),0)</f>
        <v>0</v>
      </c>
      <c r="L633" s="87">
        <f ca="1">IFERROR((L632+G633-IF(RESULTADOS!$C$17="Normal",0,I633))*(1+PREMISSAS!$C$19)+F633,0)</f>
        <v>0</v>
      </c>
      <c r="N633" s="58">
        <f t="shared" ca="1" si="81"/>
        <v>0</v>
      </c>
      <c r="P633" s="131" t="str">
        <f t="shared" ca="1" si="82"/>
        <v/>
      </c>
      <c r="Q633" s="111" t="str">
        <f ca="1">IF(C633="","",Q632+(E633+H633-IF(RESULTADOS!$C$17="Normal",I633,0)-J633)/2+(F633+G633-IF(RESULTADOS!$C$17="Normal",0,I633)))</f>
        <v/>
      </c>
      <c r="R633" s="111" t="str">
        <f ca="1">IF(C633="","",R632+(E633+H633-IF(RESULTADOS!$C$17="Normal",I633,0)-J633)/2)</f>
        <v/>
      </c>
      <c r="S633" s="111">
        <f t="shared" ca="1" si="83"/>
        <v>0</v>
      </c>
      <c r="U633" s="131" t="str">
        <f t="shared" ca="1" si="84"/>
        <v/>
      </c>
      <c r="V633" s="131" t="str">
        <f t="shared" ca="1" si="85"/>
        <v/>
      </c>
      <c r="W633" s="111">
        <f ca="1">IF(OR((W632-13/12*Z632)*(1+PREMISSAS!$C$17)&lt;0,W632=""),0,(W632-13/12*Z632)*(1+PREMISSAS!$C$17))</f>
        <v>0</v>
      </c>
      <c r="X633" s="111">
        <f ca="1">IF(OR((X632-13/12*AA632)*(1+PREMISSAS!$C$17)&lt;0,X632=""),0,(X632-13/12*AA632)*(1+PREMISSAS!$C$17))</f>
        <v>0</v>
      </c>
      <c r="Y633" s="111">
        <f t="shared" ca="1" si="86"/>
        <v>0</v>
      </c>
      <c r="Z633" s="134">
        <f t="shared" ca="1" si="87"/>
        <v>0</v>
      </c>
      <c r="AA633" s="134">
        <f t="shared" ca="1" si="80"/>
        <v>0</v>
      </c>
    </row>
    <row r="634" spans="2:27" x14ac:dyDescent="0.3">
      <c r="B634" s="21" t="str">
        <f ca="1">IF(B633="","",IF(EOMONTH(B633,1)&gt;EOMONTH(ELEGIBILIDADE!$E$5,0),"",EOMONTH(B633,1)))</f>
        <v/>
      </c>
      <c r="C634" s="22" t="str">
        <f ca="1">IF(B634="","",IF(MONTH(B634)=1,C633*(1+PREMISSAS!$C$58),C633))</f>
        <v/>
      </c>
      <c r="D634" s="22">
        <f ca="1">IF(RESULTADOS!$C$17="Normal",IFERROR(MAX(C634-PREMISSAS!$C$14,0),0),IF(PREMISSAS!$H$117=0,0,MAX(10*PREMISSAS!$C$39,RESULTADOS!$F$17)))</f>
        <v>0</v>
      </c>
      <c r="E634" s="4">
        <f ca="1">D634*IF(RESULTADOS!$C$17="Normal",RESULTADOS!$C$16,0)</f>
        <v>0</v>
      </c>
      <c r="F634" s="4">
        <f ca="1">IF(D634&lt;&gt;0,PREMISSAS!$N$83,0)</f>
        <v>0</v>
      </c>
      <c r="G634" s="4">
        <f ca="1">IFERROR(IF(RESULTADOS!$C$17="Normal",0,D634)*IF(RESULTADOS!$C$17="Normal",RESULTADOS!$C$18,RESULTADOS!$C$16),0)</f>
        <v>0</v>
      </c>
      <c r="H634" s="4">
        <f ca="1">IF(RESULTADOS!$C$17="Normal",E634,0)</f>
        <v>0</v>
      </c>
      <c r="I634" s="4">
        <f ca="1">(E634+H634+G634)*IFERROR(VLOOKUP(INT(COUNT($B$5:B634)/12),PREMISSAS!$B$62:$C$69,2,FALSE),PREMISSAS!$C$69)</f>
        <v>0</v>
      </c>
      <c r="J634" s="4">
        <f ca="1">D634*IF(RESULTADOS!$C$17="Normal",PREMISSAS!$C$71,0)</f>
        <v>0</v>
      </c>
      <c r="K634" s="87">
        <f ca="1">IFERROR(K633*(1+PREMISSAS!$C$19)+(E634+H634-IF(RESULTADOS!$C$17="Normal",I634,0)-J634)*IF(MONTH(B634)=12,2,1),0)</f>
        <v>0</v>
      </c>
      <c r="L634" s="87">
        <f ca="1">IFERROR((L633+G634-IF(RESULTADOS!$C$17="Normal",0,I634))*(1+PREMISSAS!$C$19)+F634,0)</f>
        <v>0</v>
      </c>
      <c r="N634" s="58">
        <f t="shared" ref="N634:N663" ca="1" si="88">IFERROR((E634+F634+G634)/C634,0)</f>
        <v>0</v>
      </c>
      <c r="P634" s="131" t="str">
        <f t="shared" ref="P634:P663" ca="1" si="89">IF(C634="","",B634)</f>
        <v/>
      </c>
      <c r="Q634" s="111" t="str">
        <f ca="1">IF(C634="","",Q633+(E634+H634-IF(RESULTADOS!$C$17="Normal",I634,0)-J634)/2+(F634+G634-IF(RESULTADOS!$C$17="Normal",0,I634)))</f>
        <v/>
      </c>
      <c r="R634" s="111" t="str">
        <f ca="1">IF(C634="","",R633+(E634+H634-IF(RESULTADOS!$C$17="Normal",I634,0)-J634)/2)</f>
        <v/>
      </c>
      <c r="S634" s="111">
        <f t="shared" ref="S634:S663" ca="1" si="90">SUM(K634:L634)-SUM(Q634:R634)</f>
        <v>0</v>
      </c>
      <c r="U634" s="131" t="str">
        <f t="shared" ref="U634:U663" ca="1" si="91">IF(Y634=0,"",EOMONTH(U633,1))</f>
        <v/>
      </c>
      <c r="V634" s="131" t="str">
        <f t="shared" ref="V634:V663" ca="1" si="92">IF(AA634&lt;&gt;"",U634,"")</f>
        <v/>
      </c>
      <c r="W634" s="111">
        <f ca="1">IF(OR((W633-13/12*Z633)*(1+PREMISSAS!$C$17)&lt;0,W633=""),0,(W633-13/12*Z633)*(1+PREMISSAS!$C$17))</f>
        <v>0</v>
      </c>
      <c r="X634" s="111">
        <f ca="1">IF(OR((X633-13/12*AA633)*(1+PREMISSAS!$C$17)&lt;0,X633=""),0,(X633-13/12*AA633)*(1+PREMISSAS!$C$17))</f>
        <v>0</v>
      </c>
      <c r="Y634" s="111">
        <f t="shared" ref="Y634:Y663" ca="1" si="93">SUM(W634:X634)</f>
        <v>0</v>
      </c>
      <c r="Z634" s="134">
        <f t="shared" ref="Z634:Z663" ca="1" si="94">IF(W634&lt;&gt;0,Z633,0)</f>
        <v>0</v>
      </c>
      <c r="AA634" s="134">
        <f t="shared" ca="1" si="80"/>
        <v>0</v>
      </c>
    </row>
    <row r="635" spans="2:27" x14ac:dyDescent="0.3">
      <c r="B635" s="21" t="str">
        <f ca="1">IF(B634="","",IF(EOMONTH(B634,1)&gt;EOMONTH(ELEGIBILIDADE!$E$5,0),"",EOMONTH(B634,1)))</f>
        <v/>
      </c>
      <c r="C635" s="22" t="str">
        <f ca="1">IF(B635="","",IF(MONTH(B635)=1,C634*(1+PREMISSAS!$C$58),C634))</f>
        <v/>
      </c>
      <c r="D635" s="22">
        <f ca="1">IF(RESULTADOS!$C$17="Normal",IFERROR(MAX(C635-PREMISSAS!$C$14,0),0),IF(PREMISSAS!$H$117=0,0,MAX(10*PREMISSAS!$C$39,RESULTADOS!$F$17)))</f>
        <v>0</v>
      </c>
      <c r="E635" s="4">
        <f ca="1">D635*IF(RESULTADOS!$C$17="Normal",RESULTADOS!$C$16,0)</f>
        <v>0</v>
      </c>
      <c r="F635" s="4">
        <f ca="1">IF(D635&lt;&gt;0,PREMISSAS!$N$83,0)</f>
        <v>0</v>
      </c>
      <c r="G635" s="4">
        <f ca="1">IFERROR(IF(RESULTADOS!$C$17="Normal",0,D635)*IF(RESULTADOS!$C$17="Normal",RESULTADOS!$C$18,RESULTADOS!$C$16),0)</f>
        <v>0</v>
      </c>
      <c r="H635" s="4">
        <f ca="1">IF(RESULTADOS!$C$17="Normal",E635,0)</f>
        <v>0</v>
      </c>
      <c r="I635" s="4">
        <f ca="1">(E635+H635+G635)*IFERROR(VLOOKUP(INT(COUNT($B$5:B635)/12),PREMISSAS!$B$62:$C$69,2,FALSE),PREMISSAS!$C$69)</f>
        <v>0</v>
      </c>
      <c r="J635" s="4">
        <f ca="1">D635*IF(RESULTADOS!$C$17="Normal",PREMISSAS!$C$71,0)</f>
        <v>0</v>
      </c>
      <c r="K635" s="87">
        <f ca="1">IFERROR(K634*(1+PREMISSAS!$C$19)+(E635+H635-IF(RESULTADOS!$C$17="Normal",I635,0)-J635)*IF(MONTH(B635)=12,2,1),0)</f>
        <v>0</v>
      </c>
      <c r="L635" s="87">
        <f ca="1">IFERROR((L634+G635-IF(RESULTADOS!$C$17="Normal",0,I635))*(1+PREMISSAS!$C$19)+F635,0)</f>
        <v>0</v>
      </c>
      <c r="N635" s="58">
        <f t="shared" ca="1" si="88"/>
        <v>0</v>
      </c>
      <c r="P635" s="131" t="str">
        <f t="shared" ca="1" si="89"/>
        <v/>
      </c>
      <c r="Q635" s="111" t="str">
        <f ca="1">IF(C635="","",Q634+(E635+H635-IF(RESULTADOS!$C$17="Normal",I635,0)-J635)/2+(F635+G635-IF(RESULTADOS!$C$17="Normal",0,I635)))</f>
        <v/>
      </c>
      <c r="R635" s="111" t="str">
        <f ca="1">IF(C635="","",R634+(E635+H635-IF(RESULTADOS!$C$17="Normal",I635,0)-J635)/2)</f>
        <v/>
      </c>
      <c r="S635" s="111">
        <f t="shared" ca="1" si="90"/>
        <v>0</v>
      </c>
      <c r="U635" s="131" t="str">
        <f t="shared" ca="1" si="91"/>
        <v/>
      </c>
      <c r="V635" s="131" t="str">
        <f t="shared" ca="1" si="92"/>
        <v/>
      </c>
      <c r="W635" s="111">
        <f ca="1">IF(OR((W634-13/12*Z634)*(1+PREMISSAS!$C$17)&lt;0,W634=""),0,(W634-13/12*Z634)*(1+PREMISSAS!$C$17))</f>
        <v>0</v>
      </c>
      <c r="X635" s="111">
        <f ca="1">IF(OR((X634-13/12*AA634)*(1+PREMISSAS!$C$17)&lt;0,X634=""),0,(X634-13/12*AA634)*(1+PREMISSAS!$C$17))</f>
        <v>0</v>
      </c>
      <c r="Y635" s="111">
        <f t="shared" ca="1" si="93"/>
        <v>0</v>
      </c>
      <c r="Z635" s="134">
        <f t="shared" ca="1" si="94"/>
        <v>0</v>
      </c>
      <c r="AA635" s="134">
        <f t="shared" ca="1" si="80"/>
        <v>0</v>
      </c>
    </row>
    <row r="636" spans="2:27" x14ac:dyDescent="0.3">
      <c r="B636" s="21" t="str">
        <f ca="1">IF(B635="","",IF(EOMONTH(B635,1)&gt;EOMONTH(ELEGIBILIDADE!$E$5,0),"",EOMONTH(B635,1)))</f>
        <v/>
      </c>
      <c r="C636" s="22" t="str">
        <f ca="1">IF(B636="","",IF(MONTH(B636)=1,C635*(1+PREMISSAS!$C$58),C635))</f>
        <v/>
      </c>
      <c r="D636" s="22">
        <f ca="1">IF(RESULTADOS!$C$17="Normal",IFERROR(MAX(C636-PREMISSAS!$C$14,0),0),IF(PREMISSAS!$H$117=0,0,MAX(10*PREMISSAS!$C$39,RESULTADOS!$F$17)))</f>
        <v>0</v>
      </c>
      <c r="E636" s="4">
        <f ca="1">D636*IF(RESULTADOS!$C$17="Normal",RESULTADOS!$C$16,0)</f>
        <v>0</v>
      </c>
      <c r="F636" s="4">
        <f ca="1">IF(D636&lt;&gt;0,PREMISSAS!$N$83,0)</f>
        <v>0</v>
      </c>
      <c r="G636" s="4">
        <f ca="1">IFERROR(IF(RESULTADOS!$C$17="Normal",0,D636)*IF(RESULTADOS!$C$17="Normal",RESULTADOS!$C$18,RESULTADOS!$C$16),0)</f>
        <v>0</v>
      </c>
      <c r="H636" s="4">
        <f ca="1">IF(RESULTADOS!$C$17="Normal",E636,0)</f>
        <v>0</v>
      </c>
      <c r="I636" s="4">
        <f ca="1">(E636+H636+G636)*IFERROR(VLOOKUP(INT(COUNT($B$5:B636)/12),PREMISSAS!$B$62:$C$69,2,FALSE),PREMISSAS!$C$69)</f>
        <v>0</v>
      </c>
      <c r="J636" s="4">
        <f ca="1">D636*IF(RESULTADOS!$C$17="Normal",PREMISSAS!$C$71,0)</f>
        <v>0</v>
      </c>
      <c r="K636" s="87">
        <f ca="1">IFERROR(K635*(1+PREMISSAS!$C$19)+(E636+H636-IF(RESULTADOS!$C$17="Normal",I636,0)-J636)*IF(MONTH(B636)=12,2,1),0)</f>
        <v>0</v>
      </c>
      <c r="L636" s="87">
        <f ca="1">IFERROR((L635+G636-IF(RESULTADOS!$C$17="Normal",0,I636))*(1+PREMISSAS!$C$19)+F636,0)</f>
        <v>0</v>
      </c>
      <c r="N636" s="58">
        <f t="shared" ca="1" si="88"/>
        <v>0</v>
      </c>
      <c r="P636" s="131" t="str">
        <f t="shared" ca="1" si="89"/>
        <v/>
      </c>
      <c r="Q636" s="111" t="str">
        <f ca="1">IF(C636="","",Q635+(E636+H636-IF(RESULTADOS!$C$17="Normal",I636,0)-J636)/2+(F636+G636-IF(RESULTADOS!$C$17="Normal",0,I636)))</f>
        <v/>
      </c>
      <c r="R636" s="111" t="str">
        <f ca="1">IF(C636="","",R635+(E636+H636-IF(RESULTADOS!$C$17="Normal",I636,0)-J636)/2)</f>
        <v/>
      </c>
      <c r="S636" s="111">
        <f t="shared" ca="1" si="90"/>
        <v>0</v>
      </c>
      <c r="U636" s="131" t="str">
        <f t="shared" ca="1" si="91"/>
        <v/>
      </c>
      <c r="V636" s="131" t="str">
        <f t="shared" ca="1" si="92"/>
        <v/>
      </c>
      <c r="W636" s="111">
        <f ca="1">IF(OR((W635-13/12*Z635)*(1+PREMISSAS!$C$17)&lt;0,W635=""),0,(W635-13/12*Z635)*(1+PREMISSAS!$C$17))</f>
        <v>0</v>
      </c>
      <c r="X636" s="111">
        <f ca="1">IF(OR((X635-13/12*AA635)*(1+PREMISSAS!$C$17)&lt;0,X635=""),0,(X635-13/12*AA635)*(1+PREMISSAS!$C$17))</f>
        <v>0</v>
      </c>
      <c r="Y636" s="111">
        <f t="shared" ca="1" si="93"/>
        <v>0</v>
      </c>
      <c r="Z636" s="134">
        <f t="shared" ca="1" si="94"/>
        <v>0</v>
      </c>
      <c r="AA636" s="134">
        <f t="shared" ca="1" si="80"/>
        <v>0</v>
      </c>
    </row>
    <row r="637" spans="2:27" x14ac:dyDescent="0.3">
      <c r="B637" s="21" t="str">
        <f ca="1">IF(B636="","",IF(EOMONTH(B636,1)&gt;EOMONTH(ELEGIBILIDADE!$E$5,0),"",EOMONTH(B636,1)))</f>
        <v/>
      </c>
      <c r="C637" s="22" t="str">
        <f ca="1">IF(B637="","",IF(MONTH(B637)=1,C636*(1+PREMISSAS!$C$58),C636))</f>
        <v/>
      </c>
      <c r="D637" s="22">
        <f ca="1">IF(RESULTADOS!$C$17="Normal",IFERROR(MAX(C637-PREMISSAS!$C$14,0),0),IF(PREMISSAS!$H$117=0,0,MAX(10*PREMISSAS!$C$39,RESULTADOS!$F$17)))</f>
        <v>0</v>
      </c>
      <c r="E637" s="4">
        <f ca="1">D637*IF(RESULTADOS!$C$17="Normal",RESULTADOS!$C$16,0)</f>
        <v>0</v>
      </c>
      <c r="F637" s="4">
        <f ca="1">IF(D637&lt;&gt;0,PREMISSAS!$N$83,0)</f>
        <v>0</v>
      </c>
      <c r="G637" s="4">
        <f ca="1">IFERROR(IF(RESULTADOS!$C$17="Normal",0,D637)*IF(RESULTADOS!$C$17="Normal",RESULTADOS!$C$18,RESULTADOS!$C$16),0)</f>
        <v>0</v>
      </c>
      <c r="H637" s="4">
        <f ca="1">IF(RESULTADOS!$C$17="Normal",E637,0)</f>
        <v>0</v>
      </c>
      <c r="I637" s="4">
        <f ca="1">(E637+H637+G637)*IFERROR(VLOOKUP(INT(COUNT($B$5:B637)/12),PREMISSAS!$B$62:$C$69,2,FALSE),PREMISSAS!$C$69)</f>
        <v>0</v>
      </c>
      <c r="J637" s="4">
        <f ca="1">D637*IF(RESULTADOS!$C$17="Normal",PREMISSAS!$C$71,0)</f>
        <v>0</v>
      </c>
      <c r="K637" s="87">
        <f ca="1">IFERROR(K636*(1+PREMISSAS!$C$19)+(E637+H637-IF(RESULTADOS!$C$17="Normal",I637,0)-J637)*IF(MONTH(B637)=12,2,1),0)</f>
        <v>0</v>
      </c>
      <c r="L637" s="87">
        <f ca="1">IFERROR((L636+G637-IF(RESULTADOS!$C$17="Normal",0,I637))*(1+PREMISSAS!$C$19)+F637,0)</f>
        <v>0</v>
      </c>
      <c r="N637" s="58">
        <f t="shared" ca="1" si="88"/>
        <v>0</v>
      </c>
      <c r="P637" s="131" t="str">
        <f t="shared" ca="1" si="89"/>
        <v/>
      </c>
      <c r="Q637" s="111" t="str">
        <f ca="1">IF(C637="","",Q636+(E637+H637-IF(RESULTADOS!$C$17="Normal",I637,0)-J637)/2+(F637+G637-IF(RESULTADOS!$C$17="Normal",0,I637)))</f>
        <v/>
      </c>
      <c r="R637" s="111" t="str">
        <f ca="1">IF(C637="","",R636+(E637+H637-IF(RESULTADOS!$C$17="Normal",I637,0)-J637)/2)</f>
        <v/>
      </c>
      <c r="S637" s="111">
        <f t="shared" ca="1" si="90"/>
        <v>0</v>
      </c>
      <c r="U637" s="131" t="str">
        <f t="shared" ca="1" si="91"/>
        <v/>
      </c>
      <c r="V637" s="131" t="str">
        <f t="shared" ca="1" si="92"/>
        <v/>
      </c>
      <c r="W637" s="111">
        <f ca="1">IF(OR((W636-13/12*Z636)*(1+PREMISSAS!$C$17)&lt;0,W636=""),0,(W636-13/12*Z636)*(1+PREMISSAS!$C$17))</f>
        <v>0</v>
      </c>
      <c r="X637" s="111">
        <f ca="1">IF(OR((X636-13/12*AA636)*(1+PREMISSAS!$C$17)&lt;0,X636=""),0,(X636-13/12*AA636)*(1+PREMISSAS!$C$17))</f>
        <v>0</v>
      </c>
      <c r="Y637" s="111">
        <f t="shared" ca="1" si="93"/>
        <v>0</v>
      </c>
      <c r="Z637" s="134">
        <f t="shared" ca="1" si="94"/>
        <v>0</v>
      </c>
      <c r="AA637" s="134">
        <f t="shared" ca="1" si="80"/>
        <v>0</v>
      </c>
    </row>
    <row r="638" spans="2:27" x14ac:dyDescent="0.3">
      <c r="B638" s="21" t="str">
        <f ca="1">IF(B637="","",IF(EOMONTH(B637,1)&gt;EOMONTH(ELEGIBILIDADE!$E$5,0),"",EOMONTH(B637,1)))</f>
        <v/>
      </c>
      <c r="C638" s="22" t="str">
        <f ca="1">IF(B638="","",IF(MONTH(B638)=1,C637*(1+PREMISSAS!$C$58),C637))</f>
        <v/>
      </c>
      <c r="D638" s="22">
        <f ca="1">IF(RESULTADOS!$C$17="Normal",IFERROR(MAX(C638-PREMISSAS!$C$14,0),0),IF(PREMISSAS!$H$117=0,0,MAX(10*PREMISSAS!$C$39,RESULTADOS!$F$17)))</f>
        <v>0</v>
      </c>
      <c r="E638" s="4">
        <f ca="1">D638*IF(RESULTADOS!$C$17="Normal",RESULTADOS!$C$16,0)</f>
        <v>0</v>
      </c>
      <c r="F638" s="4">
        <f ca="1">IF(D638&lt;&gt;0,PREMISSAS!$N$83,0)</f>
        <v>0</v>
      </c>
      <c r="G638" s="4">
        <f ca="1">IFERROR(IF(RESULTADOS!$C$17="Normal",0,D638)*IF(RESULTADOS!$C$17="Normal",RESULTADOS!$C$18,RESULTADOS!$C$16),0)</f>
        <v>0</v>
      </c>
      <c r="H638" s="4">
        <f ca="1">IF(RESULTADOS!$C$17="Normal",E638,0)</f>
        <v>0</v>
      </c>
      <c r="I638" s="4">
        <f ca="1">(E638+H638+G638)*IFERROR(VLOOKUP(INT(COUNT($B$5:B638)/12),PREMISSAS!$B$62:$C$69,2,FALSE),PREMISSAS!$C$69)</f>
        <v>0</v>
      </c>
      <c r="J638" s="4">
        <f ca="1">D638*IF(RESULTADOS!$C$17="Normal",PREMISSAS!$C$71,0)</f>
        <v>0</v>
      </c>
      <c r="K638" s="87">
        <f ca="1">IFERROR(K637*(1+PREMISSAS!$C$19)+(E638+H638-IF(RESULTADOS!$C$17="Normal",I638,0)-J638)*IF(MONTH(B638)=12,2,1),0)</f>
        <v>0</v>
      </c>
      <c r="L638" s="87">
        <f ca="1">IFERROR((L637+G638-IF(RESULTADOS!$C$17="Normal",0,I638))*(1+PREMISSAS!$C$19)+F638,0)</f>
        <v>0</v>
      </c>
      <c r="N638" s="58">
        <f t="shared" ca="1" si="88"/>
        <v>0</v>
      </c>
      <c r="P638" s="131" t="str">
        <f t="shared" ca="1" si="89"/>
        <v/>
      </c>
      <c r="Q638" s="111" t="str">
        <f ca="1">IF(C638="","",Q637+(E638+H638-IF(RESULTADOS!$C$17="Normal",I638,0)-J638)/2+(F638+G638-IF(RESULTADOS!$C$17="Normal",0,I638)))</f>
        <v/>
      </c>
      <c r="R638" s="111" t="str">
        <f ca="1">IF(C638="","",R637+(E638+H638-IF(RESULTADOS!$C$17="Normal",I638,0)-J638)/2)</f>
        <v/>
      </c>
      <c r="S638" s="111">
        <f t="shared" ca="1" si="90"/>
        <v>0</v>
      </c>
      <c r="U638" s="131" t="str">
        <f t="shared" ca="1" si="91"/>
        <v/>
      </c>
      <c r="V638" s="131" t="str">
        <f t="shared" ca="1" si="92"/>
        <v/>
      </c>
      <c r="W638" s="111">
        <f ca="1">IF(OR((W637-13/12*Z637)*(1+PREMISSAS!$C$17)&lt;0,W637=""),0,(W637-13/12*Z637)*(1+PREMISSAS!$C$17))</f>
        <v>0</v>
      </c>
      <c r="X638" s="111">
        <f ca="1">IF(OR((X637-13/12*AA637)*(1+PREMISSAS!$C$17)&lt;0,X637=""),0,(X637-13/12*AA637)*(1+PREMISSAS!$C$17))</f>
        <v>0</v>
      </c>
      <c r="Y638" s="111">
        <f t="shared" ca="1" si="93"/>
        <v>0</v>
      </c>
      <c r="Z638" s="134">
        <f t="shared" ca="1" si="94"/>
        <v>0</v>
      </c>
      <c r="AA638" s="134">
        <f t="shared" ca="1" si="80"/>
        <v>0</v>
      </c>
    </row>
    <row r="639" spans="2:27" x14ac:dyDescent="0.3">
      <c r="B639" s="21" t="str">
        <f ca="1">IF(B638="","",IF(EOMONTH(B638,1)&gt;EOMONTH(ELEGIBILIDADE!$E$5,0),"",EOMONTH(B638,1)))</f>
        <v/>
      </c>
      <c r="C639" s="22" t="str">
        <f ca="1">IF(B639="","",IF(MONTH(B639)=1,C638*(1+PREMISSAS!$C$58),C638))</f>
        <v/>
      </c>
      <c r="D639" s="22">
        <f ca="1">IF(RESULTADOS!$C$17="Normal",IFERROR(MAX(C639-PREMISSAS!$C$14,0),0),IF(PREMISSAS!$H$117=0,0,MAX(10*PREMISSAS!$C$39,RESULTADOS!$F$17)))</f>
        <v>0</v>
      </c>
      <c r="E639" s="4">
        <f ca="1">D639*IF(RESULTADOS!$C$17="Normal",RESULTADOS!$C$16,0)</f>
        <v>0</v>
      </c>
      <c r="F639" s="4">
        <f ca="1">IF(D639&lt;&gt;0,PREMISSAS!$N$83,0)</f>
        <v>0</v>
      </c>
      <c r="G639" s="4">
        <f ca="1">IFERROR(IF(RESULTADOS!$C$17="Normal",0,D639)*IF(RESULTADOS!$C$17="Normal",RESULTADOS!$C$18,RESULTADOS!$C$16),0)</f>
        <v>0</v>
      </c>
      <c r="H639" s="4">
        <f ca="1">IF(RESULTADOS!$C$17="Normal",E639,0)</f>
        <v>0</v>
      </c>
      <c r="I639" s="4">
        <f ca="1">(E639+H639+G639)*IFERROR(VLOOKUP(INT(COUNT($B$5:B639)/12),PREMISSAS!$B$62:$C$69,2,FALSE),PREMISSAS!$C$69)</f>
        <v>0</v>
      </c>
      <c r="J639" s="4">
        <f ca="1">D639*IF(RESULTADOS!$C$17="Normal",PREMISSAS!$C$71,0)</f>
        <v>0</v>
      </c>
      <c r="K639" s="87">
        <f ca="1">IFERROR(K638*(1+PREMISSAS!$C$19)+(E639+H639-IF(RESULTADOS!$C$17="Normal",I639,0)-J639)*IF(MONTH(B639)=12,2,1),0)</f>
        <v>0</v>
      </c>
      <c r="L639" s="87">
        <f ca="1">IFERROR((L638+G639-IF(RESULTADOS!$C$17="Normal",0,I639))*(1+PREMISSAS!$C$19)+F639,0)</f>
        <v>0</v>
      </c>
      <c r="N639" s="58">
        <f t="shared" ca="1" si="88"/>
        <v>0</v>
      </c>
      <c r="P639" s="131" t="str">
        <f t="shared" ca="1" si="89"/>
        <v/>
      </c>
      <c r="Q639" s="111" t="str">
        <f ca="1">IF(C639="","",Q638+(E639+H639-IF(RESULTADOS!$C$17="Normal",I639,0)-J639)/2+(F639+G639-IF(RESULTADOS!$C$17="Normal",0,I639)))</f>
        <v/>
      </c>
      <c r="R639" s="111" t="str">
        <f ca="1">IF(C639="","",R638+(E639+H639-IF(RESULTADOS!$C$17="Normal",I639,0)-J639)/2)</f>
        <v/>
      </c>
      <c r="S639" s="111">
        <f t="shared" ca="1" si="90"/>
        <v>0</v>
      </c>
      <c r="U639" s="131" t="str">
        <f t="shared" ca="1" si="91"/>
        <v/>
      </c>
      <c r="V639" s="131" t="str">
        <f t="shared" ca="1" si="92"/>
        <v/>
      </c>
      <c r="W639" s="111">
        <f ca="1">IF(OR((W638-13/12*Z638)*(1+PREMISSAS!$C$17)&lt;0,W638=""),0,(W638-13/12*Z638)*(1+PREMISSAS!$C$17))</f>
        <v>0</v>
      </c>
      <c r="X639" s="111">
        <f ca="1">IF(OR((X638-13/12*AA638)*(1+PREMISSAS!$C$17)&lt;0,X638=""),0,(X638-13/12*AA638)*(1+PREMISSAS!$C$17))</f>
        <v>0</v>
      </c>
      <c r="Y639" s="111">
        <f t="shared" ca="1" si="93"/>
        <v>0</v>
      </c>
      <c r="Z639" s="134">
        <f t="shared" ca="1" si="94"/>
        <v>0</v>
      </c>
      <c r="AA639" s="134">
        <f t="shared" ca="1" si="80"/>
        <v>0</v>
      </c>
    </row>
    <row r="640" spans="2:27" x14ac:dyDescent="0.3">
      <c r="B640" s="21" t="str">
        <f ca="1">IF(B639="","",IF(EOMONTH(B639,1)&gt;EOMONTH(ELEGIBILIDADE!$E$5,0),"",EOMONTH(B639,1)))</f>
        <v/>
      </c>
      <c r="C640" s="22" t="str">
        <f ca="1">IF(B640="","",IF(MONTH(B640)=1,C639*(1+PREMISSAS!$C$58),C639))</f>
        <v/>
      </c>
      <c r="D640" s="22">
        <f ca="1">IF(RESULTADOS!$C$17="Normal",IFERROR(MAX(C640-PREMISSAS!$C$14,0),0),IF(PREMISSAS!$H$117=0,0,MAX(10*PREMISSAS!$C$39,RESULTADOS!$F$17)))</f>
        <v>0</v>
      </c>
      <c r="E640" s="4">
        <f ca="1">D640*IF(RESULTADOS!$C$17="Normal",RESULTADOS!$C$16,0)</f>
        <v>0</v>
      </c>
      <c r="F640" s="4">
        <f ca="1">IF(D640&lt;&gt;0,PREMISSAS!$N$83,0)</f>
        <v>0</v>
      </c>
      <c r="G640" s="4">
        <f ca="1">IFERROR(IF(RESULTADOS!$C$17="Normal",0,D640)*IF(RESULTADOS!$C$17="Normal",RESULTADOS!$C$18,RESULTADOS!$C$16),0)</f>
        <v>0</v>
      </c>
      <c r="H640" s="4">
        <f ca="1">IF(RESULTADOS!$C$17="Normal",E640,0)</f>
        <v>0</v>
      </c>
      <c r="I640" s="4">
        <f ca="1">(E640+H640+G640)*IFERROR(VLOOKUP(INT(COUNT($B$5:B640)/12),PREMISSAS!$B$62:$C$69,2,FALSE),PREMISSAS!$C$69)</f>
        <v>0</v>
      </c>
      <c r="J640" s="4">
        <f ca="1">D640*IF(RESULTADOS!$C$17="Normal",PREMISSAS!$C$71,0)</f>
        <v>0</v>
      </c>
      <c r="K640" s="87">
        <f ca="1">IFERROR(K639*(1+PREMISSAS!$C$19)+(E640+H640-IF(RESULTADOS!$C$17="Normal",I640,0)-J640)*IF(MONTH(B640)=12,2,1),0)</f>
        <v>0</v>
      </c>
      <c r="L640" s="87">
        <f ca="1">IFERROR((L639+G640-IF(RESULTADOS!$C$17="Normal",0,I640))*(1+PREMISSAS!$C$19)+F640,0)</f>
        <v>0</v>
      </c>
      <c r="N640" s="58">
        <f t="shared" ca="1" si="88"/>
        <v>0</v>
      </c>
      <c r="P640" s="131" t="str">
        <f t="shared" ca="1" si="89"/>
        <v/>
      </c>
      <c r="Q640" s="111" t="str">
        <f ca="1">IF(C640="","",Q639+(E640+H640-IF(RESULTADOS!$C$17="Normal",I640,0)-J640)/2+(F640+G640-IF(RESULTADOS!$C$17="Normal",0,I640)))</f>
        <v/>
      </c>
      <c r="R640" s="111" t="str">
        <f ca="1">IF(C640="","",R639+(E640+H640-IF(RESULTADOS!$C$17="Normal",I640,0)-J640)/2)</f>
        <v/>
      </c>
      <c r="S640" s="111">
        <f t="shared" ca="1" si="90"/>
        <v>0</v>
      </c>
      <c r="U640" s="131" t="str">
        <f t="shared" ca="1" si="91"/>
        <v/>
      </c>
      <c r="V640" s="131" t="str">
        <f t="shared" ca="1" si="92"/>
        <v/>
      </c>
      <c r="W640" s="111">
        <f ca="1">IF(OR((W639-13/12*Z639)*(1+PREMISSAS!$C$17)&lt;0,W639=""),0,(W639-13/12*Z639)*(1+PREMISSAS!$C$17))</f>
        <v>0</v>
      </c>
      <c r="X640" s="111">
        <f ca="1">IF(OR((X639-13/12*AA639)*(1+PREMISSAS!$C$17)&lt;0,X639=""),0,(X639-13/12*AA639)*(1+PREMISSAS!$C$17))</f>
        <v>0</v>
      </c>
      <c r="Y640" s="111">
        <f t="shared" ca="1" si="93"/>
        <v>0</v>
      </c>
      <c r="Z640" s="134">
        <f t="shared" ca="1" si="94"/>
        <v>0</v>
      </c>
      <c r="AA640" s="134">
        <f t="shared" ca="1" si="80"/>
        <v>0</v>
      </c>
    </row>
    <row r="641" spans="2:27" x14ac:dyDescent="0.3">
      <c r="B641" s="21" t="str">
        <f ca="1">IF(B640="","",IF(EOMONTH(B640,1)&gt;EOMONTH(ELEGIBILIDADE!$E$5,0),"",EOMONTH(B640,1)))</f>
        <v/>
      </c>
      <c r="C641" s="22" t="str">
        <f ca="1">IF(B641="","",IF(MONTH(B641)=1,C640*(1+PREMISSAS!$C$58),C640))</f>
        <v/>
      </c>
      <c r="D641" s="22">
        <f ca="1">IF(RESULTADOS!$C$17="Normal",IFERROR(MAX(C641-PREMISSAS!$C$14,0),0),IF(PREMISSAS!$H$117=0,0,MAX(10*PREMISSAS!$C$39,RESULTADOS!$F$17)))</f>
        <v>0</v>
      </c>
      <c r="E641" s="4">
        <f ca="1">D641*IF(RESULTADOS!$C$17="Normal",RESULTADOS!$C$16,0)</f>
        <v>0</v>
      </c>
      <c r="F641" s="4">
        <f ca="1">IF(D641&lt;&gt;0,PREMISSAS!$N$83,0)</f>
        <v>0</v>
      </c>
      <c r="G641" s="4">
        <f ca="1">IFERROR(IF(RESULTADOS!$C$17="Normal",0,D641)*IF(RESULTADOS!$C$17="Normal",RESULTADOS!$C$18,RESULTADOS!$C$16),0)</f>
        <v>0</v>
      </c>
      <c r="H641" s="4">
        <f ca="1">IF(RESULTADOS!$C$17="Normal",E641,0)</f>
        <v>0</v>
      </c>
      <c r="I641" s="4">
        <f ca="1">(E641+H641+G641)*IFERROR(VLOOKUP(INT(COUNT($B$5:B641)/12),PREMISSAS!$B$62:$C$69,2,FALSE),PREMISSAS!$C$69)</f>
        <v>0</v>
      </c>
      <c r="J641" s="4">
        <f ca="1">D641*IF(RESULTADOS!$C$17="Normal",PREMISSAS!$C$71,0)</f>
        <v>0</v>
      </c>
      <c r="K641" s="87">
        <f ca="1">IFERROR(K640*(1+PREMISSAS!$C$19)+(E641+H641-IF(RESULTADOS!$C$17="Normal",I641,0)-J641)*IF(MONTH(B641)=12,2,1),0)</f>
        <v>0</v>
      </c>
      <c r="L641" s="87">
        <f ca="1">IFERROR((L640+G641-IF(RESULTADOS!$C$17="Normal",0,I641))*(1+PREMISSAS!$C$19)+F641,0)</f>
        <v>0</v>
      </c>
      <c r="N641" s="58">
        <f t="shared" ca="1" si="88"/>
        <v>0</v>
      </c>
      <c r="P641" s="131" t="str">
        <f t="shared" ca="1" si="89"/>
        <v/>
      </c>
      <c r="Q641" s="111" t="str">
        <f ca="1">IF(C641="","",Q640+(E641+H641-IF(RESULTADOS!$C$17="Normal",I641,0)-J641)/2+(F641+G641-IF(RESULTADOS!$C$17="Normal",0,I641)))</f>
        <v/>
      </c>
      <c r="R641" s="111" t="str">
        <f ca="1">IF(C641="","",R640+(E641+H641-IF(RESULTADOS!$C$17="Normal",I641,0)-J641)/2)</f>
        <v/>
      </c>
      <c r="S641" s="111">
        <f t="shared" ca="1" si="90"/>
        <v>0</v>
      </c>
      <c r="U641" s="131" t="str">
        <f t="shared" ca="1" si="91"/>
        <v/>
      </c>
      <c r="V641" s="131" t="str">
        <f t="shared" ca="1" si="92"/>
        <v/>
      </c>
      <c r="W641" s="111">
        <f ca="1">IF(OR((W640-13/12*Z640)*(1+PREMISSAS!$C$17)&lt;0,W640=""),0,(W640-13/12*Z640)*(1+PREMISSAS!$C$17))</f>
        <v>0</v>
      </c>
      <c r="X641" s="111">
        <f ca="1">IF(OR((X640-13/12*AA640)*(1+PREMISSAS!$C$17)&lt;0,X640=""),0,(X640-13/12*AA640)*(1+PREMISSAS!$C$17))</f>
        <v>0</v>
      </c>
      <c r="Y641" s="111">
        <f t="shared" ca="1" si="93"/>
        <v>0</v>
      </c>
      <c r="Z641" s="134">
        <f t="shared" ca="1" si="94"/>
        <v>0</v>
      </c>
      <c r="AA641" s="134">
        <f t="shared" ca="1" si="80"/>
        <v>0</v>
      </c>
    </row>
    <row r="642" spans="2:27" x14ac:dyDescent="0.3">
      <c r="B642" s="21" t="str">
        <f ca="1">IF(B641="","",IF(EOMONTH(B641,1)&gt;EOMONTH(ELEGIBILIDADE!$E$5,0),"",EOMONTH(B641,1)))</f>
        <v/>
      </c>
      <c r="C642" s="22" t="str">
        <f ca="1">IF(B642="","",IF(MONTH(B642)=1,C641*(1+PREMISSAS!$C$58),C641))</f>
        <v/>
      </c>
      <c r="D642" s="22">
        <f ca="1">IF(RESULTADOS!$C$17="Normal",IFERROR(MAX(C642-PREMISSAS!$C$14,0),0),IF(PREMISSAS!$H$117=0,0,MAX(10*PREMISSAS!$C$39,RESULTADOS!$F$17)))</f>
        <v>0</v>
      </c>
      <c r="E642" s="4">
        <f ca="1">D642*IF(RESULTADOS!$C$17="Normal",RESULTADOS!$C$16,0)</f>
        <v>0</v>
      </c>
      <c r="F642" s="4">
        <f ca="1">IF(D642&lt;&gt;0,PREMISSAS!$N$83,0)</f>
        <v>0</v>
      </c>
      <c r="G642" s="4">
        <f ca="1">IFERROR(IF(RESULTADOS!$C$17="Normal",0,D642)*IF(RESULTADOS!$C$17="Normal",RESULTADOS!$C$18,RESULTADOS!$C$16),0)</f>
        <v>0</v>
      </c>
      <c r="H642" s="4">
        <f ca="1">IF(RESULTADOS!$C$17="Normal",E642,0)</f>
        <v>0</v>
      </c>
      <c r="I642" s="4">
        <f ca="1">(E642+H642+G642)*IFERROR(VLOOKUP(INT(COUNT($B$5:B642)/12),PREMISSAS!$B$62:$C$69,2,FALSE),PREMISSAS!$C$69)</f>
        <v>0</v>
      </c>
      <c r="J642" s="4">
        <f ca="1">D642*IF(RESULTADOS!$C$17="Normal",PREMISSAS!$C$71,0)</f>
        <v>0</v>
      </c>
      <c r="K642" s="87">
        <f ca="1">IFERROR(K641*(1+PREMISSAS!$C$19)+(E642+H642-IF(RESULTADOS!$C$17="Normal",I642,0)-J642)*IF(MONTH(B642)=12,2,1),0)</f>
        <v>0</v>
      </c>
      <c r="L642" s="87">
        <f ca="1">IFERROR((L641+G642-IF(RESULTADOS!$C$17="Normal",0,I642))*(1+PREMISSAS!$C$19)+F642,0)</f>
        <v>0</v>
      </c>
      <c r="N642" s="58">
        <f t="shared" ca="1" si="88"/>
        <v>0</v>
      </c>
      <c r="P642" s="131" t="str">
        <f t="shared" ca="1" si="89"/>
        <v/>
      </c>
      <c r="Q642" s="111" t="str">
        <f ca="1">IF(C642="","",Q641+(E642+H642-IF(RESULTADOS!$C$17="Normal",I642,0)-J642)/2+(F642+G642-IF(RESULTADOS!$C$17="Normal",0,I642)))</f>
        <v/>
      </c>
      <c r="R642" s="111" t="str">
        <f ca="1">IF(C642="","",R641+(E642+H642-IF(RESULTADOS!$C$17="Normal",I642,0)-J642)/2)</f>
        <v/>
      </c>
      <c r="S642" s="111">
        <f t="shared" ca="1" si="90"/>
        <v>0</v>
      </c>
      <c r="U642" s="131" t="str">
        <f t="shared" ca="1" si="91"/>
        <v/>
      </c>
      <c r="V642" s="131" t="str">
        <f t="shared" ca="1" si="92"/>
        <v/>
      </c>
      <c r="W642" s="111">
        <f ca="1">IF(OR((W641-13/12*Z641)*(1+PREMISSAS!$C$17)&lt;0,W641=""),0,(W641-13/12*Z641)*(1+PREMISSAS!$C$17))</f>
        <v>0</v>
      </c>
      <c r="X642" s="111">
        <f ca="1">IF(OR((X641-13/12*AA641)*(1+PREMISSAS!$C$17)&lt;0,X641=""),0,(X641-13/12*AA641)*(1+PREMISSAS!$C$17))</f>
        <v>0</v>
      </c>
      <c r="Y642" s="111">
        <f t="shared" ca="1" si="93"/>
        <v>0</v>
      </c>
      <c r="Z642" s="134">
        <f t="shared" ca="1" si="94"/>
        <v>0</v>
      </c>
      <c r="AA642" s="134">
        <f t="shared" ca="1" si="80"/>
        <v>0</v>
      </c>
    </row>
    <row r="643" spans="2:27" x14ac:dyDescent="0.3">
      <c r="B643" s="21" t="str">
        <f ca="1">IF(B642="","",IF(EOMONTH(B642,1)&gt;EOMONTH(ELEGIBILIDADE!$E$5,0),"",EOMONTH(B642,1)))</f>
        <v/>
      </c>
      <c r="C643" s="22" t="str">
        <f ca="1">IF(B643="","",IF(MONTH(B643)=1,C642*(1+PREMISSAS!$C$58),C642))</f>
        <v/>
      </c>
      <c r="D643" s="22">
        <f ca="1">IF(RESULTADOS!$C$17="Normal",IFERROR(MAX(C643-PREMISSAS!$C$14,0),0),IF(PREMISSAS!$H$117=0,0,MAX(10*PREMISSAS!$C$39,RESULTADOS!$F$17)))</f>
        <v>0</v>
      </c>
      <c r="E643" s="4">
        <f ca="1">D643*IF(RESULTADOS!$C$17="Normal",RESULTADOS!$C$16,0)</f>
        <v>0</v>
      </c>
      <c r="F643" s="4">
        <f ca="1">IF(D643&lt;&gt;0,PREMISSAS!$N$83,0)</f>
        <v>0</v>
      </c>
      <c r="G643" s="4">
        <f ca="1">IFERROR(IF(RESULTADOS!$C$17="Normal",0,D643)*IF(RESULTADOS!$C$17="Normal",RESULTADOS!$C$18,RESULTADOS!$C$16),0)</f>
        <v>0</v>
      </c>
      <c r="H643" s="4">
        <f ca="1">IF(RESULTADOS!$C$17="Normal",E643,0)</f>
        <v>0</v>
      </c>
      <c r="I643" s="4">
        <f ca="1">(E643+H643+G643)*IFERROR(VLOOKUP(INT(COUNT($B$5:B643)/12),PREMISSAS!$B$62:$C$69,2,FALSE),PREMISSAS!$C$69)</f>
        <v>0</v>
      </c>
      <c r="J643" s="4">
        <f ca="1">D643*IF(RESULTADOS!$C$17="Normal",PREMISSAS!$C$71,0)</f>
        <v>0</v>
      </c>
      <c r="K643" s="87">
        <f ca="1">IFERROR(K642*(1+PREMISSAS!$C$19)+(E643+H643-IF(RESULTADOS!$C$17="Normal",I643,0)-J643)*IF(MONTH(B643)=12,2,1),0)</f>
        <v>0</v>
      </c>
      <c r="L643" s="87">
        <f ca="1">IFERROR((L642+G643-IF(RESULTADOS!$C$17="Normal",0,I643))*(1+PREMISSAS!$C$19)+F643,0)</f>
        <v>0</v>
      </c>
      <c r="N643" s="58">
        <f t="shared" ca="1" si="88"/>
        <v>0</v>
      </c>
      <c r="P643" s="131" t="str">
        <f t="shared" ca="1" si="89"/>
        <v/>
      </c>
      <c r="Q643" s="111" t="str">
        <f ca="1">IF(C643="","",Q642+(E643+H643-IF(RESULTADOS!$C$17="Normal",I643,0)-J643)/2+(F643+G643-IF(RESULTADOS!$C$17="Normal",0,I643)))</f>
        <v/>
      </c>
      <c r="R643" s="111" t="str">
        <f ca="1">IF(C643="","",R642+(E643+H643-IF(RESULTADOS!$C$17="Normal",I643,0)-J643)/2)</f>
        <v/>
      </c>
      <c r="S643" s="111">
        <f t="shared" ca="1" si="90"/>
        <v>0</v>
      </c>
      <c r="U643" s="131" t="str">
        <f t="shared" ca="1" si="91"/>
        <v/>
      </c>
      <c r="V643" s="131" t="str">
        <f t="shared" ca="1" si="92"/>
        <v/>
      </c>
      <c r="W643" s="111">
        <f ca="1">IF(OR((W642-13/12*Z642)*(1+PREMISSAS!$C$17)&lt;0,W642=""),0,(W642-13/12*Z642)*(1+PREMISSAS!$C$17))</f>
        <v>0</v>
      </c>
      <c r="X643" s="111">
        <f ca="1">IF(OR((X642-13/12*AA642)*(1+PREMISSAS!$C$17)&lt;0,X642=""),0,(X642-13/12*AA642)*(1+PREMISSAS!$C$17))</f>
        <v>0</v>
      </c>
      <c r="Y643" s="111">
        <f t="shared" ca="1" si="93"/>
        <v>0</v>
      </c>
      <c r="Z643" s="134">
        <f t="shared" ca="1" si="94"/>
        <v>0</v>
      </c>
      <c r="AA643" s="134">
        <f t="shared" ca="1" si="80"/>
        <v>0</v>
      </c>
    </row>
    <row r="644" spans="2:27" x14ac:dyDescent="0.3">
      <c r="B644" s="21" t="str">
        <f ca="1">IF(B643="","",IF(EOMONTH(B643,1)&gt;EOMONTH(ELEGIBILIDADE!$E$5,0),"",EOMONTH(B643,1)))</f>
        <v/>
      </c>
      <c r="C644" s="22" t="str">
        <f ca="1">IF(B644="","",IF(MONTH(B644)=1,C643*(1+PREMISSAS!$C$58),C643))</f>
        <v/>
      </c>
      <c r="D644" s="22">
        <f ca="1">IF(RESULTADOS!$C$17="Normal",IFERROR(MAX(C644-PREMISSAS!$C$14,0),0),IF(PREMISSAS!$H$117=0,0,MAX(10*PREMISSAS!$C$39,RESULTADOS!$F$17)))</f>
        <v>0</v>
      </c>
      <c r="E644" s="4">
        <f ca="1">D644*IF(RESULTADOS!$C$17="Normal",RESULTADOS!$C$16,0)</f>
        <v>0</v>
      </c>
      <c r="F644" s="4">
        <f ca="1">IF(D644&lt;&gt;0,PREMISSAS!$N$83,0)</f>
        <v>0</v>
      </c>
      <c r="G644" s="4">
        <f ca="1">IFERROR(IF(RESULTADOS!$C$17="Normal",0,D644)*IF(RESULTADOS!$C$17="Normal",RESULTADOS!$C$18,RESULTADOS!$C$16),0)</f>
        <v>0</v>
      </c>
      <c r="H644" s="4">
        <f ca="1">IF(RESULTADOS!$C$17="Normal",E644,0)</f>
        <v>0</v>
      </c>
      <c r="I644" s="4">
        <f ca="1">(E644+H644+G644)*IFERROR(VLOOKUP(INT(COUNT($B$5:B644)/12),PREMISSAS!$B$62:$C$69,2,FALSE),PREMISSAS!$C$69)</f>
        <v>0</v>
      </c>
      <c r="J644" s="4">
        <f ca="1">D644*IF(RESULTADOS!$C$17="Normal",PREMISSAS!$C$71,0)</f>
        <v>0</v>
      </c>
      <c r="K644" s="87">
        <f ca="1">IFERROR(K643*(1+PREMISSAS!$C$19)+(E644+H644-IF(RESULTADOS!$C$17="Normal",I644,0)-J644)*IF(MONTH(B644)=12,2,1),0)</f>
        <v>0</v>
      </c>
      <c r="L644" s="87">
        <f ca="1">IFERROR((L643+G644-IF(RESULTADOS!$C$17="Normal",0,I644))*(1+PREMISSAS!$C$19)+F644,0)</f>
        <v>0</v>
      </c>
      <c r="N644" s="58">
        <f t="shared" ca="1" si="88"/>
        <v>0</v>
      </c>
      <c r="P644" s="131" t="str">
        <f t="shared" ca="1" si="89"/>
        <v/>
      </c>
      <c r="Q644" s="111" t="str">
        <f ca="1">IF(C644="","",Q643+(E644+H644-IF(RESULTADOS!$C$17="Normal",I644,0)-J644)/2+(F644+G644-IF(RESULTADOS!$C$17="Normal",0,I644)))</f>
        <v/>
      </c>
      <c r="R644" s="111" t="str">
        <f ca="1">IF(C644="","",R643+(E644+H644-IF(RESULTADOS!$C$17="Normal",I644,0)-J644)/2)</f>
        <v/>
      </c>
      <c r="S644" s="111">
        <f t="shared" ca="1" si="90"/>
        <v>0</v>
      </c>
      <c r="U644" s="131" t="str">
        <f t="shared" ca="1" si="91"/>
        <v/>
      </c>
      <c r="V644" s="131" t="str">
        <f t="shared" ca="1" si="92"/>
        <v/>
      </c>
      <c r="W644" s="111">
        <f ca="1">IF(OR((W643-13/12*Z643)*(1+PREMISSAS!$C$17)&lt;0,W643=""),0,(W643-13/12*Z643)*(1+PREMISSAS!$C$17))</f>
        <v>0</v>
      </c>
      <c r="X644" s="111">
        <f ca="1">IF(OR((X643-13/12*AA643)*(1+PREMISSAS!$C$17)&lt;0,X643=""),0,(X643-13/12*AA643)*(1+PREMISSAS!$C$17))</f>
        <v>0</v>
      </c>
      <c r="Y644" s="111">
        <f t="shared" ca="1" si="93"/>
        <v>0</v>
      </c>
      <c r="Z644" s="134">
        <f t="shared" ca="1" si="94"/>
        <v>0</v>
      </c>
      <c r="AA644" s="134">
        <f t="shared" ca="1" si="80"/>
        <v>0</v>
      </c>
    </row>
    <row r="645" spans="2:27" x14ac:dyDescent="0.3">
      <c r="B645" s="21" t="str">
        <f ca="1">IF(B644="","",IF(EOMONTH(B644,1)&gt;EOMONTH(ELEGIBILIDADE!$E$5,0),"",EOMONTH(B644,1)))</f>
        <v/>
      </c>
      <c r="C645" s="22" t="str">
        <f ca="1">IF(B645="","",IF(MONTH(B645)=1,C644*(1+PREMISSAS!$C$58),C644))</f>
        <v/>
      </c>
      <c r="D645" s="22">
        <f ca="1">IF(RESULTADOS!$C$17="Normal",IFERROR(MAX(C645-PREMISSAS!$C$14,0),0),IF(PREMISSAS!$H$117=0,0,MAX(10*PREMISSAS!$C$39,RESULTADOS!$F$17)))</f>
        <v>0</v>
      </c>
      <c r="E645" s="4">
        <f ca="1">D645*IF(RESULTADOS!$C$17="Normal",RESULTADOS!$C$16,0)</f>
        <v>0</v>
      </c>
      <c r="F645" s="4">
        <f ca="1">IF(D645&lt;&gt;0,PREMISSAS!$N$83,0)</f>
        <v>0</v>
      </c>
      <c r="G645" s="4">
        <f ca="1">IFERROR(IF(RESULTADOS!$C$17="Normal",0,D645)*IF(RESULTADOS!$C$17="Normal",RESULTADOS!$C$18,RESULTADOS!$C$16),0)</f>
        <v>0</v>
      </c>
      <c r="H645" s="4">
        <f ca="1">IF(RESULTADOS!$C$17="Normal",E645,0)</f>
        <v>0</v>
      </c>
      <c r="I645" s="4">
        <f ca="1">(E645+H645+G645)*IFERROR(VLOOKUP(INT(COUNT($B$5:B645)/12),PREMISSAS!$B$62:$C$69,2,FALSE),PREMISSAS!$C$69)</f>
        <v>0</v>
      </c>
      <c r="J645" s="4">
        <f ca="1">D645*IF(RESULTADOS!$C$17="Normal",PREMISSAS!$C$71,0)</f>
        <v>0</v>
      </c>
      <c r="K645" s="87">
        <f ca="1">IFERROR(K644*(1+PREMISSAS!$C$19)+(E645+H645-IF(RESULTADOS!$C$17="Normal",I645,0)-J645)*IF(MONTH(B645)=12,2,1),0)</f>
        <v>0</v>
      </c>
      <c r="L645" s="87">
        <f ca="1">IFERROR((L644+G645-IF(RESULTADOS!$C$17="Normal",0,I645))*(1+PREMISSAS!$C$19)+F645,0)</f>
        <v>0</v>
      </c>
      <c r="N645" s="58">
        <f t="shared" ca="1" si="88"/>
        <v>0</v>
      </c>
      <c r="P645" s="131" t="str">
        <f t="shared" ca="1" si="89"/>
        <v/>
      </c>
      <c r="Q645" s="111" t="str">
        <f ca="1">IF(C645="","",Q644+(E645+H645-IF(RESULTADOS!$C$17="Normal",I645,0)-J645)/2+(F645+G645-IF(RESULTADOS!$C$17="Normal",0,I645)))</f>
        <v/>
      </c>
      <c r="R645" s="111" t="str">
        <f ca="1">IF(C645="","",R644+(E645+H645-IF(RESULTADOS!$C$17="Normal",I645,0)-J645)/2)</f>
        <v/>
      </c>
      <c r="S645" s="111">
        <f t="shared" ca="1" si="90"/>
        <v>0</v>
      </c>
      <c r="U645" s="131" t="str">
        <f t="shared" ca="1" si="91"/>
        <v/>
      </c>
      <c r="V645" s="131" t="str">
        <f t="shared" ca="1" si="92"/>
        <v/>
      </c>
      <c r="W645" s="111">
        <f ca="1">IF(OR((W644-13/12*Z644)*(1+PREMISSAS!$C$17)&lt;0,W644=""),0,(W644-13/12*Z644)*(1+PREMISSAS!$C$17))</f>
        <v>0</v>
      </c>
      <c r="X645" s="111">
        <f ca="1">IF(OR((X644-13/12*AA644)*(1+PREMISSAS!$C$17)&lt;0,X644=""),0,(X644-13/12*AA644)*(1+PREMISSAS!$C$17))</f>
        <v>0</v>
      </c>
      <c r="Y645" s="111">
        <f t="shared" ca="1" si="93"/>
        <v>0</v>
      </c>
      <c r="Z645" s="134">
        <f t="shared" ca="1" si="94"/>
        <v>0</v>
      </c>
      <c r="AA645" s="134">
        <f t="shared" ca="1" si="80"/>
        <v>0</v>
      </c>
    </row>
    <row r="646" spans="2:27" x14ac:dyDescent="0.3">
      <c r="B646" s="21" t="str">
        <f ca="1">IF(B645="","",IF(EOMONTH(B645,1)&gt;EOMONTH(ELEGIBILIDADE!$E$5,0),"",EOMONTH(B645,1)))</f>
        <v/>
      </c>
      <c r="C646" s="22" t="str">
        <f ca="1">IF(B646="","",IF(MONTH(B646)=1,C645*(1+PREMISSAS!$C$58),C645))</f>
        <v/>
      </c>
      <c r="D646" s="22">
        <f ca="1">IF(RESULTADOS!$C$17="Normal",IFERROR(MAX(C646-PREMISSAS!$C$14,0),0),IF(PREMISSAS!$H$117=0,0,MAX(10*PREMISSAS!$C$39,RESULTADOS!$F$17)))</f>
        <v>0</v>
      </c>
      <c r="E646" s="4">
        <f ca="1">D646*IF(RESULTADOS!$C$17="Normal",RESULTADOS!$C$16,0)</f>
        <v>0</v>
      </c>
      <c r="F646" s="4">
        <f ca="1">IF(D646&lt;&gt;0,PREMISSAS!$N$83,0)</f>
        <v>0</v>
      </c>
      <c r="G646" s="4">
        <f ca="1">IFERROR(IF(RESULTADOS!$C$17="Normal",0,D646)*IF(RESULTADOS!$C$17="Normal",RESULTADOS!$C$18,RESULTADOS!$C$16),0)</f>
        <v>0</v>
      </c>
      <c r="H646" s="4">
        <f ca="1">IF(RESULTADOS!$C$17="Normal",E646,0)</f>
        <v>0</v>
      </c>
      <c r="I646" s="4">
        <f ca="1">(E646+H646+G646)*IFERROR(VLOOKUP(INT(COUNT($B$5:B646)/12),PREMISSAS!$B$62:$C$69,2,FALSE),PREMISSAS!$C$69)</f>
        <v>0</v>
      </c>
      <c r="J646" s="4">
        <f ca="1">D646*IF(RESULTADOS!$C$17="Normal",PREMISSAS!$C$71,0)</f>
        <v>0</v>
      </c>
      <c r="K646" s="87">
        <f ca="1">IFERROR(K645*(1+PREMISSAS!$C$19)+(E646+H646-IF(RESULTADOS!$C$17="Normal",I646,0)-J646)*IF(MONTH(B646)=12,2,1),0)</f>
        <v>0</v>
      </c>
      <c r="L646" s="87">
        <f ca="1">IFERROR((L645+G646-IF(RESULTADOS!$C$17="Normal",0,I646))*(1+PREMISSAS!$C$19)+F646,0)</f>
        <v>0</v>
      </c>
      <c r="N646" s="58">
        <f t="shared" ca="1" si="88"/>
        <v>0</v>
      </c>
      <c r="P646" s="131" t="str">
        <f t="shared" ca="1" si="89"/>
        <v/>
      </c>
      <c r="Q646" s="111" t="str">
        <f ca="1">IF(C646="","",Q645+(E646+H646-IF(RESULTADOS!$C$17="Normal",I646,0)-J646)/2+(F646+G646-IF(RESULTADOS!$C$17="Normal",0,I646)))</f>
        <v/>
      </c>
      <c r="R646" s="111" t="str">
        <f ca="1">IF(C646="","",R645+(E646+H646-IF(RESULTADOS!$C$17="Normal",I646,0)-J646)/2)</f>
        <v/>
      </c>
      <c r="S646" s="111">
        <f t="shared" ca="1" si="90"/>
        <v>0</v>
      </c>
      <c r="U646" s="131" t="str">
        <f t="shared" ca="1" si="91"/>
        <v/>
      </c>
      <c r="V646" s="131" t="str">
        <f t="shared" ca="1" si="92"/>
        <v/>
      </c>
      <c r="W646" s="111">
        <f ca="1">IF(OR((W645-13/12*Z645)*(1+PREMISSAS!$C$17)&lt;0,W645=""),0,(W645-13/12*Z645)*(1+PREMISSAS!$C$17))</f>
        <v>0</v>
      </c>
      <c r="X646" s="111">
        <f ca="1">IF(OR((X645-13/12*AA645)*(1+PREMISSAS!$C$17)&lt;0,X645=""),0,(X645-13/12*AA645)*(1+PREMISSAS!$C$17))</f>
        <v>0</v>
      </c>
      <c r="Y646" s="111">
        <f t="shared" ca="1" si="93"/>
        <v>0</v>
      </c>
      <c r="Z646" s="134">
        <f t="shared" ca="1" si="94"/>
        <v>0</v>
      </c>
      <c r="AA646" s="134">
        <f t="shared" ca="1" si="80"/>
        <v>0</v>
      </c>
    </row>
    <row r="647" spans="2:27" x14ac:dyDescent="0.3">
      <c r="B647" s="21" t="str">
        <f ca="1">IF(B646="","",IF(EOMONTH(B646,1)&gt;EOMONTH(ELEGIBILIDADE!$E$5,0),"",EOMONTH(B646,1)))</f>
        <v/>
      </c>
      <c r="C647" s="22" t="str">
        <f ca="1">IF(B647="","",IF(MONTH(B647)=1,C646*(1+PREMISSAS!$C$58),C646))</f>
        <v/>
      </c>
      <c r="D647" s="22">
        <f ca="1">IF(RESULTADOS!$C$17="Normal",IFERROR(MAX(C647-PREMISSAS!$C$14,0),0),IF(PREMISSAS!$H$117=0,0,MAX(10*PREMISSAS!$C$39,RESULTADOS!$F$17)))</f>
        <v>0</v>
      </c>
      <c r="E647" s="4">
        <f ca="1">D647*IF(RESULTADOS!$C$17="Normal",RESULTADOS!$C$16,0)</f>
        <v>0</v>
      </c>
      <c r="F647" s="4">
        <f ca="1">IF(D647&lt;&gt;0,PREMISSAS!$N$83,0)</f>
        <v>0</v>
      </c>
      <c r="G647" s="4">
        <f ca="1">IFERROR(IF(RESULTADOS!$C$17="Normal",0,D647)*IF(RESULTADOS!$C$17="Normal",RESULTADOS!$C$18,RESULTADOS!$C$16),0)</f>
        <v>0</v>
      </c>
      <c r="H647" s="4">
        <f ca="1">IF(RESULTADOS!$C$17="Normal",E647,0)</f>
        <v>0</v>
      </c>
      <c r="I647" s="4">
        <f ca="1">(E647+H647+G647)*IFERROR(VLOOKUP(INT(COUNT($B$5:B647)/12),PREMISSAS!$B$62:$C$69,2,FALSE),PREMISSAS!$C$69)</f>
        <v>0</v>
      </c>
      <c r="J647" s="4">
        <f ca="1">D647*IF(RESULTADOS!$C$17="Normal",PREMISSAS!$C$71,0)</f>
        <v>0</v>
      </c>
      <c r="K647" s="87">
        <f ca="1">IFERROR(K646*(1+PREMISSAS!$C$19)+(E647+H647-IF(RESULTADOS!$C$17="Normal",I647,0)-J647)*IF(MONTH(B647)=12,2,1),0)</f>
        <v>0</v>
      </c>
      <c r="L647" s="87">
        <f ca="1">IFERROR((L646+G647-IF(RESULTADOS!$C$17="Normal",0,I647))*(1+PREMISSAS!$C$19)+F647,0)</f>
        <v>0</v>
      </c>
      <c r="N647" s="58">
        <f t="shared" ca="1" si="88"/>
        <v>0</v>
      </c>
      <c r="P647" s="131" t="str">
        <f t="shared" ca="1" si="89"/>
        <v/>
      </c>
      <c r="Q647" s="111" t="str">
        <f ca="1">IF(C647="","",Q646+(E647+H647-IF(RESULTADOS!$C$17="Normal",I647,0)-J647)/2+(F647+G647-IF(RESULTADOS!$C$17="Normal",0,I647)))</f>
        <v/>
      </c>
      <c r="R647" s="111" t="str">
        <f ca="1">IF(C647="","",R646+(E647+H647-IF(RESULTADOS!$C$17="Normal",I647,0)-J647)/2)</f>
        <v/>
      </c>
      <c r="S647" s="111">
        <f t="shared" ca="1" si="90"/>
        <v>0</v>
      </c>
      <c r="U647" s="131" t="str">
        <f t="shared" ca="1" si="91"/>
        <v/>
      </c>
      <c r="V647" s="131" t="str">
        <f t="shared" ca="1" si="92"/>
        <v/>
      </c>
      <c r="W647" s="111">
        <f ca="1">IF(OR((W646-13/12*Z646)*(1+PREMISSAS!$C$17)&lt;0,W646=""),0,(W646-13/12*Z646)*(1+PREMISSAS!$C$17))</f>
        <v>0</v>
      </c>
      <c r="X647" s="111">
        <f ca="1">IF(OR((X646-13/12*AA646)*(1+PREMISSAS!$C$17)&lt;0,X646=""),0,(X646-13/12*AA646)*(1+PREMISSAS!$C$17))</f>
        <v>0</v>
      </c>
      <c r="Y647" s="111">
        <f t="shared" ca="1" si="93"/>
        <v>0</v>
      </c>
      <c r="Z647" s="134">
        <f t="shared" ca="1" si="94"/>
        <v>0</v>
      </c>
      <c r="AA647" s="134">
        <f t="shared" ref="AA647:AA700" ca="1" si="95">IF(X647&lt;&gt;0,AA646,0)</f>
        <v>0</v>
      </c>
    </row>
    <row r="648" spans="2:27" x14ac:dyDescent="0.3">
      <c r="B648" s="21" t="str">
        <f ca="1">IF(B647="","",IF(EOMONTH(B647,1)&gt;EOMONTH(ELEGIBILIDADE!$E$5,0),"",EOMONTH(B647,1)))</f>
        <v/>
      </c>
      <c r="C648" s="22" t="str">
        <f ca="1">IF(B648="","",IF(MONTH(B648)=1,C647*(1+PREMISSAS!$C$58),C647))</f>
        <v/>
      </c>
      <c r="D648" s="22">
        <f ca="1">IF(RESULTADOS!$C$17="Normal",IFERROR(MAX(C648-PREMISSAS!$C$14,0),0),IF(PREMISSAS!$H$117=0,0,MAX(10*PREMISSAS!$C$39,RESULTADOS!$F$17)))</f>
        <v>0</v>
      </c>
      <c r="E648" s="4">
        <f ca="1">D648*IF(RESULTADOS!$C$17="Normal",RESULTADOS!$C$16,0)</f>
        <v>0</v>
      </c>
      <c r="F648" s="4">
        <f ca="1">IF(D648&lt;&gt;0,PREMISSAS!$N$83,0)</f>
        <v>0</v>
      </c>
      <c r="G648" s="4">
        <f ca="1">IFERROR(IF(RESULTADOS!$C$17="Normal",0,D648)*IF(RESULTADOS!$C$17="Normal",RESULTADOS!$C$18,RESULTADOS!$C$16),0)</f>
        <v>0</v>
      </c>
      <c r="H648" s="4">
        <f ca="1">IF(RESULTADOS!$C$17="Normal",E648,0)</f>
        <v>0</v>
      </c>
      <c r="I648" s="4">
        <f ca="1">(E648+H648+G648)*IFERROR(VLOOKUP(INT(COUNT($B$5:B648)/12),PREMISSAS!$B$62:$C$69,2,FALSE),PREMISSAS!$C$69)</f>
        <v>0</v>
      </c>
      <c r="J648" s="4">
        <f ca="1">D648*IF(RESULTADOS!$C$17="Normal",PREMISSAS!$C$71,0)</f>
        <v>0</v>
      </c>
      <c r="K648" s="87">
        <f ca="1">IFERROR(K647*(1+PREMISSAS!$C$19)+(E648+H648-IF(RESULTADOS!$C$17="Normal",I648,0)-J648)*IF(MONTH(B648)=12,2,1),0)</f>
        <v>0</v>
      </c>
      <c r="L648" s="87">
        <f ca="1">IFERROR((L647+G648-IF(RESULTADOS!$C$17="Normal",0,I648))*(1+PREMISSAS!$C$19)+F648,0)</f>
        <v>0</v>
      </c>
      <c r="N648" s="58">
        <f t="shared" ca="1" si="88"/>
        <v>0</v>
      </c>
      <c r="P648" s="131" t="str">
        <f t="shared" ca="1" si="89"/>
        <v/>
      </c>
      <c r="Q648" s="111" t="str">
        <f ca="1">IF(C648="","",Q647+(E648+H648-IF(RESULTADOS!$C$17="Normal",I648,0)-J648)/2+(F648+G648-IF(RESULTADOS!$C$17="Normal",0,I648)))</f>
        <v/>
      </c>
      <c r="R648" s="111" t="str">
        <f ca="1">IF(C648="","",R647+(E648+H648-IF(RESULTADOS!$C$17="Normal",I648,0)-J648)/2)</f>
        <v/>
      </c>
      <c r="S648" s="111">
        <f t="shared" ca="1" si="90"/>
        <v>0</v>
      </c>
      <c r="U648" s="131" t="str">
        <f t="shared" ca="1" si="91"/>
        <v/>
      </c>
      <c r="V648" s="131" t="str">
        <f t="shared" ca="1" si="92"/>
        <v/>
      </c>
      <c r="W648" s="111">
        <f ca="1">IF(OR((W647-13/12*Z647)*(1+PREMISSAS!$C$17)&lt;0,W647=""),0,(W647-13/12*Z647)*(1+PREMISSAS!$C$17))</f>
        <v>0</v>
      </c>
      <c r="X648" s="111">
        <f ca="1">IF(OR((X647-13/12*AA647)*(1+PREMISSAS!$C$17)&lt;0,X647=""),0,(X647-13/12*AA647)*(1+PREMISSAS!$C$17))</f>
        <v>0</v>
      </c>
      <c r="Y648" s="111">
        <f t="shared" ca="1" si="93"/>
        <v>0</v>
      </c>
      <c r="Z648" s="134">
        <f t="shared" ca="1" si="94"/>
        <v>0</v>
      </c>
      <c r="AA648" s="134">
        <f t="shared" ca="1" si="95"/>
        <v>0</v>
      </c>
    </row>
    <row r="649" spans="2:27" x14ac:dyDescent="0.3">
      <c r="B649" s="21" t="str">
        <f ca="1">IF(B648="","",IF(EOMONTH(B648,1)&gt;EOMONTH(ELEGIBILIDADE!$E$5,0),"",EOMONTH(B648,1)))</f>
        <v/>
      </c>
      <c r="C649" s="22" t="str">
        <f ca="1">IF(B649="","",IF(MONTH(B649)=1,C648*(1+PREMISSAS!$C$58),C648))</f>
        <v/>
      </c>
      <c r="D649" s="22">
        <f ca="1">IF(RESULTADOS!$C$17="Normal",IFERROR(MAX(C649-PREMISSAS!$C$14,0),0),IF(PREMISSAS!$H$117=0,0,MAX(10*PREMISSAS!$C$39,RESULTADOS!$F$17)))</f>
        <v>0</v>
      </c>
      <c r="E649" s="4">
        <f ca="1">D649*IF(RESULTADOS!$C$17="Normal",RESULTADOS!$C$16,0)</f>
        <v>0</v>
      </c>
      <c r="F649" s="4">
        <f ca="1">IF(D649&lt;&gt;0,PREMISSAS!$N$83,0)</f>
        <v>0</v>
      </c>
      <c r="G649" s="4">
        <f ca="1">IFERROR(IF(RESULTADOS!$C$17="Normal",0,D649)*IF(RESULTADOS!$C$17="Normal",RESULTADOS!$C$18,RESULTADOS!$C$16),0)</f>
        <v>0</v>
      </c>
      <c r="H649" s="4">
        <f ca="1">IF(RESULTADOS!$C$17="Normal",E649,0)</f>
        <v>0</v>
      </c>
      <c r="I649" s="4">
        <f ca="1">(E649+H649+G649)*IFERROR(VLOOKUP(INT(COUNT($B$5:B649)/12),PREMISSAS!$B$62:$C$69,2,FALSE),PREMISSAS!$C$69)</f>
        <v>0</v>
      </c>
      <c r="J649" s="4">
        <f ca="1">D649*IF(RESULTADOS!$C$17="Normal",PREMISSAS!$C$71,0)</f>
        <v>0</v>
      </c>
      <c r="K649" s="87">
        <f ca="1">IFERROR(K648*(1+PREMISSAS!$C$19)+(E649+H649-IF(RESULTADOS!$C$17="Normal",I649,0)-J649)*IF(MONTH(B649)=12,2,1),0)</f>
        <v>0</v>
      </c>
      <c r="L649" s="87">
        <f ca="1">IFERROR((L648+G649-IF(RESULTADOS!$C$17="Normal",0,I649))*(1+PREMISSAS!$C$19)+F649,0)</f>
        <v>0</v>
      </c>
      <c r="N649" s="58">
        <f t="shared" ca="1" si="88"/>
        <v>0</v>
      </c>
      <c r="P649" s="131" t="str">
        <f t="shared" ca="1" si="89"/>
        <v/>
      </c>
      <c r="Q649" s="111" t="str">
        <f ca="1">IF(C649="","",Q648+(E649+H649-IF(RESULTADOS!$C$17="Normal",I649,0)-J649)/2+(F649+G649-IF(RESULTADOS!$C$17="Normal",0,I649)))</f>
        <v/>
      </c>
      <c r="R649" s="111" t="str">
        <f ca="1">IF(C649="","",R648+(E649+H649-IF(RESULTADOS!$C$17="Normal",I649,0)-J649)/2)</f>
        <v/>
      </c>
      <c r="S649" s="111">
        <f t="shared" ca="1" si="90"/>
        <v>0</v>
      </c>
      <c r="U649" s="131" t="str">
        <f t="shared" ca="1" si="91"/>
        <v/>
      </c>
      <c r="V649" s="131" t="str">
        <f t="shared" ca="1" si="92"/>
        <v/>
      </c>
      <c r="W649" s="111">
        <f ca="1">IF(OR((W648-13/12*Z648)*(1+PREMISSAS!$C$17)&lt;0,W648=""),0,(W648-13/12*Z648)*(1+PREMISSAS!$C$17))</f>
        <v>0</v>
      </c>
      <c r="X649" s="111">
        <f ca="1">IF(OR((X648-13/12*AA648)*(1+PREMISSAS!$C$17)&lt;0,X648=""),0,(X648-13/12*AA648)*(1+PREMISSAS!$C$17))</f>
        <v>0</v>
      </c>
      <c r="Y649" s="111">
        <f t="shared" ca="1" si="93"/>
        <v>0</v>
      </c>
      <c r="Z649" s="134">
        <f t="shared" ca="1" si="94"/>
        <v>0</v>
      </c>
      <c r="AA649" s="134">
        <f t="shared" ca="1" si="95"/>
        <v>0</v>
      </c>
    </row>
    <row r="650" spans="2:27" x14ac:dyDescent="0.3">
      <c r="B650" s="21" t="str">
        <f ca="1">IF(B649="","",IF(EOMONTH(B649,1)&gt;EOMONTH(ELEGIBILIDADE!$E$5,0),"",EOMONTH(B649,1)))</f>
        <v/>
      </c>
      <c r="C650" s="22" t="str">
        <f ca="1">IF(B650="","",IF(MONTH(B650)=1,C649*(1+PREMISSAS!$C$58),C649))</f>
        <v/>
      </c>
      <c r="D650" s="22">
        <f ca="1">IF(RESULTADOS!$C$17="Normal",IFERROR(MAX(C650-PREMISSAS!$C$14,0),0),IF(PREMISSAS!$H$117=0,0,MAX(10*PREMISSAS!$C$39,RESULTADOS!$F$17)))</f>
        <v>0</v>
      </c>
      <c r="E650" s="4">
        <f ca="1">D650*IF(RESULTADOS!$C$17="Normal",RESULTADOS!$C$16,0)</f>
        <v>0</v>
      </c>
      <c r="F650" s="4">
        <f ca="1">IF(D650&lt;&gt;0,PREMISSAS!$N$83,0)</f>
        <v>0</v>
      </c>
      <c r="G650" s="4">
        <f ca="1">IFERROR(IF(RESULTADOS!$C$17="Normal",0,D650)*IF(RESULTADOS!$C$17="Normal",RESULTADOS!$C$18,RESULTADOS!$C$16),0)</f>
        <v>0</v>
      </c>
      <c r="H650" s="4">
        <f ca="1">IF(RESULTADOS!$C$17="Normal",E650,0)</f>
        <v>0</v>
      </c>
      <c r="I650" s="4">
        <f ca="1">(E650+H650+G650)*IFERROR(VLOOKUP(INT(COUNT($B$5:B650)/12),PREMISSAS!$B$62:$C$69,2,FALSE),PREMISSAS!$C$69)</f>
        <v>0</v>
      </c>
      <c r="J650" s="4">
        <f ca="1">D650*IF(RESULTADOS!$C$17="Normal",PREMISSAS!$C$71,0)</f>
        <v>0</v>
      </c>
      <c r="K650" s="87">
        <f ca="1">IFERROR(K649*(1+PREMISSAS!$C$19)+(E650+H650-IF(RESULTADOS!$C$17="Normal",I650,0)-J650)*IF(MONTH(B650)=12,2,1),0)</f>
        <v>0</v>
      </c>
      <c r="L650" s="87">
        <f ca="1">IFERROR((L649+G650-IF(RESULTADOS!$C$17="Normal",0,I650))*(1+PREMISSAS!$C$19)+F650,0)</f>
        <v>0</v>
      </c>
      <c r="N650" s="58">
        <f t="shared" ca="1" si="88"/>
        <v>0</v>
      </c>
      <c r="P650" s="131" t="str">
        <f t="shared" ca="1" si="89"/>
        <v/>
      </c>
      <c r="Q650" s="111" t="str">
        <f ca="1">IF(C650="","",Q649+(E650+H650-IF(RESULTADOS!$C$17="Normal",I650,0)-J650)/2+(F650+G650-IF(RESULTADOS!$C$17="Normal",0,I650)))</f>
        <v/>
      </c>
      <c r="R650" s="111" t="str">
        <f ca="1">IF(C650="","",R649+(E650+H650-IF(RESULTADOS!$C$17="Normal",I650,0)-J650)/2)</f>
        <v/>
      </c>
      <c r="S650" s="111">
        <f t="shared" ca="1" si="90"/>
        <v>0</v>
      </c>
      <c r="U650" s="131" t="str">
        <f t="shared" ca="1" si="91"/>
        <v/>
      </c>
      <c r="V650" s="131" t="str">
        <f t="shared" ca="1" si="92"/>
        <v/>
      </c>
      <c r="W650" s="111">
        <f ca="1">IF(OR((W649-13/12*Z649)*(1+PREMISSAS!$C$17)&lt;0,W649=""),0,(W649-13/12*Z649)*(1+PREMISSAS!$C$17))</f>
        <v>0</v>
      </c>
      <c r="X650" s="111">
        <f ca="1">IF(OR((X649-13/12*AA649)*(1+PREMISSAS!$C$17)&lt;0,X649=""),0,(X649-13/12*AA649)*(1+PREMISSAS!$C$17))</f>
        <v>0</v>
      </c>
      <c r="Y650" s="111">
        <f t="shared" ca="1" si="93"/>
        <v>0</v>
      </c>
      <c r="Z650" s="134">
        <f t="shared" ca="1" si="94"/>
        <v>0</v>
      </c>
      <c r="AA650" s="134">
        <f t="shared" ca="1" si="95"/>
        <v>0</v>
      </c>
    </row>
    <row r="651" spans="2:27" x14ac:dyDescent="0.3">
      <c r="B651" s="21" t="str">
        <f ca="1">IF(B650="","",IF(EOMONTH(B650,1)&gt;EOMONTH(ELEGIBILIDADE!$E$5,0),"",EOMONTH(B650,1)))</f>
        <v/>
      </c>
      <c r="C651" s="22" t="str">
        <f ca="1">IF(B651="","",IF(MONTH(B651)=1,C650*(1+PREMISSAS!$C$58),C650))</f>
        <v/>
      </c>
      <c r="D651" s="22">
        <f ca="1">IF(RESULTADOS!$C$17="Normal",IFERROR(MAX(C651-PREMISSAS!$C$14,0),0),IF(PREMISSAS!$H$117=0,0,MAX(10*PREMISSAS!$C$39,RESULTADOS!$F$17)))</f>
        <v>0</v>
      </c>
      <c r="E651" s="4">
        <f ca="1">D651*IF(RESULTADOS!$C$17="Normal",RESULTADOS!$C$16,0)</f>
        <v>0</v>
      </c>
      <c r="F651" s="4">
        <f ca="1">IF(D651&lt;&gt;0,PREMISSAS!$N$83,0)</f>
        <v>0</v>
      </c>
      <c r="G651" s="4">
        <f ca="1">IFERROR(IF(RESULTADOS!$C$17="Normal",0,D651)*IF(RESULTADOS!$C$17="Normal",RESULTADOS!$C$18,RESULTADOS!$C$16),0)</f>
        <v>0</v>
      </c>
      <c r="H651" s="4">
        <f ca="1">IF(RESULTADOS!$C$17="Normal",E651,0)</f>
        <v>0</v>
      </c>
      <c r="I651" s="4">
        <f ca="1">(E651+H651+G651)*IFERROR(VLOOKUP(INT(COUNT($B$5:B651)/12),PREMISSAS!$B$62:$C$69,2,FALSE),PREMISSAS!$C$69)</f>
        <v>0</v>
      </c>
      <c r="J651" s="4">
        <f ca="1">D651*IF(RESULTADOS!$C$17="Normal",PREMISSAS!$C$71,0)</f>
        <v>0</v>
      </c>
      <c r="K651" s="87">
        <f ca="1">IFERROR(K650*(1+PREMISSAS!$C$19)+(E651+H651-IF(RESULTADOS!$C$17="Normal",I651,0)-J651)*IF(MONTH(B651)=12,2,1),0)</f>
        <v>0</v>
      </c>
      <c r="L651" s="87">
        <f ca="1">IFERROR((L650+G651-IF(RESULTADOS!$C$17="Normal",0,I651))*(1+PREMISSAS!$C$19)+F651,0)</f>
        <v>0</v>
      </c>
      <c r="N651" s="58">
        <f t="shared" ca="1" si="88"/>
        <v>0</v>
      </c>
      <c r="P651" s="131" t="str">
        <f t="shared" ca="1" si="89"/>
        <v/>
      </c>
      <c r="Q651" s="111" t="str">
        <f ca="1">IF(C651="","",Q650+(E651+H651-IF(RESULTADOS!$C$17="Normal",I651,0)-J651)/2+(F651+G651-IF(RESULTADOS!$C$17="Normal",0,I651)))</f>
        <v/>
      </c>
      <c r="R651" s="111" t="str">
        <f ca="1">IF(C651="","",R650+(E651+H651-IF(RESULTADOS!$C$17="Normal",I651,0)-J651)/2)</f>
        <v/>
      </c>
      <c r="S651" s="111">
        <f t="shared" ca="1" si="90"/>
        <v>0</v>
      </c>
      <c r="U651" s="131" t="str">
        <f t="shared" ca="1" si="91"/>
        <v/>
      </c>
      <c r="V651" s="131" t="str">
        <f t="shared" ca="1" si="92"/>
        <v/>
      </c>
      <c r="W651" s="111">
        <f ca="1">IF(OR((W650-13/12*Z650)*(1+PREMISSAS!$C$17)&lt;0,W650=""),0,(W650-13/12*Z650)*(1+PREMISSAS!$C$17))</f>
        <v>0</v>
      </c>
      <c r="X651" s="111">
        <f ca="1">IF(OR((X650-13/12*AA650)*(1+PREMISSAS!$C$17)&lt;0,X650=""),0,(X650-13/12*AA650)*(1+PREMISSAS!$C$17))</f>
        <v>0</v>
      </c>
      <c r="Y651" s="111">
        <f t="shared" ca="1" si="93"/>
        <v>0</v>
      </c>
      <c r="Z651" s="134">
        <f t="shared" ca="1" si="94"/>
        <v>0</v>
      </c>
      <c r="AA651" s="134">
        <f t="shared" ca="1" si="95"/>
        <v>0</v>
      </c>
    </row>
    <row r="652" spans="2:27" x14ac:dyDescent="0.3">
      <c r="B652" s="21" t="str">
        <f ca="1">IF(B651="","",IF(EOMONTH(B651,1)&gt;EOMONTH(ELEGIBILIDADE!$E$5,0),"",EOMONTH(B651,1)))</f>
        <v/>
      </c>
      <c r="C652" s="22" t="str">
        <f ca="1">IF(B652="","",IF(MONTH(B652)=1,C651*(1+PREMISSAS!$C$58),C651))</f>
        <v/>
      </c>
      <c r="D652" s="22">
        <f ca="1">IF(RESULTADOS!$C$17="Normal",IFERROR(MAX(C652-PREMISSAS!$C$14,0),0),IF(PREMISSAS!$H$117=0,0,MAX(10*PREMISSAS!$C$39,RESULTADOS!$F$17)))</f>
        <v>0</v>
      </c>
      <c r="E652" s="4">
        <f ca="1">D652*IF(RESULTADOS!$C$17="Normal",RESULTADOS!$C$16,0)</f>
        <v>0</v>
      </c>
      <c r="F652" s="4">
        <f ca="1">IF(D652&lt;&gt;0,PREMISSAS!$N$83,0)</f>
        <v>0</v>
      </c>
      <c r="G652" s="4">
        <f ca="1">IFERROR(IF(RESULTADOS!$C$17="Normal",0,D652)*IF(RESULTADOS!$C$17="Normal",RESULTADOS!$C$18,RESULTADOS!$C$16),0)</f>
        <v>0</v>
      </c>
      <c r="H652" s="4">
        <f ca="1">IF(RESULTADOS!$C$17="Normal",E652,0)</f>
        <v>0</v>
      </c>
      <c r="I652" s="4">
        <f ca="1">(E652+H652+G652)*IFERROR(VLOOKUP(INT(COUNT($B$5:B652)/12),PREMISSAS!$B$62:$C$69,2,FALSE),PREMISSAS!$C$69)</f>
        <v>0</v>
      </c>
      <c r="J652" s="4">
        <f ca="1">D652*IF(RESULTADOS!$C$17="Normal",PREMISSAS!$C$71,0)</f>
        <v>0</v>
      </c>
      <c r="K652" s="87">
        <f ca="1">IFERROR(K651*(1+PREMISSAS!$C$19)+(E652+H652-IF(RESULTADOS!$C$17="Normal",I652,0)-J652)*IF(MONTH(B652)=12,2,1),0)</f>
        <v>0</v>
      </c>
      <c r="L652" s="87">
        <f ca="1">IFERROR((L651+G652-IF(RESULTADOS!$C$17="Normal",0,I652))*(1+PREMISSAS!$C$19)+F652,0)</f>
        <v>0</v>
      </c>
      <c r="N652" s="58">
        <f t="shared" ca="1" si="88"/>
        <v>0</v>
      </c>
      <c r="P652" s="131" t="str">
        <f t="shared" ca="1" si="89"/>
        <v/>
      </c>
      <c r="Q652" s="111" t="str">
        <f ca="1">IF(C652="","",Q651+(E652+H652-IF(RESULTADOS!$C$17="Normal",I652,0)-J652)/2+(F652+G652-IF(RESULTADOS!$C$17="Normal",0,I652)))</f>
        <v/>
      </c>
      <c r="R652" s="111" t="str">
        <f ca="1">IF(C652="","",R651+(E652+H652-IF(RESULTADOS!$C$17="Normal",I652,0)-J652)/2)</f>
        <v/>
      </c>
      <c r="S652" s="111">
        <f t="shared" ca="1" si="90"/>
        <v>0</v>
      </c>
      <c r="U652" s="131" t="str">
        <f t="shared" ca="1" si="91"/>
        <v/>
      </c>
      <c r="V652" s="131" t="str">
        <f t="shared" ca="1" si="92"/>
        <v/>
      </c>
      <c r="W652" s="111">
        <f ca="1">IF(OR((W651-13/12*Z651)*(1+PREMISSAS!$C$17)&lt;0,W651=""),0,(W651-13/12*Z651)*(1+PREMISSAS!$C$17))</f>
        <v>0</v>
      </c>
      <c r="X652" s="111">
        <f ca="1">IF(OR((X651-13/12*AA651)*(1+PREMISSAS!$C$17)&lt;0,X651=""),0,(X651-13/12*AA651)*(1+PREMISSAS!$C$17))</f>
        <v>0</v>
      </c>
      <c r="Y652" s="111">
        <f t="shared" ca="1" si="93"/>
        <v>0</v>
      </c>
      <c r="Z652" s="134">
        <f t="shared" ca="1" si="94"/>
        <v>0</v>
      </c>
      <c r="AA652" s="134">
        <f t="shared" ca="1" si="95"/>
        <v>0</v>
      </c>
    </row>
    <row r="653" spans="2:27" x14ac:dyDescent="0.3">
      <c r="B653" s="21" t="str">
        <f ca="1">IF(B652="","",IF(EOMONTH(B652,1)&gt;EOMONTH(ELEGIBILIDADE!$E$5,0),"",EOMONTH(B652,1)))</f>
        <v/>
      </c>
      <c r="C653" s="22" t="str">
        <f ca="1">IF(B653="","",IF(MONTH(B653)=1,C652*(1+PREMISSAS!$C$58),C652))</f>
        <v/>
      </c>
      <c r="D653" s="22">
        <f ca="1">IF(RESULTADOS!$C$17="Normal",IFERROR(MAX(C653-PREMISSAS!$C$14,0),0),IF(PREMISSAS!$H$117=0,0,MAX(10*PREMISSAS!$C$39,RESULTADOS!$F$17)))</f>
        <v>0</v>
      </c>
      <c r="E653" s="4">
        <f ca="1">D653*IF(RESULTADOS!$C$17="Normal",RESULTADOS!$C$16,0)</f>
        <v>0</v>
      </c>
      <c r="F653" s="4">
        <f ca="1">IF(D653&lt;&gt;0,PREMISSAS!$N$83,0)</f>
        <v>0</v>
      </c>
      <c r="G653" s="4">
        <f ca="1">IFERROR(IF(RESULTADOS!$C$17="Normal",0,D653)*IF(RESULTADOS!$C$17="Normal",RESULTADOS!$C$18,RESULTADOS!$C$16),0)</f>
        <v>0</v>
      </c>
      <c r="H653" s="4">
        <f ca="1">IF(RESULTADOS!$C$17="Normal",E653,0)</f>
        <v>0</v>
      </c>
      <c r="I653" s="4">
        <f ca="1">(E653+H653+G653)*IFERROR(VLOOKUP(INT(COUNT($B$5:B653)/12),PREMISSAS!$B$62:$C$69,2,FALSE),PREMISSAS!$C$69)</f>
        <v>0</v>
      </c>
      <c r="J653" s="4">
        <f ca="1">D653*IF(RESULTADOS!$C$17="Normal",PREMISSAS!$C$71,0)</f>
        <v>0</v>
      </c>
      <c r="K653" s="87">
        <f ca="1">IFERROR(K652*(1+PREMISSAS!$C$19)+(E653+H653-IF(RESULTADOS!$C$17="Normal",I653,0)-J653)*IF(MONTH(B653)=12,2,1),0)</f>
        <v>0</v>
      </c>
      <c r="L653" s="87">
        <f ca="1">IFERROR((L652+G653-IF(RESULTADOS!$C$17="Normal",0,I653))*(1+PREMISSAS!$C$19)+F653,0)</f>
        <v>0</v>
      </c>
      <c r="N653" s="58">
        <f t="shared" ca="1" si="88"/>
        <v>0</v>
      </c>
      <c r="P653" s="131" t="str">
        <f t="shared" ca="1" si="89"/>
        <v/>
      </c>
      <c r="Q653" s="111" t="str">
        <f ca="1">IF(C653="","",Q652+(E653+H653-IF(RESULTADOS!$C$17="Normal",I653,0)-J653)/2+(F653+G653-IF(RESULTADOS!$C$17="Normal",0,I653)))</f>
        <v/>
      </c>
      <c r="R653" s="111" t="str">
        <f ca="1">IF(C653="","",R652+(E653+H653-IF(RESULTADOS!$C$17="Normal",I653,0)-J653)/2)</f>
        <v/>
      </c>
      <c r="S653" s="111">
        <f t="shared" ca="1" si="90"/>
        <v>0</v>
      </c>
      <c r="U653" s="131" t="str">
        <f t="shared" ca="1" si="91"/>
        <v/>
      </c>
      <c r="V653" s="131" t="str">
        <f t="shared" ca="1" si="92"/>
        <v/>
      </c>
      <c r="W653" s="111">
        <f ca="1">IF(OR((W652-13/12*Z652)*(1+PREMISSAS!$C$17)&lt;0,W652=""),0,(W652-13/12*Z652)*(1+PREMISSAS!$C$17))</f>
        <v>0</v>
      </c>
      <c r="X653" s="111">
        <f ca="1">IF(OR((X652-13/12*AA652)*(1+PREMISSAS!$C$17)&lt;0,X652=""),0,(X652-13/12*AA652)*(1+PREMISSAS!$C$17))</f>
        <v>0</v>
      </c>
      <c r="Y653" s="111">
        <f t="shared" ca="1" si="93"/>
        <v>0</v>
      </c>
      <c r="Z653" s="134">
        <f t="shared" ca="1" si="94"/>
        <v>0</v>
      </c>
      <c r="AA653" s="134">
        <f t="shared" ca="1" si="95"/>
        <v>0</v>
      </c>
    </row>
    <row r="654" spans="2:27" x14ac:dyDescent="0.3">
      <c r="B654" s="21" t="str">
        <f ca="1">IF(B653="","",IF(EOMONTH(B653,1)&gt;EOMONTH(ELEGIBILIDADE!$E$5,0),"",EOMONTH(B653,1)))</f>
        <v/>
      </c>
      <c r="C654" s="22" t="str">
        <f ca="1">IF(B654="","",IF(MONTH(B654)=1,C653*(1+PREMISSAS!$C$58),C653))</f>
        <v/>
      </c>
      <c r="D654" s="22">
        <f ca="1">IF(RESULTADOS!$C$17="Normal",IFERROR(MAX(C654-PREMISSAS!$C$14,0),0),IF(PREMISSAS!$H$117=0,0,MAX(10*PREMISSAS!$C$39,RESULTADOS!$F$17)))</f>
        <v>0</v>
      </c>
      <c r="E654" s="4">
        <f ca="1">D654*IF(RESULTADOS!$C$17="Normal",RESULTADOS!$C$16,0)</f>
        <v>0</v>
      </c>
      <c r="F654" s="4">
        <f ca="1">IF(D654&lt;&gt;0,PREMISSAS!$N$83,0)</f>
        <v>0</v>
      </c>
      <c r="G654" s="4">
        <f ca="1">IFERROR(IF(RESULTADOS!$C$17="Normal",0,D654)*IF(RESULTADOS!$C$17="Normal",RESULTADOS!$C$18,RESULTADOS!$C$16),0)</f>
        <v>0</v>
      </c>
      <c r="H654" s="4">
        <f ca="1">IF(RESULTADOS!$C$17="Normal",E654,0)</f>
        <v>0</v>
      </c>
      <c r="I654" s="4">
        <f ca="1">(E654+H654+G654)*IFERROR(VLOOKUP(INT(COUNT($B$5:B654)/12),PREMISSAS!$B$62:$C$69,2,FALSE),PREMISSAS!$C$69)</f>
        <v>0</v>
      </c>
      <c r="J654" s="4">
        <f ca="1">D654*IF(RESULTADOS!$C$17="Normal",PREMISSAS!$C$71,0)</f>
        <v>0</v>
      </c>
      <c r="K654" s="87">
        <f ca="1">IFERROR(K653*(1+PREMISSAS!$C$19)+(E654+H654-IF(RESULTADOS!$C$17="Normal",I654,0)-J654)*IF(MONTH(B654)=12,2,1),0)</f>
        <v>0</v>
      </c>
      <c r="L654" s="87">
        <f ca="1">IFERROR((L653+G654-IF(RESULTADOS!$C$17="Normal",0,I654))*(1+PREMISSAS!$C$19)+F654,0)</f>
        <v>0</v>
      </c>
      <c r="N654" s="58">
        <f t="shared" ca="1" si="88"/>
        <v>0</v>
      </c>
      <c r="P654" s="131" t="str">
        <f t="shared" ca="1" si="89"/>
        <v/>
      </c>
      <c r="Q654" s="111" t="str">
        <f ca="1">IF(C654="","",Q653+(E654+H654-IF(RESULTADOS!$C$17="Normal",I654,0)-J654)/2+(F654+G654-IF(RESULTADOS!$C$17="Normal",0,I654)))</f>
        <v/>
      </c>
      <c r="R654" s="111" t="str">
        <f ca="1">IF(C654="","",R653+(E654+H654-IF(RESULTADOS!$C$17="Normal",I654,0)-J654)/2)</f>
        <v/>
      </c>
      <c r="S654" s="111">
        <f t="shared" ca="1" si="90"/>
        <v>0</v>
      </c>
      <c r="U654" s="131" t="str">
        <f t="shared" ca="1" si="91"/>
        <v/>
      </c>
      <c r="V654" s="131" t="str">
        <f t="shared" ca="1" si="92"/>
        <v/>
      </c>
      <c r="W654" s="111">
        <f ca="1">IF(OR((W653-13/12*Z653)*(1+PREMISSAS!$C$17)&lt;0,W653=""),0,(W653-13/12*Z653)*(1+PREMISSAS!$C$17))</f>
        <v>0</v>
      </c>
      <c r="X654" s="111">
        <f ca="1">IF(OR((X653-13/12*AA653)*(1+PREMISSAS!$C$17)&lt;0,X653=""),0,(X653-13/12*AA653)*(1+PREMISSAS!$C$17))</f>
        <v>0</v>
      </c>
      <c r="Y654" s="111">
        <f t="shared" ca="1" si="93"/>
        <v>0</v>
      </c>
      <c r="Z654" s="134">
        <f t="shared" ca="1" si="94"/>
        <v>0</v>
      </c>
      <c r="AA654" s="134">
        <f t="shared" ca="1" si="95"/>
        <v>0</v>
      </c>
    </row>
    <row r="655" spans="2:27" x14ac:dyDescent="0.3">
      <c r="B655" s="21" t="str">
        <f ca="1">IF(B654="","",IF(EOMONTH(B654,1)&gt;EOMONTH(ELEGIBILIDADE!$E$5,0),"",EOMONTH(B654,1)))</f>
        <v/>
      </c>
      <c r="C655" s="22" t="str">
        <f ca="1">IF(B655="","",IF(MONTH(B655)=1,C654*(1+PREMISSAS!$C$58),C654))</f>
        <v/>
      </c>
      <c r="D655" s="22">
        <f ca="1">IF(RESULTADOS!$C$17="Normal",IFERROR(MAX(C655-PREMISSAS!$C$14,0),0),IF(PREMISSAS!$H$117=0,0,MAX(10*PREMISSAS!$C$39,RESULTADOS!$F$17)))</f>
        <v>0</v>
      </c>
      <c r="E655" s="4">
        <f ca="1">D655*IF(RESULTADOS!$C$17="Normal",RESULTADOS!$C$16,0)</f>
        <v>0</v>
      </c>
      <c r="F655" s="4">
        <f ca="1">IF(D655&lt;&gt;0,PREMISSAS!$N$83,0)</f>
        <v>0</v>
      </c>
      <c r="G655" s="4">
        <f ca="1">IFERROR(IF(RESULTADOS!$C$17="Normal",0,D655)*IF(RESULTADOS!$C$17="Normal",RESULTADOS!$C$18,RESULTADOS!$C$16),0)</f>
        <v>0</v>
      </c>
      <c r="H655" s="4">
        <f ca="1">IF(RESULTADOS!$C$17="Normal",E655,0)</f>
        <v>0</v>
      </c>
      <c r="I655" s="4">
        <f ca="1">(E655+H655+G655)*IFERROR(VLOOKUP(INT(COUNT($B$5:B655)/12),PREMISSAS!$B$62:$C$69,2,FALSE),PREMISSAS!$C$69)</f>
        <v>0</v>
      </c>
      <c r="J655" s="4">
        <f ca="1">D655*IF(RESULTADOS!$C$17="Normal",PREMISSAS!$C$71,0)</f>
        <v>0</v>
      </c>
      <c r="K655" s="87">
        <f ca="1">IFERROR(K654*(1+PREMISSAS!$C$19)+(E655+H655-IF(RESULTADOS!$C$17="Normal",I655,0)-J655)*IF(MONTH(B655)=12,2,1),0)</f>
        <v>0</v>
      </c>
      <c r="L655" s="87">
        <f ca="1">IFERROR((L654+G655-IF(RESULTADOS!$C$17="Normal",0,I655))*(1+PREMISSAS!$C$19)+F655,0)</f>
        <v>0</v>
      </c>
      <c r="N655" s="58">
        <f t="shared" ca="1" si="88"/>
        <v>0</v>
      </c>
      <c r="P655" s="131" t="str">
        <f t="shared" ca="1" si="89"/>
        <v/>
      </c>
      <c r="Q655" s="111" t="str">
        <f ca="1">IF(C655="","",Q654+(E655+H655-IF(RESULTADOS!$C$17="Normal",I655,0)-J655)/2+(F655+G655-IF(RESULTADOS!$C$17="Normal",0,I655)))</f>
        <v/>
      </c>
      <c r="R655" s="111" t="str">
        <f ca="1">IF(C655="","",R654+(E655+H655-IF(RESULTADOS!$C$17="Normal",I655,0)-J655)/2)</f>
        <v/>
      </c>
      <c r="S655" s="111">
        <f t="shared" ca="1" si="90"/>
        <v>0</v>
      </c>
      <c r="U655" s="131" t="str">
        <f t="shared" ca="1" si="91"/>
        <v/>
      </c>
      <c r="V655" s="131" t="str">
        <f t="shared" ca="1" si="92"/>
        <v/>
      </c>
      <c r="W655" s="111">
        <f ca="1">IF(OR((W654-13/12*Z654)*(1+PREMISSAS!$C$17)&lt;0,W654=""),0,(W654-13/12*Z654)*(1+PREMISSAS!$C$17))</f>
        <v>0</v>
      </c>
      <c r="X655" s="111">
        <f ca="1">IF(OR((X654-13/12*AA654)*(1+PREMISSAS!$C$17)&lt;0,X654=""),0,(X654-13/12*AA654)*(1+PREMISSAS!$C$17))</f>
        <v>0</v>
      </c>
      <c r="Y655" s="111">
        <f t="shared" ca="1" si="93"/>
        <v>0</v>
      </c>
      <c r="Z655" s="134">
        <f t="shared" ca="1" si="94"/>
        <v>0</v>
      </c>
      <c r="AA655" s="134">
        <f t="shared" ca="1" si="95"/>
        <v>0</v>
      </c>
    </row>
    <row r="656" spans="2:27" x14ac:dyDescent="0.3">
      <c r="B656" s="21" t="str">
        <f ca="1">IF(B655="","",IF(EOMONTH(B655,1)&gt;EOMONTH(ELEGIBILIDADE!$E$5,0),"",EOMONTH(B655,1)))</f>
        <v/>
      </c>
      <c r="C656" s="22" t="str">
        <f ca="1">IF(B656="","",IF(MONTH(B656)=1,C655*(1+PREMISSAS!$C$58),C655))</f>
        <v/>
      </c>
      <c r="D656" s="22">
        <f ca="1">IF(RESULTADOS!$C$17="Normal",IFERROR(MAX(C656-PREMISSAS!$C$14,0),0),IF(PREMISSAS!$H$117=0,0,MAX(10*PREMISSAS!$C$39,RESULTADOS!$F$17)))</f>
        <v>0</v>
      </c>
      <c r="E656" s="4">
        <f ca="1">D656*IF(RESULTADOS!$C$17="Normal",RESULTADOS!$C$16,0)</f>
        <v>0</v>
      </c>
      <c r="F656" s="4">
        <f ca="1">IF(D656&lt;&gt;0,PREMISSAS!$N$83,0)</f>
        <v>0</v>
      </c>
      <c r="G656" s="4">
        <f ca="1">IFERROR(IF(RESULTADOS!$C$17="Normal",0,D656)*IF(RESULTADOS!$C$17="Normal",RESULTADOS!$C$18,RESULTADOS!$C$16),0)</f>
        <v>0</v>
      </c>
      <c r="H656" s="4">
        <f ca="1">IF(RESULTADOS!$C$17="Normal",E656,0)</f>
        <v>0</v>
      </c>
      <c r="I656" s="4">
        <f ca="1">(E656+H656+G656)*IFERROR(VLOOKUP(INT(COUNT($B$5:B656)/12),PREMISSAS!$B$62:$C$69,2,FALSE),PREMISSAS!$C$69)</f>
        <v>0</v>
      </c>
      <c r="J656" s="4">
        <f ca="1">D656*IF(RESULTADOS!$C$17="Normal",PREMISSAS!$C$71,0)</f>
        <v>0</v>
      </c>
      <c r="K656" s="87">
        <f ca="1">IFERROR(K655*(1+PREMISSAS!$C$19)+(E656+H656-IF(RESULTADOS!$C$17="Normal",I656,0)-J656)*IF(MONTH(B656)=12,2,1),0)</f>
        <v>0</v>
      </c>
      <c r="L656" s="87">
        <f ca="1">IFERROR((L655+G656-IF(RESULTADOS!$C$17="Normal",0,I656))*(1+PREMISSAS!$C$19)+F656,0)</f>
        <v>0</v>
      </c>
      <c r="N656" s="58">
        <f t="shared" ca="1" si="88"/>
        <v>0</v>
      </c>
      <c r="P656" s="131" t="str">
        <f t="shared" ca="1" si="89"/>
        <v/>
      </c>
      <c r="Q656" s="111" t="str">
        <f ca="1">IF(C656="","",Q655+(E656+H656-IF(RESULTADOS!$C$17="Normal",I656,0)-J656)/2+(F656+G656-IF(RESULTADOS!$C$17="Normal",0,I656)))</f>
        <v/>
      </c>
      <c r="R656" s="111" t="str">
        <f ca="1">IF(C656="","",R655+(E656+H656-IF(RESULTADOS!$C$17="Normal",I656,0)-J656)/2)</f>
        <v/>
      </c>
      <c r="S656" s="111">
        <f t="shared" ca="1" si="90"/>
        <v>0</v>
      </c>
      <c r="U656" s="131" t="str">
        <f t="shared" ca="1" si="91"/>
        <v/>
      </c>
      <c r="V656" s="131" t="str">
        <f t="shared" ca="1" si="92"/>
        <v/>
      </c>
      <c r="W656" s="111">
        <f ca="1">IF(OR((W655-13/12*Z655)*(1+PREMISSAS!$C$17)&lt;0,W655=""),0,(W655-13/12*Z655)*(1+PREMISSAS!$C$17))</f>
        <v>0</v>
      </c>
      <c r="X656" s="111">
        <f ca="1">IF(OR((X655-13/12*AA655)*(1+PREMISSAS!$C$17)&lt;0,X655=""),0,(X655-13/12*AA655)*(1+PREMISSAS!$C$17))</f>
        <v>0</v>
      </c>
      <c r="Y656" s="111">
        <f t="shared" ca="1" si="93"/>
        <v>0</v>
      </c>
      <c r="Z656" s="134">
        <f t="shared" ca="1" si="94"/>
        <v>0</v>
      </c>
      <c r="AA656" s="134">
        <f t="shared" ca="1" si="95"/>
        <v>0</v>
      </c>
    </row>
    <row r="657" spans="2:27" x14ac:dyDescent="0.3">
      <c r="B657" s="21" t="str">
        <f ca="1">IF(B656="","",IF(EOMONTH(B656,1)&gt;EOMONTH(ELEGIBILIDADE!$E$5,0),"",EOMONTH(B656,1)))</f>
        <v/>
      </c>
      <c r="C657" s="22" t="str">
        <f ca="1">IF(B657="","",IF(MONTH(B657)=1,C656*(1+PREMISSAS!$C$58),C656))</f>
        <v/>
      </c>
      <c r="D657" s="22">
        <f ca="1">IF(RESULTADOS!$C$17="Normal",IFERROR(MAX(C657-PREMISSAS!$C$14,0),0),IF(PREMISSAS!$H$117=0,0,MAX(10*PREMISSAS!$C$39,RESULTADOS!$F$17)))</f>
        <v>0</v>
      </c>
      <c r="E657" s="4">
        <f ca="1">D657*IF(RESULTADOS!$C$17="Normal",RESULTADOS!$C$16,0)</f>
        <v>0</v>
      </c>
      <c r="F657" s="4">
        <f ca="1">IF(D657&lt;&gt;0,PREMISSAS!$N$83,0)</f>
        <v>0</v>
      </c>
      <c r="G657" s="4">
        <f ca="1">IFERROR(IF(RESULTADOS!$C$17="Normal",0,D657)*IF(RESULTADOS!$C$17="Normal",RESULTADOS!$C$18,RESULTADOS!$C$16),0)</f>
        <v>0</v>
      </c>
      <c r="H657" s="4">
        <f ca="1">IF(RESULTADOS!$C$17="Normal",E657,0)</f>
        <v>0</v>
      </c>
      <c r="I657" s="4">
        <f ca="1">(E657+H657+G657)*IFERROR(VLOOKUP(INT(COUNT($B$5:B657)/12),PREMISSAS!$B$62:$C$69,2,FALSE),PREMISSAS!$C$69)</f>
        <v>0</v>
      </c>
      <c r="J657" s="4">
        <f ca="1">D657*IF(RESULTADOS!$C$17="Normal",PREMISSAS!$C$71,0)</f>
        <v>0</v>
      </c>
      <c r="K657" s="87">
        <f ca="1">IFERROR(K656*(1+PREMISSAS!$C$19)+(E657+H657-IF(RESULTADOS!$C$17="Normal",I657,0)-J657)*IF(MONTH(B657)=12,2,1),0)</f>
        <v>0</v>
      </c>
      <c r="L657" s="87">
        <f ca="1">IFERROR((L656+G657-IF(RESULTADOS!$C$17="Normal",0,I657))*(1+PREMISSAS!$C$19)+F657,0)</f>
        <v>0</v>
      </c>
      <c r="N657" s="58">
        <f t="shared" ca="1" si="88"/>
        <v>0</v>
      </c>
      <c r="P657" s="131" t="str">
        <f t="shared" ca="1" si="89"/>
        <v/>
      </c>
      <c r="Q657" s="111" t="str">
        <f ca="1">IF(C657="","",Q656+(E657+H657-IF(RESULTADOS!$C$17="Normal",I657,0)-J657)/2+(F657+G657-IF(RESULTADOS!$C$17="Normal",0,I657)))</f>
        <v/>
      </c>
      <c r="R657" s="111" t="str">
        <f ca="1">IF(C657="","",R656+(E657+H657-IF(RESULTADOS!$C$17="Normal",I657,0)-J657)/2)</f>
        <v/>
      </c>
      <c r="S657" s="111">
        <f t="shared" ca="1" si="90"/>
        <v>0</v>
      </c>
      <c r="U657" s="131" t="str">
        <f t="shared" ca="1" si="91"/>
        <v/>
      </c>
      <c r="V657" s="131" t="str">
        <f t="shared" ca="1" si="92"/>
        <v/>
      </c>
      <c r="W657" s="111">
        <f ca="1">IF(OR((W656-13/12*Z656)*(1+PREMISSAS!$C$17)&lt;0,W656=""),0,(W656-13/12*Z656)*(1+PREMISSAS!$C$17))</f>
        <v>0</v>
      </c>
      <c r="X657" s="111">
        <f ca="1">IF(OR((X656-13/12*AA656)*(1+PREMISSAS!$C$17)&lt;0,X656=""),0,(X656-13/12*AA656)*(1+PREMISSAS!$C$17))</f>
        <v>0</v>
      </c>
      <c r="Y657" s="111">
        <f t="shared" ca="1" si="93"/>
        <v>0</v>
      </c>
      <c r="Z657" s="134">
        <f t="shared" ca="1" si="94"/>
        <v>0</v>
      </c>
      <c r="AA657" s="134">
        <f t="shared" ca="1" si="95"/>
        <v>0</v>
      </c>
    </row>
    <row r="658" spans="2:27" x14ac:dyDescent="0.3">
      <c r="B658" s="21" t="str">
        <f ca="1">IF(B657="","",IF(EOMONTH(B657,1)&gt;EOMONTH(ELEGIBILIDADE!$E$5,0),"",EOMONTH(B657,1)))</f>
        <v/>
      </c>
      <c r="C658" s="22" t="str">
        <f ca="1">IF(B658="","",IF(MONTH(B658)=1,C657*(1+PREMISSAS!$C$58),C657))</f>
        <v/>
      </c>
      <c r="D658" s="22">
        <f ca="1">IF(RESULTADOS!$C$17="Normal",IFERROR(MAX(C658-PREMISSAS!$C$14,0),0),IF(PREMISSAS!$H$117=0,0,MAX(10*PREMISSAS!$C$39,RESULTADOS!$F$17)))</f>
        <v>0</v>
      </c>
      <c r="E658" s="4">
        <f ca="1">D658*IF(RESULTADOS!$C$17="Normal",RESULTADOS!$C$16,0)</f>
        <v>0</v>
      </c>
      <c r="F658" s="4">
        <f ca="1">IF(D658&lt;&gt;0,PREMISSAS!$N$83,0)</f>
        <v>0</v>
      </c>
      <c r="G658" s="4">
        <f ca="1">IFERROR(IF(RESULTADOS!$C$17="Normal",0,D658)*IF(RESULTADOS!$C$17="Normal",RESULTADOS!$C$18,RESULTADOS!$C$16),0)</f>
        <v>0</v>
      </c>
      <c r="H658" s="4">
        <f ca="1">IF(RESULTADOS!$C$17="Normal",E658,0)</f>
        <v>0</v>
      </c>
      <c r="I658" s="4">
        <f ca="1">(E658+H658+G658)*IFERROR(VLOOKUP(INT(COUNT($B$5:B658)/12),PREMISSAS!$B$62:$C$69,2,FALSE),PREMISSAS!$C$69)</f>
        <v>0</v>
      </c>
      <c r="J658" s="4">
        <f ca="1">D658*IF(RESULTADOS!$C$17="Normal",PREMISSAS!$C$71,0)</f>
        <v>0</v>
      </c>
      <c r="K658" s="87">
        <f ca="1">IFERROR(K657*(1+PREMISSAS!$C$19)+(E658+H658-IF(RESULTADOS!$C$17="Normal",I658,0)-J658)*IF(MONTH(B658)=12,2,1),0)</f>
        <v>0</v>
      </c>
      <c r="L658" s="87">
        <f ca="1">IFERROR((L657+G658-IF(RESULTADOS!$C$17="Normal",0,I658))*(1+PREMISSAS!$C$19)+F658,0)</f>
        <v>0</v>
      </c>
      <c r="N658" s="58">
        <f t="shared" ca="1" si="88"/>
        <v>0</v>
      </c>
      <c r="P658" s="131" t="str">
        <f t="shared" ca="1" si="89"/>
        <v/>
      </c>
      <c r="Q658" s="111" t="str">
        <f ca="1">IF(C658="","",Q657+(E658+H658-IF(RESULTADOS!$C$17="Normal",I658,0)-J658)/2+(F658+G658-IF(RESULTADOS!$C$17="Normal",0,I658)))</f>
        <v/>
      </c>
      <c r="R658" s="111" t="str">
        <f ca="1">IF(C658="","",R657+(E658+H658-IF(RESULTADOS!$C$17="Normal",I658,0)-J658)/2)</f>
        <v/>
      </c>
      <c r="S658" s="111">
        <f t="shared" ca="1" si="90"/>
        <v>0</v>
      </c>
      <c r="U658" s="131" t="str">
        <f t="shared" ca="1" si="91"/>
        <v/>
      </c>
      <c r="V658" s="131" t="str">
        <f t="shared" ca="1" si="92"/>
        <v/>
      </c>
      <c r="W658" s="111">
        <f ca="1">IF(OR((W657-13/12*Z657)*(1+PREMISSAS!$C$17)&lt;0,W657=""),0,(W657-13/12*Z657)*(1+PREMISSAS!$C$17))</f>
        <v>0</v>
      </c>
      <c r="X658" s="111">
        <f ca="1">IF(OR((X657-13/12*AA657)*(1+PREMISSAS!$C$17)&lt;0,X657=""),0,(X657-13/12*AA657)*(1+PREMISSAS!$C$17))</f>
        <v>0</v>
      </c>
      <c r="Y658" s="111">
        <f t="shared" ca="1" si="93"/>
        <v>0</v>
      </c>
      <c r="Z658" s="134">
        <f t="shared" ca="1" si="94"/>
        <v>0</v>
      </c>
      <c r="AA658" s="134">
        <f t="shared" ca="1" si="95"/>
        <v>0</v>
      </c>
    </row>
    <row r="659" spans="2:27" x14ac:dyDescent="0.3">
      <c r="B659" s="21" t="str">
        <f ca="1">IF(B658="","",IF(EOMONTH(B658,1)&gt;EOMONTH(ELEGIBILIDADE!$E$5,0),"",EOMONTH(B658,1)))</f>
        <v/>
      </c>
      <c r="C659" s="22" t="str">
        <f ca="1">IF(B659="","",IF(MONTH(B659)=1,C658*(1+PREMISSAS!$C$58),C658))</f>
        <v/>
      </c>
      <c r="D659" s="22">
        <f ca="1">IF(RESULTADOS!$C$17="Normal",IFERROR(MAX(C659-PREMISSAS!$C$14,0),0),IF(PREMISSAS!$H$117=0,0,MAX(10*PREMISSAS!$C$39,RESULTADOS!$F$17)))</f>
        <v>0</v>
      </c>
      <c r="E659" s="4">
        <f ca="1">D659*IF(RESULTADOS!$C$17="Normal",RESULTADOS!$C$16,0)</f>
        <v>0</v>
      </c>
      <c r="F659" s="4">
        <f ca="1">IF(D659&lt;&gt;0,PREMISSAS!$N$83,0)</f>
        <v>0</v>
      </c>
      <c r="G659" s="4">
        <f ca="1">IFERROR(IF(RESULTADOS!$C$17="Normal",0,D659)*IF(RESULTADOS!$C$17="Normal",RESULTADOS!$C$18,RESULTADOS!$C$16),0)</f>
        <v>0</v>
      </c>
      <c r="H659" s="4">
        <f ca="1">IF(RESULTADOS!$C$17="Normal",E659,0)</f>
        <v>0</v>
      </c>
      <c r="I659" s="4">
        <f ca="1">(E659+H659+G659)*IFERROR(VLOOKUP(INT(COUNT($B$5:B659)/12),PREMISSAS!$B$62:$C$69,2,FALSE),PREMISSAS!$C$69)</f>
        <v>0</v>
      </c>
      <c r="J659" s="4">
        <f ca="1">D659*IF(RESULTADOS!$C$17="Normal",PREMISSAS!$C$71,0)</f>
        <v>0</v>
      </c>
      <c r="K659" s="87">
        <f ca="1">IFERROR(K658*(1+PREMISSAS!$C$19)+(E659+H659-IF(RESULTADOS!$C$17="Normal",I659,0)-J659)*IF(MONTH(B659)=12,2,1),0)</f>
        <v>0</v>
      </c>
      <c r="L659" s="87">
        <f ca="1">IFERROR((L658+G659-IF(RESULTADOS!$C$17="Normal",0,I659))*(1+PREMISSAS!$C$19)+F659,0)</f>
        <v>0</v>
      </c>
      <c r="N659" s="58">
        <f t="shared" ca="1" si="88"/>
        <v>0</v>
      </c>
      <c r="P659" s="131" t="str">
        <f t="shared" ca="1" si="89"/>
        <v/>
      </c>
      <c r="Q659" s="111" t="str">
        <f ca="1">IF(C659="","",Q658+(E659+H659-IF(RESULTADOS!$C$17="Normal",I659,0)-J659)/2+(F659+G659-IF(RESULTADOS!$C$17="Normal",0,I659)))</f>
        <v/>
      </c>
      <c r="R659" s="111" t="str">
        <f ca="1">IF(C659="","",R658+(E659+H659-IF(RESULTADOS!$C$17="Normal",I659,0)-J659)/2)</f>
        <v/>
      </c>
      <c r="S659" s="111">
        <f t="shared" ca="1" si="90"/>
        <v>0</v>
      </c>
      <c r="U659" s="131" t="str">
        <f t="shared" ca="1" si="91"/>
        <v/>
      </c>
      <c r="V659" s="131" t="str">
        <f t="shared" ca="1" si="92"/>
        <v/>
      </c>
      <c r="W659" s="111">
        <f ca="1">IF(OR((W658-13/12*Z658)*(1+PREMISSAS!$C$17)&lt;0,W658=""),0,(W658-13/12*Z658)*(1+PREMISSAS!$C$17))</f>
        <v>0</v>
      </c>
      <c r="X659" s="111">
        <f ca="1">IF(OR((X658-13/12*AA658)*(1+PREMISSAS!$C$17)&lt;0,X658=""),0,(X658-13/12*AA658)*(1+PREMISSAS!$C$17))</f>
        <v>0</v>
      </c>
      <c r="Y659" s="111">
        <f t="shared" ca="1" si="93"/>
        <v>0</v>
      </c>
      <c r="Z659" s="134">
        <f t="shared" ca="1" si="94"/>
        <v>0</v>
      </c>
      <c r="AA659" s="134">
        <f t="shared" ca="1" si="95"/>
        <v>0</v>
      </c>
    </row>
    <row r="660" spans="2:27" x14ac:dyDescent="0.3">
      <c r="B660" s="21" t="str">
        <f ca="1">IF(B659="","",IF(EOMONTH(B659,1)&gt;EOMONTH(ELEGIBILIDADE!$E$5,0),"",EOMONTH(B659,1)))</f>
        <v/>
      </c>
      <c r="C660" s="22" t="str">
        <f ca="1">IF(B660="","",IF(MONTH(B660)=1,C659*(1+PREMISSAS!$C$58),C659))</f>
        <v/>
      </c>
      <c r="D660" s="22">
        <f ca="1">IF(RESULTADOS!$C$17="Normal",IFERROR(MAX(C660-PREMISSAS!$C$14,0),0),IF(PREMISSAS!$H$117=0,0,MAX(10*PREMISSAS!$C$39,RESULTADOS!$F$17)))</f>
        <v>0</v>
      </c>
      <c r="E660" s="4">
        <f ca="1">D660*IF(RESULTADOS!$C$17="Normal",RESULTADOS!$C$16,0)</f>
        <v>0</v>
      </c>
      <c r="F660" s="4">
        <f ca="1">IF(D660&lt;&gt;0,PREMISSAS!$N$83,0)</f>
        <v>0</v>
      </c>
      <c r="G660" s="4">
        <f ca="1">IFERROR(IF(RESULTADOS!$C$17="Normal",0,D660)*IF(RESULTADOS!$C$17="Normal",RESULTADOS!$C$18,RESULTADOS!$C$16),0)</f>
        <v>0</v>
      </c>
      <c r="H660" s="4">
        <f ca="1">IF(RESULTADOS!$C$17="Normal",E660,0)</f>
        <v>0</v>
      </c>
      <c r="I660" s="4">
        <f ca="1">(E660+H660+G660)*IFERROR(VLOOKUP(INT(COUNT($B$5:B660)/12),PREMISSAS!$B$62:$C$69,2,FALSE),PREMISSAS!$C$69)</f>
        <v>0</v>
      </c>
      <c r="J660" s="4">
        <f ca="1">D660*IF(RESULTADOS!$C$17="Normal",PREMISSAS!$C$71,0)</f>
        <v>0</v>
      </c>
      <c r="K660" s="87">
        <f ca="1">IFERROR(K659*(1+PREMISSAS!$C$19)+(E660+H660-IF(RESULTADOS!$C$17="Normal",I660,0)-J660)*IF(MONTH(B660)=12,2,1),0)</f>
        <v>0</v>
      </c>
      <c r="L660" s="87">
        <f ca="1">IFERROR((L659+G660-IF(RESULTADOS!$C$17="Normal",0,I660))*(1+PREMISSAS!$C$19)+F660,0)</f>
        <v>0</v>
      </c>
      <c r="N660" s="58">
        <f t="shared" ca="1" si="88"/>
        <v>0</v>
      </c>
      <c r="P660" s="131" t="str">
        <f t="shared" ca="1" si="89"/>
        <v/>
      </c>
      <c r="Q660" s="111" t="str">
        <f ca="1">IF(C660="","",Q659+(E660+H660-IF(RESULTADOS!$C$17="Normal",I660,0)-J660)/2+(F660+G660-IF(RESULTADOS!$C$17="Normal",0,I660)))</f>
        <v/>
      </c>
      <c r="R660" s="111" t="str">
        <f ca="1">IF(C660="","",R659+(E660+H660-IF(RESULTADOS!$C$17="Normal",I660,0)-J660)/2)</f>
        <v/>
      </c>
      <c r="S660" s="111">
        <f t="shared" ca="1" si="90"/>
        <v>0</v>
      </c>
      <c r="U660" s="131" t="str">
        <f t="shared" ca="1" si="91"/>
        <v/>
      </c>
      <c r="V660" s="131" t="str">
        <f t="shared" ca="1" si="92"/>
        <v/>
      </c>
      <c r="W660" s="111">
        <f ca="1">IF(OR((W659-13/12*Z659)*(1+PREMISSAS!$C$17)&lt;0,W659=""),0,(W659-13/12*Z659)*(1+PREMISSAS!$C$17))</f>
        <v>0</v>
      </c>
      <c r="X660" s="111">
        <f ca="1">IF(OR((X659-13/12*AA659)*(1+PREMISSAS!$C$17)&lt;0,X659=""),0,(X659-13/12*AA659)*(1+PREMISSAS!$C$17))</f>
        <v>0</v>
      </c>
      <c r="Y660" s="111">
        <f t="shared" ca="1" si="93"/>
        <v>0</v>
      </c>
      <c r="Z660" s="134">
        <f t="shared" ca="1" si="94"/>
        <v>0</v>
      </c>
      <c r="AA660" s="134">
        <f t="shared" ca="1" si="95"/>
        <v>0</v>
      </c>
    </row>
    <row r="661" spans="2:27" x14ac:dyDescent="0.3">
      <c r="B661" s="21" t="str">
        <f ca="1">IF(B660="","",IF(EOMONTH(B660,1)&gt;EOMONTH(ELEGIBILIDADE!$E$5,0),"",EOMONTH(B660,1)))</f>
        <v/>
      </c>
      <c r="C661" s="22" t="str">
        <f ca="1">IF(B661="","",IF(MONTH(B661)=1,C660*(1+PREMISSAS!$C$58),C660))</f>
        <v/>
      </c>
      <c r="D661" s="22">
        <f ca="1">IF(RESULTADOS!$C$17="Normal",IFERROR(MAX(C661-PREMISSAS!$C$14,0),0),IF(PREMISSAS!$H$117=0,0,MAX(10*PREMISSAS!$C$39,RESULTADOS!$F$17)))</f>
        <v>0</v>
      </c>
      <c r="E661" s="4">
        <f ca="1">D661*IF(RESULTADOS!$C$17="Normal",RESULTADOS!$C$16,0)</f>
        <v>0</v>
      </c>
      <c r="F661" s="4">
        <f ca="1">IF(D661&lt;&gt;0,PREMISSAS!$N$83,0)</f>
        <v>0</v>
      </c>
      <c r="G661" s="4">
        <f ca="1">IFERROR(IF(RESULTADOS!$C$17="Normal",0,D661)*IF(RESULTADOS!$C$17="Normal",RESULTADOS!$C$18,RESULTADOS!$C$16),0)</f>
        <v>0</v>
      </c>
      <c r="H661" s="4">
        <f ca="1">IF(RESULTADOS!$C$17="Normal",E661,0)</f>
        <v>0</v>
      </c>
      <c r="I661" s="4">
        <f ca="1">(E661+H661+G661)*IFERROR(VLOOKUP(INT(COUNT($B$5:B661)/12),PREMISSAS!$B$62:$C$69,2,FALSE),PREMISSAS!$C$69)</f>
        <v>0</v>
      </c>
      <c r="J661" s="4">
        <f ca="1">D661*IF(RESULTADOS!$C$17="Normal",PREMISSAS!$C$71,0)</f>
        <v>0</v>
      </c>
      <c r="K661" s="87">
        <f ca="1">IFERROR(K660*(1+PREMISSAS!$C$19)+(E661+H661-IF(RESULTADOS!$C$17="Normal",I661,0)-J661)*IF(MONTH(B661)=12,2,1),0)</f>
        <v>0</v>
      </c>
      <c r="L661" s="87">
        <f ca="1">IFERROR((L660+G661-IF(RESULTADOS!$C$17="Normal",0,I661))*(1+PREMISSAS!$C$19)+F661,0)</f>
        <v>0</v>
      </c>
      <c r="N661" s="58">
        <f t="shared" ca="1" si="88"/>
        <v>0</v>
      </c>
      <c r="P661" s="131" t="str">
        <f t="shared" ca="1" si="89"/>
        <v/>
      </c>
      <c r="Q661" s="111" t="str">
        <f ca="1">IF(C661="","",Q660+(E661+H661-IF(RESULTADOS!$C$17="Normal",I661,0)-J661)/2+(F661+G661-IF(RESULTADOS!$C$17="Normal",0,I661)))</f>
        <v/>
      </c>
      <c r="R661" s="111" t="str">
        <f ca="1">IF(C661="","",R660+(E661+H661-IF(RESULTADOS!$C$17="Normal",I661,0)-J661)/2)</f>
        <v/>
      </c>
      <c r="S661" s="111">
        <f t="shared" ca="1" si="90"/>
        <v>0</v>
      </c>
      <c r="U661" s="131" t="str">
        <f t="shared" ca="1" si="91"/>
        <v/>
      </c>
      <c r="V661" s="131" t="str">
        <f t="shared" ca="1" si="92"/>
        <v/>
      </c>
      <c r="W661" s="111">
        <f ca="1">IF(OR((W660-13/12*Z660)*(1+PREMISSAS!$C$17)&lt;0,W660=""),0,(W660-13/12*Z660)*(1+PREMISSAS!$C$17))</f>
        <v>0</v>
      </c>
      <c r="X661" s="111">
        <f ca="1">IF(OR((X660-13/12*AA660)*(1+PREMISSAS!$C$17)&lt;0,X660=""),0,(X660-13/12*AA660)*(1+PREMISSAS!$C$17))</f>
        <v>0</v>
      </c>
      <c r="Y661" s="111">
        <f t="shared" ca="1" si="93"/>
        <v>0</v>
      </c>
      <c r="Z661" s="134">
        <f t="shared" ca="1" si="94"/>
        <v>0</v>
      </c>
      <c r="AA661" s="134">
        <f t="shared" ca="1" si="95"/>
        <v>0</v>
      </c>
    </row>
    <row r="662" spans="2:27" x14ac:dyDescent="0.3">
      <c r="B662" s="21" t="str">
        <f ca="1">IF(B661="","",IF(EOMONTH(B661,1)&gt;EOMONTH(ELEGIBILIDADE!$E$5,0),"",EOMONTH(B661,1)))</f>
        <v/>
      </c>
      <c r="C662" s="22" t="str">
        <f ca="1">IF(B662="","",IF(MONTH(B662)=1,C661*(1+PREMISSAS!$C$58),C661))</f>
        <v/>
      </c>
      <c r="D662" s="22">
        <f ca="1">IF(RESULTADOS!$C$17="Normal",IFERROR(MAX(C662-PREMISSAS!$C$14,0),0),IF(PREMISSAS!$H$117=0,0,MAX(10*PREMISSAS!$C$39,RESULTADOS!$F$17)))</f>
        <v>0</v>
      </c>
      <c r="E662" s="4">
        <f ca="1">D662*IF(RESULTADOS!$C$17="Normal",RESULTADOS!$C$16,0)</f>
        <v>0</v>
      </c>
      <c r="F662" s="4">
        <f ca="1">IF(D662&lt;&gt;0,PREMISSAS!$N$83,0)</f>
        <v>0</v>
      </c>
      <c r="G662" s="4">
        <f ca="1">IFERROR(IF(RESULTADOS!$C$17="Normal",0,D662)*IF(RESULTADOS!$C$17="Normal",RESULTADOS!$C$18,RESULTADOS!$C$16),0)</f>
        <v>0</v>
      </c>
      <c r="H662" s="4">
        <f ca="1">IF(RESULTADOS!$C$17="Normal",E662,0)</f>
        <v>0</v>
      </c>
      <c r="I662" s="4">
        <f ca="1">(E662+H662+G662)*IFERROR(VLOOKUP(INT(COUNT($B$5:B662)/12),PREMISSAS!$B$62:$C$69,2,FALSE),PREMISSAS!$C$69)</f>
        <v>0</v>
      </c>
      <c r="J662" s="4">
        <f ca="1">D662*IF(RESULTADOS!$C$17="Normal",PREMISSAS!$C$71,0)</f>
        <v>0</v>
      </c>
      <c r="K662" s="87">
        <f ca="1">IFERROR(K661*(1+PREMISSAS!$C$19)+(E662+H662-IF(RESULTADOS!$C$17="Normal",I662,0)-J662)*IF(MONTH(B662)=12,2,1),0)</f>
        <v>0</v>
      </c>
      <c r="L662" s="87">
        <f ca="1">IFERROR((L661+G662-IF(RESULTADOS!$C$17="Normal",0,I662))*(1+PREMISSAS!$C$19)+F662,0)</f>
        <v>0</v>
      </c>
      <c r="N662" s="58">
        <f t="shared" ca="1" si="88"/>
        <v>0</v>
      </c>
      <c r="P662" s="131" t="str">
        <f t="shared" ca="1" si="89"/>
        <v/>
      </c>
      <c r="Q662" s="111" t="str">
        <f ca="1">IF(C662="","",Q661+(E662+H662-IF(RESULTADOS!$C$17="Normal",I662,0)-J662)/2+(F662+G662-IF(RESULTADOS!$C$17="Normal",0,I662)))</f>
        <v/>
      </c>
      <c r="R662" s="111" t="str">
        <f ca="1">IF(C662="","",R661+(E662+H662-IF(RESULTADOS!$C$17="Normal",I662,0)-J662)/2)</f>
        <v/>
      </c>
      <c r="S662" s="111">
        <f t="shared" ca="1" si="90"/>
        <v>0</v>
      </c>
      <c r="U662" s="131" t="str">
        <f t="shared" ca="1" si="91"/>
        <v/>
      </c>
      <c r="V662" s="131" t="str">
        <f t="shared" ca="1" si="92"/>
        <v/>
      </c>
      <c r="W662" s="111">
        <f ca="1">IF(OR((W661-13/12*Z661)*(1+PREMISSAS!$C$17)&lt;0,W661=""),0,(W661-13/12*Z661)*(1+PREMISSAS!$C$17))</f>
        <v>0</v>
      </c>
      <c r="X662" s="111">
        <f ca="1">IF(OR((X661-13/12*AA661)*(1+PREMISSAS!$C$17)&lt;0,X661=""),0,(X661-13/12*AA661)*(1+PREMISSAS!$C$17))</f>
        <v>0</v>
      </c>
      <c r="Y662" s="111">
        <f t="shared" ca="1" si="93"/>
        <v>0</v>
      </c>
      <c r="Z662" s="134">
        <f t="shared" ca="1" si="94"/>
        <v>0</v>
      </c>
      <c r="AA662" s="134">
        <f t="shared" ca="1" si="95"/>
        <v>0</v>
      </c>
    </row>
    <row r="663" spans="2:27" x14ac:dyDescent="0.3">
      <c r="B663" s="21" t="str">
        <f ca="1">IF(B662="","",IF(EOMONTH(B662,1)&gt;EOMONTH(ELEGIBILIDADE!$E$5,0),"",EOMONTH(B662,1)))</f>
        <v/>
      </c>
      <c r="C663" s="22" t="str">
        <f ca="1">IF(B663="","",IF(MONTH(B663)=1,C662*(1+PREMISSAS!$C$58),C662))</f>
        <v/>
      </c>
      <c r="D663" s="22">
        <f ca="1">IF(RESULTADOS!$C$17="Normal",IFERROR(MAX(C663-PREMISSAS!$C$14,0),0),IF(PREMISSAS!$H$117=0,0,MAX(10*PREMISSAS!$C$39,RESULTADOS!$F$17)))</f>
        <v>0</v>
      </c>
      <c r="E663" s="4">
        <f ca="1">D663*IF(RESULTADOS!$C$17="Normal",RESULTADOS!$C$16,0)</f>
        <v>0</v>
      </c>
      <c r="F663" s="4">
        <f ca="1">IF(D663&lt;&gt;0,PREMISSAS!$N$83,0)</f>
        <v>0</v>
      </c>
      <c r="G663" s="4">
        <f ca="1">IFERROR(IF(RESULTADOS!$C$17="Normal",0,D663)*IF(RESULTADOS!$C$17="Normal",RESULTADOS!$C$18,RESULTADOS!$C$16),0)</f>
        <v>0</v>
      </c>
      <c r="H663" s="4">
        <f ca="1">IF(RESULTADOS!$C$17="Normal",E663,0)</f>
        <v>0</v>
      </c>
      <c r="I663" s="4">
        <f ca="1">(E663+H663+G663)*IFERROR(VLOOKUP(INT(COUNT($B$5:B663)/12),PREMISSAS!$B$62:$C$69,2,FALSE),PREMISSAS!$C$69)</f>
        <v>0</v>
      </c>
      <c r="J663" s="4">
        <f ca="1">D663*IF(RESULTADOS!$C$17="Normal",PREMISSAS!$C$71,0)</f>
        <v>0</v>
      </c>
      <c r="K663" s="87">
        <f ca="1">IFERROR(K662*(1+PREMISSAS!$C$19)+(E663+H663-IF(RESULTADOS!$C$17="Normal",I663,0)-J663)*IF(MONTH(B663)=12,2,1),0)</f>
        <v>0</v>
      </c>
      <c r="L663" s="87">
        <f ca="1">IFERROR((L662+G663-IF(RESULTADOS!$C$17="Normal",0,I663))*(1+PREMISSAS!$C$19)+F663,0)</f>
        <v>0</v>
      </c>
      <c r="N663" s="58">
        <f t="shared" ca="1" si="88"/>
        <v>0</v>
      </c>
      <c r="P663" s="131" t="str">
        <f t="shared" ca="1" si="89"/>
        <v/>
      </c>
      <c r="Q663" s="111" t="str">
        <f ca="1">IF(C663="","",Q662+(E663+H663-IF(RESULTADOS!$C$17="Normal",I663,0)-J663)/2+(F663+G663-IF(RESULTADOS!$C$17="Normal",0,I663)))</f>
        <v/>
      </c>
      <c r="R663" s="111" t="str">
        <f ca="1">IF(C663="","",R662+(E663+H663-IF(RESULTADOS!$C$17="Normal",I663,0)-J663)/2)</f>
        <v/>
      </c>
      <c r="S663" s="111">
        <f t="shared" ca="1" si="90"/>
        <v>0</v>
      </c>
      <c r="U663" s="131" t="str">
        <f t="shared" ca="1" si="91"/>
        <v/>
      </c>
      <c r="V663" s="131" t="str">
        <f t="shared" ca="1" si="92"/>
        <v/>
      </c>
      <c r="W663" s="111">
        <f ca="1">IF(OR((W662-13/12*Z662)*(1+PREMISSAS!$C$17)&lt;0,W662=""),0,(W662-13/12*Z662)*(1+PREMISSAS!$C$17))</f>
        <v>0</v>
      </c>
      <c r="X663" s="111">
        <f ca="1">IF(OR((X662-13/12*AA662)*(1+PREMISSAS!$C$17)&lt;0,X662=""),0,(X662-13/12*AA662)*(1+PREMISSAS!$C$17))</f>
        <v>0</v>
      </c>
      <c r="Y663" s="111">
        <f t="shared" ca="1" si="93"/>
        <v>0</v>
      </c>
      <c r="Z663" s="134">
        <f t="shared" ca="1" si="94"/>
        <v>0</v>
      </c>
      <c r="AA663" s="134">
        <f t="shared" ca="1" si="95"/>
        <v>0</v>
      </c>
    </row>
    <row r="664" spans="2:27" x14ac:dyDescent="0.3">
      <c r="B664" s="21" t="str">
        <f ca="1">IF(B663="","",IF(EOMONTH(B663,1)&gt;EOMONTH(ELEGIBILIDADE!$E$5,0),"",EOMONTH(B663,1)))</f>
        <v/>
      </c>
      <c r="C664" s="22" t="str">
        <f ca="1">IF(B664="","",IF(MONTH(B664)=1,C663*(1+PREMISSAS!$C$58),C663))</f>
        <v/>
      </c>
      <c r="D664" s="22">
        <f ca="1">IF(RESULTADOS!$C$17="Normal",IFERROR(MAX(C664-PREMISSAS!$C$14,0),0),IF(PREMISSAS!$H$117=0,0,MAX(10*PREMISSAS!$C$39,RESULTADOS!$F$17)))</f>
        <v>0</v>
      </c>
      <c r="E664" s="4">
        <f ca="1">D664*IF(RESULTADOS!$C$17="Normal",RESULTADOS!$C$16,0)</f>
        <v>0</v>
      </c>
      <c r="F664" s="4">
        <f ca="1">IF(D664&lt;&gt;0,PREMISSAS!$N$83,0)</f>
        <v>0</v>
      </c>
      <c r="G664" s="4">
        <f ca="1">IFERROR(IF(RESULTADOS!$C$17="Normal",0,D664)*IF(RESULTADOS!$C$17="Normal",RESULTADOS!$C$18,RESULTADOS!$C$16),0)</f>
        <v>0</v>
      </c>
      <c r="H664" s="4">
        <f ca="1">IF(RESULTADOS!$C$17="Normal",E664,0)</f>
        <v>0</v>
      </c>
      <c r="I664" s="4">
        <f ca="1">(E664+H664+G664)*IFERROR(VLOOKUP(INT(COUNT($B$5:B664)/12),PREMISSAS!$B$62:$C$69,2,FALSE),PREMISSAS!$C$69)</f>
        <v>0</v>
      </c>
      <c r="J664" s="4">
        <f ca="1">D664*IF(RESULTADOS!$C$17="Normal",PREMISSAS!$C$71,0)</f>
        <v>0</v>
      </c>
      <c r="K664" s="87">
        <f ca="1">IFERROR(K663*(1+PREMISSAS!$C$19)+(E664+H664-IF(RESULTADOS!$C$17="Normal",I664,0)-J664)*IF(MONTH(B664)=12,2,1),0)</f>
        <v>0</v>
      </c>
      <c r="L664" s="87">
        <f ca="1">IFERROR((L663+G664-IF(RESULTADOS!$C$17="Normal",0,I664))*(1+PREMISSAS!$C$19)+F664,0)</f>
        <v>0</v>
      </c>
      <c r="N664" s="58">
        <f t="shared" ref="N664:N683" ca="1" si="96">IFERROR((E664+F664+G664)/C664,0)</f>
        <v>0</v>
      </c>
      <c r="P664" s="131" t="str">
        <f t="shared" ref="P664:P683" ca="1" si="97">IF(C664="","",B664)</f>
        <v/>
      </c>
      <c r="Q664" s="111" t="str">
        <f ca="1">IF(C664="","",Q663+(E664+H664-IF(RESULTADOS!$C$17="Normal",I664,0)-J664)/2+(F664+G664-IF(RESULTADOS!$C$17="Normal",0,I664)))</f>
        <v/>
      </c>
      <c r="R664" s="111" t="str">
        <f ca="1">IF(C664="","",R663+(E664+H664-IF(RESULTADOS!$C$17="Normal",I664,0)-J664)/2)</f>
        <v/>
      </c>
      <c r="S664" s="111">
        <f t="shared" ref="S664:S683" ca="1" si="98">SUM(K664:L664)-SUM(Q664:R664)</f>
        <v>0</v>
      </c>
      <c r="U664" s="131" t="str">
        <f t="shared" ref="U664:U683" ca="1" si="99">IF(Y664=0,"",EOMONTH(U663,1))</f>
        <v/>
      </c>
      <c r="V664" s="131" t="str">
        <f t="shared" ref="V664:V683" ca="1" si="100">IF(AA664&lt;&gt;"",U664,"")</f>
        <v/>
      </c>
      <c r="W664" s="111">
        <f ca="1">IF(OR((W663-13/12*Z663)*(1+PREMISSAS!$C$17)&lt;0,W663=""),0,(W663-13/12*Z663)*(1+PREMISSAS!$C$17))</f>
        <v>0</v>
      </c>
      <c r="X664" s="111">
        <f ca="1">IF(OR((X663-13/12*AA663)*(1+PREMISSAS!$C$17)&lt;0,X663=""),0,(X663-13/12*AA663)*(1+PREMISSAS!$C$17))</f>
        <v>0</v>
      </c>
      <c r="Y664" s="111">
        <f t="shared" ref="Y664:Y683" ca="1" si="101">SUM(W664:X664)</f>
        <v>0</v>
      </c>
      <c r="Z664" s="134">
        <f t="shared" ref="Z664:Z683" ca="1" si="102">IF(W664&lt;&gt;0,Z663,0)</f>
        <v>0</v>
      </c>
      <c r="AA664" s="134">
        <f t="shared" ca="1" si="95"/>
        <v>0</v>
      </c>
    </row>
    <row r="665" spans="2:27" x14ac:dyDescent="0.3">
      <c r="B665" s="21" t="str">
        <f ca="1">IF(B664="","",IF(EOMONTH(B664,1)&gt;EOMONTH(ELEGIBILIDADE!$E$5,0),"",EOMONTH(B664,1)))</f>
        <v/>
      </c>
      <c r="C665" s="22" t="str">
        <f ca="1">IF(B665="","",IF(MONTH(B665)=1,C664*(1+PREMISSAS!$C$58),C664))</f>
        <v/>
      </c>
      <c r="D665" s="22">
        <f ca="1">IF(RESULTADOS!$C$17="Normal",IFERROR(MAX(C665-PREMISSAS!$C$14,0),0),IF(PREMISSAS!$H$117=0,0,MAX(10*PREMISSAS!$C$39,RESULTADOS!$F$17)))</f>
        <v>0</v>
      </c>
      <c r="E665" s="4">
        <f ca="1">D665*IF(RESULTADOS!$C$17="Normal",RESULTADOS!$C$16,0)</f>
        <v>0</v>
      </c>
      <c r="F665" s="4">
        <f ca="1">IF(D665&lt;&gt;0,PREMISSAS!$N$83,0)</f>
        <v>0</v>
      </c>
      <c r="G665" s="4">
        <f ca="1">IFERROR(IF(RESULTADOS!$C$17="Normal",0,D665)*IF(RESULTADOS!$C$17="Normal",RESULTADOS!$C$18,RESULTADOS!$C$16),0)</f>
        <v>0</v>
      </c>
      <c r="H665" s="4">
        <f ca="1">IF(RESULTADOS!$C$17="Normal",E665,0)</f>
        <v>0</v>
      </c>
      <c r="I665" s="4">
        <f ca="1">(E665+H665+G665)*IFERROR(VLOOKUP(INT(COUNT($B$5:B665)/12),PREMISSAS!$B$62:$C$69,2,FALSE),PREMISSAS!$C$69)</f>
        <v>0</v>
      </c>
      <c r="J665" s="4">
        <f ca="1">D665*IF(RESULTADOS!$C$17="Normal",PREMISSAS!$C$71,0)</f>
        <v>0</v>
      </c>
      <c r="K665" s="87">
        <f ca="1">IFERROR(K664*(1+PREMISSAS!$C$19)+(E665+H665-IF(RESULTADOS!$C$17="Normal",I665,0)-J665)*IF(MONTH(B665)=12,2,1),0)</f>
        <v>0</v>
      </c>
      <c r="L665" s="87">
        <f ca="1">IFERROR((L664+G665-IF(RESULTADOS!$C$17="Normal",0,I665))*(1+PREMISSAS!$C$19)+F665,0)</f>
        <v>0</v>
      </c>
      <c r="N665" s="58">
        <f t="shared" ca="1" si="96"/>
        <v>0</v>
      </c>
      <c r="P665" s="131" t="str">
        <f t="shared" ca="1" si="97"/>
        <v/>
      </c>
      <c r="Q665" s="111" t="str">
        <f ca="1">IF(C665="","",Q664+(E665+H665-IF(RESULTADOS!$C$17="Normal",I665,0)-J665)/2+(F665+G665-IF(RESULTADOS!$C$17="Normal",0,I665)))</f>
        <v/>
      </c>
      <c r="R665" s="111" t="str">
        <f ca="1">IF(C665="","",R664+(E665+H665-IF(RESULTADOS!$C$17="Normal",I665,0)-J665)/2)</f>
        <v/>
      </c>
      <c r="S665" s="111">
        <f t="shared" ca="1" si="98"/>
        <v>0</v>
      </c>
      <c r="U665" s="131" t="str">
        <f t="shared" ca="1" si="99"/>
        <v/>
      </c>
      <c r="V665" s="131" t="str">
        <f t="shared" ca="1" si="100"/>
        <v/>
      </c>
      <c r="W665" s="111">
        <f ca="1">IF(OR((W664-13/12*Z664)*(1+PREMISSAS!$C$17)&lt;0,W664=""),0,(W664-13/12*Z664)*(1+PREMISSAS!$C$17))</f>
        <v>0</v>
      </c>
      <c r="X665" s="111">
        <f ca="1">IF(OR((X664-13/12*AA664)*(1+PREMISSAS!$C$17)&lt;0,X664=""),0,(X664-13/12*AA664)*(1+PREMISSAS!$C$17))</f>
        <v>0</v>
      </c>
      <c r="Y665" s="111">
        <f t="shared" ca="1" si="101"/>
        <v>0</v>
      </c>
      <c r="Z665" s="134">
        <f t="shared" ca="1" si="102"/>
        <v>0</v>
      </c>
      <c r="AA665" s="134">
        <f t="shared" ca="1" si="95"/>
        <v>0</v>
      </c>
    </row>
    <row r="666" spans="2:27" x14ac:dyDescent="0.3">
      <c r="B666" s="21" t="str">
        <f ca="1">IF(B665="","",IF(EOMONTH(B665,1)&gt;EOMONTH(ELEGIBILIDADE!$E$5,0),"",EOMONTH(B665,1)))</f>
        <v/>
      </c>
      <c r="C666" s="22" t="str">
        <f ca="1">IF(B666="","",IF(MONTH(B666)=1,C665*(1+PREMISSAS!$C$58),C665))</f>
        <v/>
      </c>
      <c r="D666" s="22">
        <f ca="1">IF(RESULTADOS!$C$17="Normal",IFERROR(MAX(C666-PREMISSAS!$C$14,0),0),IF(PREMISSAS!$H$117=0,0,MAX(10*PREMISSAS!$C$39,RESULTADOS!$F$17)))</f>
        <v>0</v>
      </c>
      <c r="E666" s="4">
        <f ca="1">D666*IF(RESULTADOS!$C$17="Normal",RESULTADOS!$C$16,0)</f>
        <v>0</v>
      </c>
      <c r="F666" s="4">
        <f ca="1">IF(D666&lt;&gt;0,PREMISSAS!$N$83,0)</f>
        <v>0</v>
      </c>
      <c r="G666" s="4">
        <f ca="1">IFERROR(IF(RESULTADOS!$C$17="Normal",0,D666)*IF(RESULTADOS!$C$17="Normal",RESULTADOS!$C$18,RESULTADOS!$C$16),0)</f>
        <v>0</v>
      </c>
      <c r="H666" s="4">
        <f ca="1">IF(RESULTADOS!$C$17="Normal",E666,0)</f>
        <v>0</v>
      </c>
      <c r="I666" s="4">
        <f ca="1">(E666+H666+G666)*IFERROR(VLOOKUP(INT(COUNT($B$5:B666)/12),PREMISSAS!$B$62:$C$69,2,FALSE),PREMISSAS!$C$69)</f>
        <v>0</v>
      </c>
      <c r="J666" s="4">
        <f ca="1">D666*IF(RESULTADOS!$C$17="Normal",PREMISSAS!$C$71,0)</f>
        <v>0</v>
      </c>
      <c r="K666" s="87">
        <f ca="1">IFERROR(K665*(1+PREMISSAS!$C$19)+(E666+H666-IF(RESULTADOS!$C$17="Normal",I666,0)-J666)*IF(MONTH(B666)=12,2,1),0)</f>
        <v>0</v>
      </c>
      <c r="L666" s="87">
        <f ca="1">IFERROR((L665+G666-IF(RESULTADOS!$C$17="Normal",0,I666))*(1+PREMISSAS!$C$19)+F666,0)</f>
        <v>0</v>
      </c>
      <c r="N666" s="58">
        <f t="shared" ca="1" si="96"/>
        <v>0</v>
      </c>
      <c r="P666" s="131" t="str">
        <f t="shared" ca="1" si="97"/>
        <v/>
      </c>
      <c r="Q666" s="111" t="str">
        <f ca="1">IF(C666="","",Q665+(E666+H666-IF(RESULTADOS!$C$17="Normal",I666,0)-J666)/2+(F666+G666-IF(RESULTADOS!$C$17="Normal",0,I666)))</f>
        <v/>
      </c>
      <c r="R666" s="111" t="str">
        <f ca="1">IF(C666="","",R665+(E666+H666-IF(RESULTADOS!$C$17="Normal",I666,0)-J666)/2)</f>
        <v/>
      </c>
      <c r="S666" s="111">
        <f t="shared" ca="1" si="98"/>
        <v>0</v>
      </c>
      <c r="U666" s="131" t="str">
        <f t="shared" ca="1" si="99"/>
        <v/>
      </c>
      <c r="V666" s="131" t="str">
        <f t="shared" ca="1" si="100"/>
        <v/>
      </c>
      <c r="W666" s="111">
        <f ca="1">IF(OR((W665-13/12*Z665)*(1+PREMISSAS!$C$17)&lt;0,W665=""),0,(W665-13/12*Z665)*(1+PREMISSAS!$C$17))</f>
        <v>0</v>
      </c>
      <c r="X666" s="111">
        <f ca="1">IF(OR((X665-13/12*AA665)*(1+PREMISSAS!$C$17)&lt;0,X665=""),0,(X665-13/12*AA665)*(1+PREMISSAS!$C$17))</f>
        <v>0</v>
      </c>
      <c r="Y666" s="111">
        <f t="shared" ca="1" si="101"/>
        <v>0</v>
      </c>
      <c r="Z666" s="134">
        <f t="shared" ca="1" si="102"/>
        <v>0</v>
      </c>
      <c r="AA666" s="134">
        <f t="shared" ca="1" si="95"/>
        <v>0</v>
      </c>
    </row>
    <row r="667" spans="2:27" x14ac:dyDescent="0.3">
      <c r="B667" s="21" t="str">
        <f ca="1">IF(B666="","",IF(EOMONTH(B666,1)&gt;EOMONTH(ELEGIBILIDADE!$E$5,0),"",EOMONTH(B666,1)))</f>
        <v/>
      </c>
      <c r="C667" s="22" t="str">
        <f ca="1">IF(B667="","",IF(MONTH(B667)=1,C666*(1+PREMISSAS!$C$58),C666))</f>
        <v/>
      </c>
      <c r="D667" s="22">
        <f ca="1">IF(RESULTADOS!$C$17="Normal",IFERROR(MAX(C667-PREMISSAS!$C$14,0),0),IF(PREMISSAS!$H$117=0,0,MAX(10*PREMISSAS!$C$39,RESULTADOS!$F$17)))</f>
        <v>0</v>
      </c>
      <c r="E667" s="4">
        <f ca="1">D667*IF(RESULTADOS!$C$17="Normal",RESULTADOS!$C$16,0)</f>
        <v>0</v>
      </c>
      <c r="F667" s="4">
        <f ca="1">IF(D667&lt;&gt;0,PREMISSAS!$N$83,0)</f>
        <v>0</v>
      </c>
      <c r="G667" s="4">
        <f ca="1">IFERROR(IF(RESULTADOS!$C$17="Normal",0,D667)*IF(RESULTADOS!$C$17="Normal",RESULTADOS!$C$18,RESULTADOS!$C$16),0)</f>
        <v>0</v>
      </c>
      <c r="H667" s="4">
        <f ca="1">IF(RESULTADOS!$C$17="Normal",E667,0)</f>
        <v>0</v>
      </c>
      <c r="I667" s="4">
        <f ca="1">(E667+H667+G667)*IFERROR(VLOOKUP(INT(COUNT($B$5:B667)/12),PREMISSAS!$B$62:$C$69,2,FALSE),PREMISSAS!$C$69)</f>
        <v>0</v>
      </c>
      <c r="J667" s="4">
        <f ca="1">D667*IF(RESULTADOS!$C$17="Normal",PREMISSAS!$C$71,0)</f>
        <v>0</v>
      </c>
      <c r="K667" s="87">
        <f ca="1">IFERROR(K666*(1+PREMISSAS!$C$19)+(E667+H667-IF(RESULTADOS!$C$17="Normal",I667,0)-J667)*IF(MONTH(B667)=12,2,1),0)</f>
        <v>0</v>
      </c>
      <c r="L667" s="87">
        <f ca="1">IFERROR((L666+G667-IF(RESULTADOS!$C$17="Normal",0,I667))*(1+PREMISSAS!$C$19)+F667,0)</f>
        <v>0</v>
      </c>
      <c r="N667" s="58">
        <f t="shared" ca="1" si="96"/>
        <v>0</v>
      </c>
      <c r="P667" s="131" t="str">
        <f t="shared" ca="1" si="97"/>
        <v/>
      </c>
      <c r="Q667" s="111" t="str">
        <f ca="1">IF(C667="","",Q666+(E667+H667-IF(RESULTADOS!$C$17="Normal",I667,0)-J667)/2+(F667+G667-IF(RESULTADOS!$C$17="Normal",0,I667)))</f>
        <v/>
      </c>
      <c r="R667" s="111" t="str">
        <f ca="1">IF(C667="","",R666+(E667+H667-IF(RESULTADOS!$C$17="Normal",I667,0)-J667)/2)</f>
        <v/>
      </c>
      <c r="S667" s="111">
        <f t="shared" ca="1" si="98"/>
        <v>0</v>
      </c>
      <c r="U667" s="131" t="str">
        <f t="shared" ca="1" si="99"/>
        <v/>
      </c>
      <c r="V667" s="131" t="str">
        <f t="shared" ca="1" si="100"/>
        <v/>
      </c>
      <c r="W667" s="111">
        <f ca="1">IF(OR((W666-13/12*Z666)*(1+PREMISSAS!$C$17)&lt;0,W666=""),0,(W666-13/12*Z666)*(1+PREMISSAS!$C$17))</f>
        <v>0</v>
      </c>
      <c r="X667" s="111">
        <f ca="1">IF(OR((X666-13/12*AA666)*(1+PREMISSAS!$C$17)&lt;0,X666=""),0,(X666-13/12*AA666)*(1+PREMISSAS!$C$17))</f>
        <v>0</v>
      </c>
      <c r="Y667" s="111">
        <f t="shared" ca="1" si="101"/>
        <v>0</v>
      </c>
      <c r="Z667" s="134">
        <f t="shared" ca="1" si="102"/>
        <v>0</v>
      </c>
      <c r="AA667" s="134">
        <f t="shared" ca="1" si="95"/>
        <v>0</v>
      </c>
    </row>
    <row r="668" spans="2:27" x14ac:dyDescent="0.3">
      <c r="B668" s="21" t="str">
        <f ca="1">IF(B667="","",IF(EOMONTH(B667,1)&gt;EOMONTH(ELEGIBILIDADE!$E$5,0),"",EOMONTH(B667,1)))</f>
        <v/>
      </c>
      <c r="C668" s="22" t="str">
        <f ca="1">IF(B668="","",IF(MONTH(B668)=1,C667*(1+PREMISSAS!$C$58),C667))</f>
        <v/>
      </c>
      <c r="D668" s="22">
        <f ca="1">IF(RESULTADOS!$C$17="Normal",IFERROR(MAX(C668-PREMISSAS!$C$14,0),0),IF(PREMISSAS!$H$117=0,0,MAX(10*PREMISSAS!$C$39,RESULTADOS!$F$17)))</f>
        <v>0</v>
      </c>
      <c r="E668" s="4">
        <f ca="1">D668*IF(RESULTADOS!$C$17="Normal",RESULTADOS!$C$16,0)</f>
        <v>0</v>
      </c>
      <c r="F668" s="4">
        <f ca="1">IF(D668&lt;&gt;0,PREMISSAS!$N$83,0)</f>
        <v>0</v>
      </c>
      <c r="G668" s="4">
        <f ca="1">IFERROR(IF(RESULTADOS!$C$17="Normal",0,D668)*IF(RESULTADOS!$C$17="Normal",RESULTADOS!$C$18,RESULTADOS!$C$16),0)</f>
        <v>0</v>
      </c>
      <c r="H668" s="4">
        <f ca="1">IF(RESULTADOS!$C$17="Normal",E668,0)</f>
        <v>0</v>
      </c>
      <c r="I668" s="4">
        <f ca="1">(E668+H668+G668)*IFERROR(VLOOKUP(INT(COUNT($B$5:B668)/12),PREMISSAS!$B$62:$C$69,2,FALSE),PREMISSAS!$C$69)</f>
        <v>0</v>
      </c>
      <c r="J668" s="4">
        <f ca="1">D668*IF(RESULTADOS!$C$17="Normal",PREMISSAS!$C$71,0)</f>
        <v>0</v>
      </c>
      <c r="K668" s="87">
        <f ca="1">IFERROR(K667*(1+PREMISSAS!$C$19)+(E668+H668-IF(RESULTADOS!$C$17="Normal",I668,0)-J668)*IF(MONTH(B668)=12,2,1),0)</f>
        <v>0</v>
      </c>
      <c r="L668" s="87">
        <f ca="1">IFERROR((L667+G668-IF(RESULTADOS!$C$17="Normal",0,I668))*(1+PREMISSAS!$C$19)+F668,0)</f>
        <v>0</v>
      </c>
      <c r="N668" s="58">
        <f t="shared" ca="1" si="96"/>
        <v>0</v>
      </c>
      <c r="P668" s="131" t="str">
        <f t="shared" ca="1" si="97"/>
        <v/>
      </c>
      <c r="Q668" s="111" t="str">
        <f ca="1">IF(C668="","",Q667+(E668+H668-IF(RESULTADOS!$C$17="Normal",I668,0)-J668)/2+(F668+G668-IF(RESULTADOS!$C$17="Normal",0,I668)))</f>
        <v/>
      </c>
      <c r="R668" s="111" t="str">
        <f ca="1">IF(C668="","",R667+(E668+H668-IF(RESULTADOS!$C$17="Normal",I668,0)-J668)/2)</f>
        <v/>
      </c>
      <c r="S668" s="111">
        <f t="shared" ca="1" si="98"/>
        <v>0</v>
      </c>
      <c r="U668" s="131" t="str">
        <f t="shared" ca="1" si="99"/>
        <v/>
      </c>
      <c r="V668" s="131" t="str">
        <f t="shared" ca="1" si="100"/>
        <v/>
      </c>
      <c r="W668" s="111">
        <f ca="1">IF(OR((W667-13/12*Z667)*(1+PREMISSAS!$C$17)&lt;0,W667=""),0,(W667-13/12*Z667)*(1+PREMISSAS!$C$17))</f>
        <v>0</v>
      </c>
      <c r="X668" s="111">
        <f ca="1">IF(OR((X667-13/12*AA667)*(1+PREMISSAS!$C$17)&lt;0,X667=""),0,(X667-13/12*AA667)*(1+PREMISSAS!$C$17))</f>
        <v>0</v>
      </c>
      <c r="Y668" s="111">
        <f t="shared" ca="1" si="101"/>
        <v>0</v>
      </c>
      <c r="Z668" s="134">
        <f t="shared" ca="1" si="102"/>
        <v>0</v>
      </c>
      <c r="AA668" s="134">
        <f t="shared" ca="1" si="95"/>
        <v>0</v>
      </c>
    </row>
    <row r="669" spans="2:27" x14ac:dyDescent="0.3">
      <c r="B669" s="21" t="str">
        <f ca="1">IF(B668="","",IF(EOMONTH(B668,1)&gt;EOMONTH(ELEGIBILIDADE!$E$5,0),"",EOMONTH(B668,1)))</f>
        <v/>
      </c>
      <c r="C669" s="22" t="str">
        <f ca="1">IF(B669="","",IF(MONTH(B669)=1,C668*(1+PREMISSAS!$C$58),C668))</f>
        <v/>
      </c>
      <c r="D669" s="22">
        <f ca="1">IF(RESULTADOS!$C$17="Normal",IFERROR(MAX(C669-PREMISSAS!$C$14,0),0),IF(PREMISSAS!$H$117=0,0,MAX(10*PREMISSAS!$C$39,RESULTADOS!$F$17)))</f>
        <v>0</v>
      </c>
      <c r="E669" s="4">
        <f ca="1">D669*IF(RESULTADOS!$C$17="Normal",RESULTADOS!$C$16,0)</f>
        <v>0</v>
      </c>
      <c r="F669" s="4">
        <f ca="1">IF(D669&lt;&gt;0,PREMISSAS!$N$83,0)</f>
        <v>0</v>
      </c>
      <c r="G669" s="4">
        <f ca="1">IFERROR(IF(RESULTADOS!$C$17="Normal",0,D669)*IF(RESULTADOS!$C$17="Normal",RESULTADOS!$C$18,RESULTADOS!$C$16),0)</f>
        <v>0</v>
      </c>
      <c r="H669" s="4">
        <f ca="1">IF(RESULTADOS!$C$17="Normal",E669,0)</f>
        <v>0</v>
      </c>
      <c r="I669" s="4">
        <f ca="1">(E669+H669+G669)*IFERROR(VLOOKUP(INT(COUNT($B$5:B669)/12),PREMISSAS!$B$62:$C$69,2,FALSE),PREMISSAS!$C$69)</f>
        <v>0</v>
      </c>
      <c r="J669" s="4">
        <f ca="1">D669*IF(RESULTADOS!$C$17="Normal",PREMISSAS!$C$71,0)</f>
        <v>0</v>
      </c>
      <c r="K669" s="87">
        <f ca="1">IFERROR(K668*(1+PREMISSAS!$C$19)+(E669+H669-IF(RESULTADOS!$C$17="Normal",I669,0)-J669)*IF(MONTH(B669)=12,2,1),0)</f>
        <v>0</v>
      </c>
      <c r="L669" s="87">
        <f ca="1">IFERROR((L668+G669-IF(RESULTADOS!$C$17="Normal",0,I669))*(1+PREMISSAS!$C$19)+F669,0)</f>
        <v>0</v>
      </c>
      <c r="N669" s="58">
        <f t="shared" ca="1" si="96"/>
        <v>0</v>
      </c>
      <c r="P669" s="131" t="str">
        <f t="shared" ca="1" si="97"/>
        <v/>
      </c>
      <c r="Q669" s="111" t="str">
        <f ca="1">IF(C669="","",Q668+(E669+H669-IF(RESULTADOS!$C$17="Normal",I669,0)-J669)/2+(F669+G669-IF(RESULTADOS!$C$17="Normal",0,I669)))</f>
        <v/>
      </c>
      <c r="R669" s="111" t="str">
        <f ca="1">IF(C669="","",R668+(E669+H669-IF(RESULTADOS!$C$17="Normal",I669,0)-J669)/2)</f>
        <v/>
      </c>
      <c r="S669" s="111">
        <f t="shared" ca="1" si="98"/>
        <v>0</v>
      </c>
      <c r="U669" s="131" t="str">
        <f t="shared" ca="1" si="99"/>
        <v/>
      </c>
      <c r="V669" s="131" t="str">
        <f t="shared" ca="1" si="100"/>
        <v/>
      </c>
      <c r="W669" s="111">
        <f ca="1">IF(OR((W668-13/12*Z668)*(1+PREMISSAS!$C$17)&lt;0,W668=""),0,(W668-13/12*Z668)*(1+PREMISSAS!$C$17))</f>
        <v>0</v>
      </c>
      <c r="X669" s="111">
        <f ca="1">IF(OR((X668-13/12*AA668)*(1+PREMISSAS!$C$17)&lt;0,X668=""),0,(X668-13/12*AA668)*(1+PREMISSAS!$C$17))</f>
        <v>0</v>
      </c>
      <c r="Y669" s="111">
        <f t="shared" ca="1" si="101"/>
        <v>0</v>
      </c>
      <c r="Z669" s="134">
        <f t="shared" ca="1" si="102"/>
        <v>0</v>
      </c>
      <c r="AA669" s="134">
        <f t="shared" ca="1" si="95"/>
        <v>0</v>
      </c>
    </row>
    <row r="670" spans="2:27" x14ac:dyDescent="0.3">
      <c r="B670" s="21" t="str">
        <f ca="1">IF(B669="","",IF(EOMONTH(B669,1)&gt;EOMONTH(ELEGIBILIDADE!$E$5,0),"",EOMONTH(B669,1)))</f>
        <v/>
      </c>
      <c r="C670" s="22" t="str">
        <f ca="1">IF(B670="","",IF(MONTH(B670)=1,C669*(1+PREMISSAS!$C$58),C669))</f>
        <v/>
      </c>
      <c r="D670" s="22">
        <f ca="1">IF(RESULTADOS!$C$17="Normal",IFERROR(MAX(C670-PREMISSAS!$C$14,0),0),IF(PREMISSAS!$H$117=0,0,MAX(10*PREMISSAS!$C$39,RESULTADOS!$F$17)))</f>
        <v>0</v>
      </c>
      <c r="E670" s="4">
        <f ca="1">D670*IF(RESULTADOS!$C$17="Normal",RESULTADOS!$C$16,0)</f>
        <v>0</v>
      </c>
      <c r="F670" s="4">
        <f ca="1">IF(D670&lt;&gt;0,PREMISSAS!$N$83,0)</f>
        <v>0</v>
      </c>
      <c r="G670" s="4">
        <f ca="1">IFERROR(IF(RESULTADOS!$C$17="Normal",0,D670)*IF(RESULTADOS!$C$17="Normal",RESULTADOS!$C$18,RESULTADOS!$C$16),0)</f>
        <v>0</v>
      </c>
      <c r="H670" s="4">
        <f ca="1">IF(RESULTADOS!$C$17="Normal",E670,0)</f>
        <v>0</v>
      </c>
      <c r="I670" s="4">
        <f ca="1">(E670+H670+G670)*IFERROR(VLOOKUP(INT(COUNT($B$5:B670)/12),PREMISSAS!$B$62:$C$69,2,FALSE),PREMISSAS!$C$69)</f>
        <v>0</v>
      </c>
      <c r="J670" s="4">
        <f ca="1">D670*IF(RESULTADOS!$C$17="Normal",PREMISSAS!$C$71,0)</f>
        <v>0</v>
      </c>
      <c r="K670" s="87">
        <f ca="1">IFERROR(K669*(1+PREMISSAS!$C$19)+(E670+H670-IF(RESULTADOS!$C$17="Normal",I670,0)-J670)*IF(MONTH(B670)=12,2,1),0)</f>
        <v>0</v>
      </c>
      <c r="L670" s="87">
        <f ca="1">IFERROR((L669+G670-IF(RESULTADOS!$C$17="Normal",0,I670))*(1+PREMISSAS!$C$19)+F670,0)</f>
        <v>0</v>
      </c>
      <c r="N670" s="58">
        <f t="shared" ca="1" si="96"/>
        <v>0</v>
      </c>
      <c r="P670" s="131" t="str">
        <f t="shared" ca="1" si="97"/>
        <v/>
      </c>
      <c r="Q670" s="111" t="str">
        <f ca="1">IF(C670="","",Q669+(E670+H670-IF(RESULTADOS!$C$17="Normal",I670,0)-J670)/2+(F670+G670-IF(RESULTADOS!$C$17="Normal",0,I670)))</f>
        <v/>
      </c>
      <c r="R670" s="111" t="str">
        <f ca="1">IF(C670="","",R669+(E670+H670-IF(RESULTADOS!$C$17="Normal",I670,0)-J670)/2)</f>
        <v/>
      </c>
      <c r="S670" s="111">
        <f t="shared" ca="1" si="98"/>
        <v>0</v>
      </c>
      <c r="U670" s="131" t="str">
        <f t="shared" ca="1" si="99"/>
        <v/>
      </c>
      <c r="V670" s="131" t="str">
        <f t="shared" ca="1" si="100"/>
        <v/>
      </c>
      <c r="W670" s="111">
        <f ca="1">IF(OR((W669-13/12*Z669)*(1+PREMISSAS!$C$17)&lt;0,W669=""),0,(W669-13/12*Z669)*(1+PREMISSAS!$C$17))</f>
        <v>0</v>
      </c>
      <c r="X670" s="111">
        <f ca="1">IF(OR((X669-13/12*AA669)*(1+PREMISSAS!$C$17)&lt;0,X669=""),0,(X669-13/12*AA669)*(1+PREMISSAS!$C$17))</f>
        <v>0</v>
      </c>
      <c r="Y670" s="111">
        <f t="shared" ca="1" si="101"/>
        <v>0</v>
      </c>
      <c r="Z670" s="134">
        <f t="shared" ca="1" si="102"/>
        <v>0</v>
      </c>
      <c r="AA670" s="134">
        <f t="shared" ca="1" si="95"/>
        <v>0</v>
      </c>
    </row>
    <row r="671" spans="2:27" x14ac:dyDescent="0.3">
      <c r="B671" s="21" t="str">
        <f ca="1">IF(B670="","",IF(EOMONTH(B670,1)&gt;EOMONTH(ELEGIBILIDADE!$E$5,0),"",EOMONTH(B670,1)))</f>
        <v/>
      </c>
      <c r="C671" s="22" t="str">
        <f ca="1">IF(B671="","",IF(MONTH(B671)=1,C670*(1+PREMISSAS!$C$58),C670))</f>
        <v/>
      </c>
      <c r="D671" s="22">
        <f ca="1">IF(RESULTADOS!$C$17="Normal",IFERROR(MAX(C671-PREMISSAS!$C$14,0),0),IF(PREMISSAS!$H$117=0,0,MAX(10*PREMISSAS!$C$39,RESULTADOS!$F$17)))</f>
        <v>0</v>
      </c>
      <c r="E671" s="4">
        <f ca="1">D671*IF(RESULTADOS!$C$17="Normal",RESULTADOS!$C$16,0)</f>
        <v>0</v>
      </c>
      <c r="F671" s="4">
        <f ca="1">IF(D671&lt;&gt;0,PREMISSAS!$N$83,0)</f>
        <v>0</v>
      </c>
      <c r="G671" s="4">
        <f ca="1">IFERROR(IF(RESULTADOS!$C$17="Normal",0,D671)*IF(RESULTADOS!$C$17="Normal",RESULTADOS!$C$18,RESULTADOS!$C$16),0)</f>
        <v>0</v>
      </c>
      <c r="H671" s="4">
        <f ca="1">IF(RESULTADOS!$C$17="Normal",E671,0)</f>
        <v>0</v>
      </c>
      <c r="I671" s="4">
        <f ca="1">(E671+H671+G671)*IFERROR(VLOOKUP(INT(COUNT($B$5:B671)/12),PREMISSAS!$B$62:$C$69,2,FALSE),PREMISSAS!$C$69)</f>
        <v>0</v>
      </c>
      <c r="J671" s="4">
        <f ca="1">D671*IF(RESULTADOS!$C$17="Normal",PREMISSAS!$C$71,0)</f>
        <v>0</v>
      </c>
      <c r="K671" s="87">
        <f ca="1">IFERROR(K670*(1+PREMISSAS!$C$19)+(E671+H671-IF(RESULTADOS!$C$17="Normal",I671,0)-J671)*IF(MONTH(B671)=12,2,1),0)</f>
        <v>0</v>
      </c>
      <c r="L671" s="87">
        <f ca="1">IFERROR((L670+G671-IF(RESULTADOS!$C$17="Normal",0,I671))*(1+PREMISSAS!$C$19)+F671,0)</f>
        <v>0</v>
      </c>
      <c r="N671" s="58">
        <f t="shared" ca="1" si="96"/>
        <v>0</v>
      </c>
      <c r="P671" s="131" t="str">
        <f t="shared" ca="1" si="97"/>
        <v/>
      </c>
      <c r="Q671" s="111" t="str">
        <f ca="1">IF(C671="","",Q670+(E671+H671-IF(RESULTADOS!$C$17="Normal",I671,0)-J671)/2+(F671+G671-IF(RESULTADOS!$C$17="Normal",0,I671)))</f>
        <v/>
      </c>
      <c r="R671" s="111" t="str">
        <f ca="1">IF(C671="","",R670+(E671+H671-IF(RESULTADOS!$C$17="Normal",I671,0)-J671)/2)</f>
        <v/>
      </c>
      <c r="S671" s="111">
        <f t="shared" ca="1" si="98"/>
        <v>0</v>
      </c>
      <c r="U671" s="131" t="str">
        <f t="shared" ca="1" si="99"/>
        <v/>
      </c>
      <c r="V671" s="131" t="str">
        <f t="shared" ca="1" si="100"/>
        <v/>
      </c>
      <c r="W671" s="111">
        <f ca="1">IF(OR((W670-13/12*Z670)*(1+PREMISSAS!$C$17)&lt;0,W670=""),0,(W670-13/12*Z670)*(1+PREMISSAS!$C$17))</f>
        <v>0</v>
      </c>
      <c r="X671" s="111">
        <f ca="1">IF(OR((X670-13/12*AA670)*(1+PREMISSAS!$C$17)&lt;0,X670=""),0,(X670-13/12*AA670)*(1+PREMISSAS!$C$17))</f>
        <v>0</v>
      </c>
      <c r="Y671" s="111">
        <f t="shared" ca="1" si="101"/>
        <v>0</v>
      </c>
      <c r="Z671" s="134">
        <f t="shared" ca="1" si="102"/>
        <v>0</v>
      </c>
      <c r="AA671" s="134">
        <f t="shared" ca="1" si="95"/>
        <v>0</v>
      </c>
    </row>
    <row r="672" spans="2:27" x14ac:dyDescent="0.3">
      <c r="B672" s="21" t="str">
        <f ca="1">IF(B671="","",IF(EOMONTH(B671,1)&gt;EOMONTH(ELEGIBILIDADE!$E$5,0),"",EOMONTH(B671,1)))</f>
        <v/>
      </c>
      <c r="C672" s="22" t="str">
        <f ca="1">IF(B672="","",IF(MONTH(B672)=1,C671*(1+PREMISSAS!$C$58),C671))</f>
        <v/>
      </c>
      <c r="D672" s="22">
        <f ca="1">IF(RESULTADOS!$C$17="Normal",IFERROR(MAX(C672-PREMISSAS!$C$14,0),0),IF(PREMISSAS!$H$117=0,0,MAX(10*PREMISSAS!$C$39,RESULTADOS!$F$17)))</f>
        <v>0</v>
      </c>
      <c r="E672" s="4">
        <f ca="1">D672*IF(RESULTADOS!$C$17="Normal",RESULTADOS!$C$16,0)</f>
        <v>0</v>
      </c>
      <c r="F672" s="4">
        <f ca="1">IF(D672&lt;&gt;0,PREMISSAS!$N$83,0)</f>
        <v>0</v>
      </c>
      <c r="G672" s="4">
        <f ca="1">IFERROR(IF(RESULTADOS!$C$17="Normal",0,D672)*IF(RESULTADOS!$C$17="Normal",RESULTADOS!$C$18,RESULTADOS!$C$16),0)</f>
        <v>0</v>
      </c>
      <c r="H672" s="4">
        <f ca="1">IF(RESULTADOS!$C$17="Normal",E672,0)</f>
        <v>0</v>
      </c>
      <c r="I672" s="4">
        <f ca="1">(E672+H672+G672)*IFERROR(VLOOKUP(INT(COUNT($B$5:B672)/12),PREMISSAS!$B$62:$C$69,2,FALSE),PREMISSAS!$C$69)</f>
        <v>0</v>
      </c>
      <c r="J672" s="4">
        <f ca="1">D672*IF(RESULTADOS!$C$17="Normal",PREMISSAS!$C$71,0)</f>
        <v>0</v>
      </c>
      <c r="K672" s="87">
        <f ca="1">IFERROR(K671*(1+PREMISSAS!$C$19)+(E672+H672-IF(RESULTADOS!$C$17="Normal",I672,0)-J672)*IF(MONTH(B672)=12,2,1),0)</f>
        <v>0</v>
      </c>
      <c r="L672" s="87">
        <f ca="1">IFERROR((L671+G672-IF(RESULTADOS!$C$17="Normal",0,I672))*(1+PREMISSAS!$C$19)+F672,0)</f>
        <v>0</v>
      </c>
      <c r="N672" s="58">
        <f t="shared" ca="1" si="96"/>
        <v>0</v>
      </c>
      <c r="P672" s="131" t="str">
        <f t="shared" ca="1" si="97"/>
        <v/>
      </c>
      <c r="Q672" s="111" t="str">
        <f ca="1">IF(C672="","",Q671+(E672+H672-IF(RESULTADOS!$C$17="Normal",I672,0)-J672)/2+(F672+G672-IF(RESULTADOS!$C$17="Normal",0,I672)))</f>
        <v/>
      </c>
      <c r="R672" s="111" t="str">
        <f ca="1">IF(C672="","",R671+(E672+H672-IF(RESULTADOS!$C$17="Normal",I672,0)-J672)/2)</f>
        <v/>
      </c>
      <c r="S672" s="111">
        <f t="shared" ca="1" si="98"/>
        <v>0</v>
      </c>
      <c r="U672" s="131" t="str">
        <f t="shared" ca="1" si="99"/>
        <v/>
      </c>
      <c r="V672" s="131" t="str">
        <f t="shared" ca="1" si="100"/>
        <v/>
      </c>
      <c r="W672" s="111">
        <f ca="1">IF(OR((W671-13/12*Z671)*(1+PREMISSAS!$C$17)&lt;0,W671=""),0,(W671-13/12*Z671)*(1+PREMISSAS!$C$17))</f>
        <v>0</v>
      </c>
      <c r="X672" s="111">
        <f ca="1">IF(OR((X671-13/12*AA671)*(1+PREMISSAS!$C$17)&lt;0,X671=""),0,(X671-13/12*AA671)*(1+PREMISSAS!$C$17))</f>
        <v>0</v>
      </c>
      <c r="Y672" s="111">
        <f t="shared" ca="1" si="101"/>
        <v>0</v>
      </c>
      <c r="Z672" s="134">
        <f t="shared" ca="1" si="102"/>
        <v>0</v>
      </c>
      <c r="AA672" s="134">
        <f t="shared" ca="1" si="95"/>
        <v>0</v>
      </c>
    </row>
    <row r="673" spans="2:27" x14ac:dyDescent="0.3">
      <c r="B673" s="21" t="str">
        <f ca="1">IF(B672="","",IF(EOMONTH(B672,1)&gt;EOMONTH(ELEGIBILIDADE!$E$5,0),"",EOMONTH(B672,1)))</f>
        <v/>
      </c>
      <c r="C673" s="22" t="str">
        <f ca="1">IF(B673="","",IF(MONTH(B673)=1,C672*(1+PREMISSAS!$C$58),C672))</f>
        <v/>
      </c>
      <c r="D673" s="22">
        <f ca="1">IF(RESULTADOS!$C$17="Normal",IFERROR(MAX(C673-PREMISSAS!$C$14,0),0),IF(PREMISSAS!$H$117=0,0,MAX(10*PREMISSAS!$C$39,RESULTADOS!$F$17)))</f>
        <v>0</v>
      </c>
      <c r="E673" s="4">
        <f ca="1">D673*IF(RESULTADOS!$C$17="Normal",RESULTADOS!$C$16,0)</f>
        <v>0</v>
      </c>
      <c r="F673" s="4">
        <f ca="1">IF(D673&lt;&gt;0,PREMISSAS!$N$83,0)</f>
        <v>0</v>
      </c>
      <c r="G673" s="4">
        <f ca="1">IFERROR(IF(RESULTADOS!$C$17="Normal",0,D673)*IF(RESULTADOS!$C$17="Normal",RESULTADOS!$C$18,RESULTADOS!$C$16),0)</f>
        <v>0</v>
      </c>
      <c r="H673" s="4">
        <f ca="1">IF(RESULTADOS!$C$17="Normal",E673,0)</f>
        <v>0</v>
      </c>
      <c r="I673" s="4">
        <f ca="1">(E673+H673+G673)*IFERROR(VLOOKUP(INT(COUNT($B$5:B673)/12),PREMISSAS!$B$62:$C$69,2,FALSE),PREMISSAS!$C$69)</f>
        <v>0</v>
      </c>
      <c r="J673" s="4">
        <f ca="1">D673*IF(RESULTADOS!$C$17="Normal",PREMISSAS!$C$71,0)</f>
        <v>0</v>
      </c>
      <c r="K673" s="87">
        <f ca="1">IFERROR(K672*(1+PREMISSAS!$C$19)+(E673+H673-IF(RESULTADOS!$C$17="Normal",I673,0)-J673)*IF(MONTH(B673)=12,2,1),0)</f>
        <v>0</v>
      </c>
      <c r="L673" s="87">
        <f ca="1">IFERROR((L672+G673-IF(RESULTADOS!$C$17="Normal",0,I673))*(1+PREMISSAS!$C$19)+F673,0)</f>
        <v>0</v>
      </c>
      <c r="N673" s="58">
        <f t="shared" ca="1" si="96"/>
        <v>0</v>
      </c>
      <c r="P673" s="131" t="str">
        <f t="shared" ca="1" si="97"/>
        <v/>
      </c>
      <c r="Q673" s="111" t="str">
        <f ca="1">IF(C673="","",Q672+(E673+H673-IF(RESULTADOS!$C$17="Normal",I673,0)-J673)/2+(F673+G673-IF(RESULTADOS!$C$17="Normal",0,I673)))</f>
        <v/>
      </c>
      <c r="R673" s="111" t="str">
        <f ca="1">IF(C673="","",R672+(E673+H673-IF(RESULTADOS!$C$17="Normal",I673,0)-J673)/2)</f>
        <v/>
      </c>
      <c r="S673" s="111">
        <f t="shared" ca="1" si="98"/>
        <v>0</v>
      </c>
      <c r="U673" s="131" t="str">
        <f t="shared" ca="1" si="99"/>
        <v/>
      </c>
      <c r="V673" s="131" t="str">
        <f t="shared" ca="1" si="100"/>
        <v/>
      </c>
      <c r="W673" s="111">
        <f ca="1">IF(OR((W672-13/12*Z672)*(1+PREMISSAS!$C$17)&lt;0,W672=""),0,(W672-13/12*Z672)*(1+PREMISSAS!$C$17))</f>
        <v>0</v>
      </c>
      <c r="X673" s="111">
        <f ca="1">IF(OR((X672-13/12*AA672)*(1+PREMISSAS!$C$17)&lt;0,X672=""),0,(X672-13/12*AA672)*(1+PREMISSAS!$C$17))</f>
        <v>0</v>
      </c>
      <c r="Y673" s="111">
        <f t="shared" ca="1" si="101"/>
        <v>0</v>
      </c>
      <c r="Z673" s="134">
        <f t="shared" ca="1" si="102"/>
        <v>0</v>
      </c>
      <c r="AA673" s="134">
        <f t="shared" ca="1" si="95"/>
        <v>0</v>
      </c>
    </row>
    <row r="674" spans="2:27" x14ac:dyDescent="0.3">
      <c r="B674" s="21" t="str">
        <f ca="1">IF(B673="","",IF(EOMONTH(B673,1)&gt;EOMONTH(ELEGIBILIDADE!$E$5,0),"",EOMONTH(B673,1)))</f>
        <v/>
      </c>
      <c r="C674" s="22" t="str">
        <f ca="1">IF(B674="","",IF(MONTH(B674)=1,C673*(1+PREMISSAS!$C$58),C673))</f>
        <v/>
      </c>
      <c r="D674" s="22">
        <f ca="1">IF(RESULTADOS!$C$17="Normal",IFERROR(MAX(C674-PREMISSAS!$C$14,0),0),IF(PREMISSAS!$H$117=0,0,MAX(10*PREMISSAS!$C$39,RESULTADOS!$F$17)))</f>
        <v>0</v>
      </c>
      <c r="E674" s="4">
        <f ca="1">D674*IF(RESULTADOS!$C$17="Normal",RESULTADOS!$C$16,0)</f>
        <v>0</v>
      </c>
      <c r="F674" s="4">
        <f ca="1">IF(D674&lt;&gt;0,PREMISSAS!$N$83,0)</f>
        <v>0</v>
      </c>
      <c r="G674" s="4">
        <f ca="1">IFERROR(IF(RESULTADOS!$C$17="Normal",0,D674)*IF(RESULTADOS!$C$17="Normal",RESULTADOS!$C$18,RESULTADOS!$C$16),0)</f>
        <v>0</v>
      </c>
      <c r="H674" s="4">
        <f ca="1">IF(RESULTADOS!$C$17="Normal",E674,0)</f>
        <v>0</v>
      </c>
      <c r="I674" s="4">
        <f ca="1">(E674+H674+G674)*IFERROR(VLOOKUP(INT(COUNT($B$5:B674)/12),PREMISSAS!$B$62:$C$69,2,FALSE),PREMISSAS!$C$69)</f>
        <v>0</v>
      </c>
      <c r="J674" s="4">
        <f ca="1">D674*IF(RESULTADOS!$C$17="Normal",PREMISSAS!$C$71,0)</f>
        <v>0</v>
      </c>
      <c r="K674" s="87">
        <f ca="1">IFERROR(K673*(1+PREMISSAS!$C$19)+(E674+H674-IF(RESULTADOS!$C$17="Normal",I674,0)-J674)*IF(MONTH(B674)=12,2,1),0)</f>
        <v>0</v>
      </c>
      <c r="L674" s="87">
        <f ca="1">IFERROR((L673+G674-IF(RESULTADOS!$C$17="Normal",0,I674))*(1+PREMISSAS!$C$19)+F674,0)</f>
        <v>0</v>
      </c>
      <c r="N674" s="58">
        <f t="shared" ca="1" si="96"/>
        <v>0</v>
      </c>
      <c r="P674" s="131" t="str">
        <f t="shared" ca="1" si="97"/>
        <v/>
      </c>
      <c r="Q674" s="111" t="str">
        <f ca="1">IF(C674="","",Q673+(E674+H674-IF(RESULTADOS!$C$17="Normal",I674,0)-J674)/2+(F674+G674-IF(RESULTADOS!$C$17="Normal",0,I674)))</f>
        <v/>
      </c>
      <c r="R674" s="111" t="str">
        <f ca="1">IF(C674="","",R673+(E674+H674-IF(RESULTADOS!$C$17="Normal",I674,0)-J674)/2)</f>
        <v/>
      </c>
      <c r="S674" s="111">
        <f t="shared" ca="1" si="98"/>
        <v>0</v>
      </c>
      <c r="U674" s="131" t="str">
        <f t="shared" ca="1" si="99"/>
        <v/>
      </c>
      <c r="V674" s="131" t="str">
        <f t="shared" ca="1" si="100"/>
        <v/>
      </c>
      <c r="W674" s="111">
        <f ca="1">IF(OR((W673-13/12*Z673)*(1+PREMISSAS!$C$17)&lt;0,W673=""),0,(W673-13/12*Z673)*(1+PREMISSAS!$C$17))</f>
        <v>0</v>
      </c>
      <c r="X674" s="111">
        <f ca="1">IF(OR((X673-13/12*AA673)*(1+PREMISSAS!$C$17)&lt;0,X673=""),0,(X673-13/12*AA673)*(1+PREMISSAS!$C$17))</f>
        <v>0</v>
      </c>
      <c r="Y674" s="111">
        <f t="shared" ca="1" si="101"/>
        <v>0</v>
      </c>
      <c r="Z674" s="134">
        <f t="shared" ca="1" si="102"/>
        <v>0</v>
      </c>
      <c r="AA674" s="134">
        <f t="shared" ca="1" si="95"/>
        <v>0</v>
      </c>
    </row>
    <row r="675" spans="2:27" x14ac:dyDescent="0.3">
      <c r="B675" s="21" t="str">
        <f ca="1">IF(B674="","",IF(EOMONTH(B674,1)&gt;EOMONTH(ELEGIBILIDADE!$E$5,0),"",EOMONTH(B674,1)))</f>
        <v/>
      </c>
      <c r="C675" s="22" t="str">
        <f ca="1">IF(B675="","",IF(MONTH(B675)=1,C674*(1+PREMISSAS!$C$58),C674))</f>
        <v/>
      </c>
      <c r="D675" s="22">
        <f ca="1">IF(RESULTADOS!$C$17="Normal",IFERROR(MAX(C675-PREMISSAS!$C$14,0),0),IF(PREMISSAS!$H$117=0,0,MAX(10*PREMISSAS!$C$39,RESULTADOS!$F$17)))</f>
        <v>0</v>
      </c>
      <c r="E675" s="4">
        <f ca="1">D675*IF(RESULTADOS!$C$17="Normal",RESULTADOS!$C$16,0)</f>
        <v>0</v>
      </c>
      <c r="F675" s="4">
        <f ca="1">IF(D675&lt;&gt;0,PREMISSAS!$N$83,0)</f>
        <v>0</v>
      </c>
      <c r="G675" s="4">
        <f ca="1">IFERROR(IF(RESULTADOS!$C$17="Normal",0,D675)*IF(RESULTADOS!$C$17="Normal",RESULTADOS!$C$18,RESULTADOS!$C$16),0)</f>
        <v>0</v>
      </c>
      <c r="H675" s="4">
        <f ca="1">IF(RESULTADOS!$C$17="Normal",E675,0)</f>
        <v>0</v>
      </c>
      <c r="I675" s="4">
        <f ca="1">(E675+H675+G675)*IFERROR(VLOOKUP(INT(COUNT($B$5:B675)/12),PREMISSAS!$B$62:$C$69,2,FALSE),PREMISSAS!$C$69)</f>
        <v>0</v>
      </c>
      <c r="J675" s="4">
        <f ca="1">D675*IF(RESULTADOS!$C$17="Normal",PREMISSAS!$C$71,0)</f>
        <v>0</v>
      </c>
      <c r="K675" s="87">
        <f ca="1">IFERROR(K674*(1+PREMISSAS!$C$19)+(E675+H675-IF(RESULTADOS!$C$17="Normal",I675,0)-J675)*IF(MONTH(B675)=12,2,1),0)</f>
        <v>0</v>
      </c>
      <c r="L675" s="87">
        <f ca="1">IFERROR((L674+G675-IF(RESULTADOS!$C$17="Normal",0,I675))*(1+PREMISSAS!$C$19)+F675,0)</f>
        <v>0</v>
      </c>
      <c r="N675" s="58">
        <f t="shared" ca="1" si="96"/>
        <v>0</v>
      </c>
      <c r="P675" s="131" t="str">
        <f t="shared" ca="1" si="97"/>
        <v/>
      </c>
      <c r="Q675" s="111" t="str">
        <f ca="1">IF(C675="","",Q674+(E675+H675-IF(RESULTADOS!$C$17="Normal",I675,0)-J675)/2+(F675+G675-IF(RESULTADOS!$C$17="Normal",0,I675)))</f>
        <v/>
      </c>
      <c r="R675" s="111" t="str">
        <f ca="1">IF(C675="","",R674+(E675+H675-IF(RESULTADOS!$C$17="Normal",I675,0)-J675)/2)</f>
        <v/>
      </c>
      <c r="S675" s="111">
        <f t="shared" ca="1" si="98"/>
        <v>0</v>
      </c>
      <c r="U675" s="131" t="str">
        <f t="shared" ca="1" si="99"/>
        <v/>
      </c>
      <c r="V675" s="131" t="str">
        <f t="shared" ca="1" si="100"/>
        <v/>
      </c>
      <c r="W675" s="111">
        <f ca="1">IF(OR((W674-13/12*Z674)*(1+PREMISSAS!$C$17)&lt;0,W674=""),0,(W674-13/12*Z674)*(1+PREMISSAS!$C$17))</f>
        <v>0</v>
      </c>
      <c r="X675" s="111">
        <f ca="1">IF(OR((X674-13/12*AA674)*(1+PREMISSAS!$C$17)&lt;0,X674=""),0,(X674-13/12*AA674)*(1+PREMISSAS!$C$17))</f>
        <v>0</v>
      </c>
      <c r="Y675" s="111">
        <f t="shared" ca="1" si="101"/>
        <v>0</v>
      </c>
      <c r="Z675" s="134">
        <f t="shared" ca="1" si="102"/>
        <v>0</v>
      </c>
      <c r="AA675" s="134">
        <f t="shared" ca="1" si="95"/>
        <v>0</v>
      </c>
    </row>
    <row r="676" spans="2:27" x14ac:dyDescent="0.3">
      <c r="B676" s="21" t="str">
        <f ca="1">IF(B675="","",IF(EOMONTH(B675,1)&gt;EOMONTH(ELEGIBILIDADE!$E$5,0),"",EOMONTH(B675,1)))</f>
        <v/>
      </c>
      <c r="C676" s="22" t="str">
        <f ca="1">IF(B676="","",IF(MONTH(B676)=1,C675*(1+PREMISSAS!$C$58),C675))</f>
        <v/>
      </c>
      <c r="D676" s="22">
        <f ca="1">IF(RESULTADOS!$C$17="Normal",IFERROR(MAX(C676-PREMISSAS!$C$14,0),0),IF(PREMISSAS!$H$117=0,0,MAX(10*PREMISSAS!$C$39,RESULTADOS!$F$17)))</f>
        <v>0</v>
      </c>
      <c r="E676" s="4">
        <f ca="1">D676*IF(RESULTADOS!$C$17="Normal",RESULTADOS!$C$16,0)</f>
        <v>0</v>
      </c>
      <c r="F676" s="4">
        <f ca="1">IF(D676&lt;&gt;0,PREMISSAS!$N$83,0)</f>
        <v>0</v>
      </c>
      <c r="G676" s="4">
        <f ca="1">IFERROR(IF(RESULTADOS!$C$17="Normal",0,D676)*IF(RESULTADOS!$C$17="Normal",RESULTADOS!$C$18,RESULTADOS!$C$16),0)</f>
        <v>0</v>
      </c>
      <c r="H676" s="4">
        <f ca="1">IF(RESULTADOS!$C$17="Normal",E676,0)</f>
        <v>0</v>
      </c>
      <c r="I676" s="4">
        <f ca="1">(E676+H676+G676)*IFERROR(VLOOKUP(INT(COUNT($B$5:B676)/12),PREMISSAS!$B$62:$C$69,2,FALSE),PREMISSAS!$C$69)</f>
        <v>0</v>
      </c>
      <c r="J676" s="4">
        <f ca="1">D676*IF(RESULTADOS!$C$17="Normal",PREMISSAS!$C$71,0)</f>
        <v>0</v>
      </c>
      <c r="K676" s="87">
        <f ca="1">IFERROR(K675*(1+PREMISSAS!$C$19)+(E676+H676-IF(RESULTADOS!$C$17="Normal",I676,0)-J676)*IF(MONTH(B676)=12,2,1),0)</f>
        <v>0</v>
      </c>
      <c r="L676" s="87">
        <f ca="1">IFERROR((L675+G676-IF(RESULTADOS!$C$17="Normal",0,I676))*(1+PREMISSAS!$C$19)+F676,0)</f>
        <v>0</v>
      </c>
      <c r="N676" s="58">
        <f t="shared" ca="1" si="96"/>
        <v>0</v>
      </c>
      <c r="P676" s="131" t="str">
        <f t="shared" ca="1" si="97"/>
        <v/>
      </c>
      <c r="Q676" s="111" t="str">
        <f ca="1">IF(C676="","",Q675+(E676+H676-IF(RESULTADOS!$C$17="Normal",I676,0)-J676)/2+(F676+G676-IF(RESULTADOS!$C$17="Normal",0,I676)))</f>
        <v/>
      </c>
      <c r="R676" s="111" t="str">
        <f ca="1">IF(C676="","",R675+(E676+H676-IF(RESULTADOS!$C$17="Normal",I676,0)-J676)/2)</f>
        <v/>
      </c>
      <c r="S676" s="111">
        <f t="shared" ca="1" si="98"/>
        <v>0</v>
      </c>
      <c r="U676" s="131" t="str">
        <f t="shared" ca="1" si="99"/>
        <v/>
      </c>
      <c r="V676" s="131" t="str">
        <f t="shared" ca="1" si="100"/>
        <v/>
      </c>
      <c r="W676" s="111">
        <f ca="1">IF(OR((W675-13/12*Z675)*(1+PREMISSAS!$C$17)&lt;0,W675=""),0,(W675-13/12*Z675)*(1+PREMISSAS!$C$17))</f>
        <v>0</v>
      </c>
      <c r="X676" s="111">
        <f ca="1">IF(OR((X675-13/12*AA675)*(1+PREMISSAS!$C$17)&lt;0,X675=""),0,(X675-13/12*AA675)*(1+PREMISSAS!$C$17))</f>
        <v>0</v>
      </c>
      <c r="Y676" s="111">
        <f t="shared" ca="1" si="101"/>
        <v>0</v>
      </c>
      <c r="Z676" s="134">
        <f t="shared" ca="1" si="102"/>
        <v>0</v>
      </c>
      <c r="AA676" s="134">
        <f t="shared" ca="1" si="95"/>
        <v>0</v>
      </c>
    </row>
    <row r="677" spans="2:27" x14ac:dyDescent="0.3">
      <c r="B677" s="21" t="str">
        <f ca="1">IF(B676="","",IF(EOMONTH(B676,1)&gt;EOMONTH(ELEGIBILIDADE!$E$5,0),"",EOMONTH(B676,1)))</f>
        <v/>
      </c>
      <c r="C677" s="22" t="str">
        <f ca="1">IF(B677="","",IF(MONTH(B677)=1,C676*(1+PREMISSAS!$C$58),C676))</f>
        <v/>
      </c>
      <c r="D677" s="22">
        <f ca="1">IF(RESULTADOS!$C$17="Normal",IFERROR(MAX(C677-PREMISSAS!$C$14,0),0),IF(PREMISSAS!$H$117=0,0,MAX(10*PREMISSAS!$C$39,RESULTADOS!$F$17)))</f>
        <v>0</v>
      </c>
      <c r="E677" s="4">
        <f ca="1">D677*IF(RESULTADOS!$C$17="Normal",RESULTADOS!$C$16,0)</f>
        <v>0</v>
      </c>
      <c r="F677" s="4">
        <f ca="1">IF(D677&lt;&gt;0,PREMISSAS!$N$83,0)</f>
        <v>0</v>
      </c>
      <c r="G677" s="4">
        <f ca="1">IFERROR(IF(RESULTADOS!$C$17="Normal",0,D677)*IF(RESULTADOS!$C$17="Normal",RESULTADOS!$C$18,RESULTADOS!$C$16),0)</f>
        <v>0</v>
      </c>
      <c r="H677" s="4">
        <f ca="1">IF(RESULTADOS!$C$17="Normal",E677,0)</f>
        <v>0</v>
      </c>
      <c r="I677" s="4">
        <f ca="1">(E677+H677+G677)*IFERROR(VLOOKUP(INT(COUNT($B$5:B677)/12),PREMISSAS!$B$62:$C$69,2,FALSE),PREMISSAS!$C$69)</f>
        <v>0</v>
      </c>
      <c r="J677" s="4">
        <f ca="1">D677*IF(RESULTADOS!$C$17="Normal",PREMISSAS!$C$71,0)</f>
        <v>0</v>
      </c>
      <c r="K677" s="87">
        <f ca="1">IFERROR(K676*(1+PREMISSAS!$C$19)+(E677+H677-IF(RESULTADOS!$C$17="Normal",I677,0)-J677)*IF(MONTH(B677)=12,2,1),0)</f>
        <v>0</v>
      </c>
      <c r="L677" s="87">
        <f ca="1">IFERROR((L676+G677-IF(RESULTADOS!$C$17="Normal",0,I677))*(1+PREMISSAS!$C$19)+F677,0)</f>
        <v>0</v>
      </c>
      <c r="N677" s="58">
        <f t="shared" ca="1" si="96"/>
        <v>0</v>
      </c>
      <c r="P677" s="131" t="str">
        <f t="shared" ca="1" si="97"/>
        <v/>
      </c>
      <c r="Q677" s="111" t="str">
        <f ca="1">IF(C677="","",Q676+(E677+H677-IF(RESULTADOS!$C$17="Normal",I677,0)-J677)/2+(F677+G677-IF(RESULTADOS!$C$17="Normal",0,I677)))</f>
        <v/>
      </c>
      <c r="R677" s="111" t="str">
        <f ca="1">IF(C677="","",R676+(E677+H677-IF(RESULTADOS!$C$17="Normal",I677,0)-J677)/2)</f>
        <v/>
      </c>
      <c r="S677" s="111">
        <f t="shared" ca="1" si="98"/>
        <v>0</v>
      </c>
      <c r="U677" s="131" t="str">
        <f t="shared" ca="1" si="99"/>
        <v/>
      </c>
      <c r="V677" s="131" t="str">
        <f t="shared" ca="1" si="100"/>
        <v/>
      </c>
      <c r="W677" s="111">
        <f ca="1">IF(OR((W676-13/12*Z676)*(1+PREMISSAS!$C$17)&lt;0,W676=""),0,(W676-13/12*Z676)*(1+PREMISSAS!$C$17))</f>
        <v>0</v>
      </c>
      <c r="X677" s="111">
        <f ca="1">IF(OR((X676-13/12*AA676)*(1+PREMISSAS!$C$17)&lt;0,X676=""),0,(X676-13/12*AA676)*(1+PREMISSAS!$C$17))</f>
        <v>0</v>
      </c>
      <c r="Y677" s="111">
        <f t="shared" ca="1" si="101"/>
        <v>0</v>
      </c>
      <c r="Z677" s="134">
        <f t="shared" ca="1" si="102"/>
        <v>0</v>
      </c>
      <c r="AA677" s="134">
        <f t="shared" ca="1" si="95"/>
        <v>0</v>
      </c>
    </row>
    <row r="678" spans="2:27" x14ac:dyDescent="0.3">
      <c r="B678" s="21" t="str">
        <f ca="1">IF(B677="","",IF(EOMONTH(B677,1)&gt;EOMONTH(ELEGIBILIDADE!$E$5,0),"",EOMONTH(B677,1)))</f>
        <v/>
      </c>
      <c r="C678" s="22" t="str">
        <f ca="1">IF(B678="","",IF(MONTH(B678)=1,C677*(1+PREMISSAS!$C$58),C677))</f>
        <v/>
      </c>
      <c r="D678" s="22">
        <f ca="1">IF(RESULTADOS!$C$17="Normal",IFERROR(MAX(C678-PREMISSAS!$C$14,0),0),IF(PREMISSAS!$H$117=0,0,MAX(10*PREMISSAS!$C$39,RESULTADOS!$F$17)))</f>
        <v>0</v>
      </c>
      <c r="E678" s="4">
        <f ca="1">D678*IF(RESULTADOS!$C$17="Normal",RESULTADOS!$C$16,0)</f>
        <v>0</v>
      </c>
      <c r="F678" s="4">
        <f ca="1">IF(D678&lt;&gt;0,PREMISSAS!$N$83,0)</f>
        <v>0</v>
      </c>
      <c r="G678" s="4">
        <f ca="1">IFERROR(IF(RESULTADOS!$C$17="Normal",0,D678)*IF(RESULTADOS!$C$17="Normal",RESULTADOS!$C$18,RESULTADOS!$C$16),0)</f>
        <v>0</v>
      </c>
      <c r="H678" s="4">
        <f ca="1">IF(RESULTADOS!$C$17="Normal",E678,0)</f>
        <v>0</v>
      </c>
      <c r="I678" s="4">
        <f ca="1">(E678+H678+G678)*IFERROR(VLOOKUP(INT(COUNT($B$5:B678)/12),PREMISSAS!$B$62:$C$69,2,FALSE),PREMISSAS!$C$69)</f>
        <v>0</v>
      </c>
      <c r="J678" s="4">
        <f ca="1">D678*IF(RESULTADOS!$C$17="Normal",PREMISSAS!$C$71,0)</f>
        <v>0</v>
      </c>
      <c r="K678" s="87">
        <f ca="1">IFERROR(K677*(1+PREMISSAS!$C$19)+(E678+H678-IF(RESULTADOS!$C$17="Normal",I678,0)-J678)*IF(MONTH(B678)=12,2,1),0)</f>
        <v>0</v>
      </c>
      <c r="L678" s="87">
        <f ca="1">IFERROR((L677+G678-IF(RESULTADOS!$C$17="Normal",0,I678))*(1+PREMISSAS!$C$19)+F678,0)</f>
        <v>0</v>
      </c>
      <c r="N678" s="58">
        <f t="shared" ca="1" si="96"/>
        <v>0</v>
      </c>
      <c r="P678" s="131" t="str">
        <f t="shared" ca="1" si="97"/>
        <v/>
      </c>
      <c r="Q678" s="111" t="str">
        <f ca="1">IF(C678="","",Q677+(E678+H678-IF(RESULTADOS!$C$17="Normal",I678,0)-J678)/2+(F678+G678-IF(RESULTADOS!$C$17="Normal",0,I678)))</f>
        <v/>
      </c>
      <c r="R678" s="111" t="str">
        <f ca="1">IF(C678="","",R677+(E678+H678-IF(RESULTADOS!$C$17="Normal",I678,0)-J678)/2)</f>
        <v/>
      </c>
      <c r="S678" s="111">
        <f t="shared" ca="1" si="98"/>
        <v>0</v>
      </c>
      <c r="U678" s="131" t="str">
        <f t="shared" ca="1" si="99"/>
        <v/>
      </c>
      <c r="V678" s="131" t="str">
        <f t="shared" ca="1" si="100"/>
        <v/>
      </c>
      <c r="W678" s="111">
        <f ca="1">IF(OR((W677-13/12*Z677)*(1+PREMISSAS!$C$17)&lt;0,W677=""),0,(W677-13/12*Z677)*(1+PREMISSAS!$C$17))</f>
        <v>0</v>
      </c>
      <c r="X678" s="111">
        <f ca="1">IF(OR((X677-13/12*AA677)*(1+PREMISSAS!$C$17)&lt;0,X677=""),0,(X677-13/12*AA677)*(1+PREMISSAS!$C$17))</f>
        <v>0</v>
      </c>
      <c r="Y678" s="111">
        <f t="shared" ca="1" si="101"/>
        <v>0</v>
      </c>
      <c r="Z678" s="134">
        <f t="shared" ca="1" si="102"/>
        <v>0</v>
      </c>
      <c r="AA678" s="134">
        <f t="shared" ca="1" si="95"/>
        <v>0</v>
      </c>
    </row>
    <row r="679" spans="2:27" x14ac:dyDescent="0.3">
      <c r="B679" s="21" t="str">
        <f ca="1">IF(B678="","",IF(EOMONTH(B678,1)&gt;EOMONTH(ELEGIBILIDADE!$E$5,0),"",EOMONTH(B678,1)))</f>
        <v/>
      </c>
      <c r="C679" s="22" t="str">
        <f ca="1">IF(B679="","",IF(MONTH(B679)=1,C678*(1+PREMISSAS!$C$58),C678))</f>
        <v/>
      </c>
      <c r="D679" s="22">
        <f ca="1">IF(RESULTADOS!$C$17="Normal",IFERROR(MAX(C679-PREMISSAS!$C$14,0),0),IF(PREMISSAS!$H$117=0,0,MAX(10*PREMISSAS!$C$39,RESULTADOS!$F$17)))</f>
        <v>0</v>
      </c>
      <c r="E679" s="4">
        <f ca="1">D679*IF(RESULTADOS!$C$17="Normal",RESULTADOS!$C$16,0)</f>
        <v>0</v>
      </c>
      <c r="F679" s="4">
        <f ca="1">IF(D679&lt;&gt;0,PREMISSAS!$N$83,0)</f>
        <v>0</v>
      </c>
      <c r="G679" s="4">
        <f ca="1">IFERROR(IF(RESULTADOS!$C$17="Normal",0,D679)*IF(RESULTADOS!$C$17="Normal",RESULTADOS!$C$18,RESULTADOS!$C$16),0)</f>
        <v>0</v>
      </c>
      <c r="H679" s="4">
        <f ca="1">IF(RESULTADOS!$C$17="Normal",E679,0)</f>
        <v>0</v>
      </c>
      <c r="I679" s="4">
        <f ca="1">(E679+H679+G679)*IFERROR(VLOOKUP(INT(COUNT($B$5:B679)/12),PREMISSAS!$B$62:$C$69,2,FALSE),PREMISSAS!$C$69)</f>
        <v>0</v>
      </c>
      <c r="J679" s="4">
        <f ca="1">D679*IF(RESULTADOS!$C$17="Normal",PREMISSAS!$C$71,0)</f>
        <v>0</v>
      </c>
      <c r="K679" s="87">
        <f ca="1">IFERROR(K678*(1+PREMISSAS!$C$19)+(E679+H679-IF(RESULTADOS!$C$17="Normal",I679,0)-J679)*IF(MONTH(B679)=12,2,1),0)</f>
        <v>0</v>
      </c>
      <c r="L679" s="87">
        <f ca="1">IFERROR((L678+G679-IF(RESULTADOS!$C$17="Normal",0,I679))*(1+PREMISSAS!$C$19)+F679,0)</f>
        <v>0</v>
      </c>
      <c r="N679" s="58">
        <f t="shared" ca="1" si="96"/>
        <v>0</v>
      </c>
      <c r="P679" s="131" t="str">
        <f t="shared" ca="1" si="97"/>
        <v/>
      </c>
      <c r="Q679" s="111" t="str">
        <f ca="1">IF(C679="","",Q678+(E679+H679-IF(RESULTADOS!$C$17="Normal",I679,0)-J679)/2+(F679+G679-IF(RESULTADOS!$C$17="Normal",0,I679)))</f>
        <v/>
      </c>
      <c r="R679" s="111" t="str">
        <f ca="1">IF(C679="","",R678+(E679+H679-IF(RESULTADOS!$C$17="Normal",I679,0)-J679)/2)</f>
        <v/>
      </c>
      <c r="S679" s="111">
        <f t="shared" ca="1" si="98"/>
        <v>0</v>
      </c>
      <c r="U679" s="131" t="str">
        <f t="shared" ca="1" si="99"/>
        <v/>
      </c>
      <c r="V679" s="131" t="str">
        <f t="shared" ca="1" si="100"/>
        <v/>
      </c>
      <c r="W679" s="111">
        <f ca="1">IF(OR((W678-13/12*Z678)*(1+PREMISSAS!$C$17)&lt;0,W678=""),0,(W678-13/12*Z678)*(1+PREMISSAS!$C$17))</f>
        <v>0</v>
      </c>
      <c r="X679" s="111">
        <f ca="1">IF(OR((X678-13/12*AA678)*(1+PREMISSAS!$C$17)&lt;0,X678=""),0,(X678-13/12*AA678)*(1+PREMISSAS!$C$17))</f>
        <v>0</v>
      </c>
      <c r="Y679" s="111">
        <f t="shared" ca="1" si="101"/>
        <v>0</v>
      </c>
      <c r="Z679" s="134">
        <f t="shared" ca="1" si="102"/>
        <v>0</v>
      </c>
      <c r="AA679" s="134">
        <f t="shared" ca="1" si="95"/>
        <v>0</v>
      </c>
    </row>
    <row r="680" spans="2:27" x14ac:dyDescent="0.3">
      <c r="B680" s="21" t="str">
        <f ca="1">IF(B679="","",IF(EOMONTH(B679,1)&gt;EOMONTH(ELEGIBILIDADE!$E$5,0),"",EOMONTH(B679,1)))</f>
        <v/>
      </c>
      <c r="C680" s="22" t="str">
        <f ca="1">IF(B680="","",IF(MONTH(B680)=1,C679*(1+PREMISSAS!$C$58),C679))</f>
        <v/>
      </c>
      <c r="D680" s="22">
        <f ca="1">IF(RESULTADOS!$C$17="Normal",IFERROR(MAX(C680-PREMISSAS!$C$14,0),0),IF(PREMISSAS!$H$117=0,0,MAX(10*PREMISSAS!$C$39,RESULTADOS!$F$17)))</f>
        <v>0</v>
      </c>
      <c r="E680" s="4">
        <f ca="1">D680*IF(RESULTADOS!$C$17="Normal",RESULTADOS!$C$16,0)</f>
        <v>0</v>
      </c>
      <c r="F680" s="4">
        <f ca="1">IF(D680&lt;&gt;0,PREMISSAS!$N$83,0)</f>
        <v>0</v>
      </c>
      <c r="G680" s="4">
        <f ca="1">IFERROR(IF(RESULTADOS!$C$17="Normal",0,D680)*IF(RESULTADOS!$C$17="Normal",RESULTADOS!$C$18,RESULTADOS!$C$16),0)</f>
        <v>0</v>
      </c>
      <c r="H680" s="4">
        <f ca="1">IF(RESULTADOS!$C$17="Normal",E680,0)</f>
        <v>0</v>
      </c>
      <c r="I680" s="4">
        <f ca="1">(E680+H680+G680)*IFERROR(VLOOKUP(INT(COUNT($B$5:B680)/12),PREMISSAS!$B$62:$C$69,2,FALSE),PREMISSAS!$C$69)</f>
        <v>0</v>
      </c>
      <c r="J680" s="4">
        <f ca="1">D680*IF(RESULTADOS!$C$17="Normal",PREMISSAS!$C$71,0)</f>
        <v>0</v>
      </c>
      <c r="K680" s="87">
        <f ca="1">IFERROR(K679*(1+PREMISSAS!$C$19)+(E680+H680-IF(RESULTADOS!$C$17="Normal",I680,0)-J680)*IF(MONTH(B680)=12,2,1),0)</f>
        <v>0</v>
      </c>
      <c r="L680" s="87">
        <f ca="1">IFERROR((L679+G680-IF(RESULTADOS!$C$17="Normal",0,I680))*(1+PREMISSAS!$C$19)+F680,0)</f>
        <v>0</v>
      </c>
      <c r="N680" s="58">
        <f t="shared" ca="1" si="96"/>
        <v>0</v>
      </c>
      <c r="P680" s="131" t="str">
        <f t="shared" ca="1" si="97"/>
        <v/>
      </c>
      <c r="Q680" s="111" t="str">
        <f ca="1">IF(C680="","",Q679+(E680+H680-IF(RESULTADOS!$C$17="Normal",I680,0)-J680)/2+(F680+G680-IF(RESULTADOS!$C$17="Normal",0,I680)))</f>
        <v/>
      </c>
      <c r="R680" s="111" t="str">
        <f ca="1">IF(C680="","",R679+(E680+H680-IF(RESULTADOS!$C$17="Normal",I680,0)-J680)/2)</f>
        <v/>
      </c>
      <c r="S680" s="111">
        <f t="shared" ca="1" si="98"/>
        <v>0</v>
      </c>
      <c r="U680" s="131" t="str">
        <f t="shared" ca="1" si="99"/>
        <v/>
      </c>
      <c r="V680" s="131" t="str">
        <f t="shared" ca="1" si="100"/>
        <v/>
      </c>
      <c r="W680" s="111">
        <f ca="1">IF(OR((W679-13/12*Z679)*(1+PREMISSAS!$C$17)&lt;0,W679=""),0,(W679-13/12*Z679)*(1+PREMISSAS!$C$17))</f>
        <v>0</v>
      </c>
      <c r="X680" s="111">
        <f ca="1">IF(OR((X679-13/12*AA679)*(1+PREMISSAS!$C$17)&lt;0,X679=""),0,(X679-13/12*AA679)*(1+PREMISSAS!$C$17))</f>
        <v>0</v>
      </c>
      <c r="Y680" s="111">
        <f t="shared" ca="1" si="101"/>
        <v>0</v>
      </c>
      <c r="Z680" s="134">
        <f t="shared" ca="1" si="102"/>
        <v>0</v>
      </c>
      <c r="AA680" s="134">
        <f t="shared" ca="1" si="95"/>
        <v>0</v>
      </c>
    </row>
    <row r="681" spans="2:27" x14ac:dyDescent="0.3">
      <c r="B681" s="21" t="str">
        <f ca="1">IF(B680="","",IF(EOMONTH(B680,1)&gt;EOMONTH(ELEGIBILIDADE!$E$5,0),"",EOMONTH(B680,1)))</f>
        <v/>
      </c>
      <c r="C681" s="22" t="str">
        <f ca="1">IF(B681="","",IF(MONTH(B681)=1,C680*(1+PREMISSAS!$C$58),C680))</f>
        <v/>
      </c>
      <c r="D681" s="22">
        <f ca="1">IF(RESULTADOS!$C$17="Normal",IFERROR(MAX(C681-PREMISSAS!$C$14,0),0),IF(PREMISSAS!$H$117=0,0,MAX(10*PREMISSAS!$C$39,RESULTADOS!$F$17)))</f>
        <v>0</v>
      </c>
      <c r="E681" s="4">
        <f ca="1">D681*IF(RESULTADOS!$C$17="Normal",RESULTADOS!$C$16,0)</f>
        <v>0</v>
      </c>
      <c r="F681" s="4">
        <f ca="1">IF(D681&lt;&gt;0,PREMISSAS!$N$83,0)</f>
        <v>0</v>
      </c>
      <c r="G681" s="4">
        <f ca="1">IFERROR(IF(RESULTADOS!$C$17="Normal",0,D681)*IF(RESULTADOS!$C$17="Normal",RESULTADOS!$C$18,RESULTADOS!$C$16),0)</f>
        <v>0</v>
      </c>
      <c r="H681" s="4">
        <f ca="1">IF(RESULTADOS!$C$17="Normal",E681,0)</f>
        <v>0</v>
      </c>
      <c r="I681" s="4">
        <f ca="1">(E681+H681+G681)*IFERROR(VLOOKUP(INT(COUNT($B$5:B681)/12),PREMISSAS!$B$62:$C$69,2,FALSE),PREMISSAS!$C$69)</f>
        <v>0</v>
      </c>
      <c r="J681" s="4">
        <f ca="1">D681*IF(RESULTADOS!$C$17="Normal",PREMISSAS!$C$71,0)</f>
        <v>0</v>
      </c>
      <c r="K681" s="87">
        <f ca="1">IFERROR(K680*(1+PREMISSAS!$C$19)+(E681+H681-IF(RESULTADOS!$C$17="Normal",I681,0)-J681)*IF(MONTH(B681)=12,2,1),0)</f>
        <v>0</v>
      </c>
      <c r="L681" s="87">
        <f ca="1">IFERROR((L680+G681-IF(RESULTADOS!$C$17="Normal",0,I681))*(1+PREMISSAS!$C$19)+F681,0)</f>
        <v>0</v>
      </c>
      <c r="N681" s="58">
        <f t="shared" ca="1" si="96"/>
        <v>0</v>
      </c>
      <c r="P681" s="131" t="str">
        <f t="shared" ca="1" si="97"/>
        <v/>
      </c>
      <c r="Q681" s="111" t="str">
        <f ca="1">IF(C681="","",Q680+(E681+H681-IF(RESULTADOS!$C$17="Normal",I681,0)-J681)/2+(F681+G681-IF(RESULTADOS!$C$17="Normal",0,I681)))</f>
        <v/>
      </c>
      <c r="R681" s="111" t="str">
        <f ca="1">IF(C681="","",R680+(E681+H681-IF(RESULTADOS!$C$17="Normal",I681,0)-J681)/2)</f>
        <v/>
      </c>
      <c r="S681" s="111">
        <f t="shared" ca="1" si="98"/>
        <v>0</v>
      </c>
      <c r="U681" s="131" t="str">
        <f t="shared" ca="1" si="99"/>
        <v/>
      </c>
      <c r="V681" s="131" t="str">
        <f t="shared" ca="1" si="100"/>
        <v/>
      </c>
      <c r="W681" s="111">
        <f ca="1">IF(OR((W680-13/12*Z680)*(1+PREMISSAS!$C$17)&lt;0,W680=""),0,(W680-13/12*Z680)*(1+PREMISSAS!$C$17))</f>
        <v>0</v>
      </c>
      <c r="X681" s="111">
        <f ca="1">IF(OR((X680-13/12*AA680)*(1+PREMISSAS!$C$17)&lt;0,X680=""),0,(X680-13/12*AA680)*(1+PREMISSAS!$C$17))</f>
        <v>0</v>
      </c>
      <c r="Y681" s="111">
        <f t="shared" ca="1" si="101"/>
        <v>0</v>
      </c>
      <c r="Z681" s="134">
        <f t="shared" ca="1" si="102"/>
        <v>0</v>
      </c>
      <c r="AA681" s="134">
        <f t="shared" ca="1" si="95"/>
        <v>0</v>
      </c>
    </row>
    <row r="682" spans="2:27" x14ac:dyDescent="0.3">
      <c r="B682" s="21" t="str">
        <f ca="1">IF(B681="","",IF(EOMONTH(B681,1)&gt;EOMONTH(ELEGIBILIDADE!$E$5,0),"",EOMONTH(B681,1)))</f>
        <v/>
      </c>
      <c r="C682" s="22" t="str">
        <f ca="1">IF(B682="","",IF(MONTH(B682)=1,C681*(1+PREMISSAS!$C$58),C681))</f>
        <v/>
      </c>
      <c r="D682" s="22">
        <f ca="1">IF(RESULTADOS!$C$17="Normal",IFERROR(MAX(C682-PREMISSAS!$C$14,0),0),IF(PREMISSAS!$H$117=0,0,MAX(10*PREMISSAS!$C$39,RESULTADOS!$F$17)))</f>
        <v>0</v>
      </c>
      <c r="E682" s="4">
        <f ca="1">D682*IF(RESULTADOS!$C$17="Normal",RESULTADOS!$C$16,0)</f>
        <v>0</v>
      </c>
      <c r="F682" s="4">
        <f ca="1">IF(D682&lt;&gt;0,PREMISSAS!$N$83,0)</f>
        <v>0</v>
      </c>
      <c r="G682" s="4">
        <f ca="1">IFERROR(IF(RESULTADOS!$C$17="Normal",0,D682)*IF(RESULTADOS!$C$17="Normal",RESULTADOS!$C$18,RESULTADOS!$C$16),0)</f>
        <v>0</v>
      </c>
      <c r="H682" s="4">
        <f ca="1">IF(RESULTADOS!$C$17="Normal",E682,0)</f>
        <v>0</v>
      </c>
      <c r="I682" s="4">
        <f ca="1">(E682+H682+G682)*IFERROR(VLOOKUP(INT(COUNT($B$5:B682)/12),PREMISSAS!$B$62:$C$69,2,FALSE),PREMISSAS!$C$69)</f>
        <v>0</v>
      </c>
      <c r="J682" s="4">
        <f ca="1">D682*IF(RESULTADOS!$C$17="Normal",PREMISSAS!$C$71,0)</f>
        <v>0</v>
      </c>
      <c r="K682" s="87">
        <f ca="1">IFERROR(K681*(1+PREMISSAS!$C$19)+(E682+H682-IF(RESULTADOS!$C$17="Normal",I682,0)-J682)*IF(MONTH(B682)=12,2,1),0)</f>
        <v>0</v>
      </c>
      <c r="L682" s="87">
        <f ca="1">IFERROR((L681+G682-IF(RESULTADOS!$C$17="Normal",0,I682))*(1+PREMISSAS!$C$19)+F682,0)</f>
        <v>0</v>
      </c>
      <c r="N682" s="58">
        <f t="shared" ca="1" si="96"/>
        <v>0</v>
      </c>
      <c r="P682" s="131" t="str">
        <f t="shared" ca="1" si="97"/>
        <v/>
      </c>
      <c r="Q682" s="111" t="str">
        <f ca="1">IF(C682="","",Q681+(E682+H682-IF(RESULTADOS!$C$17="Normal",I682,0)-J682)/2+(F682+G682-IF(RESULTADOS!$C$17="Normal",0,I682)))</f>
        <v/>
      </c>
      <c r="R682" s="111" t="str">
        <f ca="1">IF(C682="","",R681+(E682+H682-IF(RESULTADOS!$C$17="Normal",I682,0)-J682)/2)</f>
        <v/>
      </c>
      <c r="S682" s="111">
        <f t="shared" ca="1" si="98"/>
        <v>0</v>
      </c>
      <c r="U682" s="131" t="str">
        <f t="shared" ca="1" si="99"/>
        <v/>
      </c>
      <c r="V682" s="131" t="str">
        <f t="shared" ca="1" si="100"/>
        <v/>
      </c>
      <c r="W682" s="111">
        <f ca="1">IF(OR((W681-13/12*Z681)*(1+PREMISSAS!$C$17)&lt;0,W681=""),0,(W681-13/12*Z681)*(1+PREMISSAS!$C$17))</f>
        <v>0</v>
      </c>
      <c r="X682" s="111">
        <f ca="1">IF(OR((X681-13/12*AA681)*(1+PREMISSAS!$C$17)&lt;0,X681=""),0,(X681-13/12*AA681)*(1+PREMISSAS!$C$17))</f>
        <v>0</v>
      </c>
      <c r="Y682" s="111">
        <f t="shared" ca="1" si="101"/>
        <v>0</v>
      </c>
      <c r="Z682" s="134">
        <f t="shared" ca="1" si="102"/>
        <v>0</v>
      </c>
      <c r="AA682" s="134">
        <f t="shared" ca="1" si="95"/>
        <v>0</v>
      </c>
    </row>
    <row r="683" spans="2:27" x14ac:dyDescent="0.3">
      <c r="B683" s="21" t="str">
        <f ca="1">IF(B682="","",IF(EOMONTH(B682,1)&gt;EOMONTH(ELEGIBILIDADE!$E$5,0),"",EOMONTH(B682,1)))</f>
        <v/>
      </c>
      <c r="C683" s="22" t="str">
        <f ca="1">IF(B683="","",IF(MONTH(B683)=1,C682*(1+PREMISSAS!$C$58),C682))</f>
        <v/>
      </c>
      <c r="D683" s="22">
        <f ca="1">IF(RESULTADOS!$C$17="Normal",IFERROR(MAX(C683-PREMISSAS!$C$14,0),0),IF(PREMISSAS!$H$117=0,0,MAX(10*PREMISSAS!$C$39,RESULTADOS!$F$17)))</f>
        <v>0</v>
      </c>
      <c r="E683" s="4">
        <f ca="1">D683*IF(RESULTADOS!$C$17="Normal",RESULTADOS!$C$16,0)</f>
        <v>0</v>
      </c>
      <c r="F683" s="4">
        <f ca="1">IF(D683&lt;&gt;0,PREMISSAS!$N$83,0)</f>
        <v>0</v>
      </c>
      <c r="G683" s="4">
        <f ca="1">IFERROR(IF(RESULTADOS!$C$17="Normal",0,D683)*IF(RESULTADOS!$C$17="Normal",RESULTADOS!$C$18,RESULTADOS!$C$16),0)</f>
        <v>0</v>
      </c>
      <c r="H683" s="4">
        <f ca="1">IF(RESULTADOS!$C$17="Normal",E683,0)</f>
        <v>0</v>
      </c>
      <c r="I683" s="4">
        <f ca="1">(E683+H683+G683)*IFERROR(VLOOKUP(INT(COUNT($B$5:B683)/12),PREMISSAS!$B$62:$C$69,2,FALSE),PREMISSAS!$C$69)</f>
        <v>0</v>
      </c>
      <c r="J683" s="4">
        <f ca="1">D683*IF(RESULTADOS!$C$17="Normal",PREMISSAS!$C$71,0)</f>
        <v>0</v>
      </c>
      <c r="K683" s="87">
        <f ca="1">IFERROR(K682*(1+PREMISSAS!$C$19)+(E683+H683-IF(RESULTADOS!$C$17="Normal",I683,0)-J683)*IF(MONTH(B683)=12,2,1),0)</f>
        <v>0</v>
      </c>
      <c r="L683" s="87">
        <f ca="1">IFERROR((L682+G683-IF(RESULTADOS!$C$17="Normal",0,I683))*(1+PREMISSAS!$C$19)+F683,0)</f>
        <v>0</v>
      </c>
      <c r="N683" s="58">
        <f t="shared" ca="1" si="96"/>
        <v>0</v>
      </c>
      <c r="P683" s="131" t="str">
        <f t="shared" ca="1" si="97"/>
        <v/>
      </c>
      <c r="Q683" s="111" t="str">
        <f ca="1">IF(C683="","",Q682+(E683+H683-IF(RESULTADOS!$C$17="Normal",I683,0)-J683)/2+(F683+G683-IF(RESULTADOS!$C$17="Normal",0,I683)))</f>
        <v/>
      </c>
      <c r="R683" s="111" t="str">
        <f ca="1">IF(C683="","",R682+(E683+H683-IF(RESULTADOS!$C$17="Normal",I683,0)-J683)/2)</f>
        <v/>
      </c>
      <c r="S683" s="111">
        <f t="shared" ca="1" si="98"/>
        <v>0</v>
      </c>
      <c r="U683" s="131" t="str">
        <f t="shared" ca="1" si="99"/>
        <v/>
      </c>
      <c r="V683" s="131" t="str">
        <f t="shared" ca="1" si="100"/>
        <v/>
      </c>
      <c r="W683" s="111">
        <f ca="1">IF(OR((W682-13/12*Z682)*(1+PREMISSAS!$C$17)&lt;0,W682=""),0,(W682-13/12*Z682)*(1+PREMISSAS!$C$17))</f>
        <v>0</v>
      </c>
      <c r="X683" s="111">
        <f ca="1">IF(OR((X682-13/12*AA682)*(1+PREMISSAS!$C$17)&lt;0,X682=""),0,(X682-13/12*AA682)*(1+PREMISSAS!$C$17))</f>
        <v>0</v>
      </c>
      <c r="Y683" s="111">
        <f t="shared" ca="1" si="101"/>
        <v>0</v>
      </c>
      <c r="Z683" s="134">
        <f t="shared" ca="1" si="102"/>
        <v>0</v>
      </c>
      <c r="AA683" s="134">
        <f t="shared" ca="1" si="95"/>
        <v>0</v>
      </c>
    </row>
    <row r="684" spans="2:27" x14ac:dyDescent="0.3">
      <c r="B684" s="21" t="str">
        <f ca="1">IF(B683="","",IF(EOMONTH(B683,1)&gt;EOMONTH(ELEGIBILIDADE!$E$5,0),"",EOMONTH(B683,1)))</f>
        <v/>
      </c>
      <c r="C684" s="22" t="str">
        <f ca="1">IF(B684="","",IF(MONTH(B684)=1,C683*(1+PREMISSAS!$C$58),C683))</f>
        <v/>
      </c>
      <c r="D684" s="22">
        <f ca="1">IF(RESULTADOS!$C$17="Normal",IFERROR(MAX(C684-PREMISSAS!$C$14,0),0),IF(PREMISSAS!$H$117=0,0,MAX(10*PREMISSAS!$C$39,RESULTADOS!$F$17)))</f>
        <v>0</v>
      </c>
      <c r="E684" s="4">
        <f ca="1">D684*IF(RESULTADOS!$C$17="Normal",RESULTADOS!$C$16,0)</f>
        <v>0</v>
      </c>
      <c r="F684" s="4">
        <f ca="1">IF(D684&lt;&gt;0,PREMISSAS!$N$83,0)</f>
        <v>0</v>
      </c>
      <c r="G684" s="4">
        <f ca="1">IFERROR(IF(RESULTADOS!$C$17="Normal",0,D684)*IF(RESULTADOS!$C$17="Normal",RESULTADOS!$C$18,RESULTADOS!$C$16),0)</f>
        <v>0</v>
      </c>
      <c r="H684" s="4">
        <f ca="1">IF(RESULTADOS!$C$17="Normal",E684,0)</f>
        <v>0</v>
      </c>
      <c r="I684" s="4">
        <f ca="1">(E684+H684+G684)*IFERROR(VLOOKUP(INT(COUNT($B$5:B684)/12),PREMISSAS!$B$62:$C$69,2,FALSE),PREMISSAS!$C$69)</f>
        <v>0</v>
      </c>
      <c r="J684" s="4">
        <f ca="1">D684*IF(RESULTADOS!$C$17="Normal",PREMISSAS!$C$71,0)</f>
        <v>0</v>
      </c>
      <c r="K684" s="87">
        <f ca="1">IFERROR(K683*(1+PREMISSAS!$C$19)+(E684+H684-IF(RESULTADOS!$C$17="Normal",I684,0)-J684)*IF(MONTH(B684)=12,2,1),0)</f>
        <v>0</v>
      </c>
      <c r="L684" s="87">
        <f ca="1">IFERROR((L683+G684-IF(RESULTADOS!$C$17="Normal",0,I684))*(1+PREMISSAS!$C$19)+F684,0)</f>
        <v>0</v>
      </c>
      <c r="N684" s="58">
        <f t="shared" ref="N684:N700" ca="1" si="103">IFERROR((E684+F684+G684)/C684,0)</f>
        <v>0</v>
      </c>
      <c r="P684" s="131" t="str">
        <f t="shared" ref="P684:P700" ca="1" si="104">IF(C684="","",B684)</f>
        <v/>
      </c>
      <c r="Q684" s="111" t="str">
        <f ca="1">IF(C684="","",Q683+(E684+H684-IF(RESULTADOS!$C$17="Normal",I684,0)-J684)/2+(F684+G684-IF(RESULTADOS!$C$17="Normal",0,I684)))</f>
        <v/>
      </c>
      <c r="R684" s="111" t="str">
        <f ca="1">IF(C684="","",R683+(E684+H684-IF(RESULTADOS!$C$17="Normal",I684,0)-J684)/2)</f>
        <v/>
      </c>
      <c r="S684" s="111">
        <f t="shared" ref="S684:S700" ca="1" si="105">SUM(K684:L684)-SUM(Q684:R684)</f>
        <v>0</v>
      </c>
      <c r="U684" s="131" t="str">
        <f t="shared" ref="U684:U700" ca="1" si="106">IF(Y684=0,"",EOMONTH(U683,1))</f>
        <v/>
      </c>
      <c r="V684" s="131" t="str">
        <f t="shared" ref="V684:V700" ca="1" si="107">IF(AA684&lt;&gt;"",U684,"")</f>
        <v/>
      </c>
      <c r="W684" s="111">
        <f ca="1">IF(OR((W683-13/12*Z683)*(1+PREMISSAS!$C$17)&lt;0,W683=""),0,(W683-13/12*Z683)*(1+PREMISSAS!$C$17))</f>
        <v>0</v>
      </c>
      <c r="X684" s="111">
        <f ca="1">IF(OR((X683-13/12*AA683)*(1+PREMISSAS!$C$17)&lt;0,X683=""),0,(X683-13/12*AA683)*(1+PREMISSAS!$C$17))</f>
        <v>0</v>
      </c>
      <c r="Y684" s="111">
        <f t="shared" ref="Y684:Y700" ca="1" si="108">SUM(W684:X684)</f>
        <v>0</v>
      </c>
      <c r="Z684" s="134">
        <f t="shared" ref="Z684:Z700" ca="1" si="109">IF(W684&lt;&gt;0,Z683,0)</f>
        <v>0</v>
      </c>
      <c r="AA684" s="134">
        <f t="shared" ca="1" si="95"/>
        <v>0</v>
      </c>
    </row>
    <row r="685" spans="2:27" x14ac:dyDescent="0.3">
      <c r="B685" s="21" t="str">
        <f ca="1">IF(B684="","",IF(EOMONTH(B684,1)&gt;EOMONTH(ELEGIBILIDADE!$E$5,0),"",EOMONTH(B684,1)))</f>
        <v/>
      </c>
      <c r="C685" s="22" t="str">
        <f ca="1">IF(B685="","",IF(MONTH(B685)=1,C684*(1+PREMISSAS!$C$58),C684))</f>
        <v/>
      </c>
      <c r="D685" s="22">
        <f ca="1">IF(RESULTADOS!$C$17="Normal",IFERROR(MAX(C685-PREMISSAS!$C$14,0),0),IF(PREMISSAS!$H$117=0,0,MAX(10*PREMISSAS!$C$39,RESULTADOS!$F$17)))</f>
        <v>0</v>
      </c>
      <c r="E685" s="4">
        <f ca="1">D685*IF(RESULTADOS!$C$17="Normal",RESULTADOS!$C$16,0)</f>
        <v>0</v>
      </c>
      <c r="F685" s="4">
        <f ca="1">IF(D685&lt;&gt;0,PREMISSAS!$N$83,0)</f>
        <v>0</v>
      </c>
      <c r="G685" s="4">
        <f ca="1">IFERROR(IF(RESULTADOS!$C$17="Normal",0,D685)*IF(RESULTADOS!$C$17="Normal",RESULTADOS!$C$18,RESULTADOS!$C$16),0)</f>
        <v>0</v>
      </c>
      <c r="H685" s="4">
        <f ca="1">IF(RESULTADOS!$C$17="Normal",E685,0)</f>
        <v>0</v>
      </c>
      <c r="I685" s="4">
        <f ca="1">(E685+H685+G685)*IFERROR(VLOOKUP(INT(COUNT($B$5:B685)/12),PREMISSAS!$B$62:$C$69,2,FALSE),PREMISSAS!$C$69)</f>
        <v>0</v>
      </c>
      <c r="J685" s="4">
        <f ca="1">D685*IF(RESULTADOS!$C$17="Normal",PREMISSAS!$C$71,0)</f>
        <v>0</v>
      </c>
      <c r="K685" s="87">
        <f ca="1">IFERROR(K684*(1+PREMISSAS!$C$19)+(E685+H685-IF(RESULTADOS!$C$17="Normal",I685,0)-J685)*IF(MONTH(B685)=12,2,1),0)</f>
        <v>0</v>
      </c>
      <c r="L685" s="87">
        <f ca="1">IFERROR((L684+G685-IF(RESULTADOS!$C$17="Normal",0,I685))*(1+PREMISSAS!$C$19)+F685,0)</f>
        <v>0</v>
      </c>
      <c r="N685" s="58">
        <f t="shared" ca="1" si="103"/>
        <v>0</v>
      </c>
      <c r="P685" s="131" t="str">
        <f t="shared" ca="1" si="104"/>
        <v/>
      </c>
      <c r="Q685" s="111" t="str">
        <f ca="1">IF(C685="","",Q684+(E685+H685-IF(RESULTADOS!$C$17="Normal",I685,0)-J685)/2+(F685+G685-IF(RESULTADOS!$C$17="Normal",0,I685)))</f>
        <v/>
      </c>
      <c r="R685" s="111" t="str">
        <f ca="1">IF(C685="","",R684+(E685+H685-IF(RESULTADOS!$C$17="Normal",I685,0)-J685)/2)</f>
        <v/>
      </c>
      <c r="S685" s="111">
        <f t="shared" ca="1" si="105"/>
        <v>0</v>
      </c>
      <c r="U685" s="131" t="str">
        <f t="shared" ca="1" si="106"/>
        <v/>
      </c>
      <c r="V685" s="131" t="str">
        <f t="shared" ca="1" si="107"/>
        <v/>
      </c>
      <c r="W685" s="111">
        <f ca="1">IF(OR((W684-13/12*Z684)*(1+PREMISSAS!$C$17)&lt;0,W684=""),0,(W684-13/12*Z684)*(1+PREMISSAS!$C$17))</f>
        <v>0</v>
      </c>
      <c r="X685" s="111">
        <f ca="1">IF(OR((X684-13/12*AA684)*(1+PREMISSAS!$C$17)&lt;0,X684=""),0,(X684-13/12*AA684)*(1+PREMISSAS!$C$17))</f>
        <v>0</v>
      </c>
      <c r="Y685" s="111">
        <f t="shared" ca="1" si="108"/>
        <v>0</v>
      </c>
      <c r="Z685" s="134">
        <f t="shared" ca="1" si="109"/>
        <v>0</v>
      </c>
      <c r="AA685" s="134">
        <f t="shared" ca="1" si="95"/>
        <v>0</v>
      </c>
    </row>
    <row r="686" spans="2:27" x14ac:dyDescent="0.3">
      <c r="B686" s="21" t="str">
        <f ca="1">IF(B685="","",IF(EOMONTH(B685,1)&gt;EOMONTH(ELEGIBILIDADE!$E$5,0),"",EOMONTH(B685,1)))</f>
        <v/>
      </c>
      <c r="C686" s="22" t="str">
        <f ca="1">IF(B686="","",IF(MONTH(B686)=1,C685*(1+PREMISSAS!$C$58),C685))</f>
        <v/>
      </c>
      <c r="D686" s="22">
        <f ca="1">IF(RESULTADOS!$C$17="Normal",IFERROR(MAX(C686-PREMISSAS!$C$14,0),0),IF(PREMISSAS!$H$117=0,0,MAX(10*PREMISSAS!$C$39,RESULTADOS!$F$17)))</f>
        <v>0</v>
      </c>
      <c r="E686" s="4">
        <f ca="1">D686*IF(RESULTADOS!$C$17="Normal",RESULTADOS!$C$16,0)</f>
        <v>0</v>
      </c>
      <c r="F686" s="4">
        <f ca="1">IF(D686&lt;&gt;0,PREMISSAS!$N$83,0)</f>
        <v>0</v>
      </c>
      <c r="G686" s="4">
        <f ca="1">IFERROR(IF(RESULTADOS!$C$17="Normal",0,D686)*IF(RESULTADOS!$C$17="Normal",RESULTADOS!$C$18,RESULTADOS!$C$16),0)</f>
        <v>0</v>
      </c>
      <c r="H686" s="4">
        <f ca="1">IF(RESULTADOS!$C$17="Normal",E686,0)</f>
        <v>0</v>
      </c>
      <c r="I686" s="4">
        <f ca="1">(E686+H686+G686)*IFERROR(VLOOKUP(INT(COUNT($B$5:B686)/12),PREMISSAS!$B$62:$C$69,2,FALSE),PREMISSAS!$C$69)</f>
        <v>0</v>
      </c>
      <c r="J686" s="4">
        <f ca="1">D686*IF(RESULTADOS!$C$17="Normal",PREMISSAS!$C$71,0)</f>
        <v>0</v>
      </c>
      <c r="K686" s="87">
        <f ca="1">IFERROR(K685*(1+PREMISSAS!$C$19)+(E686+H686-IF(RESULTADOS!$C$17="Normal",I686,0)-J686)*IF(MONTH(B686)=12,2,1),0)</f>
        <v>0</v>
      </c>
      <c r="L686" s="87">
        <f ca="1">IFERROR((L685+G686-IF(RESULTADOS!$C$17="Normal",0,I686))*(1+PREMISSAS!$C$19)+F686,0)</f>
        <v>0</v>
      </c>
      <c r="N686" s="58">
        <f t="shared" ca="1" si="103"/>
        <v>0</v>
      </c>
      <c r="P686" s="131" t="str">
        <f t="shared" ca="1" si="104"/>
        <v/>
      </c>
      <c r="Q686" s="111" t="str">
        <f ca="1">IF(C686="","",Q685+(E686+H686-IF(RESULTADOS!$C$17="Normal",I686,0)-J686)/2+(F686+G686-IF(RESULTADOS!$C$17="Normal",0,I686)))</f>
        <v/>
      </c>
      <c r="R686" s="111" t="str">
        <f ca="1">IF(C686="","",R685+(E686+H686-IF(RESULTADOS!$C$17="Normal",I686,0)-J686)/2)</f>
        <v/>
      </c>
      <c r="S686" s="111">
        <f t="shared" ca="1" si="105"/>
        <v>0</v>
      </c>
      <c r="U686" s="131" t="str">
        <f t="shared" ca="1" si="106"/>
        <v/>
      </c>
      <c r="V686" s="131" t="str">
        <f t="shared" ca="1" si="107"/>
        <v/>
      </c>
      <c r="W686" s="111">
        <f ca="1">IF(OR((W685-13/12*Z685)*(1+PREMISSAS!$C$17)&lt;0,W685=""),0,(W685-13/12*Z685)*(1+PREMISSAS!$C$17))</f>
        <v>0</v>
      </c>
      <c r="X686" s="111">
        <f ca="1">IF(OR((X685-13/12*AA685)*(1+PREMISSAS!$C$17)&lt;0,X685=""),0,(X685-13/12*AA685)*(1+PREMISSAS!$C$17))</f>
        <v>0</v>
      </c>
      <c r="Y686" s="111">
        <f t="shared" ca="1" si="108"/>
        <v>0</v>
      </c>
      <c r="Z686" s="134">
        <f t="shared" ca="1" si="109"/>
        <v>0</v>
      </c>
      <c r="AA686" s="134">
        <f t="shared" ca="1" si="95"/>
        <v>0</v>
      </c>
    </row>
    <row r="687" spans="2:27" x14ac:dyDescent="0.3">
      <c r="B687" s="21" t="str">
        <f ca="1">IF(B686="","",IF(EOMONTH(B686,1)&gt;EOMONTH(ELEGIBILIDADE!$E$5,0),"",EOMONTH(B686,1)))</f>
        <v/>
      </c>
      <c r="C687" s="22" t="str">
        <f ca="1">IF(B687="","",IF(MONTH(B687)=1,C686*(1+PREMISSAS!$C$58),C686))</f>
        <v/>
      </c>
      <c r="D687" s="22">
        <f ca="1">IF(RESULTADOS!$C$17="Normal",IFERROR(MAX(C687-PREMISSAS!$C$14,0),0),IF(PREMISSAS!$H$117=0,0,MAX(10*PREMISSAS!$C$39,RESULTADOS!$F$17)))</f>
        <v>0</v>
      </c>
      <c r="E687" s="4">
        <f ca="1">D687*IF(RESULTADOS!$C$17="Normal",RESULTADOS!$C$16,0)</f>
        <v>0</v>
      </c>
      <c r="F687" s="4">
        <f ca="1">IF(D687&lt;&gt;0,PREMISSAS!$N$83,0)</f>
        <v>0</v>
      </c>
      <c r="G687" s="4">
        <f ca="1">IFERROR(IF(RESULTADOS!$C$17="Normal",0,D687)*IF(RESULTADOS!$C$17="Normal",RESULTADOS!$C$18,RESULTADOS!$C$16),0)</f>
        <v>0</v>
      </c>
      <c r="H687" s="4">
        <f ca="1">IF(RESULTADOS!$C$17="Normal",E687,0)</f>
        <v>0</v>
      </c>
      <c r="I687" s="4">
        <f ca="1">(E687+H687+G687)*IFERROR(VLOOKUP(INT(COUNT($B$5:B687)/12),PREMISSAS!$B$62:$C$69,2,FALSE),PREMISSAS!$C$69)</f>
        <v>0</v>
      </c>
      <c r="J687" s="4">
        <f ca="1">D687*IF(RESULTADOS!$C$17="Normal",PREMISSAS!$C$71,0)</f>
        <v>0</v>
      </c>
      <c r="K687" s="87">
        <f ca="1">IFERROR(K686*(1+PREMISSAS!$C$19)+(E687+H687-IF(RESULTADOS!$C$17="Normal",I687,0)-J687)*IF(MONTH(B687)=12,2,1),0)</f>
        <v>0</v>
      </c>
      <c r="L687" s="87">
        <f ca="1">IFERROR((L686+G687-IF(RESULTADOS!$C$17="Normal",0,I687))*(1+PREMISSAS!$C$19)+F687,0)</f>
        <v>0</v>
      </c>
      <c r="N687" s="58">
        <f t="shared" ca="1" si="103"/>
        <v>0</v>
      </c>
      <c r="P687" s="131" t="str">
        <f t="shared" ca="1" si="104"/>
        <v/>
      </c>
      <c r="Q687" s="111" t="str">
        <f ca="1">IF(C687="","",Q686+(E687+H687-IF(RESULTADOS!$C$17="Normal",I687,0)-J687)/2+(F687+G687-IF(RESULTADOS!$C$17="Normal",0,I687)))</f>
        <v/>
      </c>
      <c r="R687" s="111" t="str">
        <f ca="1">IF(C687="","",R686+(E687+H687-IF(RESULTADOS!$C$17="Normal",I687,0)-J687)/2)</f>
        <v/>
      </c>
      <c r="S687" s="111">
        <f t="shared" ca="1" si="105"/>
        <v>0</v>
      </c>
      <c r="U687" s="131" t="str">
        <f t="shared" ca="1" si="106"/>
        <v/>
      </c>
      <c r="V687" s="131" t="str">
        <f t="shared" ca="1" si="107"/>
        <v/>
      </c>
      <c r="W687" s="111">
        <f ca="1">IF(OR((W686-13/12*Z686)*(1+PREMISSAS!$C$17)&lt;0,W686=""),0,(W686-13/12*Z686)*(1+PREMISSAS!$C$17))</f>
        <v>0</v>
      </c>
      <c r="X687" s="111">
        <f ca="1">IF(OR((X686-13/12*AA686)*(1+PREMISSAS!$C$17)&lt;0,X686=""),0,(X686-13/12*AA686)*(1+PREMISSAS!$C$17))</f>
        <v>0</v>
      </c>
      <c r="Y687" s="111">
        <f t="shared" ca="1" si="108"/>
        <v>0</v>
      </c>
      <c r="Z687" s="134">
        <f t="shared" ca="1" si="109"/>
        <v>0</v>
      </c>
      <c r="AA687" s="134">
        <f t="shared" ca="1" si="95"/>
        <v>0</v>
      </c>
    </row>
    <row r="688" spans="2:27" x14ac:dyDescent="0.3">
      <c r="B688" s="21" t="str">
        <f ca="1">IF(B687="","",IF(EOMONTH(B687,1)&gt;EOMONTH(ELEGIBILIDADE!$E$5,0),"",EOMONTH(B687,1)))</f>
        <v/>
      </c>
      <c r="C688" s="22" t="str">
        <f ca="1">IF(B688="","",IF(MONTH(B688)=1,C687*(1+PREMISSAS!$C$58),C687))</f>
        <v/>
      </c>
      <c r="D688" s="22">
        <f ca="1">IF(RESULTADOS!$C$17="Normal",IFERROR(MAX(C688-PREMISSAS!$C$14,0),0),IF(PREMISSAS!$H$117=0,0,MAX(10*PREMISSAS!$C$39,RESULTADOS!$F$17)))</f>
        <v>0</v>
      </c>
      <c r="E688" s="4">
        <f ca="1">D688*IF(RESULTADOS!$C$17="Normal",RESULTADOS!$C$16,0)</f>
        <v>0</v>
      </c>
      <c r="F688" s="4">
        <f ca="1">IF(D688&lt;&gt;0,PREMISSAS!$N$83,0)</f>
        <v>0</v>
      </c>
      <c r="G688" s="4">
        <f ca="1">IFERROR(IF(RESULTADOS!$C$17="Normal",0,D688)*IF(RESULTADOS!$C$17="Normal",RESULTADOS!$C$18,RESULTADOS!$C$16),0)</f>
        <v>0</v>
      </c>
      <c r="H688" s="4">
        <f ca="1">IF(RESULTADOS!$C$17="Normal",E688,0)</f>
        <v>0</v>
      </c>
      <c r="I688" s="4">
        <f ca="1">(E688+H688+G688)*IFERROR(VLOOKUP(INT(COUNT($B$5:B688)/12),PREMISSAS!$B$62:$C$69,2,FALSE),PREMISSAS!$C$69)</f>
        <v>0</v>
      </c>
      <c r="J688" s="4">
        <f ca="1">D688*IF(RESULTADOS!$C$17="Normal",PREMISSAS!$C$71,0)</f>
        <v>0</v>
      </c>
      <c r="K688" s="87">
        <f ca="1">IFERROR(K687*(1+PREMISSAS!$C$19)+(E688+H688-IF(RESULTADOS!$C$17="Normal",I688,0)-J688)*IF(MONTH(B688)=12,2,1),0)</f>
        <v>0</v>
      </c>
      <c r="L688" s="87">
        <f ca="1">IFERROR((L687+G688-IF(RESULTADOS!$C$17="Normal",0,I688))*(1+PREMISSAS!$C$19)+F688,0)</f>
        <v>0</v>
      </c>
      <c r="N688" s="58">
        <f t="shared" ca="1" si="103"/>
        <v>0</v>
      </c>
      <c r="P688" s="131" t="str">
        <f t="shared" ca="1" si="104"/>
        <v/>
      </c>
      <c r="Q688" s="111" t="str">
        <f ca="1">IF(C688="","",Q687+(E688+H688-IF(RESULTADOS!$C$17="Normal",I688,0)-J688)/2+(F688+G688-IF(RESULTADOS!$C$17="Normal",0,I688)))</f>
        <v/>
      </c>
      <c r="R688" s="111" t="str">
        <f ca="1">IF(C688="","",R687+(E688+H688-IF(RESULTADOS!$C$17="Normal",I688,0)-J688)/2)</f>
        <v/>
      </c>
      <c r="S688" s="111">
        <f t="shared" ca="1" si="105"/>
        <v>0</v>
      </c>
      <c r="U688" s="131" t="str">
        <f t="shared" ca="1" si="106"/>
        <v/>
      </c>
      <c r="V688" s="131" t="str">
        <f t="shared" ca="1" si="107"/>
        <v/>
      </c>
      <c r="W688" s="111">
        <f ca="1">IF(OR((W687-13/12*Z687)*(1+PREMISSAS!$C$17)&lt;0,W687=""),0,(W687-13/12*Z687)*(1+PREMISSAS!$C$17))</f>
        <v>0</v>
      </c>
      <c r="X688" s="111">
        <f ca="1">IF(OR((X687-13/12*AA687)*(1+PREMISSAS!$C$17)&lt;0,X687=""),0,(X687-13/12*AA687)*(1+PREMISSAS!$C$17))</f>
        <v>0</v>
      </c>
      <c r="Y688" s="111">
        <f t="shared" ca="1" si="108"/>
        <v>0</v>
      </c>
      <c r="Z688" s="134">
        <f t="shared" ca="1" si="109"/>
        <v>0</v>
      </c>
      <c r="AA688" s="134">
        <f t="shared" ca="1" si="95"/>
        <v>0</v>
      </c>
    </row>
    <row r="689" spans="2:27" x14ac:dyDescent="0.3">
      <c r="B689" s="21" t="str">
        <f ca="1">IF(B688="","",IF(EOMONTH(B688,1)&gt;EOMONTH(ELEGIBILIDADE!$E$5,0),"",EOMONTH(B688,1)))</f>
        <v/>
      </c>
      <c r="C689" s="22" t="str">
        <f ca="1">IF(B689="","",IF(MONTH(B689)=1,C688*(1+PREMISSAS!$C$58),C688))</f>
        <v/>
      </c>
      <c r="D689" s="22">
        <f ca="1">IF(RESULTADOS!$C$17="Normal",IFERROR(MAX(C689-PREMISSAS!$C$14,0),0),IF(PREMISSAS!$H$117=0,0,MAX(10*PREMISSAS!$C$39,RESULTADOS!$F$17)))</f>
        <v>0</v>
      </c>
      <c r="E689" s="4">
        <f ca="1">D689*IF(RESULTADOS!$C$17="Normal",RESULTADOS!$C$16,0)</f>
        <v>0</v>
      </c>
      <c r="F689" s="4">
        <f ca="1">IF(D689&lt;&gt;0,PREMISSAS!$N$83,0)</f>
        <v>0</v>
      </c>
      <c r="G689" s="4">
        <f ca="1">IFERROR(IF(RESULTADOS!$C$17="Normal",0,D689)*IF(RESULTADOS!$C$17="Normal",RESULTADOS!$C$18,RESULTADOS!$C$16),0)</f>
        <v>0</v>
      </c>
      <c r="H689" s="4">
        <f ca="1">IF(RESULTADOS!$C$17="Normal",E689,0)</f>
        <v>0</v>
      </c>
      <c r="I689" s="4">
        <f ca="1">(E689+H689+G689)*IFERROR(VLOOKUP(INT(COUNT($B$5:B689)/12),PREMISSAS!$B$62:$C$69,2,FALSE),PREMISSAS!$C$69)</f>
        <v>0</v>
      </c>
      <c r="J689" s="4">
        <f ca="1">D689*IF(RESULTADOS!$C$17="Normal",PREMISSAS!$C$71,0)</f>
        <v>0</v>
      </c>
      <c r="K689" s="87">
        <f ca="1">IFERROR(K688*(1+PREMISSAS!$C$19)+(E689+H689-IF(RESULTADOS!$C$17="Normal",I689,0)-J689)*IF(MONTH(B689)=12,2,1),0)</f>
        <v>0</v>
      </c>
      <c r="L689" s="87">
        <f ca="1">IFERROR((L688+G689-IF(RESULTADOS!$C$17="Normal",0,I689))*(1+PREMISSAS!$C$19)+F689,0)</f>
        <v>0</v>
      </c>
      <c r="N689" s="58">
        <f t="shared" ca="1" si="103"/>
        <v>0</v>
      </c>
      <c r="P689" s="131" t="str">
        <f t="shared" ca="1" si="104"/>
        <v/>
      </c>
      <c r="Q689" s="111" t="str">
        <f ca="1">IF(C689="","",Q688+(E689+H689-IF(RESULTADOS!$C$17="Normal",I689,0)-J689)/2+(F689+G689-IF(RESULTADOS!$C$17="Normal",0,I689)))</f>
        <v/>
      </c>
      <c r="R689" s="111" t="str">
        <f ca="1">IF(C689="","",R688+(E689+H689-IF(RESULTADOS!$C$17="Normal",I689,0)-J689)/2)</f>
        <v/>
      </c>
      <c r="S689" s="111">
        <f t="shared" ca="1" si="105"/>
        <v>0</v>
      </c>
      <c r="U689" s="131" t="str">
        <f t="shared" ca="1" si="106"/>
        <v/>
      </c>
      <c r="V689" s="131" t="str">
        <f t="shared" ca="1" si="107"/>
        <v/>
      </c>
      <c r="W689" s="111">
        <f ca="1">IF(OR((W688-13/12*Z688)*(1+PREMISSAS!$C$17)&lt;0,W688=""),0,(W688-13/12*Z688)*(1+PREMISSAS!$C$17))</f>
        <v>0</v>
      </c>
      <c r="X689" s="111">
        <f ca="1">IF(OR((X688-13/12*AA688)*(1+PREMISSAS!$C$17)&lt;0,X688=""),0,(X688-13/12*AA688)*(1+PREMISSAS!$C$17))</f>
        <v>0</v>
      </c>
      <c r="Y689" s="111">
        <f t="shared" ca="1" si="108"/>
        <v>0</v>
      </c>
      <c r="Z689" s="134">
        <f t="shared" ca="1" si="109"/>
        <v>0</v>
      </c>
      <c r="AA689" s="134">
        <f t="shared" ca="1" si="95"/>
        <v>0</v>
      </c>
    </row>
    <row r="690" spans="2:27" x14ac:dyDescent="0.3">
      <c r="B690" s="21" t="str">
        <f ca="1">IF(B689="","",IF(EOMONTH(B689,1)&gt;EOMONTH(ELEGIBILIDADE!$E$5,0),"",EOMONTH(B689,1)))</f>
        <v/>
      </c>
      <c r="C690" s="22" t="str">
        <f ca="1">IF(B690="","",IF(MONTH(B690)=1,C689*(1+PREMISSAS!$C$58),C689))</f>
        <v/>
      </c>
      <c r="D690" s="22">
        <f ca="1">IF(RESULTADOS!$C$17="Normal",IFERROR(MAX(C690-PREMISSAS!$C$14,0),0),IF(PREMISSAS!$H$117=0,0,MAX(10*PREMISSAS!$C$39,RESULTADOS!$F$17)))</f>
        <v>0</v>
      </c>
      <c r="E690" s="4">
        <f ca="1">D690*IF(RESULTADOS!$C$17="Normal",RESULTADOS!$C$16,0)</f>
        <v>0</v>
      </c>
      <c r="F690" s="4">
        <f ca="1">IF(D690&lt;&gt;0,PREMISSAS!$N$83,0)</f>
        <v>0</v>
      </c>
      <c r="G690" s="4">
        <f ca="1">IFERROR(IF(RESULTADOS!$C$17="Normal",0,D690)*IF(RESULTADOS!$C$17="Normal",RESULTADOS!$C$18,RESULTADOS!$C$16),0)</f>
        <v>0</v>
      </c>
      <c r="H690" s="4">
        <f ca="1">IF(RESULTADOS!$C$17="Normal",E690,0)</f>
        <v>0</v>
      </c>
      <c r="I690" s="4">
        <f ca="1">(E690+H690+G690)*IFERROR(VLOOKUP(INT(COUNT($B$5:B690)/12),PREMISSAS!$B$62:$C$69,2,FALSE),PREMISSAS!$C$69)</f>
        <v>0</v>
      </c>
      <c r="J690" s="4">
        <f ca="1">D690*IF(RESULTADOS!$C$17="Normal",PREMISSAS!$C$71,0)</f>
        <v>0</v>
      </c>
      <c r="K690" s="87">
        <f ca="1">IFERROR(K689*(1+PREMISSAS!$C$19)+(E690+H690-IF(RESULTADOS!$C$17="Normal",I690,0)-J690)*IF(MONTH(B690)=12,2,1),0)</f>
        <v>0</v>
      </c>
      <c r="L690" s="87">
        <f ca="1">IFERROR((L689+G690-IF(RESULTADOS!$C$17="Normal",0,I690))*(1+PREMISSAS!$C$19)+F690,0)</f>
        <v>0</v>
      </c>
      <c r="N690" s="58">
        <f t="shared" ca="1" si="103"/>
        <v>0</v>
      </c>
      <c r="P690" s="131" t="str">
        <f t="shared" ca="1" si="104"/>
        <v/>
      </c>
      <c r="Q690" s="111" t="str">
        <f ca="1">IF(C690="","",Q689+(E690+H690-IF(RESULTADOS!$C$17="Normal",I690,0)-J690)/2+(F690+G690-IF(RESULTADOS!$C$17="Normal",0,I690)))</f>
        <v/>
      </c>
      <c r="R690" s="111" t="str">
        <f ca="1">IF(C690="","",R689+(E690+H690-IF(RESULTADOS!$C$17="Normal",I690,0)-J690)/2)</f>
        <v/>
      </c>
      <c r="S690" s="111">
        <f t="shared" ca="1" si="105"/>
        <v>0</v>
      </c>
      <c r="U690" s="131" t="str">
        <f t="shared" ca="1" si="106"/>
        <v/>
      </c>
      <c r="V690" s="131" t="str">
        <f t="shared" ca="1" si="107"/>
        <v/>
      </c>
      <c r="W690" s="111">
        <f ca="1">IF(OR((W689-13/12*Z689)*(1+PREMISSAS!$C$17)&lt;0,W689=""),0,(W689-13/12*Z689)*(1+PREMISSAS!$C$17))</f>
        <v>0</v>
      </c>
      <c r="X690" s="111">
        <f ca="1">IF(OR((X689-13/12*AA689)*(1+PREMISSAS!$C$17)&lt;0,X689=""),0,(X689-13/12*AA689)*(1+PREMISSAS!$C$17))</f>
        <v>0</v>
      </c>
      <c r="Y690" s="111">
        <f t="shared" ca="1" si="108"/>
        <v>0</v>
      </c>
      <c r="Z690" s="134">
        <f t="shared" ca="1" si="109"/>
        <v>0</v>
      </c>
      <c r="AA690" s="134">
        <f t="shared" ca="1" si="95"/>
        <v>0</v>
      </c>
    </row>
    <row r="691" spans="2:27" x14ac:dyDescent="0.3">
      <c r="B691" s="21" t="str">
        <f ca="1">IF(B690="","",IF(EOMONTH(B690,1)&gt;EOMONTH(ELEGIBILIDADE!$E$5,0),"",EOMONTH(B690,1)))</f>
        <v/>
      </c>
      <c r="C691" s="22" t="str">
        <f ca="1">IF(B691="","",IF(MONTH(B691)=1,C690*(1+PREMISSAS!$C$58),C690))</f>
        <v/>
      </c>
      <c r="D691" s="22">
        <f ca="1">IF(RESULTADOS!$C$17="Normal",IFERROR(MAX(C691-PREMISSAS!$C$14,0),0),IF(PREMISSAS!$H$117=0,0,MAX(10*PREMISSAS!$C$39,RESULTADOS!$F$17)))</f>
        <v>0</v>
      </c>
      <c r="E691" s="4">
        <f ca="1">D691*IF(RESULTADOS!$C$17="Normal",RESULTADOS!$C$16,0)</f>
        <v>0</v>
      </c>
      <c r="F691" s="4">
        <f ca="1">IF(D691&lt;&gt;0,PREMISSAS!$N$83,0)</f>
        <v>0</v>
      </c>
      <c r="G691" s="4">
        <f ca="1">IFERROR(IF(RESULTADOS!$C$17="Normal",0,D691)*IF(RESULTADOS!$C$17="Normal",RESULTADOS!$C$18,RESULTADOS!$C$16),0)</f>
        <v>0</v>
      </c>
      <c r="H691" s="4">
        <f ca="1">IF(RESULTADOS!$C$17="Normal",E691,0)</f>
        <v>0</v>
      </c>
      <c r="I691" s="4">
        <f ca="1">(E691+H691+G691)*IFERROR(VLOOKUP(INT(COUNT($B$5:B691)/12),PREMISSAS!$B$62:$C$69,2,FALSE),PREMISSAS!$C$69)</f>
        <v>0</v>
      </c>
      <c r="J691" s="4">
        <f ca="1">D691*IF(RESULTADOS!$C$17="Normal",PREMISSAS!$C$71,0)</f>
        <v>0</v>
      </c>
      <c r="K691" s="87">
        <f ca="1">IFERROR(K690*(1+PREMISSAS!$C$19)+(E691+H691-IF(RESULTADOS!$C$17="Normal",I691,0)-J691)*IF(MONTH(B691)=12,2,1),0)</f>
        <v>0</v>
      </c>
      <c r="L691" s="87">
        <f ca="1">IFERROR((L690+G691-IF(RESULTADOS!$C$17="Normal",0,I691))*(1+PREMISSAS!$C$19)+F691,0)</f>
        <v>0</v>
      </c>
      <c r="N691" s="58">
        <f t="shared" ca="1" si="103"/>
        <v>0</v>
      </c>
      <c r="P691" s="131" t="str">
        <f t="shared" ca="1" si="104"/>
        <v/>
      </c>
      <c r="Q691" s="111" t="str">
        <f ca="1">IF(C691="","",Q690+(E691+H691-IF(RESULTADOS!$C$17="Normal",I691,0)-J691)/2+(F691+G691-IF(RESULTADOS!$C$17="Normal",0,I691)))</f>
        <v/>
      </c>
      <c r="R691" s="111" t="str">
        <f ca="1">IF(C691="","",R690+(E691+H691-IF(RESULTADOS!$C$17="Normal",I691,0)-J691)/2)</f>
        <v/>
      </c>
      <c r="S691" s="111">
        <f t="shared" ca="1" si="105"/>
        <v>0</v>
      </c>
      <c r="U691" s="131" t="str">
        <f t="shared" ca="1" si="106"/>
        <v/>
      </c>
      <c r="V691" s="131" t="str">
        <f t="shared" ca="1" si="107"/>
        <v/>
      </c>
      <c r="W691" s="111">
        <f ca="1">IF(OR((W690-13/12*Z690)*(1+PREMISSAS!$C$17)&lt;0,W690=""),0,(W690-13/12*Z690)*(1+PREMISSAS!$C$17))</f>
        <v>0</v>
      </c>
      <c r="X691" s="111">
        <f ca="1">IF(OR((X690-13/12*AA690)*(1+PREMISSAS!$C$17)&lt;0,X690=""),0,(X690-13/12*AA690)*(1+PREMISSAS!$C$17))</f>
        <v>0</v>
      </c>
      <c r="Y691" s="111">
        <f t="shared" ca="1" si="108"/>
        <v>0</v>
      </c>
      <c r="Z691" s="134">
        <f t="shared" ca="1" si="109"/>
        <v>0</v>
      </c>
      <c r="AA691" s="134">
        <f t="shared" ca="1" si="95"/>
        <v>0</v>
      </c>
    </row>
    <row r="692" spans="2:27" x14ac:dyDescent="0.3">
      <c r="B692" s="21" t="str">
        <f ca="1">IF(B691="","",IF(EOMONTH(B691,1)&gt;EOMONTH(ELEGIBILIDADE!$E$5,0),"",EOMONTH(B691,1)))</f>
        <v/>
      </c>
      <c r="C692" s="22" t="str">
        <f ca="1">IF(B692="","",IF(MONTH(B692)=1,C691*(1+PREMISSAS!$C$58),C691))</f>
        <v/>
      </c>
      <c r="D692" s="22">
        <f ca="1">IF(RESULTADOS!$C$17="Normal",IFERROR(MAX(C692-PREMISSAS!$C$14,0),0),IF(PREMISSAS!$H$117=0,0,MAX(10*PREMISSAS!$C$39,RESULTADOS!$F$17)))</f>
        <v>0</v>
      </c>
      <c r="E692" s="4">
        <f ca="1">D692*IF(RESULTADOS!$C$17="Normal",RESULTADOS!$C$16,0)</f>
        <v>0</v>
      </c>
      <c r="F692" s="4">
        <f ca="1">IF(D692&lt;&gt;0,PREMISSAS!$N$83,0)</f>
        <v>0</v>
      </c>
      <c r="G692" s="4">
        <f ca="1">IFERROR(IF(RESULTADOS!$C$17="Normal",0,D692)*IF(RESULTADOS!$C$17="Normal",RESULTADOS!$C$18,RESULTADOS!$C$16),0)</f>
        <v>0</v>
      </c>
      <c r="H692" s="4">
        <f ca="1">IF(RESULTADOS!$C$17="Normal",E692,0)</f>
        <v>0</v>
      </c>
      <c r="I692" s="4">
        <f ca="1">(E692+H692+G692)*IFERROR(VLOOKUP(INT(COUNT($B$5:B692)/12),PREMISSAS!$B$62:$C$69,2,FALSE),PREMISSAS!$C$69)</f>
        <v>0</v>
      </c>
      <c r="J692" s="4">
        <f ca="1">D692*IF(RESULTADOS!$C$17="Normal",PREMISSAS!$C$71,0)</f>
        <v>0</v>
      </c>
      <c r="K692" s="87">
        <f ca="1">IFERROR(K691*(1+PREMISSAS!$C$19)+(E692+H692-IF(RESULTADOS!$C$17="Normal",I692,0)-J692)*IF(MONTH(B692)=12,2,1),0)</f>
        <v>0</v>
      </c>
      <c r="L692" s="87">
        <f ca="1">IFERROR((L691+G692-IF(RESULTADOS!$C$17="Normal",0,I692))*(1+PREMISSAS!$C$19)+F692,0)</f>
        <v>0</v>
      </c>
      <c r="N692" s="58">
        <f t="shared" ca="1" si="103"/>
        <v>0</v>
      </c>
      <c r="P692" s="131" t="str">
        <f t="shared" ca="1" si="104"/>
        <v/>
      </c>
      <c r="Q692" s="111" t="str">
        <f ca="1">IF(C692="","",Q691+(E692+H692-IF(RESULTADOS!$C$17="Normal",I692,0)-J692)/2+(F692+G692-IF(RESULTADOS!$C$17="Normal",0,I692)))</f>
        <v/>
      </c>
      <c r="R692" s="111" t="str">
        <f ca="1">IF(C692="","",R691+(E692+H692-IF(RESULTADOS!$C$17="Normal",I692,0)-J692)/2)</f>
        <v/>
      </c>
      <c r="S692" s="111">
        <f t="shared" ca="1" si="105"/>
        <v>0</v>
      </c>
      <c r="U692" s="131" t="str">
        <f t="shared" ca="1" si="106"/>
        <v/>
      </c>
      <c r="V692" s="131" t="str">
        <f t="shared" ca="1" si="107"/>
        <v/>
      </c>
      <c r="W692" s="111">
        <f ca="1">IF(OR((W691-13/12*Z691)*(1+PREMISSAS!$C$17)&lt;0,W691=""),0,(W691-13/12*Z691)*(1+PREMISSAS!$C$17))</f>
        <v>0</v>
      </c>
      <c r="X692" s="111">
        <f ca="1">IF(OR((X691-13/12*AA691)*(1+PREMISSAS!$C$17)&lt;0,X691=""),0,(X691-13/12*AA691)*(1+PREMISSAS!$C$17))</f>
        <v>0</v>
      </c>
      <c r="Y692" s="111">
        <f t="shared" ca="1" si="108"/>
        <v>0</v>
      </c>
      <c r="Z692" s="134">
        <f t="shared" ca="1" si="109"/>
        <v>0</v>
      </c>
      <c r="AA692" s="134">
        <f t="shared" ca="1" si="95"/>
        <v>0</v>
      </c>
    </row>
    <row r="693" spans="2:27" x14ac:dyDescent="0.3">
      <c r="B693" s="21" t="str">
        <f ca="1">IF(B692="","",IF(EOMONTH(B692,1)&gt;EOMONTH(ELEGIBILIDADE!$E$5,0),"",EOMONTH(B692,1)))</f>
        <v/>
      </c>
      <c r="C693" s="22" t="str">
        <f ca="1">IF(B693="","",IF(MONTH(B693)=1,C692*(1+PREMISSAS!$C$58),C692))</f>
        <v/>
      </c>
      <c r="D693" s="22">
        <f ca="1">IF(RESULTADOS!$C$17="Normal",IFERROR(MAX(C693-PREMISSAS!$C$14,0),0),IF(PREMISSAS!$H$117=0,0,MAX(10*PREMISSAS!$C$39,RESULTADOS!$F$17)))</f>
        <v>0</v>
      </c>
      <c r="E693" s="4">
        <f ca="1">D693*IF(RESULTADOS!$C$17="Normal",RESULTADOS!$C$16,0)</f>
        <v>0</v>
      </c>
      <c r="F693" s="4">
        <f ca="1">IF(D693&lt;&gt;0,PREMISSAS!$N$83,0)</f>
        <v>0</v>
      </c>
      <c r="G693" s="4">
        <f ca="1">IFERROR(IF(RESULTADOS!$C$17="Normal",0,D693)*IF(RESULTADOS!$C$17="Normal",RESULTADOS!$C$18,RESULTADOS!$C$16),0)</f>
        <v>0</v>
      </c>
      <c r="H693" s="4">
        <f ca="1">IF(RESULTADOS!$C$17="Normal",E693,0)</f>
        <v>0</v>
      </c>
      <c r="I693" s="4">
        <f ca="1">(E693+H693+G693)*IFERROR(VLOOKUP(INT(COUNT($B$5:B693)/12),PREMISSAS!$B$62:$C$69,2,FALSE),PREMISSAS!$C$69)</f>
        <v>0</v>
      </c>
      <c r="J693" s="4">
        <f ca="1">D693*IF(RESULTADOS!$C$17="Normal",PREMISSAS!$C$71,0)</f>
        <v>0</v>
      </c>
      <c r="K693" s="87">
        <f ca="1">IFERROR(K692*(1+PREMISSAS!$C$19)+(E693+H693-IF(RESULTADOS!$C$17="Normal",I693,0)-J693)*IF(MONTH(B693)=12,2,1),0)</f>
        <v>0</v>
      </c>
      <c r="L693" s="87">
        <f ca="1">IFERROR((L692+G693-IF(RESULTADOS!$C$17="Normal",0,I693))*(1+PREMISSAS!$C$19)+F693,0)</f>
        <v>0</v>
      </c>
      <c r="N693" s="58">
        <f t="shared" ca="1" si="103"/>
        <v>0</v>
      </c>
      <c r="P693" s="131" t="str">
        <f t="shared" ca="1" si="104"/>
        <v/>
      </c>
      <c r="Q693" s="111" t="str">
        <f ca="1">IF(C693="","",Q692+(E693+H693-IF(RESULTADOS!$C$17="Normal",I693,0)-J693)/2+(F693+G693-IF(RESULTADOS!$C$17="Normal",0,I693)))</f>
        <v/>
      </c>
      <c r="R693" s="111" t="str">
        <f ca="1">IF(C693="","",R692+(E693+H693-IF(RESULTADOS!$C$17="Normal",I693,0)-J693)/2)</f>
        <v/>
      </c>
      <c r="S693" s="111">
        <f t="shared" ca="1" si="105"/>
        <v>0</v>
      </c>
      <c r="U693" s="131" t="str">
        <f t="shared" ca="1" si="106"/>
        <v/>
      </c>
      <c r="V693" s="131" t="str">
        <f t="shared" ca="1" si="107"/>
        <v/>
      </c>
      <c r="W693" s="111">
        <f ca="1">IF(OR((W692-13/12*Z692)*(1+PREMISSAS!$C$17)&lt;0,W692=""),0,(W692-13/12*Z692)*(1+PREMISSAS!$C$17))</f>
        <v>0</v>
      </c>
      <c r="X693" s="111">
        <f ca="1">IF(OR((X692-13/12*AA692)*(1+PREMISSAS!$C$17)&lt;0,X692=""),0,(X692-13/12*AA692)*(1+PREMISSAS!$C$17))</f>
        <v>0</v>
      </c>
      <c r="Y693" s="111">
        <f t="shared" ca="1" si="108"/>
        <v>0</v>
      </c>
      <c r="Z693" s="134">
        <f t="shared" ca="1" si="109"/>
        <v>0</v>
      </c>
      <c r="AA693" s="134">
        <f t="shared" ca="1" si="95"/>
        <v>0</v>
      </c>
    </row>
    <row r="694" spans="2:27" x14ac:dyDescent="0.3">
      <c r="B694" s="21" t="str">
        <f ca="1">IF(B693="","",IF(EOMONTH(B693,1)&gt;EOMONTH(ELEGIBILIDADE!$E$5,0),"",EOMONTH(B693,1)))</f>
        <v/>
      </c>
      <c r="C694" s="22" t="str">
        <f ca="1">IF(B694="","",IF(MONTH(B694)=1,C693*(1+PREMISSAS!$C$58),C693))</f>
        <v/>
      </c>
      <c r="D694" s="22">
        <f ca="1">IF(RESULTADOS!$C$17="Normal",IFERROR(MAX(C694-PREMISSAS!$C$14,0),0),IF(PREMISSAS!$H$117=0,0,MAX(10*PREMISSAS!$C$39,RESULTADOS!$F$17)))</f>
        <v>0</v>
      </c>
      <c r="E694" s="4">
        <f ca="1">D694*IF(RESULTADOS!$C$17="Normal",RESULTADOS!$C$16,0)</f>
        <v>0</v>
      </c>
      <c r="F694" s="4">
        <f ca="1">IF(D694&lt;&gt;0,PREMISSAS!$N$83,0)</f>
        <v>0</v>
      </c>
      <c r="G694" s="4">
        <f ca="1">IFERROR(IF(RESULTADOS!$C$17="Normal",0,D694)*IF(RESULTADOS!$C$17="Normal",RESULTADOS!$C$18,RESULTADOS!$C$16),0)</f>
        <v>0</v>
      </c>
      <c r="H694" s="4">
        <f ca="1">IF(RESULTADOS!$C$17="Normal",E694,0)</f>
        <v>0</v>
      </c>
      <c r="I694" s="4">
        <f ca="1">(E694+H694+G694)*IFERROR(VLOOKUP(INT(COUNT($B$5:B694)/12),PREMISSAS!$B$62:$C$69,2,FALSE),PREMISSAS!$C$69)</f>
        <v>0</v>
      </c>
      <c r="J694" s="4">
        <f ca="1">D694*IF(RESULTADOS!$C$17="Normal",PREMISSAS!$C$71,0)</f>
        <v>0</v>
      </c>
      <c r="K694" s="87">
        <f ca="1">IFERROR(K693*(1+PREMISSAS!$C$19)+(E694+H694-IF(RESULTADOS!$C$17="Normal",I694,0)-J694)*IF(MONTH(B694)=12,2,1),0)</f>
        <v>0</v>
      </c>
      <c r="L694" s="87">
        <f ca="1">IFERROR((L693+G694-IF(RESULTADOS!$C$17="Normal",0,I694))*(1+PREMISSAS!$C$19)+F694,0)</f>
        <v>0</v>
      </c>
      <c r="N694" s="58">
        <f t="shared" ca="1" si="103"/>
        <v>0</v>
      </c>
      <c r="P694" s="131" t="str">
        <f t="shared" ca="1" si="104"/>
        <v/>
      </c>
      <c r="Q694" s="111" t="str">
        <f ca="1">IF(C694="","",Q693+(E694+H694-IF(RESULTADOS!$C$17="Normal",I694,0)-J694)/2+(F694+G694-IF(RESULTADOS!$C$17="Normal",0,I694)))</f>
        <v/>
      </c>
      <c r="R694" s="111" t="str">
        <f ca="1">IF(C694="","",R693+(E694+H694-IF(RESULTADOS!$C$17="Normal",I694,0)-J694)/2)</f>
        <v/>
      </c>
      <c r="S694" s="111">
        <f t="shared" ca="1" si="105"/>
        <v>0</v>
      </c>
      <c r="U694" s="131" t="str">
        <f t="shared" ca="1" si="106"/>
        <v/>
      </c>
      <c r="V694" s="131" t="str">
        <f t="shared" ca="1" si="107"/>
        <v/>
      </c>
      <c r="W694" s="111">
        <f ca="1">IF(OR((W693-13/12*Z693)*(1+PREMISSAS!$C$17)&lt;0,W693=""),0,(W693-13/12*Z693)*(1+PREMISSAS!$C$17))</f>
        <v>0</v>
      </c>
      <c r="X694" s="111">
        <f ca="1">IF(OR((X693-13/12*AA693)*(1+PREMISSAS!$C$17)&lt;0,X693=""),0,(X693-13/12*AA693)*(1+PREMISSAS!$C$17))</f>
        <v>0</v>
      </c>
      <c r="Y694" s="111">
        <f t="shared" ca="1" si="108"/>
        <v>0</v>
      </c>
      <c r="Z694" s="134">
        <f t="shared" ca="1" si="109"/>
        <v>0</v>
      </c>
      <c r="AA694" s="134">
        <f t="shared" ca="1" si="95"/>
        <v>0</v>
      </c>
    </row>
    <row r="695" spans="2:27" x14ac:dyDescent="0.3">
      <c r="B695" s="21" t="str">
        <f ca="1">IF(B694="","",IF(EOMONTH(B694,1)&gt;EOMONTH(ELEGIBILIDADE!$E$5,0),"",EOMONTH(B694,1)))</f>
        <v/>
      </c>
      <c r="C695" s="22" t="str">
        <f ca="1">IF(B695="","",IF(MONTH(B695)=1,C694*(1+PREMISSAS!$C$58),C694))</f>
        <v/>
      </c>
      <c r="D695" s="22">
        <f ca="1">IF(RESULTADOS!$C$17="Normal",IFERROR(MAX(C695-PREMISSAS!$C$14,0),0),IF(PREMISSAS!$H$117=0,0,MAX(10*PREMISSAS!$C$39,RESULTADOS!$F$17)))</f>
        <v>0</v>
      </c>
      <c r="E695" s="4">
        <f ca="1">D695*IF(RESULTADOS!$C$17="Normal",RESULTADOS!$C$16,0)</f>
        <v>0</v>
      </c>
      <c r="F695" s="4">
        <f ca="1">IF(D695&lt;&gt;0,PREMISSAS!$N$83,0)</f>
        <v>0</v>
      </c>
      <c r="G695" s="4">
        <f ca="1">IFERROR(IF(RESULTADOS!$C$17="Normal",0,D695)*IF(RESULTADOS!$C$17="Normal",RESULTADOS!$C$18,RESULTADOS!$C$16),0)</f>
        <v>0</v>
      </c>
      <c r="H695" s="4">
        <f ca="1">IF(RESULTADOS!$C$17="Normal",E695,0)</f>
        <v>0</v>
      </c>
      <c r="I695" s="4">
        <f ca="1">(E695+H695+G695)*IFERROR(VLOOKUP(INT(COUNT($B$5:B695)/12),PREMISSAS!$B$62:$C$69,2,FALSE),PREMISSAS!$C$69)</f>
        <v>0</v>
      </c>
      <c r="J695" s="4">
        <f ca="1">D695*IF(RESULTADOS!$C$17="Normal",PREMISSAS!$C$71,0)</f>
        <v>0</v>
      </c>
      <c r="K695" s="87">
        <f ca="1">IFERROR(K694*(1+PREMISSAS!$C$19)+(E695+H695-IF(RESULTADOS!$C$17="Normal",I695,0)-J695)*IF(MONTH(B695)=12,2,1),0)</f>
        <v>0</v>
      </c>
      <c r="L695" s="87">
        <f ca="1">IFERROR((L694+G695-IF(RESULTADOS!$C$17="Normal",0,I695))*(1+PREMISSAS!$C$19)+F695,0)</f>
        <v>0</v>
      </c>
      <c r="N695" s="58">
        <f t="shared" ca="1" si="103"/>
        <v>0</v>
      </c>
      <c r="P695" s="131" t="str">
        <f t="shared" ca="1" si="104"/>
        <v/>
      </c>
      <c r="Q695" s="111" t="str">
        <f ca="1">IF(C695="","",Q694+(E695+H695-IF(RESULTADOS!$C$17="Normal",I695,0)-J695)/2+(F695+G695-IF(RESULTADOS!$C$17="Normal",0,I695)))</f>
        <v/>
      </c>
      <c r="R695" s="111" t="str">
        <f ca="1">IF(C695="","",R694+(E695+H695-IF(RESULTADOS!$C$17="Normal",I695,0)-J695)/2)</f>
        <v/>
      </c>
      <c r="S695" s="111">
        <f t="shared" ca="1" si="105"/>
        <v>0</v>
      </c>
      <c r="U695" s="131" t="str">
        <f t="shared" ca="1" si="106"/>
        <v/>
      </c>
      <c r="V695" s="131" t="str">
        <f t="shared" ca="1" si="107"/>
        <v/>
      </c>
      <c r="W695" s="111">
        <f ca="1">IF(OR((W694-13/12*Z694)*(1+PREMISSAS!$C$17)&lt;0,W694=""),0,(W694-13/12*Z694)*(1+PREMISSAS!$C$17))</f>
        <v>0</v>
      </c>
      <c r="X695" s="111">
        <f ca="1">IF(OR((X694-13/12*AA694)*(1+PREMISSAS!$C$17)&lt;0,X694=""),0,(X694-13/12*AA694)*(1+PREMISSAS!$C$17))</f>
        <v>0</v>
      </c>
      <c r="Y695" s="111">
        <f t="shared" ca="1" si="108"/>
        <v>0</v>
      </c>
      <c r="Z695" s="134">
        <f t="shared" ca="1" si="109"/>
        <v>0</v>
      </c>
      <c r="AA695" s="134">
        <f t="shared" ca="1" si="95"/>
        <v>0</v>
      </c>
    </row>
    <row r="696" spans="2:27" x14ac:dyDescent="0.3">
      <c r="B696" s="21" t="str">
        <f ca="1">IF(B695="","",IF(EOMONTH(B695,1)&gt;EOMONTH(ELEGIBILIDADE!$E$5,0),"",EOMONTH(B695,1)))</f>
        <v/>
      </c>
      <c r="C696" s="22" t="str">
        <f ca="1">IF(B696="","",IF(MONTH(B696)=1,C695*(1+PREMISSAS!$C$58),C695))</f>
        <v/>
      </c>
      <c r="D696" s="22">
        <f ca="1">IF(RESULTADOS!$C$17="Normal",IFERROR(MAX(C696-PREMISSAS!$C$14,0),0),IF(PREMISSAS!$H$117=0,0,MAX(10*PREMISSAS!$C$39,RESULTADOS!$F$17)))</f>
        <v>0</v>
      </c>
      <c r="E696" s="4">
        <f ca="1">D696*IF(RESULTADOS!$C$17="Normal",RESULTADOS!$C$16,0)</f>
        <v>0</v>
      </c>
      <c r="F696" s="4">
        <f ca="1">IF(D696&lt;&gt;0,PREMISSAS!$N$83,0)</f>
        <v>0</v>
      </c>
      <c r="G696" s="4">
        <f ca="1">IFERROR(IF(RESULTADOS!$C$17="Normal",0,D696)*IF(RESULTADOS!$C$17="Normal",RESULTADOS!$C$18,RESULTADOS!$C$16),0)</f>
        <v>0</v>
      </c>
      <c r="H696" s="4">
        <f ca="1">IF(RESULTADOS!$C$17="Normal",E696,0)</f>
        <v>0</v>
      </c>
      <c r="I696" s="4">
        <f ca="1">(E696+H696+G696)*IFERROR(VLOOKUP(INT(COUNT($B$5:B696)/12),PREMISSAS!$B$62:$C$69,2,FALSE),PREMISSAS!$C$69)</f>
        <v>0</v>
      </c>
      <c r="J696" s="4">
        <f ca="1">D696*IF(RESULTADOS!$C$17="Normal",PREMISSAS!$C$71,0)</f>
        <v>0</v>
      </c>
      <c r="K696" s="87">
        <f ca="1">IFERROR(K695*(1+PREMISSAS!$C$19)+(E696+H696-IF(RESULTADOS!$C$17="Normal",I696,0)-J696)*IF(MONTH(B696)=12,2,1),0)</f>
        <v>0</v>
      </c>
      <c r="L696" s="87">
        <f ca="1">IFERROR((L695+G696-IF(RESULTADOS!$C$17="Normal",0,I696))*(1+PREMISSAS!$C$19)+F696,0)</f>
        <v>0</v>
      </c>
      <c r="N696" s="58">
        <f t="shared" ca="1" si="103"/>
        <v>0</v>
      </c>
      <c r="P696" s="131" t="str">
        <f t="shared" ca="1" si="104"/>
        <v/>
      </c>
      <c r="Q696" s="111" t="str">
        <f ca="1">IF(C696="","",Q695+(E696+H696-IF(RESULTADOS!$C$17="Normal",I696,0)-J696)/2+(F696+G696-IF(RESULTADOS!$C$17="Normal",0,I696)))</f>
        <v/>
      </c>
      <c r="R696" s="111" t="str">
        <f ca="1">IF(C696="","",R695+(E696+H696-IF(RESULTADOS!$C$17="Normal",I696,0)-J696)/2)</f>
        <v/>
      </c>
      <c r="S696" s="111">
        <f t="shared" ca="1" si="105"/>
        <v>0</v>
      </c>
      <c r="U696" s="131" t="str">
        <f t="shared" ca="1" si="106"/>
        <v/>
      </c>
      <c r="V696" s="131" t="str">
        <f t="shared" ca="1" si="107"/>
        <v/>
      </c>
      <c r="W696" s="111">
        <f ca="1">IF(OR((W695-13/12*Z695)*(1+PREMISSAS!$C$17)&lt;0,W695=""),0,(W695-13/12*Z695)*(1+PREMISSAS!$C$17))</f>
        <v>0</v>
      </c>
      <c r="X696" s="111">
        <f ca="1">IF(OR((X695-13/12*AA695)*(1+PREMISSAS!$C$17)&lt;0,X695=""),0,(X695-13/12*AA695)*(1+PREMISSAS!$C$17))</f>
        <v>0</v>
      </c>
      <c r="Y696" s="111">
        <f t="shared" ca="1" si="108"/>
        <v>0</v>
      </c>
      <c r="Z696" s="134">
        <f t="shared" ca="1" si="109"/>
        <v>0</v>
      </c>
      <c r="AA696" s="134">
        <f t="shared" ca="1" si="95"/>
        <v>0</v>
      </c>
    </row>
    <row r="697" spans="2:27" x14ac:dyDescent="0.3">
      <c r="B697" s="21" t="str">
        <f ca="1">IF(B696="","",IF(EOMONTH(B696,1)&gt;EOMONTH(ELEGIBILIDADE!$E$5,0),"",EOMONTH(B696,1)))</f>
        <v/>
      </c>
      <c r="C697" s="22" t="str">
        <f ca="1">IF(B697="","",IF(MONTH(B697)=1,C696*(1+PREMISSAS!$C$58),C696))</f>
        <v/>
      </c>
      <c r="D697" s="22">
        <f ca="1">IF(RESULTADOS!$C$17="Normal",IFERROR(MAX(C697-PREMISSAS!$C$14,0),0),IF(PREMISSAS!$H$117=0,0,MAX(10*PREMISSAS!$C$39,RESULTADOS!$F$17)))</f>
        <v>0</v>
      </c>
      <c r="E697" s="4">
        <f ca="1">D697*IF(RESULTADOS!$C$17="Normal",RESULTADOS!$C$16,0)</f>
        <v>0</v>
      </c>
      <c r="F697" s="4">
        <f ca="1">IF(D697&lt;&gt;0,PREMISSAS!$N$83,0)</f>
        <v>0</v>
      </c>
      <c r="G697" s="4">
        <f ca="1">IFERROR(IF(RESULTADOS!$C$17="Normal",0,D697)*IF(RESULTADOS!$C$17="Normal",RESULTADOS!$C$18,RESULTADOS!$C$16),0)</f>
        <v>0</v>
      </c>
      <c r="H697" s="4">
        <f ca="1">IF(RESULTADOS!$C$17="Normal",E697,0)</f>
        <v>0</v>
      </c>
      <c r="I697" s="4">
        <f ca="1">(E697+H697+G697)*IFERROR(VLOOKUP(INT(COUNT($B$5:B697)/12),PREMISSAS!$B$62:$C$69,2,FALSE),PREMISSAS!$C$69)</f>
        <v>0</v>
      </c>
      <c r="J697" s="4">
        <f ca="1">D697*IF(RESULTADOS!$C$17="Normal",PREMISSAS!$C$71,0)</f>
        <v>0</v>
      </c>
      <c r="K697" s="87">
        <f ca="1">IFERROR(K696*(1+PREMISSAS!$C$19)+(E697+H697-IF(RESULTADOS!$C$17="Normal",I697,0)-J697)*IF(MONTH(B697)=12,2,1),0)</f>
        <v>0</v>
      </c>
      <c r="L697" s="87">
        <f ca="1">IFERROR((L696+G697-IF(RESULTADOS!$C$17="Normal",0,I697))*(1+PREMISSAS!$C$19)+F697,0)</f>
        <v>0</v>
      </c>
      <c r="N697" s="58">
        <f t="shared" ca="1" si="103"/>
        <v>0</v>
      </c>
      <c r="P697" s="131" t="str">
        <f t="shared" ca="1" si="104"/>
        <v/>
      </c>
      <c r="Q697" s="111" t="str">
        <f ca="1">IF(C697="","",Q696+(E697+H697-IF(RESULTADOS!$C$17="Normal",I697,0)-J697)/2+(F697+G697-IF(RESULTADOS!$C$17="Normal",0,I697)))</f>
        <v/>
      </c>
      <c r="R697" s="111" t="str">
        <f ca="1">IF(C697="","",R696+(E697+H697-IF(RESULTADOS!$C$17="Normal",I697,0)-J697)/2)</f>
        <v/>
      </c>
      <c r="S697" s="111">
        <f t="shared" ca="1" si="105"/>
        <v>0</v>
      </c>
      <c r="U697" s="131" t="str">
        <f t="shared" ca="1" si="106"/>
        <v/>
      </c>
      <c r="V697" s="131" t="str">
        <f t="shared" ca="1" si="107"/>
        <v/>
      </c>
      <c r="W697" s="111">
        <f ca="1">IF(OR((W696-13/12*Z696)*(1+PREMISSAS!$C$17)&lt;0,W696=""),0,(W696-13/12*Z696)*(1+PREMISSAS!$C$17))</f>
        <v>0</v>
      </c>
      <c r="X697" s="111">
        <f ca="1">IF(OR((X696-13/12*AA696)*(1+PREMISSAS!$C$17)&lt;0,X696=""),0,(X696-13/12*AA696)*(1+PREMISSAS!$C$17))</f>
        <v>0</v>
      </c>
      <c r="Y697" s="111">
        <f t="shared" ca="1" si="108"/>
        <v>0</v>
      </c>
      <c r="Z697" s="134">
        <f t="shared" ca="1" si="109"/>
        <v>0</v>
      </c>
      <c r="AA697" s="134">
        <f t="shared" ca="1" si="95"/>
        <v>0</v>
      </c>
    </row>
    <row r="698" spans="2:27" x14ac:dyDescent="0.3">
      <c r="B698" s="21" t="str">
        <f ca="1">IF(B697="","",IF(EOMONTH(B697,1)&gt;EOMONTH(ELEGIBILIDADE!$E$5,0),"",EOMONTH(B697,1)))</f>
        <v/>
      </c>
      <c r="C698" s="22" t="str">
        <f ca="1">IF(B698="","",IF(MONTH(B698)=1,C697*(1+PREMISSAS!$C$58),C697))</f>
        <v/>
      </c>
      <c r="D698" s="22">
        <f ca="1">IF(RESULTADOS!$C$17="Normal",IFERROR(MAX(C698-PREMISSAS!$C$14,0),0),IF(PREMISSAS!$H$117=0,0,MAX(10*PREMISSAS!$C$39,RESULTADOS!$F$17)))</f>
        <v>0</v>
      </c>
      <c r="E698" s="4">
        <f ca="1">D698*IF(RESULTADOS!$C$17="Normal",RESULTADOS!$C$16,0)</f>
        <v>0</v>
      </c>
      <c r="F698" s="4">
        <f ca="1">IF(D698&lt;&gt;0,PREMISSAS!$N$83,0)</f>
        <v>0</v>
      </c>
      <c r="G698" s="4">
        <f ca="1">IFERROR(IF(RESULTADOS!$C$17="Normal",0,D698)*IF(RESULTADOS!$C$17="Normal",RESULTADOS!$C$18,RESULTADOS!$C$16),0)</f>
        <v>0</v>
      </c>
      <c r="H698" s="4">
        <f ca="1">IF(RESULTADOS!$C$17="Normal",E698,0)</f>
        <v>0</v>
      </c>
      <c r="I698" s="4">
        <f ca="1">(E698+H698+G698)*IFERROR(VLOOKUP(INT(COUNT($B$5:B698)/12),PREMISSAS!$B$62:$C$69,2,FALSE),PREMISSAS!$C$69)</f>
        <v>0</v>
      </c>
      <c r="J698" s="4">
        <f ca="1">D698*IF(RESULTADOS!$C$17="Normal",PREMISSAS!$C$71,0)</f>
        <v>0</v>
      </c>
      <c r="K698" s="87">
        <f ca="1">IFERROR(K697*(1+PREMISSAS!$C$19)+(E698+H698-IF(RESULTADOS!$C$17="Normal",I698,0)-J698)*IF(MONTH(B698)=12,2,1),0)</f>
        <v>0</v>
      </c>
      <c r="L698" s="87">
        <f ca="1">IFERROR((L697+G698-IF(RESULTADOS!$C$17="Normal",0,I698))*(1+PREMISSAS!$C$19)+F698,0)</f>
        <v>0</v>
      </c>
      <c r="N698" s="58">
        <f t="shared" ca="1" si="103"/>
        <v>0</v>
      </c>
      <c r="P698" s="131" t="str">
        <f t="shared" ca="1" si="104"/>
        <v/>
      </c>
      <c r="Q698" s="111" t="str">
        <f ca="1">IF(C698="","",Q697+(E698+H698-IF(RESULTADOS!$C$17="Normal",I698,0)-J698)/2+(F698+G698-IF(RESULTADOS!$C$17="Normal",0,I698)))</f>
        <v/>
      </c>
      <c r="R698" s="111" t="str">
        <f ca="1">IF(C698="","",R697+(E698+H698-IF(RESULTADOS!$C$17="Normal",I698,0)-J698)/2)</f>
        <v/>
      </c>
      <c r="S698" s="111">
        <f t="shared" ca="1" si="105"/>
        <v>0</v>
      </c>
      <c r="U698" s="131" t="str">
        <f t="shared" ca="1" si="106"/>
        <v/>
      </c>
      <c r="V698" s="131" t="str">
        <f t="shared" ca="1" si="107"/>
        <v/>
      </c>
      <c r="W698" s="111">
        <f ca="1">IF(OR((W697-13/12*Z697)*(1+PREMISSAS!$C$17)&lt;0,W697=""),0,(W697-13/12*Z697)*(1+PREMISSAS!$C$17))</f>
        <v>0</v>
      </c>
      <c r="X698" s="111">
        <f ca="1">IF(OR((X697-13/12*AA697)*(1+PREMISSAS!$C$17)&lt;0,X697=""),0,(X697-13/12*AA697)*(1+PREMISSAS!$C$17))</f>
        <v>0</v>
      </c>
      <c r="Y698" s="111">
        <f t="shared" ca="1" si="108"/>
        <v>0</v>
      </c>
      <c r="Z698" s="134">
        <f t="shared" ca="1" si="109"/>
        <v>0</v>
      </c>
      <c r="AA698" s="134">
        <f t="shared" ca="1" si="95"/>
        <v>0</v>
      </c>
    </row>
    <row r="699" spans="2:27" x14ac:dyDescent="0.3">
      <c r="B699" s="21" t="str">
        <f ca="1">IF(B698="","",IF(EOMONTH(B698,1)&gt;EOMONTH(ELEGIBILIDADE!$E$5,0),"",EOMONTH(B698,1)))</f>
        <v/>
      </c>
      <c r="C699" s="22" t="str">
        <f ca="1">IF(B699="","",IF(MONTH(B699)=1,C698*(1+PREMISSAS!$C$58),C698))</f>
        <v/>
      </c>
      <c r="D699" s="22">
        <f ca="1">IF(RESULTADOS!$C$17="Normal",IFERROR(MAX(C699-PREMISSAS!$C$14,0),0),IF(PREMISSAS!$H$117=0,0,MAX(10*PREMISSAS!$C$39,RESULTADOS!$F$17)))</f>
        <v>0</v>
      </c>
      <c r="E699" s="4">
        <f ca="1">D699*IF(RESULTADOS!$C$17="Normal",RESULTADOS!$C$16,0)</f>
        <v>0</v>
      </c>
      <c r="F699" s="4">
        <f ca="1">IF(D699&lt;&gt;0,PREMISSAS!$N$83,0)</f>
        <v>0</v>
      </c>
      <c r="G699" s="4">
        <f ca="1">IFERROR(IF(RESULTADOS!$C$17="Normal",0,D699)*IF(RESULTADOS!$C$17="Normal",RESULTADOS!$C$18,RESULTADOS!$C$16),0)</f>
        <v>0</v>
      </c>
      <c r="H699" s="4">
        <f ca="1">IF(RESULTADOS!$C$17="Normal",E699,0)</f>
        <v>0</v>
      </c>
      <c r="I699" s="4">
        <f ca="1">(E699+H699+G699)*IFERROR(VLOOKUP(INT(COUNT($B$5:B699)/12),PREMISSAS!$B$62:$C$69,2,FALSE),PREMISSAS!$C$69)</f>
        <v>0</v>
      </c>
      <c r="J699" s="4">
        <f ca="1">D699*IF(RESULTADOS!$C$17="Normal",PREMISSAS!$C$71,0)</f>
        <v>0</v>
      </c>
      <c r="K699" s="87">
        <f ca="1">IFERROR(K698*(1+PREMISSAS!$C$19)+(E699+H699-IF(RESULTADOS!$C$17="Normal",I699,0)-J699)*IF(MONTH(B699)=12,2,1),0)</f>
        <v>0</v>
      </c>
      <c r="L699" s="87">
        <f ca="1">IFERROR((L698+G699-IF(RESULTADOS!$C$17="Normal",0,I699))*(1+PREMISSAS!$C$19)+F699,0)</f>
        <v>0</v>
      </c>
      <c r="N699" s="58">
        <f t="shared" ca="1" si="103"/>
        <v>0</v>
      </c>
      <c r="P699" s="131" t="str">
        <f t="shared" ca="1" si="104"/>
        <v/>
      </c>
      <c r="Q699" s="111" t="str">
        <f ca="1">IF(C699="","",Q698+(E699+H699-IF(RESULTADOS!$C$17="Normal",I699,0)-J699)/2+(F699+G699-IF(RESULTADOS!$C$17="Normal",0,I699)))</f>
        <v/>
      </c>
      <c r="R699" s="111" t="str">
        <f ca="1">IF(C699="","",R698+(E699+H699-IF(RESULTADOS!$C$17="Normal",I699,0)-J699)/2)</f>
        <v/>
      </c>
      <c r="S699" s="111">
        <f t="shared" ca="1" si="105"/>
        <v>0</v>
      </c>
      <c r="U699" s="131" t="str">
        <f t="shared" ca="1" si="106"/>
        <v/>
      </c>
      <c r="V699" s="131" t="str">
        <f t="shared" ca="1" si="107"/>
        <v/>
      </c>
      <c r="W699" s="111">
        <f ca="1">IF(OR((W698-13/12*Z698)*(1+PREMISSAS!$C$17)&lt;0,W698=""),0,(W698-13/12*Z698)*(1+PREMISSAS!$C$17))</f>
        <v>0</v>
      </c>
      <c r="X699" s="111">
        <f ca="1">IF(OR((X698-13/12*AA698)*(1+PREMISSAS!$C$17)&lt;0,X698=""),0,(X698-13/12*AA698)*(1+PREMISSAS!$C$17))</f>
        <v>0</v>
      </c>
      <c r="Y699" s="111">
        <f t="shared" ca="1" si="108"/>
        <v>0</v>
      </c>
      <c r="Z699" s="134">
        <f t="shared" ca="1" si="109"/>
        <v>0</v>
      </c>
      <c r="AA699" s="134">
        <f t="shared" ca="1" si="95"/>
        <v>0</v>
      </c>
    </row>
    <row r="700" spans="2:27" x14ac:dyDescent="0.3">
      <c r="B700" s="21" t="str">
        <f ca="1">IF(B699="","",IF(EOMONTH(B699,1)&gt;EOMONTH(ELEGIBILIDADE!$E$5,0),"",EOMONTH(B699,1)))</f>
        <v/>
      </c>
      <c r="C700" s="22" t="str">
        <f ca="1">IF(B700="","",IF(MONTH(B700)=1,C699*(1+PREMISSAS!$C$58),C699))</f>
        <v/>
      </c>
      <c r="D700" s="22">
        <f ca="1">IF(RESULTADOS!$C$17="Normal",IFERROR(MAX(C700-PREMISSAS!$C$14,0),0),IF(PREMISSAS!$H$117=0,0,MAX(10*PREMISSAS!$C$39,RESULTADOS!$F$17)))</f>
        <v>0</v>
      </c>
      <c r="E700" s="4">
        <f ca="1">D700*IF(RESULTADOS!$C$17="Normal",RESULTADOS!$C$16,0)</f>
        <v>0</v>
      </c>
      <c r="F700" s="4">
        <f ca="1">IF(D700&lt;&gt;0,PREMISSAS!$N$83,0)</f>
        <v>0</v>
      </c>
      <c r="G700" s="4">
        <f ca="1">IFERROR(IF(RESULTADOS!$C$17="Normal",0,D700)*IF(RESULTADOS!$C$17="Normal",RESULTADOS!$C$18,RESULTADOS!$C$16),0)</f>
        <v>0</v>
      </c>
      <c r="H700" s="4">
        <f ca="1">IF(RESULTADOS!$C$17="Normal",E700,0)</f>
        <v>0</v>
      </c>
      <c r="I700" s="4">
        <f ca="1">(E700+H700+G700)*IFERROR(VLOOKUP(INT(COUNT($B$5:B700)/12),PREMISSAS!$B$62:$C$69,2,FALSE),PREMISSAS!$C$69)</f>
        <v>0</v>
      </c>
      <c r="J700" s="4">
        <f ca="1">D700*IF(RESULTADOS!$C$17="Normal",PREMISSAS!$C$71,0)</f>
        <v>0</v>
      </c>
      <c r="K700" s="87">
        <f ca="1">IFERROR(K699*(1+PREMISSAS!$C$19)+(E700+H700-IF(RESULTADOS!$C$17="Normal",I700,0)-J700)*IF(MONTH(B700)=12,2,1),0)</f>
        <v>0</v>
      </c>
      <c r="L700" s="87">
        <f ca="1">IFERROR((L699+G700-IF(RESULTADOS!$C$17="Normal",0,I700))*(1+PREMISSAS!$C$19)+F700,0)</f>
        <v>0</v>
      </c>
      <c r="N700" s="58">
        <f t="shared" ca="1" si="103"/>
        <v>0</v>
      </c>
      <c r="P700" s="131" t="str">
        <f t="shared" ca="1" si="104"/>
        <v/>
      </c>
      <c r="Q700" s="111" t="str">
        <f ca="1">IF(C700="","",Q699+(E700+H700-IF(RESULTADOS!$C$17="Normal",I700,0)-J700)/2+(F700+G700-IF(RESULTADOS!$C$17="Normal",0,I700)))</f>
        <v/>
      </c>
      <c r="R700" s="111" t="str">
        <f ca="1">IF(C700="","",R699+(E700+H700-IF(RESULTADOS!$C$17="Normal",I700,0)-J700)/2)</f>
        <v/>
      </c>
      <c r="S700" s="111">
        <f t="shared" ca="1" si="105"/>
        <v>0</v>
      </c>
      <c r="U700" s="131" t="str">
        <f t="shared" ca="1" si="106"/>
        <v/>
      </c>
      <c r="V700" s="131" t="str">
        <f t="shared" ca="1" si="107"/>
        <v/>
      </c>
      <c r="W700" s="111">
        <f ca="1">IF(OR((W699-13/12*Z699)*(1+PREMISSAS!$C$17)&lt;0,W699=""),0,(W699-13/12*Z699)*(1+PREMISSAS!$C$17))</f>
        <v>0</v>
      </c>
      <c r="X700" s="111">
        <f ca="1">IF(OR((X699-13/12*AA699)*(1+PREMISSAS!$C$17)&lt;0,X699=""),0,(X699-13/12*AA699)*(1+PREMISSAS!$C$17))</f>
        <v>0</v>
      </c>
      <c r="Y700" s="111">
        <f t="shared" ca="1" si="108"/>
        <v>0</v>
      </c>
      <c r="Z700" s="134">
        <f t="shared" ca="1" si="109"/>
        <v>0</v>
      </c>
      <c r="AA700" s="134">
        <f t="shared" ca="1" si="95"/>
        <v>0</v>
      </c>
    </row>
  </sheetData>
  <mergeCells count="5">
    <mergeCell ref="B3:C3"/>
    <mergeCell ref="D3:D4"/>
    <mergeCell ref="E3:G3"/>
    <mergeCell ref="P2:S2"/>
    <mergeCell ref="U2:AA2"/>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2:O700"/>
  <sheetViews>
    <sheetView workbookViewId="0">
      <selection activeCell="B2" sqref="B2"/>
    </sheetView>
  </sheetViews>
  <sheetFormatPr defaultRowHeight="14.4" x14ac:dyDescent="0.3"/>
  <cols>
    <col min="1" max="1" width="22.5546875" bestFit="1" customWidth="1"/>
    <col min="2" max="2" width="21" customWidth="1"/>
    <col min="3" max="3" width="12.5546875" customWidth="1"/>
    <col min="4" max="4" width="12.88671875" customWidth="1"/>
    <col min="5" max="5" width="11.33203125" customWidth="1"/>
    <col min="6" max="6" width="11.5546875" customWidth="1"/>
    <col min="7" max="7" width="13.44140625" customWidth="1"/>
    <col min="9" max="9" width="14.88671875" customWidth="1"/>
    <col min="10" max="10" width="15.5546875" customWidth="1"/>
    <col min="11" max="11" width="16" customWidth="1"/>
    <col min="12" max="12" width="17.6640625" customWidth="1"/>
    <col min="14" max="14" width="10.6640625" bestFit="1" customWidth="1"/>
    <col min="15" max="15" width="13.33203125" bestFit="1" customWidth="1"/>
  </cols>
  <sheetData>
    <row r="2" spans="1:15" x14ac:dyDescent="0.3">
      <c r="B2" t="s">
        <v>18</v>
      </c>
      <c r="I2" s="392" t="s">
        <v>207</v>
      </c>
      <c r="J2" s="392"/>
      <c r="K2" s="392"/>
      <c r="L2" s="392"/>
      <c r="N2" s="393" t="s">
        <v>208</v>
      </c>
      <c r="O2" s="393"/>
    </row>
    <row r="3" spans="1:15" x14ac:dyDescent="0.3">
      <c r="D3">
        <v>1</v>
      </c>
      <c r="E3">
        <v>2</v>
      </c>
      <c r="F3">
        <v>3</v>
      </c>
      <c r="G3">
        <v>4</v>
      </c>
    </row>
    <row r="4" spans="1:15" ht="43.2" x14ac:dyDescent="0.3">
      <c r="B4" s="136" t="s">
        <v>219</v>
      </c>
      <c r="C4" s="136" t="s">
        <v>289</v>
      </c>
      <c r="D4" s="136" t="e">
        <f ca="1">VLOOKUP(D3,$A$21:$C$24,2,FALSE)</f>
        <v>#N/A</v>
      </c>
      <c r="E4" s="136" t="e">
        <f t="shared" ref="E4:G4" ca="1" si="0">VLOOKUP(E3,$A$21:$C$24,2,FALSE)</f>
        <v>#N/A</v>
      </c>
      <c r="F4" s="136" t="e">
        <f t="shared" ca="1" si="0"/>
        <v>#N/A</v>
      </c>
      <c r="G4" s="136" t="e">
        <f t="shared" ca="1" si="0"/>
        <v>#N/A</v>
      </c>
      <c r="I4" s="132" t="s">
        <v>21</v>
      </c>
      <c r="J4" s="140" t="s">
        <v>206</v>
      </c>
      <c r="K4" s="140" t="s">
        <v>205</v>
      </c>
      <c r="L4" s="140" t="s">
        <v>204</v>
      </c>
      <c r="N4" s="132" t="s">
        <v>21</v>
      </c>
      <c r="O4" s="133" t="s">
        <v>209</v>
      </c>
    </row>
    <row r="5" spans="1:15" x14ac:dyDescent="0.3">
      <c r="A5" s="110" t="s">
        <v>182</v>
      </c>
      <c r="B5" s="111">
        <f ca="1">IF(B2="Não",0,RESULTADOS!L27)</f>
        <v>0</v>
      </c>
      <c r="C5" s="111">
        <v>0</v>
      </c>
      <c r="D5" s="111">
        <v>0</v>
      </c>
      <c r="E5" s="111">
        <v>0</v>
      </c>
      <c r="F5" s="111">
        <v>0</v>
      </c>
      <c r="G5" s="111">
        <v>0</v>
      </c>
      <c r="I5" s="131">
        <f ca="1">'CÁLCULO FUNPRESP'!P5</f>
        <v>44895</v>
      </c>
      <c r="J5" s="111">
        <f ca="1">IF($B$2="Não","",'CÁLCULO FUNPRESP'!Q5)</f>
        <v>0</v>
      </c>
      <c r="K5" s="111">
        <f ca="1">IF($B$2="Não","",'CÁLCULO FUNPRESP'!R5)</f>
        <v>0</v>
      </c>
      <c r="L5" s="111">
        <f ca="1">IF($B$2="Não","",'CÁLCULO FUNPRESP'!S5)</f>
        <v>0</v>
      </c>
      <c r="N5" s="131">
        <f ca="1">'CÁLCULO FUNPRESP'!U5</f>
        <v>52200</v>
      </c>
      <c r="O5" s="111">
        <f ca="1">IF($B$2="Não","",'CÁLCULO FUNPRESP'!Y5)</f>
        <v>0</v>
      </c>
    </row>
    <row r="6" spans="1:15" x14ac:dyDescent="0.3">
      <c r="A6" s="110" t="s">
        <v>217</v>
      </c>
      <c r="B6" s="111">
        <v>0</v>
      </c>
      <c r="C6" s="111">
        <f ca="1">IF(B2="Não",0,RESULTADOS!C37)</f>
        <v>0</v>
      </c>
      <c r="D6" s="111">
        <v>0</v>
      </c>
      <c r="E6" s="111">
        <v>0</v>
      </c>
      <c r="F6" s="111">
        <v>0</v>
      </c>
      <c r="G6" s="111">
        <v>0</v>
      </c>
      <c r="I6" s="131">
        <f ca="1">'CÁLCULO FUNPRESP'!P6</f>
        <v>44926</v>
      </c>
      <c r="J6" s="111">
        <f ca="1">IF($B$2="Não","",'CÁLCULO FUNPRESP'!Q6)</f>
        <v>0</v>
      </c>
      <c r="K6" s="111">
        <f ca="1">IF($B$2="Não","",'CÁLCULO FUNPRESP'!R6)</f>
        <v>0</v>
      </c>
      <c r="L6" s="111">
        <f ca="1">IF($B$2="Não","",'CÁLCULO FUNPRESP'!S6)</f>
        <v>0</v>
      </c>
      <c r="N6" s="131" t="str">
        <f ca="1">'CÁLCULO FUNPRESP'!U6</f>
        <v/>
      </c>
      <c r="O6" s="111">
        <f ca="1">IF($B$2="Não","",'CÁLCULO FUNPRESP'!Y6)</f>
        <v>0</v>
      </c>
    </row>
    <row r="7" spans="1:15" x14ac:dyDescent="0.3">
      <c r="A7" s="110" t="s">
        <v>218</v>
      </c>
      <c r="B7" s="111">
        <v>0</v>
      </c>
      <c r="C7" s="111">
        <v>0</v>
      </c>
      <c r="D7" s="111" t="e">
        <f ca="1">VLOOKUP(D3,$A$21:$C$24,3,FALSE)</f>
        <v>#N/A</v>
      </c>
      <c r="E7" s="111" t="e">
        <f t="shared" ref="E7:G7" ca="1" si="1">VLOOKUP(E3,$A$21:$C$24,3,FALSE)</f>
        <v>#N/A</v>
      </c>
      <c r="F7" s="111" t="e">
        <f t="shared" ca="1" si="1"/>
        <v>#N/A</v>
      </c>
      <c r="G7" s="111" t="e">
        <f t="shared" ca="1" si="1"/>
        <v>#N/A</v>
      </c>
      <c r="I7" s="131">
        <f ca="1">'CÁLCULO FUNPRESP'!P7</f>
        <v>44957</v>
      </c>
      <c r="J7" s="111">
        <f ca="1">IF($B$2="Não","",'CÁLCULO FUNPRESP'!Q7)</f>
        <v>0</v>
      </c>
      <c r="K7" s="111">
        <f ca="1">IF($B$2="Não","",'CÁLCULO FUNPRESP'!R7)</f>
        <v>0</v>
      </c>
      <c r="L7" s="111">
        <f ca="1">IF($B$2="Não","",'CÁLCULO FUNPRESP'!S7)</f>
        <v>0</v>
      </c>
      <c r="N7" s="131" t="str">
        <f ca="1">'CÁLCULO FUNPRESP'!U7</f>
        <v/>
      </c>
      <c r="O7" s="111">
        <f ca="1">IF($B$2="Não","",'CÁLCULO FUNPRESP'!Y7)</f>
        <v>0</v>
      </c>
    </row>
    <row r="8" spans="1:15" x14ac:dyDescent="0.3">
      <c r="I8" s="131">
        <f ca="1">'CÁLCULO FUNPRESP'!P8</f>
        <v>44985</v>
      </c>
      <c r="J8" s="111">
        <f ca="1">IF($B$2="Não","",'CÁLCULO FUNPRESP'!Q8)</f>
        <v>0</v>
      </c>
      <c r="K8" s="111">
        <f ca="1">IF($B$2="Não","",'CÁLCULO FUNPRESP'!R8)</f>
        <v>0</v>
      </c>
      <c r="L8" s="111">
        <f ca="1">IF($B$2="Não","",'CÁLCULO FUNPRESP'!S8)</f>
        <v>0</v>
      </c>
      <c r="N8" s="131" t="str">
        <f ca="1">'CÁLCULO FUNPRESP'!U8</f>
        <v/>
      </c>
      <c r="O8" s="111">
        <f ca="1">IF($B$2="Não","",'CÁLCULO FUNPRESP'!Y8)</f>
        <v>0</v>
      </c>
    </row>
    <row r="9" spans="1:15" x14ac:dyDescent="0.3">
      <c r="I9" s="131">
        <f ca="1">'CÁLCULO FUNPRESP'!P9</f>
        <v>45016</v>
      </c>
      <c r="J9" s="111">
        <f ca="1">IF($B$2="Não","",'CÁLCULO FUNPRESP'!Q9)</f>
        <v>0</v>
      </c>
      <c r="K9" s="111">
        <f ca="1">IF($B$2="Não","",'CÁLCULO FUNPRESP'!R9)</f>
        <v>0</v>
      </c>
      <c r="L9" s="111">
        <f ca="1">IF($B$2="Não","",'CÁLCULO FUNPRESP'!S9)</f>
        <v>0</v>
      </c>
      <c r="N9" s="131" t="str">
        <f ca="1">'CÁLCULO FUNPRESP'!U9</f>
        <v/>
      </c>
      <c r="O9" s="111">
        <f ca="1">IF($B$2="Não","",'CÁLCULO FUNPRESP'!Y9)</f>
        <v>0</v>
      </c>
    </row>
    <row r="10" spans="1:15" x14ac:dyDescent="0.3">
      <c r="B10" t="s">
        <v>215</v>
      </c>
      <c r="D10" s="130">
        <f ca="1">EDATE(TODAY(),-18*12)</f>
        <v>38315</v>
      </c>
      <c r="I10" s="131">
        <f ca="1">'CÁLCULO FUNPRESP'!P10</f>
        <v>45046</v>
      </c>
      <c r="J10" s="111">
        <f ca="1">IF($B$2="Não","",'CÁLCULO FUNPRESP'!Q10)</f>
        <v>0</v>
      </c>
      <c r="K10" s="111">
        <f ca="1">IF($B$2="Não","",'CÁLCULO FUNPRESP'!R10)</f>
        <v>0</v>
      </c>
      <c r="L10" s="111">
        <f ca="1">IF($B$2="Não","",'CÁLCULO FUNPRESP'!S10)</f>
        <v>0</v>
      </c>
      <c r="N10" s="131" t="str">
        <f ca="1">'CÁLCULO FUNPRESP'!U10</f>
        <v/>
      </c>
      <c r="O10" s="111">
        <f ca="1">IF($B$2="Não","",'CÁLCULO FUNPRESP'!Y10)</f>
        <v>0</v>
      </c>
    </row>
    <row r="11" spans="1:15" x14ac:dyDescent="0.3">
      <c r="I11" s="131">
        <f ca="1">'CÁLCULO FUNPRESP'!P11</f>
        <v>45077</v>
      </c>
      <c r="J11" s="111">
        <f ca="1">IF($B$2="Não","",'CÁLCULO FUNPRESP'!Q11)</f>
        <v>0</v>
      </c>
      <c r="K11" s="111">
        <f ca="1">IF($B$2="Não","",'CÁLCULO FUNPRESP'!R11)</f>
        <v>0</v>
      </c>
      <c r="L11" s="111">
        <f ca="1">IF($B$2="Não","",'CÁLCULO FUNPRESP'!S11)</f>
        <v>0</v>
      </c>
      <c r="N11" s="131" t="str">
        <f ca="1">'CÁLCULO FUNPRESP'!U11</f>
        <v/>
      </c>
      <c r="O11" s="111">
        <f ca="1">IF($B$2="Não","",'CÁLCULO FUNPRESP'!Y11)</f>
        <v>0</v>
      </c>
    </row>
    <row r="12" spans="1:15" x14ac:dyDescent="0.3">
      <c r="B12" t="s">
        <v>216</v>
      </c>
      <c r="D12" s="130">
        <f>EDATE(Preencher_Dados!I9,18*12)</f>
        <v>35028</v>
      </c>
      <c r="I12" s="131">
        <f ca="1">'CÁLCULO FUNPRESP'!P12</f>
        <v>45107</v>
      </c>
      <c r="J12" s="111">
        <f ca="1">IF($B$2="Não","",'CÁLCULO FUNPRESP'!Q12)</f>
        <v>0</v>
      </c>
      <c r="K12" s="111">
        <f ca="1">IF($B$2="Não","",'CÁLCULO FUNPRESP'!R12)</f>
        <v>0</v>
      </c>
      <c r="L12" s="111">
        <f ca="1">IF($B$2="Não","",'CÁLCULO FUNPRESP'!S12)</f>
        <v>0</v>
      </c>
      <c r="N12" s="131" t="str">
        <f ca="1">'CÁLCULO FUNPRESP'!U12</f>
        <v/>
      </c>
      <c r="O12" s="111">
        <f ca="1">IF($B$2="Não","",'CÁLCULO FUNPRESP'!Y12)</f>
        <v>0</v>
      </c>
    </row>
    <row r="13" spans="1:15" x14ac:dyDescent="0.3">
      <c r="I13" s="131">
        <f ca="1">'CÁLCULO FUNPRESP'!P13</f>
        <v>45138</v>
      </c>
      <c r="J13" s="111">
        <f ca="1">IF($B$2="Não","",'CÁLCULO FUNPRESP'!Q13)</f>
        <v>0</v>
      </c>
      <c r="K13" s="111">
        <f ca="1">IF($B$2="Não","",'CÁLCULO FUNPRESP'!R13)</f>
        <v>0</v>
      </c>
      <c r="L13" s="111">
        <f ca="1">IF($B$2="Não","",'CÁLCULO FUNPRESP'!S13)</f>
        <v>0</v>
      </c>
      <c r="N13" s="131" t="str">
        <f ca="1">'CÁLCULO FUNPRESP'!U13</f>
        <v/>
      </c>
      <c r="O13" s="111">
        <f ca="1">IF($B$2="Não","",'CÁLCULO FUNPRESP'!Y13)</f>
        <v>0</v>
      </c>
    </row>
    <row r="14" spans="1:15" x14ac:dyDescent="0.3">
      <c r="I14" s="131">
        <f ca="1">'CÁLCULO FUNPRESP'!P14</f>
        <v>45169</v>
      </c>
      <c r="J14" s="111">
        <f ca="1">IF($B$2="Não","",'CÁLCULO FUNPRESP'!Q14)</f>
        <v>0</v>
      </c>
      <c r="K14" s="111">
        <f ca="1">IF($B$2="Não","",'CÁLCULO FUNPRESP'!R14)</f>
        <v>0</v>
      </c>
      <c r="L14" s="111">
        <f ca="1">IF($B$2="Não","",'CÁLCULO FUNPRESP'!S14)</f>
        <v>0</v>
      </c>
      <c r="N14" s="131" t="str">
        <f ca="1">'CÁLCULO FUNPRESP'!U14</f>
        <v/>
      </c>
      <c r="O14" s="111">
        <f ca="1">IF($B$2="Não","",'CÁLCULO FUNPRESP'!Y14)</f>
        <v>0</v>
      </c>
    </row>
    <row r="15" spans="1:15" x14ac:dyDescent="0.3">
      <c r="I15" s="131">
        <f ca="1">'CÁLCULO FUNPRESP'!P15</f>
        <v>45199</v>
      </c>
      <c r="J15" s="111">
        <f ca="1">IF($B$2="Não","",'CÁLCULO FUNPRESP'!Q15)</f>
        <v>0</v>
      </c>
      <c r="K15" s="111">
        <f ca="1">IF($B$2="Não","",'CÁLCULO FUNPRESP'!R15)</f>
        <v>0</v>
      </c>
      <c r="L15" s="111">
        <f ca="1">IF($B$2="Não","",'CÁLCULO FUNPRESP'!S15)</f>
        <v>0</v>
      </c>
      <c r="N15" s="131" t="str">
        <f ca="1">'CÁLCULO FUNPRESP'!U15</f>
        <v/>
      </c>
      <c r="O15" s="111">
        <f ca="1">IF($B$2="Não","",'CÁLCULO FUNPRESP'!Y15)</f>
        <v>0</v>
      </c>
    </row>
    <row r="16" spans="1:15" x14ac:dyDescent="0.3">
      <c r="I16" s="131">
        <f ca="1">'CÁLCULO FUNPRESP'!P16</f>
        <v>45230</v>
      </c>
      <c r="J16" s="111">
        <f ca="1">IF($B$2="Não","",'CÁLCULO FUNPRESP'!Q16)</f>
        <v>0</v>
      </c>
      <c r="K16" s="111">
        <f ca="1">IF($B$2="Não","",'CÁLCULO FUNPRESP'!R16)</f>
        <v>0</v>
      </c>
      <c r="L16" s="111">
        <f ca="1">IF($B$2="Não","",'CÁLCULO FUNPRESP'!S16)</f>
        <v>0</v>
      </c>
      <c r="N16" s="131" t="str">
        <f ca="1">'CÁLCULO FUNPRESP'!U16</f>
        <v/>
      </c>
      <c r="O16" s="111">
        <f ca="1">IF($B$2="Não","",'CÁLCULO FUNPRESP'!Y16)</f>
        <v>0</v>
      </c>
    </row>
    <row r="17" spans="1:15" x14ac:dyDescent="0.3">
      <c r="I17" s="131">
        <f ca="1">'CÁLCULO FUNPRESP'!P17</f>
        <v>45260</v>
      </c>
      <c r="J17" s="111">
        <f ca="1">IF($B$2="Não","",'CÁLCULO FUNPRESP'!Q17)</f>
        <v>0</v>
      </c>
      <c r="K17" s="111">
        <f ca="1">IF($B$2="Não","",'CÁLCULO FUNPRESP'!R17)</f>
        <v>0</v>
      </c>
      <c r="L17" s="111">
        <f ca="1">IF($B$2="Não","",'CÁLCULO FUNPRESP'!S17)</f>
        <v>0</v>
      </c>
      <c r="N17" s="131" t="str">
        <f ca="1">'CÁLCULO FUNPRESP'!U17</f>
        <v/>
      </c>
      <c r="O17" s="111">
        <f ca="1">IF($B$2="Não","",'CÁLCULO FUNPRESP'!Y17)</f>
        <v>0</v>
      </c>
    </row>
    <row r="18" spans="1:15" x14ac:dyDescent="0.3">
      <c r="I18" s="131">
        <f ca="1">'CÁLCULO FUNPRESP'!P18</f>
        <v>45291</v>
      </c>
      <c r="J18" s="111">
        <f ca="1">IF($B$2="Não","",'CÁLCULO FUNPRESP'!Q18)</f>
        <v>0</v>
      </c>
      <c r="K18" s="111">
        <f ca="1">IF($B$2="Não","",'CÁLCULO FUNPRESP'!R18)</f>
        <v>0</v>
      </c>
      <c r="L18" s="111">
        <f ca="1">IF($B$2="Não","",'CÁLCULO FUNPRESP'!S18)</f>
        <v>0</v>
      </c>
      <c r="N18" s="131" t="str">
        <f ca="1">'CÁLCULO FUNPRESP'!U18</f>
        <v/>
      </c>
      <c r="O18" s="111">
        <f ca="1">IF($B$2="Não","",'CÁLCULO FUNPRESP'!Y18)</f>
        <v>0</v>
      </c>
    </row>
    <row r="19" spans="1:15" x14ac:dyDescent="0.3">
      <c r="I19" s="131">
        <f ca="1">'CÁLCULO FUNPRESP'!P19</f>
        <v>45322</v>
      </c>
      <c r="J19" s="111">
        <f ca="1">IF($B$2="Não","",'CÁLCULO FUNPRESP'!Q19)</f>
        <v>0</v>
      </c>
      <c r="K19" s="111">
        <f ca="1">IF($B$2="Não","",'CÁLCULO FUNPRESP'!R19)</f>
        <v>0</v>
      </c>
      <c r="L19" s="111">
        <f ca="1">IF($B$2="Não","",'CÁLCULO FUNPRESP'!S19)</f>
        <v>0</v>
      </c>
      <c r="N19" s="131" t="str">
        <f ca="1">'CÁLCULO FUNPRESP'!U19</f>
        <v/>
      </c>
      <c r="O19" s="111">
        <f ca="1">IF($B$2="Não","",'CÁLCULO FUNPRESP'!Y19)</f>
        <v>0</v>
      </c>
    </row>
    <row r="20" spans="1:15" x14ac:dyDescent="0.3">
      <c r="A20" s="193" t="s">
        <v>306</v>
      </c>
      <c r="I20" s="131">
        <f ca="1">'CÁLCULO FUNPRESP'!P20</f>
        <v>45351</v>
      </c>
      <c r="J20" s="111">
        <f ca="1">IF($B$2="Não","",'CÁLCULO FUNPRESP'!Q20)</f>
        <v>0</v>
      </c>
      <c r="K20" s="111">
        <f ca="1">IF($B$2="Não","",'CÁLCULO FUNPRESP'!R20)</f>
        <v>0</v>
      </c>
      <c r="L20" s="111">
        <f ca="1">IF($B$2="Não","",'CÁLCULO FUNPRESP'!S20)</f>
        <v>0</v>
      </c>
      <c r="N20" s="131" t="str">
        <f ca="1">'CÁLCULO FUNPRESP'!U20</f>
        <v/>
      </c>
      <c r="O20" s="111">
        <f ca="1">IF($B$2="Não","",'CÁLCULO FUNPRESP'!Y20)</f>
        <v>0</v>
      </c>
    </row>
    <row r="21" spans="1:15" x14ac:dyDescent="0.3">
      <c r="A21" s="193" t="e">
        <f ca="1">_xlfn.RANK.EQ(C21,$C$21:$C$24,0)</f>
        <v>#DIV/0!</v>
      </c>
      <c r="B21" s="306" t="s">
        <v>220</v>
      </c>
      <c r="C21" s="244">
        <f ca="1">IF(B2="Não",0,ROUND(RESULTADOS!F41,2))</f>
        <v>0</v>
      </c>
      <c r="I21" s="131">
        <f ca="1">'CÁLCULO FUNPRESP'!P21</f>
        <v>45382</v>
      </c>
      <c r="J21" s="111">
        <f ca="1">IF($B$2="Não","",'CÁLCULO FUNPRESP'!Q21)</f>
        <v>0</v>
      </c>
      <c r="K21" s="111">
        <f ca="1">IF($B$2="Não","",'CÁLCULO FUNPRESP'!R21)</f>
        <v>0</v>
      </c>
      <c r="L21" s="111">
        <f ca="1">IF($B$2="Não","",'CÁLCULO FUNPRESP'!S21)</f>
        <v>0</v>
      </c>
      <c r="N21" s="131" t="str">
        <f ca="1">'CÁLCULO FUNPRESP'!U21</f>
        <v/>
      </c>
      <c r="O21" s="111">
        <f ca="1">IF($B$2="Não","",'CÁLCULO FUNPRESP'!Y21)</f>
        <v>0</v>
      </c>
    </row>
    <row r="22" spans="1:15" x14ac:dyDescent="0.3">
      <c r="A22" s="193" t="e">
        <f ca="1">_xlfn.RANK.EQ(C22,$C$21:$C$24,0)</f>
        <v>#DIV/0!</v>
      </c>
      <c r="B22" s="306" t="s">
        <v>288</v>
      </c>
      <c r="C22" s="244">
        <f ca="1">IF(B2="Não",0,ROUND(RESULTADOS!I41,2))</f>
        <v>0</v>
      </c>
      <c r="I22" s="131">
        <f ca="1">'CÁLCULO FUNPRESP'!P22</f>
        <v>45412</v>
      </c>
      <c r="J22" s="111">
        <f ca="1">IF($B$2="Não","",'CÁLCULO FUNPRESP'!Q22)</f>
        <v>0</v>
      </c>
      <c r="K22" s="111">
        <f ca="1">IF($B$2="Não","",'CÁLCULO FUNPRESP'!R22)</f>
        <v>0</v>
      </c>
      <c r="L22" s="111">
        <f ca="1">IF($B$2="Não","",'CÁLCULO FUNPRESP'!S22)</f>
        <v>0</v>
      </c>
      <c r="N22" s="131" t="str">
        <f ca="1">'CÁLCULO FUNPRESP'!U22</f>
        <v/>
      </c>
      <c r="O22" s="111">
        <f ca="1">IF($B$2="Não","",'CÁLCULO FUNPRESP'!Y22)</f>
        <v>0</v>
      </c>
    </row>
    <row r="23" spans="1:15" x14ac:dyDescent="0.3">
      <c r="A23" s="193" t="e">
        <f ca="1">_xlfn.RANK.EQ(C23,$C$21:$C$24,0)</f>
        <v>#DIV/0!</v>
      </c>
      <c r="B23" s="306" t="s">
        <v>223</v>
      </c>
      <c r="C23" s="244" t="e">
        <f ca="1">IF(B2="Não",0,ROUND(RESULTADOS!L58,2))</f>
        <v>#DIV/0!</v>
      </c>
      <c r="I23" s="131">
        <f ca="1">'CÁLCULO FUNPRESP'!P23</f>
        <v>45443</v>
      </c>
      <c r="J23" s="111">
        <f ca="1">IF($B$2="Não","",'CÁLCULO FUNPRESP'!Q23)</f>
        <v>0</v>
      </c>
      <c r="K23" s="111">
        <f ca="1">IF($B$2="Não","",'CÁLCULO FUNPRESP'!R23)</f>
        <v>0</v>
      </c>
      <c r="L23" s="111">
        <f ca="1">IF($B$2="Não","",'CÁLCULO FUNPRESP'!S23)</f>
        <v>0</v>
      </c>
      <c r="N23" s="131" t="str">
        <f ca="1">'CÁLCULO FUNPRESP'!U23</f>
        <v/>
      </c>
      <c r="O23" s="111">
        <f ca="1">IF($B$2="Não","",'CÁLCULO FUNPRESP'!Y23)</f>
        <v>0</v>
      </c>
    </row>
    <row r="24" spans="1:15" x14ac:dyDescent="0.3">
      <c r="A24" s="193" t="e">
        <f ca="1">_xlfn.RANK.EQ(C24,$C$21:$C$24,0)</f>
        <v>#DIV/0!</v>
      </c>
      <c r="B24" s="306" t="s">
        <v>224</v>
      </c>
      <c r="C24" s="244" t="e">
        <f ca="1">IF(B2="Não",0,ROUND(RESULTADOS!L59,2))</f>
        <v>#DIV/0!</v>
      </c>
      <c r="I24" s="131">
        <f ca="1">'CÁLCULO FUNPRESP'!P24</f>
        <v>45473</v>
      </c>
      <c r="J24" s="111">
        <f ca="1">IF($B$2="Não","",'CÁLCULO FUNPRESP'!Q24)</f>
        <v>0</v>
      </c>
      <c r="K24" s="111">
        <f ca="1">IF($B$2="Não","",'CÁLCULO FUNPRESP'!R24)</f>
        <v>0</v>
      </c>
      <c r="L24" s="111">
        <f ca="1">IF($B$2="Não","",'CÁLCULO FUNPRESP'!S24)</f>
        <v>0</v>
      </c>
      <c r="N24" s="131" t="str">
        <f ca="1">'CÁLCULO FUNPRESP'!U24</f>
        <v/>
      </c>
      <c r="O24" s="111">
        <f ca="1">IF($B$2="Não","",'CÁLCULO FUNPRESP'!Y24)</f>
        <v>0</v>
      </c>
    </row>
    <row r="25" spans="1:15" x14ac:dyDescent="0.3">
      <c r="B25" s="245"/>
      <c r="C25" s="245"/>
      <c r="I25" s="131">
        <f ca="1">'CÁLCULO FUNPRESP'!P25</f>
        <v>45504</v>
      </c>
      <c r="J25" s="111">
        <f ca="1">IF($B$2="Não","",'CÁLCULO FUNPRESP'!Q25)</f>
        <v>0</v>
      </c>
      <c r="K25" s="111">
        <f ca="1">IF($B$2="Não","",'CÁLCULO FUNPRESP'!R25)</f>
        <v>0</v>
      </c>
      <c r="L25" s="111">
        <f ca="1">IF($B$2="Não","",'CÁLCULO FUNPRESP'!S25)</f>
        <v>0</v>
      </c>
      <c r="N25" s="131" t="str">
        <f ca="1">'CÁLCULO FUNPRESP'!U25</f>
        <v/>
      </c>
      <c r="O25" s="111">
        <f ca="1">IF($B$2="Não","",'CÁLCULO FUNPRESP'!Y25)</f>
        <v>0</v>
      </c>
    </row>
    <row r="26" spans="1:15" x14ac:dyDescent="0.3">
      <c r="I26" s="131">
        <f ca="1">'CÁLCULO FUNPRESP'!P26</f>
        <v>45535</v>
      </c>
      <c r="J26" s="111">
        <f ca="1">IF($B$2="Não","",'CÁLCULO FUNPRESP'!Q26)</f>
        <v>0</v>
      </c>
      <c r="K26" s="111">
        <f ca="1">IF($B$2="Não","",'CÁLCULO FUNPRESP'!R26)</f>
        <v>0</v>
      </c>
      <c r="L26" s="111">
        <f ca="1">IF($B$2="Não","",'CÁLCULO FUNPRESP'!S26)</f>
        <v>0</v>
      </c>
      <c r="N26" s="131" t="str">
        <f ca="1">'CÁLCULO FUNPRESP'!U26</f>
        <v/>
      </c>
      <c r="O26" s="111">
        <f ca="1">IF($B$2="Não","",'CÁLCULO FUNPRESP'!Y26)</f>
        <v>0</v>
      </c>
    </row>
    <row r="27" spans="1:15" x14ac:dyDescent="0.3">
      <c r="I27" s="131">
        <f ca="1">'CÁLCULO FUNPRESP'!P27</f>
        <v>45565</v>
      </c>
      <c r="J27" s="111">
        <f ca="1">IF($B$2="Não","",'CÁLCULO FUNPRESP'!Q27)</f>
        <v>0</v>
      </c>
      <c r="K27" s="111">
        <f ca="1">IF($B$2="Não","",'CÁLCULO FUNPRESP'!R27)</f>
        <v>0</v>
      </c>
      <c r="L27" s="111">
        <f ca="1">IF($B$2="Não","",'CÁLCULO FUNPRESP'!S27)</f>
        <v>0</v>
      </c>
      <c r="N27" s="131" t="str">
        <f ca="1">'CÁLCULO FUNPRESP'!U27</f>
        <v/>
      </c>
      <c r="O27" s="111">
        <f ca="1">IF($B$2="Não","",'CÁLCULO FUNPRESP'!Y27)</f>
        <v>0</v>
      </c>
    </row>
    <row r="28" spans="1:15" x14ac:dyDescent="0.3">
      <c r="I28" s="131">
        <f ca="1">'CÁLCULO FUNPRESP'!P28</f>
        <v>45596</v>
      </c>
      <c r="J28" s="111">
        <f ca="1">IF($B$2="Não","",'CÁLCULO FUNPRESP'!Q28)</f>
        <v>0</v>
      </c>
      <c r="K28" s="111">
        <f ca="1">IF($B$2="Não","",'CÁLCULO FUNPRESP'!R28)</f>
        <v>0</v>
      </c>
      <c r="L28" s="111">
        <f ca="1">IF($B$2="Não","",'CÁLCULO FUNPRESP'!S28)</f>
        <v>0</v>
      </c>
      <c r="N28" s="131" t="str">
        <f ca="1">'CÁLCULO FUNPRESP'!U28</f>
        <v/>
      </c>
      <c r="O28" s="111">
        <f ca="1">IF($B$2="Não","",'CÁLCULO FUNPRESP'!Y28)</f>
        <v>0</v>
      </c>
    </row>
    <row r="29" spans="1:15" x14ac:dyDescent="0.3">
      <c r="I29" s="131">
        <f ca="1">'CÁLCULO FUNPRESP'!P29</f>
        <v>45626</v>
      </c>
      <c r="J29" s="111">
        <f ca="1">IF($B$2="Não","",'CÁLCULO FUNPRESP'!Q29)</f>
        <v>0</v>
      </c>
      <c r="K29" s="111">
        <f ca="1">IF($B$2="Não","",'CÁLCULO FUNPRESP'!R29)</f>
        <v>0</v>
      </c>
      <c r="L29" s="111">
        <f ca="1">IF($B$2="Não","",'CÁLCULO FUNPRESP'!S29)</f>
        <v>0</v>
      </c>
      <c r="N29" s="131" t="str">
        <f ca="1">'CÁLCULO FUNPRESP'!U29</f>
        <v/>
      </c>
      <c r="O29" s="111">
        <f ca="1">IF($B$2="Não","",'CÁLCULO FUNPRESP'!Y29)</f>
        <v>0</v>
      </c>
    </row>
    <row r="30" spans="1:15" x14ac:dyDescent="0.3">
      <c r="I30" s="131">
        <f ca="1">'CÁLCULO FUNPRESP'!P30</f>
        <v>45657</v>
      </c>
      <c r="J30" s="111">
        <f ca="1">IF($B$2="Não","",'CÁLCULO FUNPRESP'!Q30)</f>
        <v>0</v>
      </c>
      <c r="K30" s="111">
        <f ca="1">IF($B$2="Não","",'CÁLCULO FUNPRESP'!R30)</f>
        <v>0</v>
      </c>
      <c r="L30" s="111">
        <f ca="1">IF($B$2="Não","",'CÁLCULO FUNPRESP'!S30)</f>
        <v>0</v>
      </c>
      <c r="N30" s="131" t="str">
        <f ca="1">'CÁLCULO FUNPRESP'!U30</f>
        <v/>
      </c>
      <c r="O30" s="111">
        <f ca="1">IF($B$2="Não","",'CÁLCULO FUNPRESP'!Y30)</f>
        <v>0</v>
      </c>
    </row>
    <row r="31" spans="1:15" x14ac:dyDescent="0.3">
      <c r="I31" s="131">
        <f ca="1">'CÁLCULO FUNPRESP'!P31</f>
        <v>45688</v>
      </c>
      <c r="J31" s="111">
        <f ca="1">IF($B$2="Não","",'CÁLCULO FUNPRESP'!Q31)</f>
        <v>0</v>
      </c>
      <c r="K31" s="111">
        <f ca="1">IF($B$2="Não","",'CÁLCULO FUNPRESP'!R31)</f>
        <v>0</v>
      </c>
      <c r="L31" s="111">
        <f ca="1">IF($B$2="Não","",'CÁLCULO FUNPRESP'!S31)</f>
        <v>0</v>
      </c>
      <c r="N31" s="131" t="str">
        <f ca="1">'CÁLCULO FUNPRESP'!U31</f>
        <v/>
      </c>
      <c r="O31" s="111">
        <f ca="1">IF($B$2="Não","",'CÁLCULO FUNPRESP'!Y31)</f>
        <v>0</v>
      </c>
    </row>
    <row r="32" spans="1:15" x14ac:dyDescent="0.3">
      <c r="I32" s="131">
        <f ca="1">'CÁLCULO FUNPRESP'!P32</f>
        <v>45716</v>
      </c>
      <c r="J32" s="111">
        <f ca="1">IF($B$2="Não","",'CÁLCULO FUNPRESP'!Q32)</f>
        <v>0</v>
      </c>
      <c r="K32" s="111">
        <f ca="1">IF($B$2="Não","",'CÁLCULO FUNPRESP'!R32)</f>
        <v>0</v>
      </c>
      <c r="L32" s="111">
        <f ca="1">IF($B$2="Não","",'CÁLCULO FUNPRESP'!S32)</f>
        <v>0</v>
      </c>
      <c r="N32" s="131" t="str">
        <f ca="1">'CÁLCULO FUNPRESP'!U32</f>
        <v/>
      </c>
      <c r="O32" s="111">
        <f ca="1">IF($B$2="Não","",'CÁLCULO FUNPRESP'!Y32)</f>
        <v>0</v>
      </c>
    </row>
    <row r="33" spans="9:15" x14ac:dyDescent="0.3">
      <c r="I33" s="131">
        <f ca="1">'CÁLCULO FUNPRESP'!P33</f>
        <v>45747</v>
      </c>
      <c r="J33" s="111">
        <f ca="1">IF($B$2="Não","",'CÁLCULO FUNPRESP'!Q33)</f>
        <v>0</v>
      </c>
      <c r="K33" s="111">
        <f ca="1">IF($B$2="Não","",'CÁLCULO FUNPRESP'!R33)</f>
        <v>0</v>
      </c>
      <c r="L33" s="111">
        <f ca="1">IF($B$2="Não","",'CÁLCULO FUNPRESP'!S33)</f>
        <v>0</v>
      </c>
      <c r="N33" s="131" t="str">
        <f ca="1">'CÁLCULO FUNPRESP'!U33</f>
        <v/>
      </c>
      <c r="O33" s="111">
        <f ca="1">IF($B$2="Não","",'CÁLCULO FUNPRESP'!Y33)</f>
        <v>0</v>
      </c>
    </row>
    <row r="34" spans="9:15" x14ac:dyDescent="0.3">
      <c r="I34" s="131">
        <f ca="1">'CÁLCULO FUNPRESP'!P34</f>
        <v>45777</v>
      </c>
      <c r="J34" s="111">
        <f ca="1">IF($B$2="Não","",'CÁLCULO FUNPRESP'!Q34)</f>
        <v>0</v>
      </c>
      <c r="K34" s="111">
        <f ca="1">IF($B$2="Não","",'CÁLCULO FUNPRESP'!R34)</f>
        <v>0</v>
      </c>
      <c r="L34" s="111">
        <f ca="1">IF($B$2="Não","",'CÁLCULO FUNPRESP'!S34)</f>
        <v>0</v>
      </c>
      <c r="N34" s="131" t="str">
        <f ca="1">'CÁLCULO FUNPRESP'!U34</f>
        <v/>
      </c>
      <c r="O34" s="111">
        <f ca="1">IF($B$2="Não","",'CÁLCULO FUNPRESP'!Y34)</f>
        <v>0</v>
      </c>
    </row>
    <row r="35" spans="9:15" x14ac:dyDescent="0.3">
      <c r="I35" s="131">
        <f ca="1">'CÁLCULO FUNPRESP'!P35</f>
        <v>45808</v>
      </c>
      <c r="J35" s="111">
        <f ca="1">IF($B$2="Não","",'CÁLCULO FUNPRESP'!Q35)</f>
        <v>0</v>
      </c>
      <c r="K35" s="111">
        <f ca="1">IF($B$2="Não","",'CÁLCULO FUNPRESP'!R35)</f>
        <v>0</v>
      </c>
      <c r="L35" s="111">
        <f ca="1">IF($B$2="Não","",'CÁLCULO FUNPRESP'!S35)</f>
        <v>0</v>
      </c>
      <c r="N35" s="131" t="str">
        <f ca="1">'CÁLCULO FUNPRESP'!U35</f>
        <v/>
      </c>
      <c r="O35" s="111">
        <f ca="1">IF($B$2="Não","",'CÁLCULO FUNPRESP'!Y35)</f>
        <v>0</v>
      </c>
    </row>
    <row r="36" spans="9:15" x14ac:dyDescent="0.3">
      <c r="I36" s="131">
        <f ca="1">'CÁLCULO FUNPRESP'!P36</f>
        <v>45838</v>
      </c>
      <c r="J36" s="111">
        <f ca="1">IF($B$2="Não","",'CÁLCULO FUNPRESP'!Q36)</f>
        <v>0</v>
      </c>
      <c r="K36" s="111">
        <f ca="1">IF($B$2="Não","",'CÁLCULO FUNPRESP'!R36)</f>
        <v>0</v>
      </c>
      <c r="L36" s="111">
        <f ca="1">IF($B$2="Não","",'CÁLCULO FUNPRESP'!S36)</f>
        <v>0</v>
      </c>
      <c r="N36" s="131" t="str">
        <f ca="1">'CÁLCULO FUNPRESP'!U36</f>
        <v/>
      </c>
      <c r="O36" s="111">
        <f ca="1">IF($B$2="Não","",'CÁLCULO FUNPRESP'!Y36)</f>
        <v>0</v>
      </c>
    </row>
    <row r="37" spans="9:15" x14ac:dyDescent="0.3">
      <c r="I37" s="131">
        <f ca="1">'CÁLCULO FUNPRESP'!P37</f>
        <v>45869</v>
      </c>
      <c r="J37" s="111">
        <f ca="1">IF($B$2="Não","",'CÁLCULO FUNPRESP'!Q37)</f>
        <v>0</v>
      </c>
      <c r="K37" s="111">
        <f ca="1">IF($B$2="Não","",'CÁLCULO FUNPRESP'!R37)</f>
        <v>0</v>
      </c>
      <c r="L37" s="111">
        <f ca="1">IF($B$2="Não","",'CÁLCULO FUNPRESP'!S37)</f>
        <v>0</v>
      </c>
      <c r="N37" s="131" t="str">
        <f ca="1">'CÁLCULO FUNPRESP'!U37</f>
        <v/>
      </c>
      <c r="O37" s="111">
        <f ca="1">IF($B$2="Não","",'CÁLCULO FUNPRESP'!Y37)</f>
        <v>0</v>
      </c>
    </row>
    <row r="38" spans="9:15" x14ac:dyDescent="0.3">
      <c r="I38" s="131">
        <f ca="1">'CÁLCULO FUNPRESP'!P38</f>
        <v>45900</v>
      </c>
      <c r="J38" s="111">
        <f ca="1">IF($B$2="Não","",'CÁLCULO FUNPRESP'!Q38)</f>
        <v>0</v>
      </c>
      <c r="K38" s="111">
        <f ca="1">IF($B$2="Não","",'CÁLCULO FUNPRESP'!R38)</f>
        <v>0</v>
      </c>
      <c r="L38" s="111">
        <f ca="1">IF($B$2="Não","",'CÁLCULO FUNPRESP'!S38)</f>
        <v>0</v>
      </c>
      <c r="N38" s="131" t="str">
        <f ca="1">'CÁLCULO FUNPRESP'!U38</f>
        <v/>
      </c>
      <c r="O38" s="111">
        <f ca="1">IF($B$2="Não","",'CÁLCULO FUNPRESP'!Y38)</f>
        <v>0</v>
      </c>
    </row>
    <row r="39" spans="9:15" x14ac:dyDescent="0.3">
      <c r="I39" s="131">
        <f ca="1">'CÁLCULO FUNPRESP'!P39</f>
        <v>45930</v>
      </c>
      <c r="J39" s="111">
        <f ca="1">IF($B$2="Não","",'CÁLCULO FUNPRESP'!Q39)</f>
        <v>0</v>
      </c>
      <c r="K39" s="111">
        <f ca="1">IF($B$2="Não","",'CÁLCULO FUNPRESP'!R39)</f>
        <v>0</v>
      </c>
      <c r="L39" s="111">
        <f ca="1">IF($B$2="Não","",'CÁLCULO FUNPRESP'!S39)</f>
        <v>0</v>
      </c>
      <c r="N39" s="131" t="str">
        <f ca="1">'CÁLCULO FUNPRESP'!U39</f>
        <v/>
      </c>
      <c r="O39" s="111">
        <f ca="1">IF($B$2="Não","",'CÁLCULO FUNPRESP'!Y39)</f>
        <v>0</v>
      </c>
    </row>
    <row r="40" spans="9:15" x14ac:dyDescent="0.3">
      <c r="I40" s="131">
        <f ca="1">'CÁLCULO FUNPRESP'!P40</f>
        <v>45961</v>
      </c>
      <c r="J40" s="111">
        <f ca="1">IF($B$2="Não","",'CÁLCULO FUNPRESP'!Q40)</f>
        <v>0</v>
      </c>
      <c r="K40" s="111">
        <f ca="1">IF($B$2="Não","",'CÁLCULO FUNPRESP'!R40)</f>
        <v>0</v>
      </c>
      <c r="L40" s="111">
        <f ca="1">IF($B$2="Não","",'CÁLCULO FUNPRESP'!S40)</f>
        <v>0</v>
      </c>
      <c r="N40" s="131" t="str">
        <f ca="1">'CÁLCULO FUNPRESP'!U40</f>
        <v/>
      </c>
      <c r="O40" s="111">
        <f ca="1">IF($B$2="Não","",'CÁLCULO FUNPRESP'!Y40)</f>
        <v>0</v>
      </c>
    </row>
    <row r="41" spans="9:15" x14ac:dyDescent="0.3">
      <c r="I41" s="131">
        <f ca="1">'CÁLCULO FUNPRESP'!P41</f>
        <v>45991</v>
      </c>
      <c r="J41" s="111">
        <f ca="1">IF($B$2="Não","",'CÁLCULO FUNPRESP'!Q41)</f>
        <v>0</v>
      </c>
      <c r="K41" s="111">
        <f ca="1">IF($B$2="Não","",'CÁLCULO FUNPRESP'!R41)</f>
        <v>0</v>
      </c>
      <c r="L41" s="111">
        <f ca="1">IF($B$2="Não","",'CÁLCULO FUNPRESP'!S41)</f>
        <v>0</v>
      </c>
      <c r="N41" s="131" t="str">
        <f ca="1">'CÁLCULO FUNPRESP'!U41</f>
        <v/>
      </c>
      <c r="O41" s="111">
        <f ca="1">IF($B$2="Não","",'CÁLCULO FUNPRESP'!Y41)</f>
        <v>0</v>
      </c>
    </row>
    <row r="42" spans="9:15" x14ac:dyDescent="0.3">
      <c r="I42" s="131">
        <f ca="1">'CÁLCULO FUNPRESP'!P42</f>
        <v>46022</v>
      </c>
      <c r="J42" s="111">
        <f ca="1">IF($B$2="Não","",'CÁLCULO FUNPRESP'!Q42)</f>
        <v>0</v>
      </c>
      <c r="K42" s="111">
        <f ca="1">IF($B$2="Não","",'CÁLCULO FUNPRESP'!R42)</f>
        <v>0</v>
      </c>
      <c r="L42" s="111">
        <f ca="1">IF($B$2="Não","",'CÁLCULO FUNPRESP'!S42)</f>
        <v>0</v>
      </c>
      <c r="N42" s="131" t="str">
        <f ca="1">'CÁLCULO FUNPRESP'!U42</f>
        <v/>
      </c>
      <c r="O42" s="111">
        <f ca="1">IF($B$2="Não","",'CÁLCULO FUNPRESP'!Y42)</f>
        <v>0</v>
      </c>
    </row>
    <row r="43" spans="9:15" x14ac:dyDescent="0.3">
      <c r="I43" s="131">
        <f ca="1">'CÁLCULO FUNPRESP'!P43</f>
        <v>46053</v>
      </c>
      <c r="J43" s="111">
        <f ca="1">IF($B$2="Não","",'CÁLCULO FUNPRESP'!Q43)</f>
        <v>0</v>
      </c>
      <c r="K43" s="111">
        <f ca="1">IF($B$2="Não","",'CÁLCULO FUNPRESP'!R43)</f>
        <v>0</v>
      </c>
      <c r="L43" s="111">
        <f ca="1">IF($B$2="Não","",'CÁLCULO FUNPRESP'!S43)</f>
        <v>0</v>
      </c>
      <c r="N43" s="131" t="str">
        <f ca="1">'CÁLCULO FUNPRESP'!U43</f>
        <v/>
      </c>
      <c r="O43" s="111">
        <f ca="1">IF($B$2="Não","",'CÁLCULO FUNPRESP'!Y43)</f>
        <v>0</v>
      </c>
    </row>
    <row r="44" spans="9:15" x14ac:dyDescent="0.3">
      <c r="I44" s="131">
        <f ca="1">'CÁLCULO FUNPRESP'!P44</f>
        <v>46081</v>
      </c>
      <c r="J44" s="111">
        <f ca="1">IF($B$2="Não","",'CÁLCULO FUNPRESP'!Q44)</f>
        <v>0</v>
      </c>
      <c r="K44" s="111">
        <f ca="1">IF($B$2="Não","",'CÁLCULO FUNPRESP'!R44)</f>
        <v>0</v>
      </c>
      <c r="L44" s="111">
        <f ca="1">IF($B$2="Não","",'CÁLCULO FUNPRESP'!S44)</f>
        <v>0</v>
      </c>
      <c r="N44" s="131" t="str">
        <f ca="1">'CÁLCULO FUNPRESP'!U44</f>
        <v/>
      </c>
      <c r="O44" s="111">
        <f ca="1">IF($B$2="Não","",'CÁLCULO FUNPRESP'!Y44)</f>
        <v>0</v>
      </c>
    </row>
    <row r="45" spans="9:15" x14ac:dyDescent="0.3">
      <c r="I45" s="131">
        <f ca="1">'CÁLCULO FUNPRESP'!P45</f>
        <v>46112</v>
      </c>
      <c r="J45" s="111">
        <f ca="1">IF($B$2="Não","",'CÁLCULO FUNPRESP'!Q45)</f>
        <v>0</v>
      </c>
      <c r="K45" s="111">
        <f ca="1">IF($B$2="Não","",'CÁLCULO FUNPRESP'!R45)</f>
        <v>0</v>
      </c>
      <c r="L45" s="111">
        <f ca="1">IF($B$2="Não","",'CÁLCULO FUNPRESP'!S45)</f>
        <v>0</v>
      </c>
      <c r="N45" s="131" t="str">
        <f ca="1">'CÁLCULO FUNPRESP'!U45</f>
        <v/>
      </c>
      <c r="O45" s="111">
        <f ca="1">IF($B$2="Não","",'CÁLCULO FUNPRESP'!Y45)</f>
        <v>0</v>
      </c>
    </row>
    <row r="46" spans="9:15" x14ac:dyDescent="0.3">
      <c r="I46" s="131">
        <f ca="1">'CÁLCULO FUNPRESP'!P46</f>
        <v>46142</v>
      </c>
      <c r="J46" s="111">
        <f ca="1">IF($B$2="Não","",'CÁLCULO FUNPRESP'!Q46)</f>
        <v>0</v>
      </c>
      <c r="K46" s="111">
        <f ca="1">IF($B$2="Não","",'CÁLCULO FUNPRESP'!R46)</f>
        <v>0</v>
      </c>
      <c r="L46" s="111">
        <f ca="1">IF($B$2="Não","",'CÁLCULO FUNPRESP'!S46)</f>
        <v>0</v>
      </c>
      <c r="N46" s="131" t="str">
        <f ca="1">'CÁLCULO FUNPRESP'!U46</f>
        <v/>
      </c>
      <c r="O46" s="111">
        <f ca="1">IF($B$2="Não","",'CÁLCULO FUNPRESP'!Y46)</f>
        <v>0</v>
      </c>
    </row>
    <row r="47" spans="9:15" x14ac:dyDescent="0.3">
      <c r="I47" s="131">
        <f ca="1">'CÁLCULO FUNPRESP'!P47</f>
        <v>46173</v>
      </c>
      <c r="J47" s="111">
        <f ca="1">IF($B$2="Não","",'CÁLCULO FUNPRESP'!Q47)</f>
        <v>0</v>
      </c>
      <c r="K47" s="111">
        <f ca="1">IF($B$2="Não","",'CÁLCULO FUNPRESP'!R47)</f>
        <v>0</v>
      </c>
      <c r="L47" s="111">
        <f ca="1">IF($B$2="Não","",'CÁLCULO FUNPRESP'!S47)</f>
        <v>0</v>
      </c>
      <c r="N47" s="131" t="str">
        <f ca="1">'CÁLCULO FUNPRESP'!U47</f>
        <v/>
      </c>
      <c r="O47" s="111">
        <f ca="1">IF($B$2="Não","",'CÁLCULO FUNPRESP'!Y47)</f>
        <v>0</v>
      </c>
    </row>
    <row r="48" spans="9:15" x14ac:dyDescent="0.3">
      <c r="I48" s="131">
        <f ca="1">'CÁLCULO FUNPRESP'!P48</f>
        <v>46203</v>
      </c>
      <c r="J48" s="111">
        <f ca="1">IF($B$2="Não","",'CÁLCULO FUNPRESP'!Q48)</f>
        <v>0</v>
      </c>
      <c r="K48" s="111">
        <f ca="1">IF($B$2="Não","",'CÁLCULO FUNPRESP'!R48)</f>
        <v>0</v>
      </c>
      <c r="L48" s="111">
        <f ca="1">IF($B$2="Não","",'CÁLCULO FUNPRESP'!S48)</f>
        <v>0</v>
      </c>
      <c r="N48" s="131" t="str">
        <f ca="1">'CÁLCULO FUNPRESP'!U48</f>
        <v/>
      </c>
      <c r="O48" s="111">
        <f ca="1">IF($B$2="Não","",'CÁLCULO FUNPRESP'!Y48)</f>
        <v>0</v>
      </c>
    </row>
    <row r="49" spans="9:15" x14ac:dyDescent="0.3">
      <c r="I49" s="131">
        <f ca="1">'CÁLCULO FUNPRESP'!P49</f>
        <v>46234</v>
      </c>
      <c r="J49" s="111">
        <f ca="1">IF($B$2="Não","",'CÁLCULO FUNPRESP'!Q49)</f>
        <v>0</v>
      </c>
      <c r="K49" s="111">
        <f ca="1">IF($B$2="Não","",'CÁLCULO FUNPRESP'!R49)</f>
        <v>0</v>
      </c>
      <c r="L49" s="111">
        <f ca="1">IF($B$2="Não","",'CÁLCULO FUNPRESP'!S49)</f>
        <v>0</v>
      </c>
      <c r="N49" s="131" t="str">
        <f ca="1">'CÁLCULO FUNPRESP'!U49</f>
        <v/>
      </c>
      <c r="O49" s="111">
        <f ca="1">IF($B$2="Não","",'CÁLCULO FUNPRESP'!Y49)</f>
        <v>0</v>
      </c>
    </row>
    <row r="50" spans="9:15" x14ac:dyDescent="0.3">
      <c r="I50" s="131">
        <f ca="1">'CÁLCULO FUNPRESP'!P50</f>
        <v>46265</v>
      </c>
      <c r="J50" s="111">
        <f ca="1">IF($B$2="Não","",'CÁLCULO FUNPRESP'!Q50)</f>
        <v>0</v>
      </c>
      <c r="K50" s="111">
        <f ca="1">IF($B$2="Não","",'CÁLCULO FUNPRESP'!R50)</f>
        <v>0</v>
      </c>
      <c r="L50" s="111">
        <f ca="1">IF($B$2="Não","",'CÁLCULO FUNPRESP'!S50)</f>
        <v>0</v>
      </c>
      <c r="N50" s="131" t="str">
        <f ca="1">'CÁLCULO FUNPRESP'!U50</f>
        <v/>
      </c>
      <c r="O50" s="111">
        <f ca="1">IF($B$2="Não","",'CÁLCULO FUNPRESP'!Y50)</f>
        <v>0</v>
      </c>
    </row>
    <row r="51" spans="9:15" x14ac:dyDescent="0.3">
      <c r="I51" s="131">
        <f ca="1">'CÁLCULO FUNPRESP'!P51</f>
        <v>46295</v>
      </c>
      <c r="J51" s="111">
        <f ca="1">IF($B$2="Não","",'CÁLCULO FUNPRESP'!Q51)</f>
        <v>0</v>
      </c>
      <c r="K51" s="111">
        <f ca="1">IF($B$2="Não","",'CÁLCULO FUNPRESP'!R51)</f>
        <v>0</v>
      </c>
      <c r="L51" s="111">
        <f ca="1">IF($B$2="Não","",'CÁLCULO FUNPRESP'!S51)</f>
        <v>0</v>
      </c>
      <c r="N51" s="131" t="str">
        <f ca="1">'CÁLCULO FUNPRESP'!U51</f>
        <v/>
      </c>
      <c r="O51" s="111">
        <f ca="1">IF($B$2="Não","",'CÁLCULO FUNPRESP'!Y51)</f>
        <v>0</v>
      </c>
    </row>
    <row r="52" spans="9:15" x14ac:dyDescent="0.3">
      <c r="I52" s="131">
        <f ca="1">'CÁLCULO FUNPRESP'!P52</f>
        <v>46326</v>
      </c>
      <c r="J52" s="111">
        <f ca="1">IF($B$2="Não","",'CÁLCULO FUNPRESP'!Q52)</f>
        <v>0</v>
      </c>
      <c r="K52" s="111">
        <f ca="1">IF($B$2="Não","",'CÁLCULO FUNPRESP'!R52)</f>
        <v>0</v>
      </c>
      <c r="L52" s="111">
        <f ca="1">IF($B$2="Não","",'CÁLCULO FUNPRESP'!S52)</f>
        <v>0</v>
      </c>
      <c r="N52" s="131" t="str">
        <f ca="1">'CÁLCULO FUNPRESP'!U52</f>
        <v/>
      </c>
      <c r="O52" s="111">
        <f ca="1">IF($B$2="Não","",'CÁLCULO FUNPRESP'!Y52)</f>
        <v>0</v>
      </c>
    </row>
    <row r="53" spans="9:15" x14ac:dyDescent="0.3">
      <c r="I53" s="131">
        <f ca="1">'CÁLCULO FUNPRESP'!P53</f>
        <v>46356</v>
      </c>
      <c r="J53" s="111">
        <f ca="1">IF($B$2="Não","",'CÁLCULO FUNPRESP'!Q53)</f>
        <v>0</v>
      </c>
      <c r="K53" s="111">
        <f ca="1">IF($B$2="Não","",'CÁLCULO FUNPRESP'!R53)</f>
        <v>0</v>
      </c>
      <c r="L53" s="111">
        <f ca="1">IF($B$2="Não","",'CÁLCULO FUNPRESP'!S53)</f>
        <v>0</v>
      </c>
      <c r="N53" s="131" t="str">
        <f ca="1">'CÁLCULO FUNPRESP'!U53</f>
        <v/>
      </c>
      <c r="O53" s="111">
        <f ca="1">IF($B$2="Não","",'CÁLCULO FUNPRESP'!Y53)</f>
        <v>0</v>
      </c>
    </row>
    <row r="54" spans="9:15" x14ac:dyDescent="0.3">
      <c r="I54" s="131">
        <f ca="1">'CÁLCULO FUNPRESP'!P54</f>
        <v>46387</v>
      </c>
      <c r="J54" s="111">
        <f ca="1">IF($B$2="Não","",'CÁLCULO FUNPRESP'!Q54)</f>
        <v>0</v>
      </c>
      <c r="K54" s="111">
        <f ca="1">IF($B$2="Não","",'CÁLCULO FUNPRESP'!R54)</f>
        <v>0</v>
      </c>
      <c r="L54" s="111">
        <f ca="1">IF($B$2="Não","",'CÁLCULO FUNPRESP'!S54)</f>
        <v>0</v>
      </c>
      <c r="N54" s="131" t="str">
        <f ca="1">'CÁLCULO FUNPRESP'!U54</f>
        <v/>
      </c>
      <c r="O54" s="111">
        <f ca="1">IF($B$2="Não","",'CÁLCULO FUNPRESP'!Y54)</f>
        <v>0</v>
      </c>
    </row>
    <row r="55" spans="9:15" x14ac:dyDescent="0.3">
      <c r="I55" s="131">
        <f ca="1">'CÁLCULO FUNPRESP'!P55</f>
        <v>46418</v>
      </c>
      <c r="J55" s="111">
        <f ca="1">IF($B$2="Não","",'CÁLCULO FUNPRESP'!Q55)</f>
        <v>0</v>
      </c>
      <c r="K55" s="111">
        <f ca="1">IF($B$2="Não","",'CÁLCULO FUNPRESP'!R55)</f>
        <v>0</v>
      </c>
      <c r="L55" s="111">
        <f ca="1">IF($B$2="Não","",'CÁLCULO FUNPRESP'!S55)</f>
        <v>0</v>
      </c>
      <c r="N55" s="131" t="str">
        <f ca="1">'CÁLCULO FUNPRESP'!U55</f>
        <v/>
      </c>
      <c r="O55" s="111">
        <f ca="1">IF($B$2="Não","",'CÁLCULO FUNPRESP'!Y55)</f>
        <v>0</v>
      </c>
    </row>
    <row r="56" spans="9:15" x14ac:dyDescent="0.3">
      <c r="I56" s="131">
        <f ca="1">'CÁLCULO FUNPRESP'!P56</f>
        <v>46446</v>
      </c>
      <c r="J56" s="111">
        <f ca="1">IF($B$2="Não","",'CÁLCULO FUNPRESP'!Q56)</f>
        <v>0</v>
      </c>
      <c r="K56" s="111">
        <f ca="1">IF($B$2="Não","",'CÁLCULO FUNPRESP'!R56)</f>
        <v>0</v>
      </c>
      <c r="L56" s="111">
        <f ca="1">IF($B$2="Não","",'CÁLCULO FUNPRESP'!S56)</f>
        <v>0</v>
      </c>
      <c r="N56" s="131" t="str">
        <f ca="1">'CÁLCULO FUNPRESP'!U56</f>
        <v/>
      </c>
      <c r="O56" s="111">
        <f ca="1">IF($B$2="Não","",'CÁLCULO FUNPRESP'!Y56)</f>
        <v>0</v>
      </c>
    </row>
    <row r="57" spans="9:15" x14ac:dyDescent="0.3">
      <c r="I57" s="131">
        <f ca="1">'CÁLCULO FUNPRESP'!P57</f>
        <v>46477</v>
      </c>
      <c r="J57" s="111">
        <f ca="1">IF($B$2="Não","",'CÁLCULO FUNPRESP'!Q57)</f>
        <v>0</v>
      </c>
      <c r="K57" s="111">
        <f ca="1">IF($B$2="Não","",'CÁLCULO FUNPRESP'!R57)</f>
        <v>0</v>
      </c>
      <c r="L57" s="111">
        <f ca="1">IF($B$2="Não","",'CÁLCULO FUNPRESP'!S57)</f>
        <v>0</v>
      </c>
      <c r="N57" s="131" t="str">
        <f ca="1">'CÁLCULO FUNPRESP'!U57</f>
        <v/>
      </c>
      <c r="O57" s="111">
        <f ca="1">IF($B$2="Não","",'CÁLCULO FUNPRESP'!Y57)</f>
        <v>0</v>
      </c>
    </row>
    <row r="58" spans="9:15" x14ac:dyDescent="0.3">
      <c r="I58" s="131">
        <f ca="1">'CÁLCULO FUNPRESP'!P58</f>
        <v>46507</v>
      </c>
      <c r="J58" s="111">
        <f ca="1">IF($B$2="Não","",'CÁLCULO FUNPRESP'!Q58)</f>
        <v>0</v>
      </c>
      <c r="K58" s="111">
        <f ca="1">IF($B$2="Não","",'CÁLCULO FUNPRESP'!R58)</f>
        <v>0</v>
      </c>
      <c r="L58" s="111">
        <f ca="1">IF($B$2="Não","",'CÁLCULO FUNPRESP'!S58)</f>
        <v>0</v>
      </c>
      <c r="N58" s="131" t="str">
        <f ca="1">'CÁLCULO FUNPRESP'!U58</f>
        <v/>
      </c>
      <c r="O58" s="111">
        <f ca="1">IF($B$2="Não","",'CÁLCULO FUNPRESP'!Y58)</f>
        <v>0</v>
      </c>
    </row>
    <row r="59" spans="9:15" x14ac:dyDescent="0.3">
      <c r="I59" s="131">
        <f ca="1">'CÁLCULO FUNPRESP'!P59</f>
        <v>46538</v>
      </c>
      <c r="J59" s="111">
        <f ca="1">IF($B$2="Não","",'CÁLCULO FUNPRESP'!Q59)</f>
        <v>0</v>
      </c>
      <c r="K59" s="111">
        <f ca="1">IF($B$2="Não","",'CÁLCULO FUNPRESP'!R59)</f>
        <v>0</v>
      </c>
      <c r="L59" s="111">
        <f ca="1">IF($B$2="Não","",'CÁLCULO FUNPRESP'!S59)</f>
        <v>0</v>
      </c>
      <c r="N59" s="131" t="str">
        <f ca="1">'CÁLCULO FUNPRESP'!U59</f>
        <v/>
      </c>
      <c r="O59" s="111">
        <f ca="1">IF($B$2="Não","",'CÁLCULO FUNPRESP'!Y59)</f>
        <v>0</v>
      </c>
    </row>
    <row r="60" spans="9:15" x14ac:dyDescent="0.3">
      <c r="I60" s="131">
        <f ca="1">'CÁLCULO FUNPRESP'!P60</f>
        <v>46568</v>
      </c>
      <c r="J60" s="111">
        <f ca="1">IF($B$2="Não","",'CÁLCULO FUNPRESP'!Q60)</f>
        <v>0</v>
      </c>
      <c r="K60" s="111">
        <f ca="1">IF($B$2="Não","",'CÁLCULO FUNPRESP'!R60)</f>
        <v>0</v>
      </c>
      <c r="L60" s="111">
        <f ca="1">IF($B$2="Não","",'CÁLCULO FUNPRESP'!S60)</f>
        <v>0</v>
      </c>
      <c r="N60" s="131" t="str">
        <f ca="1">'CÁLCULO FUNPRESP'!U60</f>
        <v/>
      </c>
      <c r="O60" s="111">
        <f ca="1">IF($B$2="Não","",'CÁLCULO FUNPRESP'!Y60)</f>
        <v>0</v>
      </c>
    </row>
    <row r="61" spans="9:15" x14ac:dyDescent="0.3">
      <c r="I61" s="131">
        <f ca="1">'CÁLCULO FUNPRESP'!P61</f>
        <v>46599</v>
      </c>
      <c r="J61" s="111">
        <f ca="1">IF($B$2="Não","",'CÁLCULO FUNPRESP'!Q61)</f>
        <v>0</v>
      </c>
      <c r="K61" s="111">
        <f ca="1">IF($B$2="Não","",'CÁLCULO FUNPRESP'!R61)</f>
        <v>0</v>
      </c>
      <c r="L61" s="111">
        <f ca="1">IF($B$2="Não","",'CÁLCULO FUNPRESP'!S61)</f>
        <v>0</v>
      </c>
      <c r="N61" s="131" t="str">
        <f ca="1">'CÁLCULO FUNPRESP'!U61</f>
        <v/>
      </c>
      <c r="O61" s="111">
        <f ca="1">IF($B$2="Não","",'CÁLCULO FUNPRESP'!Y61)</f>
        <v>0</v>
      </c>
    </row>
    <row r="62" spans="9:15" x14ac:dyDescent="0.3">
      <c r="I62" s="131">
        <f ca="1">'CÁLCULO FUNPRESP'!P62</f>
        <v>46630</v>
      </c>
      <c r="J62" s="111">
        <f ca="1">IF($B$2="Não","",'CÁLCULO FUNPRESP'!Q62)</f>
        <v>0</v>
      </c>
      <c r="K62" s="111">
        <f ca="1">IF($B$2="Não","",'CÁLCULO FUNPRESP'!R62)</f>
        <v>0</v>
      </c>
      <c r="L62" s="111">
        <f ca="1">IF($B$2="Não","",'CÁLCULO FUNPRESP'!S62)</f>
        <v>0</v>
      </c>
      <c r="N62" s="131" t="str">
        <f ca="1">'CÁLCULO FUNPRESP'!U62</f>
        <v/>
      </c>
      <c r="O62" s="111">
        <f ca="1">IF($B$2="Não","",'CÁLCULO FUNPRESP'!Y62)</f>
        <v>0</v>
      </c>
    </row>
    <row r="63" spans="9:15" x14ac:dyDescent="0.3">
      <c r="I63" s="131">
        <f ca="1">'CÁLCULO FUNPRESP'!P63</f>
        <v>46660</v>
      </c>
      <c r="J63" s="111">
        <f ca="1">IF($B$2="Não","",'CÁLCULO FUNPRESP'!Q63)</f>
        <v>0</v>
      </c>
      <c r="K63" s="111">
        <f ca="1">IF($B$2="Não","",'CÁLCULO FUNPRESP'!R63)</f>
        <v>0</v>
      </c>
      <c r="L63" s="111">
        <f ca="1">IF($B$2="Não","",'CÁLCULO FUNPRESP'!S63)</f>
        <v>0</v>
      </c>
      <c r="N63" s="131" t="str">
        <f ca="1">'CÁLCULO FUNPRESP'!U63</f>
        <v/>
      </c>
      <c r="O63" s="111">
        <f ca="1">IF($B$2="Não","",'CÁLCULO FUNPRESP'!Y63)</f>
        <v>0</v>
      </c>
    </row>
    <row r="64" spans="9:15" x14ac:dyDescent="0.3">
      <c r="I64" s="131">
        <f ca="1">'CÁLCULO FUNPRESP'!P64</f>
        <v>46691</v>
      </c>
      <c r="J64" s="111">
        <f ca="1">IF($B$2="Não","",'CÁLCULO FUNPRESP'!Q64)</f>
        <v>0</v>
      </c>
      <c r="K64" s="111">
        <f ca="1">IF($B$2="Não","",'CÁLCULO FUNPRESP'!R64)</f>
        <v>0</v>
      </c>
      <c r="L64" s="111">
        <f ca="1">IF($B$2="Não","",'CÁLCULO FUNPRESP'!S64)</f>
        <v>0</v>
      </c>
      <c r="N64" s="131" t="str">
        <f ca="1">'CÁLCULO FUNPRESP'!U64</f>
        <v/>
      </c>
      <c r="O64" s="111">
        <f ca="1">IF($B$2="Não","",'CÁLCULO FUNPRESP'!Y64)</f>
        <v>0</v>
      </c>
    </row>
    <row r="65" spans="9:15" x14ac:dyDescent="0.3">
      <c r="I65" s="131">
        <f ca="1">'CÁLCULO FUNPRESP'!P65</f>
        <v>46721</v>
      </c>
      <c r="J65" s="111">
        <f ca="1">IF($B$2="Não","",'CÁLCULO FUNPRESP'!Q65)</f>
        <v>0</v>
      </c>
      <c r="K65" s="111">
        <f ca="1">IF($B$2="Não","",'CÁLCULO FUNPRESP'!R65)</f>
        <v>0</v>
      </c>
      <c r="L65" s="111">
        <f ca="1">IF($B$2="Não","",'CÁLCULO FUNPRESP'!S65)</f>
        <v>0</v>
      </c>
      <c r="N65" s="131" t="str">
        <f ca="1">'CÁLCULO FUNPRESP'!U65</f>
        <v/>
      </c>
      <c r="O65" s="111">
        <f ca="1">IF($B$2="Não","",'CÁLCULO FUNPRESP'!Y65)</f>
        <v>0</v>
      </c>
    </row>
    <row r="66" spans="9:15" x14ac:dyDescent="0.3">
      <c r="I66" s="131">
        <f ca="1">'CÁLCULO FUNPRESP'!P66</f>
        <v>46752</v>
      </c>
      <c r="J66" s="111">
        <f ca="1">IF($B$2="Não","",'CÁLCULO FUNPRESP'!Q66)</f>
        <v>0</v>
      </c>
      <c r="K66" s="111">
        <f ca="1">IF($B$2="Não","",'CÁLCULO FUNPRESP'!R66)</f>
        <v>0</v>
      </c>
      <c r="L66" s="111">
        <f ca="1">IF($B$2="Não","",'CÁLCULO FUNPRESP'!S66)</f>
        <v>0</v>
      </c>
      <c r="N66" s="131" t="str">
        <f ca="1">'CÁLCULO FUNPRESP'!U66</f>
        <v/>
      </c>
      <c r="O66" s="111">
        <f ca="1">IF($B$2="Não","",'CÁLCULO FUNPRESP'!Y66)</f>
        <v>0</v>
      </c>
    </row>
    <row r="67" spans="9:15" x14ac:dyDescent="0.3">
      <c r="I67" s="131">
        <f ca="1">'CÁLCULO FUNPRESP'!P67</f>
        <v>46783</v>
      </c>
      <c r="J67" s="111">
        <f ca="1">IF($B$2="Não","",'CÁLCULO FUNPRESP'!Q67)</f>
        <v>0</v>
      </c>
      <c r="K67" s="111">
        <f ca="1">IF($B$2="Não","",'CÁLCULO FUNPRESP'!R67)</f>
        <v>0</v>
      </c>
      <c r="L67" s="111">
        <f ca="1">IF($B$2="Não","",'CÁLCULO FUNPRESP'!S67)</f>
        <v>0</v>
      </c>
      <c r="N67" s="131" t="str">
        <f ca="1">'CÁLCULO FUNPRESP'!U67</f>
        <v/>
      </c>
      <c r="O67" s="111">
        <f ca="1">IF($B$2="Não","",'CÁLCULO FUNPRESP'!Y67)</f>
        <v>0</v>
      </c>
    </row>
    <row r="68" spans="9:15" x14ac:dyDescent="0.3">
      <c r="I68" s="131">
        <f ca="1">'CÁLCULO FUNPRESP'!P68</f>
        <v>46812</v>
      </c>
      <c r="J68" s="111">
        <f ca="1">IF($B$2="Não","",'CÁLCULO FUNPRESP'!Q68)</f>
        <v>0</v>
      </c>
      <c r="K68" s="111">
        <f ca="1">IF($B$2="Não","",'CÁLCULO FUNPRESP'!R68)</f>
        <v>0</v>
      </c>
      <c r="L68" s="111">
        <f ca="1">IF($B$2="Não","",'CÁLCULO FUNPRESP'!S68)</f>
        <v>0</v>
      </c>
      <c r="N68" s="131" t="str">
        <f ca="1">'CÁLCULO FUNPRESP'!U68</f>
        <v/>
      </c>
      <c r="O68" s="111">
        <f ca="1">IF($B$2="Não","",'CÁLCULO FUNPRESP'!Y68)</f>
        <v>0</v>
      </c>
    </row>
    <row r="69" spans="9:15" x14ac:dyDescent="0.3">
      <c r="I69" s="131">
        <f ca="1">'CÁLCULO FUNPRESP'!P69</f>
        <v>46843</v>
      </c>
      <c r="J69" s="111">
        <f ca="1">IF($B$2="Não","",'CÁLCULO FUNPRESP'!Q69)</f>
        <v>0</v>
      </c>
      <c r="K69" s="111">
        <f ca="1">IF($B$2="Não","",'CÁLCULO FUNPRESP'!R69)</f>
        <v>0</v>
      </c>
      <c r="L69" s="111">
        <f ca="1">IF($B$2="Não","",'CÁLCULO FUNPRESP'!S69)</f>
        <v>0</v>
      </c>
      <c r="N69" s="131" t="str">
        <f ca="1">'CÁLCULO FUNPRESP'!U69</f>
        <v/>
      </c>
      <c r="O69" s="111">
        <f ca="1">IF($B$2="Não","",'CÁLCULO FUNPRESP'!Y69)</f>
        <v>0</v>
      </c>
    </row>
    <row r="70" spans="9:15" x14ac:dyDescent="0.3">
      <c r="I70" s="131">
        <f ca="1">'CÁLCULO FUNPRESP'!P70</f>
        <v>46873</v>
      </c>
      <c r="J70" s="111">
        <f ca="1">IF($B$2="Não","",'CÁLCULO FUNPRESP'!Q70)</f>
        <v>0</v>
      </c>
      <c r="K70" s="111">
        <f ca="1">IF($B$2="Não","",'CÁLCULO FUNPRESP'!R70)</f>
        <v>0</v>
      </c>
      <c r="L70" s="111">
        <f ca="1">IF($B$2="Não","",'CÁLCULO FUNPRESP'!S70)</f>
        <v>0</v>
      </c>
      <c r="N70" s="131" t="str">
        <f ca="1">'CÁLCULO FUNPRESP'!U70</f>
        <v/>
      </c>
      <c r="O70" s="111">
        <f ca="1">IF($B$2="Não","",'CÁLCULO FUNPRESP'!Y70)</f>
        <v>0</v>
      </c>
    </row>
    <row r="71" spans="9:15" x14ac:dyDescent="0.3">
      <c r="I71" s="131">
        <f ca="1">'CÁLCULO FUNPRESP'!P71</f>
        <v>46904</v>
      </c>
      <c r="J71" s="111">
        <f ca="1">IF($B$2="Não","",'CÁLCULO FUNPRESP'!Q71)</f>
        <v>0</v>
      </c>
      <c r="K71" s="111">
        <f ca="1">IF($B$2="Não","",'CÁLCULO FUNPRESP'!R71)</f>
        <v>0</v>
      </c>
      <c r="L71" s="111">
        <f ca="1">IF($B$2="Não","",'CÁLCULO FUNPRESP'!S71)</f>
        <v>0</v>
      </c>
      <c r="N71" s="131" t="str">
        <f ca="1">'CÁLCULO FUNPRESP'!U71</f>
        <v/>
      </c>
      <c r="O71" s="111">
        <f ca="1">IF($B$2="Não","",'CÁLCULO FUNPRESP'!Y71)</f>
        <v>0</v>
      </c>
    </row>
    <row r="72" spans="9:15" x14ac:dyDescent="0.3">
      <c r="I72" s="131">
        <f ca="1">'CÁLCULO FUNPRESP'!P72</f>
        <v>46934</v>
      </c>
      <c r="J72" s="111">
        <f ca="1">IF($B$2="Não","",'CÁLCULO FUNPRESP'!Q72)</f>
        <v>0</v>
      </c>
      <c r="K72" s="111">
        <f ca="1">IF($B$2="Não","",'CÁLCULO FUNPRESP'!R72)</f>
        <v>0</v>
      </c>
      <c r="L72" s="111">
        <f ca="1">IF($B$2="Não","",'CÁLCULO FUNPRESP'!S72)</f>
        <v>0</v>
      </c>
      <c r="N72" s="131" t="str">
        <f ca="1">'CÁLCULO FUNPRESP'!U72</f>
        <v/>
      </c>
      <c r="O72" s="111">
        <f ca="1">IF($B$2="Não","",'CÁLCULO FUNPRESP'!Y72)</f>
        <v>0</v>
      </c>
    </row>
    <row r="73" spans="9:15" x14ac:dyDescent="0.3">
      <c r="I73" s="131">
        <f ca="1">'CÁLCULO FUNPRESP'!P73</f>
        <v>46965</v>
      </c>
      <c r="J73" s="111">
        <f ca="1">IF($B$2="Não","",'CÁLCULO FUNPRESP'!Q73)</f>
        <v>0</v>
      </c>
      <c r="K73" s="111">
        <f ca="1">IF($B$2="Não","",'CÁLCULO FUNPRESP'!R73)</f>
        <v>0</v>
      </c>
      <c r="L73" s="111">
        <f ca="1">IF($B$2="Não","",'CÁLCULO FUNPRESP'!S73)</f>
        <v>0</v>
      </c>
      <c r="N73" s="131" t="str">
        <f ca="1">'CÁLCULO FUNPRESP'!U73</f>
        <v/>
      </c>
      <c r="O73" s="111">
        <f ca="1">IF($B$2="Não","",'CÁLCULO FUNPRESP'!Y73)</f>
        <v>0</v>
      </c>
    </row>
    <row r="74" spans="9:15" x14ac:dyDescent="0.3">
      <c r="I74" s="131">
        <f ca="1">'CÁLCULO FUNPRESP'!P74</f>
        <v>46996</v>
      </c>
      <c r="J74" s="111">
        <f ca="1">IF($B$2="Não","",'CÁLCULO FUNPRESP'!Q74)</f>
        <v>0</v>
      </c>
      <c r="K74" s="111">
        <f ca="1">IF($B$2="Não","",'CÁLCULO FUNPRESP'!R74)</f>
        <v>0</v>
      </c>
      <c r="L74" s="111">
        <f ca="1">IF($B$2="Não","",'CÁLCULO FUNPRESP'!S74)</f>
        <v>0</v>
      </c>
      <c r="N74" s="131" t="str">
        <f ca="1">'CÁLCULO FUNPRESP'!U74</f>
        <v/>
      </c>
      <c r="O74" s="111">
        <f ca="1">IF($B$2="Não","",'CÁLCULO FUNPRESP'!Y74)</f>
        <v>0</v>
      </c>
    </row>
    <row r="75" spans="9:15" x14ac:dyDescent="0.3">
      <c r="I75" s="131">
        <f ca="1">'CÁLCULO FUNPRESP'!P75</f>
        <v>47026</v>
      </c>
      <c r="J75" s="111">
        <f ca="1">IF($B$2="Não","",'CÁLCULO FUNPRESP'!Q75)</f>
        <v>0</v>
      </c>
      <c r="K75" s="111">
        <f ca="1">IF($B$2="Não","",'CÁLCULO FUNPRESP'!R75)</f>
        <v>0</v>
      </c>
      <c r="L75" s="111">
        <f ca="1">IF($B$2="Não","",'CÁLCULO FUNPRESP'!S75)</f>
        <v>0</v>
      </c>
      <c r="N75" s="131" t="str">
        <f ca="1">'CÁLCULO FUNPRESP'!U75</f>
        <v/>
      </c>
      <c r="O75" s="111">
        <f ca="1">IF($B$2="Não","",'CÁLCULO FUNPRESP'!Y75)</f>
        <v>0</v>
      </c>
    </row>
    <row r="76" spans="9:15" x14ac:dyDescent="0.3">
      <c r="I76" s="131">
        <f ca="1">'CÁLCULO FUNPRESP'!P76</f>
        <v>47057</v>
      </c>
      <c r="J76" s="111">
        <f ca="1">IF($B$2="Não","",'CÁLCULO FUNPRESP'!Q76)</f>
        <v>0</v>
      </c>
      <c r="K76" s="111">
        <f ca="1">IF($B$2="Não","",'CÁLCULO FUNPRESP'!R76)</f>
        <v>0</v>
      </c>
      <c r="L76" s="111">
        <f ca="1">IF($B$2="Não","",'CÁLCULO FUNPRESP'!S76)</f>
        <v>0</v>
      </c>
      <c r="N76" s="131" t="str">
        <f ca="1">'CÁLCULO FUNPRESP'!U76</f>
        <v/>
      </c>
      <c r="O76" s="111">
        <f ca="1">IF($B$2="Não","",'CÁLCULO FUNPRESP'!Y76)</f>
        <v>0</v>
      </c>
    </row>
    <row r="77" spans="9:15" x14ac:dyDescent="0.3">
      <c r="I77" s="131">
        <f ca="1">'CÁLCULO FUNPRESP'!P77</f>
        <v>47087</v>
      </c>
      <c r="J77" s="111">
        <f ca="1">IF($B$2="Não","",'CÁLCULO FUNPRESP'!Q77)</f>
        <v>0</v>
      </c>
      <c r="K77" s="111">
        <f ca="1">IF($B$2="Não","",'CÁLCULO FUNPRESP'!R77)</f>
        <v>0</v>
      </c>
      <c r="L77" s="111">
        <f ca="1">IF($B$2="Não","",'CÁLCULO FUNPRESP'!S77)</f>
        <v>0</v>
      </c>
      <c r="N77" s="131" t="str">
        <f ca="1">'CÁLCULO FUNPRESP'!U77</f>
        <v/>
      </c>
      <c r="O77" s="111">
        <f ca="1">IF($B$2="Não","",'CÁLCULO FUNPRESP'!Y77)</f>
        <v>0</v>
      </c>
    </row>
    <row r="78" spans="9:15" x14ac:dyDescent="0.3">
      <c r="I78" s="131">
        <f ca="1">'CÁLCULO FUNPRESP'!P78</f>
        <v>47118</v>
      </c>
      <c r="J78" s="111">
        <f ca="1">IF($B$2="Não","",'CÁLCULO FUNPRESP'!Q78)</f>
        <v>0</v>
      </c>
      <c r="K78" s="111">
        <f ca="1">IF($B$2="Não","",'CÁLCULO FUNPRESP'!R78)</f>
        <v>0</v>
      </c>
      <c r="L78" s="111">
        <f ca="1">IF($B$2="Não","",'CÁLCULO FUNPRESP'!S78)</f>
        <v>0</v>
      </c>
      <c r="N78" s="131" t="str">
        <f ca="1">'CÁLCULO FUNPRESP'!U78</f>
        <v/>
      </c>
      <c r="O78" s="111">
        <f ca="1">IF($B$2="Não","",'CÁLCULO FUNPRESP'!Y78)</f>
        <v>0</v>
      </c>
    </row>
    <row r="79" spans="9:15" x14ac:dyDescent="0.3">
      <c r="I79" s="131">
        <f ca="1">'CÁLCULO FUNPRESP'!P79</f>
        <v>47149</v>
      </c>
      <c r="J79" s="111">
        <f ca="1">IF($B$2="Não","",'CÁLCULO FUNPRESP'!Q79)</f>
        <v>0</v>
      </c>
      <c r="K79" s="111">
        <f ca="1">IF($B$2="Não","",'CÁLCULO FUNPRESP'!R79)</f>
        <v>0</v>
      </c>
      <c r="L79" s="111">
        <f ca="1">IF($B$2="Não","",'CÁLCULO FUNPRESP'!S79)</f>
        <v>0</v>
      </c>
      <c r="N79" s="131" t="str">
        <f ca="1">'CÁLCULO FUNPRESP'!U79</f>
        <v/>
      </c>
      <c r="O79" s="111">
        <f ca="1">IF($B$2="Não","",'CÁLCULO FUNPRESP'!Y79)</f>
        <v>0</v>
      </c>
    </row>
    <row r="80" spans="9:15" x14ac:dyDescent="0.3">
      <c r="I80" s="131">
        <f ca="1">'CÁLCULO FUNPRESP'!P80</f>
        <v>47177</v>
      </c>
      <c r="J80" s="111">
        <f ca="1">IF($B$2="Não","",'CÁLCULO FUNPRESP'!Q80)</f>
        <v>0</v>
      </c>
      <c r="K80" s="111">
        <f ca="1">IF($B$2="Não","",'CÁLCULO FUNPRESP'!R80)</f>
        <v>0</v>
      </c>
      <c r="L80" s="111">
        <f ca="1">IF($B$2="Não","",'CÁLCULO FUNPRESP'!S80)</f>
        <v>0</v>
      </c>
      <c r="N80" s="131" t="str">
        <f ca="1">'CÁLCULO FUNPRESP'!U80</f>
        <v/>
      </c>
      <c r="O80" s="111">
        <f ca="1">IF($B$2="Não","",'CÁLCULO FUNPRESP'!Y80)</f>
        <v>0</v>
      </c>
    </row>
    <row r="81" spans="9:15" x14ac:dyDescent="0.3">
      <c r="I81" s="131">
        <f ca="1">'CÁLCULO FUNPRESP'!P81</f>
        <v>47208</v>
      </c>
      <c r="J81" s="111">
        <f ca="1">IF($B$2="Não","",'CÁLCULO FUNPRESP'!Q81)</f>
        <v>0</v>
      </c>
      <c r="K81" s="111">
        <f ca="1">IF($B$2="Não","",'CÁLCULO FUNPRESP'!R81)</f>
        <v>0</v>
      </c>
      <c r="L81" s="111">
        <f ca="1">IF($B$2="Não","",'CÁLCULO FUNPRESP'!S81)</f>
        <v>0</v>
      </c>
      <c r="N81" s="131" t="str">
        <f ca="1">'CÁLCULO FUNPRESP'!U81</f>
        <v/>
      </c>
      <c r="O81" s="111">
        <f ca="1">IF($B$2="Não","",'CÁLCULO FUNPRESP'!Y81)</f>
        <v>0</v>
      </c>
    </row>
    <row r="82" spans="9:15" x14ac:dyDescent="0.3">
      <c r="I82" s="131">
        <f ca="1">'CÁLCULO FUNPRESP'!P82</f>
        <v>47238</v>
      </c>
      <c r="J82" s="111">
        <f ca="1">IF($B$2="Não","",'CÁLCULO FUNPRESP'!Q82)</f>
        <v>0</v>
      </c>
      <c r="K82" s="111">
        <f ca="1">IF($B$2="Não","",'CÁLCULO FUNPRESP'!R82)</f>
        <v>0</v>
      </c>
      <c r="L82" s="111">
        <f ca="1">IF($B$2="Não","",'CÁLCULO FUNPRESP'!S82)</f>
        <v>0</v>
      </c>
      <c r="N82" s="131" t="str">
        <f ca="1">'CÁLCULO FUNPRESP'!U82</f>
        <v/>
      </c>
      <c r="O82" s="111">
        <f ca="1">IF($B$2="Não","",'CÁLCULO FUNPRESP'!Y82)</f>
        <v>0</v>
      </c>
    </row>
    <row r="83" spans="9:15" x14ac:dyDescent="0.3">
      <c r="I83" s="131">
        <f ca="1">'CÁLCULO FUNPRESP'!P83</f>
        <v>47269</v>
      </c>
      <c r="J83" s="111">
        <f ca="1">IF($B$2="Não","",'CÁLCULO FUNPRESP'!Q83)</f>
        <v>0</v>
      </c>
      <c r="K83" s="111">
        <f ca="1">IF($B$2="Não","",'CÁLCULO FUNPRESP'!R83)</f>
        <v>0</v>
      </c>
      <c r="L83" s="111">
        <f ca="1">IF($B$2="Não","",'CÁLCULO FUNPRESP'!S83)</f>
        <v>0</v>
      </c>
      <c r="N83" s="131" t="str">
        <f ca="1">'CÁLCULO FUNPRESP'!U83</f>
        <v/>
      </c>
      <c r="O83" s="111">
        <f ca="1">IF($B$2="Não","",'CÁLCULO FUNPRESP'!Y83)</f>
        <v>0</v>
      </c>
    </row>
    <row r="84" spans="9:15" x14ac:dyDescent="0.3">
      <c r="I84" s="131">
        <f ca="1">'CÁLCULO FUNPRESP'!P84</f>
        <v>47299</v>
      </c>
      <c r="J84" s="111">
        <f ca="1">IF($B$2="Não","",'CÁLCULO FUNPRESP'!Q84)</f>
        <v>0</v>
      </c>
      <c r="K84" s="111">
        <f ca="1">IF($B$2="Não","",'CÁLCULO FUNPRESP'!R84)</f>
        <v>0</v>
      </c>
      <c r="L84" s="111">
        <f ca="1">IF($B$2="Não","",'CÁLCULO FUNPRESP'!S84)</f>
        <v>0</v>
      </c>
      <c r="N84" s="131" t="str">
        <f ca="1">'CÁLCULO FUNPRESP'!U84</f>
        <v/>
      </c>
      <c r="O84" s="111">
        <f ca="1">IF($B$2="Não","",'CÁLCULO FUNPRESP'!Y84)</f>
        <v>0</v>
      </c>
    </row>
    <row r="85" spans="9:15" x14ac:dyDescent="0.3">
      <c r="I85" s="131">
        <f ca="1">'CÁLCULO FUNPRESP'!P85</f>
        <v>47330</v>
      </c>
      <c r="J85" s="111">
        <f ca="1">IF($B$2="Não","",'CÁLCULO FUNPRESP'!Q85)</f>
        <v>0</v>
      </c>
      <c r="K85" s="111">
        <f ca="1">IF($B$2="Não","",'CÁLCULO FUNPRESP'!R85)</f>
        <v>0</v>
      </c>
      <c r="L85" s="111">
        <f ca="1">IF($B$2="Não","",'CÁLCULO FUNPRESP'!S85)</f>
        <v>0</v>
      </c>
      <c r="N85" s="131" t="str">
        <f ca="1">'CÁLCULO FUNPRESP'!U85</f>
        <v/>
      </c>
      <c r="O85" s="111">
        <f ca="1">IF($B$2="Não","",'CÁLCULO FUNPRESP'!Y85)</f>
        <v>0</v>
      </c>
    </row>
    <row r="86" spans="9:15" x14ac:dyDescent="0.3">
      <c r="I86" s="131">
        <f ca="1">'CÁLCULO FUNPRESP'!P86</f>
        <v>47361</v>
      </c>
      <c r="J86" s="111">
        <f ca="1">IF($B$2="Não","",'CÁLCULO FUNPRESP'!Q86)</f>
        <v>0</v>
      </c>
      <c r="K86" s="111">
        <f ca="1">IF($B$2="Não","",'CÁLCULO FUNPRESP'!R86)</f>
        <v>0</v>
      </c>
      <c r="L86" s="111">
        <f ca="1">IF($B$2="Não","",'CÁLCULO FUNPRESP'!S86)</f>
        <v>0</v>
      </c>
      <c r="N86" s="131" t="str">
        <f ca="1">'CÁLCULO FUNPRESP'!U86</f>
        <v/>
      </c>
      <c r="O86" s="111">
        <f ca="1">IF($B$2="Não","",'CÁLCULO FUNPRESP'!Y86)</f>
        <v>0</v>
      </c>
    </row>
    <row r="87" spans="9:15" x14ac:dyDescent="0.3">
      <c r="I87" s="131">
        <f ca="1">'CÁLCULO FUNPRESP'!P87</f>
        <v>47391</v>
      </c>
      <c r="J87" s="111">
        <f ca="1">IF($B$2="Não","",'CÁLCULO FUNPRESP'!Q87)</f>
        <v>0</v>
      </c>
      <c r="K87" s="111">
        <f ca="1">IF($B$2="Não","",'CÁLCULO FUNPRESP'!R87)</f>
        <v>0</v>
      </c>
      <c r="L87" s="111">
        <f ca="1">IF($B$2="Não","",'CÁLCULO FUNPRESP'!S87)</f>
        <v>0</v>
      </c>
      <c r="N87" s="131" t="str">
        <f ca="1">'CÁLCULO FUNPRESP'!U87</f>
        <v/>
      </c>
      <c r="O87" s="111">
        <f ca="1">IF($B$2="Não","",'CÁLCULO FUNPRESP'!Y87)</f>
        <v>0</v>
      </c>
    </row>
    <row r="88" spans="9:15" x14ac:dyDescent="0.3">
      <c r="I88" s="131">
        <f ca="1">'CÁLCULO FUNPRESP'!P88</f>
        <v>47422</v>
      </c>
      <c r="J88" s="111">
        <f ca="1">IF($B$2="Não","",'CÁLCULO FUNPRESP'!Q88)</f>
        <v>0</v>
      </c>
      <c r="K88" s="111">
        <f ca="1">IF($B$2="Não","",'CÁLCULO FUNPRESP'!R88)</f>
        <v>0</v>
      </c>
      <c r="L88" s="111">
        <f ca="1">IF($B$2="Não","",'CÁLCULO FUNPRESP'!S88)</f>
        <v>0</v>
      </c>
      <c r="N88" s="131" t="str">
        <f ca="1">'CÁLCULO FUNPRESP'!U88</f>
        <v/>
      </c>
      <c r="O88" s="111">
        <f ca="1">IF($B$2="Não","",'CÁLCULO FUNPRESP'!Y88)</f>
        <v>0</v>
      </c>
    </row>
    <row r="89" spans="9:15" x14ac:dyDescent="0.3">
      <c r="I89" s="131">
        <f ca="1">'CÁLCULO FUNPRESP'!P89</f>
        <v>47452</v>
      </c>
      <c r="J89" s="111">
        <f ca="1">IF($B$2="Não","",'CÁLCULO FUNPRESP'!Q89)</f>
        <v>0</v>
      </c>
      <c r="K89" s="111">
        <f ca="1">IF($B$2="Não","",'CÁLCULO FUNPRESP'!R89)</f>
        <v>0</v>
      </c>
      <c r="L89" s="111">
        <f ca="1">IF($B$2="Não","",'CÁLCULO FUNPRESP'!S89)</f>
        <v>0</v>
      </c>
      <c r="N89" s="131" t="str">
        <f ca="1">'CÁLCULO FUNPRESP'!U89</f>
        <v/>
      </c>
      <c r="O89" s="111">
        <f ca="1">IF($B$2="Não","",'CÁLCULO FUNPRESP'!Y89)</f>
        <v>0</v>
      </c>
    </row>
    <row r="90" spans="9:15" x14ac:dyDescent="0.3">
      <c r="I90" s="131">
        <f ca="1">'CÁLCULO FUNPRESP'!P90</f>
        <v>47483</v>
      </c>
      <c r="J90" s="111">
        <f ca="1">IF($B$2="Não","",'CÁLCULO FUNPRESP'!Q90)</f>
        <v>0</v>
      </c>
      <c r="K90" s="111">
        <f ca="1">IF($B$2="Não","",'CÁLCULO FUNPRESP'!R90)</f>
        <v>0</v>
      </c>
      <c r="L90" s="111">
        <f ca="1">IF($B$2="Não","",'CÁLCULO FUNPRESP'!S90)</f>
        <v>0</v>
      </c>
      <c r="N90" s="131" t="str">
        <f ca="1">'CÁLCULO FUNPRESP'!U90</f>
        <v/>
      </c>
      <c r="O90" s="111">
        <f ca="1">IF($B$2="Não","",'CÁLCULO FUNPRESP'!Y90)</f>
        <v>0</v>
      </c>
    </row>
    <row r="91" spans="9:15" x14ac:dyDescent="0.3">
      <c r="I91" s="131">
        <f ca="1">'CÁLCULO FUNPRESP'!P91</f>
        <v>47514</v>
      </c>
      <c r="J91" s="111">
        <f ca="1">IF($B$2="Não","",'CÁLCULO FUNPRESP'!Q91)</f>
        <v>0</v>
      </c>
      <c r="K91" s="111">
        <f ca="1">IF($B$2="Não","",'CÁLCULO FUNPRESP'!R91)</f>
        <v>0</v>
      </c>
      <c r="L91" s="111">
        <f ca="1">IF($B$2="Não","",'CÁLCULO FUNPRESP'!S91)</f>
        <v>0</v>
      </c>
      <c r="N91" s="131" t="str">
        <f ca="1">'CÁLCULO FUNPRESP'!U91</f>
        <v/>
      </c>
      <c r="O91" s="111">
        <f ca="1">IF($B$2="Não","",'CÁLCULO FUNPRESP'!Y91)</f>
        <v>0</v>
      </c>
    </row>
    <row r="92" spans="9:15" x14ac:dyDescent="0.3">
      <c r="I92" s="131">
        <f ca="1">'CÁLCULO FUNPRESP'!P92</f>
        <v>47542</v>
      </c>
      <c r="J92" s="111">
        <f ca="1">IF($B$2="Não","",'CÁLCULO FUNPRESP'!Q92)</f>
        <v>0</v>
      </c>
      <c r="K92" s="111">
        <f ca="1">IF($B$2="Não","",'CÁLCULO FUNPRESP'!R92)</f>
        <v>0</v>
      </c>
      <c r="L92" s="111">
        <f ca="1">IF($B$2="Não","",'CÁLCULO FUNPRESP'!S92)</f>
        <v>0</v>
      </c>
      <c r="N92" s="131" t="str">
        <f ca="1">'CÁLCULO FUNPRESP'!U92</f>
        <v/>
      </c>
      <c r="O92" s="111">
        <f ca="1">IF($B$2="Não","",'CÁLCULO FUNPRESP'!Y92)</f>
        <v>0</v>
      </c>
    </row>
    <row r="93" spans="9:15" x14ac:dyDescent="0.3">
      <c r="I93" s="131">
        <f ca="1">'CÁLCULO FUNPRESP'!P93</f>
        <v>47573</v>
      </c>
      <c r="J93" s="111">
        <f ca="1">IF($B$2="Não","",'CÁLCULO FUNPRESP'!Q93)</f>
        <v>0</v>
      </c>
      <c r="K93" s="111">
        <f ca="1">IF($B$2="Não","",'CÁLCULO FUNPRESP'!R93)</f>
        <v>0</v>
      </c>
      <c r="L93" s="111">
        <f ca="1">IF($B$2="Não","",'CÁLCULO FUNPRESP'!S93)</f>
        <v>0</v>
      </c>
      <c r="N93" s="131" t="str">
        <f ca="1">'CÁLCULO FUNPRESP'!U93</f>
        <v/>
      </c>
      <c r="O93" s="111">
        <f ca="1">IF($B$2="Não","",'CÁLCULO FUNPRESP'!Y93)</f>
        <v>0</v>
      </c>
    </row>
    <row r="94" spans="9:15" x14ac:dyDescent="0.3">
      <c r="I94" s="131">
        <f ca="1">'CÁLCULO FUNPRESP'!P94</f>
        <v>47603</v>
      </c>
      <c r="J94" s="111">
        <f ca="1">IF($B$2="Não","",'CÁLCULO FUNPRESP'!Q94)</f>
        <v>0</v>
      </c>
      <c r="K94" s="111">
        <f ca="1">IF($B$2="Não","",'CÁLCULO FUNPRESP'!R94)</f>
        <v>0</v>
      </c>
      <c r="L94" s="111">
        <f ca="1">IF($B$2="Não","",'CÁLCULO FUNPRESP'!S94)</f>
        <v>0</v>
      </c>
      <c r="N94" s="131" t="str">
        <f ca="1">'CÁLCULO FUNPRESP'!U94</f>
        <v/>
      </c>
      <c r="O94" s="111">
        <f ca="1">IF($B$2="Não","",'CÁLCULO FUNPRESP'!Y94)</f>
        <v>0</v>
      </c>
    </row>
    <row r="95" spans="9:15" x14ac:dyDescent="0.3">
      <c r="I95" s="131">
        <f ca="1">'CÁLCULO FUNPRESP'!P95</f>
        <v>47634</v>
      </c>
      <c r="J95" s="111">
        <f ca="1">IF($B$2="Não","",'CÁLCULO FUNPRESP'!Q95)</f>
        <v>0</v>
      </c>
      <c r="K95" s="111">
        <f ca="1">IF($B$2="Não","",'CÁLCULO FUNPRESP'!R95)</f>
        <v>0</v>
      </c>
      <c r="L95" s="111">
        <f ca="1">IF($B$2="Não","",'CÁLCULO FUNPRESP'!S95)</f>
        <v>0</v>
      </c>
      <c r="N95" s="131" t="str">
        <f ca="1">'CÁLCULO FUNPRESP'!U95</f>
        <v/>
      </c>
      <c r="O95" s="111">
        <f ca="1">IF($B$2="Não","",'CÁLCULO FUNPRESP'!Y95)</f>
        <v>0</v>
      </c>
    </row>
    <row r="96" spans="9:15" x14ac:dyDescent="0.3">
      <c r="I96" s="131">
        <f ca="1">'CÁLCULO FUNPRESP'!P96</f>
        <v>47664</v>
      </c>
      <c r="J96" s="111">
        <f ca="1">IF($B$2="Não","",'CÁLCULO FUNPRESP'!Q96)</f>
        <v>0</v>
      </c>
      <c r="K96" s="111">
        <f ca="1">IF($B$2="Não","",'CÁLCULO FUNPRESP'!R96)</f>
        <v>0</v>
      </c>
      <c r="L96" s="111">
        <f ca="1">IF($B$2="Não","",'CÁLCULO FUNPRESP'!S96)</f>
        <v>0</v>
      </c>
      <c r="N96" s="131" t="str">
        <f ca="1">'CÁLCULO FUNPRESP'!U96</f>
        <v/>
      </c>
      <c r="O96" s="111">
        <f ca="1">IF($B$2="Não","",'CÁLCULO FUNPRESP'!Y96)</f>
        <v>0</v>
      </c>
    </row>
    <row r="97" spans="9:15" x14ac:dyDescent="0.3">
      <c r="I97" s="131">
        <f ca="1">'CÁLCULO FUNPRESP'!P97</f>
        <v>47695</v>
      </c>
      <c r="J97" s="111">
        <f ca="1">IF($B$2="Não","",'CÁLCULO FUNPRESP'!Q97)</f>
        <v>0</v>
      </c>
      <c r="K97" s="111">
        <f ca="1">IF($B$2="Não","",'CÁLCULO FUNPRESP'!R97)</f>
        <v>0</v>
      </c>
      <c r="L97" s="111">
        <f ca="1">IF($B$2="Não","",'CÁLCULO FUNPRESP'!S97)</f>
        <v>0</v>
      </c>
      <c r="N97" s="131" t="str">
        <f ca="1">'CÁLCULO FUNPRESP'!U97</f>
        <v/>
      </c>
      <c r="O97" s="111">
        <f ca="1">IF($B$2="Não","",'CÁLCULO FUNPRESP'!Y97)</f>
        <v>0</v>
      </c>
    </row>
    <row r="98" spans="9:15" x14ac:dyDescent="0.3">
      <c r="I98" s="131">
        <f ca="1">'CÁLCULO FUNPRESP'!P98</f>
        <v>47726</v>
      </c>
      <c r="J98" s="111">
        <f ca="1">IF($B$2="Não","",'CÁLCULO FUNPRESP'!Q98)</f>
        <v>0</v>
      </c>
      <c r="K98" s="111">
        <f ca="1">IF($B$2="Não","",'CÁLCULO FUNPRESP'!R98)</f>
        <v>0</v>
      </c>
      <c r="L98" s="111">
        <f ca="1">IF($B$2="Não","",'CÁLCULO FUNPRESP'!S98)</f>
        <v>0</v>
      </c>
      <c r="N98" s="131" t="str">
        <f ca="1">'CÁLCULO FUNPRESP'!U98</f>
        <v/>
      </c>
      <c r="O98" s="111">
        <f ca="1">IF($B$2="Não","",'CÁLCULO FUNPRESP'!Y98)</f>
        <v>0</v>
      </c>
    </row>
    <row r="99" spans="9:15" x14ac:dyDescent="0.3">
      <c r="I99" s="131">
        <f ca="1">'CÁLCULO FUNPRESP'!P99</f>
        <v>47756</v>
      </c>
      <c r="J99" s="111">
        <f ca="1">IF($B$2="Não","",'CÁLCULO FUNPRESP'!Q99)</f>
        <v>0</v>
      </c>
      <c r="K99" s="111">
        <f ca="1">IF($B$2="Não","",'CÁLCULO FUNPRESP'!R99)</f>
        <v>0</v>
      </c>
      <c r="L99" s="111">
        <f ca="1">IF($B$2="Não","",'CÁLCULO FUNPRESP'!S99)</f>
        <v>0</v>
      </c>
      <c r="N99" s="131" t="str">
        <f ca="1">'CÁLCULO FUNPRESP'!U99</f>
        <v/>
      </c>
      <c r="O99" s="111">
        <f ca="1">IF($B$2="Não","",'CÁLCULO FUNPRESP'!Y99)</f>
        <v>0</v>
      </c>
    </row>
    <row r="100" spans="9:15" x14ac:dyDescent="0.3">
      <c r="I100" s="131">
        <f ca="1">'CÁLCULO FUNPRESP'!P100</f>
        <v>47787</v>
      </c>
      <c r="J100" s="111">
        <f ca="1">IF($B$2="Não","",'CÁLCULO FUNPRESP'!Q100)</f>
        <v>0</v>
      </c>
      <c r="K100" s="111">
        <f ca="1">IF($B$2="Não","",'CÁLCULO FUNPRESP'!R100)</f>
        <v>0</v>
      </c>
      <c r="L100" s="111">
        <f ca="1">IF($B$2="Não","",'CÁLCULO FUNPRESP'!S100)</f>
        <v>0</v>
      </c>
      <c r="N100" s="131" t="str">
        <f ca="1">'CÁLCULO FUNPRESP'!U100</f>
        <v/>
      </c>
      <c r="O100" s="111">
        <f ca="1">IF($B$2="Não","",'CÁLCULO FUNPRESP'!Y100)</f>
        <v>0</v>
      </c>
    </row>
    <row r="101" spans="9:15" x14ac:dyDescent="0.3">
      <c r="I101" s="131">
        <f ca="1">'CÁLCULO FUNPRESP'!P101</f>
        <v>47817</v>
      </c>
      <c r="J101" s="111">
        <f ca="1">IF($B$2="Não","",'CÁLCULO FUNPRESP'!Q101)</f>
        <v>0</v>
      </c>
      <c r="K101" s="111">
        <f ca="1">IF($B$2="Não","",'CÁLCULO FUNPRESP'!R101)</f>
        <v>0</v>
      </c>
      <c r="L101" s="111">
        <f ca="1">IF($B$2="Não","",'CÁLCULO FUNPRESP'!S101)</f>
        <v>0</v>
      </c>
      <c r="N101" s="131" t="str">
        <f ca="1">'CÁLCULO FUNPRESP'!U101</f>
        <v/>
      </c>
      <c r="O101" s="111">
        <f ca="1">IF($B$2="Não","",'CÁLCULO FUNPRESP'!Y101)</f>
        <v>0</v>
      </c>
    </row>
    <row r="102" spans="9:15" x14ac:dyDescent="0.3">
      <c r="I102" s="131">
        <f ca="1">'CÁLCULO FUNPRESP'!P102</f>
        <v>47848</v>
      </c>
      <c r="J102" s="111">
        <f ca="1">IF($B$2="Não","",'CÁLCULO FUNPRESP'!Q102)</f>
        <v>0</v>
      </c>
      <c r="K102" s="111">
        <f ca="1">IF($B$2="Não","",'CÁLCULO FUNPRESP'!R102)</f>
        <v>0</v>
      </c>
      <c r="L102" s="111">
        <f ca="1">IF($B$2="Não","",'CÁLCULO FUNPRESP'!S102)</f>
        <v>0</v>
      </c>
      <c r="N102" s="131" t="str">
        <f ca="1">'CÁLCULO FUNPRESP'!U102</f>
        <v/>
      </c>
      <c r="O102" s="111">
        <f ca="1">IF($B$2="Não","",'CÁLCULO FUNPRESP'!Y102)</f>
        <v>0</v>
      </c>
    </row>
    <row r="103" spans="9:15" x14ac:dyDescent="0.3">
      <c r="I103" s="131">
        <f ca="1">'CÁLCULO FUNPRESP'!P103</f>
        <v>47879</v>
      </c>
      <c r="J103" s="111">
        <f ca="1">IF($B$2="Não","",'CÁLCULO FUNPRESP'!Q103)</f>
        <v>0</v>
      </c>
      <c r="K103" s="111">
        <f ca="1">IF($B$2="Não","",'CÁLCULO FUNPRESP'!R103)</f>
        <v>0</v>
      </c>
      <c r="L103" s="111">
        <f ca="1">IF($B$2="Não","",'CÁLCULO FUNPRESP'!S103)</f>
        <v>0</v>
      </c>
      <c r="N103" s="131" t="str">
        <f ca="1">'CÁLCULO FUNPRESP'!U103</f>
        <v/>
      </c>
      <c r="O103" s="111">
        <f ca="1">IF($B$2="Não","",'CÁLCULO FUNPRESP'!Y103)</f>
        <v>0</v>
      </c>
    </row>
    <row r="104" spans="9:15" x14ac:dyDescent="0.3">
      <c r="I104" s="131">
        <f ca="1">'CÁLCULO FUNPRESP'!P104</f>
        <v>47907</v>
      </c>
      <c r="J104" s="111">
        <f ca="1">IF($B$2="Não","",'CÁLCULO FUNPRESP'!Q104)</f>
        <v>0</v>
      </c>
      <c r="K104" s="111">
        <f ca="1">IF($B$2="Não","",'CÁLCULO FUNPRESP'!R104)</f>
        <v>0</v>
      </c>
      <c r="L104" s="111">
        <f ca="1">IF($B$2="Não","",'CÁLCULO FUNPRESP'!S104)</f>
        <v>0</v>
      </c>
      <c r="N104" s="131" t="str">
        <f ca="1">'CÁLCULO FUNPRESP'!U104</f>
        <v/>
      </c>
      <c r="O104" s="111">
        <f ca="1">IF($B$2="Não","",'CÁLCULO FUNPRESP'!Y104)</f>
        <v>0</v>
      </c>
    </row>
    <row r="105" spans="9:15" x14ac:dyDescent="0.3">
      <c r="I105" s="131">
        <f ca="1">'CÁLCULO FUNPRESP'!P105</f>
        <v>47938</v>
      </c>
      <c r="J105" s="111">
        <f ca="1">IF($B$2="Não","",'CÁLCULO FUNPRESP'!Q105)</f>
        <v>0</v>
      </c>
      <c r="K105" s="111">
        <f ca="1">IF($B$2="Não","",'CÁLCULO FUNPRESP'!R105)</f>
        <v>0</v>
      </c>
      <c r="L105" s="111">
        <f ca="1">IF($B$2="Não","",'CÁLCULO FUNPRESP'!S105)</f>
        <v>0</v>
      </c>
      <c r="N105" s="131" t="str">
        <f ca="1">'CÁLCULO FUNPRESP'!U105</f>
        <v/>
      </c>
      <c r="O105" s="111">
        <f ca="1">IF($B$2="Não","",'CÁLCULO FUNPRESP'!Y105)</f>
        <v>0</v>
      </c>
    </row>
    <row r="106" spans="9:15" x14ac:dyDescent="0.3">
      <c r="I106" s="131">
        <f ca="1">'CÁLCULO FUNPRESP'!P106</f>
        <v>47968</v>
      </c>
      <c r="J106" s="111">
        <f ca="1">IF($B$2="Não","",'CÁLCULO FUNPRESP'!Q106)</f>
        <v>0</v>
      </c>
      <c r="K106" s="111">
        <f ca="1">IF($B$2="Não","",'CÁLCULO FUNPRESP'!R106)</f>
        <v>0</v>
      </c>
      <c r="L106" s="111">
        <f ca="1">IF($B$2="Não","",'CÁLCULO FUNPRESP'!S106)</f>
        <v>0</v>
      </c>
      <c r="N106" s="131" t="str">
        <f ca="1">'CÁLCULO FUNPRESP'!U106</f>
        <v/>
      </c>
      <c r="O106" s="111">
        <f ca="1">IF($B$2="Não","",'CÁLCULO FUNPRESP'!Y106)</f>
        <v>0</v>
      </c>
    </row>
    <row r="107" spans="9:15" x14ac:dyDescent="0.3">
      <c r="I107" s="131">
        <f ca="1">'CÁLCULO FUNPRESP'!P107</f>
        <v>47999</v>
      </c>
      <c r="J107" s="111">
        <f ca="1">IF($B$2="Não","",'CÁLCULO FUNPRESP'!Q107)</f>
        <v>0</v>
      </c>
      <c r="K107" s="111">
        <f ca="1">IF($B$2="Não","",'CÁLCULO FUNPRESP'!R107)</f>
        <v>0</v>
      </c>
      <c r="L107" s="111">
        <f ca="1">IF($B$2="Não","",'CÁLCULO FUNPRESP'!S107)</f>
        <v>0</v>
      </c>
      <c r="N107" s="131" t="str">
        <f ca="1">'CÁLCULO FUNPRESP'!U107</f>
        <v/>
      </c>
      <c r="O107" s="111">
        <f ca="1">IF($B$2="Não","",'CÁLCULO FUNPRESP'!Y107)</f>
        <v>0</v>
      </c>
    </row>
    <row r="108" spans="9:15" x14ac:dyDescent="0.3">
      <c r="I108" s="131">
        <f ca="1">'CÁLCULO FUNPRESP'!P108</f>
        <v>48029</v>
      </c>
      <c r="J108" s="111">
        <f ca="1">IF($B$2="Não","",'CÁLCULO FUNPRESP'!Q108)</f>
        <v>0</v>
      </c>
      <c r="K108" s="111">
        <f ca="1">IF($B$2="Não","",'CÁLCULO FUNPRESP'!R108)</f>
        <v>0</v>
      </c>
      <c r="L108" s="111">
        <f ca="1">IF($B$2="Não","",'CÁLCULO FUNPRESP'!S108)</f>
        <v>0</v>
      </c>
      <c r="N108" s="131" t="str">
        <f ca="1">'CÁLCULO FUNPRESP'!U108</f>
        <v/>
      </c>
      <c r="O108" s="111">
        <f ca="1">IF($B$2="Não","",'CÁLCULO FUNPRESP'!Y108)</f>
        <v>0</v>
      </c>
    </row>
    <row r="109" spans="9:15" x14ac:dyDescent="0.3">
      <c r="I109" s="131">
        <f ca="1">'CÁLCULO FUNPRESP'!P109</f>
        <v>48060</v>
      </c>
      <c r="J109" s="111">
        <f ca="1">IF($B$2="Não","",'CÁLCULO FUNPRESP'!Q109)</f>
        <v>0</v>
      </c>
      <c r="K109" s="111">
        <f ca="1">IF($B$2="Não","",'CÁLCULO FUNPRESP'!R109)</f>
        <v>0</v>
      </c>
      <c r="L109" s="111">
        <f ca="1">IF($B$2="Não","",'CÁLCULO FUNPRESP'!S109)</f>
        <v>0</v>
      </c>
      <c r="N109" s="131" t="str">
        <f ca="1">'CÁLCULO FUNPRESP'!U109</f>
        <v/>
      </c>
      <c r="O109" s="111">
        <f ca="1">IF($B$2="Não","",'CÁLCULO FUNPRESP'!Y109)</f>
        <v>0</v>
      </c>
    </row>
    <row r="110" spans="9:15" x14ac:dyDescent="0.3">
      <c r="I110" s="131">
        <f ca="1">'CÁLCULO FUNPRESP'!P110</f>
        <v>48091</v>
      </c>
      <c r="J110" s="111">
        <f ca="1">IF($B$2="Não","",'CÁLCULO FUNPRESP'!Q110)</f>
        <v>0</v>
      </c>
      <c r="K110" s="111">
        <f ca="1">IF($B$2="Não","",'CÁLCULO FUNPRESP'!R110)</f>
        <v>0</v>
      </c>
      <c r="L110" s="111">
        <f ca="1">IF($B$2="Não","",'CÁLCULO FUNPRESP'!S110)</f>
        <v>0</v>
      </c>
      <c r="N110" s="131" t="str">
        <f ca="1">'CÁLCULO FUNPRESP'!U110</f>
        <v/>
      </c>
      <c r="O110" s="111">
        <f ca="1">IF($B$2="Não","",'CÁLCULO FUNPRESP'!Y110)</f>
        <v>0</v>
      </c>
    </row>
    <row r="111" spans="9:15" x14ac:dyDescent="0.3">
      <c r="I111" s="131">
        <f ca="1">'CÁLCULO FUNPRESP'!P111</f>
        <v>48121</v>
      </c>
      <c r="J111" s="111">
        <f ca="1">IF($B$2="Não","",'CÁLCULO FUNPRESP'!Q111)</f>
        <v>0</v>
      </c>
      <c r="K111" s="111">
        <f ca="1">IF($B$2="Não","",'CÁLCULO FUNPRESP'!R111)</f>
        <v>0</v>
      </c>
      <c r="L111" s="111">
        <f ca="1">IF($B$2="Não","",'CÁLCULO FUNPRESP'!S111)</f>
        <v>0</v>
      </c>
      <c r="N111" s="131" t="str">
        <f ca="1">'CÁLCULO FUNPRESP'!U111</f>
        <v/>
      </c>
      <c r="O111" s="111">
        <f ca="1">IF($B$2="Não","",'CÁLCULO FUNPRESP'!Y111)</f>
        <v>0</v>
      </c>
    </row>
    <row r="112" spans="9:15" x14ac:dyDescent="0.3">
      <c r="I112" s="131">
        <f ca="1">'CÁLCULO FUNPRESP'!P112</f>
        <v>48152</v>
      </c>
      <c r="J112" s="111">
        <f ca="1">IF($B$2="Não","",'CÁLCULO FUNPRESP'!Q112)</f>
        <v>0</v>
      </c>
      <c r="K112" s="111">
        <f ca="1">IF($B$2="Não","",'CÁLCULO FUNPRESP'!R112)</f>
        <v>0</v>
      </c>
      <c r="L112" s="111">
        <f ca="1">IF($B$2="Não","",'CÁLCULO FUNPRESP'!S112)</f>
        <v>0</v>
      </c>
      <c r="N112" s="131" t="str">
        <f ca="1">'CÁLCULO FUNPRESP'!U112</f>
        <v/>
      </c>
      <c r="O112" s="111">
        <f ca="1">IF($B$2="Não","",'CÁLCULO FUNPRESP'!Y112)</f>
        <v>0</v>
      </c>
    </row>
    <row r="113" spans="9:15" x14ac:dyDescent="0.3">
      <c r="I113" s="131">
        <f ca="1">'CÁLCULO FUNPRESP'!P113</f>
        <v>48182</v>
      </c>
      <c r="J113" s="111">
        <f ca="1">IF($B$2="Não","",'CÁLCULO FUNPRESP'!Q113)</f>
        <v>0</v>
      </c>
      <c r="K113" s="111">
        <f ca="1">IF($B$2="Não","",'CÁLCULO FUNPRESP'!R113)</f>
        <v>0</v>
      </c>
      <c r="L113" s="111">
        <f ca="1">IF($B$2="Não","",'CÁLCULO FUNPRESP'!S113)</f>
        <v>0</v>
      </c>
      <c r="N113" s="131" t="str">
        <f ca="1">'CÁLCULO FUNPRESP'!U113</f>
        <v/>
      </c>
      <c r="O113" s="111">
        <f ca="1">IF($B$2="Não","",'CÁLCULO FUNPRESP'!Y113)</f>
        <v>0</v>
      </c>
    </row>
    <row r="114" spans="9:15" x14ac:dyDescent="0.3">
      <c r="I114" s="131">
        <f ca="1">'CÁLCULO FUNPRESP'!P114</f>
        <v>48213</v>
      </c>
      <c r="J114" s="111">
        <f ca="1">IF($B$2="Não","",'CÁLCULO FUNPRESP'!Q114)</f>
        <v>0</v>
      </c>
      <c r="K114" s="111">
        <f ca="1">IF($B$2="Não","",'CÁLCULO FUNPRESP'!R114)</f>
        <v>0</v>
      </c>
      <c r="L114" s="111">
        <f ca="1">IF($B$2="Não","",'CÁLCULO FUNPRESP'!S114)</f>
        <v>0</v>
      </c>
      <c r="N114" s="131" t="str">
        <f ca="1">'CÁLCULO FUNPRESP'!U114</f>
        <v/>
      </c>
      <c r="O114" s="111">
        <f ca="1">IF($B$2="Não","",'CÁLCULO FUNPRESP'!Y114)</f>
        <v>0</v>
      </c>
    </row>
    <row r="115" spans="9:15" x14ac:dyDescent="0.3">
      <c r="I115" s="131">
        <f ca="1">'CÁLCULO FUNPRESP'!P115</f>
        <v>48244</v>
      </c>
      <c r="J115" s="111">
        <f ca="1">IF($B$2="Não","",'CÁLCULO FUNPRESP'!Q115)</f>
        <v>0</v>
      </c>
      <c r="K115" s="111">
        <f ca="1">IF($B$2="Não","",'CÁLCULO FUNPRESP'!R115)</f>
        <v>0</v>
      </c>
      <c r="L115" s="111">
        <f ca="1">IF($B$2="Não","",'CÁLCULO FUNPRESP'!S115)</f>
        <v>0</v>
      </c>
      <c r="N115" s="131" t="str">
        <f ca="1">'CÁLCULO FUNPRESP'!U115</f>
        <v/>
      </c>
      <c r="O115" s="111">
        <f ca="1">IF($B$2="Não","",'CÁLCULO FUNPRESP'!Y115)</f>
        <v>0</v>
      </c>
    </row>
    <row r="116" spans="9:15" x14ac:dyDescent="0.3">
      <c r="I116" s="131">
        <f ca="1">'CÁLCULO FUNPRESP'!P116</f>
        <v>48273</v>
      </c>
      <c r="J116" s="111">
        <f ca="1">IF($B$2="Não","",'CÁLCULO FUNPRESP'!Q116)</f>
        <v>0</v>
      </c>
      <c r="K116" s="111">
        <f ca="1">IF($B$2="Não","",'CÁLCULO FUNPRESP'!R116)</f>
        <v>0</v>
      </c>
      <c r="L116" s="111">
        <f ca="1">IF($B$2="Não","",'CÁLCULO FUNPRESP'!S116)</f>
        <v>0</v>
      </c>
      <c r="N116" s="131" t="str">
        <f ca="1">'CÁLCULO FUNPRESP'!U116</f>
        <v/>
      </c>
      <c r="O116" s="111">
        <f ca="1">IF($B$2="Não","",'CÁLCULO FUNPRESP'!Y116)</f>
        <v>0</v>
      </c>
    </row>
    <row r="117" spans="9:15" x14ac:dyDescent="0.3">
      <c r="I117" s="131">
        <f ca="1">'CÁLCULO FUNPRESP'!P117</f>
        <v>48304</v>
      </c>
      <c r="J117" s="111">
        <f ca="1">IF($B$2="Não","",'CÁLCULO FUNPRESP'!Q117)</f>
        <v>0</v>
      </c>
      <c r="K117" s="111">
        <f ca="1">IF($B$2="Não","",'CÁLCULO FUNPRESP'!R117)</f>
        <v>0</v>
      </c>
      <c r="L117" s="111">
        <f ca="1">IF($B$2="Não","",'CÁLCULO FUNPRESP'!S117)</f>
        <v>0</v>
      </c>
      <c r="N117" s="131" t="str">
        <f ca="1">'CÁLCULO FUNPRESP'!U117</f>
        <v/>
      </c>
      <c r="O117" s="111">
        <f ca="1">IF($B$2="Não","",'CÁLCULO FUNPRESP'!Y117)</f>
        <v>0</v>
      </c>
    </row>
    <row r="118" spans="9:15" x14ac:dyDescent="0.3">
      <c r="I118" s="131">
        <f ca="1">'CÁLCULO FUNPRESP'!P118</f>
        <v>48334</v>
      </c>
      <c r="J118" s="111">
        <f ca="1">IF($B$2="Não","",'CÁLCULO FUNPRESP'!Q118)</f>
        <v>0</v>
      </c>
      <c r="K118" s="111">
        <f ca="1">IF($B$2="Não","",'CÁLCULO FUNPRESP'!R118)</f>
        <v>0</v>
      </c>
      <c r="L118" s="111">
        <f ca="1">IF($B$2="Não","",'CÁLCULO FUNPRESP'!S118)</f>
        <v>0</v>
      </c>
      <c r="N118" s="131" t="str">
        <f ca="1">'CÁLCULO FUNPRESP'!U118</f>
        <v/>
      </c>
      <c r="O118" s="111">
        <f ca="1">IF($B$2="Não","",'CÁLCULO FUNPRESP'!Y118)</f>
        <v>0</v>
      </c>
    </row>
    <row r="119" spans="9:15" x14ac:dyDescent="0.3">
      <c r="I119" s="131">
        <f ca="1">'CÁLCULO FUNPRESP'!P119</f>
        <v>48365</v>
      </c>
      <c r="J119" s="111">
        <f ca="1">IF($B$2="Não","",'CÁLCULO FUNPRESP'!Q119)</f>
        <v>0</v>
      </c>
      <c r="K119" s="111">
        <f ca="1">IF($B$2="Não","",'CÁLCULO FUNPRESP'!R119)</f>
        <v>0</v>
      </c>
      <c r="L119" s="111">
        <f ca="1">IF($B$2="Não","",'CÁLCULO FUNPRESP'!S119)</f>
        <v>0</v>
      </c>
      <c r="N119" s="131" t="str">
        <f ca="1">'CÁLCULO FUNPRESP'!U119</f>
        <v/>
      </c>
      <c r="O119" s="111">
        <f ca="1">IF($B$2="Não","",'CÁLCULO FUNPRESP'!Y119)</f>
        <v>0</v>
      </c>
    </row>
    <row r="120" spans="9:15" x14ac:dyDescent="0.3">
      <c r="I120" s="131">
        <f ca="1">'CÁLCULO FUNPRESP'!P120</f>
        <v>48395</v>
      </c>
      <c r="J120" s="111">
        <f ca="1">IF($B$2="Não","",'CÁLCULO FUNPRESP'!Q120)</f>
        <v>0</v>
      </c>
      <c r="K120" s="111">
        <f ca="1">IF($B$2="Não","",'CÁLCULO FUNPRESP'!R120)</f>
        <v>0</v>
      </c>
      <c r="L120" s="111">
        <f ca="1">IF($B$2="Não","",'CÁLCULO FUNPRESP'!S120)</f>
        <v>0</v>
      </c>
      <c r="N120" s="131" t="str">
        <f ca="1">'CÁLCULO FUNPRESP'!U120</f>
        <v/>
      </c>
      <c r="O120" s="111">
        <f ca="1">IF($B$2="Não","",'CÁLCULO FUNPRESP'!Y120)</f>
        <v>0</v>
      </c>
    </row>
    <row r="121" spans="9:15" x14ac:dyDescent="0.3">
      <c r="I121" s="131">
        <f ca="1">'CÁLCULO FUNPRESP'!P121</f>
        <v>48426</v>
      </c>
      <c r="J121" s="111">
        <f ca="1">IF($B$2="Não","",'CÁLCULO FUNPRESP'!Q121)</f>
        <v>0</v>
      </c>
      <c r="K121" s="111">
        <f ca="1">IF($B$2="Não","",'CÁLCULO FUNPRESP'!R121)</f>
        <v>0</v>
      </c>
      <c r="L121" s="111">
        <f ca="1">IF($B$2="Não","",'CÁLCULO FUNPRESP'!S121)</f>
        <v>0</v>
      </c>
      <c r="N121" s="131" t="str">
        <f ca="1">'CÁLCULO FUNPRESP'!U121</f>
        <v/>
      </c>
      <c r="O121" s="111">
        <f ca="1">IF($B$2="Não","",'CÁLCULO FUNPRESP'!Y121)</f>
        <v>0</v>
      </c>
    </row>
    <row r="122" spans="9:15" x14ac:dyDescent="0.3">
      <c r="I122" s="131">
        <f ca="1">'CÁLCULO FUNPRESP'!P122</f>
        <v>48457</v>
      </c>
      <c r="J122" s="111">
        <f ca="1">IF($B$2="Não","",'CÁLCULO FUNPRESP'!Q122)</f>
        <v>0</v>
      </c>
      <c r="K122" s="111">
        <f ca="1">IF($B$2="Não","",'CÁLCULO FUNPRESP'!R122)</f>
        <v>0</v>
      </c>
      <c r="L122" s="111">
        <f ca="1">IF($B$2="Não","",'CÁLCULO FUNPRESP'!S122)</f>
        <v>0</v>
      </c>
      <c r="N122" s="131" t="str">
        <f ca="1">'CÁLCULO FUNPRESP'!U122</f>
        <v/>
      </c>
      <c r="O122" s="111">
        <f ca="1">IF($B$2="Não","",'CÁLCULO FUNPRESP'!Y122)</f>
        <v>0</v>
      </c>
    </row>
    <row r="123" spans="9:15" x14ac:dyDescent="0.3">
      <c r="I123" s="131">
        <f ca="1">'CÁLCULO FUNPRESP'!P123</f>
        <v>48487</v>
      </c>
      <c r="J123" s="111">
        <f ca="1">IF($B$2="Não","",'CÁLCULO FUNPRESP'!Q123)</f>
        <v>0</v>
      </c>
      <c r="K123" s="111">
        <f ca="1">IF($B$2="Não","",'CÁLCULO FUNPRESP'!R123)</f>
        <v>0</v>
      </c>
      <c r="L123" s="111">
        <f ca="1">IF($B$2="Não","",'CÁLCULO FUNPRESP'!S123)</f>
        <v>0</v>
      </c>
      <c r="N123" s="131" t="str">
        <f ca="1">'CÁLCULO FUNPRESP'!U123</f>
        <v/>
      </c>
      <c r="O123" s="111">
        <f ca="1">IF($B$2="Não","",'CÁLCULO FUNPRESP'!Y123)</f>
        <v>0</v>
      </c>
    </row>
    <row r="124" spans="9:15" x14ac:dyDescent="0.3">
      <c r="I124" s="131">
        <f ca="1">'CÁLCULO FUNPRESP'!P124</f>
        <v>48518</v>
      </c>
      <c r="J124" s="111">
        <f ca="1">IF($B$2="Não","",'CÁLCULO FUNPRESP'!Q124)</f>
        <v>0</v>
      </c>
      <c r="K124" s="111">
        <f ca="1">IF($B$2="Não","",'CÁLCULO FUNPRESP'!R124)</f>
        <v>0</v>
      </c>
      <c r="L124" s="111">
        <f ca="1">IF($B$2="Não","",'CÁLCULO FUNPRESP'!S124)</f>
        <v>0</v>
      </c>
      <c r="N124" s="131" t="str">
        <f ca="1">'CÁLCULO FUNPRESP'!U124</f>
        <v/>
      </c>
      <c r="O124" s="111">
        <f ca="1">IF($B$2="Não","",'CÁLCULO FUNPRESP'!Y124)</f>
        <v>0</v>
      </c>
    </row>
    <row r="125" spans="9:15" x14ac:dyDescent="0.3">
      <c r="I125" s="131">
        <f ca="1">'CÁLCULO FUNPRESP'!P125</f>
        <v>48548</v>
      </c>
      <c r="J125" s="111">
        <f ca="1">IF($B$2="Não","",'CÁLCULO FUNPRESP'!Q125)</f>
        <v>0</v>
      </c>
      <c r="K125" s="111">
        <f ca="1">IF($B$2="Não","",'CÁLCULO FUNPRESP'!R125)</f>
        <v>0</v>
      </c>
      <c r="L125" s="111">
        <f ca="1">IF($B$2="Não","",'CÁLCULO FUNPRESP'!S125)</f>
        <v>0</v>
      </c>
      <c r="N125" s="131" t="str">
        <f ca="1">'CÁLCULO FUNPRESP'!U125</f>
        <v/>
      </c>
      <c r="O125" s="111">
        <f ca="1">IF($B$2="Não","",'CÁLCULO FUNPRESP'!Y125)</f>
        <v>0</v>
      </c>
    </row>
    <row r="126" spans="9:15" x14ac:dyDescent="0.3">
      <c r="I126" s="131">
        <f ca="1">'CÁLCULO FUNPRESP'!P126</f>
        <v>48579</v>
      </c>
      <c r="J126" s="111">
        <f ca="1">IF($B$2="Não","",'CÁLCULO FUNPRESP'!Q126)</f>
        <v>0</v>
      </c>
      <c r="K126" s="111">
        <f ca="1">IF($B$2="Não","",'CÁLCULO FUNPRESP'!R126)</f>
        <v>0</v>
      </c>
      <c r="L126" s="111">
        <f ca="1">IF($B$2="Não","",'CÁLCULO FUNPRESP'!S126)</f>
        <v>0</v>
      </c>
      <c r="N126" s="131" t="str">
        <f ca="1">'CÁLCULO FUNPRESP'!U126</f>
        <v/>
      </c>
      <c r="O126" s="111">
        <f ca="1">IF($B$2="Não","",'CÁLCULO FUNPRESP'!Y126)</f>
        <v>0</v>
      </c>
    </row>
    <row r="127" spans="9:15" x14ac:dyDescent="0.3">
      <c r="I127" s="131">
        <f ca="1">'CÁLCULO FUNPRESP'!P127</f>
        <v>48610</v>
      </c>
      <c r="J127" s="111">
        <f ca="1">IF($B$2="Não","",'CÁLCULO FUNPRESP'!Q127)</f>
        <v>0</v>
      </c>
      <c r="K127" s="111">
        <f ca="1">IF($B$2="Não","",'CÁLCULO FUNPRESP'!R127)</f>
        <v>0</v>
      </c>
      <c r="L127" s="111">
        <f ca="1">IF($B$2="Não","",'CÁLCULO FUNPRESP'!S127)</f>
        <v>0</v>
      </c>
      <c r="N127" s="131" t="str">
        <f ca="1">'CÁLCULO FUNPRESP'!U127</f>
        <v/>
      </c>
      <c r="O127" s="111">
        <f ca="1">IF($B$2="Não","",'CÁLCULO FUNPRESP'!Y127)</f>
        <v>0</v>
      </c>
    </row>
    <row r="128" spans="9:15" x14ac:dyDescent="0.3">
      <c r="I128" s="131">
        <f ca="1">'CÁLCULO FUNPRESP'!P128</f>
        <v>48638</v>
      </c>
      <c r="J128" s="111">
        <f ca="1">IF($B$2="Não","",'CÁLCULO FUNPRESP'!Q128)</f>
        <v>0</v>
      </c>
      <c r="K128" s="111">
        <f ca="1">IF($B$2="Não","",'CÁLCULO FUNPRESP'!R128)</f>
        <v>0</v>
      </c>
      <c r="L128" s="111">
        <f ca="1">IF($B$2="Não","",'CÁLCULO FUNPRESP'!S128)</f>
        <v>0</v>
      </c>
      <c r="N128" s="131" t="str">
        <f ca="1">'CÁLCULO FUNPRESP'!U128</f>
        <v/>
      </c>
      <c r="O128" s="111">
        <f ca="1">IF($B$2="Não","",'CÁLCULO FUNPRESP'!Y128)</f>
        <v>0</v>
      </c>
    </row>
    <row r="129" spans="9:15" x14ac:dyDescent="0.3">
      <c r="I129" s="131">
        <f ca="1">'CÁLCULO FUNPRESP'!P129</f>
        <v>48669</v>
      </c>
      <c r="J129" s="111">
        <f ca="1">IF($B$2="Não","",'CÁLCULO FUNPRESP'!Q129)</f>
        <v>0</v>
      </c>
      <c r="K129" s="111">
        <f ca="1">IF($B$2="Não","",'CÁLCULO FUNPRESP'!R129)</f>
        <v>0</v>
      </c>
      <c r="L129" s="111">
        <f ca="1">IF($B$2="Não","",'CÁLCULO FUNPRESP'!S129)</f>
        <v>0</v>
      </c>
      <c r="N129" s="131" t="str">
        <f ca="1">'CÁLCULO FUNPRESP'!U129</f>
        <v/>
      </c>
      <c r="O129" s="111">
        <f ca="1">IF($B$2="Não","",'CÁLCULO FUNPRESP'!Y129)</f>
        <v>0</v>
      </c>
    </row>
    <row r="130" spans="9:15" x14ac:dyDescent="0.3">
      <c r="I130" s="131">
        <f ca="1">'CÁLCULO FUNPRESP'!P130</f>
        <v>48699</v>
      </c>
      <c r="J130" s="111">
        <f ca="1">IF($B$2="Não","",'CÁLCULO FUNPRESP'!Q130)</f>
        <v>0</v>
      </c>
      <c r="K130" s="111">
        <f ca="1">IF($B$2="Não","",'CÁLCULO FUNPRESP'!R130)</f>
        <v>0</v>
      </c>
      <c r="L130" s="111">
        <f ca="1">IF($B$2="Não","",'CÁLCULO FUNPRESP'!S130)</f>
        <v>0</v>
      </c>
      <c r="N130" s="131" t="str">
        <f ca="1">'CÁLCULO FUNPRESP'!U130</f>
        <v/>
      </c>
      <c r="O130" s="111">
        <f ca="1">IF($B$2="Não","",'CÁLCULO FUNPRESP'!Y130)</f>
        <v>0</v>
      </c>
    </row>
    <row r="131" spans="9:15" x14ac:dyDescent="0.3">
      <c r="I131" s="131">
        <f ca="1">'CÁLCULO FUNPRESP'!P131</f>
        <v>48730</v>
      </c>
      <c r="J131" s="111">
        <f ca="1">IF($B$2="Não","",'CÁLCULO FUNPRESP'!Q131)</f>
        <v>0</v>
      </c>
      <c r="K131" s="111">
        <f ca="1">IF($B$2="Não","",'CÁLCULO FUNPRESP'!R131)</f>
        <v>0</v>
      </c>
      <c r="L131" s="111">
        <f ca="1">IF($B$2="Não","",'CÁLCULO FUNPRESP'!S131)</f>
        <v>0</v>
      </c>
      <c r="N131" s="131" t="str">
        <f ca="1">'CÁLCULO FUNPRESP'!U131</f>
        <v/>
      </c>
      <c r="O131" s="111">
        <f ca="1">IF($B$2="Não","",'CÁLCULO FUNPRESP'!Y131)</f>
        <v>0</v>
      </c>
    </row>
    <row r="132" spans="9:15" x14ac:dyDescent="0.3">
      <c r="I132" s="131">
        <f ca="1">'CÁLCULO FUNPRESP'!P132</f>
        <v>48760</v>
      </c>
      <c r="J132" s="111">
        <f ca="1">IF($B$2="Não","",'CÁLCULO FUNPRESP'!Q132)</f>
        <v>0</v>
      </c>
      <c r="K132" s="111">
        <f ca="1">IF($B$2="Não","",'CÁLCULO FUNPRESP'!R132)</f>
        <v>0</v>
      </c>
      <c r="L132" s="111">
        <f ca="1">IF($B$2="Não","",'CÁLCULO FUNPRESP'!S132)</f>
        <v>0</v>
      </c>
      <c r="N132" s="131" t="str">
        <f ca="1">'CÁLCULO FUNPRESP'!U132</f>
        <v/>
      </c>
      <c r="O132" s="111">
        <f ca="1">IF($B$2="Não","",'CÁLCULO FUNPRESP'!Y132)</f>
        <v>0</v>
      </c>
    </row>
    <row r="133" spans="9:15" x14ac:dyDescent="0.3">
      <c r="I133" s="131">
        <f ca="1">'CÁLCULO FUNPRESP'!P133</f>
        <v>48791</v>
      </c>
      <c r="J133" s="111">
        <f ca="1">IF($B$2="Não","",'CÁLCULO FUNPRESP'!Q133)</f>
        <v>0</v>
      </c>
      <c r="K133" s="111">
        <f ca="1">IF($B$2="Não","",'CÁLCULO FUNPRESP'!R133)</f>
        <v>0</v>
      </c>
      <c r="L133" s="111">
        <f ca="1">IF($B$2="Não","",'CÁLCULO FUNPRESP'!S133)</f>
        <v>0</v>
      </c>
      <c r="N133" s="131" t="str">
        <f ca="1">'CÁLCULO FUNPRESP'!U133</f>
        <v/>
      </c>
      <c r="O133" s="111">
        <f ca="1">IF($B$2="Não","",'CÁLCULO FUNPRESP'!Y133)</f>
        <v>0</v>
      </c>
    </row>
    <row r="134" spans="9:15" x14ac:dyDescent="0.3">
      <c r="I134" s="131">
        <f ca="1">'CÁLCULO FUNPRESP'!P134</f>
        <v>48822</v>
      </c>
      <c r="J134" s="111">
        <f ca="1">IF($B$2="Não","",'CÁLCULO FUNPRESP'!Q134)</f>
        <v>0</v>
      </c>
      <c r="K134" s="111">
        <f ca="1">IF($B$2="Não","",'CÁLCULO FUNPRESP'!R134)</f>
        <v>0</v>
      </c>
      <c r="L134" s="111">
        <f ca="1">IF($B$2="Não","",'CÁLCULO FUNPRESP'!S134)</f>
        <v>0</v>
      </c>
      <c r="N134" s="131" t="str">
        <f ca="1">'CÁLCULO FUNPRESP'!U134</f>
        <v/>
      </c>
      <c r="O134" s="111">
        <f ca="1">IF($B$2="Não","",'CÁLCULO FUNPRESP'!Y134)</f>
        <v>0</v>
      </c>
    </row>
    <row r="135" spans="9:15" x14ac:dyDescent="0.3">
      <c r="I135" s="131">
        <f ca="1">'CÁLCULO FUNPRESP'!P135</f>
        <v>48852</v>
      </c>
      <c r="J135" s="111">
        <f ca="1">IF($B$2="Não","",'CÁLCULO FUNPRESP'!Q135)</f>
        <v>0</v>
      </c>
      <c r="K135" s="111">
        <f ca="1">IF($B$2="Não","",'CÁLCULO FUNPRESP'!R135)</f>
        <v>0</v>
      </c>
      <c r="L135" s="111">
        <f ca="1">IF($B$2="Não","",'CÁLCULO FUNPRESP'!S135)</f>
        <v>0</v>
      </c>
      <c r="N135" s="131" t="str">
        <f ca="1">'CÁLCULO FUNPRESP'!U135</f>
        <v/>
      </c>
      <c r="O135" s="111">
        <f ca="1">IF($B$2="Não","",'CÁLCULO FUNPRESP'!Y135)</f>
        <v>0</v>
      </c>
    </row>
    <row r="136" spans="9:15" x14ac:dyDescent="0.3">
      <c r="I136" s="131">
        <f ca="1">'CÁLCULO FUNPRESP'!P136</f>
        <v>48883</v>
      </c>
      <c r="J136" s="111">
        <f ca="1">IF($B$2="Não","",'CÁLCULO FUNPRESP'!Q136)</f>
        <v>0</v>
      </c>
      <c r="K136" s="111">
        <f ca="1">IF($B$2="Não","",'CÁLCULO FUNPRESP'!R136)</f>
        <v>0</v>
      </c>
      <c r="L136" s="111">
        <f ca="1">IF($B$2="Não","",'CÁLCULO FUNPRESP'!S136)</f>
        <v>0</v>
      </c>
      <c r="N136" s="131" t="str">
        <f ca="1">'CÁLCULO FUNPRESP'!U136</f>
        <v/>
      </c>
      <c r="O136" s="111">
        <f ca="1">IF($B$2="Não","",'CÁLCULO FUNPRESP'!Y136)</f>
        <v>0</v>
      </c>
    </row>
    <row r="137" spans="9:15" x14ac:dyDescent="0.3">
      <c r="I137" s="131">
        <f ca="1">'CÁLCULO FUNPRESP'!P137</f>
        <v>48913</v>
      </c>
      <c r="J137" s="111">
        <f ca="1">IF($B$2="Não","",'CÁLCULO FUNPRESP'!Q137)</f>
        <v>0</v>
      </c>
      <c r="K137" s="111">
        <f ca="1">IF($B$2="Não","",'CÁLCULO FUNPRESP'!R137)</f>
        <v>0</v>
      </c>
      <c r="L137" s="111">
        <f ca="1">IF($B$2="Não","",'CÁLCULO FUNPRESP'!S137)</f>
        <v>0</v>
      </c>
      <c r="N137" s="131" t="str">
        <f ca="1">'CÁLCULO FUNPRESP'!U137</f>
        <v/>
      </c>
      <c r="O137" s="111">
        <f ca="1">IF($B$2="Não","",'CÁLCULO FUNPRESP'!Y137)</f>
        <v>0</v>
      </c>
    </row>
    <row r="138" spans="9:15" x14ac:dyDescent="0.3">
      <c r="I138" s="131">
        <f ca="1">'CÁLCULO FUNPRESP'!P138</f>
        <v>48944</v>
      </c>
      <c r="J138" s="111">
        <f ca="1">IF($B$2="Não","",'CÁLCULO FUNPRESP'!Q138)</f>
        <v>0</v>
      </c>
      <c r="K138" s="111">
        <f ca="1">IF($B$2="Não","",'CÁLCULO FUNPRESP'!R138)</f>
        <v>0</v>
      </c>
      <c r="L138" s="111">
        <f ca="1">IF($B$2="Não","",'CÁLCULO FUNPRESP'!S138)</f>
        <v>0</v>
      </c>
      <c r="N138" s="131" t="str">
        <f ca="1">'CÁLCULO FUNPRESP'!U138</f>
        <v/>
      </c>
      <c r="O138" s="111">
        <f ca="1">IF($B$2="Não","",'CÁLCULO FUNPRESP'!Y138)</f>
        <v>0</v>
      </c>
    </row>
    <row r="139" spans="9:15" x14ac:dyDescent="0.3">
      <c r="I139" s="131">
        <f ca="1">'CÁLCULO FUNPRESP'!P139</f>
        <v>48975</v>
      </c>
      <c r="J139" s="111">
        <f ca="1">IF($B$2="Não","",'CÁLCULO FUNPRESP'!Q139)</f>
        <v>0</v>
      </c>
      <c r="K139" s="111">
        <f ca="1">IF($B$2="Não","",'CÁLCULO FUNPRESP'!R139)</f>
        <v>0</v>
      </c>
      <c r="L139" s="111">
        <f ca="1">IF($B$2="Não","",'CÁLCULO FUNPRESP'!S139)</f>
        <v>0</v>
      </c>
      <c r="N139" s="131" t="str">
        <f ca="1">'CÁLCULO FUNPRESP'!U139</f>
        <v/>
      </c>
      <c r="O139" s="111">
        <f ca="1">IF($B$2="Não","",'CÁLCULO FUNPRESP'!Y139)</f>
        <v>0</v>
      </c>
    </row>
    <row r="140" spans="9:15" x14ac:dyDescent="0.3">
      <c r="I140" s="131">
        <f ca="1">'CÁLCULO FUNPRESP'!P140</f>
        <v>49003</v>
      </c>
      <c r="J140" s="111">
        <f ca="1">IF($B$2="Não","",'CÁLCULO FUNPRESP'!Q140)</f>
        <v>0</v>
      </c>
      <c r="K140" s="111">
        <f ca="1">IF($B$2="Não","",'CÁLCULO FUNPRESP'!R140)</f>
        <v>0</v>
      </c>
      <c r="L140" s="111">
        <f ca="1">IF($B$2="Não","",'CÁLCULO FUNPRESP'!S140)</f>
        <v>0</v>
      </c>
      <c r="N140" s="131" t="str">
        <f ca="1">'CÁLCULO FUNPRESP'!U140</f>
        <v/>
      </c>
      <c r="O140" s="111">
        <f ca="1">IF($B$2="Não","",'CÁLCULO FUNPRESP'!Y140)</f>
        <v>0</v>
      </c>
    </row>
    <row r="141" spans="9:15" x14ac:dyDescent="0.3">
      <c r="I141" s="131">
        <f ca="1">'CÁLCULO FUNPRESP'!P141</f>
        <v>49034</v>
      </c>
      <c r="J141" s="111">
        <f ca="1">IF($B$2="Não","",'CÁLCULO FUNPRESP'!Q141)</f>
        <v>0</v>
      </c>
      <c r="K141" s="111">
        <f ca="1">IF($B$2="Não","",'CÁLCULO FUNPRESP'!R141)</f>
        <v>0</v>
      </c>
      <c r="L141" s="111">
        <f ca="1">IF($B$2="Não","",'CÁLCULO FUNPRESP'!S141)</f>
        <v>0</v>
      </c>
      <c r="N141" s="131" t="str">
        <f ca="1">'CÁLCULO FUNPRESP'!U141</f>
        <v/>
      </c>
      <c r="O141" s="111">
        <f ca="1">IF($B$2="Não","",'CÁLCULO FUNPRESP'!Y141)</f>
        <v>0</v>
      </c>
    </row>
    <row r="142" spans="9:15" x14ac:dyDescent="0.3">
      <c r="I142" s="131">
        <f ca="1">'CÁLCULO FUNPRESP'!P142</f>
        <v>49064</v>
      </c>
      <c r="J142" s="111">
        <f ca="1">IF($B$2="Não","",'CÁLCULO FUNPRESP'!Q142)</f>
        <v>0</v>
      </c>
      <c r="K142" s="111">
        <f ca="1">IF($B$2="Não","",'CÁLCULO FUNPRESP'!R142)</f>
        <v>0</v>
      </c>
      <c r="L142" s="111">
        <f ca="1">IF($B$2="Não","",'CÁLCULO FUNPRESP'!S142)</f>
        <v>0</v>
      </c>
      <c r="N142" s="131" t="str">
        <f ca="1">'CÁLCULO FUNPRESP'!U142</f>
        <v/>
      </c>
      <c r="O142" s="111">
        <f ca="1">IF($B$2="Não","",'CÁLCULO FUNPRESP'!Y142)</f>
        <v>0</v>
      </c>
    </row>
    <row r="143" spans="9:15" x14ac:dyDescent="0.3">
      <c r="I143" s="131">
        <f ca="1">'CÁLCULO FUNPRESP'!P143</f>
        <v>49095</v>
      </c>
      <c r="J143" s="111">
        <f ca="1">IF($B$2="Não","",'CÁLCULO FUNPRESP'!Q143)</f>
        <v>0</v>
      </c>
      <c r="K143" s="111">
        <f ca="1">IF($B$2="Não","",'CÁLCULO FUNPRESP'!R143)</f>
        <v>0</v>
      </c>
      <c r="L143" s="111">
        <f ca="1">IF($B$2="Não","",'CÁLCULO FUNPRESP'!S143)</f>
        <v>0</v>
      </c>
      <c r="N143" s="131" t="str">
        <f ca="1">'CÁLCULO FUNPRESP'!U143</f>
        <v/>
      </c>
      <c r="O143" s="111">
        <f ca="1">IF($B$2="Não","",'CÁLCULO FUNPRESP'!Y143)</f>
        <v>0</v>
      </c>
    </row>
    <row r="144" spans="9:15" x14ac:dyDescent="0.3">
      <c r="I144" s="131">
        <f ca="1">'CÁLCULO FUNPRESP'!P144</f>
        <v>49125</v>
      </c>
      <c r="J144" s="111">
        <f ca="1">IF($B$2="Não","",'CÁLCULO FUNPRESP'!Q144)</f>
        <v>0</v>
      </c>
      <c r="K144" s="111">
        <f ca="1">IF($B$2="Não","",'CÁLCULO FUNPRESP'!R144)</f>
        <v>0</v>
      </c>
      <c r="L144" s="111">
        <f ca="1">IF($B$2="Não","",'CÁLCULO FUNPRESP'!S144)</f>
        <v>0</v>
      </c>
      <c r="N144" s="131" t="str">
        <f ca="1">'CÁLCULO FUNPRESP'!U144</f>
        <v/>
      </c>
      <c r="O144" s="111">
        <f ca="1">IF($B$2="Não","",'CÁLCULO FUNPRESP'!Y144)</f>
        <v>0</v>
      </c>
    </row>
    <row r="145" spans="9:15" x14ac:dyDescent="0.3">
      <c r="I145" s="131">
        <f ca="1">'CÁLCULO FUNPRESP'!P145</f>
        <v>49156</v>
      </c>
      <c r="J145" s="111">
        <f ca="1">IF($B$2="Não","",'CÁLCULO FUNPRESP'!Q145)</f>
        <v>0</v>
      </c>
      <c r="K145" s="111">
        <f ca="1">IF($B$2="Não","",'CÁLCULO FUNPRESP'!R145)</f>
        <v>0</v>
      </c>
      <c r="L145" s="111">
        <f ca="1">IF($B$2="Não","",'CÁLCULO FUNPRESP'!S145)</f>
        <v>0</v>
      </c>
      <c r="N145" s="131" t="str">
        <f ca="1">'CÁLCULO FUNPRESP'!U145</f>
        <v/>
      </c>
      <c r="O145" s="111">
        <f ca="1">IF($B$2="Não","",'CÁLCULO FUNPRESP'!Y145)</f>
        <v>0</v>
      </c>
    </row>
    <row r="146" spans="9:15" x14ac:dyDescent="0.3">
      <c r="I146" s="131">
        <f ca="1">'CÁLCULO FUNPRESP'!P146</f>
        <v>49187</v>
      </c>
      <c r="J146" s="111">
        <f ca="1">IF($B$2="Não","",'CÁLCULO FUNPRESP'!Q146)</f>
        <v>0</v>
      </c>
      <c r="K146" s="111">
        <f ca="1">IF($B$2="Não","",'CÁLCULO FUNPRESP'!R146)</f>
        <v>0</v>
      </c>
      <c r="L146" s="111">
        <f ca="1">IF($B$2="Não","",'CÁLCULO FUNPRESP'!S146)</f>
        <v>0</v>
      </c>
      <c r="N146" s="131" t="str">
        <f ca="1">'CÁLCULO FUNPRESP'!U146</f>
        <v/>
      </c>
      <c r="O146" s="111">
        <f ca="1">IF($B$2="Não","",'CÁLCULO FUNPRESP'!Y146)</f>
        <v>0</v>
      </c>
    </row>
    <row r="147" spans="9:15" x14ac:dyDescent="0.3">
      <c r="I147" s="131">
        <f ca="1">'CÁLCULO FUNPRESP'!P147</f>
        <v>49217</v>
      </c>
      <c r="J147" s="111">
        <f ca="1">IF($B$2="Não","",'CÁLCULO FUNPRESP'!Q147)</f>
        <v>0</v>
      </c>
      <c r="K147" s="111">
        <f ca="1">IF($B$2="Não","",'CÁLCULO FUNPRESP'!R147)</f>
        <v>0</v>
      </c>
      <c r="L147" s="111">
        <f ca="1">IF($B$2="Não","",'CÁLCULO FUNPRESP'!S147)</f>
        <v>0</v>
      </c>
      <c r="N147" s="131" t="str">
        <f ca="1">'CÁLCULO FUNPRESP'!U147</f>
        <v/>
      </c>
      <c r="O147" s="111">
        <f ca="1">IF($B$2="Não","",'CÁLCULO FUNPRESP'!Y147)</f>
        <v>0</v>
      </c>
    </row>
    <row r="148" spans="9:15" x14ac:dyDescent="0.3">
      <c r="I148" s="131">
        <f ca="1">'CÁLCULO FUNPRESP'!P148</f>
        <v>49248</v>
      </c>
      <c r="J148" s="111">
        <f ca="1">IF($B$2="Não","",'CÁLCULO FUNPRESP'!Q148)</f>
        <v>0</v>
      </c>
      <c r="K148" s="111">
        <f ca="1">IF($B$2="Não","",'CÁLCULO FUNPRESP'!R148)</f>
        <v>0</v>
      </c>
      <c r="L148" s="111">
        <f ca="1">IF($B$2="Não","",'CÁLCULO FUNPRESP'!S148)</f>
        <v>0</v>
      </c>
      <c r="N148" s="131" t="str">
        <f ca="1">'CÁLCULO FUNPRESP'!U148</f>
        <v/>
      </c>
      <c r="O148" s="111">
        <f ca="1">IF($B$2="Não","",'CÁLCULO FUNPRESP'!Y148)</f>
        <v>0</v>
      </c>
    </row>
    <row r="149" spans="9:15" x14ac:dyDescent="0.3">
      <c r="I149" s="131">
        <f ca="1">'CÁLCULO FUNPRESP'!P149</f>
        <v>49278</v>
      </c>
      <c r="J149" s="111">
        <f ca="1">IF($B$2="Não","",'CÁLCULO FUNPRESP'!Q149)</f>
        <v>0</v>
      </c>
      <c r="K149" s="111">
        <f ca="1">IF($B$2="Não","",'CÁLCULO FUNPRESP'!R149)</f>
        <v>0</v>
      </c>
      <c r="L149" s="111">
        <f ca="1">IF($B$2="Não","",'CÁLCULO FUNPRESP'!S149)</f>
        <v>0</v>
      </c>
      <c r="N149" s="131" t="str">
        <f ca="1">'CÁLCULO FUNPRESP'!U149</f>
        <v/>
      </c>
      <c r="O149" s="111">
        <f ca="1">IF($B$2="Não","",'CÁLCULO FUNPRESP'!Y149)</f>
        <v>0</v>
      </c>
    </row>
    <row r="150" spans="9:15" x14ac:dyDescent="0.3">
      <c r="I150" s="131">
        <f ca="1">'CÁLCULO FUNPRESP'!P150</f>
        <v>49309</v>
      </c>
      <c r="J150" s="111">
        <f ca="1">IF($B$2="Não","",'CÁLCULO FUNPRESP'!Q150)</f>
        <v>0</v>
      </c>
      <c r="K150" s="111">
        <f ca="1">IF($B$2="Não","",'CÁLCULO FUNPRESP'!R150)</f>
        <v>0</v>
      </c>
      <c r="L150" s="111">
        <f ca="1">IF($B$2="Não","",'CÁLCULO FUNPRESP'!S150)</f>
        <v>0</v>
      </c>
      <c r="N150" s="131" t="str">
        <f ca="1">'CÁLCULO FUNPRESP'!U150</f>
        <v/>
      </c>
      <c r="O150" s="111">
        <f ca="1">IF($B$2="Não","",'CÁLCULO FUNPRESP'!Y150)</f>
        <v>0</v>
      </c>
    </row>
    <row r="151" spans="9:15" x14ac:dyDescent="0.3">
      <c r="I151" s="131">
        <f ca="1">'CÁLCULO FUNPRESP'!P151</f>
        <v>49340</v>
      </c>
      <c r="J151" s="111">
        <f ca="1">IF($B$2="Não","",'CÁLCULO FUNPRESP'!Q151)</f>
        <v>0</v>
      </c>
      <c r="K151" s="111">
        <f ca="1">IF($B$2="Não","",'CÁLCULO FUNPRESP'!R151)</f>
        <v>0</v>
      </c>
      <c r="L151" s="111">
        <f ca="1">IF($B$2="Não","",'CÁLCULO FUNPRESP'!S151)</f>
        <v>0</v>
      </c>
      <c r="N151" s="131" t="str">
        <f ca="1">'CÁLCULO FUNPRESP'!U151</f>
        <v/>
      </c>
      <c r="O151" s="111">
        <f ca="1">IF($B$2="Não","",'CÁLCULO FUNPRESP'!Y151)</f>
        <v>0</v>
      </c>
    </row>
    <row r="152" spans="9:15" x14ac:dyDescent="0.3">
      <c r="I152" s="131">
        <f ca="1">'CÁLCULO FUNPRESP'!P152</f>
        <v>49368</v>
      </c>
      <c r="J152" s="111">
        <f ca="1">IF($B$2="Não","",'CÁLCULO FUNPRESP'!Q152)</f>
        <v>0</v>
      </c>
      <c r="K152" s="111">
        <f ca="1">IF($B$2="Não","",'CÁLCULO FUNPRESP'!R152)</f>
        <v>0</v>
      </c>
      <c r="L152" s="111">
        <f ca="1">IF($B$2="Não","",'CÁLCULO FUNPRESP'!S152)</f>
        <v>0</v>
      </c>
      <c r="N152" s="131" t="str">
        <f ca="1">'CÁLCULO FUNPRESP'!U152</f>
        <v/>
      </c>
      <c r="O152" s="111">
        <f ca="1">IF($B$2="Não","",'CÁLCULO FUNPRESP'!Y152)</f>
        <v>0</v>
      </c>
    </row>
    <row r="153" spans="9:15" x14ac:dyDescent="0.3">
      <c r="I153" s="131">
        <f ca="1">'CÁLCULO FUNPRESP'!P153</f>
        <v>49399</v>
      </c>
      <c r="J153" s="111">
        <f ca="1">IF($B$2="Não","",'CÁLCULO FUNPRESP'!Q153)</f>
        <v>0</v>
      </c>
      <c r="K153" s="111">
        <f ca="1">IF($B$2="Não","",'CÁLCULO FUNPRESP'!R153)</f>
        <v>0</v>
      </c>
      <c r="L153" s="111">
        <f ca="1">IF($B$2="Não","",'CÁLCULO FUNPRESP'!S153)</f>
        <v>0</v>
      </c>
      <c r="N153" s="131" t="str">
        <f ca="1">'CÁLCULO FUNPRESP'!U153</f>
        <v/>
      </c>
      <c r="O153" s="111">
        <f ca="1">IF($B$2="Não","",'CÁLCULO FUNPRESP'!Y153)</f>
        <v>0</v>
      </c>
    </row>
    <row r="154" spans="9:15" x14ac:dyDescent="0.3">
      <c r="I154" s="131">
        <f ca="1">'CÁLCULO FUNPRESP'!P154</f>
        <v>49429</v>
      </c>
      <c r="J154" s="111">
        <f ca="1">IF($B$2="Não","",'CÁLCULO FUNPRESP'!Q154)</f>
        <v>0</v>
      </c>
      <c r="K154" s="111">
        <f ca="1">IF($B$2="Não","",'CÁLCULO FUNPRESP'!R154)</f>
        <v>0</v>
      </c>
      <c r="L154" s="111">
        <f ca="1">IF($B$2="Não","",'CÁLCULO FUNPRESP'!S154)</f>
        <v>0</v>
      </c>
      <c r="N154" s="131" t="str">
        <f ca="1">'CÁLCULO FUNPRESP'!U154</f>
        <v/>
      </c>
      <c r="O154" s="111">
        <f ca="1">IF($B$2="Não","",'CÁLCULO FUNPRESP'!Y154)</f>
        <v>0</v>
      </c>
    </row>
    <row r="155" spans="9:15" x14ac:dyDescent="0.3">
      <c r="I155" s="131">
        <f ca="1">'CÁLCULO FUNPRESP'!P155</f>
        <v>49460</v>
      </c>
      <c r="J155" s="111">
        <f ca="1">IF($B$2="Não","",'CÁLCULO FUNPRESP'!Q155)</f>
        <v>0</v>
      </c>
      <c r="K155" s="111">
        <f ca="1">IF($B$2="Não","",'CÁLCULO FUNPRESP'!R155)</f>
        <v>0</v>
      </c>
      <c r="L155" s="111">
        <f ca="1">IF($B$2="Não","",'CÁLCULO FUNPRESP'!S155)</f>
        <v>0</v>
      </c>
      <c r="N155" s="131" t="str">
        <f ca="1">'CÁLCULO FUNPRESP'!U155</f>
        <v/>
      </c>
      <c r="O155" s="111">
        <f ca="1">IF($B$2="Não","",'CÁLCULO FUNPRESP'!Y155)</f>
        <v>0</v>
      </c>
    </row>
    <row r="156" spans="9:15" x14ac:dyDescent="0.3">
      <c r="I156" s="131">
        <f ca="1">'CÁLCULO FUNPRESP'!P156</f>
        <v>49490</v>
      </c>
      <c r="J156" s="111">
        <f ca="1">IF($B$2="Não","",'CÁLCULO FUNPRESP'!Q156)</f>
        <v>0</v>
      </c>
      <c r="K156" s="111">
        <f ca="1">IF($B$2="Não","",'CÁLCULO FUNPRESP'!R156)</f>
        <v>0</v>
      </c>
      <c r="L156" s="111">
        <f ca="1">IF($B$2="Não","",'CÁLCULO FUNPRESP'!S156)</f>
        <v>0</v>
      </c>
      <c r="N156" s="131" t="str">
        <f ca="1">'CÁLCULO FUNPRESP'!U156</f>
        <v/>
      </c>
      <c r="O156" s="111">
        <f ca="1">IF($B$2="Não","",'CÁLCULO FUNPRESP'!Y156)</f>
        <v>0</v>
      </c>
    </row>
    <row r="157" spans="9:15" x14ac:dyDescent="0.3">
      <c r="I157" s="131">
        <f ca="1">'CÁLCULO FUNPRESP'!P157</f>
        <v>49521</v>
      </c>
      <c r="J157" s="111">
        <f ca="1">IF($B$2="Não","",'CÁLCULO FUNPRESP'!Q157)</f>
        <v>0</v>
      </c>
      <c r="K157" s="111">
        <f ca="1">IF($B$2="Não","",'CÁLCULO FUNPRESP'!R157)</f>
        <v>0</v>
      </c>
      <c r="L157" s="111">
        <f ca="1">IF($B$2="Não","",'CÁLCULO FUNPRESP'!S157)</f>
        <v>0</v>
      </c>
      <c r="N157" s="131" t="str">
        <f ca="1">'CÁLCULO FUNPRESP'!U157</f>
        <v/>
      </c>
      <c r="O157" s="111">
        <f ca="1">IF($B$2="Não","",'CÁLCULO FUNPRESP'!Y157)</f>
        <v>0</v>
      </c>
    </row>
    <row r="158" spans="9:15" x14ac:dyDescent="0.3">
      <c r="I158" s="131">
        <f ca="1">'CÁLCULO FUNPRESP'!P158</f>
        <v>49552</v>
      </c>
      <c r="J158" s="111">
        <f ca="1">IF($B$2="Não","",'CÁLCULO FUNPRESP'!Q158)</f>
        <v>0</v>
      </c>
      <c r="K158" s="111">
        <f ca="1">IF($B$2="Não","",'CÁLCULO FUNPRESP'!R158)</f>
        <v>0</v>
      </c>
      <c r="L158" s="111">
        <f ca="1">IF($B$2="Não","",'CÁLCULO FUNPRESP'!S158)</f>
        <v>0</v>
      </c>
      <c r="N158" s="131" t="str">
        <f ca="1">'CÁLCULO FUNPRESP'!U158</f>
        <v/>
      </c>
      <c r="O158" s="111">
        <f ca="1">IF($B$2="Não","",'CÁLCULO FUNPRESP'!Y158)</f>
        <v>0</v>
      </c>
    </row>
    <row r="159" spans="9:15" x14ac:dyDescent="0.3">
      <c r="I159" s="131">
        <f ca="1">'CÁLCULO FUNPRESP'!P159</f>
        <v>49582</v>
      </c>
      <c r="J159" s="111">
        <f ca="1">IF($B$2="Não","",'CÁLCULO FUNPRESP'!Q159)</f>
        <v>0</v>
      </c>
      <c r="K159" s="111">
        <f ca="1">IF($B$2="Não","",'CÁLCULO FUNPRESP'!R159)</f>
        <v>0</v>
      </c>
      <c r="L159" s="111">
        <f ca="1">IF($B$2="Não","",'CÁLCULO FUNPRESP'!S159)</f>
        <v>0</v>
      </c>
      <c r="N159" s="131" t="str">
        <f ca="1">'CÁLCULO FUNPRESP'!U159</f>
        <v/>
      </c>
      <c r="O159" s="111">
        <f ca="1">IF($B$2="Não","",'CÁLCULO FUNPRESP'!Y159)</f>
        <v>0</v>
      </c>
    </row>
    <row r="160" spans="9:15" x14ac:dyDescent="0.3">
      <c r="I160" s="131">
        <f ca="1">'CÁLCULO FUNPRESP'!P160</f>
        <v>49613</v>
      </c>
      <c r="J160" s="111">
        <f ca="1">IF($B$2="Não","",'CÁLCULO FUNPRESP'!Q160)</f>
        <v>0</v>
      </c>
      <c r="K160" s="111">
        <f ca="1">IF($B$2="Não","",'CÁLCULO FUNPRESP'!R160)</f>
        <v>0</v>
      </c>
      <c r="L160" s="111">
        <f ca="1">IF($B$2="Não","",'CÁLCULO FUNPRESP'!S160)</f>
        <v>0</v>
      </c>
      <c r="N160" s="131" t="str">
        <f ca="1">'CÁLCULO FUNPRESP'!U160</f>
        <v/>
      </c>
      <c r="O160" s="111">
        <f ca="1">IF($B$2="Não","",'CÁLCULO FUNPRESP'!Y160)</f>
        <v>0</v>
      </c>
    </row>
    <row r="161" spans="9:15" x14ac:dyDescent="0.3">
      <c r="I161" s="131">
        <f ca="1">'CÁLCULO FUNPRESP'!P161</f>
        <v>49643</v>
      </c>
      <c r="J161" s="111">
        <f ca="1">IF($B$2="Não","",'CÁLCULO FUNPRESP'!Q161)</f>
        <v>0</v>
      </c>
      <c r="K161" s="111">
        <f ca="1">IF($B$2="Não","",'CÁLCULO FUNPRESP'!R161)</f>
        <v>0</v>
      </c>
      <c r="L161" s="111">
        <f ca="1">IF($B$2="Não","",'CÁLCULO FUNPRESP'!S161)</f>
        <v>0</v>
      </c>
      <c r="N161" s="131" t="str">
        <f ca="1">'CÁLCULO FUNPRESP'!U161</f>
        <v/>
      </c>
      <c r="O161" s="111">
        <f ca="1">IF($B$2="Não","",'CÁLCULO FUNPRESP'!Y161)</f>
        <v>0</v>
      </c>
    </row>
    <row r="162" spans="9:15" x14ac:dyDescent="0.3">
      <c r="I162" s="131">
        <f ca="1">'CÁLCULO FUNPRESP'!P162</f>
        <v>49674</v>
      </c>
      <c r="J162" s="111">
        <f ca="1">IF($B$2="Não","",'CÁLCULO FUNPRESP'!Q162)</f>
        <v>0</v>
      </c>
      <c r="K162" s="111">
        <f ca="1">IF($B$2="Não","",'CÁLCULO FUNPRESP'!R162)</f>
        <v>0</v>
      </c>
      <c r="L162" s="111">
        <f ca="1">IF($B$2="Não","",'CÁLCULO FUNPRESP'!S162)</f>
        <v>0</v>
      </c>
      <c r="N162" s="131" t="str">
        <f ca="1">'CÁLCULO FUNPRESP'!U162</f>
        <v/>
      </c>
      <c r="O162" s="111">
        <f ca="1">IF($B$2="Não","",'CÁLCULO FUNPRESP'!Y162)</f>
        <v>0</v>
      </c>
    </row>
    <row r="163" spans="9:15" x14ac:dyDescent="0.3">
      <c r="I163" s="131">
        <f ca="1">'CÁLCULO FUNPRESP'!P163</f>
        <v>49705</v>
      </c>
      <c r="J163" s="111">
        <f ca="1">IF($B$2="Não","",'CÁLCULO FUNPRESP'!Q163)</f>
        <v>0</v>
      </c>
      <c r="K163" s="111">
        <f ca="1">IF($B$2="Não","",'CÁLCULO FUNPRESP'!R163)</f>
        <v>0</v>
      </c>
      <c r="L163" s="111">
        <f ca="1">IF($B$2="Não","",'CÁLCULO FUNPRESP'!S163)</f>
        <v>0</v>
      </c>
      <c r="N163" s="131" t="str">
        <f ca="1">'CÁLCULO FUNPRESP'!U163</f>
        <v/>
      </c>
      <c r="O163" s="111">
        <f ca="1">IF($B$2="Não","",'CÁLCULO FUNPRESP'!Y163)</f>
        <v>0</v>
      </c>
    </row>
    <row r="164" spans="9:15" x14ac:dyDescent="0.3">
      <c r="I164" s="131">
        <f ca="1">'CÁLCULO FUNPRESP'!P164</f>
        <v>49734</v>
      </c>
      <c r="J164" s="111">
        <f ca="1">IF($B$2="Não","",'CÁLCULO FUNPRESP'!Q164)</f>
        <v>0</v>
      </c>
      <c r="K164" s="111">
        <f ca="1">IF($B$2="Não","",'CÁLCULO FUNPRESP'!R164)</f>
        <v>0</v>
      </c>
      <c r="L164" s="111">
        <f ca="1">IF($B$2="Não","",'CÁLCULO FUNPRESP'!S164)</f>
        <v>0</v>
      </c>
      <c r="N164" s="131" t="str">
        <f ca="1">'CÁLCULO FUNPRESP'!U164</f>
        <v/>
      </c>
      <c r="O164" s="111">
        <f ca="1">IF($B$2="Não","",'CÁLCULO FUNPRESP'!Y164)</f>
        <v>0</v>
      </c>
    </row>
    <row r="165" spans="9:15" x14ac:dyDescent="0.3">
      <c r="I165" s="131">
        <f ca="1">'CÁLCULO FUNPRESP'!P165</f>
        <v>49765</v>
      </c>
      <c r="J165" s="111">
        <f ca="1">IF($B$2="Não","",'CÁLCULO FUNPRESP'!Q165)</f>
        <v>0</v>
      </c>
      <c r="K165" s="111">
        <f ca="1">IF($B$2="Não","",'CÁLCULO FUNPRESP'!R165)</f>
        <v>0</v>
      </c>
      <c r="L165" s="111">
        <f ca="1">IF($B$2="Não","",'CÁLCULO FUNPRESP'!S165)</f>
        <v>0</v>
      </c>
      <c r="N165" s="131" t="str">
        <f ca="1">'CÁLCULO FUNPRESP'!U165</f>
        <v/>
      </c>
      <c r="O165" s="111">
        <f ca="1">IF($B$2="Não","",'CÁLCULO FUNPRESP'!Y165)</f>
        <v>0</v>
      </c>
    </row>
    <row r="166" spans="9:15" x14ac:dyDescent="0.3">
      <c r="I166" s="131">
        <f ca="1">'CÁLCULO FUNPRESP'!P166</f>
        <v>49795</v>
      </c>
      <c r="J166" s="111">
        <f ca="1">IF($B$2="Não","",'CÁLCULO FUNPRESP'!Q166)</f>
        <v>0</v>
      </c>
      <c r="K166" s="111">
        <f ca="1">IF($B$2="Não","",'CÁLCULO FUNPRESP'!R166)</f>
        <v>0</v>
      </c>
      <c r="L166" s="111">
        <f ca="1">IF($B$2="Não","",'CÁLCULO FUNPRESP'!S166)</f>
        <v>0</v>
      </c>
      <c r="N166" s="131" t="str">
        <f ca="1">'CÁLCULO FUNPRESP'!U166</f>
        <v/>
      </c>
      <c r="O166" s="111">
        <f ca="1">IF($B$2="Não","",'CÁLCULO FUNPRESP'!Y166)</f>
        <v>0</v>
      </c>
    </row>
    <row r="167" spans="9:15" x14ac:dyDescent="0.3">
      <c r="I167" s="131">
        <f ca="1">'CÁLCULO FUNPRESP'!P167</f>
        <v>49826</v>
      </c>
      <c r="J167" s="111">
        <f ca="1">IF($B$2="Não","",'CÁLCULO FUNPRESP'!Q167)</f>
        <v>0</v>
      </c>
      <c r="K167" s="111">
        <f ca="1">IF($B$2="Não","",'CÁLCULO FUNPRESP'!R167)</f>
        <v>0</v>
      </c>
      <c r="L167" s="111">
        <f ca="1">IF($B$2="Não","",'CÁLCULO FUNPRESP'!S167)</f>
        <v>0</v>
      </c>
      <c r="N167" s="131" t="str">
        <f ca="1">'CÁLCULO FUNPRESP'!U167</f>
        <v/>
      </c>
      <c r="O167" s="111">
        <f ca="1">IF($B$2="Não","",'CÁLCULO FUNPRESP'!Y167)</f>
        <v>0</v>
      </c>
    </row>
    <row r="168" spans="9:15" x14ac:dyDescent="0.3">
      <c r="I168" s="131">
        <f ca="1">'CÁLCULO FUNPRESP'!P168</f>
        <v>49856</v>
      </c>
      <c r="J168" s="111">
        <f ca="1">IF($B$2="Não","",'CÁLCULO FUNPRESP'!Q168)</f>
        <v>0</v>
      </c>
      <c r="K168" s="111">
        <f ca="1">IF($B$2="Não","",'CÁLCULO FUNPRESP'!R168)</f>
        <v>0</v>
      </c>
      <c r="L168" s="111">
        <f ca="1">IF($B$2="Não","",'CÁLCULO FUNPRESP'!S168)</f>
        <v>0</v>
      </c>
      <c r="N168" s="131" t="str">
        <f ca="1">'CÁLCULO FUNPRESP'!U168</f>
        <v/>
      </c>
      <c r="O168" s="111">
        <f ca="1">IF($B$2="Não","",'CÁLCULO FUNPRESP'!Y168)</f>
        <v>0</v>
      </c>
    </row>
    <row r="169" spans="9:15" x14ac:dyDescent="0.3">
      <c r="I169" s="131">
        <f ca="1">'CÁLCULO FUNPRESP'!P169</f>
        <v>49887</v>
      </c>
      <c r="J169" s="111">
        <f ca="1">IF($B$2="Não","",'CÁLCULO FUNPRESP'!Q169)</f>
        <v>0</v>
      </c>
      <c r="K169" s="111">
        <f ca="1">IF($B$2="Não","",'CÁLCULO FUNPRESP'!R169)</f>
        <v>0</v>
      </c>
      <c r="L169" s="111">
        <f ca="1">IF($B$2="Não","",'CÁLCULO FUNPRESP'!S169)</f>
        <v>0</v>
      </c>
      <c r="N169" s="131" t="str">
        <f ca="1">'CÁLCULO FUNPRESP'!U169</f>
        <v/>
      </c>
      <c r="O169" s="111">
        <f ca="1">IF($B$2="Não","",'CÁLCULO FUNPRESP'!Y169)</f>
        <v>0</v>
      </c>
    </row>
    <row r="170" spans="9:15" x14ac:dyDescent="0.3">
      <c r="I170" s="131">
        <f ca="1">'CÁLCULO FUNPRESP'!P170</f>
        <v>49918</v>
      </c>
      <c r="J170" s="111">
        <f ca="1">IF($B$2="Não","",'CÁLCULO FUNPRESP'!Q170)</f>
        <v>0</v>
      </c>
      <c r="K170" s="111">
        <f ca="1">IF($B$2="Não","",'CÁLCULO FUNPRESP'!R170)</f>
        <v>0</v>
      </c>
      <c r="L170" s="111">
        <f ca="1">IF($B$2="Não","",'CÁLCULO FUNPRESP'!S170)</f>
        <v>0</v>
      </c>
      <c r="N170" s="131" t="str">
        <f ca="1">'CÁLCULO FUNPRESP'!U170</f>
        <v/>
      </c>
      <c r="O170" s="111">
        <f ca="1">IF($B$2="Não","",'CÁLCULO FUNPRESP'!Y170)</f>
        <v>0</v>
      </c>
    </row>
    <row r="171" spans="9:15" x14ac:dyDescent="0.3">
      <c r="I171" s="131">
        <f ca="1">'CÁLCULO FUNPRESP'!P171</f>
        <v>49948</v>
      </c>
      <c r="J171" s="111">
        <f ca="1">IF($B$2="Não","",'CÁLCULO FUNPRESP'!Q171)</f>
        <v>0</v>
      </c>
      <c r="K171" s="111">
        <f ca="1">IF($B$2="Não","",'CÁLCULO FUNPRESP'!R171)</f>
        <v>0</v>
      </c>
      <c r="L171" s="111">
        <f ca="1">IF($B$2="Não","",'CÁLCULO FUNPRESP'!S171)</f>
        <v>0</v>
      </c>
      <c r="N171" s="131" t="str">
        <f ca="1">'CÁLCULO FUNPRESP'!U171</f>
        <v/>
      </c>
      <c r="O171" s="111">
        <f ca="1">IF($B$2="Não","",'CÁLCULO FUNPRESP'!Y171)</f>
        <v>0</v>
      </c>
    </row>
    <row r="172" spans="9:15" x14ac:dyDescent="0.3">
      <c r="I172" s="131">
        <f ca="1">'CÁLCULO FUNPRESP'!P172</f>
        <v>49979</v>
      </c>
      <c r="J172" s="111">
        <f ca="1">IF($B$2="Não","",'CÁLCULO FUNPRESP'!Q172)</f>
        <v>0</v>
      </c>
      <c r="K172" s="111">
        <f ca="1">IF($B$2="Não","",'CÁLCULO FUNPRESP'!R172)</f>
        <v>0</v>
      </c>
      <c r="L172" s="111">
        <f ca="1">IF($B$2="Não","",'CÁLCULO FUNPRESP'!S172)</f>
        <v>0</v>
      </c>
      <c r="N172" s="131" t="str">
        <f ca="1">'CÁLCULO FUNPRESP'!U172</f>
        <v/>
      </c>
      <c r="O172" s="111">
        <f ca="1">IF($B$2="Não","",'CÁLCULO FUNPRESP'!Y172)</f>
        <v>0</v>
      </c>
    </row>
    <row r="173" spans="9:15" x14ac:dyDescent="0.3">
      <c r="I173" s="131">
        <f ca="1">'CÁLCULO FUNPRESP'!P173</f>
        <v>50009</v>
      </c>
      <c r="J173" s="111">
        <f ca="1">IF($B$2="Não","",'CÁLCULO FUNPRESP'!Q173)</f>
        <v>0</v>
      </c>
      <c r="K173" s="111">
        <f ca="1">IF($B$2="Não","",'CÁLCULO FUNPRESP'!R173)</f>
        <v>0</v>
      </c>
      <c r="L173" s="111">
        <f ca="1">IF($B$2="Não","",'CÁLCULO FUNPRESP'!S173)</f>
        <v>0</v>
      </c>
      <c r="N173" s="131" t="str">
        <f ca="1">'CÁLCULO FUNPRESP'!U173</f>
        <v/>
      </c>
      <c r="O173" s="111">
        <f ca="1">IF($B$2="Não","",'CÁLCULO FUNPRESP'!Y173)</f>
        <v>0</v>
      </c>
    </row>
    <row r="174" spans="9:15" x14ac:dyDescent="0.3">
      <c r="I174" s="131">
        <f ca="1">'CÁLCULO FUNPRESP'!P174</f>
        <v>50040</v>
      </c>
      <c r="J174" s="111">
        <f ca="1">IF($B$2="Não","",'CÁLCULO FUNPRESP'!Q174)</f>
        <v>0</v>
      </c>
      <c r="K174" s="111">
        <f ca="1">IF($B$2="Não","",'CÁLCULO FUNPRESP'!R174)</f>
        <v>0</v>
      </c>
      <c r="L174" s="111">
        <f ca="1">IF($B$2="Não","",'CÁLCULO FUNPRESP'!S174)</f>
        <v>0</v>
      </c>
      <c r="N174" s="131" t="str">
        <f ca="1">'CÁLCULO FUNPRESP'!U174</f>
        <v/>
      </c>
      <c r="O174" s="111">
        <f ca="1">IF($B$2="Não","",'CÁLCULO FUNPRESP'!Y174)</f>
        <v>0</v>
      </c>
    </row>
    <row r="175" spans="9:15" x14ac:dyDescent="0.3">
      <c r="I175" s="131">
        <f ca="1">'CÁLCULO FUNPRESP'!P175</f>
        <v>50071</v>
      </c>
      <c r="J175" s="111">
        <f ca="1">IF($B$2="Não","",'CÁLCULO FUNPRESP'!Q175)</f>
        <v>0</v>
      </c>
      <c r="K175" s="111">
        <f ca="1">IF($B$2="Não","",'CÁLCULO FUNPRESP'!R175)</f>
        <v>0</v>
      </c>
      <c r="L175" s="111">
        <f ca="1">IF($B$2="Não","",'CÁLCULO FUNPRESP'!S175)</f>
        <v>0</v>
      </c>
      <c r="N175" s="131" t="str">
        <f ca="1">'CÁLCULO FUNPRESP'!U175</f>
        <v/>
      </c>
      <c r="O175" s="111">
        <f ca="1">IF($B$2="Não","",'CÁLCULO FUNPRESP'!Y175)</f>
        <v>0</v>
      </c>
    </row>
    <row r="176" spans="9:15" x14ac:dyDescent="0.3">
      <c r="I176" s="131">
        <f ca="1">'CÁLCULO FUNPRESP'!P176</f>
        <v>50099</v>
      </c>
      <c r="J176" s="111">
        <f ca="1">IF($B$2="Não","",'CÁLCULO FUNPRESP'!Q176)</f>
        <v>0</v>
      </c>
      <c r="K176" s="111">
        <f ca="1">IF($B$2="Não","",'CÁLCULO FUNPRESP'!R176)</f>
        <v>0</v>
      </c>
      <c r="L176" s="111">
        <f ca="1">IF($B$2="Não","",'CÁLCULO FUNPRESP'!S176)</f>
        <v>0</v>
      </c>
      <c r="N176" s="131" t="str">
        <f ca="1">'CÁLCULO FUNPRESP'!U176</f>
        <v/>
      </c>
      <c r="O176" s="111">
        <f ca="1">IF($B$2="Não","",'CÁLCULO FUNPRESP'!Y176)</f>
        <v>0</v>
      </c>
    </row>
    <row r="177" spans="9:15" x14ac:dyDescent="0.3">
      <c r="I177" s="131">
        <f ca="1">'CÁLCULO FUNPRESP'!P177</f>
        <v>50130</v>
      </c>
      <c r="J177" s="111">
        <f ca="1">IF($B$2="Não","",'CÁLCULO FUNPRESP'!Q177)</f>
        <v>0</v>
      </c>
      <c r="K177" s="111">
        <f ca="1">IF($B$2="Não","",'CÁLCULO FUNPRESP'!R177)</f>
        <v>0</v>
      </c>
      <c r="L177" s="111">
        <f ca="1">IF($B$2="Não","",'CÁLCULO FUNPRESP'!S177)</f>
        <v>0</v>
      </c>
      <c r="N177" s="131" t="str">
        <f ca="1">'CÁLCULO FUNPRESP'!U177</f>
        <v/>
      </c>
      <c r="O177" s="111">
        <f ca="1">IF($B$2="Não","",'CÁLCULO FUNPRESP'!Y177)</f>
        <v>0</v>
      </c>
    </row>
    <row r="178" spans="9:15" x14ac:dyDescent="0.3">
      <c r="I178" s="131">
        <f ca="1">'CÁLCULO FUNPRESP'!P178</f>
        <v>50160</v>
      </c>
      <c r="J178" s="111">
        <f ca="1">IF($B$2="Não","",'CÁLCULO FUNPRESP'!Q178)</f>
        <v>0</v>
      </c>
      <c r="K178" s="111">
        <f ca="1">IF($B$2="Não","",'CÁLCULO FUNPRESP'!R178)</f>
        <v>0</v>
      </c>
      <c r="L178" s="111">
        <f ca="1">IF($B$2="Não","",'CÁLCULO FUNPRESP'!S178)</f>
        <v>0</v>
      </c>
      <c r="N178" s="131" t="str">
        <f ca="1">'CÁLCULO FUNPRESP'!U178</f>
        <v/>
      </c>
      <c r="O178" s="111">
        <f ca="1">IF($B$2="Não","",'CÁLCULO FUNPRESP'!Y178)</f>
        <v>0</v>
      </c>
    </row>
    <row r="179" spans="9:15" x14ac:dyDescent="0.3">
      <c r="I179" s="131">
        <f ca="1">'CÁLCULO FUNPRESP'!P179</f>
        <v>50191</v>
      </c>
      <c r="J179" s="111">
        <f ca="1">IF($B$2="Não","",'CÁLCULO FUNPRESP'!Q179)</f>
        <v>0</v>
      </c>
      <c r="K179" s="111">
        <f ca="1">IF($B$2="Não","",'CÁLCULO FUNPRESP'!R179)</f>
        <v>0</v>
      </c>
      <c r="L179" s="111">
        <f ca="1">IF($B$2="Não","",'CÁLCULO FUNPRESP'!S179)</f>
        <v>0</v>
      </c>
      <c r="N179" s="131" t="str">
        <f ca="1">'CÁLCULO FUNPRESP'!U179</f>
        <v/>
      </c>
      <c r="O179" s="111">
        <f ca="1">IF($B$2="Não","",'CÁLCULO FUNPRESP'!Y179)</f>
        <v>0</v>
      </c>
    </row>
    <row r="180" spans="9:15" x14ac:dyDescent="0.3">
      <c r="I180" s="131">
        <f ca="1">'CÁLCULO FUNPRESP'!P180</f>
        <v>50221</v>
      </c>
      <c r="J180" s="111">
        <f ca="1">IF($B$2="Não","",'CÁLCULO FUNPRESP'!Q180)</f>
        <v>0</v>
      </c>
      <c r="K180" s="111">
        <f ca="1">IF($B$2="Não","",'CÁLCULO FUNPRESP'!R180)</f>
        <v>0</v>
      </c>
      <c r="L180" s="111">
        <f ca="1">IF($B$2="Não","",'CÁLCULO FUNPRESP'!S180)</f>
        <v>0</v>
      </c>
      <c r="N180" s="131" t="str">
        <f ca="1">'CÁLCULO FUNPRESP'!U180</f>
        <v/>
      </c>
      <c r="O180" s="111">
        <f ca="1">IF($B$2="Não","",'CÁLCULO FUNPRESP'!Y180)</f>
        <v>0</v>
      </c>
    </row>
    <row r="181" spans="9:15" x14ac:dyDescent="0.3">
      <c r="I181" s="131">
        <f ca="1">'CÁLCULO FUNPRESP'!P181</f>
        <v>50252</v>
      </c>
      <c r="J181" s="111">
        <f ca="1">IF($B$2="Não","",'CÁLCULO FUNPRESP'!Q181)</f>
        <v>0</v>
      </c>
      <c r="K181" s="111">
        <f ca="1">IF($B$2="Não","",'CÁLCULO FUNPRESP'!R181)</f>
        <v>0</v>
      </c>
      <c r="L181" s="111">
        <f ca="1">IF($B$2="Não","",'CÁLCULO FUNPRESP'!S181)</f>
        <v>0</v>
      </c>
      <c r="N181" s="131" t="str">
        <f ca="1">'CÁLCULO FUNPRESP'!U181</f>
        <v/>
      </c>
      <c r="O181" s="111">
        <f ca="1">IF($B$2="Não","",'CÁLCULO FUNPRESP'!Y181)</f>
        <v>0</v>
      </c>
    </row>
    <row r="182" spans="9:15" x14ac:dyDescent="0.3">
      <c r="I182" s="131">
        <f ca="1">'CÁLCULO FUNPRESP'!P182</f>
        <v>50283</v>
      </c>
      <c r="J182" s="111">
        <f ca="1">IF($B$2="Não","",'CÁLCULO FUNPRESP'!Q182)</f>
        <v>0</v>
      </c>
      <c r="K182" s="111">
        <f ca="1">IF($B$2="Não","",'CÁLCULO FUNPRESP'!R182)</f>
        <v>0</v>
      </c>
      <c r="L182" s="111">
        <f ca="1">IF($B$2="Não","",'CÁLCULO FUNPRESP'!S182)</f>
        <v>0</v>
      </c>
      <c r="N182" s="131" t="str">
        <f ca="1">'CÁLCULO FUNPRESP'!U182</f>
        <v/>
      </c>
      <c r="O182" s="111">
        <f ca="1">IF($B$2="Não","",'CÁLCULO FUNPRESP'!Y182)</f>
        <v>0</v>
      </c>
    </row>
    <row r="183" spans="9:15" x14ac:dyDescent="0.3">
      <c r="I183" s="131">
        <f ca="1">'CÁLCULO FUNPRESP'!P183</f>
        <v>50313</v>
      </c>
      <c r="J183" s="111">
        <f ca="1">IF($B$2="Não","",'CÁLCULO FUNPRESP'!Q183)</f>
        <v>0</v>
      </c>
      <c r="K183" s="111">
        <f ca="1">IF($B$2="Não","",'CÁLCULO FUNPRESP'!R183)</f>
        <v>0</v>
      </c>
      <c r="L183" s="111">
        <f ca="1">IF($B$2="Não","",'CÁLCULO FUNPRESP'!S183)</f>
        <v>0</v>
      </c>
      <c r="N183" s="131" t="str">
        <f ca="1">'CÁLCULO FUNPRESP'!U183</f>
        <v/>
      </c>
      <c r="O183" s="111">
        <f ca="1">IF($B$2="Não","",'CÁLCULO FUNPRESP'!Y183)</f>
        <v>0</v>
      </c>
    </row>
    <row r="184" spans="9:15" x14ac:dyDescent="0.3">
      <c r="I184" s="131">
        <f ca="1">'CÁLCULO FUNPRESP'!P184</f>
        <v>50344</v>
      </c>
      <c r="J184" s="111">
        <f ca="1">IF($B$2="Não","",'CÁLCULO FUNPRESP'!Q184)</f>
        <v>0</v>
      </c>
      <c r="K184" s="111">
        <f ca="1">IF($B$2="Não","",'CÁLCULO FUNPRESP'!R184)</f>
        <v>0</v>
      </c>
      <c r="L184" s="111">
        <f ca="1">IF($B$2="Não","",'CÁLCULO FUNPRESP'!S184)</f>
        <v>0</v>
      </c>
      <c r="N184" s="131" t="str">
        <f ca="1">'CÁLCULO FUNPRESP'!U184</f>
        <v/>
      </c>
      <c r="O184" s="111">
        <f ca="1">IF($B$2="Não","",'CÁLCULO FUNPRESP'!Y184)</f>
        <v>0</v>
      </c>
    </row>
    <row r="185" spans="9:15" x14ac:dyDescent="0.3">
      <c r="I185" s="131">
        <f ca="1">'CÁLCULO FUNPRESP'!P185</f>
        <v>50374</v>
      </c>
      <c r="J185" s="111">
        <f ca="1">IF($B$2="Não","",'CÁLCULO FUNPRESP'!Q185)</f>
        <v>0</v>
      </c>
      <c r="K185" s="111">
        <f ca="1">IF($B$2="Não","",'CÁLCULO FUNPRESP'!R185)</f>
        <v>0</v>
      </c>
      <c r="L185" s="111">
        <f ca="1">IF($B$2="Não","",'CÁLCULO FUNPRESP'!S185)</f>
        <v>0</v>
      </c>
      <c r="N185" s="131" t="str">
        <f ca="1">'CÁLCULO FUNPRESP'!U185</f>
        <v/>
      </c>
      <c r="O185" s="111">
        <f ca="1">IF($B$2="Não","",'CÁLCULO FUNPRESP'!Y185)</f>
        <v>0</v>
      </c>
    </row>
    <row r="186" spans="9:15" x14ac:dyDescent="0.3">
      <c r="I186" s="131">
        <f ca="1">'CÁLCULO FUNPRESP'!P186</f>
        <v>50405</v>
      </c>
      <c r="J186" s="111">
        <f ca="1">IF($B$2="Não","",'CÁLCULO FUNPRESP'!Q186)</f>
        <v>0</v>
      </c>
      <c r="K186" s="111">
        <f ca="1">IF($B$2="Não","",'CÁLCULO FUNPRESP'!R186)</f>
        <v>0</v>
      </c>
      <c r="L186" s="111">
        <f ca="1">IF($B$2="Não","",'CÁLCULO FUNPRESP'!S186)</f>
        <v>0</v>
      </c>
      <c r="N186" s="131" t="str">
        <f ca="1">'CÁLCULO FUNPRESP'!U186</f>
        <v/>
      </c>
      <c r="O186" s="111">
        <f ca="1">IF($B$2="Não","",'CÁLCULO FUNPRESP'!Y186)</f>
        <v>0</v>
      </c>
    </row>
    <row r="187" spans="9:15" x14ac:dyDescent="0.3">
      <c r="I187" s="131">
        <f ca="1">'CÁLCULO FUNPRESP'!P187</f>
        <v>50436</v>
      </c>
      <c r="J187" s="111">
        <f ca="1">IF($B$2="Não","",'CÁLCULO FUNPRESP'!Q187)</f>
        <v>0</v>
      </c>
      <c r="K187" s="111">
        <f ca="1">IF($B$2="Não","",'CÁLCULO FUNPRESP'!R187)</f>
        <v>0</v>
      </c>
      <c r="L187" s="111">
        <f ca="1">IF($B$2="Não","",'CÁLCULO FUNPRESP'!S187)</f>
        <v>0</v>
      </c>
      <c r="N187" s="131" t="str">
        <f ca="1">'CÁLCULO FUNPRESP'!U187</f>
        <v/>
      </c>
      <c r="O187" s="111">
        <f ca="1">IF($B$2="Não","",'CÁLCULO FUNPRESP'!Y187)</f>
        <v>0</v>
      </c>
    </row>
    <row r="188" spans="9:15" x14ac:dyDescent="0.3">
      <c r="I188" s="131">
        <f ca="1">'CÁLCULO FUNPRESP'!P188</f>
        <v>50464</v>
      </c>
      <c r="J188" s="111">
        <f ca="1">IF($B$2="Não","",'CÁLCULO FUNPRESP'!Q188)</f>
        <v>0</v>
      </c>
      <c r="K188" s="111">
        <f ca="1">IF($B$2="Não","",'CÁLCULO FUNPRESP'!R188)</f>
        <v>0</v>
      </c>
      <c r="L188" s="111">
        <f ca="1">IF($B$2="Não","",'CÁLCULO FUNPRESP'!S188)</f>
        <v>0</v>
      </c>
      <c r="N188" s="131" t="str">
        <f ca="1">'CÁLCULO FUNPRESP'!U188</f>
        <v/>
      </c>
      <c r="O188" s="111">
        <f ca="1">IF($B$2="Não","",'CÁLCULO FUNPRESP'!Y188)</f>
        <v>0</v>
      </c>
    </row>
    <row r="189" spans="9:15" x14ac:dyDescent="0.3">
      <c r="I189" s="131">
        <f ca="1">'CÁLCULO FUNPRESP'!P189</f>
        <v>50495</v>
      </c>
      <c r="J189" s="111">
        <f ca="1">IF($B$2="Não","",'CÁLCULO FUNPRESP'!Q189)</f>
        <v>0</v>
      </c>
      <c r="K189" s="111">
        <f ca="1">IF($B$2="Não","",'CÁLCULO FUNPRESP'!R189)</f>
        <v>0</v>
      </c>
      <c r="L189" s="111">
        <f ca="1">IF($B$2="Não","",'CÁLCULO FUNPRESP'!S189)</f>
        <v>0</v>
      </c>
      <c r="N189" s="131" t="str">
        <f ca="1">'CÁLCULO FUNPRESP'!U189</f>
        <v/>
      </c>
      <c r="O189" s="111">
        <f ca="1">IF($B$2="Não","",'CÁLCULO FUNPRESP'!Y189)</f>
        <v>0</v>
      </c>
    </row>
    <row r="190" spans="9:15" x14ac:dyDescent="0.3">
      <c r="I190" s="131">
        <f ca="1">'CÁLCULO FUNPRESP'!P190</f>
        <v>50525</v>
      </c>
      <c r="J190" s="111">
        <f ca="1">IF($B$2="Não","",'CÁLCULO FUNPRESP'!Q190)</f>
        <v>0</v>
      </c>
      <c r="K190" s="111">
        <f ca="1">IF($B$2="Não","",'CÁLCULO FUNPRESP'!R190)</f>
        <v>0</v>
      </c>
      <c r="L190" s="111">
        <f ca="1">IF($B$2="Não","",'CÁLCULO FUNPRESP'!S190)</f>
        <v>0</v>
      </c>
      <c r="N190" s="131" t="str">
        <f ca="1">'CÁLCULO FUNPRESP'!U190</f>
        <v/>
      </c>
      <c r="O190" s="111">
        <f ca="1">IF($B$2="Não","",'CÁLCULO FUNPRESP'!Y190)</f>
        <v>0</v>
      </c>
    </row>
    <row r="191" spans="9:15" x14ac:dyDescent="0.3">
      <c r="I191" s="131">
        <f ca="1">'CÁLCULO FUNPRESP'!P191</f>
        <v>50556</v>
      </c>
      <c r="J191" s="111">
        <f ca="1">IF($B$2="Não","",'CÁLCULO FUNPRESP'!Q191)</f>
        <v>0</v>
      </c>
      <c r="K191" s="111">
        <f ca="1">IF($B$2="Não","",'CÁLCULO FUNPRESP'!R191)</f>
        <v>0</v>
      </c>
      <c r="L191" s="111">
        <f ca="1">IF($B$2="Não","",'CÁLCULO FUNPRESP'!S191)</f>
        <v>0</v>
      </c>
      <c r="N191" s="131" t="str">
        <f ca="1">'CÁLCULO FUNPRESP'!U191</f>
        <v/>
      </c>
      <c r="O191" s="111">
        <f ca="1">IF($B$2="Não","",'CÁLCULO FUNPRESP'!Y191)</f>
        <v>0</v>
      </c>
    </row>
    <row r="192" spans="9:15" x14ac:dyDescent="0.3">
      <c r="I192" s="131">
        <f ca="1">'CÁLCULO FUNPRESP'!P192</f>
        <v>50586</v>
      </c>
      <c r="J192" s="111">
        <f ca="1">IF($B$2="Não","",'CÁLCULO FUNPRESP'!Q192)</f>
        <v>0</v>
      </c>
      <c r="K192" s="111">
        <f ca="1">IF($B$2="Não","",'CÁLCULO FUNPRESP'!R192)</f>
        <v>0</v>
      </c>
      <c r="L192" s="111">
        <f ca="1">IF($B$2="Não","",'CÁLCULO FUNPRESP'!S192)</f>
        <v>0</v>
      </c>
      <c r="N192" s="131" t="str">
        <f ca="1">'CÁLCULO FUNPRESP'!U192</f>
        <v/>
      </c>
      <c r="O192" s="111">
        <f ca="1">IF($B$2="Não","",'CÁLCULO FUNPRESP'!Y192)</f>
        <v>0</v>
      </c>
    </row>
    <row r="193" spans="9:15" x14ac:dyDescent="0.3">
      <c r="I193" s="131">
        <f ca="1">'CÁLCULO FUNPRESP'!P193</f>
        <v>50617</v>
      </c>
      <c r="J193" s="111">
        <f ca="1">IF($B$2="Não","",'CÁLCULO FUNPRESP'!Q193)</f>
        <v>0</v>
      </c>
      <c r="K193" s="111">
        <f ca="1">IF($B$2="Não","",'CÁLCULO FUNPRESP'!R193)</f>
        <v>0</v>
      </c>
      <c r="L193" s="111">
        <f ca="1">IF($B$2="Não","",'CÁLCULO FUNPRESP'!S193)</f>
        <v>0</v>
      </c>
      <c r="N193" s="131" t="str">
        <f ca="1">'CÁLCULO FUNPRESP'!U193</f>
        <v/>
      </c>
      <c r="O193" s="111">
        <f ca="1">IF($B$2="Não","",'CÁLCULO FUNPRESP'!Y193)</f>
        <v>0</v>
      </c>
    </row>
    <row r="194" spans="9:15" x14ac:dyDescent="0.3">
      <c r="I194" s="131">
        <f ca="1">'CÁLCULO FUNPRESP'!P194</f>
        <v>50648</v>
      </c>
      <c r="J194" s="111">
        <f ca="1">IF($B$2="Não","",'CÁLCULO FUNPRESP'!Q194)</f>
        <v>0</v>
      </c>
      <c r="K194" s="111">
        <f ca="1">IF($B$2="Não","",'CÁLCULO FUNPRESP'!R194)</f>
        <v>0</v>
      </c>
      <c r="L194" s="111">
        <f ca="1">IF($B$2="Não","",'CÁLCULO FUNPRESP'!S194)</f>
        <v>0</v>
      </c>
      <c r="N194" s="131" t="str">
        <f ca="1">'CÁLCULO FUNPRESP'!U194</f>
        <v/>
      </c>
      <c r="O194" s="111">
        <f ca="1">IF($B$2="Não","",'CÁLCULO FUNPRESP'!Y194)</f>
        <v>0</v>
      </c>
    </row>
    <row r="195" spans="9:15" x14ac:dyDescent="0.3">
      <c r="I195" s="131">
        <f ca="1">'CÁLCULO FUNPRESP'!P195</f>
        <v>50678</v>
      </c>
      <c r="J195" s="111">
        <f ca="1">IF($B$2="Não","",'CÁLCULO FUNPRESP'!Q195)</f>
        <v>0</v>
      </c>
      <c r="K195" s="111">
        <f ca="1">IF($B$2="Não","",'CÁLCULO FUNPRESP'!R195)</f>
        <v>0</v>
      </c>
      <c r="L195" s="111">
        <f ca="1">IF($B$2="Não","",'CÁLCULO FUNPRESP'!S195)</f>
        <v>0</v>
      </c>
      <c r="N195" s="131" t="str">
        <f ca="1">'CÁLCULO FUNPRESP'!U195</f>
        <v/>
      </c>
      <c r="O195" s="111">
        <f ca="1">IF($B$2="Não","",'CÁLCULO FUNPRESP'!Y195)</f>
        <v>0</v>
      </c>
    </row>
    <row r="196" spans="9:15" x14ac:dyDescent="0.3">
      <c r="I196" s="131">
        <f ca="1">'CÁLCULO FUNPRESP'!P196</f>
        <v>50709</v>
      </c>
      <c r="J196" s="111">
        <f ca="1">IF($B$2="Não","",'CÁLCULO FUNPRESP'!Q196)</f>
        <v>0</v>
      </c>
      <c r="K196" s="111">
        <f ca="1">IF($B$2="Não","",'CÁLCULO FUNPRESP'!R196)</f>
        <v>0</v>
      </c>
      <c r="L196" s="111">
        <f ca="1">IF($B$2="Não","",'CÁLCULO FUNPRESP'!S196)</f>
        <v>0</v>
      </c>
      <c r="N196" s="131" t="str">
        <f ca="1">'CÁLCULO FUNPRESP'!U196</f>
        <v/>
      </c>
      <c r="O196" s="111">
        <f ca="1">IF($B$2="Não","",'CÁLCULO FUNPRESP'!Y196)</f>
        <v>0</v>
      </c>
    </row>
    <row r="197" spans="9:15" x14ac:dyDescent="0.3">
      <c r="I197" s="131">
        <f ca="1">'CÁLCULO FUNPRESP'!P197</f>
        <v>50739</v>
      </c>
      <c r="J197" s="111">
        <f ca="1">IF($B$2="Não","",'CÁLCULO FUNPRESP'!Q197)</f>
        <v>0</v>
      </c>
      <c r="K197" s="111">
        <f ca="1">IF($B$2="Não","",'CÁLCULO FUNPRESP'!R197)</f>
        <v>0</v>
      </c>
      <c r="L197" s="111">
        <f ca="1">IF($B$2="Não","",'CÁLCULO FUNPRESP'!S197)</f>
        <v>0</v>
      </c>
      <c r="N197" s="131" t="str">
        <f ca="1">'CÁLCULO FUNPRESP'!U197</f>
        <v/>
      </c>
      <c r="O197" s="111">
        <f ca="1">IF($B$2="Não","",'CÁLCULO FUNPRESP'!Y197)</f>
        <v>0</v>
      </c>
    </row>
    <row r="198" spans="9:15" x14ac:dyDescent="0.3">
      <c r="I198" s="131">
        <f ca="1">'CÁLCULO FUNPRESP'!P198</f>
        <v>50770</v>
      </c>
      <c r="J198" s="111">
        <f ca="1">IF($B$2="Não","",'CÁLCULO FUNPRESP'!Q198)</f>
        <v>0</v>
      </c>
      <c r="K198" s="111">
        <f ca="1">IF($B$2="Não","",'CÁLCULO FUNPRESP'!R198)</f>
        <v>0</v>
      </c>
      <c r="L198" s="111">
        <f ca="1">IF($B$2="Não","",'CÁLCULO FUNPRESP'!S198)</f>
        <v>0</v>
      </c>
      <c r="N198" s="131" t="str">
        <f ca="1">'CÁLCULO FUNPRESP'!U198</f>
        <v/>
      </c>
      <c r="O198" s="111">
        <f ca="1">IF($B$2="Não","",'CÁLCULO FUNPRESP'!Y198)</f>
        <v>0</v>
      </c>
    </row>
    <row r="199" spans="9:15" x14ac:dyDescent="0.3">
      <c r="I199" s="131">
        <f ca="1">'CÁLCULO FUNPRESP'!P199</f>
        <v>50801</v>
      </c>
      <c r="J199" s="111">
        <f ca="1">IF($B$2="Não","",'CÁLCULO FUNPRESP'!Q199)</f>
        <v>0</v>
      </c>
      <c r="K199" s="111">
        <f ca="1">IF($B$2="Não","",'CÁLCULO FUNPRESP'!R199)</f>
        <v>0</v>
      </c>
      <c r="L199" s="111">
        <f ca="1">IF($B$2="Não","",'CÁLCULO FUNPRESP'!S199)</f>
        <v>0</v>
      </c>
      <c r="N199" s="131" t="str">
        <f ca="1">'CÁLCULO FUNPRESP'!U199</f>
        <v/>
      </c>
      <c r="O199" s="111">
        <f ca="1">IF($B$2="Não","",'CÁLCULO FUNPRESP'!Y199)</f>
        <v>0</v>
      </c>
    </row>
    <row r="200" spans="9:15" x14ac:dyDescent="0.3">
      <c r="I200" s="131">
        <f ca="1">'CÁLCULO FUNPRESP'!P200</f>
        <v>50829</v>
      </c>
      <c r="J200" s="111">
        <f ca="1">IF($B$2="Não","",'CÁLCULO FUNPRESP'!Q200)</f>
        <v>0</v>
      </c>
      <c r="K200" s="111">
        <f ca="1">IF($B$2="Não","",'CÁLCULO FUNPRESP'!R200)</f>
        <v>0</v>
      </c>
      <c r="L200" s="111">
        <f ca="1">IF($B$2="Não","",'CÁLCULO FUNPRESP'!S200)</f>
        <v>0</v>
      </c>
      <c r="N200" s="131" t="str">
        <f ca="1">'CÁLCULO FUNPRESP'!U200</f>
        <v/>
      </c>
      <c r="O200" s="111">
        <f ca="1">IF($B$2="Não","",'CÁLCULO FUNPRESP'!Y200)</f>
        <v>0</v>
      </c>
    </row>
    <row r="201" spans="9:15" x14ac:dyDescent="0.3">
      <c r="I201" s="131">
        <f ca="1">'CÁLCULO FUNPRESP'!P201</f>
        <v>50860</v>
      </c>
      <c r="J201" s="111">
        <f ca="1">IF($B$2="Não","",'CÁLCULO FUNPRESP'!Q201)</f>
        <v>0</v>
      </c>
      <c r="K201" s="111">
        <f ca="1">IF($B$2="Não","",'CÁLCULO FUNPRESP'!R201)</f>
        <v>0</v>
      </c>
      <c r="L201" s="111">
        <f ca="1">IF($B$2="Não","",'CÁLCULO FUNPRESP'!S201)</f>
        <v>0</v>
      </c>
      <c r="N201" s="131" t="str">
        <f ca="1">'CÁLCULO FUNPRESP'!U201</f>
        <v/>
      </c>
      <c r="O201" s="111">
        <f ca="1">IF($B$2="Não","",'CÁLCULO FUNPRESP'!Y201)</f>
        <v>0</v>
      </c>
    </row>
    <row r="202" spans="9:15" x14ac:dyDescent="0.3">
      <c r="I202" s="131">
        <f ca="1">'CÁLCULO FUNPRESP'!P202</f>
        <v>50890</v>
      </c>
      <c r="J202" s="111">
        <f ca="1">IF($B$2="Não","",'CÁLCULO FUNPRESP'!Q202)</f>
        <v>0</v>
      </c>
      <c r="K202" s="111">
        <f ca="1">IF($B$2="Não","",'CÁLCULO FUNPRESP'!R202)</f>
        <v>0</v>
      </c>
      <c r="L202" s="111">
        <f ca="1">IF($B$2="Não","",'CÁLCULO FUNPRESP'!S202)</f>
        <v>0</v>
      </c>
      <c r="N202" s="131" t="str">
        <f ca="1">'CÁLCULO FUNPRESP'!U202</f>
        <v/>
      </c>
      <c r="O202" s="111">
        <f ca="1">IF($B$2="Não","",'CÁLCULO FUNPRESP'!Y202)</f>
        <v>0</v>
      </c>
    </row>
    <row r="203" spans="9:15" x14ac:dyDescent="0.3">
      <c r="I203" s="131">
        <f ca="1">'CÁLCULO FUNPRESP'!P203</f>
        <v>50921</v>
      </c>
      <c r="J203" s="111">
        <f ca="1">IF($B$2="Não","",'CÁLCULO FUNPRESP'!Q203)</f>
        <v>0</v>
      </c>
      <c r="K203" s="111">
        <f ca="1">IF($B$2="Não","",'CÁLCULO FUNPRESP'!R203)</f>
        <v>0</v>
      </c>
      <c r="L203" s="111">
        <f ca="1">IF($B$2="Não","",'CÁLCULO FUNPRESP'!S203)</f>
        <v>0</v>
      </c>
      <c r="N203" s="131" t="str">
        <f ca="1">'CÁLCULO FUNPRESP'!U203</f>
        <v/>
      </c>
      <c r="O203" s="111">
        <f ca="1">IF($B$2="Não","",'CÁLCULO FUNPRESP'!Y203)</f>
        <v>0</v>
      </c>
    </row>
    <row r="204" spans="9:15" x14ac:dyDescent="0.3">
      <c r="I204" s="131">
        <f ca="1">'CÁLCULO FUNPRESP'!P204</f>
        <v>50951</v>
      </c>
      <c r="J204" s="111">
        <f ca="1">IF($B$2="Não","",'CÁLCULO FUNPRESP'!Q204)</f>
        <v>0</v>
      </c>
      <c r="K204" s="111">
        <f ca="1">IF($B$2="Não","",'CÁLCULO FUNPRESP'!R204)</f>
        <v>0</v>
      </c>
      <c r="L204" s="111">
        <f ca="1">IF($B$2="Não","",'CÁLCULO FUNPRESP'!S204)</f>
        <v>0</v>
      </c>
      <c r="N204" s="131" t="str">
        <f ca="1">'CÁLCULO FUNPRESP'!U204</f>
        <v/>
      </c>
      <c r="O204" s="111">
        <f ca="1">IF($B$2="Não","",'CÁLCULO FUNPRESP'!Y204)</f>
        <v>0</v>
      </c>
    </row>
    <row r="205" spans="9:15" x14ac:dyDescent="0.3">
      <c r="I205" s="131">
        <f ca="1">'CÁLCULO FUNPRESP'!P205</f>
        <v>50982</v>
      </c>
      <c r="J205" s="111">
        <f ca="1">IF($B$2="Não","",'CÁLCULO FUNPRESP'!Q205)</f>
        <v>0</v>
      </c>
      <c r="K205" s="111">
        <f ca="1">IF($B$2="Não","",'CÁLCULO FUNPRESP'!R205)</f>
        <v>0</v>
      </c>
      <c r="L205" s="111">
        <f ca="1">IF($B$2="Não","",'CÁLCULO FUNPRESP'!S205)</f>
        <v>0</v>
      </c>
      <c r="N205" s="131" t="str">
        <f ca="1">'CÁLCULO FUNPRESP'!U205</f>
        <v/>
      </c>
      <c r="O205" s="111">
        <f ca="1">IF($B$2="Não","",'CÁLCULO FUNPRESP'!Y205)</f>
        <v>0</v>
      </c>
    </row>
    <row r="206" spans="9:15" x14ac:dyDescent="0.3">
      <c r="I206" s="131">
        <f ca="1">'CÁLCULO FUNPRESP'!P206</f>
        <v>51013</v>
      </c>
      <c r="J206" s="111">
        <f ca="1">IF($B$2="Não","",'CÁLCULO FUNPRESP'!Q206)</f>
        <v>0</v>
      </c>
      <c r="K206" s="111">
        <f ca="1">IF($B$2="Não","",'CÁLCULO FUNPRESP'!R206)</f>
        <v>0</v>
      </c>
      <c r="L206" s="111">
        <f ca="1">IF($B$2="Não","",'CÁLCULO FUNPRESP'!S206)</f>
        <v>0</v>
      </c>
      <c r="N206" s="131" t="str">
        <f ca="1">'CÁLCULO FUNPRESP'!U206</f>
        <v/>
      </c>
      <c r="O206" s="111">
        <f ca="1">IF($B$2="Não","",'CÁLCULO FUNPRESP'!Y206)</f>
        <v>0</v>
      </c>
    </row>
    <row r="207" spans="9:15" x14ac:dyDescent="0.3">
      <c r="I207" s="131">
        <f ca="1">'CÁLCULO FUNPRESP'!P207</f>
        <v>51043</v>
      </c>
      <c r="J207" s="111">
        <f ca="1">IF($B$2="Não","",'CÁLCULO FUNPRESP'!Q207)</f>
        <v>0</v>
      </c>
      <c r="K207" s="111">
        <f ca="1">IF($B$2="Não","",'CÁLCULO FUNPRESP'!R207)</f>
        <v>0</v>
      </c>
      <c r="L207" s="111">
        <f ca="1">IF($B$2="Não","",'CÁLCULO FUNPRESP'!S207)</f>
        <v>0</v>
      </c>
      <c r="N207" s="131" t="str">
        <f ca="1">'CÁLCULO FUNPRESP'!U207</f>
        <v/>
      </c>
      <c r="O207" s="111">
        <f ca="1">IF($B$2="Não","",'CÁLCULO FUNPRESP'!Y207)</f>
        <v>0</v>
      </c>
    </row>
    <row r="208" spans="9:15" x14ac:dyDescent="0.3">
      <c r="I208" s="131">
        <f ca="1">'CÁLCULO FUNPRESP'!P208</f>
        <v>51074</v>
      </c>
      <c r="J208" s="111">
        <f ca="1">IF($B$2="Não","",'CÁLCULO FUNPRESP'!Q208)</f>
        <v>0</v>
      </c>
      <c r="K208" s="111">
        <f ca="1">IF($B$2="Não","",'CÁLCULO FUNPRESP'!R208)</f>
        <v>0</v>
      </c>
      <c r="L208" s="111">
        <f ca="1">IF($B$2="Não","",'CÁLCULO FUNPRESP'!S208)</f>
        <v>0</v>
      </c>
      <c r="N208" s="131" t="str">
        <f ca="1">'CÁLCULO FUNPRESP'!U208</f>
        <v/>
      </c>
      <c r="O208" s="111">
        <f ca="1">IF($B$2="Não","",'CÁLCULO FUNPRESP'!Y208)</f>
        <v>0</v>
      </c>
    </row>
    <row r="209" spans="9:15" x14ac:dyDescent="0.3">
      <c r="I209" s="131">
        <f ca="1">'CÁLCULO FUNPRESP'!P209</f>
        <v>51104</v>
      </c>
      <c r="J209" s="111">
        <f ca="1">IF($B$2="Não","",'CÁLCULO FUNPRESP'!Q209)</f>
        <v>0</v>
      </c>
      <c r="K209" s="111">
        <f ca="1">IF($B$2="Não","",'CÁLCULO FUNPRESP'!R209)</f>
        <v>0</v>
      </c>
      <c r="L209" s="111">
        <f ca="1">IF($B$2="Não","",'CÁLCULO FUNPRESP'!S209)</f>
        <v>0</v>
      </c>
      <c r="N209" s="131" t="str">
        <f ca="1">'CÁLCULO FUNPRESP'!U209</f>
        <v/>
      </c>
      <c r="O209" s="111">
        <f ca="1">IF($B$2="Não","",'CÁLCULO FUNPRESP'!Y209)</f>
        <v>0</v>
      </c>
    </row>
    <row r="210" spans="9:15" x14ac:dyDescent="0.3">
      <c r="I210" s="131">
        <f ca="1">'CÁLCULO FUNPRESP'!P210</f>
        <v>51135</v>
      </c>
      <c r="J210" s="111">
        <f ca="1">IF($B$2="Não","",'CÁLCULO FUNPRESP'!Q210)</f>
        <v>0</v>
      </c>
      <c r="K210" s="111">
        <f ca="1">IF($B$2="Não","",'CÁLCULO FUNPRESP'!R210)</f>
        <v>0</v>
      </c>
      <c r="L210" s="111">
        <f ca="1">IF($B$2="Não","",'CÁLCULO FUNPRESP'!S210)</f>
        <v>0</v>
      </c>
      <c r="N210" s="131" t="str">
        <f ca="1">'CÁLCULO FUNPRESP'!U210</f>
        <v/>
      </c>
      <c r="O210" s="111">
        <f ca="1">IF($B$2="Não","",'CÁLCULO FUNPRESP'!Y210)</f>
        <v>0</v>
      </c>
    </row>
    <row r="211" spans="9:15" x14ac:dyDescent="0.3">
      <c r="I211" s="131">
        <f ca="1">'CÁLCULO FUNPRESP'!P211</f>
        <v>51166</v>
      </c>
      <c r="J211" s="111">
        <f ca="1">IF($B$2="Não","",'CÁLCULO FUNPRESP'!Q211)</f>
        <v>0</v>
      </c>
      <c r="K211" s="111">
        <f ca="1">IF($B$2="Não","",'CÁLCULO FUNPRESP'!R211)</f>
        <v>0</v>
      </c>
      <c r="L211" s="111">
        <f ca="1">IF($B$2="Não","",'CÁLCULO FUNPRESP'!S211)</f>
        <v>0</v>
      </c>
      <c r="N211" s="131" t="str">
        <f ca="1">'CÁLCULO FUNPRESP'!U211</f>
        <v/>
      </c>
      <c r="O211" s="111">
        <f ca="1">IF($B$2="Não","",'CÁLCULO FUNPRESP'!Y211)</f>
        <v>0</v>
      </c>
    </row>
    <row r="212" spans="9:15" x14ac:dyDescent="0.3">
      <c r="I212" s="131">
        <f ca="1">'CÁLCULO FUNPRESP'!P212</f>
        <v>51195</v>
      </c>
      <c r="J212" s="111">
        <f ca="1">IF($B$2="Não","",'CÁLCULO FUNPRESP'!Q212)</f>
        <v>0</v>
      </c>
      <c r="K212" s="111">
        <f ca="1">IF($B$2="Não","",'CÁLCULO FUNPRESP'!R212)</f>
        <v>0</v>
      </c>
      <c r="L212" s="111">
        <f ca="1">IF($B$2="Não","",'CÁLCULO FUNPRESP'!S212)</f>
        <v>0</v>
      </c>
      <c r="N212" s="131" t="str">
        <f ca="1">'CÁLCULO FUNPRESP'!U212</f>
        <v/>
      </c>
      <c r="O212" s="111">
        <f ca="1">IF($B$2="Não","",'CÁLCULO FUNPRESP'!Y212)</f>
        <v>0</v>
      </c>
    </row>
    <row r="213" spans="9:15" x14ac:dyDescent="0.3">
      <c r="I213" s="131">
        <f ca="1">'CÁLCULO FUNPRESP'!P213</f>
        <v>51226</v>
      </c>
      <c r="J213" s="111">
        <f ca="1">IF($B$2="Não","",'CÁLCULO FUNPRESP'!Q213)</f>
        <v>0</v>
      </c>
      <c r="K213" s="111">
        <f ca="1">IF($B$2="Não","",'CÁLCULO FUNPRESP'!R213)</f>
        <v>0</v>
      </c>
      <c r="L213" s="111">
        <f ca="1">IF($B$2="Não","",'CÁLCULO FUNPRESP'!S213)</f>
        <v>0</v>
      </c>
      <c r="N213" s="131" t="str">
        <f ca="1">'CÁLCULO FUNPRESP'!U213</f>
        <v/>
      </c>
      <c r="O213" s="111">
        <f ca="1">IF($B$2="Não","",'CÁLCULO FUNPRESP'!Y213)</f>
        <v>0</v>
      </c>
    </row>
    <row r="214" spans="9:15" x14ac:dyDescent="0.3">
      <c r="I214" s="131">
        <f ca="1">'CÁLCULO FUNPRESP'!P214</f>
        <v>51256</v>
      </c>
      <c r="J214" s="111">
        <f ca="1">IF($B$2="Não","",'CÁLCULO FUNPRESP'!Q214)</f>
        <v>0</v>
      </c>
      <c r="K214" s="111">
        <f ca="1">IF($B$2="Não","",'CÁLCULO FUNPRESP'!R214)</f>
        <v>0</v>
      </c>
      <c r="L214" s="111">
        <f ca="1">IF($B$2="Não","",'CÁLCULO FUNPRESP'!S214)</f>
        <v>0</v>
      </c>
      <c r="N214" s="131" t="str">
        <f ca="1">'CÁLCULO FUNPRESP'!U214</f>
        <v/>
      </c>
      <c r="O214" s="111">
        <f ca="1">IF($B$2="Não","",'CÁLCULO FUNPRESP'!Y214)</f>
        <v>0</v>
      </c>
    </row>
    <row r="215" spans="9:15" x14ac:dyDescent="0.3">
      <c r="I215" s="131">
        <f ca="1">'CÁLCULO FUNPRESP'!P215</f>
        <v>51287</v>
      </c>
      <c r="J215" s="111">
        <f ca="1">IF($B$2="Não","",'CÁLCULO FUNPRESP'!Q215)</f>
        <v>0</v>
      </c>
      <c r="K215" s="111">
        <f ca="1">IF($B$2="Não","",'CÁLCULO FUNPRESP'!R215)</f>
        <v>0</v>
      </c>
      <c r="L215" s="111">
        <f ca="1">IF($B$2="Não","",'CÁLCULO FUNPRESP'!S215)</f>
        <v>0</v>
      </c>
      <c r="N215" s="131" t="str">
        <f ca="1">'CÁLCULO FUNPRESP'!U215</f>
        <v/>
      </c>
      <c r="O215" s="111">
        <f ca="1">IF($B$2="Não","",'CÁLCULO FUNPRESP'!Y215)</f>
        <v>0</v>
      </c>
    </row>
    <row r="216" spans="9:15" x14ac:dyDescent="0.3">
      <c r="I216" s="131">
        <f ca="1">'CÁLCULO FUNPRESP'!P216</f>
        <v>51317</v>
      </c>
      <c r="J216" s="111">
        <f ca="1">IF($B$2="Não","",'CÁLCULO FUNPRESP'!Q216)</f>
        <v>0</v>
      </c>
      <c r="K216" s="111">
        <f ca="1">IF($B$2="Não","",'CÁLCULO FUNPRESP'!R216)</f>
        <v>0</v>
      </c>
      <c r="L216" s="111">
        <f ca="1">IF($B$2="Não","",'CÁLCULO FUNPRESP'!S216)</f>
        <v>0</v>
      </c>
      <c r="N216" s="131" t="str">
        <f ca="1">'CÁLCULO FUNPRESP'!U216</f>
        <v/>
      </c>
      <c r="O216" s="111">
        <f ca="1">IF($B$2="Não","",'CÁLCULO FUNPRESP'!Y216)</f>
        <v>0</v>
      </c>
    </row>
    <row r="217" spans="9:15" x14ac:dyDescent="0.3">
      <c r="I217" s="131">
        <f ca="1">'CÁLCULO FUNPRESP'!P217</f>
        <v>51348</v>
      </c>
      <c r="J217" s="111">
        <f ca="1">IF($B$2="Não","",'CÁLCULO FUNPRESP'!Q217)</f>
        <v>0</v>
      </c>
      <c r="K217" s="111">
        <f ca="1">IF($B$2="Não","",'CÁLCULO FUNPRESP'!R217)</f>
        <v>0</v>
      </c>
      <c r="L217" s="111">
        <f ca="1">IF($B$2="Não","",'CÁLCULO FUNPRESP'!S217)</f>
        <v>0</v>
      </c>
      <c r="N217" s="131" t="str">
        <f ca="1">'CÁLCULO FUNPRESP'!U217</f>
        <v/>
      </c>
      <c r="O217" s="111">
        <f ca="1">IF($B$2="Não","",'CÁLCULO FUNPRESP'!Y217)</f>
        <v>0</v>
      </c>
    </row>
    <row r="218" spans="9:15" x14ac:dyDescent="0.3">
      <c r="I218" s="131">
        <f ca="1">'CÁLCULO FUNPRESP'!P218</f>
        <v>51379</v>
      </c>
      <c r="J218" s="111">
        <f ca="1">IF($B$2="Não","",'CÁLCULO FUNPRESP'!Q218)</f>
        <v>0</v>
      </c>
      <c r="K218" s="111">
        <f ca="1">IF($B$2="Não","",'CÁLCULO FUNPRESP'!R218)</f>
        <v>0</v>
      </c>
      <c r="L218" s="111">
        <f ca="1">IF($B$2="Não","",'CÁLCULO FUNPRESP'!S218)</f>
        <v>0</v>
      </c>
      <c r="N218" s="131" t="str">
        <f ca="1">'CÁLCULO FUNPRESP'!U218</f>
        <v/>
      </c>
      <c r="O218" s="111">
        <f ca="1">IF($B$2="Não","",'CÁLCULO FUNPRESP'!Y218)</f>
        <v>0</v>
      </c>
    </row>
    <row r="219" spans="9:15" x14ac:dyDescent="0.3">
      <c r="I219" s="131">
        <f ca="1">'CÁLCULO FUNPRESP'!P219</f>
        <v>51409</v>
      </c>
      <c r="J219" s="111">
        <f ca="1">IF($B$2="Não","",'CÁLCULO FUNPRESP'!Q219)</f>
        <v>0</v>
      </c>
      <c r="K219" s="111">
        <f ca="1">IF($B$2="Não","",'CÁLCULO FUNPRESP'!R219)</f>
        <v>0</v>
      </c>
      <c r="L219" s="111">
        <f ca="1">IF($B$2="Não","",'CÁLCULO FUNPRESP'!S219)</f>
        <v>0</v>
      </c>
      <c r="N219" s="131" t="str">
        <f ca="1">'CÁLCULO FUNPRESP'!U219</f>
        <v/>
      </c>
      <c r="O219" s="111">
        <f ca="1">IF($B$2="Não","",'CÁLCULO FUNPRESP'!Y219)</f>
        <v>0</v>
      </c>
    </row>
    <row r="220" spans="9:15" x14ac:dyDescent="0.3">
      <c r="I220" s="131">
        <f ca="1">'CÁLCULO FUNPRESP'!P220</f>
        <v>51440</v>
      </c>
      <c r="J220" s="111">
        <f ca="1">IF($B$2="Não","",'CÁLCULO FUNPRESP'!Q220)</f>
        <v>0</v>
      </c>
      <c r="K220" s="111">
        <f ca="1">IF($B$2="Não","",'CÁLCULO FUNPRESP'!R220)</f>
        <v>0</v>
      </c>
      <c r="L220" s="111">
        <f ca="1">IF($B$2="Não","",'CÁLCULO FUNPRESP'!S220)</f>
        <v>0</v>
      </c>
      <c r="N220" s="131" t="str">
        <f ca="1">'CÁLCULO FUNPRESP'!U220</f>
        <v/>
      </c>
      <c r="O220" s="111">
        <f ca="1">IF($B$2="Não","",'CÁLCULO FUNPRESP'!Y220)</f>
        <v>0</v>
      </c>
    </row>
    <row r="221" spans="9:15" x14ac:dyDescent="0.3">
      <c r="I221" s="131">
        <f ca="1">'CÁLCULO FUNPRESP'!P221</f>
        <v>51470</v>
      </c>
      <c r="J221" s="111">
        <f ca="1">IF($B$2="Não","",'CÁLCULO FUNPRESP'!Q221)</f>
        <v>0</v>
      </c>
      <c r="K221" s="111">
        <f ca="1">IF($B$2="Não","",'CÁLCULO FUNPRESP'!R221)</f>
        <v>0</v>
      </c>
      <c r="L221" s="111">
        <f ca="1">IF($B$2="Não","",'CÁLCULO FUNPRESP'!S221)</f>
        <v>0</v>
      </c>
      <c r="N221" s="131" t="str">
        <f ca="1">'CÁLCULO FUNPRESP'!U221</f>
        <v/>
      </c>
      <c r="O221" s="111">
        <f ca="1">IF($B$2="Não","",'CÁLCULO FUNPRESP'!Y221)</f>
        <v>0</v>
      </c>
    </row>
    <row r="222" spans="9:15" x14ac:dyDescent="0.3">
      <c r="I222" s="131">
        <f ca="1">'CÁLCULO FUNPRESP'!P222</f>
        <v>51501</v>
      </c>
      <c r="J222" s="111">
        <f ca="1">IF($B$2="Não","",'CÁLCULO FUNPRESP'!Q222)</f>
        <v>0</v>
      </c>
      <c r="K222" s="111">
        <f ca="1">IF($B$2="Não","",'CÁLCULO FUNPRESP'!R222)</f>
        <v>0</v>
      </c>
      <c r="L222" s="111">
        <f ca="1">IF($B$2="Não","",'CÁLCULO FUNPRESP'!S222)</f>
        <v>0</v>
      </c>
      <c r="N222" s="131" t="str">
        <f ca="1">'CÁLCULO FUNPRESP'!U222</f>
        <v/>
      </c>
      <c r="O222" s="111">
        <f ca="1">IF($B$2="Não","",'CÁLCULO FUNPRESP'!Y222)</f>
        <v>0</v>
      </c>
    </row>
    <row r="223" spans="9:15" x14ac:dyDescent="0.3">
      <c r="I223" s="131">
        <f ca="1">'CÁLCULO FUNPRESP'!P223</f>
        <v>51532</v>
      </c>
      <c r="J223" s="111">
        <f ca="1">IF($B$2="Não","",'CÁLCULO FUNPRESP'!Q223)</f>
        <v>0</v>
      </c>
      <c r="K223" s="111">
        <f ca="1">IF($B$2="Não","",'CÁLCULO FUNPRESP'!R223)</f>
        <v>0</v>
      </c>
      <c r="L223" s="111">
        <f ca="1">IF($B$2="Não","",'CÁLCULO FUNPRESP'!S223)</f>
        <v>0</v>
      </c>
      <c r="N223" s="131" t="str">
        <f ca="1">'CÁLCULO FUNPRESP'!U223</f>
        <v/>
      </c>
      <c r="O223" s="111">
        <f ca="1">IF($B$2="Não","",'CÁLCULO FUNPRESP'!Y223)</f>
        <v>0</v>
      </c>
    </row>
    <row r="224" spans="9:15" x14ac:dyDescent="0.3">
      <c r="I224" s="131">
        <f ca="1">'CÁLCULO FUNPRESP'!P224</f>
        <v>51560</v>
      </c>
      <c r="J224" s="111">
        <f ca="1">IF($B$2="Não","",'CÁLCULO FUNPRESP'!Q224)</f>
        <v>0</v>
      </c>
      <c r="K224" s="111">
        <f ca="1">IF($B$2="Não","",'CÁLCULO FUNPRESP'!R224)</f>
        <v>0</v>
      </c>
      <c r="L224" s="111">
        <f ca="1">IF($B$2="Não","",'CÁLCULO FUNPRESP'!S224)</f>
        <v>0</v>
      </c>
      <c r="N224" s="131" t="str">
        <f ca="1">'CÁLCULO FUNPRESP'!U224</f>
        <v/>
      </c>
      <c r="O224" s="111">
        <f ca="1">IF($B$2="Não","",'CÁLCULO FUNPRESP'!Y224)</f>
        <v>0</v>
      </c>
    </row>
    <row r="225" spans="9:15" x14ac:dyDescent="0.3">
      <c r="I225" s="131">
        <f ca="1">'CÁLCULO FUNPRESP'!P225</f>
        <v>51591</v>
      </c>
      <c r="J225" s="111">
        <f ca="1">IF($B$2="Não","",'CÁLCULO FUNPRESP'!Q225)</f>
        <v>0</v>
      </c>
      <c r="K225" s="111">
        <f ca="1">IF($B$2="Não","",'CÁLCULO FUNPRESP'!R225)</f>
        <v>0</v>
      </c>
      <c r="L225" s="111">
        <f ca="1">IF($B$2="Não","",'CÁLCULO FUNPRESP'!S225)</f>
        <v>0</v>
      </c>
      <c r="N225" s="131" t="str">
        <f ca="1">'CÁLCULO FUNPRESP'!U225</f>
        <v/>
      </c>
      <c r="O225" s="111">
        <f ca="1">IF($B$2="Não","",'CÁLCULO FUNPRESP'!Y225)</f>
        <v>0</v>
      </c>
    </row>
    <row r="226" spans="9:15" x14ac:dyDescent="0.3">
      <c r="I226" s="131">
        <f ca="1">'CÁLCULO FUNPRESP'!P226</f>
        <v>51621</v>
      </c>
      <c r="J226" s="111">
        <f ca="1">IF($B$2="Não","",'CÁLCULO FUNPRESP'!Q226)</f>
        <v>0</v>
      </c>
      <c r="K226" s="111">
        <f ca="1">IF($B$2="Não","",'CÁLCULO FUNPRESP'!R226)</f>
        <v>0</v>
      </c>
      <c r="L226" s="111">
        <f ca="1">IF($B$2="Não","",'CÁLCULO FUNPRESP'!S226)</f>
        <v>0</v>
      </c>
      <c r="N226" s="131" t="str">
        <f ca="1">'CÁLCULO FUNPRESP'!U226</f>
        <v/>
      </c>
      <c r="O226" s="111">
        <f ca="1">IF($B$2="Não","",'CÁLCULO FUNPRESP'!Y226)</f>
        <v>0</v>
      </c>
    </row>
    <row r="227" spans="9:15" x14ac:dyDescent="0.3">
      <c r="I227" s="131">
        <f ca="1">'CÁLCULO FUNPRESP'!P227</f>
        <v>51652</v>
      </c>
      <c r="J227" s="111">
        <f ca="1">IF($B$2="Não","",'CÁLCULO FUNPRESP'!Q227)</f>
        <v>0</v>
      </c>
      <c r="K227" s="111">
        <f ca="1">IF($B$2="Não","",'CÁLCULO FUNPRESP'!R227)</f>
        <v>0</v>
      </c>
      <c r="L227" s="111">
        <f ca="1">IF($B$2="Não","",'CÁLCULO FUNPRESP'!S227)</f>
        <v>0</v>
      </c>
      <c r="N227" s="131" t="str">
        <f ca="1">'CÁLCULO FUNPRESP'!U227</f>
        <v/>
      </c>
      <c r="O227" s="111">
        <f ca="1">IF($B$2="Não","",'CÁLCULO FUNPRESP'!Y227)</f>
        <v>0</v>
      </c>
    </row>
    <row r="228" spans="9:15" x14ac:dyDescent="0.3">
      <c r="I228" s="131">
        <f ca="1">'CÁLCULO FUNPRESP'!P228</f>
        <v>51682</v>
      </c>
      <c r="J228" s="111">
        <f ca="1">IF($B$2="Não","",'CÁLCULO FUNPRESP'!Q228)</f>
        <v>0</v>
      </c>
      <c r="K228" s="111">
        <f ca="1">IF($B$2="Não","",'CÁLCULO FUNPRESP'!R228)</f>
        <v>0</v>
      </c>
      <c r="L228" s="111">
        <f ca="1">IF($B$2="Não","",'CÁLCULO FUNPRESP'!S228)</f>
        <v>0</v>
      </c>
      <c r="N228" s="131" t="str">
        <f ca="1">'CÁLCULO FUNPRESP'!U228</f>
        <v/>
      </c>
      <c r="O228" s="111">
        <f ca="1">IF($B$2="Não","",'CÁLCULO FUNPRESP'!Y228)</f>
        <v>0</v>
      </c>
    </row>
    <row r="229" spans="9:15" x14ac:dyDescent="0.3">
      <c r="I229" s="131">
        <f ca="1">'CÁLCULO FUNPRESP'!P229</f>
        <v>51713</v>
      </c>
      <c r="J229" s="111">
        <f ca="1">IF($B$2="Não","",'CÁLCULO FUNPRESP'!Q229)</f>
        <v>0</v>
      </c>
      <c r="K229" s="111">
        <f ca="1">IF($B$2="Não","",'CÁLCULO FUNPRESP'!R229)</f>
        <v>0</v>
      </c>
      <c r="L229" s="111">
        <f ca="1">IF($B$2="Não","",'CÁLCULO FUNPRESP'!S229)</f>
        <v>0</v>
      </c>
      <c r="N229" s="131" t="str">
        <f ca="1">'CÁLCULO FUNPRESP'!U229</f>
        <v/>
      </c>
      <c r="O229" s="111">
        <f ca="1">IF($B$2="Não","",'CÁLCULO FUNPRESP'!Y229)</f>
        <v>0</v>
      </c>
    </row>
    <row r="230" spans="9:15" x14ac:dyDescent="0.3">
      <c r="I230" s="131">
        <f ca="1">'CÁLCULO FUNPRESP'!P230</f>
        <v>51744</v>
      </c>
      <c r="J230" s="111">
        <f ca="1">IF($B$2="Não","",'CÁLCULO FUNPRESP'!Q230)</f>
        <v>0</v>
      </c>
      <c r="K230" s="111">
        <f ca="1">IF($B$2="Não","",'CÁLCULO FUNPRESP'!R230)</f>
        <v>0</v>
      </c>
      <c r="L230" s="111">
        <f ca="1">IF($B$2="Não","",'CÁLCULO FUNPRESP'!S230)</f>
        <v>0</v>
      </c>
      <c r="N230" s="131" t="str">
        <f ca="1">'CÁLCULO FUNPRESP'!U230</f>
        <v/>
      </c>
      <c r="O230" s="111">
        <f ca="1">IF($B$2="Não","",'CÁLCULO FUNPRESP'!Y230)</f>
        <v>0</v>
      </c>
    </row>
    <row r="231" spans="9:15" x14ac:dyDescent="0.3">
      <c r="I231" s="131">
        <f ca="1">'CÁLCULO FUNPRESP'!P231</f>
        <v>51774</v>
      </c>
      <c r="J231" s="111">
        <f ca="1">IF($B$2="Não","",'CÁLCULO FUNPRESP'!Q231)</f>
        <v>0</v>
      </c>
      <c r="K231" s="111">
        <f ca="1">IF($B$2="Não","",'CÁLCULO FUNPRESP'!R231)</f>
        <v>0</v>
      </c>
      <c r="L231" s="111">
        <f ca="1">IF($B$2="Não","",'CÁLCULO FUNPRESP'!S231)</f>
        <v>0</v>
      </c>
      <c r="N231" s="131" t="str">
        <f ca="1">'CÁLCULO FUNPRESP'!U231</f>
        <v/>
      </c>
      <c r="O231" s="111">
        <f ca="1">IF($B$2="Não","",'CÁLCULO FUNPRESP'!Y231)</f>
        <v>0</v>
      </c>
    </row>
    <row r="232" spans="9:15" x14ac:dyDescent="0.3">
      <c r="I232" s="131">
        <f ca="1">'CÁLCULO FUNPRESP'!P232</f>
        <v>51805</v>
      </c>
      <c r="J232" s="111">
        <f ca="1">IF($B$2="Não","",'CÁLCULO FUNPRESP'!Q232)</f>
        <v>0</v>
      </c>
      <c r="K232" s="111">
        <f ca="1">IF($B$2="Não","",'CÁLCULO FUNPRESP'!R232)</f>
        <v>0</v>
      </c>
      <c r="L232" s="111">
        <f ca="1">IF($B$2="Não","",'CÁLCULO FUNPRESP'!S232)</f>
        <v>0</v>
      </c>
      <c r="N232" s="131" t="str">
        <f ca="1">'CÁLCULO FUNPRESP'!U232</f>
        <v/>
      </c>
      <c r="O232" s="111">
        <f ca="1">IF($B$2="Não","",'CÁLCULO FUNPRESP'!Y232)</f>
        <v>0</v>
      </c>
    </row>
    <row r="233" spans="9:15" x14ac:dyDescent="0.3">
      <c r="I233" s="131">
        <f ca="1">'CÁLCULO FUNPRESP'!P233</f>
        <v>51835</v>
      </c>
      <c r="J233" s="111">
        <f ca="1">IF($B$2="Não","",'CÁLCULO FUNPRESP'!Q233)</f>
        <v>0</v>
      </c>
      <c r="K233" s="111">
        <f ca="1">IF($B$2="Não","",'CÁLCULO FUNPRESP'!R233)</f>
        <v>0</v>
      </c>
      <c r="L233" s="111">
        <f ca="1">IF($B$2="Não","",'CÁLCULO FUNPRESP'!S233)</f>
        <v>0</v>
      </c>
      <c r="N233" s="131" t="str">
        <f ca="1">'CÁLCULO FUNPRESP'!U233</f>
        <v/>
      </c>
      <c r="O233" s="111">
        <f ca="1">IF($B$2="Não","",'CÁLCULO FUNPRESP'!Y233)</f>
        <v>0</v>
      </c>
    </row>
    <row r="234" spans="9:15" x14ac:dyDescent="0.3">
      <c r="I234" s="131">
        <f ca="1">'CÁLCULO FUNPRESP'!P234</f>
        <v>51866</v>
      </c>
      <c r="J234" s="111">
        <f ca="1">IF($B$2="Não","",'CÁLCULO FUNPRESP'!Q234)</f>
        <v>0</v>
      </c>
      <c r="K234" s="111">
        <f ca="1">IF($B$2="Não","",'CÁLCULO FUNPRESP'!R234)</f>
        <v>0</v>
      </c>
      <c r="L234" s="111">
        <f ca="1">IF($B$2="Não","",'CÁLCULO FUNPRESP'!S234)</f>
        <v>0</v>
      </c>
      <c r="N234" s="131" t="str">
        <f ca="1">'CÁLCULO FUNPRESP'!U234</f>
        <v/>
      </c>
      <c r="O234" s="111">
        <f ca="1">IF($B$2="Não","",'CÁLCULO FUNPRESP'!Y234)</f>
        <v>0</v>
      </c>
    </row>
    <row r="235" spans="9:15" x14ac:dyDescent="0.3">
      <c r="I235" s="131">
        <f ca="1">'CÁLCULO FUNPRESP'!P235</f>
        <v>51897</v>
      </c>
      <c r="J235" s="111">
        <f ca="1">IF($B$2="Não","",'CÁLCULO FUNPRESP'!Q235)</f>
        <v>0</v>
      </c>
      <c r="K235" s="111">
        <f ca="1">IF($B$2="Não","",'CÁLCULO FUNPRESP'!R235)</f>
        <v>0</v>
      </c>
      <c r="L235" s="111">
        <f ca="1">IF($B$2="Não","",'CÁLCULO FUNPRESP'!S235)</f>
        <v>0</v>
      </c>
      <c r="N235" s="131" t="str">
        <f ca="1">'CÁLCULO FUNPRESP'!U235</f>
        <v/>
      </c>
      <c r="O235" s="111">
        <f ca="1">IF($B$2="Não","",'CÁLCULO FUNPRESP'!Y235)</f>
        <v>0</v>
      </c>
    </row>
    <row r="236" spans="9:15" x14ac:dyDescent="0.3">
      <c r="I236" s="131">
        <f ca="1">'CÁLCULO FUNPRESP'!P236</f>
        <v>51925</v>
      </c>
      <c r="J236" s="111">
        <f ca="1">IF($B$2="Não","",'CÁLCULO FUNPRESP'!Q236)</f>
        <v>0</v>
      </c>
      <c r="K236" s="111">
        <f ca="1">IF($B$2="Não","",'CÁLCULO FUNPRESP'!R236)</f>
        <v>0</v>
      </c>
      <c r="L236" s="111">
        <f ca="1">IF($B$2="Não","",'CÁLCULO FUNPRESP'!S236)</f>
        <v>0</v>
      </c>
      <c r="N236" s="131" t="str">
        <f ca="1">'CÁLCULO FUNPRESP'!U236</f>
        <v/>
      </c>
      <c r="O236" s="111">
        <f ca="1">IF($B$2="Não","",'CÁLCULO FUNPRESP'!Y236)</f>
        <v>0</v>
      </c>
    </row>
    <row r="237" spans="9:15" x14ac:dyDescent="0.3">
      <c r="I237" s="131">
        <f ca="1">'CÁLCULO FUNPRESP'!P237</f>
        <v>51956</v>
      </c>
      <c r="J237" s="111">
        <f ca="1">IF($B$2="Não","",'CÁLCULO FUNPRESP'!Q237)</f>
        <v>0</v>
      </c>
      <c r="K237" s="111">
        <f ca="1">IF($B$2="Não","",'CÁLCULO FUNPRESP'!R237)</f>
        <v>0</v>
      </c>
      <c r="L237" s="111">
        <f ca="1">IF($B$2="Não","",'CÁLCULO FUNPRESP'!S237)</f>
        <v>0</v>
      </c>
      <c r="N237" s="131" t="str">
        <f ca="1">'CÁLCULO FUNPRESP'!U237</f>
        <v/>
      </c>
      <c r="O237" s="111">
        <f ca="1">IF($B$2="Não","",'CÁLCULO FUNPRESP'!Y237)</f>
        <v>0</v>
      </c>
    </row>
    <row r="238" spans="9:15" x14ac:dyDescent="0.3">
      <c r="I238" s="131">
        <f ca="1">'CÁLCULO FUNPRESP'!P238</f>
        <v>51986</v>
      </c>
      <c r="J238" s="111">
        <f ca="1">IF($B$2="Não","",'CÁLCULO FUNPRESP'!Q238)</f>
        <v>0</v>
      </c>
      <c r="K238" s="111">
        <f ca="1">IF($B$2="Não","",'CÁLCULO FUNPRESP'!R238)</f>
        <v>0</v>
      </c>
      <c r="L238" s="111">
        <f ca="1">IF($B$2="Não","",'CÁLCULO FUNPRESP'!S238)</f>
        <v>0</v>
      </c>
      <c r="N238" s="131" t="str">
        <f ca="1">'CÁLCULO FUNPRESP'!U238</f>
        <v/>
      </c>
      <c r="O238" s="111">
        <f ca="1">IF($B$2="Não","",'CÁLCULO FUNPRESP'!Y238)</f>
        <v>0</v>
      </c>
    </row>
    <row r="239" spans="9:15" x14ac:dyDescent="0.3">
      <c r="I239" s="131">
        <f ca="1">'CÁLCULO FUNPRESP'!P239</f>
        <v>52017</v>
      </c>
      <c r="J239" s="111">
        <f ca="1">IF($B$2="Não","",'CÁLCULO FUNPRESP'!Q239)</f>
        <v>0</v>
      </c>
      <c r="K239" s="111">
        <f ca="1">IF($B$2="Não","",'CÁLCULO FUNPRESP'!R239)</f>
        <v>0</v>
      </c>
      <c r="L239" s="111">
        <f ca="1">IF($B$2="Não","",'CÁLCULO FUNPRESP'!S239)</f>
        <v>0</v>
      </c>
      <c r="N239" s="131" t="str">
        <f ca="1">'CÁLCULO FUNPRESP'!U239</f>
        <v/>
      </c>
      <c r="O239" s="111">
        <f ca="1">IF($B$2="Não","",'CÁLCULO FUNPRESP'!Y239)</f>
        <v>0</v>
      </c>
    </row>
    <row r="240" spans="9:15" x14ac:dyDescent="0.3">
      <c r="I240" s="131">
        <f ca="1">'CÁLCULO FUNPRESP'!P240</f>
        <v>52047</v>
      </c>
      <c r="J240" s="111">
        <f ca="1">IF($B$2="Não","",'CÁLCULO FUNPRESP'!Q240)</f>
        <v>0</v>
      </c>
      <c r="K240" s="111">
        <f ca="1">IF($B$2="Não","",'CÁLCULO FUNPRESP'!R240)</f>
        <v>0</v>
      </c>
      <c r="L240" s="111">
        <f ca="1">IF($B$2="Não","",'CÁLCULO FUNPRESP'!S240)</f>
        <v>0</v>
      </c>
      <c r="N240" s="131" t="str">
        <f ca="1">'CÁLCULO FUNPRESP'!U240</f>
        <v/>
      </c>
      <c r="O240" s="111">
        <f ca="1">IF($B$2="Não","",'CÁLCULO FUNPRESP'!Y240)</f>
        <v>0</v>
      </c>
    </row>
    <row r="241" spans="9:15" x14ac:dyDescent="0.3">
      <c r="I241" s="131">
        <f ca="1">'CÁLCULO FUNPRESP'!P241</f>
        <v>52078</v>
      </c>
      <c r="J241" s="111">
        <f ca="1">IF($B$2="Não","",'CÁLCULO FUNPRESP'!Q241)</f>
        <v>0</v>
      </c>
      <c r="K241" s="111">
        <f ca="1">IF($B$2="Não","",'CÁLCULO FUNPRESP'!R241)</f>
        <v>0</v>
      </c>
      <c r="L241" s="111">
        <f ca="1">IF($B$2="Não","",'CÁLCULO FUNPRESP'!S241)</f>
        <v>0</v>
      </c>
      <c r="N241" s="131" t="str">
        <f ca="1">'CÁLCULO FUNPRESP'!U241</f>
        <v/>
      </c>
      <c r="O241" s="111">
        <f ca="1">IF($B$2="Não","",'CÁLCULO FUNPRESP'!Y241)</f>
        <v>0</v>
      </c>
    </row>
    <row r="242" spans="9:15" x14ac:dyDescent="0.3">
      <c r="I242" s="131">
        <f ca="1">'CÁLCULO FUNPRESP'!P242</f>
        <v>52109</v>
      </c>
      <c r="J242" s="111">
        <f ca="1">IF($B$2="Não","",'CÁLCULO FUNPRESP'!Q242)</f>
        <v>0</v>
      </c>
      <c r="K242" s="111">
        <f ca="1">IF($B$2="Não","",'CÁLCULO FUNPRESP'!R242)</f>
        <v>0</v>
      </c>
      <c r="L242" s="111">
        <f ca="1">IF($B$2="Não","",'CÁLCULO FUNPRESP'!S242)</f>
        <v>0</v>
      </c>
      <c r="N242" s="131" t="str">
        <f ca="1">'CÁLCULO FUNPRESP'!U242</f>
        <v/>
      </c>
      <c r="O242" s="111">
        <f ca="1">IF($B$2="Não","",'CÁLCULO FUNPRESP'!Y242)</f>
        <v>0</v>
      </c>
    </row>
    <row r="243" spans="9:15" x14ac:dyDescent="0.3">
      <c r="I243" s="131">
        <f ca="1">'CÁLCULO FUNPRESP'!P243</f>
        <v>52139</v>
      </c>
      <c r="J243" s="111">
        <f ca="1">IF($B$2="Não","",'CÁLCULO FUNPRESP'!Q243)</f>
        <v>0</v>
      </c>
      <c r="K243" s="111">
        <f ca="1">IF($B$2="Não","",'CÁLCULO FUNPRESP'!R243)</f>
        <v>0</v>
      </c>
      <c r="L243" s="111">
        <f ca="1">IF($B$2="Não","",'CÁLCULO FUNPRESP'!S243)</f>
        <v>0</v>
      </c>
      <c r="N243" s="131" t="str">
        <f ca="1">'CÁLCULO FUNPRESP'!U243</f>
        <v/>
      </c>
      <c r="O243" s="111">
        <f ca="1">IF($B$2="Não","",'CÁLCULO FUNPRESP'!Y243)</f>
        <v>0</v>
      </c>
    </row>
    <row r="244" spans="9:15" x14ac:dyDescent="0.3">
      <c r="I244" s="131">
        <f ca="1">'CÁLCULO FUNPRESP'!P244</f>
        <v>52170</v>
      </c>
      <c r="J244" s="111">
        <f ca="1">IF($B$2="Não","",'CÁLCULO FUNPRESP'!Q244)</f>
        <v>0</v>
      </c>
      <c r="K244" s="111">
        <f ca="1">IF($B$2="Não","",'CÁLCULO FUNPRESP'!R244)</f>
        <v>0</v>
      </c>
      <c r="L244" s="111">
        <f ca="1">IF($B$2="Não","",'CÁLCULO FUNPRESP'!S244)</f>
        <v>0</v>
      </c>
      <c r="N244" s="131" t="str">
        <f ca="1">'CÁLCULO FUNPRESP'!U244</f>
        <v/>
      </c>
      <c r="O244" s="111">
        <f ca="1">IF($B$2="Não","",'CÁLCULO FUNPRESP'!Y244)</f>
        <v>0</v>
      </c>
    </row>
    <row r="245" spans="9:15" x14ac:dyDescent="0.3">
      <c r="I245" s="131">
        <f ca="1">'CÁLCULO FUNPRESP'!P245</f>
        <v>52200</v>
      </c>
      <c r="J245" s="111">
        <f ca="1">IF($B$2="Não","",'CÁLCULO FUNPRESP'!Q245)</f>
        <v>0</v>
      </c>
      <c r="K245" s="111">
        <f ca="1">IF($B$2="Não","",'CÁLCULO FUNPRESP'!R245)</f>
        <v>0</v>
      </c>
      <c r="L245" s="111">
        <f ca="1">IF($B$2="Não","",'CÁLCULO FUNPRESP'!S245)</f>
        <v>0</v>
      </c>
      <c r="N245" s="131" t="str">
        <f ca="1">'CÁLCULO FUNPRESP'!U245</f>
        <v/>
      </c>
      <c r="O245" s="111">
        <f ca="1">IF($B$2="Não","",'CÁLCULO FUNPRESP'!Y245)</f>
        <v>0</v>
      </c>
    </row>
    <row r="246" spans="9:15" x14ac:dyDescent="0.3">
      <c r="I246" s="131" t="str">
        <f ca="1">'CÁLCULO FUNPRESP'!P246</f>
        <v/>
      </c>
      <c r="J246" s="111" t="str">
        <f ca="1">IF($B$2="Não","",'CÁLCULO FUNPRESP'!Q246)</f>
        <v/>
      </c>
      <c r="K246" s="111" t="str">
        <f ca="1">IF($B$2="Não","",'CÁLCULO FUNPRESP'!R246)</f>
        <v/>
      </c>
      <c r="L246" s="111">
        <f ca="1">IF($B$2="Não","",'CÁLCULO FUNPRESP'!S246)</f>
        <v>0</v>
      </c>
      <c r="N246" s="131" t="str">
        <f ca="1">'CÁLCULO FUNPRESP'!U246</f>
        <v/>
      </c>
      <c r="O246" s="111">
        <f ca="1">IF($B$2="Não","",'CÁLCULO FUNPRESP'!Y246)</f>
        <v>0</v>
      </c>
    </row>
    <row r="247" spans="9:15" x14ac:dyDescent="0.3">
      <c r="I247" s="131" t="str">
        <f ca="1">'CÁLCULO FUNPRESP'!P247</f>
        <v/>
      </c>
      <c r="J247" s="111" t="str">
        <f ca="1">IF($B$2="Não","",'CÁLCULO FUNPRESP'!Q247)</f>
        <v/>
      </c>
      <c r="K247" s="111" t="str">
        <f ca="1">IF($B$2="Não","",'CÁLCULO FUNPRESP'!R247)</f>
        <v/>
      </c>
      <c r="L247" s="111">
        <f ca="1">IF($B$2="Não","",'CÁLCULO FUNPRESP'!S247)</f>
        <v>0</v>
      </c>
      <c r="N247" s="131" t="str">
        <f ca="1">'CÁLCULO FUNPRESP'!U247</f>
        <v/>
      </c>
      <c r="O247" s="111">
        <f ca="1">IF($B$2="Não","",'CÁLCULO FUNPRESP'!Y247)</f>
        <v>0</v>
      </c>
    </row>
    <row r="248" spans="9:15" x14ac:dyDescent="0.3">
      <c r="I248" s="131" t="str">
        <f ca="1">'CÁLCULO FUNPRESP'!P248</f>
        <v/>
      </c>
      <c r="J248" s="111" t="str">
        <f ca="1">IF($B$2="Não","",'CÁLCULO FUNPRESP'!Q248)</f>
        <v/>
      </c>
      <c r="K248" s="111" t="str">
        <f ca="1">IF($B$2="Não","",'CÁLCULO FUNPRESP'!R248)</f>
        <v/>
      </c>
      <c r="L248" s="111">
        <f ca="1">IF($B$2="Não","",'CÁLCULO FUNPRESP'!S248)</f>
        <v>0</v>
      </c>
      <c r="N248" s="131" t="str">
        <f ca="1">'CÁLCULO FUNPRESP'!U248</f>
        <v/>
      </c>
      <c r="O248" s="111">
        <f ca="1">IF($B$2="Não","",'CÁLCULO FUNPRESP'!Y248)</f>
        <v>0</v>
      </c>
    </row>
    <row r="249" spans="9:15" x14ac:dyDescent="0.3">
      <c r="I249" s="131" t="str">
        <f ca="1">'CÁLCULO FUNPRESP'!P249</f>
        <v/>
      </c>
      <c r="J249" s="111" t="str">
        <f ca="1">IF($B$2="Não","",'CÁLCULO FUNPRESP'!Q249)</f>
        <v/>
      </c>
      <c r="K249" s="111" t="str">
        <f ca="1">IF($B$2="Não","",'CÁLCULO FUNPRESP'!R249)</f>
        <v/>
      </c>
      <c r="L249" s="111">
        <f ca="1">IF($B$2="Não","",'CÁLCULO FUNPRESP'!S249)</f>
        <v>0</v>
      </c>
      <c r="N249" s="131" t="str">
        <f ca="1">'CÁLCULO FUNPRESP'!U249</f>
        <v/>
      </c>
      <c r="O249" s="111">
        <f ca="1">IF($B$2="Não","",'CÁLCULO FUNPRESP'!Y249)</f>
        <v>0</v>
      </c>
    </row>
    <row r="250" spans="9:15" x14ac:dyDescent="0.3">
      <c r="I250" s="131" t="str">
        <f ca="1">'CÁLCULO FUNPRESP'!P250</f>
        <v/>
      </c>
      <c r="J250" s="111" t="str">
        <f ca="1">IF($B$2="Não","",'CÁLCULO FUNPRESP'!Q250)</f>
        <v/>
      </c>
      <c r="K250" s="111" t="str">
        <f ca="1">IF($B$2="Não","",'CÁLCULO FUNPRESP'!R250)</f>
        <v/>
      </c>
      <c r="L250" s="111">
        <f ca="1">IF($B$2="Não","",'CÁLCULO FUNPRESP'!S250)</f>
        <v>0</v>
      </c>
      <c r="N250" s="131" t="str">
        <f ca="1">'CÁLCULO FUNPRESP'!U250</f>
        <v/>
      </c>
      <c r="O250" s="111">
        <f ca="1">IF($B$2="Não","",'CÁLCULO FUNPRESP'!Y250)</f>
        <v>0</v>
      </c>
    </row>
    <row r="251" spans="9:15" x14ac:dyDescent="0.3">
      <c r="I251" s="131" t="str">
        <f ca="1">'CÁLCULO FUNPRESP'!P251</f>
        <v/>
      </c>
      <c r="J251" s="111" t="str">
        <f ca="1">IF($B$2="Não","",'CÁLCULO FUNPRESP'!Q251)</f>
        <v/>
      </c>
      <c r="K251" s="111" t="str">
        <f ca="1">IF($B$2="Não","",'CÁLCULO FUNPRESP'!R251)</f>
        <v/>
      </c>
      <c r="L251" s="111">
        <f ca="1">IF($B$2="Não","",'CÁLCULO FUNPRESP'!S251)</f>
        <v>0</v>
      </c>
      <c r="N251" s="131" t="str">
        <f ca="1">'CÁLCULO FUNPRESP'!U251</f>
        <v/>
      </c>
      <c r="O251" s="111">
        <f ca="1">IF($B$2="Não","",'CÁLCULO FUNPRESP'!Y251)</f>
        <v>0</v>
      </c>
    </row>
    <row r="252" spans="9:15" x14ac:dyDescent="0.3">
      <c r="I252" s="131" t="str">
        <f ca="1">'CÁLCULO FUNPRESP'!P252</f>
        <v/>
      </c>
      <c r="J252" s="111" t="str">
        <f ca="1">IF($B$2="Não","",'CÁLCULO FUNPRESP'!Q252)</f>
        <v/>
      </c>
      <c r="K252" s="111" t="str">
        <f ca="1">IF($B$2="Não","",'CÁLCULO FUNPRESP'!R252)</f>
        <v/>
      </c>
      <c r="L252" s="111">
        <f ca="1">IF($B$2="Não","",'CÁLCULO FUNPRESP'!S252)</f>
        <v>0</v>
      </c>
      <c r="N252" s="131" t="str">
        <f ca="1">'CÁLCULO FUNPRESP'!U252</f>
        <v/>
      </c>
      <c r="O252" s="111">
        <f ca="1">IF($B$2="Não","",'CÁLCULO FUNPRESP'!Y252)</f>
        <v>0</v>
      </c>
    </row>
    <row r="253" spans="9:15" x14ac:dyDescent="0.3">
      <c r="I253" s="131" t="str">
        <f ca="1">'CÁLCULO FUNPRESP'!P253</f>
        <v/>
      </c>
      <c r="J253" s="111" t="str">
        <f ca="1">IF($B$2="Não","",'CÁLCULO FUNPRESP'!Q253)</f>
        <v/>
      </c>
      <c r="K253" s="111" t="str">
        <f ca="1">IF($B$2="Não","",'CÁLCULO FUNPRESP'!R253)</f>
        <v/>
      </c>
      <c r="L253" s="111">
        <f ca="1">IF($B$2="Não","",'CÁLCULO FUNPRESP'!S253)</f>
        <v>0</v>
      </c>
      <c r="N253" s="131" t="str">
        <f ca="1">'CÁLCULO FUNPRESP'!U253</f>
        <v/>
      </c>
      <c r="O253" s="111">
        <f ca="1">IF($B$2="Não","",'CÁLCULO FUNPRESP'!Y253)</f>
        <v>0</v>
      </c>
    </row>
    <row r="254" spans="9:15" x14ac:dyDescent="0.3">
      <c r="I254" s="131" t="str">
        <f ca="1">'CÁLCULO FUNPRESP'!P254</f>
        <v/>
      </c>
      <c r="J254" s="111" t="str">
        <f ca="1">IF($B$2="Não","",'CÁLCULO FUNPRESP'!Q254)</f>
        <v/>
      </c>
      <c r="K254" s="111" t="str">
        <f ca="1">IF($B$2="Não","",'CÁLCULO FUNPRESP'!R254)</f>
        <v/>
      </c>
      <c r="L254" s="111">
        <f ca="1">IF($B$2="Não","",'CÁLCULO FUNPRESP'!S254)</f>
        <v>0</v>
      </c>
      <c r="N254" s="131" t="str">
        <f ca="1">'CÁLCULO FUNPRESP'!U254</f>
        <v/>
      </c>
      <c r="O254" s="111">
        <f ca="1">IF($B$2="Não","",'CÁLCULO FUNPRESP'!Y254)</f>
        <v>0</v>
      </c>
    </row>
    <row r="255" spans="9:15" x14ac:dyDescent="0.3">
      <c r="I255" s="131" t="str">
        <f ca="1">'CÁLCULO FUNPRESP'!P255</f>
        <v/>
      </c>
      <c r="J255" s="111" t="str">
        <f ca="1">IF($B$2="Não","",'CÁLCULO FUNPRESP'!Q255)</f>
        <v/>
      </c>
      <c r="K255" s="111" t="str">
        <f ca="1">IF($B$2="Não","",'CÁLCULO FUNPRESP'!R255)</f>
        <v/>
      </c>
      <c r="L255" s="111">
        <f ca="1">IF($B$2="Não","",'CÁLCULO FUNPRESP'!S255)</f>
        <v>0</v>
      </c>
      <c r="N255" s="131" t="str">
        <f ca="1">'CÁLCULO FUNPRESP'!U255</f>
        <v/>
      </c>
      <c r="O255" s="111">
        <f ca="1">IF($B$2="Não","",'CÁLCULO FUNPRESP'!Y255)</f>
        <v>0</v>
      </c>
    </row>
    <row r="256" spans="9:15" x14ac:dyDescent="0.3">
      <c r="I256" s="131" t="str">
        <f ca="1">'CÁLCULO FUNPRESP'!P256</f>
        <v/>
      </c>
      <c r="J256" s="111" t="str">
        <f ca="1">IF($B$2="Não","",'CÁLCULO FUNPRESP'!Q256)</f>
        <v/>
      </c>
      <c r="K256" s="111" t="str">
        <f ca="1">IF($B$2="Não","",'CÁLCULO FUNPRESP'!R256)</f>
        <v/>
      </c>
      <c r="L256" s="111">
        <f ca="1">IF($B$2="Não","",'CÁLCULO FUNPRESP'!S256)</f>
        <v>0</v>
      </c>
      <c r="N256" s="131" t="str">
        <f ca="1">'CÁLCULO FUNPRESP'!U256</f>
        <v/>
      </c>
      <c r="O256" s="111">
        <f ca="1">IF($B$2="Não","",'CÁLCULO FUNPRESP'!Y256)</f>
        <v>0</v>
      </c>
    </row>
    <row r="257" spans="9:15" x14ac:dyDescent="0.3">
      <c r="I257" s="131" t="str">
        <f ca="1">'CÁLCULO FUNPRESP'!P257</f>
        <v/>
      </c>
      <c r="J257" s="111" t="str">
        <f ca="1">IF($B$2="Não","",'CÁLCULO FUNPRESP'!Q257)</f>
        <v/>
      </c>
      <c r="K257" s="111" t="str">
        <f ca="1">IF($B$2="Não","",'CÁLCULO FUNPRESP'!R257)</f>
        <v/>
      </c>
      <c r="L257" s="111">
        <f ca="1">IF($B$2="Não","",'CÁLCULO FUNPRESP'!S257)</f>
        <v>0</v>
      </c>
      <c r="N257" s="131" t="str">
        <f ca="1">'CÁLCULO FUNPRESP'!U257</f>
        <v/>
      </c>
      <c r="O257" s="111">
        <f ca="1">IF($B$2="Não","",'CÁLCULO FUNPRESP'!Y257)</f>
        <v>0</v>
      </c>
    </row>
    <row r="258" spans="9:15" x14ac:dyDescent="0.3">
      <c r="I258" s="131" t="str">
        <f ca="1">'CÁLCULO FUNPRESP'!P258</f>
        <v/>
      </c>
      <c r="J258" s="111" t="str">
        <f ca="1">IF($B$2="Não","",'CÁLCULO FUNPRESP'!Q258)</f>
        <v/>
      </c>
      <c r="K258" s="111" t="str">
        <f ca="1">IF($B$2="Não","",'CÁLCULO FUNPRESP'!R258)</f>
        <v/>
      </c>
      <c r="L258" s="111">
        <f ca="1">IF($B$2="Não","",'CÁLCULO FUNPRESP'!S258)</f>
        <v>0</v>
      </c>
      <c r="N258" s="131" t="str">
        <f ca="1">'CÁLCULO FUNPRESP'!U258</f>
        <v/>
      </c>
      <c r="O258" s="111">
        <f ca="1">IF($B$2="Não","",'CÁLCULO FUNPRESP'!Y258)</f>
        <v>0</v>
      </c>
    </row>
    <row r="259" spans="9:15" x14ac:dyDescent="0.3">
      <c r="I259" s="131" t="str">
        <f ca="1">'CÁLCULO FUNPRESP'!P259</f>
        <v/>
      </c>
      <c r="J259" s="111" t="str">
        <f ca="1">IF($B$2="Não","",'CÁLCULO FUNPRESP'!Q259)</f>
        <v/>
      </c>
      <c r="K259" s="111" t="str">
        <f ca="1">IF($B$2="Não","",'CÁLCULO FUNPRESP'!R259)</f>
        <v/>
      </c>
      <c r="L259" s="111">
        <f ca="1">IF($B$2="Não","",'CÁLCULO FUNPRESP'!S259)</f>
        <v>0</v>
      </c>
      <c r="N259" s="131" t="str">
        <f ca="1">'CÁLCULO FUNPRESP'!U259</f>
        <v/>
      </c>
      <c r="O259" s="111">
        <f ca="1">IF($B$2="Não","",'CÁLCULO FUNPRESP'!Y259)</f>
        <v>0</v>
      </c>
    </row>
    <row r="260" spans="9:15" x14ac:dyDescent="0.3">
      <c r="I260" s="131" t="str">
        <f ca="1">'CÁLCULO FUNPRESP'!P260</f>
        <v/>
      </c>
      <c r="J260" s="111" t="str">
        <f ca="1">IF($B$2="Não","",'CÁLCULO FUNPRESP'!Q260)</f>
        <v/>
      </c>
      <c r="K260" s="111" t="str">
        <f ca="1">IF($B$2="Não","",'CÁLCULO FUNPRESP'!R260)</f>
        <v/>
      </c>
      <c r="L260" s="111">
        <f ca="1">IF($B$2="Não","",'CÁLCULO FUNPRESP'!S260)</f>
        <v>0</v>
      </c>
      <c r="N260" s="131" t="str">
        <f ca="1">'CÁLCULO FUNPRESP'!U260</f>
        <v/>
      </c>
      <c r="O260" s="111">
        <f ca="1">IF($B$2="Não","",'CÁLCULO FUNPRESP'!Y260)</f>
        <v>0</v>
      </c>
    </row>
    <row r="261" spans="9:15" x14ac:dyDescent="0.3">
      <c r="I261" s="131" t="str">
        <f ca="1">'CÁLCULO FUNPRESP'!P261</f>
        <v/>
      </c>
      <c r="J261" s="111" t="str">
        <f ca="1">IF($B$2="Não","",'CÁLCULO FUNPRESP'!Q261)</f>
        <v/>
      </c>
      <c r="K261" s="111" t="str">
        <f ca="1">IF($B$2="Não","",'CÁLCULO FUNPRESP'!R261)</f>
        <v/>
      </c>
      <c r="L261" s="111">
        <f ca="1">IF($B$2="Não","",'CÁLCULO FUNPRESP'!S261)</f>
        <v>0</v>
      </c>
      <c r="N261" s="131" t="str">
        <f ca="1">'CÁLCULO FUNPRESP'!U261</f>
        <v/>
      </c>
      <c r="O261" s="111">
        <f ca="1">IF($B$2="Não","",'CÁLCULO FUNPRESP'!Y261)</f>
        <v>0</v>
      </c>
    </row>
    <row r="262" spans="9:15" x14ac:dyDescent="0.3">
      <c r="I262" s="131" t="str">
        <f ca="1">'CÁLCULO FUNPRESP'!P262</f>
        <v/>
      </c>
      <c r="J262" s="111" t="str">
        <f ca="1">IF($B$2="Não","",'CÁLCULO FUNPRESP'!Q262)</f>
        <v/>
      </c>
      <c r="K262" s="111" t="str">
        <f ca="1">IF($B$2="Não","",'CÁLCULO FUNPRESP'!R262)</f>
        <v/>
      </c>
      <c r="L262" s="111">
        <f ca="1">IF($B$2="Não","",'CÁLCULO FUNPRESP'!S262)</f>
        <v>0</v>
      </c>
      <c r="N262" s="131" t="str">
        <f ca="1">'CÁLCULO FUNPRESP'!U262</f>
        <v/>
      </c>
      <c r="O262" s="111">
        <f ca="1">IF($B$2="Não","",'CÁLCULO FUNPRESP'!Y262)</f>
        <v>0</v>
      </c>
    </row>
    <row r="263" spans="9:15" x14ac:dyDescent="0.3">
      <c r="I263" s="131" t="str">
        <f ca="1">'CÁLCULO FUNPRESP'!P263</f>
        <v/>
      </c>
      <c r="J263" s="111" t="str">
        <f ca="1">IF($B$2="Não","",'CÁLCULO FUNPRESP'!Q263)</f>
        <v/>
      </c>
      <c r="K263" s="111" t="str">
        <f ca="1">IF($B$2="Não","",'CÁLCULO FUNPRESP'!R263)</f>
        <v/>
      </c>
      <c r="L263" s="111">
        <f ca="1">IF($B$2="Não","",'CÁLCULO FUNPRESP'!S263)</f>
        <v>0</v>
      </c>
      <c r="N263" s="131" t="str">
        <f ca="1">'CÁLCULO FUNPRESP'!U263</f>
        <v/>
      </c>
      <c r="O263" s="111">
        <f ca="1">IF($B$2="Não","",'CÁLCULO FUNPRESP'!Y263)</f>
        <v>0</v>
      </c>
    </row>
    <row r="264" spans="9:15" x14ac:dyDescent="0.3">
      <c r="I264" s="131" t="str">
        <f ca="1">'CÁLCULO FUNPRESP'!P264</f>
        <v/>
      </c>
      <c r="J264" s="111" t="str">
        <f ca="1">IF($B$2="Não","",'CÁLCULO FUNPRESP'!Q264)</f>
        <v/>
      </c>
      <c r="K264" s="111" t="str">
        <f ca="1">IF($B$2="Não","",'CÁLCULO FUNPRESP'!R264)</f>
        <v/>
      </c>
      <c r="L264" s="111">
        <f ca="1">IF($B$2="Não","",'CÁLCULO FUNPRESP'!S264)</f>
        <v>0</v>
      </c>
      <c r="N264" s="131" t="str">
        <f ca="1">'CÁLCULO FUNPRESP'!U264</f>
        <v/>
      </c>
      <c r="O264" s="111">
        <f ca="1">IF($B$2="Não","",'CÁLCULO FUNPRESP'!Y264)</f>
        <v>0</v>
      </c>
    </row>
    <row r="265" spans="9:15" x14ac:dyDescent="0.3">
      <c r="I265" s="131" t="str">
        <f ca="1">'CÁLCULO FUNPRESP'!P265</f>
        <v/>
      </c>
      <c r="J265" s="111" t="str">
        <f ca="1">IF($B$2="Não","",'CÁLCULO FUNPRESP'!Q265)</f>
        <v/>
      </c>
      <c r="K265" s="111" t="str">
        <f ca="1">IF($B$2="Não","",'CÁLCULO FUNPRESP'!R265)</f>
        <v/>
      </c>
      <c r="L265" s="111">
        <f ca="1">IF($B$2="Não","",'CÁLCULO FUNPRESP'!S265)</f>
        <v>0</v>
      </c>
      <c r="N265" s="131" t="str">
        <f ca="1">'CÁLCULO FUNPRESP'!U265</f>
        <v/>
      </c>
      <c r="O265" s="111">
        <f ca="1">IF($B$2="Não","",'CÁLCULO FUNPRESP'!Y265)</f>
        <v>0</v>
      </c>
    </row>
    <row r="266" spans="9:15" x14ac:dyDescent="0.3">
      <c r="I266" s="131" t="str">
        <f ca="1">'CÁLCULO FUNPRESP'!P266</f>
        <v/>
      </c>
      <c r="J266" s="111" t="str">
        <f ca="1">IF($B$2="Não","",'CÁLCULO FUNPRESP'!Q266)</f>
        <v/>
      </c>
      <c r="K266" s="111" t="str">
        <f ca="1">IF($B$2="Não","",'CÁLCULO FUNPRESP'!R266)</f>
        <v/>
      </c>
      <c r="L266" s="111">
        <f ca="1">IF($B$2="Não","",'CÁLCULO FUNPRESP'!S266)</f>
        <v>0</v>
      </c>
      <c r="N266" s="131" t="str">
        <f ca="1">'CÁLCULO FUNPRESP'!U266</f>
        <v/>
      </c>
      <c r="O266" s="111">
        <f ca="1">IF($B$2="Não","",'CÁLCULO FUNPRESP'!Y266)</f>
        <v>0</v>
      </c>
    </row>
    <row r="267" spans="9:15" x14ac:dyDescent="0.3">
      <c r="I267" s="131" t="str">
        <f ca="1">'CÁLCULO FUNPRESP'!P267</f>
        <v/>
      </c>
      <c r="J267" s="111" t="str">
        <f ca="1">IF($B$2="Não","",'CÁLCULO FUNPRESP'!Q267)</f>
        <v/>
      </c>
      <c r="K267" s="111" t="str">
        <f ca="1">IF($B$2="Não","",'CÁLCULO FUNPRESP'!R267)</f>
        <v/>
      </c>
      <c r="L267" s="111">
        <f ca="1">IF($B$2="Não","",'CÁLCULO FUNPRESP'!S267)</f>
        <v>0</v>
      </c>
      <c r="N267" s="131" t="str">
        <f ca="1">'CÁLCULO FUNPRESP'!U267</f>
        <v/>
      </c>
      <c r="O267" s="111">
        <f ca="1">IF($B$2="Não","",'CÁLCULO FUNPRESP'!Y267)</f>
        <v>0</v>
      </c>
    </row>
    <row r="268" spans="9:15" x14ac:dyDescent="0.3">
      <c r="I268" s="131" t="str">
        <f ca="1">'CÁLCULO FUNPRESP'!P268</f>
        <v/>
      </c>
      <c r="J268" s="111" t="str">
        <f ca="1">IF($B$2="Não","",'CÁLCULO FUNPRESP'!Q268)</f>
        <v/>
      </c>
      <c r="K268" s="111" t="str">
        <f ca="1">IF($B$2="Não","",'CÁLCULO FUNPRESP'!R268)</f>
        <v/>
      </c>
      <c r="L268" s="111">
        <f ca="1">IF($B$2="Não","",'CÁLCULO FUNPRESP'!S268)</f>
        <v>0</v>
      </c>
      <c r="N268" s="131" t="str">
        <f ca="1">'CÁLCULO FUNPRESP'!U268</f>
        <v/>
      </c>
      <c r="O268" s="111">
        <f ca="1">IF($B$2="Não","",'CÁLCULO FUNPRESP'!Y268)</f>
        <v>0</v>
      </c>
    </row>
    <row r="269" spans="9:15" x14ac:dyDescent="0.3">
      <c r="I269" s="131" t="str">
        <f ca="1">'CÁLCULO FUNPRESP'!P269</f>
        <v/>
      </c>
      <c r="J269" s="111" t="str">
        <f ca="1">IF($B$2="Não","",'CÁLCULO FUNPRESP'!Q269)</f>
        <v/>
      </c>
      <c r="K269" s="111" t="str">
        <f ca="1">IF($B$2="Não","",'CÁLCULO FUNPRESP'!R269)</f>
        <v/>
      </c>
      <c r="L269" s="111">
        <f ca="1">IF($B$2="Não","",'CÁLCULO FUNPRESP'!S269)</f>
        <v>0</v>
      </c>
      <c r="N269" s="131" t="str">
        <f ca="1">'CÁLCULO FUNPRESP'!U269</f>
        <v/>
      </c>
      <c r="O269" s="111">
        <f ca="1">IF($B$2="Não","",'CÁLCULO FUNPRESP'!Y269)</f>
        <v>0</v>
      </c>
    </row>
    <row r="270" spans="9:15" x14ac:dyDescent="0.3">
      <c r="I270" s="131" t="str">
        <f ca="1">'CÁLCULO FUNPRESP'!P270</f>
        <v/>
      </c>
      <c r="J270" s="111" t="str">
        <f ca="1">IF($B$2="Não","",'CÁLCULO FUNPRESP'!Q270)</f>
        <v/>
      </c>
      <c r="K270" s="111" t="str">
        <f ca="1">IF($B$2="Não","",'CÁLCULO FUNPRESP'!R270)</f>
        <v/>
      </c>
      <c r="L270" s="111">
        <f ca="1">IF($B$2="Não","",'CÁLCULO FUNPRESP'!S270)</f>
        <v>0</v>
      </c>
      <c r="N270" s="131" t="str">
        <f ca="1">'CÁLCULO FUNPRESP'!U270</f>
        <v/>
      </c>
      <c r="O270" s="111">
        <f ca="1">IF($B$2="Não","",'CÁLCULO FUNPRESP'!Y270)</f>
        <v>0</v>
      </c>
    </row>
    <row r="271" spans="9:15" x14ac:dyDescent="0.3">
      <c r="I271" s="131" t="str">
        <f ca="1">'CÁLCULO FUNPRESP'!P271</f>
        <v/>
      </c>
      <c r="J271" s="111" t="str">
        <f ca="1">IF($B$2="Não","",'CÁLCULO FUNPRESP'!Q271)</f>
        <v/>
      </c>
      <c r="K271" s="111" t="str">
        <f ca="1">IF($B$2="Não","",'CÁLCULO FUNPRESP'!R271)</f>
        <v/>
      </c>
      <c r="L271" s="111">
        <f ca="1">IF($B$2="Não","",'CÁLCULO FUNPRESP'!S271)</f>
        <v>0</v>
      </c>
      <c r="N271" s="131" t="str">
        <f ca="1">'CÁLCULO FUNPRESP'!U271</f>
        <v/>
      </c>
      <c r="O271" s="111">
        <f ca="1">IF($B$2="Não","",'CÁLCULO FUNPRESP'!Y271)</f>
        <v>0</v>
      </c>
    </row>
    <row r="272" spans="9:15" x14ac:dyDescent="0.3">
      <c r="I272" s="131" t="str">
        <f ca="1">'CÁLCULO FUNPRESP'!P272</f>
        <v/>
      </c>
      <c r="J272" s="111" t="str">
        <f ca="1">IF($B$2="Não","",'CÁLCULO FUNPRESP'!Q272)</f>
        <v/>
      </c>
      <c r="K272" s="111" t="str">
        <f ca="1">IF($B$2="Não","",'CÁLCULO FUNPRESP'!R272)</f>
        <v/>
      </c>
      <c r="L272" s="111">
        <f ca="1">IF($B$2="Não","",'CÁLCULO FUNPRESP'!S272)</f>
        <v>0</v>
      </c>
      <c r="N272" s="131" t="str">
        <f ca="1">'CÁLCULO FUNPRESP'!U272</f>
        <v/>
      </c>
      <c r="O272" s="111">
        <f ca="1">IF($B$2="Não","",'CÁLCULO FUNPRESP'!Y272)</f>
        <v>0</v>
      </c>
    </row>
    <row r="273" spans="9:15" x14ac:dyDescent="0.3">
      <c r="I273" s="131" t="str">
        <f ca="1">'CÁLCULO FUNPRESP'!P273</f>
        <v/>
      </c>
      <c r="J273" s="111" t="str">
        <f ca="1">IF($B$2="Não","",'CÁLCULO FUNPRESP'!Q273)</f>
        <v/>
      </c>
      <c r="K273" s="111" t="str">
        <f ca="1">IF($B$2="Não","",'CÁLCULO FUNPRESP'!R273)</f>
        <v/>
      </c>
      <c r="L273" s="111">
        <f ca="1">IF($B$2="Não","",'CÁLCULO FUNPRESP'!S273)</f>
        <v>0</v>
      </c>
      <c r="N273" s="131" t="str">
        <f ca="1">'CÁLCULO FUNPRESP'!U273</f>
        <v/>
      </c>
      <c r="O273" s="111">
        <f ca="1">IF($B$2="Não","",'CÁLCULO FUNPRESP'!Y273)</f>
        <v>0</v>
      </c>
    </row>
    <row r="274" spans="9:15" x14ac:dyDescent="0.3">
      <c r="I274" s="131" t="str">
        <f ca="1">'CÁLCULO FUNPRESP'!P274</f>
        <v/>
      </c>
      <c r="J274" s="111" t="str">
        <f ca="1">IF($B$2="Não","",'CÁLCULO FUNPRESP'!Q274)</f>
        <v/>
      </c>
      <c r="K274" s="111" t="str">
        <f ca="1">IF($B$2="Não","",'CÁLCULO FUNPRESP'!R274)</f>
        <v/>
      </c>
      <c r="L274" s="111">
        <f ca="1">IF($B$2="Não","",'CÁLCULO FUNPRESP'!S274)</f>
        <v>0</v>
      </c>
      <c r="N274" s="131" t="str">
        <f ca="1">'CÁLCULO FUNPRESP'!U274</f>
        <v/>
      </c>
      <c r="O274" s="111">
        <f ca="1">IF($B$2="Não","",'CÁLCULO FUNPRESP'!Y274)</f>
        <v>0</v>
      </c>
    </row>
    <row r="275" spans="9:15" x14ac:dyDescent="0.3">
      <c r="I275" s="131" t="str">
        <f ca="1">'CÁLCULO FUNPRESP'!P275</f>
        <v/>
      </c>
      <c r="J275" s="111" t="str">
        <f ca="1">IF($B$2="Não","",'CÁLCULO FUNPRESP'!Q275)</f>
        <v/>
      </c>
      <c r="K275" s="111" t="str">
        <f ca="1">IF($B$2="Não","",'CÁLCULO FUNPRESP'!R275)</f>
        <v/>
      </c>
      <c r="L275" s="111">
        <f ca="1">IF($B$2="Não","",'CÁLCULO FUNPRESP'!S275)</f>
        <v>0</v>
      </c>
      <c r="N275" s="131" t="str">
        <f ca="1">'CÁLCULO FUNPRESP'!U275</f>
        <v/>
      </c>
      <c r="O275" s="111">
        <f ca="1">IF($B$2="Não","",'CÁLCULO FUNPRESP'!Y275)</f>
        <v>0</v>
      </c>
    </row>
    <row r="276" spans="9:15" x14ac:dyDescent="0.3">
      <c r="I276" s="131" t="str">
        <f ca="1">'CÁLCULO FUNPRESP'!P276</f>
        <v/>
      </c>
      <c r="J276" s="111" t="str">
        <f ca="1">IF($B$2="Não","",'CÁLCULO FUNPRESP'!Q276)</f>
        <v/>
      </c>
      <c r="K276" s="111" t="str">
        <f ca="1">IF($B$2="Não","",'CÁLCULO FUNPRESP'!R276)</f>
        <v/>
      </c>
      <c r="L276" s="111">
        <f ca="1">IF($B$2="Não","",'CÁLCULO FUNPRESP'!S276)</f>
        <v>0</v>
      </c>
      <c r="N276" s="131" t="str">
        <f ca="1">'CÁLCULO FUNPRESP'!U276</f>
        <v/>
      </c>
      <c r="O276" s="111">
        <f ca="1">IF($B$2="Não","",'CÁLCULO FUNPRESP'!Y276)</f>
        <v>0</v>
      </c>
    </row>
    <row r="277" spans="9:15" x14ac:dyDescent="0.3">
      <c r="I277" s="131" t="str">
        <f ca="1">'CÁLCULO FUNPRESP'!P277</f>
        <v/>
      </c>
      <c r="J277" s="111" t="str">
        <f ca="1">IF($B$2="Não","",'CÁLCULO FUNPRESP'!Q277)</f>
        <v/>
      </c>
      <c r="K277" s="111" t="str">
        <f ca="1">IF($B$2="Não","",'CÁLCULO FUNPRESP'!R277)</f>
        <v/>
      </c>
      <c r="L277" s="111">
        <f ca="1">IF($B$2="Não","",'CÁLCULO FUNPRESP'!S277)</f>
        <v>0</v>
      </c>
      <c r="N277" s="131" t="str">
        <f ca="1">'CÁLCULO FUNPRESP'!U277</f>
        <v/>
      </c>
      <c r="O277" s="111">
        <f ca="1">IF($B$2="Não","",'CÁLCULO FUNPRESP'!Y277)</f>
        <v>0</v>
      </c>
    </row>
    <row r="278" spans="9:15" x14ac:dyDescent="0.3">
      <c r="I278" s="131" t="str">
        <f ca="1">'CÁLCULO FUNPRESP'!P278</f>
        <v/>
      </c>
      <c r="J278" s="111" t="str">
        <f ca="1">IF($B$2="Não","",'CÁLCULO FUNPRESP'!Q278)</f>
        <v/>
      </c>
      <c r="K278" s="111" t="str">
        <f ca="1">IF($B$2="Não","",'CÁLCULO FUNPRESP'!R278)</f>
        <v/>
      </c>
      <c r="L278" s="111">
        <f ca="1">IF($B$2="Não","",'CÁLCULO FUNPRESP'!S278)</f>
        <v>0</v>
      </c>
      <c r="N278" s="131" t="str">
        <f ca="1">'CÁLCULO FUNPRESP'!U278</f>
        <v/>
      </c>
      <c r="O278" s="111">
        <f ca="1">IF($B$2="Não","",'CÁLCULO FUNPRESP'!Y278)</f>
        <v>0</v>
      </c>
    </row>
    <row r="279" spans="9:15" x14ac:dyDescent="0.3">
      <c r="I279" s="131" t="str">
        <f ca="1">'CÁLCULO FUNPRESP'!P279</f>
        <v/>
      </c>
      <c r="J279" s="111" t="str">
        <f ca="1">IF($B$2="Não","",'CÁLCULO FUNPRESP'!Q279)</f>
        <v/>
      </c>
      <c r="K279" s="111" t="str">
        <f ca="1">IF($B$2="Não","",'CÁLCULO FUNPRESP'!R279)</f>
        <v/>
      </c>
      <c r="L279" s="111">
        <f ca="1">IF($B$2="Não","",'CÁLCULO FUNPRESP'!S279)</f>
        <v>0</v>
      </c>
      <c r="N279" s="131" t="str">
        <f ca="1">'CÁLCULO FUNPRESP'!U279</f>
        <v/>
      </c>
      <c r="O279" s="111">
        <f ca="1">IF($B$2="Não","",'CÁLCULO FUNPRESP'!Y279)</f>
        <v>0</v>
      </c>
    </row>
    <row r="280" spans="9:15" x14ac:dyDescent="0.3">
      <c r="I280" s="131" t="str">
        <f ca="1">'CÁLCULO FUNPRESP'!P280</f>
        <v/>
      </c>
      <c r="J280" s="111" t="str">
        <f ca="1">IF($B$2="Não","",'CÁLCULO FUNPRESP'!Q280)</f>
        <v/>
      </c>
      <c r="K280" s="111" t="str">
        <f ca="1">IF($B$2="Não","",'CÁLCULO FUNPRESP'!R280)</f>
        <v/>
      </c>
      <c r="L280" s="111">
        <f ca="1">IF($B$2="Não","",'CÁLCULO FUNPRESP'!S280)</f>
        <v>0</v>
      </c>
      <c r="N280" s="131" t="str">
        <f ca="1">'CÁLCULO FUNPRESP'!U280</f>
        <v/>
      </c>
      <c r="O280" s="111">
        <f ca="1">IF($B$2="Não","",'CÁLCULO FUNPRESP'!Y280)</f>
        <v>0</v>
      </c>
    </row>
    <row r="281" spans="9:15" x14ac:dyDescent="0.3">
      <c r="I281" s="131" t="str">
        <f ca="1">'CÁLCULO FUNPRESP'!P281</f>
        <v/>
      </c>
      <c r="J281" s="111" t="str">
        <f ca="1">IF($B$2="Não","",'CÁLCULO FUNPRESP'!Q281)</f>
        <v/>
      </c>
      <c r="K281" s="111" t="str">
        <f ca="1">IF($B$2="Não","",'CÁLCULO FUNPRESP'!R281)</f>
        <v/>
      </c>
      <c r="L281" s="111">
        <f ca="1">IF($B$2="Não","",'CÁLCULO FUNPRESP'!S281)</f>
        <v>0</v>
      </c>
      <c r="N281" s="131" t="str">
        <f ca="1">'CÁLCULO FUNPRESP'!U281</f>
        <v/>
      </c>
      <c r="O281" s="111">
        <f ca="1">IF($B$2="Não","",'CÁLCULO FUNPRESP'!Y281)</f>
        <v>0</v>
      </c>
    </row>
    <row r="282" spans="9:15" x14ac:dyDescent="0.3">
      <c r="I282" s="131" t="str">
        <f ca="1">'CÁLCULO FUNPRESP'!P282</f>
        <v/>
      </c>
      <c r="J282" s="111" t="str">
        <f ca="1">IF($B$2="Não","",'CÁLCULO FUNPRESP'!Q282)</f>
        <v/>
      </c>
      <c r="K282" s="111" t="str">
        <f ca="1">IF($B$2="Não","",'CÁLCULO FUNPRESP'!R282)</f>
        <v/>
      </c>
      <c r="L282" s="111">
        <f ca="1">IF($B$2="Não","",'CÁLCULO FUNPRESP'!S282)</f>
        <v>0</v>
      </c>
      <c r="N282" s="131" t="str">
        <f ca="1">'CÁLCULO FUNPRESP'!U282</f>
        <v/>
      </c>
      <c r="O282" s="111">
        <f ca="1">IF($B$2="Não","",'CÁLCULO FUNPRESP'!Y282)</f>
        <v>0</v>
      </c>
    </row>
    <row r="283" spans="9:15" x14ac:dyDescent="0.3">
      <c r="I283" s="131" t="str">
        <f ca="1">'CÁLCULO FUNPRESP'!P283</f>
        <v/>
      </c>
      <c r="J283" s="111" t="str">
        <f ca="1">IF($B$2="Não","",'CÁLCULO FUNPRESP'!Q283)</f>
        <v/>
      </c>
      <c r="K283" s="111" t="str">
        <f ca="1">IF($B$2="Não","",'CÁLCULO FUNPRESP'!R283)</f>
        <v/>
      </c>
      <c r="L283" s="111">
        <f ca="1">IF($B$2="Não","",'CÁLCULO FUNPRESP'!S283)</f>
        <v>0</v>
      </c>
      <c r="N283" s="131" t="str">
        <f ca="1">'CÁLCULO FUNPRESP'!U283</f>
        <v/>
      </c>
      <c r="O283" s="111">
        <f ca="1">IF($B$2="Não","",'CÁLCULO FUNPRESP'!Y283)</f>
        <v>0</v>
      </c>
    </row>
    <row r="284" spans="9:15" x14ac:dyDescent="0.3">
      <c r="I284" s="131" t="str">
        <f ca="1">'CÁLCULO FUNPRESP'!P284</f>
        <v/>
      </c>
      <c r="J284" s="111" t="str">
        <f ca="1">IF($B$2="Não","",'CÁLCULO FUNPRESP'!Q284)</f>
        <v/>
      </c>
      <c r="K284" s="111" t="str">
        <f ca="1">IF($B$2="Não","",'CÁLCULO FUNPRESP'!R284)</f>
        <v/>
      </c>
      <c r="L284" s="111">
        <f ca="1">IF($B$2="Não","",'CÁLCULO FUNPRESP'!S284)</f>
        <v>0</v>
      </c>
      <c r="N284" s="131" t="str">
        <f ca="1">'CÁLCULO FUNPRESP'!U284</f>
        <v/>
      </c>
      <c r="O284" s="111">
        <f ca="1">IF($B$2="Não","",'CÁLCULO FUNPRESP'!Y284)</f>
        <v>0</v>
      </c>
    </row>
    <row r="285" spans="9:15" x14ac:dyDescent="0.3">
      <c r="I285" s="131" t="str">
        <f ca="1">'CÁLCULO FUNPRESP'!P285</f>
        <v/>
      </c>
      <c r="J285" s="111" t="str">
        <f ca="1">IF($B$2="Não","",'CÁLCULO FUNPRESP'!Q285)</f>
        <v/>
      </c>
      <c r="K285" s="111" t="str">
        <f ca="1">IF($B$2="Não","",'CÁLCULO FUNPRESP'!R285)</f>
        <v/>
      </c>
      <c r="L285" s="111">
        <f ca="1">IF($B$2="Não","",'CÁLCULO FUNPRESP'!S285)</f>
        <v>0</v>
      </c>
      <c r="N285" s="131" t="str">
        <f ca="1">'CÁLCULO FUNPRESP'!U285</f>
        <v/>
      </c>
      <c r="O285" s="111">
        <f ca="1">IF($B$2="Não","",'CÁLCULO FUNPRESP'!Y285)</f>
        <v>0</v>
      </c>
    </row>
    <row r="286" spans="9:15" x14ac:dyDescent="0.3">
      <c r="I286" s="131" t="str">
        <f ca="1">'CÁLCULO FUNPRESP'!P286</f>
        <v/>
      </c>
      <c r="J286" s="111" t="str">
        <f ca="1">IF($B$2="Não","",'CÁLCULO FUNPRESP'!Q286)</f>
        <v/>
      </c>
      <c r="K286" s="111" t="str">
        <f ca="1">IF($B$2="Não","",'CÁLCULO FUNPRESP'!R286)</f>
        <v/>
      </c>
      <c r="L286" s="111">
        <f ca="1">IF($B$2="Não","",'CÁLCULO FUNPRESP'!S286)</f>
        <v>0</v>
      </c>
      <c r="N286" s="131" t="str">
        <f ca="1">'CÁLCULO FUNPRESP'!U286</f>
        <v/>
      </c>
      <c r="O286" s="111">
        <f ca="1">IF($B$2="Não","",'CÁLCULO FUNPRESP'!Y286)</f>
        <v>0</v>
      </c>
    </row>
    <row r="287" spans="9:15" x14ac:dyDescent="0.3">
      <c r="I287" s="131" t="str">
        <f ca="1">'CÁLCULO FUNPRESP'!P287</f>
        <v/>
      </c>
      <c r="J287" s="111" t="str">
        <f ca="1">IF($B$2="Não","",'CÁLCULO FUNPRESP'!Q287)</f>
        <v/>
      </c>
      <c r="K287" s="111" t="str">
        <f ca="1">IF($B$2="Não","",'CÁLCULO FUNPRESP'!R287)</f>
        <v/>
      </c>
      <c r="L287" s="111">
        <f ca="1">IF($B$2="Não","",'CÁLCULO FUNPRESP'!S287)</f>
        <v>0</v>
      </c>
      <c r="N287" s="131" t="str">
        <f ca="1">'CÁLCULO FUNPRESP'!U287</f>
        <v/>
      </c>
      <c r="O287" s="111">
        <f ca="1">IF($B$2="Não","",'CÁLCULO FUNPRESP'!Y287)</f>
        <v>0</v>
      </c>
    </row>
    <row r="288" spans="9:15" x14ac:dyDescent="0.3">
      <c r="I288" s="131" t="str">
        <f ca="1">'CÁLCULO FUNPRESP'!P288</f>
        <v/>
      </c>
      <c r="J288" s="111" t="str">
        <f ca="1">IF($B$2="Não","",'CÁLCULO FUNPRESP'!Q288)</f>
        <v/>
      </c>
      <c r="K288" s="111" t="str">
        <f ca="1">IF($B$2="Não","",'CÁLCULO FUNPRESP'!R288)</f>
        <v/>
      </c>
      <c r="L288" s="111">
        <f ca="1">IF($B$2="Não","",'CÁLCULO FUNPRESP'!S288)</f>
        <v>0</v>
      </c>
      <c r="N288" s="131" t="str">
        <f ca="1">'CÁLCULO FUNPRESP'!U288</f>
        <v/>
      </c>
      <c r="O288" s="111">
        <f ca="1">IF($B$2="Não","",'CÁLCULO FUNPRESP'!Y288)</f>
        <v>0</v>
      </c>
    </row>
    <row r="289" spans="9:15" x14ac:dyDescent="0.3">
      <c r="I289" s="131" t="str">
        <f ca="1">'CÁLCULO FUNPRESP'!P289</f>
        <v/>
      </c>
      <c r="J289" s="111" t="str">
        <f ca="1">IF($B$2="Não","",'CÁLCULO FUNPRESP'!Q289)</f>
        <v/>
      </c>
      <c r="K289" s="111" t="str">
        <f ca="1">IF($B$2="Não","",'CÁLCULO FUNPRESP'!R289)</f>
        <v/>
      </c>
      <c r="L289" s="111">
        <f ca="1">IF($B$2="Não","",'CÁLCULO FUNPRESP'!S289)</f>
        <v>0</v>
      </c>
      <c r="N289" s="131" t="str">
        <f ca="1">'CÁLCULO FUNPRESP'!U289</f>
        <v/>
      </c>
      <c r="O289" s="111">
        <f ca="1">IF($B$2="Não","",'CÁLCULO FUNPRESP'!Y289)</f>
        <v>0</v>
      </c>
    </row>
    <row r="290" spans="9:15" x14ac:dyDescent="0.3">
      <c r="I290" s="131" t="str">
        <f ca="1">'CÁLCULO FUNPRESP'!P290</f>
        <v/>
      </c>
      <c r="J290" s="111" t="str">
        <f ca="1">IF($B$2="Não","",'CÁLCULO FUNPRESP'!Q290)</f>
        <v/>
      </c>
      <c r="K290" s="111" t="str">
        <f ca="1">IF($B$2="Não","",'CÁLCULO FUNPRESP'!R290)</f>
        <v/>
      </c>
      <c r="L290" s="111">
        <f ca="1">IF($B$2="Não","",'CÁLCULO FUNPRESP'!S290)</f>
        <v>0</v>
      </c>
      <c r="N290" s="131" t="str">
        <f ca="1">'CÁLCULO FUNPRESP'!U290</f>
        <v/>
      </c>
      <c r="O290" s="111">
        <f ca="1">IF($B$2="Não","",'CÁLCULO FUNPRESP'!Y290)</f>
        <v>0</v>
      </c>
    </row>
    <row r="291" spans="9:15" x14ac:dyDescent="0.3">
      <c r="I291" s="131" t="str">
        <f ca="1">'CÁLCULO FUNPRESP'!P291</f>
        <v/>
      </c>
      <c r="J291" s="111" t="str">
        <f ca="1">IF($B$2="Não","",'CÁLCULO FUNPRESP'!Q291)</f>
        <v/>
      </c>
      <c r="K291" s="111" t="str">
        <f ca="1">IF($B$2="Não","",'CÁLCULO FUNPRESP'!R291)</f>
        <v/>
      </c>
      <c r="L291" s="111">
        <f ca="1">IF($B$2="Não","",'CÁLCULO FUNPRESP'!S291)</f>
        <v>0</v>
      </c>
      <c r="N291" s="131" t="str">
        <f ca="1">'CÁLCULO FUNPRESP'!U291</f>
        <v/>
      </c>
      <c r="O291" s="111">
        <f ca="1">IF($B$2="Não","",'CÁLCULO FUNPRESP'!Y291)</f>
        <v>0</v>
      </c>
    </row>
    <row r="292" spans="9:15" x14ac:dyDescent="0.3">
      <c r="I292" s="131" t="str">
        <f ca="1">'CÁLCULO FUNPRESP'!P292</f>
        <v/>
      </c>
      <c r="J292" s="111" t="str">
        <f ca="1">IF($B$2="Não","",'CÁLCULO FUNPRESP'!Q292)</f>
        <v/>
      </c>
      <c r="K292" s="111" t="str">
        <f ca="1">IF($B$2="Não","",'CÁLCULO FUNPRESP'!R292)</f>
        <v/>
      </c>
      <c r="L292" s="111">
        <f ca="1">IF($B$2="Não","",'CÁLCULO FUNPRESP'!S292)</f>
        <v>0</v>
      </c>
      <c r="N292" s="131" t="str">
        <f ca="1">'CÁLCULO FUNPRESP'!U292</f>
        <v/>
      </c>
      <c r="O292" s="111">
        <f ca="1">IF($B$2="Não","",'CÁLCULO FUNPRESP'!Y292)</f>
        <v>0</v>
      </c>
    </row>
    <row r="293" spans="9:15" x14ac:dyDescent="0.3">
      <c r="I293" s="131" t="str">
        <f ca="1">'CÁLCULO FUNPRESP'!P293</f>
        <v/>
      </c>
      <c r="J293" s="111" t="str">
        <f ca="1">IF($B$2="Não","",'CÁLCULO FUNPRESP'!Q293)</f>
        <v/>
      </c>
      <c r="K293" s="111" t="str">
        <f ca="1">IF($B$2="Não","",'CÁLCULO FUNPRESP'!R293)</f>
        <v/>
      </c>
      <c r="L293" s="111">
        <f ca="1">IF($B$2="Não","",'CÁLCULO FUNPRESP'!S293)</f>
        <v>0</v>
      </c>
      <c r="N293" s="131" t="str">
        <f ca="1">'CÁLCULO FUNPRESP'!U293</f>
        <v/>
      </c>
      <c r="O293" s="111">
        <f ca="1">IF($B$2="Não","",'CÁLCULO FUNPRESP'!Y293)</f>
        <v>0</v>
      </c>
    </row>
    <row r="294" spans="9:15" x14ac:dyDescent="0.3">
      <c r="I294" s="131" t="str">
        <f ca="1">'CÁLCULO FUNPRESP'!P294</f>
        <v/>
      </c>
      <c r="J294" s="111" t="str">
        <f ca="1">IF($B$2="Não","",'CÁLCULO FUNPRESP'!Q294)</f>
        <v/>
      </c>
      <c r="K294" s="111" t="str">
        <f ca="1">IF($B$2="Não","",'CÁLCULO FUNPRESP'!R294)</f>
        <v/>
      </c>
      <c r="L294" s="111">
        <f ca="1">IF($B$2="Não","",'CÁLCULO FUNPRESP'!S294)</f>
        <v>0</v>
      </c>
      <c r="N294" s="131" t="str">
        <f ca="1">'CÁLCULO FUNPRESP'!U294</f>
        <v/>
      </c>
      <c r="O294" s="111">
        <f ca="1">IF($B$2="Não","",'CÁLCULO FUNPRESP'!Y294)</f>
        <v>0</v>
      </c>
    </row>
    <row r="295" spans="9:15" x14ac:dyDescent="0.3">
      <c r="I295" s="131" t="str">
        <f ca="1">'CÁLCULO FUNPRESP'!P295</f>
        <v/>
      </c>
      <c r="J295" s="111" t="str">
        <f ca="1">IF($B$2="Não","",'CÁLCULO FUNPRESP'!Q295)</f>
        <v/>
      </c>
      <c r="K295" s="111" t="str">
        <f ca="1">IF($B$2="Não","",'CÁLCULO FUNPRESP'!R295)</f>
        <v/>
      </c>
      <c r="L295" s="111">
        <f ca="1">IF($B$2="Não","",'CÁLCULO FUNPRESP'!S295)</f>
        <v>0</v>
      </c>
      <c r="N295" s="131" t="str">
        <f ca="1">'CÁLCULO FUNPRESP'!U295</f>
        <v/>
      </c>
      <c r="O295" s="111">
        <f ca="1">IF($B$2="Não","",'CÁLCULO FUNPRESP'!Y295)</f>
        <v>0</v>
      </c>
    </row>
    <row r="296" spans="9:15" x14ac:dyDescent="0.3">
      <c r="I296" s="131" t="str">
        <f ca="1">'CÁLCULO FUNPRESP'!P296</f>
        <v/>
      </c>
      <c r="J296" s="111" t="str">
        <f ca="1">IF($B$2="Não","",'CÁLCULO FUNPRESP'!Q296)</f>
        <v/>
      </c>
      <c r="K296" s="111" t="str">
        <f ca="1">IF($B$2="Não","",'CÁLCULO FUNPRESP'!R296)</f>
        <v/>
      </c>
      <c r="L296" s="111">
        <f ca="1">IF($B$2="Não","",'CÁLCULO FUNPRESP'!S296)</f>
        <v>0</v>
      </c>
      <c r="N296" s="131" t="str">
        <f ca="1">'CÁLCULO FUNPRESP'!U296</f>
        <v/>
      </c>
      <c r="O296" s="111">
        <f ca="1">IF($B$2="Não","",'CÁLCULO FUNPRESP'!Y296)</f>
        <v>0</v>
      </c>
    </row>
    <row r="297" spans="9:15" x14ac:dyDescent="0.3">
      <c r="I297" s="131" t="str">
        <f ca="1">'CÁLCULO FUNPRESP'!P297</f>
        <v/>
      </c>
      <c r="J297" s="111" t="str">
        <f ca="1">IF($B$2="Não","",'CÁLCULO FUNPRESP'!Q297)</f>
        <v/>
      </c>
      <c r="K297" s="111" t="str">
        <f ca="1">IF($B$2="Não","",'CÁLCULO FUNPRESP'!R297)</f>
        <v/>
      </c>
      <c r="L297" s="111">
        <f ca="1">IF($B$2="Não","",'CÁLCULO FUNPRESP'!S297)</f>
        <v>0</v>
      </c>
      <c r="N297" s="131" t="str">
        <f ca="1">'CÁLCULO FUNPRESP'!U297</f>
        <v/>
      </c>
      <c r="O297" s="111">
        <f ca="1">IF($B$2="Não","",'CÁLCULO FUNPRESP'!Y297)</f>
        <v>0</v>
      </c>
    </row>
    <row r="298" spans="9:15" x14ac:dyDescent="0.3">
      <c r="I298" s="131" t="str">
        <f ca="1">'CÁLCULO FUNPRESP'!P298</f>
        <v/>
      </c>
      <c r="J298" s="111" t="str">
        <f ca="1">IF($B$2="Não","",'CÁLCULO FUNPRESP'!Q298)</f>
        <v/>
      </c>
      <c r="K298" s="111" t="str">
        <f ca="1">IF($B$2="Não","",'CÁLCULO FUNPRESP'!R298)</f>
        <v/>
      </c>
      <c r="L298" s="111">
        <f ca="1">IF($B$2="Não","",'CÁLCULO FUNPRESP'!S298)</f>
        <v>0</v>
      </c>
      <c r="N298" s="131" t="str">
        <f ca="1">'CÁLCULO FUNPRESP'!U298</f>
        <v/>
      </c>
      <c r="O298" s="111">
        <f ca="1">IF($B$2="Não","",'CÁLCULO FUNPRESP'!Y298)</f>
        <v>0</v>
      </c>
    </row>
    <row r="299" spans="9:15" x14ac:dyDescent="0.3">
      <c r="I299" s="131" t="str">
        <f ca="1">'CÁLCULO FUNPRESP'!P299</f>
        <v/>
      </c>
      <c r="J299" s="111" t="str">
        <f ca="1">IF($B$2="Não","",'CÁLCULO FUNPRESP'!Q299)</f>
        <v/>
      </c>
      <c r="K299" s="111" t="str">
        <f ca="1">IF($B$2="Não","",'CÁLCULO FUNPRESP'!R299)</f>
        <v/>
      </c>
      <c r="L299" s="111">
        <f ca="1">IF($B$2="Não","",'CÁLCULO FUNPRESP'!S299)</f>
        <v>0</v>
      </c>
      <c r="N299" s="131" t="str">
        <f ca="1">'CÁLCULO FUNPRESP'!U299</f>
        <v/>
      </c>
      <c r="O299" s="111">
        <f ca="1">IF($B$2="Não","",'CÁLCULO FUNPRESP'!Y299)</f>
        <v>0</v>
      </c>
    </row>
    <row r="300" spans="9:15" x14ac:dyDescent="0.3">
      <c r="I300" s="131" t="str">
        <f ca="1">'CÁLCULO FUNPRESP'!P300</f>
        <v/>
      </c>
      <c r="J300" s="111" t="str">
        <f ca="1">IF($B$2="Não","",'CÁLCULO FUNPRESP'!Q300)</f>
        <v/>
      </c>
      <c r="K300" s="111" t="str">
        <f ca="1">IF($B$2="Não","",'CÁLCULO FUNPRESP'!R300)</f>
        <v/>
      </c>
      <c r="L300" s="111">
        <f ca="1">IF($B$2="Não","",'CÁLCULO FUNPRESP'!S300)</f>
        <v>0</v>
      </c>
      <c r="N300" s="131" t="str">
        <f ca="1">'CÁLCULO FUNPRESP'!U300</f>
        <v/>
      </c>
      <c r="O300" s="111">
        <f ca="1">IF($B$2="Não","",'CÁLCULO FUNPRESP'!Y300)</f>
        <v>0</v>
      </c>
    </row>
    <row r="301" spans="9:15" x14ac:dyDescent="0.3">
      <c r="I301" s="131" t="str">
        <f ca="1">'CÁLCULO FUNPRESP'!P301</f>
        <v/>
      </c>
      <c r="J301" s="111" t="str">
        <f ca="1">IF($B$2="Não","",'CÁLCULO FUNPRESP'!Q301)</f>
        <v/>
      </c>
      <c r="K301" s="111" t="str">
        <f ca="1">IF($B$2="Não","",'CÁLCULO FUNPRESP'!R301)</f>
        <v/>
      </c>
      <c r="L301" s="111">
        <f ca="1">IF($B$2="Não","",'CÁLCULO FUNPRESP'!S301)</f>
        <v>0</v>
      </c>
      <c r="N301" s="131" t="str">
        <f ca="1">'CÁLCULO FUNPRESP'!U301</f>
        <v/>
      </c>
      <c r="O301" s="111">
        <f ca="1">IF($B$2="Não","",'CÁLCULO FUNPRESP'!Y301)</f>
        <v>0</v>
      </c>
    </row>
    <row r="302" spans="9:15" x14ac:dyDescent="0.3">
      <c r="I302" s="131" t="str">
        <f ca="1">'CÁLCULO FUNPRESP'!P302</f>
        <v/>
      </c>
      <c r="J302" s="111" t="str">
        <f ca="1">IF($B$2="Não","",'CÁLCULO FUNPRESP'!Q302)</f>
        <v/>
      </c>
      <c r="K302" s="111" t="str">
        <f ca="1">IF($B$2="Não","",'CÁLCULO FUNPRESP'!R302)</f>
        <v/>
      </c>
      <c r="L302" s="111">
        <f ca="1">IF($B$2="Não","",'CÁLCULO FUNPRESP'!S302)</f>
        <v>0</v>
      </c>
      <c r="N302" s="131" t="str">
        <f ca="1">'CÁLCULO FUNPRESP'!U302</f>
        <v/>
      </c>
      <c r="O302" s="111">
        <f ca="1">IF($B$2="Não","",'CÁLCULO FUNPRESP'!Y302)</f>
        <v>0</v>
      </c>
    </row>
    <row r="303" spans="9:15" x14ac:dyDescent="0.3">
      <c r="I303" s="131" t="str">
        <f ca="1">'CÁLCULO FUNPRESP'!P303</f>
        <v/>
      </c>
      <c r="J303" s="111" t="str">
        <f ca="1">IF($B$2="Não","",'CÁLCULO FUNPRESP'!Q303)</f>
        <v/>
      </c>
      <c r="K303" s="111" t="str">
        <f ca="1">IF($B$2="Não","",'CÁLCULO FUNPRESP'!R303)</f>
        <v/>
      </c>
      <c r="L303" s="111">
        <f ca="1">IF($B$2="Não","",'CÁLCULO FUNPRESP'!S303)</f>
        <v>0</v>
      </c>
      <c r="N303" s="131" t="str">
        <f ca="1">'CÁLCULO FUNPRESP'!U303</f>
        <v/>
      </c>
      <c r="O303" s="111">
        <f ca="1">IF($B$2="Não","",'CÁLCULO FUNPRESP'!Y303)</f>
        <v>0</v>
      </c>
    </row>
    <row r="304" spans="9:15" x14ac:dyDescent="0.3">
      <c r="I304" s="131" t="str">
        <f ca="1">'CÁLCULO FUNPRESP'!P304</f>
        <v/>
      </c>
      <c r="J304" s="111" t="str">
        <f ca="1">IF($B$2="Não","",'CÁLCULO FUNPRESP'!Q304)</f>
        <v/>
      </c>
      <c r="K304" s="111" t="str">
        <f ca="1">IF($B$2="Não","",'CÁLCULO FUNPRESP'!R304)</f>
        <v/>
      </c>
      <c r="L304" s="111">
        <f ca="1">IF($B$2="Não","",'CÁLCULO FUNPRESP'!S304)</f>
        <v>0</v>
      </c>
      <c r="N304" s="131" t="str">
        <f ca="1">'CÁLCULO FUNPRESP'!U304</f>
        <v/>
      </c>
      <c r="O304" s="111">
        <f ca="1">IF($B$2="Não","",'CÁLCULO FUNPRESP'!Y304)</f>
        <v>0</v>
      </c>
    </row>
    <row r="305" spans="9:15" x14ac:dyDescent="0.3">
      <c r="I305" s="131" t="str">
        <f ca="1">'CÁLCULO FUNPRESP'!P305</f>
        <v/>
      </c>
      <c r="J305" s="111" t="str">
        <f ca="1">IF($B$2="Não","",'CÁLCULO FUNPRESP'!Q305)</f>
        <v/>
      </c>
      <c r="K305" s="111" t="str">
        <f ca="1">IF($B$2="Não","",'CÁLCULO FUNPRESP'!R305)</f>
        <v/>
      </c>
      <c r="L305" s="111">
        <f ca="1">IF($B$2="Não","",'CÁLCULO FUNPRESP'!S305)</f>
        <v>0</v>
      </c>
      <c r="N305" s="131" t="str">
        <f ca="1">'CÁLCULO FUNPRESP'!U305</f>
        <v/>
      </c>
      <c r="O305" s="111">
        <f ca="1">IF($B$2="Não","",'CÁLCULO FUNPRESP'!Y305)</f>
        <v>0</v>
      </c>
    </row>
    <row r="306" spans="9:15" x14ac:dyDescent="0.3">
      <c r="I306" s="131" t="str">
        <f ca="1">'CÁLCULO FUNPRESP'!P306</f>
        <v/>
      </c>
      <c r="J306" s="111" t="str">
        <f ca="1">IF($B$2="Não","",'CÁLCULO FUNPRESP'!Q306)</f>
        <v/>
      </c>
      <c r="K306" s="111" t="str">
        <f ca="1">IF($B$2="Não","",'CÁLCULO FUNPRESP'!R306)</f>
        <v/>
      </c>
      <c r="L306" s="111">
        <f ca="1">IF($B$2="Não","",'CÁLCULO FUNPRESP'!S306)</f>
        <v>0</v>
      </c>
      <c r="N306" s="131" t="str">
        <f ca="1">'CÁLCULO FUNPRESP'!U306</f>
        <v/>
      </c>
      <c r="O306" s="111">
        <f ca="1">IF($B$2="Não","",'CÁLCULO FUNPRESP'!Y306)</f>
        <v>0</v>
      </c>
    </row>
    <row r="307" spans="9:15" x14ac:dyDescent="0.3">
      <c r="I307" s="131" t="str">
        <f ca="1">'CÁLCULO FUNPRESP'!P307</f>
        <v/>
      </c>
      <c r="J307" s="111" t="str">
        <f ca="1">IF($B$2="Não","",'CÁLCULO FUNPRESP'!Q307)</f>
        <v/>
      </c>
      <c r="K307" s="111" t="str">
        <f ca="1">IF($B$2="Não","",'CÁLCULO FUNPRESP'!R307)</f>
        <v/>
      </c>
      <c r="L307" s="111">
        <f ca="1">IF($B$2="Não","",'CÁLCULO FUNPRESP'!S307)</f>
        <v>0</v>
      </c>
      <c r="N307" s="131" t="str">
        <f ca="1">'CÁLCULO FUNPRESP'!U307</f>
        <v/>
      </c>
      <c r="O307" s="111">
        <f ca="1">IF($B$2="Não","",'CÁLCULO FUNPRESP'!Y307)</f>
        <v>0</v>
      </c>
    </row>
    <row r="308" spans="9:15" x14ac:dyDescent="0.3">
      <c r="I308" s="131" t="str">
        <f ca="1">'CÁLCULO FUNPRESP'!P308</f>
        <v/>
      </c>
      <c r="J308" s="111" t="str">
        <f ca="1">IF($B$2="Não","",'CÁLCULO FUNPRESP'!Q308)</f>
        <v/>
      </c>
      <c r="K308" s="111" t="str">
        <f ca="1">IF($B$2="Não","",'CÁLCULO FUNPRESP'!R308)</f>
        <v/>
      </c>
      <c r="L308" s="111">
        <f ca="1">IF($B$2="Não","",'CÁLCULO FUNPRESP'!S308)</f>
        <v>0</v>
      </c>
      <c r="N308" s="131" t="str">
        <f ca="1">'CÁLCULO FUNPRESP'!U308</f>
        <v/>
      </c>
      <c r="O308" s="111">
        <f ca="1">IF($B$2="Não","",'CÁLCULO FUNPRESP'!Y308)</f>
        <v>0</v>
      </c>
    </row>
    <row r="309" spans="9:15" x14ac:dyDescent="0.3">
      <c r="I309" s="131" t="str">
        <f ca="1">'CÁLCULO FUNPRESP'!P309</f>
        <v/>
      </c>
      <c r="J309" s="111" t="str">
        <f ca="1">IF($B$2="Não","",'CÁLCULO FUNPRESP'!Q309)</f>
        <v/>
      </c>
      <c r="K309" s="111" t="str">
        <f ca="1">IF($B$2="Não","",'CÁLCULO FUNPRESP'!R309)</f>
        <v/>
      </c>
      <c r="L309" s="111">
        <f ca="1">IF($B$2="Não","",'CÁLCULO FUNPRESP'!S309)</f>
        <v>0</v>
      </c>
      <c r="N309" s="131" t="str">
        <f ca="1">'CÁLCULO FUNPRESP'!U309</f>
        <v/>
      </c>
      <c r="O309" s="111">
        <f ca="1">IF($B$2="Não","",'CÁLCULO FUNPRESP'!Y309)</f>
        <v>0</v>
      </c>
    </row>
    <row r="310" spans="9:15" x14ac:dyDescent="0.3">
      <c r="I310" s="131" t="str">
        <f ca="1">'CÁLCULO FUNPRESP'!P310</f>
        <v/>
      </c>
      <c r="J310" s="111" t="str">
        <f ca="1">IF($B$2="Não","",'CÁLCULO FUNPRESP'!Q310)</f>
        <v/>
      </c>
      <c r="K310" s="111" t="str">
        <f ca="1">IF($B$2="Não","",'CÁLCULO FUNPRESP'!R310)</f>
        <v/>
      </c>
      <c r="L310" s="111">
        <f ca="1">IF($B$2="Não","",'CÁLCULO FUNPRESP'!S310)</f>
        <v>0</v>
      </c>
      <c r="N310" s="131" t="str">
        <f ca="1">'CÁLCULO FUNPRESP'!U310</f>
        <v/>
      </c>
      <c r="O310" s="111">
        <f ca="1">IF($B$2="Não","",'CÁLCULO FUNPRESP'!Y310)</f>
        <v>0</v>
      </c>
    </row>
    <row r="311" spans="9:15" x14ac:dyDescent="0.3">
      <c r="I311" s="131" t="str">
        <f ca="1">'CÁLCULO FUNPRESP'!P311</f>
        <v/>
      </c>
      <c r="J311" s="111" t="str">
        <f ca="1">IF($B$2="Não","",'CÁLCULO FUNPRESP'!Q311)</f>
        <v/>
      </c>
      <c r="K311" s="111" t="str">
        <f ca="1">IF($B$2="Não","",'CÁLCULO FUNPRESP'!R311)</f>
        <v/>
      </c>
      <c r="L311" s="111">
        <f ca="1">IF($B$2="Não","",'CÁLCULO FUNPRESP'!S311)</f>
        <v>0</v>
      </c>
      <c r="N311" s="131" t="str">
        <f ca="1">'CÁLCULO FUNPRESP'!U311</f>
        <v/>
      </c>
      <c r="O311" s="111">
        <f ca="1">IF($B$2="Não","",'CÁLCULO FUNPRESP'!Y311)</f>
        <v>0</v>
      </c>
    </row>
    <row r="312" spans="9:15" x14ac:dyDescent="0.3">
      <c r="I312" s="131" t="str">
        <f ca="1">'CÁLCULO FUNPRESP'!P312</f>
        <v/>
      </c>
      <c r="J312" s="111" t="str">
        <f ca="1">IF($B$2="Não","",'CÁLCULO FUNPRESP'!Q312)</f>
        <v/>
      </c>
      <c r="K312" s="111" t="str">
        <f ca="1">IF($B$2="Não","",'CÁLCULO FUNPRESP'!R312)</f>
        <v/>
      </c>
      <c r="L312" s="111">
        <f ca="1">IF($B$2="Não","",'CÁLCULO FUNPRESP'!S312)</f>
        <v>0</v>
      </c>
      <c r="N312" s="131" t="str">
        <f ca="1">'CÁLCULO FUNPRESP'!U312</f>
        <v/>
      </c>
      <c r="O312" s="111">
        <f ca="1">IF($B$2="Não","",'CÁLCULO FUNPRESP'!Y312)</f>
        <v>0</v>
      </c>
    </row>
    <row r="313" spans="9:15" x14ac:dyDescent="0.3">
      <c r="I313" s="131" t="str">
        <f ca="1">'CÁLCULO FUNPRESP'!P313</f>
        <v/>
      </c>
      <c r="J313" s="111" t="str">
        <f ca="1">IF($B$2="Não","",'CÁLCULO FUNPRESP'!Q313)</f>
        <v/>
      </c>
      <c r="K313" s="111" t="str">
        <f ca="1">IF($B$2="Não","",'CÁLCULO FUNPRESP'!R313)</f>
        <v/>
      </c>
      <c r="L313" s="111">
        <f ca="1">IF($B$2="Não","",'CÁLCULO FUNPRESP'!S313)</f>
        <v>0</v>
      </c>
      <c r="N313" s="131" t="str">
        <f ca="1">'CÁLCULO FUNPRESP'!U313</f>
        <v/>
      </c>
      <c r="O313" s="111">
        <f ca="1">IF($B$2="Não","",'CÁLCULO FUNPRESP'!Y313)</f>
        <v>0</v>
      </c>
    </row>
    <row r="314" spans="9:15" x14ac:dyDescent="0.3">
      <c r="I314" s="131" t="str">
        <f ca="1">'CÁLCULO FUNPRESP'!P314</f>
        <v/>
      </c>
      <c r="J314" s="111" t="str">
        <f ca="1">IF($B$2="Não","",'CÁLCULO FUNPRESP'!Q314)</f>
        <v/>
      </c>
      <c r="K314" s="111" t="str">
        <f ca="1">IF($B$2="Não","",'CÁLCULO FUNPRESP'!R314)</f>
        <v/>
      </c>
      <c r="L314" s="111">
        <f ca="1">IF($B$2="Não","",'CÁLCULO FUNPRESP'!S314)</f>
        <v>0</v>
      </c>
      <c r="N314" s="131" t="str">
        <f ca="1">'CÁLCULO FUNPRESP'!U314</f>
        <v/>
      </c>
      <c r="O314" s="111">
        <f ca="1">IF($B$2="Não","",'CÁLCULO FUNPRESP'!Y314)</f>
        <v>0</v>
      </c>
    </row>
    <row r="315" spans="9:15" x14ac:dyDescent="0.3">
      <c r="I315" s="131" t="str">
        <f ca="1">'CÁLCULO FUNPRESP'!P315</f>
        <v/>
      </c>
      <c r="J315" s="111" t="str">
        <f ca="1">IF($B$2="Não","",'CÁLCULO FUNPRESP'!Q315)</f>
        <v/>
      </c>
      <c r="K315" s="111" t="str">
        <f ca="1">IF($B$2="Não","",'CÁLCULO FUNPRESP'!R315)</f>
        <v/>
      </c>
      <c r="L315" s="111">
        <f ca="1">IF($B$2="Não","",'CÁLCULO FUNPRESP'!S315)</f>
        <v>0</v>
      </c>
      <c r="N315" s="131" t="str">
        <f ca="1">'CÁLCULO FUNPRESP'!U315</f>
        <v/>
      </c>
      <c r="O315" s="111">
        <f ca="1">IF($B$2="Não","",'CÁLCULO FUNPRESP'!Y315)</f>
        <v>0</v>
      </c>
    </row>
    <row r="316" spans="9:15" x14ac:dyDescent="0.3">
      <c r="I316" s="131" t="str">
        <f ca="1">'CÁLCULO FUNPRESP'!P316</f>
        <v/>
      </c>
      <c r="J316" s="111" t="str">
        <f ca="1">IF($B$2="Não","",'CÁLCULO FUNPRESP'!Q316)</f>
        <v/>
      </c>
      <c r="K316" s="111" t="str">
        <f ca="1">IF($B$2="Não","",'CÁLCULO FUNPRESP'!R316)</f>
        <v/>
      </c>
      <c r="L316" s="111">
        <f ca="1">IF($B$2="Não","",'CÁLCULO FUNPRESP'!S316)</f>
        <v>0</v>
      </c>
      <c r="N316" s="131" t="str">
        <f ca="1">'CÁLCULO FUNPRESP'!U316</f>
        <v/>
      </c>
      <c r="O316" s="111">
        <f ca="1">IF($B$2="Não","",'CÁLCULO FUNPRESP'!Y316)</f>
        <v>0</v>
      </c>
    </row>
    <row r="317" spans="9:15" x14ac:dyDescent="0.3">
      <c r="I317" s="131" t="str">
        <f ca="1">'CÁLCULO FUNPRESP'!P317</f>
        <v/>
      </c>
      <c r="J317" s="111" t="str">
        <f ca="1">IF($B$2="Não","",'CÁLCULO FUNPRESP'!Q317)</f>
        <v/>
      </c>
      <c r="K317" s="111" t="str">
        <f ca="1">IF($B$2="Não","",'CÁLCULO FUNPRESP'!R317)</f>
        <v/>
      </c>
      <c r="L317" s="111">
        <f ca="1">IF($B$2="Não","",'CÁLCULO FUNPRESP'!S317)</f>
        <v>0</v>
      </c>
      <c r="N317" s="131" t="str">
        <f ca="1">'CÁLCULO FUNPRESP'!U317</f>
        <v/>
      </c>
      <c r="O317" s="111">
        <f ca="1">IF($B$2="Não","",'CÁLCULO FUNPRESP'!Y317)</f>
        <v>0</v>
      </c>
    </row>
    <row r="318" spans="9:15" x14ac:dyDescent="0.3">
      <c r="I318" s="131" t="str">
        <f ca="1">'CÁLCULO FUNPRESP'!P318</f>
        <v/>
      </c>
      <c r="J318" s="111" t="str">
        <f ca="1">IF($B$2="Não","",'CÁLCULO FUNPRESP'!Q318)</f>
        <v/>
      </c>
      <c r="K318" s="111" t="str">
        <f ca="1">IF($B$2="Não","",'CÁLCULO FUNPRESP'!R318)</f>
        <v/>
      </c>
      <c r="L318" s="111">
        <f ca="1">IF($B$2="Não","",'CÁLCULO FUNPRESP'!S318)</f>
        <v>0</v>
      </c>
      <c r="N318" s="131" t="str">
        <f ca="1">'CÁLCULO FUNPRESP'!U318</f>
        <v/>
      </c>
      <c r="O318" s="111">
        <f ca="1">IF($B$2="Não","",'CÁLCULO FUNPRESP'!Y318)</f>
        <v>0</v>
      </c>
    </row>
    <row r="319" spans="9:15" x14ac:dyDescent="0.3">
      <c r="I319" s="131" t="str">
        <f ca="1">'CÁLCULO FUNPRESP'!P319</f>
        <v/>
      </c>
      <c r="J319" s="111" t="str">
        <f ca="1">IF($B$2="Não","",'CÁLCULO FUNPRESP'!Q319)</f>
        <v/>
      </c>
      <c r="K319" s="111" t="str">
        <f ca="1">IF($B$2="Não","",'CÁLCULO FUNPRESP'!R319)</f>
        <v/>
      </c>
      <c r="L319" s="111">
        <f ca="1">IF($B$2="Não","",'CÁLCULO FUNPRESP'!S319)</f>
        <v>0</v>
      </c>
      <c r="N319" s="131" t="str">
        <f ca="1">'CÁLCULO FUNPRESP'!U319</f>
        <v/>
      </c>
      <c r="O319" s="111">
        <f ca="1">IF($B$2="Não","",'CÁLCULO FUNPRESP'!Y319)</f>
        <v>0</v>
      </c>
    </row>
    <row r="320" spans="9:15" x14ac:dyDescent="0.3">
      <c r="I320" s="131" t="str">
        <f ca="1">'CÁLCULO FUNPRESP'!P320</f>
        <v/>
      </c>
      <c r="J320" s="111" t="str">
        <f ca="1">IF($B$2="Não","",'CÁLCULO FUNPRESP'!Q320)</f>
        <v/>
      </c>
      <c r="K320" s="111" t="str">
        <f ca="1">IF($B$2="Não","",'CÁLCULO FUNPRESP'!R320)</f>
        <v/>
      </c>
      <c r="L320" s="111">
        <f ca="1">IF($B$2="Não","",'CÁLCULO FUNPRESP'!S320)</f>
        <v>0</v>
      </c>
      <c r="N320" s="131" t="str">
        <f ca="1">'CÁLCULO FUNPRESP'!U320</f>
        <v/>
      </c>
      <c r="O320" s="111">
        <f ca="1">IF($B$2="Não","",'CÁLCULO FUNPRESP'!Y320)</f>
        <v>0</v>
      </c>
    </row>
    <row r="321" spans="9:15" x14ac:dyDescent="0.3">
      <c r="I321" s="131" t="str">
        <f ca="1">'CÁLCULO FUNPRESP'!P321</f>
        <v/>
      </c>
      <c r="J321" s="111" t="str">
        <f ca="1">IF($B$2="Não","",'CÁLCULO FUNPRESP'!Q321)</f>
        <v/>
      </c>
      <c r="K321" s="111" t="str">
        <f ca="1">IF($B$2="Não","",'CÁLCULO FUNPRESP'!R321)</f>
        <v/>
      </c>
      <c r="L321" s="111">
        <f ca="1">IF($B$2="Não","",'CÁLCULO FUNPRESP'!S321)</f>
        <v>0</v>
      </c>
      <c r="N321" s="131" t="str">
        <f ca="1">'CÁLCULO FUNPRESP'!U321</f>
        <v/>
      </c>
      <c r="O321" s="111">
        <f ca="1">IF($B$2="Não","",'CÁLCULO FUNPRESP'!Y321)</f>
        <v>0</v>
      </c>
    </row>
    <row r="322" spans="9:15" x14ac:dyDescent="0.3">
      <c r="I322" s="131" t="str">
        <f ca="1">'CÁLCULO FUNPRESP'!P322</f>
        <v/>
      </c>
      <c r="J322" s="111" t="str">
        <f ca="1">IF($B$2="Não","",'CÁLCULO FUNPRESP'!Q322)</f>
        <v/>
      </c>
      <c r="K322" s="111" t="str">
        <f ca="1">IF($B$2="Não","",'CÁLCULO FUNPRESP'!R322)</f>
        <v/>
      </c>
      <c r="L322" s="111">
        <f ca="1">IF($B$2="Não","",'CÁLCULO FUNPRESP'!S322)</f>
        <v>0</v>
      </c>
      <c r="N322" s="131" t="str">
        <f ca="1">'CÁLCULO FUNPRESP'!U322</f>
        <v/>
      </c>
      <c r="O322" s="111">
        <f ca="1">IF($B$2="Não","",'CÁLCULO FUNPRESP'!Y322)</f>
        <v>0</v>
      </c>
    </row>
    <row r="323" spans="9:15" x14ac:dyDescent="0.3">
      <c r="I323" s="131" t="str">
        <f ca="1">'CÁLCULO FUNPRESP'!P323</f>
        <v/>
      </c>
      <c r="J323" s="111" t="str">
        <f ca="1">IF($B$2="Não","",'CÁLCULO FUNPRESP'!Q323)</f>
        <v/>
      </c>
      <c r="K323" s="111" t="str">
        <f ca="1">IF($B$2="Não","",'CÁLCULO FUNPRESP'!R323)</f>
        <v/>
      </c>
      <c r="L323" s="111">
        <f ca="1">IF($B$2="Não","",'CÁLCULO FUNPRESP'!S323)</f>
        <v>0</v>
      </c>
      <c r="N323" s="131" t="str">
        <f ca="1">'CÁLCULO FUNPRESP'!U323</f>
        <v/>
      </c>
      <c r="O323" s="111">
        <f ca="1">IF($B$2="Não","",'CÁLCULO FUNPRESP'!Y323)</f>
        <v>0</v>
      </c>
    </row>
    <row r="324" spans="9:15" x14ac:dyDescent="0.3">
      <c r="I324" s="131" t="str">
        <f ca="1">'CÁLCULO FUNPRESP'!P324</f>
        <v/>
      </c>
      <c r="J324" s="111" t="str">
        <f ca="1">IF($B$2="Não","",'CÁLCULO FUNPRESP'!Q324)</f>
        <v/>
      </c>
      <c r="K324" s="111" t="str">
        <f ca="1">IF($B$2="Não","",'CÁLCULO FUNPRESP'!R324)</f>
        <v/>
      </c>
      <c r="L324" s="111">
        <f ca="1">IF($B$2="Não","",'CÁLCULO FUNPRESP'!S324)</f>
        <v>0</v>
      </c>
      <c r="N324" s="131" t="str">
        <f ca="1">'CÁLCULO FUNPRESP'!U324</f>
        <v/>
      </c>
      <c r="O324" s="111">
        <f ca="1">IF($B$2="Não","",'CÁLCULO FUNPRESP'!Y324)</f>
        <v>0</v>
      </c>
    </row>
    <row r="325" spans="9:15" x14ac:dyDescent="0.3">
      <c r="I325" s="131" t="str">
        <f ca="1">'CÁLCULO FUNPRESP'!P325</f>
        <v/>
      </c>
      <c r="J325" s="111" t="str">
        <f ca="1">IF($B$2="Não","",'CÁLCULO FUNPRESP'!Q325)</f>
        <v/>
      </c>
      <c r="K325" s="111" t="str">
        <f ca="1">IF($B$2="Não","",'CÁLCULO FUNPRESP'!R325)</f>
        <v/>
      </c>
      <c r="L325" s="111">
        <f ca="1">IF($B$2="Não","",'CÁLCULO FUNPRESP'!S325)</f>
        <v>0</v>
      </c>
      <c r="N325" s="131" t="str">
        <f ca="1">'CÁLCULO FUNPRESP'!U325</f>
        <v/>
      </c>
      <c r="O325" s="111">
        <f ca="1">IF($B$2="Não","",'CÁLCULO FUNPRESP'!Y325)</f>
        <v>0</v>
      </c>
    </row>
    <row r="326" spans="9:15" x14ac:dyDescent="0.3">
      <c r="I326" s="131" t="str">
        <f ca="1">'CÁLCULO FUNPRESP'!P326</f>
        <v/>
      </c>
      <c r="J326" s="111" t="str">
        <f ca="1">IF($B$2="Não","",'CÁLCULO FUNPRESP'!Q326)</f>
        <v/>
      </c>
      <c r="K326" s="111" t="str">
        <f ca="1">IF($B$2="Não","",'CÁLCULO FUNPRESP'!R326)</f>
        <v/>
      </c>
      <c r="L326" s="111">
        <f ca="1">IF($B$2="Não","",'CÁLCULO FUNPRESP'!S326)</f>
        <v>0</v>
      </c>
      <c r="N326" s="131" t="str">
        <f ca="1">'CÁLCULO FUNPRESP'!U326</f>
        <v/>
      </c>
      <c r="O326" s="111">
        <f ca="1">IF($B$2="Não","",'CÁLCULO FUNPRESP'!Y326)</f>
        <v>0</v>
      </c>
    </row>
    <row r="327" spans="9:15" x14ac:dyDescent="0.3">
      <c r="I327" s="131" t="str">
        <f ca="1">'CÁLCULO FUNPRESP'!P327</f>
        <v/>
      </c>
      <c r="J327" s="111" t="str">
        <f ca="1">IF($B$2="Não","",'CÁLCULO FUNPRESP'!Q327)</f>
        <v/>
      </c>
      <c r="K327" s="111" t="str">
        <f ca="1">IF($B$2="Não","",'CÁLCULO FUNPRESP'!R327)</f>
        <v/>
      </c>
      <c r="L327" s="111">
        <f ca="1">IF($B$2="Não","",'CÁLCULO FUNPRESP'!S327)</f>
        <v>0</v>
      </c>
      <c r="N327" s="131" t="str">
        <f ca="1">'CÁLCULO FUNPRESP'!U327</f>
        <v/>
      </c>
      <c r="O327" s="111">
        <f ca="1">IF($B$2="Não","",'CÁLCULO FUNPRESP'!Y327)</f>
        <v>0</v>
      </c>
    </row>
    <row r="328" spans="9:15" x14ac:dyDescent="0.3">
      <c r="I328" s="131" t="str">
        <f ca="1">'CÁLCULO FUNPRESP'!P328</f>
        <v/>
      </c>
      <c r="J328" s="111" t="str">
        <f ca="1">IF($B$2="Não","",'CÁLCULO FUNPRESP'!Q328)</f>
        <v/>
      </c>
      <c r="K328" s="111" t="str">
        <f ca="1">IF($B$2="Não","",'CÁLCULO FUNPRESP'!R328)</f>
        <v/>
      </c>
      <c r="L328" s="111">
        <f ca="1">IF($B$2="Não","",'CÁLCULO FUNPRESP'!S328)</f>
        <v>0</v>
      </c>
      <c r="N328" s="131" t="str">
        <f ca="1">'CÁLCULO FUNPRESP'!U328</f>
        <v/>
      </c>
      <c r="O328" s="111">
        <f ca="1">IF($B$2="Não","",'CÁLCULO FUNPRESP'!Y328)</f>
        <v>0</v>
      </c>
    </row>
    <row r="329" spans="9:15" x14ac:dyDescent="0.3">
      <c r="I329" s="131" t="str">
        <f ca="1">'CÁLCULO FUNPRESP'!P329</f>
        <v/>
      </c>
      <c r="J329" s="111" t="str">
        <f ca="1">IF($B$2="Não","",'CÁLCULO FUNPRESP'!Q329)</f>
        <v/>
      </c>
      <c r="K329" s="111" t="str">
        <f ca="1">IF($B$2="Não","",'CÁLCULO FUNPRESP'!R329)</f>
        <v/>
      </c>
      <c r="L329" s="111">
        <f ca="1">IF($B$2="Não","",'CÁLCULO FUNPRESP'!S329)</f>
        <v>0</v>
      </c>
      <c r="N329" s="131" t="str">
        <f ca="1">'CÁLCULO FUNPRESP'!U329</f>
        <v/>
      </c>
      <c r="O329" s="111">
        <f ca="1">IF($B$2="Não","",'CÁLCULO FUNPRESP'!Y329)</f>
        <v>0</v>
      </c>
    </row>
    <row r="330" spans="9:15" x14ac:dyDescent="0.3">
      <c r="I330" s="131" t="str">
        <f ca="1">'CÁLCULO FUNPRESP'!P330</f>
        <v/>
      </c>
      <c r="J330" s="111" t="str">
        <f ca="1">IF($B$2="Não","",'CÁLCULO FUNPRESP'!Q330)</f>
        <v/>
      </c>
      <c r="K330" s="111" t="str">
        <f ca="1">IF($B$2="Não","",'CÁLCULO FUNPRESP'!R330)</f>
        <v/>
      </c>
      <c r="L330" s="111">
        <f ca="1">IF($B$2="Não","",'CÁLCULO FUNPRESP'!S330)</f>
        <v>0</v>
      </c>
      <c r="N330" s="131" t="str">
        <f ca="1">'CÁLCULO FUNPRESP'!U330</f>
        <v/>
      </c>
      <c r="O330" s="111">
        <f ca="1">IF($B$2="Não","",'CÁLCULO FUNPRESP'!Y330)</f>
        <v>0</v>
      </c>
    </row>
    <row r="331" spans="9:15" x14ac:dyDescent="0.3">
      <c r="I331" s="131" t="str">
        <f ca="1">'CÁLCULO FUNPRESP'!P331</f>
        <v/>
      </c>
      <c r="J331" s="111" t="str">
        <f ca="1">IF($B$2="Não","",'CÁLCULO FUNPRESP'!Q331)</f>
        <v/>
      </c>
      <c r="K331" s="111" t="str">
        <f ca="1">IF($B$2="Não","",'CÁLCULO FUNPRESP'!R331)</f>
        <v/>
      </c>
      <c r="L331" s="111">
        <f ca="1">IF($B$2="Não","",'CÁLCULO FUNPRESP'!S331)</f>
        <v>0</v>
      </c>
      <c r="N331" s="131" t="str">
        <f ca="1">'CÁLCULO FUNPRESP'!U331</f>
        <v/>
      </c>
      <c r="O331" s="111">
        <f ca="1">IF($B$2="Não","",'CÁLCULO FUNPRESP'!Y331)</f>
        <v>0</v>
      </c>
    </row>
    <row r="332" spans="9:15" x14ac:dyDescent="0.3">
      <c r="I332" s="131" t="str">
        <f ca="1">'CÁLCULO FUNPRESP'!P332</f>
        <v/>
      </c>
      <c r="J332" s="111" t="str">
        <f ca="1">IF($B$2="Não","",'CÁLCULO FUNPRESP'!Q332)</f>
        <v/>
      </c>
      <c r="K332" s="111" t="str">
        <f ca="1">IF($B$2="Não","",'CÁLCULO FUNPRESP'!R332)</f>
        <v/>
      </c>
      <c r="L332" s="111">
        <f ca="1">IF($B$2="Não","",'CÁLCULO FUNPRESP'!S332)</f>
        <v>0</v>
      </c>
      <c r="N332" s="131" t="str">
        <f ca="1">'CÁLCULO FUNPRESP'!U332</f>
        <v/>
      </c>
      <c r="O332" s="111">
        <f ca="1">IF($B$2="Não","",'CÁLCULO FUNPRESP'!Y332)</f>
        <v>0</v>
      </c>
    </row>
    <row r="333" spans="9:15" x14ac:dyDescent="0.3">
      <c r="I333" s="131" t="str">
        <f ca="1">'CÁLCULO FUNPRESP'!P333</f>
        <v/>
      </c>
      <c r="J333" s="111" t="str">
        <f ca="1">IF($B$2="Não","",'CÁLCULO FUNPRESP'!Q333)</f>
        <v/>
      </c>
      <c r="K333" s="111" t="str">
        <f ca="1">IF($B$2="Não","",'CÁLCULO FUNPRESP'!R333)</f>
        <v/>
      </c>
      <c r="L333" s="111">
        <f ca="1">IF($B$2="Não","",'CÁLCULO FUNPRESP'!S333)</f>
        <v>0</v>
      </c>
      <c r="N333" s="131" t="str">
        <f ca="1">'CÁLCULO FUNPRESP'!U333</f>
        <v/>
      </c>
      <c r="O333" s="111">
        <f ca="1">IF($B$2="Não","",'CÁLCULO FUNPRESP'!Y333)</f>
        <v>0</v>
      </c>
    </row>
    <row r="334" spans="9:15" x14ac:dyDescent="0.3">
      <c r="I334" s="131" t="str">
        <f ca="1">'CÁLCULO FUNPRESP'!P334</f>
        <v/>
      </c>
      <c r="J334" s="111" t="str">
        <f ca="1">IF($B$2="Não","",'CÁLCULO FUNPRESP'!Q334)</f>
        <v/>
      </c>
      <c r="K334" s="111" t="str">
        <f ca="1">IF($B$2="Não","",'CÁLCULO FUNPRESP'!R334)</f>
        <v/>
      </c>
      <c r="L334" s="111">
        <f ca="1">IF($B$2="Não","",'CÁLCULO FUNPRESP'!S334)</f>
        <v>0</v>
      </c>
      <c r="N334" s="131" t="str">
        <f ca="1">'CÁLCULO FUNPRESP'!U334</f>
        <v/>
      </c>
      <c r="O334" s="111">
        <f ca="1">IF($B$2="Não","",'CÁLCULO FUNPRESP'!Y334)</f>
        <v>0</v>
      </c>
    </row>
    <row r="335" spans="9:15" x14ac:dyDescent="0.3">
      <c r="I335" s="131" t="str">
        <f ca="1">'CÁLCULO FUNPRESP'!P335</f>
        <v/>
      </c>
      <c r="J335" s="111" t="str">
        <f ca="1">IF($B$2="Não","",'CÁLCULO FUNPRESP'!Q335)</f>
        <v/>
      </c>
      <c r="K335" s="111" t="str">
        <f ca="1">IF($B$2="Não","",'CÁLCULO FUNPRESP'!R335)</f>
        <v/>
      </c>
      <c r="L335" s="111">
        <f ca="1">IF($B$2="Não","",'CÁLCULO FUNPRESP'!S335)</f>
        <v>0</v>
      </c>
      <c r="N335" s="131" t="str">
        <f ca="1">'CÁLCULO FUNPRESP'!U335</f>
        <v/>
      </c>
      <c r="O335" s="111">
        <f ca="1">IF($B$2="Não","",'CÁLCULO FUNPRESP'!Y335)</f>
        <v>0</v>
      </c>
    </row>
    <row r="336" spans="9:15" x14ac:dyDescent="0.3">
      <c r="I336" s="131" t="str">
        <f ca="1">'CÁLCULO FUNPRESP'!P336</f>
        <v/>
      </c>
      <c r="J336" s="111" t="str">
        <f ca="1">IF($B$2="Não","",'CÁLCULO FUNPRESP'!Q336)</f>
        <v/>
      </c>
      <c r="K336" s="111" t="str">
        <f ca="1">IF($B$2="Não","",'CÁLCULO FUNPRESP'!R336)</f>
        <v/>
      </c>
      <c r="L336" s="111">
        <f ca="1">IF($B$2="Não","",'CÁLCULO FUNPRESP'!S336)</f>
        <v>0</v>
      </c>
      <c r="N336" s="131" t="str">
        <f ca="1">'CÁLCULO FUNPRESP'!U336</f>
        <v/>
      </c>
      <c r="O336" s="111">
        <f ca="1">IF($B$2="Não","",'CÁLCULO FUNPRESP'!Y336)</f>
        <v>0</v>
      </c>
    </row>
    <row r="337" spans="9:15" x14ac:dyDescent="0.3">
      <c r="I337" s="131" t="str">
        <f ca="1">'CÁLCULO FUNPRESP'!P337</f>
        <v/>
      </c>
      <c r="J337" s="111" t="str">
        <f ca="1">IF($B$2="Não","",'CÁLCULO FUNPRESP'!Q337)</f>
        <v/>
      </c>
      <c r="K337" s="111" t="str">
        <f ca="1">IF($B$2="Não","",'CÁLCULO FUNPRESP'!R337)</f>
        <v/>
      </c>
      <c r="L337" s="111">
        <f ca="1">IF($B$2="Não","",'CÁLCULO FUNPRESP'!S337)</f>
        <v>0</v>
      </c>
      <c r="N337" s="131" t="str">
        <f ca="1">'CÁLCULO FUNPRESP'!U337</f>
        <v/>
      </c>
      <c r="O337" s="111">
        <f ca="1">IF($B$2="Não","",'CÁLCULO FUNPRESP'!Y337)</f>
        <v>0</v>
      </c>
    </row>
    <row r="338" spans="9:15" x14ac:dyDescent="0.3">
      <c r="I338" s="131" t="str">
        <f ca="1">'CÁLCULO FUNPRESP'!P338</f>
        <v/>
      </c>
      <c r="J338" s="111" t="str">
        <f ca="1">IF($B$2="Não","",'CÁLCULO FUNPRESP'!Q338)</f>
        <v/>
      </c>
      <c r="K338" s="111" t="str">
        <f ca="1">IF($B$2="Não","",'CÁLCULO FUNPRESP'!R338)</f>
        <v/>
      </c>
      <c r="L338" s="111">
        <f ca="1">IF($B$2="Não","",'CÁLCULO FUNPRESP'!S338)</f>
        <v>0</v>
      </c>
      <c r="N338" s="131" t="str">
        <f ca="1">'CÁLCULO FUNPRESP'!U338</f>
        <v/>
      </c>
      <c r="O338" s="111">
        <f ca="1">IF($B$2="Não","",'CÁLCULO FUNPRESP'!Y338)</f>
        <v>0</v>
      </c>
    </row>
    <row r="339" spans="9:15" x14ac:dyDescent="0.3">
      <c r="I339" s="131" t="str">
        <f ca="1">'CÁLCULO FUNPRESP'!P339</f>
        <v/>
      </c>
      <c r="J339" s="111" t="str">
        <f ca="1">IF($B$2="Não","",'CÁLCULO FUNPRESP'!Q339)</f>
        <v/>
      </c>
      <c r="K339" s="111" t="str">
        <f ca="1">IF($B$2="Não","",'CÁLCULO FUNPRESP'!R339)</f>
        <v/>
      </c>
      <c r="L339" s="111">
        <f ca="1">IF($B$2="Não","",'CÁLCULO FUNPRESP'!S339)</f>
        <v>0</v>
      </c>
      <c r="N339" s="131" t="str">
        <f ca="1">'CÁLCULO FUNPRESP'!U339</f>
        <v/>
      </c>
      <c r="O339" s="111">
        <f ca="1">IF($B$2="Não","",'CÁLCULO FUNPRESP'!Y339)</f>
        <v>0</v>
      </c>
    </row>
    <row r="340" spans="9:15" x14ac:dyDescent="0.3">
      <c r="I340" s="131" t="str">
        <f ca="1">'CÁLCULO FUNPRESP'!P340</f>
        <v/>
      </c>
      <c r="J340" s="111" t="str">
        <f ca="1">IF($B$2="Não","",'CÁLCULO FUNPRESP'!Q340)</f>
        <v/>
      </c>
      <c r="K340" s="111" t="str">
        <f ca="1">IF($B$2="Não","",'CÁLCULO FUNPRESP'!R340)</f>
        <v/>
      </c>
      <c r="L340" s="111">
        <f ca="1">IF($B$2="Não","",'CÁLCULO FUNPRESP'!S340)</f>
        <v>0</v>
      </c>
      <c r="N340" s="131" t="str">
        <f ca="1">'CÁLCULO FUNPRESP'!U340</f>
        <v/>
      </c>
      <c r="O340" s="111">
        <f ca="1">IF($B$2="Não","",'CÁLCULO FUNPRESP'!Y340)</f>
        <v>0</v>
      </c>
    </row>
    <row r="341" spans="9:15" x14ac:dyDescent="0.3">
      <c r="I341" s="131" t="str">
        <f ca="1">'CÁLCULO FUNPRESP'!P341</f>
        <v/>
      </c>
      <c r="J341" s="111" t="str">
        <f ca="1">IF($B$2="Não","",'CÁLCULO FUNPRESP'!Q341)</f>
        <v/>
      </c>
      <c r="K341" s="111" t="str">
        <f ca="1">IF($B$2="Não","",'CÁLCULO FUNPRESP'!R341)</f>
        <v/>
      </c>
      <c r="L341" s="111">
        <f ca="1">IF($B$2="Não","",'CÁLCULO FUNPRESP'!S341)</f>
        <v>0</v>
      </c>
      <c r="N341" s="131" t="str">
        <f ca="1">'CÁLCULO FUNPRESP'!U341</f>
        <v/>
      </c>
      <c r="O341" s="111">
        <f ca="1">IF($B$2="Não","",'CÁLCULO FUNPRESP'!Y341)</f>
        <v>0</v>
      </c>
    </row>
    <row r="342" spans="9:15" x14ac:dyDescent="0.3">
      <c r="I342" s="131" t="str">
        <f ca="1">'CÁLCULO FUNPRESP'!P342</f>
        <v/>
      </c>
      <c r="J342" s="111" t="str">
        <f ca="1">IF($B$2="Não","",'CÁLCULO FUNPRESP'!Q342)</f>
        <v/>
      </c>
      <c r="K342" s="111" t="str">
        <f ca="1">IF($B$2="Não","",'CÁLCULO FUNPRESP'!R342)</f>
        <v/>
      </c>
      <c r="L342" s="111">
        <f ca="1">IF($B$2="Não","",'CÁLCULO FUNPRESP'!S342)</f>
        <v>0</v>
      </c>
      <c r="N342" s="131" t="str">
        <f ca="1">'CÁLCULO FUNPRESP'!U342</f>
        <v/>
      </c>
      <c r="O342" s="111">
        <f ca="1">IF($B$2="Não","",'CÁLCULO FUNPRESP'!Y342)</f>
        <v>0</v>
      </c>
    </row>
    <row r="343" spans="9:15" x14ac:dyDescent="0.3">
      <c r="I343" s="131" t="str">
        <f ca="1">'CÁLCULO FUNPRESP'!P343</f>
        <v/>
      </c>
      <c r="J343" s="111" t="str">
        <f ca="1">IF($B$2="Não","",'CÁLCULO FUNPRESP'!Q343)</f>
        <v/>
      </c>
      <c r="K343" s="111" t="str">
        <f ca="1">IF($B$2="Não","",'CÁLCULO FUNPRESP'!R343)</f>
        <v/>
      </c>
      <c r="L343" s="111">
        <f ca="1">IF($B$2="Não","",'CÁLCULO FUNPRESP'!S343)</f>
        <v>0</v>
      </c>
      <c r="N343" s="131" t="str">
        <f ca="1">'CÁLCULO FUNPRESP'!U343</f>
        <v/>
      </c>
      <c r="O343" s="111">
        <f ca="1">IF($B$2="Não","",'CÁLCULO FUNPRESP'!Y343)</f>
        <v>0</v>
      </c>
    </row>
    <row r="344" spans="9:15" x14ac:dyDescent="0.3">
      <c r="I344" s="131" t="str">
        <f ca="1">'CÁLCULO FUNPRESP'!P344</f>
        <v/>
      </c>
      <c r="J344" s="111" t="str">
        <f ca="1">IF($B$2="Não","",'CÁLCULO FUNPRESP'!Q344)</f>
        <v/>
      </c>
      <c r="K344" s="111" t="str">
        <f ca="1">IF($B$2="Não","",'CÁLCULO FUNPRESP'!R344)</f>
        <v/>
      </c>
      <c r="L344" s="111">
        <f ca="1">IF($B$2="Não","",'CÁLCULO FUNPRESP'!S344)</f>
        <v>0</v>
      </c>
      <c r="N344" s="131" t="str">
        <f ca="1">'CÁLCULO FUNPRESP'!U344</f>
        <v/>
      </c>
      <c r="O344" s="111">
        <f ca="1">IF($B$2="Não","",'CÁLCULO FUNPRESP'!Y344)</f>
        <v>0</v>
      </c>
    </row>
    <row r="345" spans="9:15" x14ac:dyDescent="0.3">
      <c r="I345" s="131" t="str">
        <f ca="1">'CÁLCULO FUNPRESP'!P345</f>
        <v/>
      </c>
      <c r="J345" s="111" t="str">
        <f ca="1">IF($B$2="Não","",'CÁLCULO FUNPRESP'!Q345)</f>
        <v/>
      </c>
      <c r="K345" s="111" t="str">
        <f ca="1">IF($B$2="Não","",'CÁLCULO FUNPRESP'!R345)</f>
        <v/>
      </c>
      <c r="L345" s="111">
        <f ca="1">IF($B$2="Não","",'CÁLCULO FUNPRESP'!S345)</f>
        <v>0</v>
      </c>
      <c r="N345" s="131" t="str">
        <f ca="1">'CÁLCULO FUNPRESP'!U345</f>
        <v/>
      </c>
      <c r="O345" s="111">
        <f ca="1">IF($B$2="Não","",'CÁLCULO FUNPRESP'!Y345)</f>
        <v>0</v>
      </c>
    </row>
    <row r="346" spans="9:15" x14ac:dyDescent="0.3">
      <c r="I346" s="131" t="str">
        <f ca="1">'CÁLCULO FUNPRESP'!P346</f>
        <v/>
      </c>
      <c r="J346" s="111" t="str">
        <f ca="1">IF($B$2="Não","",'CÁLCULO FUNPRESP'!Q346)</f>
        <v/>
      </c>
      <c r="K346" s="111" t="str">
        <f ca="1">IF($B$2="Não","",'CÁLCULO FUNPRESP'!R346)</f>
        <v/>
      </c>
      <c r="L346" s="111">
        <f ca="1">IF($B$2="Não","",'CÁLCULO FUNPRESP'!S346)</f>
        <v>0</v>
      </c>
      <c r="N346" s="131" t="str">
        <f ca="1">'CÁLCULO FUNPRESP'!U346</f>
        <v/>
      </c>
      <c r="O346" s="111">
        <f ca="1">IF($B$2="Não","",'CÁLCULO FUNPRESP'!Y346)</f>
        <v>0</v>
      </c>
    </row>
    <row r="347" spans="9:15" x14ac:dyDescent="0.3">
      <c r="I347" s="131" t="str">
        <f ca="1">'CÁLCULO FUNPRESP'!P347</f>
        <v/>
      </c>
      <c r="J347" s="111" t="str">
        <f ca="1">IF($B$2="Não","",'CÁLCULO FUNPRESP'!Q347)</f>
        <v/>
      </c>
      <c r="K347" s="111" t="str">
        <f ca="1">IF($B$2="Não","",'CÁLCULO FUNPRESP'!R347)</f>
        <v/>
      </c>
      <c r="L347" s="111">
        <f ca="1">IF($B$2="Não","",'CÁLCULO FUNPRESP'!S347)</f>
        <v>0</v>
      </c>
      <c r="N347" s="131" t="str">
        <f ca="1">'CÁLCULO FUNPRESP'!U347</f>
        <v/>
      </c>
      <c r="O347" s="111">
        <f ca="1">IF($B$2="Não","",'CÁLCULO FUNPRESP'!Y347)</f>
        <v>0</v>
      </c>
    </row>
    <row r="348" spans="9:15" x14ac:dyDescent="0.3">
      <c r="I348" s="131" t="str">
        <f ca="1">'CÁLCULO FUNPRESP'!P348</f>
        <v/>
      </c>
      <c r="J348" s="111" t="str">
        <f ca="1">IF($B$2="Não","",'CÁLCULO FUNPRESP'!Q348)</f>
        <v/>
      </c>
      <c r="K348" s="111" t="str">
        <f ca="1">IF($B$2="Não","",'CÁLCULO FUNPRESP'!R348)</f>
        <v/>
      </c>
      <c r="L348" s="111">
        <f ca="1">IF($B$2="Não","",'CÁLCULO FUNPRESP'!S348)</f>
        <v>0</v>
      </c>
      <c r="N348" s="131" t="str">
        <f ca="1">'CÁLCULO FUNPRESP'!U348</f>
        <v/>
      </c>
      <c r="O348" s="111">
        <f ca="1">IF($B$2="Não","",'CÁLCULO FUNPRESP'!Y348)</f>
        <v>0</v>
      </c>
    </row>
    <row r="349" spans="9:15" x14ac:dyDescent="0.3">
      <c r="I349" s="131" t="str">
        <f ca="1">'CÁLCULO FUNPRESP'!P349</f>
        <v/>
      </c>
      <c r="J349" s="111" t="str">
        <f ca="1">IF($B$2="Não","",'CÁLCULO FUNPRESP'!Q349)</f>
        <v/>
      </c>
      <c r="K349" s="111" t="str">
        <f ca="1">IF($B$2="Não","",'CÁLCULO FUNPRESP'!R349)</f>
        <v/>
      </c>
      <c r="L349" s="111">
        <f ca="1">IF($B$2="Não","",'CÁLCULO FUNPRESP'!S349)</f>
        <v>0</v>
      </c>
      <c r="N349" s="131" t="str">
        <f ca="1">'CÁLCULO FUNPRESP'!U349</f>
        <v/>
      </c>
      <c r="O349" s="111">
        <f ca="1">IF($B$2="Não","",'CÁLCULO FUNPRESP'!Y349)</f>
        <v>0</v>
      </c>
    </row>
    <row r="350" spans="9:15" x14ac:dyDescent="0.3">
      <c r="I350" s="131" t="str">
        <f ca="1">'CÁLCULO FUNPRESP'!P350</f>
        <v/>
      </c>
      <c r="J350" s="111" t="str">
        <f ca="1">IF($B$2="Não","",'CÁLCULO FUNPRESP'!Q350)</f>
        <v/>
      </c>
      <c r="K350" s="111" t="str">
        <f ca="1">IF($B$2="Não","",'CÁLCULO FUNPRESP'!R350)</f>
        <v/>
      </c>
      <c r="L350" s="111">
        <f ca="1">IF($B$2="Não","",'CÁLCULO FUNPRESP'!S350)</f>
        <v>0</v>
      </c>
      <c r="N350" s="131" t="str">
        <f ca="1">'CÁLCULO FUNPRESP'!U350</f>
        <v/>
      </c>
      <c r="O350" s="111">
        <f ca="1">IF($B$2="Não","",'CÁLCULO FUNPRESP'!Y350)</f>
        <v>0</v>
      </c>
    </row>
    <row r="351" spans="9:15" x14ac:dyDescent="0.3">
      <c r="I351" s="131" t="str">
        <f ca="1">'CÁLCULO FUNPRESP'!P351</f>
        <v/>
      </c>
      <c r="J351" s="111" t="str">
        <f ca="1">IF($B$2="Não","",'CÁLCULO FUNPRESP'!Q351)</f>
        <v/>
      </c>
      <c r="K351" s="111" t="str">
        <f ca="1">IF($B$2="Não","",'CÁLCULO FUNPRESP'!R351)</f>
        <v/>
      </c>
      <c r="L351" s="111">
        <f ca="1">IF($B$2="Não","",'CÁLCULO FUNPRESP'!S351)</f>
        <v>0</v>
      </c>
      <c r="N351" s="131" t="str">
        <f ca="1">'CÁLCULO FUNPRESP'!U351</f>
        <v/>
      </c>
      <c r="O351" s="111">
        <f ca="1">IF($B$2="Não","",'CÁLCULO FUNPRESP'!Y351)</f>
        <v>0</v>
      </c>
    </row>
    <row r="352" spans="9:15" x14ac:dyDescent="0.3">
      <c r="I352" s="131" t="str">
        <f ca="1">'CÁLCULO FUNPRESP'!P352</f>
        <v/>
      </c>
      <c r="J352" s="111" t="str">
        <f ca="1">IF($B$2="Não","",'CÁLCULO FUNPRESP'!Q352)</f>
        <v/>
      </c>
      <c r="K352" s="111" t="str">
        <f ca="1">IF($B$2="Não","",'CÁLCULO FUNPRESP'!R352)</f>
        <v/>
      </c>
      <c r="L352" s="111">
        <f ca="1">IF($B$2="Não","",'CÁLCULO FUNPRESP'!S352)</f>
        <v>0</v>
      </c>
      <c r="N352" s="131" t="str">
        <f ca="1">'CÁLCULO FUNPRESP'!U352</f>
        <v/>
      </c>
      <c r="O352" s="111">
        <f ca="1">IF($B$2="Não","",'CÁLCULO FUNPRESP'!Y352)</f>
        <v>0</v>
      </c>
    </row>
    <row r="353" spans="9:15" x14ac:dyDescent="0.3">
      <c r="I353" s="131" t="str">
        <f ca="1">'CÁLCULO FUNPRESP'!P353</f>
        <v/>
      </c>
      <c r="J353" s="111" t="str">
        <f ca="1">IF($B$2="Não","",'CÁLCULO FUNPRESP'!Q353)</f>
        <v/>
      </c>
      <c r="K353" s="111" t="str">
        <f ca="1">IF($B$2="Não","",'CÁLCULO FUNPRESP'!R353)</f>
        <v/>
      </c>
      <c r="L353" s="111">
        <f ca="1">IF($B$2="Não","",'CÁLCULO FUNPRESP'!S353)</f>
        <v>0</v>
      </c>
      <c r="N353" s="131" t="str">
        <f ca="1">'CÁLCULO FUNPRESP'!U353</f>
        <v/>
      </c>
      <c r="O353" s="111">
        <f ca="1">IF($B$2="Não","",'CÁLCULO FUNPRESP'!Y353)</f>
        <v>0</v>
      </c>
    </row>
    <row r="354" spans="9:15" x14ac:dyDescent="0.3">
      <c r="I354" s="131" t="str">
        <f ca="1">'CÁLCULO FUNPRESP'!P354</f>
        <v/>
      </c>
      <c r="J354" s="111" t="str">
        <f ca="1">IF($B$2="Não","",'CÁLCULO FUNPRESP'!Q354)</f>
        <v/>
      </c>
      <c r="K354" s="111" t="str">
        <f ca="1">IF($B$2="Não","",'CÁLCULO FUNPRESP'!R354)</f>
        <v/>
      </c>
      <c r="L354" s="111">
        <f ca="1">IF($B$2="Não","",'CÁLCULO FUNPRESP'!S354)</f>
        <v>0</v>
      </c>
      <c r="N354" s="131" t="str">
        <f ca="1">'CÁLCULO FUNPRESP'!U354</f>
        <v/>
      </c>
      <c r="O354" s="111">
        <f ca="1">IF($B$2="Não","",'CÁLCULO FUNPRESP'!Y354)</f>
        <v>0</v>
      </c>
    </row>
    <row r="355" spans="9:15" x14ac:dyDescent="0.3">
      <c r="I355" s="131" t="str">
        <f ca="1">'CÁLCULO FUNPRESP'!P355</f>
        <v/>
      </c>
      <c r="J355" s="111" t="str">
        <f ca="1">IF($B$2="Não","",'CÁLCULO FUNPRESP'!Q355)</f>
        <v/>
      </c>
      <c r="K355" s="111" t="str">
        <f ca="1">IF($B$2="Não","",'CÁLCULO FUNPRESP'!R355)</f>
        <v/>
      </c>
      <c r="L355" s="111">
        <f ca="1">IF($B$2="Não","",'CÁLCULO FUNPRESP'!S355)</f>
        <v>0</v>
      </c>
      <c r="N355" s="131" t="str">
        <f ca="1">'CÁLCULO FUNPRESP'!U355</f>
        <v/>
      </c>
      <c r="O355" s="111">
        <f ca="1">IF($B$2="Não","",'CÁLCULO FUNPRESP'!Y355)</f>
        <v>0</v>
      </c>
    </row>
    <row r="356" spans="9:15" x14ac:dyDescent="0.3">
      <c r="I356" s="131" t="str">
        <f ca="1">'CÁLCULO FUNPRESP'!P356</f>
        <v/>
      </c>
      <c r="J356" s="111" t="str">
        <f ca="1">IF($B$2="Não","",'CÁLCULO FUNPRESP'!Q356)</f>
        <v/>
      </c>
      <c r="K356" s="111" t="str">
        <f ca="1">IF($B$2="Não","",'CÁLCULO FUNPRESP'!R356)</f>
        <v/>
      </c>
      <c r="L356" s="111">
        <f ca="1">IF($B$2="Não","",'CÁLCULO FUNPRESP'!S356)</f>
        <v>0</v>
      </c>
      <c r="N356" s="131" t="str">
        <f ca="1">'CÁLCULO FUNPRESP'!U356</f>
        <v/>
      </c>
      <c r="O356" s="111">
        <f ca="1">IF($B$2="Não","",'CÁLCULO FUNPRESP'!Y356)</f>
        <v>0</v>
      </c>
    </row>
    <row r="357" spans="9:15" x14ac:dyDescent="0.3">
      <c r="I357" s="131" t="str">
        <f ca="1">'CÁLCULO FUNPRESP'!P357</f>
        <v/>
      </c>
      <c r="J357" s="111" t="str">
        <f ca="1">IF($B$2="Não","",'CÁLCULO FUNPRESP'!Q357)</f>
        <v/>
      </c>
      <c r="K357" s="111" t="str">
        <f ca="1">IF($B$2="Não","",'CÁLCULO FUNPRESP'!R357)</f>
        <v/>
      </c>
      <c r="L357" s="111">
        <f ca="1">IF($B$2="Não","",'CÁLCULO FUNPRESP'!S357)</f>
        <v>0</v>
      </c>
      <c r="N357" s="131" t="str">
        <f ca="1">'CÁLCULO FUNPRESP'!U357</f>
        <v/>
      </c>
      <c r="O357" s="111">
        <f ca="1">IF($B$2="Não","",'CÁLCULO FUNPRESP'!Y357)</f>
        <v>0</v>
      </c>
    </row>
    <row r="358" spans="9:15" x14ac:dyDescent="0.3">
      <c r="I358" s="131" t="str">
        <f ca="1">'CÁLCULO FUNPRESP'!P358</f>
        <v/>
      </c>
      <c r="J358" s="111" t="str">
        <f ca="1">IF($B$2="Não","",'CÁLCULO FUNPRESP'!Q358)</f>
        <v/>
      </c>
      <c r="K358" s="111" t="str">
        <f ca="1">IF($B$2="Não","",'CÁLCULO FUNPRESP'!R358)</f>
        <v/>
      </c>
      <c r="L358" s="111">
        <f ca="1">IF($B$2="Não","",'CÁLCULO FUNPRESP'!S358)</f>
        <v>0</v>
      </c>
      <c r="N358" s="131" t="str">
        <f ca="1">'CÁLCULO FUNPRESP'!U358</f>
        <v/>
      </c>
      <c r="O358" s="111">
        <f ca="1">IF($B$2="Não","",'CÁLCULO FUNPRESP'!Y358)</f>
        <v>0</v>
      </c>
    </row>
    <row r="359" spans="9:15" x14ac:dyDescent="0.3">
      <c r="I359" s="131" t="str">
        <f ca="1">'CÁLCULO FUNPRESP'!P359</f>
        <v/>
      </c>
      <c r="J359" s="111" t="str">
        <f ca="1">IF($B$2="Não","",'CÁLCULO FUNPRESP'!Q359)</f>
        <v/>
      </c>
      <c r="K359" s="111" t="str">
        <f ca="1">IF($B$2="Não","",'CÁLCULO FUNPRESP'!R359)</f>
        <v/>
      </c>
      <c r="L359" s="111">
        <f ca="1">IF($B$2="Não","",'CÁLCULO FUNPRESP'!S359)</f>
        <v>0</v>
      </c>
      <c r="N359" s="131" t="str">
        <f ca="1">'CÁLCULO FUNPRESP'!U359</f>
        <v/>
      </c>
      <c r="O359" s="111">
        <f ca="1">IF($B$2="Não","",'CÁLCULO FUNPRESP'!Y359)</f>
        <v>0</v>
      </c>
    </row>
    <row r="360" spans="9:15" x14ac:dyDescent="0.3">
      <c r="I360" s="131" t="str">
        <f ca="1">'CÁLCULO FUNPRESP'!P360</f>
        <v/>
      </c>
      <c r="J360" s="111" t="str">
        <f ca="1">IF($B$2="Não","",'CÁLCULO FUNPRESP'!Q360)</f>
        <v/>
      </c>
      <c r="K360" s="111" t="str">
        <f ca="1">IF($B$2="Não","",'CÁLCULO FUNPRESP'!R360)</f>
        <v/>
      </c>
      <c r="L360" s="111">
        <f ca="1">IF($B$2="Não","",'CÁLCULO FUNPRESP'!S360)</f>
        <v>0</v>
      </c>
      <c r="N360" s="131" t="str">
        <f ca="1">'CÁLCULO FUNPRESP'!U360</f>
        <v/>
      </c>
      <c r="O360" s="111">
        <f ca="1">IF($B$2="Não","",'CÁLCULO FUNPRESP'!Y360)</f>
        <v>0</v>
      </c>
    </row>
    <row r="361" spans="9:15" x14ac:dyDescent="0.3">
      <c r="I361" s="131" t="str">
        <f ca="1">'CÁLCULO FUNPRESP'!P361</f>
        <v/>
      </c>
      <c r="J361" s="111" t="str">
        <f ca="1">IF($B$2="Não","",'CÁLCULO FUNPRESP'!Q361)</f>
        <v/>
      </c>
      <c r="K361" s="111" t="str">
        <f ca="1">IF($B$2="Não","",'CÁLCULO FUNPRESP'!R361)</f>
        <v/>
      </c>
      <c r="L361" s="111">
        <f ca="1">IF($B$2="Não","",'CÁLCULO FUNPRESP'!S361)</f>
        <v>0</v>
      </c>
      <c r="N361" s="131" t="str">
        <f ca="1">'CÁLCULO FUNPRESP'!U361</f>
        <v/>
      </c>
      <c r="O361" s="111">
        <f ca="1">IF($B$2="Não","",'CÁLCULO FUNPRESP'!Y361)</f>
        <v>0</v>
      </c>
    </row>
    <row r="362" spans="9:15" x14ac:dyDescent="0.3">
      <c r="I362" s="131" t="str">
        <f ca="1">'CÁLCULO FUNPRESP'!P362</f>
        <v/>
      </c>
      <c r="J362" s="111" t="str">
        <f ca="1">IF($B$2="Não","",'CÁLCULO FUNPRESP'!Q362)</f>
        <v/>
      </c>
      <c r="K362" s="111" t="str">
        <f ca="1">IF($B$2="Não","",'CÁLCULO FUNPRESP'!R362)</f>
        <v/>
      </c>
      <c r="L362" s="111">
        <f ca="1">IF($B$2="Não","",'CÁLCULO FUNPRESP'!S362)</f>
        <v>0</v>
      </c>
      <c r="N362" s="131" t="str">
        <f ca="1">'CÁLCULO FUNPRESP'!U362</f>
        <v/>
      </c>
      <c r="O362" s="111">
        <f ca="1">IF($B$2="Não","",'CÁLCULO FUNPRESP'!Y362)</f>
        <v>0</v>
      </c>
    </row>
    <row r="363" spans="9:15" x14ac:dyDescent="0.3">
      <c r="I363" s="131" t="str">
        <f ca="1">'CÁLCULO FUNPRESP'!P363</f>
        <v/>
      </c>
      <c r="J363" s="111" t="str">
        <f ca="1">IF($B$2="Não","",'CÁLCULO FUNPRESP'!Q363)</f>
        <v/>
      </c>
      <c r="K363" s="111" t="str">
        <f ca="1">IF($B$2="Não","",'CÁLCULO FUNPRESP'!R363)</f>
        <v/>
      </c>
      <c r="L363" s="111">
        <f ca="1">IF($B$2="Não","",'CÁLCULO FUNPRESP'!S363)</f>
        <v>0</v>
      </c>
      <c r="N363" s="131" t="str">
        <f ca="1">'CÁLCULO FUNPRESP'!U363</f>
        <v/>
      </c>
      <c r="O363" s="111">
        <f ca="1">IF($B$2="Não","",'CÁLCULO FUNPRESP'!Y363)</f>
        <v>0</v>
      </c>
    </row>
    <row r="364" spans="9:15" x14ac:dyDescent="0.3">
      <c r="I364" s="131" t="str">
        <f ca="1">'CÁLCULO FUNPRESP'!P364</f>
        <v/>
      </c>
      <c r="J364" s="111" t="str">
        <f ca="1">IF($B$2="Não","",'CÁLCULO FUNPRESP'!Q364)</f>
        <v/>
      </c>
      <c r="K364" s="111" t="str">
        <f ca="1">IF($B$2="Não","",'CÁLCULO FUNPRESP'!R364)</f>
        <v/>
      </c>
      <c r="L364" s="111">
        <f ca="1">IF($B$2="Não","",'CÁLCULO FUNPRESP'!S364)</f>
        <v>0</v>
      </c>
      <c r="N364" s="131" t="str">
        <f ca="1">'CÁLCULO FUNPRESP'!U364</f>
        <v/>
      </c>
      <c r="O364" s="111">
        <f ca="1">IF($B$2="Não","",'CÁLCULO FUNPRESP'!Y364)</f>
        <v>0</v>
      </c>
    </row>
    <row r="365" spans="9:15" x14ac:dyDescent="0.3">
      <c r="I365" s="131" t="str">
        <f ca="1">'CÁLCULO FUNPRESP'!P365</f>
        <v/>
      </c>
      <c r="J365" s="111" t="str">
        <f ca="1">IF($B$2="Não","",'CÁLCULO FUNPRESP'!Q365)</f>
        <v/>
      </c>
      <c r="K365" s="111" t="str">
        <f ca="1">IF($B$2="Não","",'CÁLCULO FUNPRESP'!R365)</f>
        <v/>
      </c>
      <c r="L365" s="111">
        <f ca="1">IF($B$2="Não","",'CÁLCULO FUNPRESP'!S365)</f>
        <v>0</v>
      </c>
      <c r="N365" s="131" t="str">
        <f ca="1">'CÁLCULO FUNPRESP'!U365</f>
        <v/>
      </c>
      <c r="O365" s="111">
        <f ca="1">IF($B$2="Não","",'CÁLCULO FUNPRESP'!Y365)</f>
        <v>0</v>
      </c>
    </row>
    <row r="366" spans="9:15" x14ac:dyDescent="0.3">
      <c r="I366" s="131" t="str">
        <f ca="1">'CÁLCULO FUNPRESP'!P366</f>
        <v/>
      </c>
      <c r="J366" s="111" t="str">
        <f ca="1">IF($B$2="Não","",'CÁLCULO FUNPRESP'!Q366)</f>
        <v/>
      </c>
      <c r="K366" s="111" t="str">
        <f ca="1">IF($B$2="Não","",'CÁLCULO FUNPRESP'!R366)</f>
        <v/>
      </c>
      <c r="L366" s="111">
        <f ca="1">IF($B$2="Não","",'CÁLCULO FUNPRESP'!S366)</f>
        <v>0</v>
      </c>
      <c r="N366" s="131" t="str">
        <f ca="1">'CÁLCULO FUNPRESP'!U366</f>
        <v/>
      </c>
      <c r="O366" s="111">
        <f ca="1">IF($B$2="Não","",'CÁLCULO FUNPRESP'!Y366)</f>
        <v>0</v>
      </c>
    </row>
    <row r="367" spans="9:15" x14ac:dyDescent="0.3">
      <c r="I367" s="131" t="str">
        <f ca="1">'CÁLCULO FUNPRESP'!P367</f>
        <v/>
      </c>
      <c r="J367" s="111" t="str">
        <f ca="1">IF($B$2="Não","",'CÁLCULO FUNPRESP'!Q367)</f>
        <v/>
      </c>
      <c r="K367" s="111" t="str">
        <f ca="1">IF($B$2="Não","",'CÁLCULO FUNPRESP'!R367)</f>
        <v/>
      </c>
      <c r="L367" s="111">
        <f ca="1">IF($B$2="Não","",'CÁLCULO FUNPRESP'!S367)</f>
        <v>0</v>
      </c>
      <c r="N367" s="131" t="str">
        <f ca="1">'CÁLCULO FUNPRESP'!U367</f>
        <v/>
      </c>
      <c r="O367" s="111">
        <f ca="1">IF($B$2="Não","",'CÁLCULO FUNPRESP'!Y367)</f>
        <v>0</v>
      </c>
    </row>
    <row r="368" spans="9:15" x14ac:dyDescent="0.3">
      <c r="I368" s="131" t="str">
        <f ca="1">'CÁLCULO FUNPRESP'!P368</f>
        <v/>
      </c>
      <c r="J368" s="111" t="str">
        <f ca="1">IF($B$2="Não","",'CÁLCULO FUNPRESP'!Q368)</f>
        <v/>
      </c>
      <c r="K368" s="111" t="str">
        <f ca="1">IF($B$2="Não","",'CÁLCULO FUNPRESP'!R368)</f>
        <v/>
      </c>
      <c r="L368" s="111">
        <f ca="1">IF($B$2="Não","",'CÁLCULO FUNPRESP'!S368)</f>
        <v>0</v>
      </c>
      <c r="N368" s="131" t="str">
        <f ca="1">'CÁLCULO FUNPRESP'!U368</f>
        <v/>
      </c>
      <c r="O368" s="111">
        <f ca="1">IF($B$2="Não","",'CÁLCULO FUNPRESP'!Y368)</f>
        <v>0</v>
      </c>
    </row>
    <row r="369" spans="9:15" x14ac:dyDescent="0.3">
      <c r="I369" s="131" t="str">
        <f ca="1">'CÁLCULO FUNPRESP'!P369</f>
        <v/>
      </c>
      <c r="J369" s="111" t="str">
        <f ca="1">IF($B$2="Não","",'CÁLCULO FUNPRESP'!Q369)</f>
        <v/>
      </c>
      <c r="K369" s="111" t="str">
        <f ca="1">IF($B$2="Não","",'CÁLCULO FUNPRESP'!R369)</f>
        <v/>
      </c>
      <c r="L369" s="111">
        <f ca="1">IF($B$2="Não","",'CÁLCULO FUNPRESP'!S369)</f>
        <v>0</v>
      </c>
      <c r="N369" s="131" t="str">
        <f ca="1">'CÁLCULO FUNPRESP'!U369</f>
        <v/>
      </c>
      <c r="O369" s="111">
        <f ca="1">IF($B$2="Não","",'CÁLCULO FUNPRESP'!Y369)</f>
        <v>0</v>
      </c>
    </row>
    <row r="370" spans="9:15" x14ac:dyDescent="0.3">
      <c r="I370" s="131" t="str">
        <f ca="1">'CÁLCULO FUNPRESP'!P370</f>
        <v/>
      </c>
      <c r="J370" s="111" t="str">
        <f ca="1">IF($B$2="Não","",'CÁLCULO FUNPRESP'!Q370)</f>
        <v/>
      </c>
      <c r="K370" s="111" t="str">
        <f ca="1">IF($B$2="Não","",'CÁLCULO FUNPRESP'!R370)</f>
        <v/>
      </c>
      <c r="L370" s="111">
        <f ca="1">IF($B$2="Não","",'CÁLCULO FUNPRESP'!S370)</f>
        <v>0</v>
      </c>
      <c r="N370" s="131" t="str">
        <f ca="1">'CÁLCULO FUNPRESP'!U370</f>
        <v/>
      </c>
      <c r="O370" s="111">
        <f ca="1">IF($B$2="Não","",'CÁLCULO FUNPRESP'!Y370)</f>
        <v>0</v>
      </c>
    </row>
    <row r="371" spans="9:15" x14ac:dyDescent="0.3">
      <c r="I371" s="131" t="str">
        <f ca="1">'CÁLCULO FUNPRESP'!P371</f>
        <v/>
      </c>
      <c r="J371" s="111" t="str">
        <f ca="1">IF($B$2="Não","",'CÁLCULO FUNPRESP'!Q371)</f>
        <v/>
      </c>
      <c r="K371" s="111" t="str">
        <f ca="1">IF($B$2="Não","",'CÁLCULO FUNPRESP'!R371)</f>
        <v/>
      </c>
      <c r="L371" s="111">
        <f ca="1">IF($B$2="Não","",'CÁLCULO FUNPRESP'!S371)</f>
        <v>0</v>
      </c>
      <c r="N371" s="131" t="str">
        <f ca="1">'CÁLCULO FUNPRESP'!U371</f>
        <v/>
      </c>
      <c r="O371" s="111">
        <f ca="1">IF($B$2="Não","",'CÁLCULO FUNPRESP'!Y371)</f>
        <v>0</v>
      </c>
    </row>
    <row r="372" spans="9:15" x14ac:dyDescent="0.3">
      <c r="I372" s="131" t="str">
        <f ca="1">'CÁLCULO FUNPRESP'!P372</f>
        <v/>
      </c>
      <c r="J372" s="111" t="str">
        <f ca="1">IF($B$2="Não","",'CÁLCULO FUNPRESP'!Q372)</f>
        <v/>
      </c>
      <c r="K372" s="111" t="str">
        <f ca="1">IF($B$2="Não","",'CÁLCULO FUNPRESP'!R372)</f>
        <v/>
      </c>
      <c r="L372" s="111">
        <f ca="1">IF($B$2="Não","",'CÁLCULO FUNPRESP'!S372)</f>
        <v>0</v>
      </c>
      <c r="N372" s="131" t="str">
        <f ca="1">'CÁLCULO FUNPRESP'!U372</f>
        <v/>
      </c>
      <c r="O372" s="111">
        <f ca="1">IF($B$2="Não","",'CÁLCULO FUNPRESP'!Y372)</f>
        <v>0</v>
      </c>
    </row>
    <row r="373" spans="9:15" x14ac:dyDescent="0.3">
      <c r="I373" s="131" t="str">
        <f ca="1">'CÁLCULO FUNPRESP'!P373</f>
        <v/>
      </c>
      <c r="J373" s="111" t="str">
        <f ca="1">IF($B$2="Não","",'CÁLCULO FUNPRESP'!Q373)</f>
        <v/>
      </c>
      <c r="K373" s="111" t="str">
        <f ca="1">IF($B$2="Não","",'CÁLCULO FUNPRESP'!R373)</f>
        <v/>
      </c>
      <c r="L373" s="111">
        <f ca="1">IF($B$2="Não","",'CÁLCULO FUNPRESP'!S373)</f>
        <v>0</v>
      </c>
      <c r="N373" s="131" t="str">
        <f ca="1">'CÁLCULO FUNPRESP'!U373</f>
        <v/>
      </c>
      <c r="O373" s="111">
        <f ca="1">IF($B$2="Não","",'CÁLCULO FUNPRESP'!Y373)</f>
        <v>0</v>
      </c>
    </row>
    <row r="374" spans="9:15" x14ac:dyDescent="0.3">
      <c r="I374" s="131" t="str">
        <f ca="1">'CÁLCULO FUNPRESP'!P374</f>
        <v/>
      </c>
      <c r="J374" s="111" t="str">
        <f ca="1">IF($B$2="Não","",'CÁLCULO FUNPRESP'!Q374)</f>
        <v/>
      </c>
      <c r="K374" s="111" t="str">
        <f ca="1">IF($B$2="Não","",'CÁLCULO FUNPRESP'!R374)</f>
        <v/>
      </c>
      <c r="L374" s="111">
        <f ca="1">IF($B$2="Não","",'CÁLCULO FUNPRESP'!S374)</f>
        <v>0</v>
      </c>
      <c r="N374" s="131" t="str">
        <f ca="1">'CÁLCULO FUNPRESP'!U374</f>
        <v/>
      </c>
      <c r="O374" s="111">
        <f ca="1">IF($B$2="Não","",'CÁLCULO FUNPRESP'!Y374)</f>
        <v>0</v>
      </c>
    </row>
    <row r="375" spans="9:15" x14ac:dyDescent="0.3">
      <c r="I375" s="131" t="str">
        <f ca="1">'CÁLCULO FUNPRESP'!P375</f>
        <v/>
      </c>
      <c r="J375" s="111" t="str">
        <f ca="1">IF($B$2="Não","",'CÁLCULO FUNPRESP'!Q375)</f>
        <v/>
      </c>
      <c r="K375" s="111" t="str">
        <f ca="1">IF($B$2="Não","",'CÁLCULO FUNPRESP'!R375)</f>
        <v/>
      </c>
      <c r="L375" s="111">
        <f ca="1">IF($B$2="Não","",'CÁLCULO FUNPRESP'!S375)</f>
        <v>0</v>
      </c>
      <c r="N375" s="131" t="str">
        <f ca="1">'CÁLCULO FUNPRESP'!U375</f>
        <v/>
      </c>
      <c r="O375" s="111">
        <f ca="1">IF($B$2="Não","",'CÁLCULO FUNPRESP'!Y375)</f>
        <v>0</v>
      </c>
    </row>
    <row r="376" spans="9:15" x14ac:dyDescent="0.3">
      <c r="I376" s="131" t="str">
        <f ca="1">'CÁLCULO FUNPRESP'!P376</f>
        <v/>
      </c>
      <c r="J376" s="111" t="str">
        <f ca="1">IF($B$2="Não","",'CÁLCULO FUNPRESP'!Q376)</f>
        <v/>
      </c>
      <c r="K376" s="111" t="str">
        <f ca="1">IF($B$2="Não","",'CÁLCULO FUNPRESP'!R376)</f>
        <v/>
      </c>
      <c r="L376" s="111">
        <f ca="1">IF($B$2="Não","",'CÁLCULO FUNPRESP'!S376)</f>
        <v>0</v>
      </c>
      <c r="N376" s="131" t="str">
        <f ca="1">'CÁLCULO FUNPRESP'!U376</f>
        <v/>
      </c>
      <c r="O376" s="111">
        <f ca="1">IF($B$2="Não","",'CÁLCULO FUNPRESP'!Y376)</f>
        <v>0</v>
      </c>
    </row>
    <row r="377" spans="9:15" x14ac:dyDescent="0.3">
      <c r="I377" s="131" t="str">
        <f ca="1">'CÁLCULO FUNPRESP'!P377</f>
        <v/>
      </c>
      <c r="J377" s="111" t="str">
        <f ca="1">IF($B$2="Não","",'CÁLCULO FUNPRESP'!Q377)</f>
        <v/>
      </c>
      <c r="K377" s="111" t="str">
        <f ca="1">IF($B$2="Não","",'CÁLCULO FUNPRESP'!R377)</f>
        <v/>
      </c>
      <c r="L377" s="111">
        <f ca="1">IF($B$2="Não","",'CÁLCULO FUNPRESP'!S377)</f>
        <v>0</v>
      </c>
      <c r="N377" s="131" t="str">
        <f ca="1">'CÁLCULO FUNPRESP'!U377</f>
        <v/>
      </c>
      <c r="O377" s="111">
        <f ca="1">IF($B$2="Não","",'CÁLCULO FUNPRESP'!Y377)</f>
        <v>0</v>
      </c>
    </row>
    <row r="378" spans="9:15" x14ac:dyDescent="0.3">
      <c r="I378" s="131" t="str">
        <f ca="1">'CÁLCULO FUNPRESP'!P378</f>
        <v/>
      </c>
      <c r="J378" s="111" t="str">
        <f ca="1">IF($B$2="Não","",'CÁLCULO FUNPRESP'!Q378)</f>
        <v/>
      </c>
      <c r="K378" s="111" t="str">
        <f ca="1">IF($B$2="Não","",'CÁLCULO FUNPRESP'!R378)</f>
        <v/>
      </c>
      <c r="L378" s="111">
        <f ca="1">IF($B$2="Não","",'CÁLCULO FUNPRESP'!S378)</f>
        <v>0</v>
      </c>
      <c r="N378" s="131" t="str">
        <f ca="1">'CÁLCULO FUNPRESP'!U378</f>
        <v/>
      </c>
      <c r="O378" s="111">
        <f ca="1">IF($B$2="Não","",'CÁLCULO FUNPRESP'!Y378)</f>
        <v>0</v>
      </c>
    </row>
    <row r="379" spans="9:15" x14ac:dyDescent="0.3">
      <c r="I379" s="131" t="str">
        <f ca="1">'CÁLCULO FUNPRESP'!P379</f>
        <v/>
      </c>
      <c r="J379" s="111" t="str">
        <f ca="1">IF($B$2="Não","",'CÁLCULO FUNPRESP'!Q379)</f>
        <v/>
      </c>
      <c r="K379" s="111" t="str">
        <f ca="1">IF($B$2="Não","",'CÁLCULO FUNPRESP'!R379)</f>
        <v/>
      </c>
      <c r="L379" s="111">
        <f ca="1">IF($B$2="Não","",'CÁLCULO FUNPRESP'!S379)</f>
        <v>0</v>
      </c>
      <c r="N379" s="131" t="str">
        <f ca="1">'CÁLCULO FUNPRESP'!U379</f>
        <v/>
      </c>
      <c r="O379" s="111">
        <f ca="1">IF($B$2="Não","",'CÁLCULO FUNPRESP'!Y379)</f>
        <v>0</v>
      </c>
    </row>
    <row r="380" spans="9:15" x14ac:dyDescent="0.3">
      <c r="I380" s="131" t="str">
        <f ca="1">'CÁLCULO FUNPRESP'!P380</f>
        <v/>
      </c>
      <c r="J380" s="111" t="str">
        <f ca="1">IF($B$2="Não","",'CÁLCULO FUNPRESP'!Q380)</f>
        <v/>
      </c>
      <c r="K380" s="111" t="str">
        <f ca="1">IF($B$2="Não","",'CÁLCULO FUNPRESP'!R380)</f>
        <v/>
      </c>
      <c r="L380" s="111">
        <f ca="1">IF($B$2="Não","",'CÁLCULO FUNPRESP'!S380)</f>
        <v>0</v>
      </c>
      <c r="N380" s="131" t="str">
        <f ca="1">'CÁLCULO FUNPRESP'!U380</f>
        <v/>
      </c>
      <c r="O380" s="111">
        <f ca="1">IF($B$2="Não","",'CÁLCULO FUNPRESP'!Y380)</f>
        <v>0</v>
      </c>
    </row>
    <row r="381" spans="9:15" x14ac:dyDescent="0.3">
      <c r="I381" s="131" t="str">
        <f ca="1">'CÁLCULO FUNPRESP'!P381</f>
        <v/>
      </c>
      <c r="J381" s="111" t="str">
        <f ca="1">IF($B$2="Não","",'CÁLCULO FUNPRESP'!Q381)</f>
        <v/>
      </c>
      <c r="K381" s="111" t="str">
        <f ca="1">IF($B$2="Não","",'CÁLCULO FUNPRESP'!R381)</f>
        <v/>
      </c>
      <c r="L381" s="111">
        <f ca="1">IF($B$2="Não","",'CÁLCULO FUNPRESP'!S381)</f>
        <v>0</v>
      </c>
      <c r="N381" s="131" t="str">
        <f ca="1">'CÁLCULO FUNPRESP'!U381</f>
        <v/>
      </c>
      <c r="O381" s="111">
        <f ca="1">IF($B$2="Não","",'CÁLCULO FUNPRESP'!Y381)</f>
        <v>0</v>
      </c>
    </row>
    <row r="382" spans="9:15" x14ac:dyDescent="0.3">
      <c r="I382" s="131" t="str">
        <f ca="1">'CÁLCULO FUNPRESP'!P382</f>
        <v/>
      </c>
      <c r="J382" s="111" t="str">
        <f ca="1">IF($B$2="Não","",'CÁLCULO FUNPRESP'!Q382)</f>
        <v/>
      </c>
      <c r="K382" s="111" t="str">
        <f ca="1">IF($B$2="Não","",'CÁLCULO FUNPRESP'!R382)</f>
        <v/>
      </c>
      <c r="L382" s="111">
        <f ca="1">IF($B$2="Não","",'CÁLCULO FUNPRESP'!S382)</f>
        <v>0</v>
      </c>
      <c r="N382" s="131" t="str">
        <f ca="1">'CÁLCULO FUNPRESP'!U382</f>
        <v/>
      </c>
      <c r="O382" s="111">
        <f ca="1">IF($B$2="Não","",'CÁLCULO FUNPRESP'!Y382)</f>
        <v>0</v>
      </c>
    </row>
    <row r="383" spans="9:15" x14ac:dyDescent="0.3">
      <c r="I383" s="131" t="str">
        <f ca="1">'CÁLCULO FUNPRESP'!P383</f>
        <v/>
      </c>
      <c r="J383" s="111" t="str">
        <f ca="1">IF($B$2="Não","",'CÁLCULO FUNPRESP'!Q383)</f>
        <v/>
      </c>
      <c r="K383" s="111" t="str">
        <f ca="1">IF($B$2="Não","",'CÁLCULO FUNPRESP'!R383)</f>
        <v/>
      </c>
      <c r="L383" s="111">
        <f ca="1">IF($B$2="Não","",'CÁLCULO FUNPRESP'!S383)</f>
        <v>0</v>
      </c>
      <c r="N383" s="131" t="str">
        <f ca="1">'CÁLCULO FUNPRESP'!U383</f>
        <v/>
      </c>
      <c r="O383" s="111">
        <f ca="1">IF($B$2="Não","",'CÁLCULO FUNPRESP'!Y383)</f>
        <v>0</v>
      </c>
    </row>
    <row r="384" spans="9:15" x14ac:dyDescent="0.3">
      <c r="I384" s="131" t="str">
        <f ca="1">'CÁLCULO FUNPRESP'!P384</f>
        <v/>
      </c>
      <c r="J384" s="111" t="str">
        <f ca="1">IF($B$2="Não","",'CÁLCULO FUNPRESP'!Q384)</f>
        <v/>
      </c>
      <c r="K384" s="111" t="str">
        <f ca="1">IF($B$2="Não","",'CÁLCULO FUNPRESP'!R384)</f>
        <v/>
      </c>
      <c r="L384" s="111">
        <f ca="1">IF($B$2="Não","",'CÁLCULO FUNPRESP'!S384)</f>
        <v>0</v>
      </c>
      <c r="N384" s="131" t="str">
        <f ca="1">'CÁLCULO FUNPRESP'!U384</f>
        <v/>
      </c>
      <c r="O384" s="111">
        <f ca="1">IF($B$2="Não","",'CÁLCULO FUNPRESP'!Y384)</f>
        <v>0</v>
      </c>
    </row>
    <row r="385" spans="9:15" x14ac:dyDescent="0.3">
      <c r="I385" s="131" t="str">
        <f ca="1">'CÁLCULO FUNPRESP'!P385</f>
        <v/>
      </c>
      <c r="J385" s="111" t="str">
        <f ca="1">IF($B$2="Não","",'CÁLCULO FUNPRESP'!Q385)</f>
        <v/>
      </c>
      <c r="K385" s="111" t="str">
        <f ca="1">IF($B$2="Não","",'CÁLCULO FUNPRESP'!R385)</f>
        <v/>
      </c>
      <c r="L385" s="111">
        <f ca="1">IF($B$2="Não","",'CÁLCULO FUNPRESP'!S385)</f>
        <v>0</v>
      </c>
      <c r="N385" s="131" t="str">
        <f ca="1">'CÁLCULO FUNPRESP'!U385</f>
        <v/>
      </c>
      <c r="O385" s="111">
        <f ca="1">IF($B$2="Não","",'CÁLCULO FUNPRESP'!Y385)</f>
        <v>0</v>
      </c>
    </row>
    <row r="386" spans="9:15" x14ac:dyDescent="0.3">
      <c r="I386" s="131" t="str">
        <f ca="1">'CÁLCULO FUNPRESP'!P386</f>
        <v/>
      </c>
      <c r="J386" s="111" t="str">
        <f ca="1">IF($B$2="Não","",'CÁLCULO FUNPRESP'!Q386)</f>
        <v/>
      </c>
      <c r="K386" s="111" t="str">
        <f ca="1">IF($B$2="Não","",'CÁLCULO FUNPRESP'!R386)</f>
        <v/>
      </c>
      <c r="L386" s="111">
        <f ca="1">IF($B$2="Não","",'CÁLCULO FUNPRESP'!S386)</f>
        <v>0</v>
      </c>
      <c r="N386" s="131" t="str">
        <f ca="1">'CÁLCULO FUNPRESP'!U386</f>
        <v/>
      </c>
      <c r="O386" s="111">
        <f ca="1">IF($B$2="Não","",'CÁLCULO FUNPRESP'!Y386)</f>
        <v>0</v>
      </c>
    </row>
    <row r="387" spans="9:15" x14ac:dyDescent="0.3">
      <c r="I387" s="131" t="str">
        <f ca="1">'CÁLCULO FUNPRESP'!P387</f>
        <v/>
      </c>
      <c r="J387" s="111" t="str">
        <f ca="1">IF($B$2="Não","",'CÁLCULO FUNPRESP'!Q387)</f>
        <v/>
      </c>
      <c r="K387" s="111" t="str">
        <f ca="1">IF($B$2="Não","",'CÁLCULO FUNPRESP'!R387)</f>
        <v/>
      </c>
      <c r="L387" s="111">
        <f ca="1">IF($B$2="Não","",'CÁLCULO FUNPRESP'!S387)</f>
        <v>0</v>
      </c>
      <c r="N387" s="131" t="str">
        <f ca="1">'CÁLCULO FUNPRESP'!U387</f>
        <v/>
      </c>
      <c r="O387" s="111">
        <f ca="1">IF($B$2="Não","",'CÁLCULO FUNPRESP'!Y387)</f>
        <v>0</v>
      </c>
    </row>
    <row r="388" spans="9:15" x14ac:dyDescent="0.3">
      <c r="I388" s="131" t="str">
        <f ca="1">'CÁLCULO FUNPRESP'!P388</f>
        <v/>
      </c>
      <c r="J388" s="111" t="str">
        <f ca="1">IF($B$2="Não","",'CÁLCULO FUNPRESP'!Q388)</f>
        <v/>
      </c>
      <c r="K388" s="111" t="str">
        <f ca="1">IF($B$2="Não","",'CÁLCULO FUNPRESP'!R388)</f>
        <v/>
      </c>
      <c r="L388" s="111">
        <f ca="1">IF($B$2="Não","",'CÁLCULO FUNPRESP'!S388)</f>
        <v>0</v>
      </c>
      <c r="N388" s="131" t="str">
        <f ca="1">'CÁLCULO FUNPRESP'!U388</f>
        <v/>
      </c>
      <c r="O388" s="111">
        <f ca="1">IF($B$2="Não","",'CÁLCULO FUNPRESP'!Y388)</f>
        <v>0</v>
      </c>
    </row>
    <row r="389" spans="9:15" x14ac:dyDescent="0.3">
      <c r="I389" s="131" t="str">
        <f ca="1">'CÁLCULO FUNPRESP'!P389</f>
        <v/>
      </c>
      <c r="J389" s="111" t="str">
        <f ca="1">IF($B$2="Não","",'CÁLCULO FUNPRESP'!Q389)</f>
        <v/>
      </c>
      <c r="K389" s="111" t="str">
        <f ca="1">IF($B$2="Não","",'CÁLCULO FUNPRESP'!R389)</f>
        <v/>
      </c>
      <c r="L389" s="111">
        <f ca="1">IF($B$2="Não","",'CÁLCULO FUNPRESP'!S389)</f>
        <v>0</v>
      </c>
      <c r="N389" s="131" t="str">
        <f ca="1">'CÁLCULO FUNPRESP'!U389</f>
        <v/>
      </c>
      <c r="O389" s="111">
        <f ca="1">IF($B$2="Não","",'CÁLCULO FUNPRESP'!Y389)</f>
        <v>0</v>
      </c>
    </row>
    <row r="390" spans="9:15" x14ac:dyDescent="0.3">
      <c r="I390" s="131" t="str">
        <f ca="1">'CÁLCULO FUNPRESP'!P390</f>
        <v/>
      </c>
      <c r="J390" s="111" t="str">
        <f ca="1">IF($B$2="Não","",'CÁLCULO FUNPRESP'!Q390)</f>
        <v/>
      </c>
      <c r="K390" s="111" t="str">
        <f ca="1">IF($B$2="Não","",'CÁLCULO FUNPRESP'!R390)</f>
        <v/>
      </c>
      <c r="L390" s="111">
        <f ca="1">IF($B$2="Não","",'CÁLCULO FUNPRESP'!S390)</f>
        <v>0</v>
      </c>
      <c r="N390" s="131" t="str">
        <f ca="1">'CÁLCULO FUNPRESP'!U390</f>
        <v/>
      </c>
      <c r="O390" s="111">
        <f ca="1">IF($B$2="Não","",'CÁLCULO FUNPRESP'!Y390)</f>
        <v>0</v>
      </c>
    </row>
    <row r="391" spans="9:15" x14ac:dyDescent="0.3">
      <c r="I391" s="131" t="str">
        <f ca="1">'CÁLCULO FUNPRESP'!P391</f>
        <v/>
      </c>
      <c r="J391" s="111" t="str">
        <f ca="1">IF($B$2="Não","",'CÁLCULO FUNPRESP'!Q391)</f>
        <v/>
      </c>
      <c r="K391" s="111" t="str">
        <f ca="1">IF($B$2="Não","",'CÁLCULO FUNPRESP'!R391)</f>
        <v/>
      </c>
      <c r="L391" s="111">
        <f ca="1">IF($B$2="Não","",'CÁLCULO FUNPRESP'!S391)</f>
        <v>0</v>
      </c>
      <c r="N391" s="131" t="str">
        <f ca="1">'CÁLCULO FUNPRESP'!U391</f>
        <v/>
      </c>
      <c r="O391" s="111">
        <f ca="1">IF($B$2="Não","",'CÁLCULO FUNPRESP'!Y391)</f>
        <v>0</v>
      </c>
    </row>
    <row r="392" spans="9:15" x14ac:dyDescent="0.3">
      <c r="I392" s="131" t="str">
        <f ca="1">'CÁLCULO FUNPRESP'!P392</f>
        <v/>
      </c>
      <c r="J392" s="111" t="str">
        <f ca="1">IF($B$2="Não","",'CÁLCULO FUNPRESP'!Q392)</f>
        <v/>
      </c>
      <c r="K392" s="111" t="str">
        <f ca="1">IF($B$2="Não","",'CÁLCULO FUNPRESP'!R392)</f>
        <v/>
      </c>
      <c r="L392" s="111">
        <f ca="1">IF($B$2="Não","",'CÁLCULO FUNPRESP'!S392)</f>
        <v>0</v>
      </c>
      <c r="N392" s="131" t="str">
        <f ca="1">'CÁLCULO FUNPRESP'!U392</f>
        <v/>
      </c>
      <c r="O392" s="111">
        <f ca="1">IF($B$2="Não","",'CÁLCULO FUNPRESP'!Y392)</f>
        <v>0</v>
      </c>
    </row>
    <row r="393" spans="9:15" x14ac:dyDescent="0.3">
      <c r="I393" s="131" t="str">
        <f ca="1">'CÁLCULO FUNPRESP'!P393</f>
        <v/>
      </c>
      <c r="J393" s="111" t="str">
        <f ca="1">IF($B$2="Não","",'CÁLCULO FUNPRESP'!Q393)</f>
        <v/>
      </c>
      <c r="K393" s="111" t="str">
        <f ca="1">IF($B$2="Não","",'CÁLCULO FUNPRESP'!R393)</f>
        <v/>
      </c>
      <c r="L393" s="111">
        <f ca="1">IF($B$2="Não","",'CÁLCULO FUNPRESP'!S393)</f>
        <v>0</v>
      </c>
      <c r="N393" s="131" t="str">
        <f ca="1">'CÁLCULO FUNPRESP'!U393</f>
        <v/>
      </c>
      <c r="O393" s="111">
        <f ca="1">IF($B$2="Não","",'CÁLCULO FUNPRESP'!Y393)</f>
        <v>0</v>
      </c>
    </row>
    <row r="394" spans="9:15" x14ac:dyDescent="0.3">
      <c r="I394" s="131" t="str">
        <f ca="1">'CÁLCULO FUNPRESP'!P394</f>
        <v/>
      </c>
      <c r="J394" s="111" t="str">
        <f ca="1">IF($B$2="Não","",'CÁLCULO FUNPRESP'!Q394)</f>
        <v/>
      </c>
      <c r="K394" s="111" t="str">
        <f ca="1">IF($B$2="Não","",'CÁLCULO FUNPRESP'!R394)</f>
        <v/>
      </c>
      <c r="L394" s="111">
        <f ca="1">IF($B$2="Não","",'CÁLCULO FUNPRESP'!S394)</f>
        <v>0</v>
      </c>
      <c r="N394" s="131" t="str">
        <f ca="1">'CÁLCULO FUNPRESP'!U394</f>
        <v/>
      </c>
      <c r="O394" s="111">
        <f ca="1">IF($B$2="Não","",'CÁLCULO FUNPRESP'!Y394)</f>
        <v>0</v>
      </c>
    </row>
    <row r="395" spans="9:15" x14ac:dyDescent="0.3">
      <c r="I395" s="131" t="str">
        <f ca="1">'CÁLCULO FUNPRESP'!P395</f>
        <v/>
      </c>
      <c r="J395" s="111" t="str">
        <f ca="1">IF($B$2="Não","",'CÁLCULO FUNPRESP'!Q395)</f>
        <v/>
      </c>
      <c r="K395" s="111" t="str">
        <f ca="1">IF($B$2="Não","",'CÁLCULO FUNPRESP'!R395)</f>
        <v/>
      </c>
      <c r="L395" s="111">
        <f ca="1">IF($B$2="Não","",'CÁLCULO FUNPRESP'!S395)</f>
        <v>0</v>
      </c>
      <c r="N395" s="131" t="str">
        <f ca="1">'CÁLCULO FUNPRESP'!U395</f>
        <v/>
      </c>
      <c r="O395" s="111">
        <f ca="1">IF($B$2="Não","",'CÁLCULO FUNPRESP'!Y395)</f>
        <v>0</v>
      </c>
    </row>
    <row r="396" spans="9:15" x14ac:dyDescent="0.3">
      <c r="I396" s="131" t="str">
        <f ca="1">'CÁLCULO FUNPRESP'!P396</f>
        <v/>
      </c>
      <c r="J396" s="111" t="str">
        <f ca="1">IF($B$2="Não","",'CÁLCULO FUNPRESP'!Q396)</f>
        <v/>
      </c>
      <c r="K396" s="111" t="str">
        <f ca="1">IF($B$2="Não","",'CÁLCULO FUNPRESP'!R396)</f>
        <v/>
      </c>
      <c r="L396" s="111">
        <f ca="1">IF($B$2="Não","",'CÁLCULO FUNPRESP'!S396)</f>
        <v>0</v>
      </c>
      <c r="N396" s="131" t="str">
        <f ca="1">'CÁLCULO FUNPRESP'!U396</f>
        <v/>
      </c>
      <c r="O396" s="111">
        <f ca="1">IF($B$2="Não","",'CÁLCULO FUNPRESP'!Y396)</f>
        <v>0</v>
      </c>
    </row>
    <row r="397" spans="9:15" x14ac:dyDescent="0.3">
      <c r="I397" s="131" t="str">
        <f ca="1">'CÁLCULO FUNPRESP'!P397</f>
        <v/>
      </c>
      <c r="J397" s="111" t="str">
        <f ca="1">IF($B$2="Não","",'CÁLCULO FUNPRESP'!Q397)</f>
        <v/>
      </c>
      <c r="K397" s="111" t="str">
        <f ca="1">IF($B$2="Não","",'CÁLCULO FUNPRESP'!R397)</f>
        <v/>
      </c>
      <c r="L397" s="111">
        <f ca="1">IF($B$2="Não","",'CÁLCULO FUNPRESP'!S397)</f>
        <v>0</v>
      </c>
      <c r="N397" s="131" t="str">
        <f ca="1">'CÁLCULO FUNPRESP'!U397</f>
        <v/>
      </c>
      <c r="O397" s="111">
        <f ca="1">IF($B$2="Não","",'CÁLCULO FUNPRESP'!Y397)</f>
        <v>0</v>
      </c>
    </row>
    <row r="398" spans="9:15" x14ac:dyDescent="0.3">
      <c r="I398" s="131" t="str">
        <f ca="1">'CÁLCULO FUNPRESP'!P398</f>
        <v/>
      </c>
      <c r="J398" s="111" t="str">
        <f ca="1">IF($B$2="Não","",'CÁLCULO FUNPRESP'!Q398)</f>
        <v/>
      </c>
      <c r="K398" s="111" t="str">
        <f ca="1">IF($B$2="Não","",'CÁLCULO FUNPRESP'!R398)</f>
        <v/>
      </c>
      <c r="L398" s="111">
        <f ca="1">IF($B$2="Não","",'CÁLCULO FUNPRESP'!S398)</f>
        <v>0</v>
      </c>
      <c r="N398" s="131" t="str">
        <f ca="1">'CÁLCULO FUNPRESP'!U398</f>
        <v/>
      </c>
      <c r="O398" s="111">
        <f ca="1">IF($B$2="Não","",'CÁLCULO FUNPRESP'!Y398)</f>
        <v>0</v>
      </c>
    </row>
    <row r="399" spans="9:15" x14ac:dyDescent="0.3">
      <c r="I399" s="131" t="str">
        <f ca="1">'CÁLCULO FUNPRESP'!P399</f>
        <v/>
      </c>
      <c r="J399" s="111" t="str">
        <f ca="1">IF($B$2="Não","",'CÁLCULO FUNPRESP'!Q399)</f>
        <v/>
      </c>
      <c r="K399" s="111" t="str">
        <f ca="1">IF($B$2="Não","",'CÁLCULO FUNPRESP'!R399)</f>
        <v/>
      </c>
      <c r="L399" s="111">
        <f ca="1">IF($B$2="Não","",'CÁLCULO FUNPRESP'!S399)</f>
        <v>0</v>
      </c>
      <c r="N399" s="131" t="str">
        <f ca="1">'CÁLCULO FUNPRESP'!U399</f>
        <v/>
      </c>
      <c r="O399" s="111">
        <f ca="1">IF($B$2="Não","",'CÁLCULO FUNPRESP'!Y399)</f>
        <v>0</v>
      </c>
    </row>
    <row r="400" spans="9:15" x14ac:dyDescent="0.3">
      <c r="I400" s="131" t="str">
        <f ca="1">'CÁLCULO FUNPRESP'!P400</f>
        <v/>
      </c>
      <c r="J400" s="111" t="str">
        <f ca="1">IF($B$2="Não","",'CÁLCULO FUNPRESP'!Q400)</f>
        <v/>
      </c>
      <c r="K400" s="111" t="str">
        <f ca="1">IF($B$2="Não","",'CÁLCULO FUNPRESP'!R400)</f>
        <v/>
      </c>
      <c r="L400" s="111">
        <f ca="1">IF($B$2="Não","",'CÁLCULO FUNPRESP'!S400)</f>
        <v>0</v>
      </c>
      <c r="N400" s="131" t="str">
        <f ca="1">'CÁLCULO FUNPRESP'!U400</f>
        <v/>
      </c>
      <c r="O400" s="111">
        <f ca="1">IF($B$2="Não","",'CÁLCULO FUNPRESP'!Y400)</f>
        <v>0</v>
      </c>
    </row>
    <row r="401" spans="9:15" x14ac:dyDescent="0.3">
      <c r="I401" s="131" t="str">
        <f ca="1">'CÁLCULO FUNPRESP'!P401</f>
        <v/>
      </c>
      <c r="J401" s="111" t="str">
        <f ca="1">IF($B$2="Não","",'CÁLCULO FUNPRESP'!Q401)</f>
        <v/>
      </c>
      <c r="K401" s="111" t="str">
        <f ca="1">IF($B$2="Não","",'CÁLCULO FUNPRESP'!R401)</f>
        <v/>
      </c>
      <c r="L401" s="111">
        <f ca="1">IF($B$2="Não","",'CÁLCULO FUNPRESP'!S401)</f>
        <v>0</v>
      </c>
      <c r="N401" s="131" t="str">
        <f ca="1">'CÁLCULO FUNPRESP'!U401</f>
        <v/>
      </c>
      <c r="O401" s="111">
        <f ca="1">IF($B$2="Não","",'CÁLCULO FUNPRESP'!Y401)</f>
        <v>0</v>
      </c>
    </row>
    <row r="402" spans="9:15" x14ac:dyDescent="0.3">
      <c r="I402" s="131" t="str">
        <f ca="1">'CÁLCULO FUNPRESP'!P402</f>
        <v/>
      </c>
      <c r="J402" s="111" t="str">
        <f ca="1">IF($B$2="Não","",'CÁLCULO FUNPRESP'!Q402)</f>
        <v/>
      </c>
      <c r="K402" s="111" t="str">
        <f ca="1">IF($B$2="Não","",'CÁLCULO FUNPRESP'!R402)</f>
        <v/>
      </c>
      <c r="L402" s="111">
        <f ca="1">IF($B$2="Não","",'CÁLCULO FUNPRESP'!S402)</f>
        <v>0</v>
      </c>
      <c r="N402" s="131" t="str">
        <f ca="1">'CÁLCULO FUNPRESP'!U402</f>
        <v/>
      </c>
      <c r="O402" s="111">
        <f ca="1">IF($B$2="Não","",'CÁLCULO FUNPRESP'!Y402)</f>
        <v>0</v>
      </c>
    </row>
    <row r="403" spans="9:15" x14ac:dyDescent="0.3">
      <c r="I403" s="131" t="str">
        <f ca="1">'CÁLCULO FUNPRESP'!P403</f>
        <v/>
      </c>
      <c r="J403" s="111" t="str">
        <f ca="1">IF($B$2="Não","",'CÁLCULO FUNPRESP'!Q403)</f>
        <v/>
      </c>
      <c r="K403" s="111" t="str">
        <f ca="1">IF($B$2="Não","",'CÁLCULO FUNPRESP'!R403)</f>
        <v/>
      </c>
      <c r="L403" s="111">
        <f ca="1">IF($B$2="Não","",'CÁLCULO FUNPRESP'!S403)</f>
        <v>0</v>
      </c>
      <c r="N403" s="131" t="str">
        <f ca="1">'CÁLCULO FUNPRESP'!U403</f>
        <v/>
      </c>
      <c r="O403" s="111">
        <f ca="1">IF($B$2="Não","",'CÁLCULO FUNPRESP'!Y403)</f>
        <v>0</v>
      </c>
    </row>
    <row r="404" spans="9:15" x14ac:dyDescent="0.3">
      <c r="I404" s="131" t="str">
        <f ca="1">'CÁLCULO FUNPRESP'!P404</f>
        <v/>
      </c>
      <c r="J404" s="111" t="str">
        <f ca="1">IF($B$2="Não","",'CÁLCULO FUNPRESP'!Q404)</f>
        <v/>
      </c>
      <c r="K404" s="111" t="str">
        <f ca="1">IF($B$2="Não","",'CÁLCULO FUNPRESP'!R404)</f>
        <v/>
      </c>
      <c r="L404" s="111">
        <f ca="1">IF($B$2="Não","",'CÁLCULO FUNPRESP'!S404)</f>
        <v>0</v>
      </c>
      <c r="N404" s="131" t="str">
        <f ca="1">'CÁLCULO FUNPRESP'!U404</f>
        <v/>
      </c>
      <c r="O404" s="111">
        <f ca="1">IF($B$2="Não","",'CÁLCULO FUNPRESP'!Y404)</f>
        <v>0</v>
      </c>
    </row>
    <row r="405" spans="9:15" x14ac:dyDescent="0.3">
      <c r="I405" s="131" t="str">
        <f ca="1">'CÁLCULO FUNPRESP'!P405</f>
        <v/>
      </c>
      <c r="J405" s="111" t="str">
        <f ca="1">IF($B$2="Não","",'CÁLCULO FUNPRESP'!Q405)</f>
        <v/>
      </c>
      <c r="K405" s="111" t="str">
        <f ca="1">IF($B$2="Não","",'CÁLCULO FUNPRESP'!R405)</f>
        <v/>
      </c>
      <c r="L405" s="111">
        <f ca="1">IF($B$2="Não","",'CÁLCULO FUNPRESP'!S405)</f>
        <v>0</v>
      </c>
      <c r="N405" s="131" t="str">
        <f ca="1">'CÁLCULO FUNPRESP'!U405</f>
        <v/>
      </c>
      <c r="O405" s="111">
        <f ca="1">IF($B$2="Não","",'CÁLCULO FUNPRESP'!Y405)</f>
        <v>0</v>
      </c>
    </row>
    <row r="406" spans="9:15" x14ac:dyDescent="0.3">
      <c r="I406" s="131" t="str">
        <f ca="1">'CÁLCULO FUNPRESP'!P406</f>
        <v/>
      </c>
      <c r="J406" s="111" t="str">
        <f ca="1">IF($B$2="Não","",'CÁLCULO FUNPRESP'!Q406)</f>
        <v/>
      </c>
      <c r="K406" s="111" t="str">
        <f ca="1">IF($B$2="Não","",'CÁLCULO FUNPRESP'!R406)</f>
        <v/>
      </c>
      <c r="L406" s="111">
        <f ca="1">IF($B$2="Não","",'CÁLCULO FUNPRESP'!S406)</f>
        <v>0</v>
      </c>
      <c r="N406" s="131" t="str">
        <f ca="1">'CÁLCULO FUNPRESP'!U406</f>
        <v/>
      </c>
      <c r="O406" s="111">
        <f ca="1">IF($B$2="Não","",'CÁLCULO FUNPRESP'!Y406)</f>
        <v>0</v>
      </c>
    </row>
    <row r="407" spans="9:15" x14ac:dyDescent="0.3">
      <c r="I407" s="131" t="str">
        <f ca="1">'CÁLCULO FUNPRESP'!P407</f>
        <v/>
      </c>
      <c r="J407" s="111" t="str">
        <f ca="1">IF($B$2="Não","",'CÁLCULO FUNPRESP'!Q407)</f>
        <v/>
      </c>
      <c r="K407" s="111" t="str">
        <f ca="1">IF($B$2="Não","",'CÁLCULO FUNPRESP'!R407)</f>
        <v/>
      </c>
      <c r="L407" s="111">
        <f ca="1">IF($B$2="Não","",'CÁLCULO FUNPRESP'!S407)</f>
        <v>0</v>
      </c>
      <c r="N407" s="131" t="str">
        <f ca="1">'CÁLCULO FUNPRESP'!U407</f>
        <v/>
      </c>
      <c r="O407" s="111">
        <f ca="1">IF($B$2="Não","",'CÁLCULO FUNPRESP'!Y407)</f>
        <v>0</v>
      </c>
    </row>
    <row r="408" spans="9:15" x14ac:dyDescent="0.3">
      <c r="I408" s="131" t="str">
        <f ca="1">'CÁLCULO FUNPRESP'!P408</f>
        <v/>
      </c>
      <c r="J408" s="111" t="str">
        <f ca="1">IF($B$2="Não","",'CÁLCULO FUNPRESP'!Q408)</f>
        <v/>
      </c>
      <c r="K408" s="111" t="str">
        <f ca="1">IF($B$2="Não","",'CÁLCULO FUNPRESP'!R408)</f>
        <v/>
      </c>
      <c r="L408" s="111">
        <f ca="1">IF($B$2="Não","",'CÁLCULO FUNPRESP'!S408)</f>
        <v>0</v>
      </c>
      <c r="N408" s="131" t="str">
        <f ca="1">'CÁLCULO FUNPRESP'!U408</f>
        <v/>
      </c>
      <c r="O408" s="111">
        <f ca="1">IF($B$2="Não","",'CÁLCULO FUNPRESP'!Y408)</f>
        <v>0</v>
      </c>
    </row>
    <row r="409" spans="9:15" x14ac:dyDescent="0.3">
      <c r="I409" s="131" t="str">
        <f ca="1">'CÁLCULO FUNPRESP'!P409</f>
        <v/>
      </c>
      <c r="J409" s="111" t="str">
        <f ca="1">IF($B$2="Não","",'CÁLCULO FUNPRESP'!Q409)</f>
        <v/>
      </c>
      <c r="K409" s="111" t="str">
        <f ca="1">IF($B$2="Não","",'CÁLCULO FUNPRESP'!R409)</f>
        <v/>
      </c>
      <c r="L409" s="111">
        <f ca="1">IF($B$2="Não","",'CÁLCULO FUNPRESP'!S409)</f>
        <v>0</v>
      </c>
      <c r="N409" s="131" t="str">
        <f ca="1">'CÁLCULO FUNPRESP'!U409</f>
        <v/>
      </c>
      <c r="O409" s="111">
        <f ca="1">IF($B$2="Não","",'CÁLCULO FUNPRESP'!Y409)</f>
        <v>0</v>
      </c>
    </row>
    <row r="410" spans="9:15" x14ac:dyDescent="0.3">
      <c r="I410" s="131" t="str">
        <f ca="1">'CÁLCULO FUNPRESP'!P410</f>
        <v/>
      </c>
      <c r="J410" s="111" t="str">
        <f ca="1">IF($B$2="Não","",'CÁLCULO FUNPRESP'!Q410)</f>
        <v/>
      </c>
      <c r="K410" s="111" t="str">
        <f ca="1">IF($B$2="Não","",'CÁLCULO FUNPRESP'!R410)</f>
        <v/>
      </c>
      <c r="L410" s="111">
        <f ca="1">IF($B$2="Não","",'CÁLCULO FUNPRESP'!S410)</f>
        <v>0</v>
      </c>
      <c r="N410" s="131" t="str">
        <f ca="1">'CÁLCULO FUNPRESP'!U410</f>
        <v/>
      </c>
      <c r="O410" s="111">
        <f ca="1">IF($B$2="Não","",'CÁLCULO FUNPRESP'!Y410)</f>
        <v>0</v>
      </c>
    </row>
    <row r="411" spans="9:15" x14ac:dyDescent="0.3">
      <c r="I411" s="131" t="str">
        <f ca="1">'CÁLCULO FUNPRESP'!P411</f>
        <v/>
      </c>
      <c r="J411" s="111" t="str">
        <f ca="1">IF($B$2="Não","",'CÁLCULO FUNPRESP'!Q411)</f>
        <v/>
      </c>
      <c r="K411" s="111" t="str">
        <f ca="1">IF($B$2="Não","",'CÁLCULO FUNPRESP'!R411)</f>
        <v/>
      </c>
      <c r="L411" s="111">
        <f ca="1">IF($B$2="Não","",'CÁLCULO FUNPRESP'!S411)</f>
        <v>0</v>
      </c>
      <c r="N411" s="131" t="str">
        <f ca="1">'CÁLCULO FUNPRESP'!U411</f>
        <v/>
      </c>
      <c r="O411" s="111">
        <f ca="1">IF($B$2="Não","",'CÁLCULO FUNPRESP'!Y411)</f>
        <v>0</v>
      </c>
    </row>
    <row r="412" spans="9:15" x14ac:dyDescent="0.3">
      <c r="I412" s="131" t="str">
        <f ca="1">'CÁLCULO FUNPRESP'!P412</f>
        <v/>
      </c>
      <c r="J412" s="111" t="str">
        <f ca="1">IF($B$2="Não","",'CÁLCULO FUNPRESP'!Q412)</f>
        <v/>
      </c>
      <c r="K412" s="111" t="str">
        <f ca="1">IF($B$2="Não","",'CÁLCULO FUNPRESP'!R412)</f>
        <v/>
      </c>
      <c r="L412" s="111">
        <f ca="1">IF($B$2="Não","",'CÁLCULO FUNPRESP'!S412)</f>
        <v>0</v>
      </c>
      <c r="N412" s="131" t="str">
        <f ca="1">'CÁLCULO FUNPRESP'!U412</f>
        <v/>
      </c>
      <c r="O412" s="111">
        <f ca="1">IF($B$2="Não","",'CÁLCULO FUNPRESP'!Y412)</f>
        <v>0</v>
      </c>
    </row>
    <row r="413" spans="9:15" x14ac:dyDescent="0.3">
      <c r="I413" s="131" t="str">
        <f ca="1">'CÁLCULO FUNPRESP'!P413</f>
        <v/>
      </c>
      <c r="J413" s="111" t="str">
        <f ca="1">IF($B$2="Não","",'CÁLCULO FUNPRESP'!Q413)</f>
        <v/>
      </c>
      <c r="K413" s="111" t="str">
        <f ca="1">IF($B$2="Não","",'CÁLCULO FUNPRESP'!R413)</f>
        <v/>
      </c>
      <c r="L413" s="111">
        <f ca="1">IF($B$2="Não","",'CÁLCULO FUNPRESP'!S413)</f>
        <v>0</v>
      </c>
      <c r="N413" s="131" t="str">
        <f ca="1">'CÁLCULO FUNPRESP'!U413</f>
        <v/>
      </c>
      <c r="O413" s="111">
        <f ca="1">IF($B$2="Não","",'CÁLCULO FUNPRESP'!Y413)</f>
        <v>0</v>
      </c>
    </row>
    <row r="414" spans="9:15" x14ac:dyDescent="0.3">
      <c r="I414" s="131" t="str">
        <f ca="1">'CÁLCULO FUNPRESP'!P414</f>
        <v/>
      </c>
      <c r="J414" s="111" t="str">
        <f ca="1">IF($B$2="Não","",'CÁLCULO FUNPRESP'!Q414)</f>
        <v/>
      </c>
      <c r="K414" s="111" t="str">
        <f ca="1">IF($B$2="Não","",'CÁLCULO FUNPRESP'!R414)</f>
        <v/>
      </c>
      <c r="L414" s="111">
        <f ca="1">IF($B$2="Não","",'CÁLCULO FUNPRESP'!S414)</f>
        <v>0</v>
      </c>
      <c r="N414" s="131" t="str">
        <f ca="1">'CÁLCULO FUNPRESP'!U414</f>
        <v/>
      </c>
      <c r="O414" s="111">
        <f ca="1">IF($B$2="Não","",'CÁLCULO FUNPRESP'!Y414)</f>
        <v>0</v>
      </c>
    </row>
    <row r="415" spans="9:15" x14ac:dyDescent="0.3">
      <c r="I415" s="131" t="str">
        <f ca="1">'CÁLCULO FUNPRESP'!P415</f>
        <v/>
      </c>
      <c r="J415" s="111" t="str">
        <f ca="1">IF($B$2="Não","",'CÁLCULO FUNPRESP'!Q415)</f>
        <v/>
      </c>
      <c r="K415" s="111" t="str">
        <f ca="1">IF($B$2="Não","",'CÁLCULO FUNPRESP'!R415)</f>
        <v/>
      </c>
      <c r="L415" s="111">
        <f ca="1">IF($B$2="Não","",'CÁLCULO FUNPRESP'!S415)</f>
        <v>0</v>
      </c>
      <c r="N415" s="131" t="str">
        <f ca="1">'CÁLCULO FUNPRESP'!U415</f>
        <v/>
      </c>
      <c r="O415" s="111">
        <f ca="1">IF($B$2="Não","",'CÁLCULO FUNPRESP'!Y415)</f>
        <v>0</v>
      </c>
    </row>
    <row r="416" spans="9:15" x14ac:dyDescent="0.3">
      <c r="I416" s="131" t="str">
        <f ca="1">'CÁLCULO FUNPRESP'!P416</f>
        <v/>
      </c>
      <c r="J416" s="111" t="str">
        <f ca="1">IF($B$2="Não","",'CÁLCULO FUNPRESP'!Q416)</f>
        <v/>
      </c>
      <c r="K416" s="111" t="str">
        <f ca="1">IF($B$2="Não","",'CÁLCULO FUNPRESP'!R416)</f>
        <v/>
      </c>
      <c r="L416" s="111">
        <f ca="1">IF($B$2="Não","",'CÁLCULO FUNPRESP'!S416)</f>
        <v>0</v>
      </c>
      <c r="N416" s="131" t="str">
        <f ca="1">'CÁLCULO FUNPRESP'!U416</f>
        <v/>
      </c>
      <c r="O416" s="111">
        <f ca="1">IF($B$2="Não","",'CÁLCULO FUNPRESP'!Y416)</f>
        <v>0</v>
      </c>
    </row>
    <row r="417" spans="9:15" x14ac:dyDescent="0.3">
      <c r="I417" s="131" t="str">
        <f ca="1">'CÁLCULO FUNPRESP'!P417</f>
        <v/>
      </c>
      <c r="J417" s="111" t="str">
        <f ca="1">IF($B$2="Não","",'CÁLCULO FUNPRESP'!Q417)</f>
        <v/>
      </c>
      <c r="K417" s="111" t="str">
        <f ca="1">IF($B$2="Não","",'CÁLCULO FUNPRESP'!R417)</f>
        <v/>
      </c>
      <c r="L417" s="111">
        <f ca="1">IF($B$2="Não","",'CÁLCULO FUNPRESP'!S417)</f>
        <v>0</v>
      </c>
      <c r="N417" s="131" t="str">
        <f ca="1">'CÁLCULO FUNPRESP'!U417</f>
        <v/>
      </c>
      <c r="O417" s="111">
        <f ca="1">IF($B$2="Não","",'CÁLCULO FUNPRESP'!Y417)</f>
        <v>0</v>
      </c>
    </row>
    <row r="418" spans="9:15" x14ac:dyDescent="0.3">
      <c r="I418" s="131" t="str">
        <f ca="1">'CÁLCULO FUNPRESP'!P418</f>
        <v/>
      </c>
      <c r="J418" s="111" t="str">
        <f ca="1">IF($B$2="Não","",'CÁLCULO FUNPRESP'!Q418)</f>
        <v/>
      </c>
      <c r="K418" s="111" t="str">
        <f ca="1">IF($B$2="Não","",'CÁLCULO FUNPRESP'!R418)</f>
        <v/>
      </c>
      <c r="L418" s="111">
        <f ca="1">IF($B$2="Não","",'CÁLCULO FUNPRESP'!S418)</f>
        <v>0</v>
      </c>
      <c r="N418" s="131" t="str">
        <f ca="1">'CÁLCULO FUNPRESP'!U418</f>
        <v/>
      </c>
      <c r="O418" s="111">
        <f ca="1">IF($B$2="Não","",'CÁLCULO FUNPRESP'!Y418)</f>
        <v>0</v>
      </c>
    </row>
    <row r="419" spans="9:15" x14ac:dyDescent="0.3">
      <c r="I419" s="131" t="str">
        <f ca="1">'CÁLCULO FUNPRESP'!P419</f>
        <v/>
      </c>
      <c r="J419" s="111" t="str">
        <f ca="1">IF($B$2="Não","",'CÁLCULO FUNPRESP'!Q419)</f>
        <v/>
      </c>
      <c r="K419" s="111" t="str">
        <f ca="1">IF($B$2="Não","",'CÁLCULO FUNPRESP'!R419)</f>
        <v/>
      </c>
      <c r="L419" s="111">
        <f ca="1">IF($B$2="Não","",'CÁLCULO FUNPRESP'!S419)</f>
        <v>0</v>
      </c>
      <c r="N419" s="131" t="str">
        <f ca="1">'CÁLCULO FUNPRESP'!U419</f>
        <v/>
      </c>
      <c r="O419" s="111">
        <f ca="1">IF($B$2="Não","",'CÁLCULO FUNPRESP'!Y419)</f>
        <v>0</v>
      </c>
    </row>
    <row r="420" spans="9:15" x14ac:dyDescent="0.3">
      <c r="I420" s="131" t="str">
        <f ca="1">'CÁLCULO FUNPRESP'!P420</f>
        <v/>
      </c>
      <c r="J420" s="111" t="str">
        <f ca="1">IF($B$2="Não","",'CÁLCULO FUNPRESP'!Q420)</f>
        <v/>
      </c>
      <c r="K420" s="111" t="str">
        <f ca="1">IF($B$2="Não","",'CÁLCULO FUNPRESP'!R420)</f>
        <v/>
      </c>
      <c r="L420" s="111">
        <f ca="1">IF($B$2="Não","",'CÁLCULO FUNPRESP'!S420)</f>
        <v>0</v>
      </c>
      <c r="N420" s="131" t="str">
        <f ca="1">'CÁLCULO FUNPRESP'!U420</f>
        <v/>
      </c>
      <c r="O420" s="111">
        <f ca="1">IF($B$2="Não","",'CÁLCULO FUNPRESP'!Y420)</f>
        <v>0</v>
      </c>
    </row>
    <row r="421" spans="9:15" x14ac:dyDescent="0.3">
      <c r="I421" s="131" t="str">
        <f ca="1">'CÁLCULO FUNPRESP'!P421</f>
        <v/>
      </c>
      <c r="J421" s="111" t="str">
        <f ca="1">IF($B$2="Não","",'CÁLCULO FUNPRESP'!Q421)</f>
        <v/>
      </c>
      <c r="K421" s="111" t="str">
        <f ca="1">IF($B$2="Não","",'CÁLCULO FUNPRESP'!R421)</f>
        <v/>
      </c>
      <c r="L421" s="111">
        <f ca="1">IF($B$2="Não","",'CÁLCULO FUNPRESP'!S421)</f>
        <v>0</v>
      </c>
      <c r="N421" s="131" t="str">
        <f ca="1">'CÁLCULO FUNPRESP'!U421</f>
        <v/>
      </c>
      <c r="O421" s="111">
        <f ca="1">IF($B$2="Não","",'CÁLCULO FUNPRESP'!Y421)</f>
        <v>0</v>
      </c>
    </row>
    <row r="422" spans="9:15" x14ac:dyDescent="0.3">
      <c r="I422" s="131" t="str">
        <f ca="1">'CÁLCULO FUNPRESP'!P422</f>
        <v/>
      </c>
      <c r="J422" s="111" t="str">
        <f ca="1">IF($B$2="Não","",'CÁLCULO FUNPRESP'!Q422)</f>
        <v/>
      </c>
      <c r="K422" s="111" t="str">
        <f ca="1">IF($B$2="Não","",'CÁLCULO FUNPRESP'!R422)</f>
        <v/>
      </c>
      <c r="L422" s="111">
        <f ca="1">IF($B$2="Não","",'CÁLCULO FUNPRESP'!S422)</f>
        <v>0</v>
      </c>
      <c r="N422" s="131" t="str">
        <f ca="1">'CÁLCULO FUNPRESP'!U422</f>
        <v/>
      </c>
      <c r="O422" s="111">
        <f ca="1">IF($B$2="Não","",'CÁLCULO FUNPRESP'!Y422)</f>
        <v>0</v>
      </c>
    </row>
    <row r="423" spans="9:15" x14ac:dyDescent="0.3">
      <c r="I423" s="131" t="str">
        <f ca="1">'CÁLCULO FUNPRESP'!P423</f>
        <v/>
      </c>
      <c r="J423" s="111" t="str">
        <f ca="1">IF($B$2="Não","",'CÁLCULO FUNPRESP'!Q423)</f>
        <v/>
      </c>
      <c r="K423" s="111" t="str">
        <f ca="1">IF($B$2="Não","",'CÁLCULO FUNPRESP'!R423)</f>
        <v/>
      </c>
      <c r="L423" s="111">
        <f ca="1">IF($B$2="Não","",'CÁLCULO FUNPRESP'!S423)</f>
        <v>0</v>
      </c>
      <c r="N423" s="131" t="str">
        <f ca="1">'CÁLCULO FUNPRESP'!U423</f>
        <v/>
      </c>
      <c r="O423" s="111">
        <f ca="1">IF($B$2="Não","",'CÁLCULO FUNPRESP'!Y423)</f>
        <v>0</v>
      </c>
    </row>
    <row r="424" spans="9:15" x14ac:dyDescent="0.3">
      <c r="I424" s="131" t="str">
        <f ca="1">'CÁLCULO FUNPRESP'!P424</f>
        <v/>
      </c>
      <c r="J424" s="111" t="str">
        <f ca="1">IF($B$2="Não","",'CÁLCULO FUNPRESP'!Q424)</f>
        <v/>
      </c>
      <c r="K424" s="111" t="str">
        <f ca="1">IF($B$2="Não","",'CÁLCULO FUNPRESP'!R424)</f>
        <v/>
      </c>
      <c r="L424" s="111">
        <f ca="1">IF($B$2="Não","",'CÁLCULO FUNPRESP'!S424)</f>
        <v>0</v>
      </c>
      <c r="N424" s="131" t="str">
        <f ca="1">'CÁLCULO FUNPRESP'!U424</f>
        <v/>
      </c>
      <c r="O424" s="111">
        <f ca="1">IF($B$2="Não","",'CÁLCULO FUNPRESP'!Y424)</f>
        <v>0</v>
      </c>
    </row>
    <row r="425" spans="9:15" x14ac:dyDescent="0.3">
      <c r="I425" s="131" t="str">
        <f ca="1">'CÁLCULO FUNPRESP'!P425</f>
        <v/>
      </c>
      <c r="J425" s="111" t="str">
        <f ca="1">IF($B$2="Não","",'CÁLCULO FUNPRESP'!Q425)</f>
        <v/>
      </c>
      <c r="K425" s="111" t="str">
        <f ca="1">IF($B$2="Não","",'CÁLCULO FUNPRESP'!R425)</f>
        <v/>
      </c>
      <c r="L425" s="111">
        <f ca="1">IF($B$2="Não","",'CÁLCULO FUNPRESP'!S425)</f>
        <v>0</v>
      </c>
      <c r="N425" s="131" t="str">
        <f ca="1">'CÁLCULO FUNPRESP'!U425</f>
        <v/>
      </c>
      <c r="O425" s="111">
        <f ca="1">IF($B$2="Não","",'CÁLCULO FUNPRESP'!Y425)</f>
        <v>0</v>
      </c>
    </row>
    <row r="426" spans="9:15" x14ac:dyDescent="0.3">
      <c r="I426" s="131" t="str">
        <f ca="1">'CÁLCULO FUNPRESP'!P426</f>
        <v/>
      </c>
      <c r="J426" s="111" t="str">
        <f ca="1">IF($B$2="Não","",'CÁLCULO FUNPRESP'!Q426)</f>
        <v/>
      </c>
      <c r="K426" s="111" t="str">
        <f ca="1">IF($B$2="Não","",'CÁLCULO FUNPRESP'!R426)</f>
        <v/>
      </c>
      <c r="L426" s="111">
        <f ca="1">IF($B$2="Não","",'CÁLCULO FUNPRESP'!S426)</f>
        <v>0</v>
      </c>
      <c r="N426" s="131" t="str">
        <f ca="1">'CÁLCULO FUNPRESP'!U426</f>
        <v/>
      </c>
      <c r="O426" s="111">
        <f ca="1">IF($B$2="Não","",'CÁLCULO FUNPRESP'!Y426)</f>
        <v>0</v>
      </c>
    </row>
    <row r="427" spans="9:15" x14ac:dyDescent="0.3">
      <c r="I427" s="131" t="str">
        <f ca="1">'CÁLCULO FUNPRESP'!P427</f>
        <v/>
      </c>
      <c r="J427" s="111" t="str">
        <f ca="1">IF($B$2="Não","",'CÁLCULO FUNPRESP'!Q427)</f>
        <v/>
      </c>
      <c r="K427" s="111" t="str">
        <f ca="1">IF($B$2="Não","",'CÁLCULO FUNPRESP'!R427)</f>
        <v/>
      </c>
      <c r="L427" s="111">
        <f ca="1">IF($B$2="Não","",'CÁLCULO FUNPRESP'!S427)</f>
        <v>0</v>
      </c>
      <c r="N427" s="131" t="str">
        <f ca="1">'CÁLCULO FUNPRESP'!U427</f>
        <v/>
      </c>
      <c r="O427" s="111">
        <f ca="1">IF($B$2="Não","",'CÁLCULO FUNPRESP'!Y427)</f>
        <v>0</v>
      </c>
    </row>
    <row r="428" spans="9:15" x14ac:dyDescent="0.3">
      <c r="I428" s="131" t="str">
        <f ca="1">'CÁLCULO FUNPRESP'!P428</f>
        <v/>
      </c>
      <c r="J428" s="111" t="str">
        <f ca="1">IF($B$2="Não","",'CÁLCULO FUNPRESP'!Q428)</f>
        <v/>
      </c>
      <c r="K428" s="111" t="str">
        <f ca="1">IF($B$2="Não","",'CÁLCULO FUNPRESP'!R428)</f>
        <v/>
      </c>
      <c r="L428" s="111">
        <f ca="1">IF($B$2="Não","",'CÁLCULO FUNPRESP'!S428)</f>
        <v>0</v>
      </c>
      <c r="N428" s="131" t="str">
        <f ca="1">'CÁLCULO FUNPRESP'!U428</f>
        <v/>
      </c>
      <c r="O428" s="111">
        <f ca="1">IF($B$2="Não","",'CÁLCULO FUNPRESP'!Y428)</f>
        <v>0</v>
      </c>
    </row>
    <row r="429" spans="9:15" x14ac:dyDescent="0.3">
      <c r="I429" s="131" t="str">
        <f ca="1">'CÁLCULO FUNPRESP'!P429</f>
        <v/>
      </c>
      <c r="J429" s="111" t="str">
        <f ca="1">IF($B$2="Não","",'CÁLCULO FUNPRESP'!Q429)</f>
        <v/>
      </c>
      <c r="K429" s="111" t="str">
        <f ca="1">IF($B$2="Não","",'CÁLCULO FUNPRESP'!R429)</f>
        <v/>
      </c>
      <c r="L429" s="111">
        <f ca="1">IF($B$2="Não","",'CÁLCULO FUNPRESP'!S429)</f>
        <v>0</v>
      </c>
      <c r="N429" s="131" t="str">
        <f ca="1">'CÁLCULO FUNPRESP'!U429</f>
        <v/>
      </c>
      <c r="O429" s="111">
        <f ca="1">IF($B$2="Não","",'CÁLCULO FUNPRESP'!Y429)</f>
        <v>0</v>
      </c>
    </row>
    <row r="430" spans="9:15" x14ac:dyDescent="0.3">
      <c r="I430" s="131" t="str">
        <f ca="1">'CÁLCULO FUNPRESP'!P430</f>
        <v/>
      </c>
      <c r="J430" s="111" t="str">
        <f ca="1">IF($B$2="Não","",'CÁLCULO FUNPRESP'!Q430)</f>
        <v/>
      </c>
      <c r="K430" s="111" t="str">
        <f ca="1">IF($B$2="Não","",'CÁLCULO FUNPRESP'!R430)</f>
        <v/>
      </c>
      <c r="L430" s="111">
        <f ca="1">IF($B$2="Não","",'CÁLCULO FUNPRESP'!S430)</f>
        <v>0</v>
      </c>
      <c r="N430" s="131" t="str">
        <f ca="1">'CÁLCULO FUNPRESP'!U430</f>
        <v/>
      </c>
      <c r="O430" s="111">
        <f ca="1">IF($B$2="Não","",'CÁLCULO FUNPRESP'!Y430)</f>
        <v>0</v>
      </c>
    </row>
    <row r="431" spans="9:15" x14ac:dyDescent="0.3">
      <c r="I431" s="131" t="str">
        <f ca="1">'CÁLCULO FUNPRESP'!P431</f>
        <v/>
      </c>
      <c r="J431" s="111" t="str">
        <f ca="1">IF($B$2="Não","",'CÁLCULO FUNPRESP'!Q431)</f>
        <v/>
      </c>
      <c r="K431" s="111" t="str">
        <f ca="1">IF($B$2="Não","",'CÁLCULO FUNPRESP'!R431)</f>
        <v/>
      </c>
      <c r="L431" s="111">
        <f ca="1">IF($B$2="Não","",'CÁLCULO FUNPRESP'!S431)</f>
        <v>0</v>
      </c>
      <c r="N431" s="131" t="str">
        <f ca="1">'CÁLCULO FUNPRESP'!U431</f>
        <v/>
      </c>
      <c r="O431" s="111">
        <f ca="1">IF($B$2="Não","",'CÁLCULO FUNPRESP'!Y431)</f>
        <v>0</v>
      </c>
    </row>
    <row r="432" spans="9:15" x14ac:dyDescent="0.3">
      <c r="I432" s="131" t="str">
        <f ca="1">'CÁLCULO FUNPRESP'!P432</f>
        <v/>
      </c>
      <c r="J432" s="111" t="str">
        <f ca="1">IF($B$2="Não","",'CÁLCULO FUNPRESP'!Q432)</f>
        <v/>
      </c>
      <c r="K432" s="111" t="str">
        <f ca="1">IF($B$2="Não","",'CÁLCULO FUNPRESP'!R432)</f>
        <v/>
      </c>
      <c r="L432" s="111">
        <f ca="1">IF($B$2="Não","",'CÁLCULO FUNPRESP'!S432)</f>
        <v>0</v>
      </c>
      <c r="N432" s="131" t="str">
        <f ca="1">'CÁLCULO FUNPRESP'!U432</f>
        <v/>
      </c>
      <c r="O432" s="111">
        <f ca="1">IF($B$2="Não","",'CÁLCULO FUNPRESP'!Y432)</f>
        <v>0</v>
      </c>
    </row>
    <row r="433" spans="9:15" x14ac:dyDescent="0.3">
      <c r="I433" s="131" t="str">
        <f ca="1">'CÁLCULO FUNPRESP'!P433</f>
        <v/>
      </c>
      <c r="J433" s="111" t="str">
        <f ca="1">IF($B$2="Não","",'CÁLCULO FUNPRESP'!Q433)</f>
        <v/>
      </c>
      <c r="K433" s="111" t="str">
        <f ca="1">IF($B$2="Não","",'CÁLCULO FUNPRESP'!R433)</f>
        <v/>
      </c>
      <c r="L433" s="111">
        <f ca="1">IF($B$2="Não","",'CÁLCULO FUNPRESP'!S433)</f>
        <v>0</v>
      </c>
      <c r="N433" s="131" t="str">
        <f ca="1">'CÁLCULO FUNPRESP'!U433</f>
        <v/>
      </c>
      <c r="O433" s="111">
        <f ca="1">IF($B$2="Não","",'CÁLCULO FUNPRESP'!Y433)</f>
        <v>0</v>
      </c>
    </row>
    <row r="434" spans="9:15" x14ac:dyDescent="0.3">
      <c r="I434" s="131" t="str">
        <f ca="1">'CÁLCULO FUNPRESP'!P434</f>
        <v/>
      </c>
      <c r="J434" s="111" t="str">
        <f ca="1">IF($B$2="Não","",'CÁLCULO FUNPRESP'!Q434)</f>
        <v/>
      </c>
      <c r="K434" s="111" t="str">
        <f ca="1">IF($B$2="Não","",'CÁLCULO FUNPRESP'!R434)</f>
        <v/>
      </c>
      <c r="L434" s="111">
        <f ca="1">IF($B$2="Não","",'CÁLCULO FUNPRESP'!S434)</f>
        <v>0</v>
      </c>
      <c r="N434" s="131" t="str">
        <f ca="1">'CÁLCULO FUNPRESP'!U434</f>
        <v/>
      </c>
      <c r="O434" s="111">
        <f ca="1">IF($B$2="Não","",'CÁLCULO FUNPRESP'!Y434)</f>
        <v>0</v>
      </c>
    </row>
    <row r="435" spans="9:15" x14ac:dyDescent="0.3">
      <c r="I435" s="131" t="str">
        <f ca="1">'CÁLCULO FUNPRESP'!P435</f>
        <v/>
      </c>
      <c r="J435" s="111" t="str">
        <f ca="1">IF($B$2="Não","",'CÁLCULO FUNPRESP'!Q435)</f>
        <v/>
      </c>
      <c r="K435" s="111" t="str">
        <f ca="1">IF($B$2="Não","",'CÁLCULO FUNPRESP'!R435)</f>
        <v/>
      </c>
      <c r="L435" s="111">
        <f ca="1">IF($B$2="Não","",'CÁLCULO FUNPRESP'!S435)</f>
        <v>0</v>
      </c>
      <c r="N435" s="131" t="str">
        <f ca="1">'CÁLCULO FUNPRESP'!U435</f>
        <v/>
      </c>
      <c r="O435" s="111">
        <f ca="1">IF($B$2="Não","",'CÁLCULO FUNPRESP'!Y435)</f>
        <v>0</v>
      </c>
    </row>
    <row r="436" spans="9:15" x14ac:dyDescent="0.3">
      <c r="I436" s="131" t="str">
        <f ca="1">'CÁLCULO FUNPRESP'!P436</f>
        <v/>
      </c>
      <c r="J436" s="111" t="str">
        <f ca="1">IF($B$2="Não","",'CÁLCULO FUNPRESP'!Q436)</f>
        <v/>
      </c>
      <c r="K436" s="111" t="str">
        <f ca="1">IF($B$2="Não","",'CÁLCULO FUNPRESP'!R436)</f>
        <v/>
      </c>
      <c r="L436" s="111">
        <f ca="1">IF($B$2="Não","",'CÁLCULO FUNPRESP'!S436)</f>
        <v>0</v>
      </c>
      <c r="N436" s="131" t="str">
        <f ca="1">'CÁLCULO FUNPRESP'!U436</f>
        <v/>
      </c>
      <c r="O436" s="111">
        <f ca="1">IF($B$2="Não","",'CÁLCULO FUNPRESP'!Y436)</f>
        <v>0</v>
      </c>
    </row>
    <row r="437" spans="9:15" x14ac:dyDescent="0.3">
      <c r="I437" s="131" t="str">
        <f ca="1">'CÁLCULO FUNPRESP'!P437</f>
        <v/>
      </c>
      <c r="J437" s="111" t="str">
        <f ca="1">IF($B$2="Não","",'CÁLCULO FUNPRESP'!Q437)</f>
        <v/>
      </c>
      <c r="K437" s="111" t="str">
        <f ca="1">IF($B$2="Não","",'CÁLCULO FUNPRESP'!R437)</f>
        <v/>
      </c>
      <c r="L437" s="111">
        <f ca="1">IF($B$2="Não","",'CÁLCULO FUNPRESP'!S437)</f>
        <v>0</v>
      </c>
      <c r="N437" s="131" t="str">
        <f ca="1">'CÁLCULO FUNPRESP'!U437</f>
        <v/>
      </c>
      <c r="O437" s="111">
        <f ca="1">IF($B$2="Não","",'CÁLCULO FUNPRESP'!Y437)</f>
        <v>0</v>
      </c>
    </row>
    <row r="438" spans="9:15" x14ac:dyDescent="0.3">
      <c r="I438" s="131" t="str">
        <f ca="1">'CÁLCULO FUNPRESP'!P438</f>
        <v/>
      </c>
      <c r="J438" s="111" t="str">
        <f ca="1">IF($B$2="Não","",'CÁLCULO FUNPRESP'!Q438)</f>
        <v/>
      </c>
      <c r="K438" s="111" t="str">
        <f ca="1">IF($B$2="Não","",'CÁLCULO FUNPRESP'!R438)</f>
        <v/>
      </c>
      <c r="L438" s="111">
        <f ca="1">IF($B$2="Não","",'CÁLCULO FUNPRESP'!S438)</f>
        <v>0</v>
      </c>
      <c r="N438" s="131" t="str">
        <f ca="1">'CÁLCULO FUNPRESP'!U438</f>
        <v/>
      </c>
      <c r="O438" s="111">
        <f ca="1">IF($B$2="Não","",'CÁLCULO FUNPRESP'!Y438)</f>
        <v>0</v>
      </c>
    </row>
    <row r="439" spans="9:15" x14ac:dyDescent="0.3">
      <c r="I439" s="131" t="str">
        <f ca="1">'CÁLCULO FUNPRESP'!P439</f>
        <v/>
      </c>
      <c r="J439" s="111" t="str">
        <f ca="1">IF($B$2="Não","",'CÁLCULO FUNPRESP'!Q439)</f>
        <v/>
      </c>
      <c r="K439" s="111" t="str">
        <f ca="1">IF($B$2="Não","",'CÁLCULO FUNPRESP'!R439)</f>
        <v/>
      </c>
      <c r="L439" s="111">
        <f ca="1">IF($B$2="Não","",'CÁLCULO FUNPRESP'!S439)</f>
        <v>0</v>
      </c>
      <c r="N439" s="131" t="str">
        <f ca="1">'CÁLCULO FUNPRESP'!U439</f>
        <v/>
      </c>
      <c r="O439" s="111">
        <f ca="1">IF($B$2="Não","",'CÁLCULO FUNPRESP'!Y439)</f>
        <v>0</v>
      </c>
    </row>
    <row r="440" spans="9:15" x14ac:dyDescent="0.3">
      <c r="I440" s="131" t="str">
        <f ca="1">'CÁLCULO FUNPRESP'!P440</f>
        <v/>
      </c>
      <c r="J440" s="111" t="str">
        <f ca="1">IF($B$2="Não","",'CÁLCULO FUNPRESP'!Q440)</f>
        <v/>
      </c>
      <c r="K440" s="111" t="str">
        <f ca="1">IF($B$2="Não","",'CÁLCULO FUNPRESP'!R440)</f>
        <v/>
      </c>
      <c r="L440" s="111">
        <f ca="1">IF($B$2="Não","",'CÁLCULO FUNPRESP'!S440)</f>
        <v>0</v>
      </c>
      <c r="N440" s="131" t="str">
        <f ca="1">'CÁLCULO FUNPRESP'!U440</f>
        <v/>
      </c>
      <c r="O440" s="111">
        <f ca="1">IF($B$2="Não","",'CÁLCULO FUNPRESP'!Y440)</f>
        <v>0</v>
      </c>
    </row>
    <row r="441" spans="9:15" x14ac:dyDescent="0.3">
      <c r="I441" s="131" t="str">
        <f ca="1">'CÁLCULO FUNPRESP'!P441</f>
        <v/>
      </c>
      <c r="J441" s="111" t="str">
        <f ca="1">IF($B$2="Não","",'CÁLCULO FUNPRESP'!Q441)</f>
        <v/>
      </c>
      <c r="K441" s="111" t="str">
        <f ca="1">IF($B$2="Não","",'CÁLCULO FUNPRESP'!R441)</f>
        <v/>
      </c>
      <c r="L441" s="111">
        <f ca="1">IF($B$2="Não","",'CÁLCULO FUNPRESP'!S441)</f>
        <v>0</v>
      </c>
      <c r="N441" s="131" t="str">
        <f ca="1">'CÁLCULO FUNPRESP'!U441</f>
        <v/>
      </c>
      <c r="O441" s="111">
        <f ca="1">IF($B$2="Não","",'CÁLCULO FUNPRESP'!Y441)</f>
        <v>0</v>
      </c>
    </row>
    <row r="442" spans="9:15" x14ac:dyDescent="0.3">
      <c r="I442" s="131" t="str">
        <f ca="1">'CÁLCULO FUNPRESP'!P442</f>
        <v/>
      </c>
      <c r="J442" s="111" t="str">
        <f ca="1">IF($B$2="Não","",'CÁLCULO FUNPRESP'!Q442)</f>
        <v/>
      </c>
      <c r="K442" s="111" t="str">
        <f ca="1">IF($B$2="Não","",'CÁLCULO FUNPRESP'!R442)</f>
        <v/>
      </c>
      <c r="L442" s="111">
        <f ca="1">IF($B$2="Não","",'CÁLCULO FUNPRESP'!S442)</f>
        <v>0</v>
      </c>
      <c r="N442" s="131" t="str">
        <f ca="1">'CÁLCULO FUNPRESP'!U442</f>
        <v/>
      </c>
      <c r="O442" s="111">
        <f ca="1">IF($B$2="Não","",'CÁLCULO FUNPRESP'!Y442)</f>
        <v>0</v>
      </c>
    </row>
    <row r="443" spans="9:15" x14ac:dyDescent="0.3">
      <c r="I443" s="131" t="str">
        <f ca="1">'CÁLCULO FUNPRESP'!P443</f>
        <v/>
      </c>
      <c r="J443" s="111" t="str">
        <f ca="1">IF($B$2="Não","",'CÁLCULO FUNPRESP'!Q443)</f>
        <v/>
      </c>
      <c r="K443" s="111" t="str">
        <f ca="1">IF($B$2="Não","",'CÁLCULO FUNPRESP'!R443)</f>
        <v/>
      </c>
      <c r="L443" s="111">
        <f ca="1">IF($B$2="Não","",'CÁLCULO FUNPRESP'!S443)</f>
        <v>0</v>
      </c>
      <c r="N443" s="131" t="str">
        <f ca="1">'CÁLCULO FUNPRESP'!U443</f>
        <v/>
      </c>
      <c r="O443" s="111">
        <f ca="1">IF($B$2="Não","",'CÁLCULO FUNPRESP'!Y443)</f>
        <v>0</v>
      </c>
    </row>
    <row r="444" spans="9:15" x14ac:dyDescent="0.3">
      <c r="I444" s="131" t="str">
        <f ca="1">'CÁLCULO FUNPRESP'!P444</f>
        <v/>
      </c>
      <c r="J444" s="111" t="str">
        <f ca="1">IF($B$2="Não","",'CÁLCULO FUNPRESP'!Q444)</f>
        <v/>
      </c>
      <c r="K444" s="111" t="str">
        <f ca="1">IF($B$2="Não","",'CÁLCULO FUNPRESP'!R444)</f>
        <v/>
      </c>
      <c r="L444" s="111">
        <f ca="1">IF($B$2="Não","",'CÁLCULO FUNPRESP'!S444)</f>
        <v>0</v>
      </c>
      <c r="N444" s="131" t="str">
        <f ca="1">'CÁLCULO FUNPRESP'!U444</f>
        <v/>
      </c>
      <c r="O444" s="111">
        <f ca="1">IF($B$2="Não","",'CÁLCULO FUNPRESP'!Y444)</f>
        <v>0</v>
      </c>
    </row>
    <row r="445" spans="9:15" x14ac:dyDescent="0.3">
      <c r="I445" s="131" t="str">
        <f ca="1">'CÁLCULO FUNPRESP'!P445</f>
        <v/>
      </c>
      <c r="J445" s="111" t="str">
        <f ca="1">IF($B$2="Não","",'CÁLCULO FUNPRESP'!Q445)</f>
        <v/>
      </c>
      <c r="K445" s="111" t="str">
        <f ca="1">IF($B$2="Não","",'CÁLCULO FUNPRESP'!R445)</f>
        <v/>
      </c>
      <c r="L445" s="111">
        <f ca="1">IF($B$2="Não","",'CÁLCULO FUNPRESP'!S445)</f>
        <v>0</v>
      </c>
      <c r="N445" s="131" t="str">
        <f ca="1">'CÁLCULO FUNPRESP'!U445</f>
        <v/>
      </c>
      <c r="O445" s="111">
        <f ca="1">IF($B$2="Não","",'CÁLCULO FUNPRESP'!Y445)</f>
        <v>0</v>
      </c>
    </row>
    <row r="446" spans="9:15" x14ac:dyDescent="0.3">
      <c r="I446" s="131" t="str">
        <f ca="1">'CÁLCULO FUNPRESP'!P446</f>
        <v/>
      </c>
      <c r="J446" s="111" t="str">
        <f ca="1">IF($B$2="Não","",'CÁLCULO FUNPRESP'!Q446)</f>
        <v/>
      </c>
      <c r="K446" s="111" t="str">
        <f ca="1">IF($B$2="Não","",'CÁLCULO FUNPRESP'!R446)</f>
        <v/>
      </c>
      <c r="L446" s="111">
        <f ca="1">IF($B$2="Não","",'CÁLCULO FUNPRESP'!S446)</f>
        <v>0</v>
      </c>
      <c r="N446" s="131" t="str">
        <f ca="1">'CÁLCULO FUNPRESP'!U446</f>
        <v/>
      </c>
      <c r="O446" s="111">
        <f ca="1">IF($B$2="Não","",'CÁLCULO FUNPRESP'!Y446)</f>
        <v>0</v>
      </c>
    </row>
    <row r="447" spans="9:15" x14ac:dyDescent="0.3">
      <c r="I447" s="131" t="str">
        <f ca="1">'CÁLCULO FUNPRESP'!P447</f>
        <v/>
      </c>
      <c r="J447" s="111" t="str">
        <f ca="1">IF($B$2="Não","",'CÁLCULO FUNPRESP'!Q447)</f>
        <v/>
      </c>
      <c r="K447" s="111" t="str">
        <f ca="1">IF($B$2="Não","",'CÁLCULO FUNPRESP'!R447)</f>
        <v/>
      </c>
      <c r="L447" s="111">
        <f ca="1">IF($B$2="Não","",'CÁLCULO FUNPRESP'!S447)</f>
        <v>0</v>
      </c>
      <c r="N447" s="131" t="str">
        <f ca="1">'CÁLCULO FUNPRESP'!U447</f>
        <v/>
      </c>
      <c r="O447" s="111">
        <f ca="1">IF($B$2="Não","",'CÁLCULO FUNPRESP'!Y447)</f>
        <v>0</v>
      </c>
    </row>
    <row r="448" spans="9:15" x14ac:dyDescent="0.3">
      <c r="I448" s="131" t="str">
        <f ca="1">'CÁLCULO FUNPRESP'!P448</f>
        <v/>
      </c>
      <c r="J448" s="111" t="str">
        <f ca="1">IF($B$2="Não","",'CÁLCULO FUNPRESP'!Q448)</f>
        <v/>
      </c>
      <c r="K448" s="111" t="str">
        <f ca="1">IF($B$2="Não","",'CÁLCULO FUNPRESP'!R448)</f>
        <v/>
      </c>
      <c r="L448" s="111">
        <f ca="1">IF($B$2="Não","",'CÁLCULO FUNPRESP'!S448)</f>
        <v>0</v>
      </c>
      <c r="N448" s="131" t="str">
        <f ca="1">'CÁLCULO FUNPRESP'!U448</f>
        <v/>
      </c>
      <c r="O448" s="111">
        <f ca="1">IF($B$2="Não","",'CÁLCULO FUNPRESP'!Y448)</f>
        <v>0</v>
      </c>
    </row>
    <row r="449" spans="9:15" x14ac:dyDescent="0.3">
      <c r="I449" s="131" t="str">
        <f ca="1">'CÁLCULO FUNPRESP'!P449</f>
        <v/>
      </c>
      <c r="J449" s="111" t="str">
        <f ca="1">IF($B$2="Não","",'CÁLCULO FUNPRESP'!Q449)</f>
        <v/>
      </c>
      <c r="K449" s="111" t="str">
        <f ca="1">IF($B$2="Não","",'CÁLCULO FUNPRESP'!R449)</f>
        <v/>
      </c>
      <c r="L449" s="111">
        <f ca="1">IF($B$2="Não","",'CÁLCULO FUNPRESP'!S449)</f>
        <v>0</v>
      </c>
      <c r="N449" s="131" t="str">
        <f ca="1">'CÁLCULO FUNPRESP'!U449</f>
        <v/>
      </c>
      <c r="O449" s="111">
        <f ca="1">IF($B$2="Não","",'CÁLCULO FUNPRESP'!Y449)</f>
        <v>0</v>
      </c>
    </row>
    <row r="450" spans="9:15" x14ac:dyDescent="0.3">
      <c r="I450" s="131" t="str">
        <f ca="1">'CÁLCULO FUNPRESP'!P450</f>
        <v/>
      </c>
      <c r="J450" s="111" t="str">
        <f ca="1">IF($B$2="Não","",'CÁLCULO FUNPRESP'!Q450)</f>
        <v/>
      </c>
      <c r="K450" s="111" t="str">
        <f ca="1">IF($B$2="Não","",'CÁLCULO FUNPRESP'!R450)</f>
        <v/>
      </c>
      <c r="L450" s="111">
        <f ca="1">IF($B$2="Não","",'CÁLCULO FUNPRESP'!S450)</f>
        <v>0</v>
      </c>
      <c r="N450" s="131" t="str">
        <f ca="1">'CÁLCULO FUNPRESP'!U450</f>
        <v/>
      </c>
      <c r="O450" s="111">
        <f ca="1">IF($B$2="Não","",'CÁLCULO FUNPRESP'!Y450)</f>
        <v>0</v>
      </c>
    </row>
    <row r="451" spans="9:15" x14ac:dyDescent="0.3">
      <c r="I451" s="131" t="str">
        <f ca="1">'CÁLCULO FUNPRESP'!P451</f>
        <v/>
      </c>
      <c r="J451" s="111" t="str">
        <f ca="1">IF($B$2="Não","",'CÁLCULO FUNPRESP'!Q451)</f>
        <v/>
      </c>
      <c r="K451" s="111" t="str">
        <f ca="1">IF($B$2="Não","",'CÁLCULO FUNPRESP'!R451)</f>
        <v/>
      </c>
      <c r="L451" s="111">
        <f ca="1">IF($B$2="Não","",'CÁLCULO FUNPRESP'!S451)</f>
        <v>0</v>
      </c>
      <c r="N451" s="131" t="str">
        <f ca="1">'CÁLCULO FUNPRESP'!U451</f>
        <v/>
      </c>
      <c r="O451" s="111">
        <f ca="1">IF($B$2="Não","",'CÁLCULO FUNPRESP'!Y451)</f>
        <v>0</v>
      </c>
    </row>
    <row r="452" spans="9:15" x14ac:dyDescent="0.3">
      <c r="I452" s="131" t="str">
        <f ca="1">'CÁLCULO FUNPRESP'!P452</f>
        <v/>
      </c>
      <c r="J452" s="111" t="str">
        <f ca="1">IF($B$2="Não","",'CÁLCULO FUNPRESP'!Q452)</f>
        <v/>
      </c>
      <c r="K452" s="111" t="str">
        <f ca="1">IF($B$2="Não","",'CÁLCULO FUNPRESP'!R452)</f>
        <v/>
      </c>
      <c r="L452" s="111">
        <f ca="1">IF($B$2="Não","",'CÁLCULO FUNPRESP'!S452)</f>
        <v>0</v>
      </c>
      <c r="N452" s="131" t="str">
        <f ca="1">'CÁLCULO FUNPRESP'!U452</f>
        <v/>
      </c>
      <c r="O452" s="111">
        <f ca="1">IF($B$2="Não","",'CÁLCULO FUNPRESP'!Y452)</f>
        <v>0</v>
      </c>
    </row>
    <row r="453" spans="9:15" x14ac:dyDescent="0.3">
      <c r="I453" s="131" t="str">
        <f ca="1">'CÁLCULO FUNPRESP'!P453</f>
        <v/>
      </c>
      <c r="J453" s="111" t="str">
        <f ca="1">IF($B$2="Não","",'CÁLCULO FUNPRESP'!Q453)</f>
        <v/>
      </c>
      <c r="K453" s="111" t="str">
        <f ca="1">IF($B$2="Não","",'CÁLCULO FUNPRESP'!R453)</f>
        <v/>
      </c>
      <c r="L453" s="111">
        <f ca="1">IF($B$2="Não","",'CÁLCULO FUNPRESP'!S453)</f>
        <v>0</v>
      </c>
      <c r="N453" s="131" t="str">
        <f ca="1">'CÁLCULO FUNPRESP'!U453</f>
        <v/>
      </c>
      <c r="O453" s="111">
        <f ca="1">IF($B$2="Não","",'CÁLCULO FUNPRESP'!Y453)</f>
        <v>0</v>
      </c>
    </row>
    <row r="454" spans="9:15" x14ac:dyDescent="0.3">
      <c r="I454" s="131" t="str">
        <f ca="1">'CÁLCULO FUNPRESP'!P454</f>
        <v/>
      </c>
      <c r="J454" s="111" t="str">
        <f ca="1">IF($B$2="Não","",'CÁLCULO FUNPRESP'!Q454)</f>
        <v/>
      </c>
      <c r="K454" s="111" t="str">
        <f ca="1">IF($B$2="Não","",'CÁLCULO FUNPRESP'!R454)</f>
        <v/>
      </c>
      <c r="L454" s="111">
        <f ca="1">IF($B$2="Não","",'CÁLCULO FUNPRESP'!S454)</f>
        <v>0</v>
      </c>
      <c r="N454" s="131" t="str">
        <f ca="1">'CÁLCULO FUNPRESP'!U454</f>
        <v/>
      </c>
      <c r="O454" s="111">
        <f ca="1">IF($B$2="Não","",'CÁLCULO FUNPRESP'!Y454)</f>
        <v>0</v>
      </c>
    </row>
    <row r="455" spans="9:15" x14ac:dyDescent="0.3">
      <c r="I455" s="131" t="str">
        <f ca="1">'CÁLCULO FUNPRESP'!P455</f>
        <v/>
      </c>
      <c r="J455" s="111" t="str">
        <f ca="1">IF($B$2="Não","",'CÁLCULO FUNPRESP'!Q455)</f>
        <v/>
      </c>
      <c r="K455" s="111" t="str">
        <f ca="1">IF($B$2="Não","",'CÁLCULO FUNPRESP'!R455)</f>
        <v/>
      </c>
      <c r="L455" s="111">
        <f ca="1">IF($B$2="Não","",'CÁLCULO FUNPRESP'!S455)</f>
        <v>0</v>
      </c>
      <c r="N455" s="131" t="str">
        <f ca="1">'CÁLCULO FUNPRESP'!U455</f>
        <v/>
      </c>
      <c r="O455" s="111">
        <f ca="1">IF($B$2="Não","",'CÁLCULO FUNPRESP'!Y455)</f>
        <v>0</v>
      </c>
    </row>
    <row r="456" spans="9:15" x14ac:dyDescent="0.3">
      <c r="I456" s="131" t="str">
        <f ca="1">'CÁLCULO FUNPRESP'!P456</f>
        <v/>
      </c>
      <c r="J456" s="111" t="str">
        <f ca="1">IF($B$2="Não","",'CÁLCULO FUNPRESP'!Q456)</f>
        <v/>
      </c>
      <c r="K456" s="111" t="str">
        <f ca="1">IF($B$2="Não","",'CÁLCULO FUNPRESP'!R456)</f>
        <v/>
      </c>
      <c r="L456" s="111">
        <f ca="1">IF($B$2="Não","",'CÁLCULO FUNPRESP'!S456)</f>
        <v>0</v>
      </c>
      <c r="N456" s="131" t="str">
        <f ca="1">'CÁLCULO FUNPRESP'!U456</f>
        <v/>
      </c>
      <c r="O456" s="111">
        <f ca="1">IF($B$2="Não","",'CÁLCULO FUNPRESP'!Y456)</f>
        <v>0</v>
      </c>
    </row>
    <row r="457" spans="9:15" x14ac:dyDescent="0.3">
      <c r="I457" s="131" t="str">
        <f ca="1">'CÁLCULO FUNPRESP'!P457</f>
        <v/>
      </c>
      <c r="J457" s="111" t="str">
        <f ca="1">IF($B$2="Não","",'CÁLCULO FUNPRESP'!Q457)</f>
        <v/>
      </c>
      <c r="K457" s="111" t="str">
        <f ca="1">IF($B$2="Não","",'CÁLCULO FUNPRESP'!R457)</f>
        <v/>
      </c>
      <c r="L457" s="111">
        <f ca="1">IF($B$2="Não","",'CÁLCULO FUNPRESP'!S457)</f>
        <v>0</v>
      </c>
      <c r="N457" s="131" t="str">
        <f ca="1">'CÁLCULO FUNPRESP'!U457</f>
        <v/>
      </c>
      <c r="O457" s="111">
        <f ca="1">IF($B$2="Não","",'CÁLCULO FUNPRESP'!Y457)</f>
        <v>0</v>
      </c>
    </row>
    <row r="458" spans="9:15" x14ac:dyDescent="0.3">
      <c r="I458" s="131" t="str">
        <f ca="1">'CÁLCULO FUNPRESP'!P458</f>
        <v/>
      </c>
      <c r="J458" s="111" t="str">
        <f ca="1">IF($B$2="Não","",'CÁLCULO FUNPRESP'!Q458)</f>
        <v/>
      </c>
      <c r="K458" s="111" t="str">
        <f ca="1">IF($B$2="Não","",'CÁLCULO FUNPRESP'!R458)</f>
        <v/>
      </c>
      <c r="L458" s="111">
        <f ca="1">IF($B$2="Não","",'CÁLCULO FUNPRESP'!S458)</f>
        <v>0</v>
      </c>
      <c r="N458" s="131" t="str">
        <f ca="1">'CÁLCULO FUNPRESP'!U458</f>
        <v/>
      </c>
      <c r="O458" s="111">
        <f ca="1">IF($B$2="Não","",'CÁLCULO FUNPRESP'!Y458)</f>
        <v>0</v>
      </c>
    </row>
    <row r="459" spans="9:15" x14ac:dyDescent="0.3">
      <c r="I459" s="131" t="str">
        <f ca="1">'CÁLCULO FUNPRESP'!P459</f>
        <v/>
      </c>
      <c r="J459" s="111" t="str">
        <f ca="1">IF($B$2="Não","",'CÁLCULO FUNPRESP'!Q459)</f>
        <v/>
      </c>
      <c r="K459" s="111" t="str">
        <f ca="1">IF($B$2="Não","",'CÁLCULO FUNPRESP'!R459)</f>
        <v/>
      </c>
      <c r="L459" s="111">
        <f ca="1">IF($B$2="Não","",'CÁLCULO FUNPRESP'!S459)</f>
        <v>0</v>
      </c>
      <c r="N459" s="131" t="str">
        <f ca="1">'CÁLCULO FUNPRESP'!U459</f>
        <v/>
      </c>
      <c r="O459" s="111">
        <f ca="1">IF($B$2="Não","",'CÁLCULO FUNPRESP'!Y459)</f>
        <v>0</v>
      </c>
    </row>
    <row r="460" spans="9:15" x14ac:dyDescent="0.3">
      <c r="I460" s="131" t="str">
        <f ca="1">'CÁLCULO FUNPRESP'!P460</f>
        <v/>
      </c>
      <c r="J460" s="111" t="str">
        <f ca="1">IF($B$2="Não","",'CÁLCULO FUNPRESP'!Q460)</f>
        <v/>
      </c>
      <c r="K460" s="111" t="str">
        <f ca="1">IF($B$2="Não","",'CÁLCULO FUNPRESP'!R460)</f>
        <v/>
      </c>
      <c r="L460" s="111">
        <f ca="1">IF($B$2="Não","",'CÁLCULO FUNPRESP'!S460)</f>
        <v>0</v>
      </c>
      <c r="N460" s="131" t="str">
        <f ca="1">'CÁLCULO FUNPRESP'!U460</f>
        <v/>
      </c>
      <c r="O460" s="111">
        <f ca="1">IF($B$2="Não","",'CÁLCULO FUNPRESP'!Y460)</f>
        <v>0</v>
      </c>
    </row>
    <row r="461" spans="9:15" x14ac:dyDescent="0.3">
      <c r="I461" s="131" t="str">
        <f ca="1">'CÁLCULO FUNPRESP'!P461</f>
        <v/>
      </c>
      <c r="J461" s="111" t="str">
        <f ca="1">IF($B$2="Não","",'CÁLCULO FUNPRESP'!Q461)</f>
        <v/>
      </c>
      <c r="K461" s="111" t="str">
        <f ca="1">IF($B$2="Não","",'CÁLCULO FUNPRESP'!R461)</f>
        <v/>
      </c>
      <c r="L461" s="111">
        <f ca="1">IF($B$2="Não","",'CÁLCULO FUNPRESP'!S461)</f>
        <v>0</v>
      </c>
      <c r="N461" s="131" t="str">
        <f ca="1">'CÁLCULO FUNPRESP'!U461</f>
        <v/>
      </c>
      <c r="O461" s="111">
        <f ca="1">IF($B$2="Não","",'CÁLCULO FUNPRESP'!Y461)</f>
        <v>0</v>
      </c>
    </row>
    <row r="462" spans="9:15" x14ac:dyDescent="0.3">
      <c r="I462" s="131" t="str">
        <f ca="1">'CÁLCULO FUNPRESP'!P462</f>
        <v/>
      </c>
      <c r="J462" s="111" t="str">
        <f ca="1">IF($B$2="Não","",'CÁLCULO FUNPRESP'!Q462)</f>
        <v/>
      </c>
      <c r="K462" s="111" t="str">
        <f ca="1">IF($B$2="Não","",'CÁLCULO FUNPRESP'!R462)</f>
        <v/>
      </c>
      <c r="L462" s="111">
        <f ca="1">IF($B$2="Não","",'CÁLCULO FUNPRESP'!S462)</f>
        <v>0</v>
      </c>
      <c r="N462" s="131" t="str">
        <f ca="1">'CÁLCULO FUNPRESP'!U462</f>
        <v/>
      </c>
      <c r="O462" s="111">
        <f ca="1">IF($B$2="Não","",'CÁLCULO FUNPRESP'!Y462)</f>
        <v>0</v>
      </c>
    </row>
    <row r="463" spans="9:15" x14ac:dyDescent="0.3">
      <c r="I463" s="131" t="str">
        <f ca="1">'CÁLCULO FUNPRESP'!P463</f>
        <v/>
      </c>
      <c r="J463" s="111" t="str">
        <f ca="1">IF($B$2="Não","",'CÁLCULO FUNPRESP'!Q463)</f>
        <v/>
      </c>
      <c r="K463" s="111" t="str">
        <f ca="1">IF($B$2="Não","",'CÁLCULO FUNPRESP'!R463)</f>
        <v/>
      </c>
      <c r="L463" s="111">
        <f ca="1">IF($B$2="Não","",'CÁLCULO FUNPRESP'!S463)</f>
        <v>0</v>
      </c>
      <c r="N463" s="131" t="str">
        <f ca="1">'CÁLCULO FUNPRESP'!U463</f>
        <v/>
      </c>
      <c r="O463" s="111">
        <f ca="1">IF($B$2="Não","",'CÁLCULO FUNPRESP'!Y463)</f>
        <v>0</v>
      </c>
    </row>
    <row r="464" spans="9:15" x14ac:dyDescent="0.3">
      <c r="I464" s="131" t="str">
        <f ca="1">'CÁLCULO FUNPRESP'!P464</f>
        <v/>
      </c>
      <c r="J464" s="111" t="str">
        <f ca="1">IF($B$2="Não","",'CÁLCULO FUNPRESP'!Q464)</f>
        <v/>
      </c>
      <c r="K464" s="111" t="str">
        <f ca="1">IF($B$2="Não","",'CÁLCULO FUNPRESP'!R464)</f>
        <v/>
      </c>
      <c r="L464" s="111">
        <f ca="1">IF($B$2="Não","",'CÁLCULO FUNPRESP'!S464)</f>
        <v>0</v>
      </c>
      <c r="N464" s="131" t="str">
        <f ca="1">'CÁLCULO FUNPRESP'!U464</f>
        <v/>
      </c>
      <c r="O464" s="111">
        <f ca="1">IF($B$2="Não","",'CÁLCULO FUNPRESP'!Y464)</f>
        <v>0</v>
      </c>
    </row>
    <row r="465" spans="9:15" x14ac:dyDescent="0.3">
      <c r="I465" s="131" t="str">
        <f ca="1">'CÁLCULO FUNPRESP'!P465</f>
        <v/>
      </c>
      <c r="J465" s="111" t="str">
        <f ca="1">IF($B$2="Não","",'CÁLCULO FUNPRESP'!Q465)</f>
        <v/>
      </c>
      <c r="K465" s="111" t="str">
        <f ca="1">IF($B$2="Não","",'CÁLCULO FUNPRESP'!R465)</f>
        <v/>
      </c>
      <c r="L465" s="111">
        <f ca="1">IF($B$2="Não","",'CÁLCULO FUNPRESP'!S465)</f>
        <v>0</v>
      </c>
      <c r="N465" s="131" t="str">
        <f ca="1">'CÁLCULO FUNPRESP'!U465</f>
        <v/>
      </c>
      <c r="O465" s="111">
        <f ca="1">IF($B$2="Não","",'CÁLCULO FUNPRESP'!Y465)</f>
        <v>0</v>
      </c>
    </row>
    <row r="466" spans="9:15" x14ac:dyDescent="0.3">
      <c r="I466" s="131" t="str">
        <f ca="1">'CÁLCULO FUNPRESP'!P466</f>
        <v/>
      </c>
      <c r="J466" s="111" t="str">
        <f ca="1">IF($B$2="Não","",'CÁLCULO FUNPRESP'!Q466)</f>
        <v/>
      </c>
      <c r="K466" s="111" t="str">
        <f ca="1">IF($B$2="Não","",'CÁLCULO FUNPRESP'!R466)</f>
        <v/>
      </c>
      <c r="L466" s="111">
        <f ca="1">IF($B$2="Não","",'CÁLCULO FUNPRESP'!S466)</f>
        <v>0</v>
      </c>
      <c r="N466" s="131" t="str">
        <f ca="1">'CÁLCULO FUNPRESP'!U466</f>
        <v/>
      </c>
      <c r="O466" s="111">
        <f ca="1">IF($B$2="Não","",'CÁLCULO FUNPRESP'!Y466)</f>
        <v>0</v>
      </c>
    </row>
    <row r="467" spans="9:15" x14ac:dyDescent="0.3">
      <c r="I467" s="131" t="str">
        <f ca="1">'CÁLCULO FUNPRESP'!P467</f>
        <v/>
      </c>
      <c r="J467" s="111" t="str">
        <f ca="1">IF($B$2="Não","",'CÁLCULO FUNPRESP'!Q467)</f>
        <v/>
      </c>
      <c r="K467" s="111" t="str">
        <f ca="1">IF($B$2="Não","",'CÁLCULO FUNPRESP'!R467)</f>
        <v/>
      </c>
      <c r="L467" s="111">
        <f ca="1">IF($B$2="Não","",'CÁLCULO FUNPRESP'!S467)</f>
        <v>0</v>
      </c>
      <c r="N467" s="131" t="str">
        <f ca="1">'CÁLCULO FUNPRESP'!U467</f>
        <v/>
      </c>
      <c r="O467" s="111">
        <f ca="1">IF($B$2="Não","",'CÁLCULO FUNPRESP'!Y467)</f>
        <v>0</v>
      </c>
    </row>
    <row r="468" spans="9:15" x14ac:dyDescent="0.3">
      <c r="I468" s="131" t="str">
        <f ca="1">'CÁLCULO FUNPRESP'!P468</f>
        <v/>
      </c>
      <c r="J468" s="111" t="str">
        <f ca="1">IF($B$2="Não","",'CÁLCULO FUNPRESP'!Q468)</f>
        <v/>
      </c>
      <c r="K468" s="111" t="str">
        <f ca="1">IF($B$2="Não","",'CÁLCULO FUNPRESP'!R468)</f>
        <v/>
      </c>
      <c r="L468" s="111">
        <f ca="1">IF($B$2="Não","",'CÁLCULO FUNPRESP'!S468)</f>
        <v>0</v>
      </c>
      <c r="N468" s="131" t="str">
        <f ca="1">'CÁLCULO FUNPRESP'!U468</f>
        <v/>
      </c>
      <c r="O468" s="111">
        <f ca="1">IF($B$2="Não","",'CÁLCULO FUNPRESP'!Y468)</f>
        <v>0</v>
      </c>
    </row>
    <row r="469" spans="9:15" x14ac:dyDescent="0.3">
      <c r="I469" s="131" t="str">
        <f ca="1">'CÁLCULO FUNPRESP'!P469</f>
        <v/>
      </c>
      <c r="J469" s="111" t="str">
        <f ca="1">IF($B$2="Não","",'CÁLCULO FUNPRESP'!Q469)</f>
        <v/>
      </c>
      <c r="K469" s="111" t="str">
        <f ca="1">IF($B$2="Não","",'CÁLCULO FUNPRESP'!R469)</f>
        <v/>
      </c>
      <c r="L469" s="111">
        <f ca="1">IF($B$2="Não","",'CÁLCULO FUNPRESP'!S469)</f>
        <v>0</v>
      </c>
      <c r="N469" s="131" t="str">
        <f ca="1">'CÁLCULO FUNPRESP'!U469</f>
        <v/>
      </c>
      <c r="O469" s="111">
        <f ca="1">IF($B$2="Não","",'CÁLCULO FUNPRESP'!Y469)</f>
        <v>0</v>
      </c>
    </row>
    <row r="470" spans="9:15" x14ac:dyDescent="0.3">
      <c r="I470" s="131" t="str">
        <f ca="1">'CÁLCULO FUNPRESP'!P470</f>
        <v/>
      </c>
      <c r="J470" s="111" t="str">
        <f ca="1">IF($B$2="Não","",'CÁLCULO FUNPRESP'!Q470)</f>
        <v/>
      </c>
      <c r="K470" s="111" t="str">
        <f ca="1">IF($B$2="Não","",'CÁLCULO FUNPRESP'!R470)</f>
        <v/>
      </c>
      <c r="L470" s="111">
        <f ca="1">IF($B$2="Não","",'CÁLCULO FUNPRESP'!S470)</f>
        <v>0</v>
      </c>
      <c r="N470" s="131" t="str">
        <f ca="1">'CÁLCULO FUNPRESP'!U470</f>
        <v/>
      </c>
      <c r="O470" s="111">
        <f ca="1">IF($B$2="Não","",'CÁLCULO FUNPRESP'!Y470)</f>
        <v>0</v>
      </c>
    </row>
    <row r="471" spans="9:15" x14ac:dyDescent="0.3">
      <c r="I471" s="131" t="str">
        <f ca="1">'CÁLCULO FUNPRESP'!P471</f>
        <v/>
      </c>
      <c r="J471" s="111" t="str">
        <f ca="1">IF($B$2="Não","",'CÁLCULO FUNPRESP'!Q471)</f>
        <v/>
      </c>
      <c r="K471" s="111" t="str">
        <f ca="1">IF($B$2="Não","",'CÁLCULO FUNPRESP'!R471)</f>
        <v/>
      </c>
      <c r="L471" s="111">
        <f ca="1">IF($B$2="Não","",'CÁLCULO FUNPRESP'!S471)</f>
        <v>0</v>
      </c>
      <c r="N471" s="131" t="str">
        <f ca="1">'CÁLCULO FUNPRESP'!U471</f>
        <v/>
      </c>
      <c r="O471" s="111">
        <f ca="1">IF($B$2="Não","",'CÁLCULO FUNPRESP'!Y471)</f>
        <v>0</v>
      </c>
    </row>
    <row r="472" spans="9:15" x14ac:dyDescent="0.3">
      <c r="I472" s="131" t="str">
        <f ca="1">'CÁLCULO FUNPRESP'!P472</f>
        <v/>
      </c>
      <c r="J472" s="111" t="str">
        <f ca="1">IF($B$2="Não","",'CÁLCULO FUNPRESP'!Q472)</f>
        <v/>
      </c>
      <c r="K472" s="111" t="str">
        <f ca="1">IF($B$2="Não","",'CÁLCULO FUNPRESP'!R472)</f>
        <v/>
      </c>
      <c r="L472" s="111">
        <f ca="1">IF($B$2="Não","",'CÁLCULO FUNPRESP'!S472)</f>
        <v>0</v>
      </c>
      <c r="N472" s="131" t="str">
        <f ca="1">'CÁLCULO FUNPRESP'!U472</f>
        <v/>
      </c>
      <c r="O472" s="111">
        <f ca="1">IF($B$2="Não","",'CÁLCULO FUNPRESP'!Y472)</f>
        <v>0</v>
      </c>
    </row>
    <row r="473" spans="9:15" x14ac:dyDescent="0.3">
      <c r="I473" s="131" t="str">
        <f ca="1">'CÁLCULO FUNPRESP'!P473</f>
        <v/>
      </c>
      <c r="J473" s="111" t="str">
        <f ca="1">IF($B$2="Não","",'CÁLCULO FUNPRESP'!Q473)</f>
        <v/>
      </c>
      <c r="K473" s="111" t="str">
        <f ca="1">IF($B$2="Não","",'CÁLCULO FUNPRESP'!R473)</f>
        <v/>
      </c>
      <c r="L473" s="111">
        <f ca="1">IF($B$2="Não","",'CÁLCULO FUNPRESP'!S473)</f>
        <v>0</v>
      </c>
      <c r="N473" s="131" t="str">
        <f ca="1">'CÁLCULO FUNPRESP'!U473</f>
        <v/>
      </c>
      <c r="O473" s="111">
        <f ca="1">IF($B$2="Não","",'CÁLCULO FUNPRESP'!Y473)</f>
        <v>0</v>
      </c>
    </row>
    <row r="474" spans="9:15" x14ac:dyDescent="0.3">
      <c r="I474" s="131" t="str">
        <f ca="1">'CÁLCULO FUNPRESP'!P474</f>
        <v/>
      </c>
      <c r="J474" s="111" t="str">
        <f ca="1">IF($B$2="Não","",'CÁLCULO FUNPRESP'!Q474)</f>
        <v/>
      </c>
      <c r="K474" s="111" t="str">
        <f ca="1">IF($B$2="Não","",'CÁLCULO FUNPRESP'!R474)</f>
        <v/>
      </c>
      <c r="L474" s="111">
        <f ca="1">IF($B$2="Não","",'CÁLCULO FUNPRESP'!S474)</f>
        <v>0</v>
      </c>
      <c r="N474" s="131" t="str">
        <f ca="1">'CÁLCULO FUNPRESP'!U474</f>
        <v/>
      </c>
      <c r="O474" s="111">
        <f ca="1">IF($B$2="Não","",'CÁLCULO FUNPRESP'!Y474)</f>
        <v>0</v>
      </c>
    </row>
    <row r="475" spans="9:15" x14ac:dyDescent="0.3">
      <c r="I475" s="131" t="str">
        <f ca="1">'CÁLCULO FUNPRESP'!P475</f>
        <v/>
      </c>
      <c r="J475" s="111" t="str">
        <f ca="1">IF($B$2="Não","",'CÁLCULO FUNPRESP'!Q475)</f>
        <v/>
      </c>
      <c r="K475" s="111" t="str">
        <f ca="1">IF($B$2="Não","",'CÁLCULO FUNPRESP'!R475)</f>
        <v/>
      </c>
      <c r="L475" s="111">
        <f ca="1">IF($B$2="Não","",'CÁLCULO FUNPRESP'!S475)</f>
        <v>0</v>
      </c>
      <c r="N475" s="131" t="str">
        <f ca="1">'CÁLCULO FUNPRESP'!U475</f>
        <v/>
      </c>
      <c r="O475" s="111">
        <f ca="1">IF($B$2="Não","",'CÁLCULO FUNPRESP'!Y475)</f>
        <v>0</v>
      </c>
    </row>
    <row r="476" spans="9:15" x14ac:dyDescent="0.3">
      <c r="I476" s="131" t="str">
        <f ca="1">'CÁLCULO FUNPRESP'!P476</f>
        <v/>
      </c>
      <c r="J476" s="111" t="str">
        <f ca="1">IF($B$2="Não","",'CÁLCULO FUNPRESP'!Q476)</f>
        <v/>
      </c>
      <c r="K476" s="111" t="str">
        <f ca="1">IF($B$2="Não","",'CÁLCULO FUNPRESP'!R476)</f>
        <v/>
      </c>
      <c r="L476" s="111">
        <f ca="1">IF($B$2="Não","",'CÁLCULO FUNPRESP'!S476)</f>
        <v>0</v>
      </c>
      <c r="N476" s="131" t="str">
        <f ca="1">'CÁLCULO FUNPRESP'!U476</f>
        <v/>
      </c>
      <c r="O476" s="111">
        <f ca="1">IF($B$2="Não","",'CÁLCULO FUNPRESP'!Y476)</f>
        <v>0</v>
      </c>
    </row>
    <row r="477" spans="9:15" x14ac:dyDescent="0.3">
      <c r="I477" s="131" t="str">
        <f ca="1">'CÁLCULO FUNPRESP'!P477</f>
        <v/>
      </c>
      <c r="J477" s="111" t="str">
        <f ca="1">IF($B$2="Não","",'CÁLCULO FUNPRESP'!Q477)</f>
        <v/>
      </c>
      <c r="K477" s="111" t="str">
        <f ca="1">IF($B$2="Não","",'CÁLCULO FUNPRESP'!R477)</f>
        <v/>
      </c>
      <c r="L477" s="111">
        <f ca="1">IF($B$2="Não","",'CÁLCULO FUNPRESP'!S477)</f>
        <v>0</v>
      </c>
      <c r="N477" s="131" t="str">
        <f ca="1">'CÁLCULO FUNPRESP'!U477</f>
        <v/>
      </c>
      <c r="O477" s="111">
        <f ca="1">IF($B$2="Não","",'CÁLCULO FUNPRESP'!Y477)</f>
        <v>0</v>
      </c>
    </row>
    <row r="478" spans="9:15" x14ac:dyDescent="0.3">
      <c r="I478" s="131" t="str">
        <f ca="1">'CÁLCULO FUNPRESP'!P478</f>
        <v/>
      </c>
      <c r="J478" s="111" t="str">
        <f ca="1">IF($B$2="Não","",'CÁLCULO FUNPRESP'!Q478)</f>
        <v/>
      </c>
      <c r="K478" s="111" t="str">
        <f ca="1">IF($B$2="Não","",'CÁLCULO FUNPRESP'!R478)</f>
        <v/>
      </c>
      <c r="L478" s="111">
        <f ca="1">IF($B$2="Não","",'CÁLCULO FUNPRESP'!S478)</f>
        <v>0</v>
      </c>
      <c r="N478" s="131" t="str">
        <f ca="1">'CÁLCULO FUNPRESP'!U478</f>
        <v/>
      </c>
      <c r="O478" s="111">
        <f ca="1">IF($B$2="Não","",'CÁLCULO FUNPRESP'!Y478)</f>
        <v>0</v>
      </c>
    </row>
    <row r="479" spans="9:15" x14ac:dyDescent="0.3">
      <c r="I479" s="131" t="str">
        <f ca="1">'CÁLCULO FUNPRESP'!P479</f>
        <v/>
      </c>
      <c r="J479" s="111" t="str">
        <f ca="1">IF($B$2="Não","",'CÁLCULO FUNPRESP'!Q479)</f>
        <v/>
      </c>
      <c r="K479" s="111" t="str">
        <f ca="1">IF($B$2="Não","",'CÁLCULO FUNPRESP'!R479)</f>
        <v/>
      </c>
      <c r="L479" s="111">
        <f ca="1">IF($B$2="Não","",'CÁLCULO FUNPRESP'!S479)</f>
        <v>0</v>
      </c>
      <c r="N479" s="131" t="str">
        <f ca="1">'CÁLCULO FUNPRESP'!U479</f>
        <v/>
      </c>
      <c r="O479" s="111">
        <f ca="1">IF($B$2="Não","",'CÁLCULO FUNPRESP'!Y479)</f>
        <v>0</v>
      </c>
    </row>
    <row r="480" spans="9:15" x14ac:dyDescent="0.3">
      <c r="I480" s="131" t="str">
        <f ca="1">'CÁLCULO FUNPRESP'!P480</f>
        <v/>
      </c>
      <c r="J480" s="111" t="str">
        <f ca="1">IF($B$2="Não","",'CÁLCULO FUNPRESP'!Q480)</f>
        <v/>
      </c>
      <c r="K480" s="111" t="str">
        <f ca="1">IF($B$2="Não","",'CÁLCULO FUNPRESP'!R480)</f>
        <v/>
      </c>
      <c r="L480" s="111">
        <f ca="1">IF($B$2="Não","",'CÁLCULO FUNPRESP'!S480)</f>
        <v>0</v>
      </c>
      <c r="N480" s="131" t="str">
        <f ca="1">'CÁLCULO FUNPRESP'!U480</f>
        <v/>
      </c>
      <c r="O480" s="111">
        <f ca="1">IF($B$2="Não","",'CÁLCULO FUNPRESP'!Y480)</f>
        <v>0</v>
      </c>
    </row>
    <row r="481" spans="9:15" x14ac:dyDescent="0.3">
      <c r="I481" s="131" t="str">
        <f ca="1">'CÁLCULO FUNPRESP'!P481</f>
        <v/>
      </c>
      <c r="J481" s="111" t="str">
        <f ca="1">IF($B$2="Não","",'CÁLCULO FUNPRESP'!Q481)</f>
        <v/>
      </c>
      <c r="K481" s="111" t="str">
        <f ca="1">IF($B$2="Não","",'CÁLCULO FUNPRESP'!R481)</f>
        <v/>
      </c>
      <c r="L481" s="111">
        <f ca="1">IF($B$2="Não","",'CÁLCULO FUNPRESP'!S481)</f>
        <v>0</v>
      </c>
      <c r="N481" s="131" t="str">
        <f ca="1">'CÁLCULO FUNPRESP'!U481</f>
        <v/>
      </c>
      <c r="O481" s="111">
        <f ca="1">IF($B$2="Não","",'CÁLCULO FUNPRESP'!Y481)</f>
        <v>0</v>
      </c>
    </row>
    <row r="482" spans="9:15" x14ac:dyDescent="0.3">
      <c r="I482" s="131" t="str">
        <f ca="1">'CÁLCULO FUNPRESP'!P482</f>
        <v/>
      </c>
      <c r="J482" s="111" t="str">
        <f ca="1">IF($B$2="Não","",'CÁLCULO FUNPRESP'!Q482)</f>
        <v/>
      </c>
      <c r="K482" s="111" t="str">
        <f ca="1">IF($B$2="Não","",'CÁLCULO FUNPRESP'!R482)</f>
        <v/>
      </c>
      <c r="L482" s="111">
        <f ca="1">IF($B$2="Não","",'CÁLCULO FUNPRESP'!S482)</f>
        <v>0</v>
      </c>
      <c r="N482" s="131" t="str">
        <f ca="1">'CÁLCULO FUNPRESP'!U482</f>
        <v/>
      </c>
      <c r="O482" s="111">
        <f ca="1">IF($B$2="Não","",'CÁLCULO FUNPRESP'!Y482)</f>
        <v>0</v>
      </c>
    </row>
    <row r="483" spans="9:15" x14ac:dyDescent="0.3">
      <c r="I483" s="131" t="str">
        <f ca="1">'CÁLCULO FUNPRESP'!P483</f>
        <v/>
      </c>
      <c r="J483" s="111" t="str">
        <f ca="1">IF($B$2="Não","",'CÁLCULO FUNPRESP'!Q483)</f>
        <v/>
      </c>
      <c r="K483" s="111" t="str">
        <f ca="1">IF($B$2="Não","",'CÁLCULO FUNPRESP'!R483)</f>
        <v/>
      </c>
      <c r="L483" s="111">
        <f ca="1">IF($B$2="Não","",'CÁLCULO FUNPRESP'!S483)</f>
        <v>0</v>
      </c>
      <c r="N483" s="131" t="str">
        <f ca="1">'CÁLCULO FUNPRESP'!U483</f>
        <v/>
      </c>
      <c r="O483" s="111">
        <f ca="1">IF($B$2="Não","",'CÁLCULO FUNPRESP'!Y483)</f>
        <v>0</v>
      </c>
    </row>
    <row r="484" spans="9:15" x14ac:dyDescent="0.3">
      <c r="I484" s="131" t="str">
        <f ca="1">'CÁLCULO FUNPRESP'!P484</f>
        <v/>
      </c>
      <c r="J484" s="111" t="str">
        <f ca="1">IF($B$2="Não","",'CÁLCULO FUNPRESP'!Q484)</f>
        <v/>
      </c>
      <c r="K484" s="111" t="str">
        <f ca="1">IF($B$2="Não","",'CÁLCULO FUNPRESP'!R484)</f>
        <v/>
      </c>
      <c r="L484" s="111">
        <f ca="1">IF($B$2="Não","",'CÁLCULO FUNPRESP'!S484)</f>
        <v>0</v>
      </c>
      <c r="N484" s="131" t="str">
        <f ca="1">'CÁLCULO FUNPRESP'!U484</f>
        <v/>
      </c>
      <c r="O484" s="111">
        <f ca="1">IF($B$2="Não","",'CÁLCULO FUNPRESP'!Y484)</f>
        <v>0</v>
      </c>
    </row>
    <row r="485" spans="9:15" x14ac:dyDescent="0.3">
      <c r="I485" s="131" t="str">
        <f ca="1">'CÁLCULO FUNPRESP'!P485</f>
        <v/>
      </c>
      <c r="J485" s="111" t="str">
        <f ca="1">IF($B$2="Não","",'CÁLCULO FUNPRESP'!Q485)</f>
        <v/>
      </c>
      <c r="K485" s="111" t="str">
        <f ca="1">IF($B$2="Não","",'CÁLCULO FUNPRESP'!R485)</f>
        <v/>
      </c>
      <c r="L485" s="111">
        <f ca="1">IF($B$2="Não","",'CÁLCULO FUNPRESP'!S485)</f>
        <v>0</v>
      </c>
      <c r="N485" s="131" t="str">
        <f ca="1">'CÁLCULO FUNPRESP'!U485</f>
        <v/>
      </c>
      <c r="O485" s="111">
        <f ca="1">IF($B$2="Não","",'CÁLCULO FUNPRESP'!Y485)</f>
        <v>0</v>
      </c>
    </row>
    <row r="486" spans="9:15" x14ac:dyDescent="0.3">
      <c r="I486" s="131" t="str">
        <f ca="1">'CÁLCULO FUNPRESP'!P486</f>
        <v/>
      </c>
      <c r="J486" s="111" t="str">
        <f ca="1">IF($B$2="Não","",'CÁLCULO FUNPRESP'!Q486)</f>
        <v/>
      </c>
      <c r="K486" s="111" t="str">
        <f ca="1">IF($B$2="Não","",'CÁLCULO FUNPRESP'!R486)</f>
        <v/>
      </c>
      <c r="L486" s="111">
        <f ca="1">IF($B$2="Não","",'CÁLCULO FUNPRESP'!S486)</f>
        <v>0</v>
      </c>
      <c r="N486" s="131" t="str">
        <f ca="1">'CÁLCULO FUNPRESP'!U486</f>
        <v/>
      </c>
      <c r="O486" s="111">
        <f ca="1">IF($B$2="Não","",'CÁLCULO FUNPRESP'!Y486)</f>
        <v>0</v>
      </c>
    </row>
    <row r="487" spans="9:15" x14ac:dyDescent="0.3">
      <c r="I487" s="131" t="str">
        <f ca="1">'CÁLCULO FUNPRESP'!P487</f>
        <v/>
      </c>
      <c r="J487" s="111" t="str">
        <f ca="1">IF($B$2="Não","",'CÁLCULO FUNPRESP'!Q487)</f>
        <v/>
      </c>
      <c r="K487" s="111" t="str">
        <f ca="1">IF($B$2="Não","",'CÁLCULO FUNPRESP'!R487)</f>
        <v/>
      </c>
      <c r="L487" s="111">
        <f ca="1">IF($B$2="Não","",'CÁLCULO FUNPRESP'!S487)</f>
        <v>0</v>
      </c>
      <c r="N487" s="131" t="str">
        <f ca="1">'CÁLCULO FUNPRESP'!U487</f>
        <v/>
      </c>
      <c r="O487" s="111">
        <f ca="1">IF($B$2="Não","",'CÁLCULO FUNPRESP'!Y487)</f>
        <v>0</v>
      </c>
    </row>
    <row r="488" spans="9:15" x14ac:dyDescent="0.3">
      <c r="I488" s="131" t="str">
        <f ca="1">'CÁLCULO FUNPRESP'!P488</f>
        <v/>
      </c>
      <c r="J488" s="111" t="str">
        <f ca="1">IF($B$2="Não","",'CÁLCULO FUNPRESP'!Q488)</f>
        <v/>
      </c>
      <c r="K488" s="111" t="str">
        <f ca="1">IF($B$2="Não","",'CÁLCULO FUNPRESP'!R488)</f>
        <v/>
      </c>
      <c r="L488" s="111">
        <f ca="1">IF($B$2="Não","",'CÁLCULO FUNPRESP'!S488)</f>
        <v>0</v>
      </c>
      <c r="N488" s="131" t="str">
        <f ca="1">'CÁLCULO FUNPRESP'!U488</f>
        <v/>
      </c>
      <c r="O488" s="111">
        <f ca="1">IF($B$2="Não","",'CÁLCULO FUNPRESP'!Y488)</f>
        <v>0</v>
      </c>
    </row>
    <row r="489" spans="9:15" x14ac:dyDescent="0.3">
      <c r="I489" s="131" t="str">
        <f ca="1">'CÁLCULO FUNPRESP'!P489</f>
        <v/>
      </c>
      <c r="J489" s="111" t="str">
        <f ca="1">IF($B$2="Não","",'CÁLCULO FUNPRESP'!Q489)</f>
        <v/>
      </c>
      <c r="K489" s="111" t="str">
        <f ca="1">IF($B$2="Não","",'CÁLCULO FUNPRESP'!R489)</f>
        <v/>
      </c>
      <c r="L489" s="111">
        <f ca="1">IF($B$2="Não","",'CÁLCULO FUNPRESP'!S489)</f>
        <v>0</v>
      </c>
      <c r="N489" s="131" t="str">
        <f ca="1">'CÁLCULO FUNPRESP'!U489</f>
        <v/>
      </c>
      <c r="O489" s="111">
        <f ca="1">IF($B$2="Não","",'CÁLCULO FUNPRESP'!Y489)</f>
        <v>0</v>
      </c>
    </row>
    <row r="490" spans="9:15" x14ac:dyDescent="0.3">
      <c r="I490" s="131" t="str">
        <f ca="1">'CÁLCULO FUNPRESP'!P490</f>
        <v/>
      </c>
      <c r="J490" s="111" t="str">
        <f ca="1">IF($B$2="Não","",'CÁLCULO FUNPRESP'!Q490)</f>
        <v/>
      </c>
      <c r="K490" s="111" t="str">
        <f ca="1">IF($B$2="Não","",'CÁLCULO FUNPRESP'!R490)</f>
        <v/>
      </c>
      <c r="L490" s="111">
        <f ca="1">IF($B$2="Não","",'CÁLCULO FUNPRESP'!S490)</f>
        <v>0</v>
      </c>
      <c r="N490" s="131" t="str">
        <f ca="1">'CÁLCULO FUNPRESP'!U490</f>
        <v/>
      </c>
      <c r="O490" s="111">
        <f ca="1">IF($B$2="Não","",'CÁLCULO FUNPRESP'!Y490)</f>
        <v>0</v>
      </c>
    </row>
    <row r="491" spans="9:15" x14ac:dyDescent="0.3">
      <c r="I491" s="131" t="str">
        <f ca="1">'CÁLCULO FUNPRESP'!P491</f>
        <v/>
      </c>
      <c r="J491" s="111" t="str">
        <f ca="1">IF($B$2="Não","",'CÁLCULO FUNPRESP'!Q491)</f>
        <v/>
      </c>
      <c r="K491" s="111" t="str">
        <f ca="1">IF($B$2="Não","",'CÁLCULO FUNPRESP'!R491)</f>
        <v/>
      </c>
      <c r="L491" s="111">
        <f ca="1">IF($B$2="Não","",'CÁLCULO FUNPRESP'!S491)</f>
        <v>0</v>
      </c>
      <c r="N491" s="131" t="str">
        <f ca="1">'CÁLCULO FUNPRESP'!U491</f>
        <v/>
      </c>
      <c r="O491" s="111">
        <f ca="1">IF($B$2="Não","",'CÁLCULO FUNPRESP'!Y491)</f>
        <v>0</v>
      </c>
    </row>
    <row r="492" spans="9:15" x14ac:dyDescent="0.3">
      <c r="I492" s="131" t="str">
        <f ca="1">'CÁLCULO FUNPRESP'!P492</f>
        <v/>
      </c>
      <c r="J492" s="111" t="str">
        <f ca="1">IF($B$2="Não","",'CÁLCULO FUNPRESP'!Q492)</f>
        <v/>
      </c>
      <c r="K492" s="111" t="str">
        <f ca="1">IF($B$2="Não","",'CÁLCULO FUNPRESP'!R492)</f>
        <v/>
      </c>
      <c r="L492" s="111">
        <f ca="1">IF($B$2="Não","",'CÁLCULO FUNPRESP'!S492)</f>
        <v>0</v>
      </c>
      <c r="N492" s="131" t="str">
        <f ca="1">'CÁLCULO FUNPRESP'!U492</f>
        <v/>
      </c>
      <c r="O492" s="111">
        <f ca="1">IF($B$2="Não","",'CÁLCULO FUNPRESP'!Y492)</f>
        <v>0</v>
      </c>
    </row>
    <row r="493" spans="9:15" x14ac:dyDescent="0.3">
      <c r="I493" s="131" t="str">
        <f ca="1">'CÁLCULO FUNPRESP'!P493</f>
        <v/>
      </c>
      <c r="J493" s="111" t="str">
        <f ca="1">IF($B$2="Não","",'CÁLCULO FUNPRESP'!Q493)</f>
        <v/>
      </c>
      <c r="K493" s="111" t="str">
        <f ca="1">IF($B$2="Não","",'CÁLCULO FUNPRESP'!R493)</f>
        <v/>
      </c>
      <c r="L493" s="111">
        <f ca="1">IF($B$2="Não","",'CÁLCULO FUNPRESP'!S493)</f>
        <v>0</v>
      </c>
      <c r="N493" s="131" t="str">
        <f ca="1">'CÁLCULO FUNPRESP'!U493</f>
        <v/>
      </c>
      <c r="O493" s="111">
        <f ca="1">IF($B$2="Não","",'CÁLCULO FUNPRESP'!Y493)</f>
        <v>0</v>
      </c>
    </row>
    <row r="494" spans="9:15" x14ac:dyDescent="0.3">
      <c r="I494" s="131" t="str">
        <f ca="1">'CÁLCULO FUNPRESP'!P494</f>
        <v/>
      </c>
      <c r="J494" s="111" t="str">
        <f ca="1">IF($B$2="Não","",'CÁLCULO FUNPRESP'!Q494)</f>
        <v/>
      </c>
      <c r="K494" s="111" t="str">
        <f ca="1">IF($B$2="Não","",'CÁLCULO FUNPRESP'!R494)</f>
        <v/>
      </c>
      <c r="L494" s="111">
        <f ca="1">IF($B$2="Não","",'CÁLCULO FUNPRESP'!S494)</f>
        <v>0</v>
      </c>
      <c r="N494" s="131" t="str">
        <f ca="1">'CÁLCULO FUNPRESP'!U494</f>
        <v/>
      </c>
      <c r="O494" s="111">
        <f ca="1">IF($B$2="Não","",'CÁLCULO FUNPRESP'!Y494)</f>
        <v>0</v>
      </c>
    </row>
    <row r="495" spans="9:15" x14ac:dyDescent="0.3">
      <c r="I495" s="131" t="str">
        <f ca="1">'CÁLCULO FUNPRESP'!P495</f>
        <v/>
      </c>
      <c r="J495" s="111" t="str">
        <f ca="1">IF($B$2="Não","",'CÁLCULO FUNPRESP'!Q495)</f>
        <v/>
      </c>
      <c r="K495" s="111" t="str">
        <f ca="1">IF($B$2="Não","",'CÁLCULO FUNPRESP'!R495)</f>
        <v/>
      </c>
      <c r="L495" s="111">
        <f ca="1">IF($B$2="Não","",'CÁLCULO FUNPRESP'!S495)</f>
        <v>0</v>
      </c>
      <c r="N495" s="131" t="str">
        <f ca="1">'CÁLCULO FUNPRESP'!U495</f>
        <v/>
      </c>
      <c r="O495" s="111">
        <f ca="1">IF($B$2="Não","",'CÁLCULO FUNPRESP'!Y495)</f>
        <v>0</v>
      </c>
    </row>
    <row r="496" spans="9:15" x14ac:dyDescent="0.3">
      <c r="I496" s="131" t="str">
        <f ca="1">'CÁLCULO FUNPRESP'!P496</f>
        <v/>
      </c>
      <c r="J496" s="111" t="str">
        <f ca="1">IF($B$2="Não","",'CÁLCULO FUNPRESP'!Q496)</f>
        <v/>
      </c>
      <c r="K496" s="111" t="str">
        <f ca="1">IF($B$2="Não","",'CÁLCULO FUNPRESP'!R496)</f>
        <v/>
      </c>
      <c r="L496" s="111">
        <f ca="1">IF($B$2="Não","",'CÁLCULO FUNPRESP'!S496)</f>
        <v>0</v>
      </c>
      <c r="N496" s="131" t="str">
        <f ca="1">'CÁLCULO FUNPRESP'!U496</f>
        <v/>
      </c>
      <c r="O496" s="111">
        <f ca="1">IF($B$2="Não","",'CÁLCULO FUNPRESP'!Y496)</f>
        <v>0</v>
      </c>
    </row>
    <row r="497" spans="9:15" x14ac:dyDescent="0.3">
      <c r="I497" s="131" t="str">
        <f ca="1">'CÁLCULO FUNPRESP'!P497</f>
        <v/>
      </c>
      <c r="J497" s="111" t="str">
        <f ca="1">IF($B$2="Não","",'CÁLCULO FUNPRESP'!Q497)</f>
        <v/>
      </c>
      <c r="K497" s="111" t="str">
        <f ca="1">IF($B$2="Não","",'CÁLCULO FUNPRESP'!R497)</f>
        <v/>
      </c>
      <c r="L497" s="111">
        <f ca="1">IF($B$2="Não","",'CÁLCULO FUNPRESP'!S497)</f>
        <v>0</v>
      </c>
      <c r="N497" s="131" t="str">
        <f ca="1">'CÁLCULO FUNPRESP'!U497</f>
        <v/>
      </c>
      <c r="O497" s="111">
        <f ca="1">IF($B$2="Não","",'CÁLCULO FUNPRESP'!Y497)</f>
        <v>0</v>
      </c>
    </row>
    <row r="498" spans="9:15" x14ac:dyDescent="0.3">
      <c r="I498" s="131" t="str">
        <f ca="1">'CÁLCULO FUNPRESP'!P498</f>
        <v/>
      </c>
      <c r="J498" s="111" t="str">
        <f ca="1">IF($B$2="Não","",'CÁLCULO FUNPRESP'!Q498)</f>
        <v/>
      </c>
      <c r="K498" s="111" t="str">
        <f ca="1">IF($B$2="Não","",'CÁLCULO FUNPRESP'!R498)</f>
        <v/>
      </c>
      <c r="L498" s="111">
        <f ca="1">IF($B$2="Não","",'CÁLCULO FUNPRESP'!S498)</f>
        <v>0</v>
      </c>
      <c r="N498" s="131" t="str">
        <f ca="1">'CÁLCULO FUNPRESP'!U498</f>
        <v/>
      </c>
      <c r="O498" s="111">
        <f ca="1">IF($B$2="Não","",'CÁLCULO FUNPRESP'!Y498)</f>
        <v>0</v>
      </c>
    </row>
    <row r="499" spans="9:15" x14ac:dyDescent="0.3">
      <c r="I499" s="131" t="str">
        <f ca="1">'CÁLCULO FUNPRESP'!P499</f>
        <v/>
      </c>
      <c r="J499" s="111" t="str">
        <f ca="1">IF($B$2="Não","",'CÁLCULO FUNPRESP'!Q499)</f>
        <v/>
      </c>
      <c r="K499" s="111" t="str">
        <f ca="1">IF($B$2="Não","",'CÁLCULO FUNPRESP'!R499)</f>
        <v/>
      </c>
      <c r="L499" s="111">
        <f ca="1">IF($B$2="Não","",'CÁLCULO FUNPRESP'!S499)</f>
        <v>0</v>
      </c>
      <c r="N499" s="131" t="str">
        <f ca="1">'CÁLCULO FUNPRESP'!U499</f>
        <v/>
      </c>
      <c r="O499" s="111">
        <f ca="1">IF($B$2="Não","",'CÁLCULO FUNPRESP'!Y499)</f>
        <v>0</v>
      </c>
    </row>
    <row r="500" spans="9:15" x14ac:dyDescent="0.3">
      <c r="I500" s="131" t="str">
        <f ca="1">'CÁLCULO FUNPRESP'!P500</f>
        <v/>
      </c>
      <c r="J500" s="111" t="str">
        <f ca="1">IF($B$2="Não","",'CÁLCULO FUNPRESP'!Q500)</f>
        <v/>
      </c>
      <c r="K500" s="111" t="str">
        <f ca="1">IF($B$2="Não","",'CÁLCULO FUNPRESP'!R500)</f>
        <v/>
      </c>
      <c r="L500" s="111">
        <f ca="1">IF($B$2="Não","",'CÁLCULO FUNPRESP'!S500)</f>
        <v>0</v>
      </c>
      <c r="N500" s="131" t="str">
        <f ca="1">'CÁLCULO FUNPRESP'!U500</f>
        <v/>
      </c>
      <c r="O500" s="111">
        <f ca="1">IF($B$2="Não","",'CÁLCULO FUNPRESP'!Y500)</f>
        <v>0</v>
      </c>
    </row>
    <row r="501" spans="9:15" x14ac:dyDescent="0.3">
      <c r="I501" s="131" t="str">
        <f ca="1">'CÁLCULO FUNPRESP'!P501</f>
        <v/>
      </c>
      <c r="J501" s="111" t="str">
        <f ca="1">IF($B$2="Não","",'CÁLCULO FUNPRESP'!Q501)</f>
        <v/>
      </c>
      <c r="K501" s="111" t="str">
        <f ca="1">IF($B$2="Não","",'CÁLCULO FUNPRESP'!R501)</f>
        <v/>
      </c>
      <c r="L501" s="111">
        <f ca="1">IF($B$2="Não","",'CÁLCULO FUNPRESP'!S501)</f>
        <v>0</v>
      </c>
      <c r="N501" s="131" t="str">
        <f ca="1">'CÁLCULO FUNPRESP'!U501</f>
        <v/>
      </c>
      <c r="O501" s="111">
        <f ca="1">IF($B$2="Não","",'CÁLCULO FUNPRESP'!Y501)</f>
        <v>0</v>
      </c>
    </row>
    <row r="502" spans="9:15" x14ac:dyDescent="0.3">
      <c r="I502" s="131" t="str">
        <f ca="1">'CÁLCULO FUNPRESP'!P502</f>
        <v/>
      </c>
      <c r="J502" s="111" t="str">
        <f ca="1">IF($B$2="Não","",'CÁLCULO FUNPRESP'!Q502)</f>
        <v/>
      </c>
      <c r="K502" s="111" t="str">
        <f ca="1">IF($B$2="Não","",'CÁLCULO FUNPRESP'!R502)</f>
        <v/>
      </c>
      <c r="L502" s="111">
        <f ca="1">IF($B$2="Não","",'CÁLCULO FUNPRESP'!S502)</f>
        <v>0</v>
      </c>
      <c r="N502" s="131" t="str">
        <f ca="1">'CÁLCULO FUNPRESP'!U502</f>
        <v/>
      </c>
      <c r="O502" s="111">
        <f ca="1">IF($B$2="Não","",'CÁLCULO FUNPRESP'!Y502)</f>
        <v>0</v>
      </c>
    </row>
    <row r="503" spans="9:15" x14ac:dyDescent="0.3">
      <c r="I503" s="131" t="str">
        <f ca="1">'CÁLCULO FUNPRESP'!P503</f>
        <v/>
      </c>
      <c r="J503" s="111" t="str">
        <f ca="1">IF($B$2="Não","",'CÁLCULO FUNPRESP'!Q503)</f>
        <v/>
      </c>
      <c r="K503" s="111" t="str">
        <f ca="1">IF($B$2="Não","",'CÁLCULO FUNPRESP'!R503)</f>
        <v/>
      </c>
      <c r="L503" s="111">
        <f ca="1">IF($B$2="Não","",'CÁLCULO FUNPRESP'!S503)</f>
        <v>0</v>
      </c>
      <c r="N503" s="131" t="str">
        <f ca="1">'CÁLCULO FUNPRESP'!U503</f>
        <v/>
      </c>
      <c r="O503" s="111">
        <f ca="1">IF($B$2="Não","",'CÁLCULO FUNPRESP'!Y503)</f>
        <v>0</v>
      </c>
    </row>
    <row r="504" spans="9:15" x14ac:dyDescent="0.3">
      <c r="I504" s="131" t="str">
        <f ca="1">'CÁLCULO FUNPRESP'!P504</f>
        <v/>
      </c>
      <c r="J504" s="111" t="str">
        <f ca="1">IF($B$2="Não","",'CÁLCULO FUNPRESP'!Q504)</f>
        <v/>
      </c>
      <c r="K504" s="111" t="str">
        <f ca="1">IF($B$2="Não","",'CÁLCULO FUNPRESP'!R504)</f>
        <v/>
      </c>
      <c r="L504" s="111">
        <f ca="1">IF($B$2="Não","",'CÁLCULO FUNPRESP'!S504)</f>
        <v>0</v>
      </c>
      <c r="N504" s="131" t="str">
        <f ca="1">'CÁLCULO FUNPRESP'!U504</f>
        <v/>
      </c>
      <c r="O504" s="111">
        <f ca="1">IF($B$2="Não","",'CÁLCULO FUNPRESP'!Y504)</f>
        <v>0</v>
      </c>
    </row>
    <row r="505" spans="9:15" x14ac:dyDescent="0.3">
      <c r="I505" s="131" t="str">
        <f ca="1">'CÁLCULO FUNPRESP'!P505</f>
        <v/>
      </c>
      <c r="J505" s="111" t="str">
        <f ca="1">IF($B$2="Não","",'CÁLCULO FUNPRESP'!Q505)</f>
        <v/>
      </c>
      <c r="K505" s="111" t="str">
        <f ca="1">IF($B$2="Não","",'CÁLCULO FUNPRESP'!R505)</f>
        <v/>
      </c>
      <c r="L505" s="111">
        <f ca="1">IF($B$2="Não","",'CÁLCULO FUNPRESP'!S505)</f>
        <v>0</v>
      </c>
      <c r="N505" s="131" t="str">
        <f ca="1">'CÁLCULO FUNPRESP'!U505</f>
        <v/>
      </c>
      <c r="O505" s="111">
        <f ca="1">IF($B$2="Não","",'CÁLCULO FUNPRESP'!Y505)</f>
        <v>0</v>
      </c>
    </row>
    <row r="506" spans="9:15" x14ac:dyDescent="0.3">
      <c r="I506" s="131" t="str">
        <f ca="1">'CÁLCULO FUNPRESP'!P506</f>
        <v/>
      </c>
      <c r="J506" s="111" t="str">
        <f ca="1">IF($B$2="Não","",'CÁLCULO FUNPRESP'!Q506)</f>
        <v/>
      </c>
      <c r="K506" s="111" t="str">
        <f ca="1">IF($B$2="Não","",'CÁLCULO FUNPRESP'!R506)</f>
        <v/>
      </c>
      <c r="L506" s="111">
        <f ca="1">IF($B$2="Não","",'CÁLCULO FUNPRESP'!S506)</f>
        <v>0</v>
      </c>
      <c r="N506" s="131" t="str">
        <f ca="1">'CÁLCULO FUNPRESP'!U506</f>
        <v/>
      </c>
      <c r="O506" s="111">
        <f ca="1">IF($B$2="Não","",'CÁLCULO FUNPRESP'!Y506)</f>
        <v>0</v>
      </c>
    </row>
    <row r="507" spans="9:15" x14ac:dyDescent="0.3">
      <c r="I507" s="131" t="str">
        <f ca="1">'CÁLCULO FUNPRESP'!P507</f>
        <v/>
      </c>
      <c r="J507" s="111" t="str">
        <f ca="1">IF($B$2="Não","",'CÁLCULO FUNPRESP'!Q507)</f>
        <v/>
      </c>
      <c r="K507" s="111" t="str">
        <f ca="1">IF($B$2="Não","",'CÁLCULO FUNPRESP'!R507)</f>
        <v/>
      </c>
      <c r="L507" s="111">
        <f ca="1">IF($B$2="Não","",'CÁLCULO FUNPRESP'!S507)</f>
        <v>0</v>
      </c>
      <c r="N507" s="131" t="str">
        <f ca="1">'CÁLCULO FUNPRESP'!U507</f>
        <v/>
      </c>
      <c r="O507" s="111">
        <f ca="1">IF($B$2="Não","",'CÁLCULO FUNPRESP'!Y507)</f>
        <v>0</v>
      </c>
    </row>
    <row r="508" spans="9:15" x14ac:dyDescent="0.3">
      <c r="I508" s="131" t="str">
        <f ca="1">'CÁLCULO FUNPRESP'!P508</f>
        <v/>
      </c>
      <c r="J508" s="111" t="str">
        <f ca="1">IF($B$2="Não","",'CÁLCULO FUNPRESP'!Q508)</f>
        <v/>
      </c>
      <c r="K508" s="111" t="str">
        <f ca="1">IF($B$2="Não","",'CÁLCULO FUNPRESP'!R508)</f>
        <v/>
      </c>
      <c r="L508" s="111">
        <f ca="1">IF($B$2="Não","",'CÁLCULO FUNPRESP'!S508)</f>
        <v>0</v>
      </c>
      <c r="N508" s="131" t="str">
        <f ca="1">'CÁLCULO FUNPRESP'!U508</f>
        <v/>
      </c>
      <c r="O508" s="111">
        <f ca="1">IF($B$2="Não","",'CÁLCULO FUNPRESP'!Y508)</f>
        <v>0</v>
      </c>
    </row>
    <row r="509" spans="9:15" x14ac:dyDescent="0.3">
      <c r="I509" s="131" t="str">
        <f ca="1">'CÁLCULO FUNPRESP'!P509</f>
        <v/>
      </c>
      <c r="J509" s="111" t="str">
        <f ca="1">IF($B$2="Não","",'CÁLCULO FUNPRESP'!Q509)</f>
        <v/>
      </c>
      <c r="K509" s="111" t="str">
        <f ca="1">IF($B$2="Não","",'CÁLCULO FUNPRESP'!R509)</f>
        <v/>
      </c>
      <c r="L509" s="111">
        <f ca="1">IF($B$2="Não","",'CÁLCULO FUNPRESP'!S509)</f>
        <v>0</v>
      </c>
      <c r="N509" s="131" t="str">
        <f ca="1">'CÁLCULO FUNPRESP'!U509</f>
        <v/>
      </c>
      <c r="O509" s="111">
        <f ca="1">IF($B$2="Não","",'CÁLCULO FUNPRESP'!Y509)</f>
        <v>0</v>
      </c>
    </row>
    <row r="510" spans="9:15" x14ac:dyDescent="0.3">
      <c r="I510" s="131" t="str">
        <f ca="1">'CÁLCULO FUNPRESP'!P510</f>
        <v/>
      </c>
      <c r="J510" s="111" t="str">
        <f ca="1">IF($B$2="Não","",'CÁLCULO FUNPRESP'!Q510)</f>
        <v/>
      </c>
      <c r="K510" s="111" t="str">
        <f ca="1">IF($B$2="Não","",'CÁLCULO FUNPRESP'!R510)</f>
        <v/>
      </c>
      <c r="L510" s="111">
        <f ca="1">IF($B$2="Não","",'CÁLCULO FUNPRESP'!S510)</f>
        <v>0</v>
      </c>
      <c r="N510" s="131" t="str">
        <f ca="1">'CÁLCULO FUNPRESP'!U510</f>
        <v/>
      </c>
      <c r="O510" s="111">
        <f ca="1">IF($B$2="Não","",'CÁLCULO FUNPRESP'!Y510)</f>
        <v>0</v>
      </c>
    </row>
    <row r="511" spans="9:15" x14ac:dyDescent="0.3">
      <c r="I511" s="131" t="str">
        <f ca="1">'CÁLCULO FUNPRESP'!P511</f>
        <v/>
      </c>
      <c r="J511" s="111" t="str">
        <f ca="1">IF($B$2="Não","",'CÁLCULO FUNPRESP'!Q511)</f>
        <v/>
      </c>
      <c r="K511" s="111" t="str">
        <f ca="1">IF($B$2="Não","",'CÁLCULO FUNPRESP'!R511)</f>
        <v/>
      </c>
      <c r="L511" s="111">
        <f ca="1">IF($B$2="Não","",'CÁLCULO FUNPRESP'!S511)</f>
        <v>0</v>
      </c>
      <c r="N511" s="131" t="str">
        <f ca="1">'CÁLCULO FUNPRESP'!U511</f>
        <v/>
      </c>
      <c r="O511" s="111">
        <f ca="1">IF($B$2="Não","",'CÁLCULO FUNPRESP'!Y511)</f>
        <v>0</v>
      </c>
    </row>
    <row r="512" spans="9:15" x14ac:dyDescent="0.3">
      <c r="I512" s="131" t="str">
        <f ca="1">'CÁLCULO FUNPRESP'!P512</f>
        <v/>
      </c>
      <c r="J512" s="111" t="str">
        <f ca="1">IF($B$2="Não","",'CÁLCULO FUNPRESP'!Q512)</f>
        <v/>
      </c>
      <c r="K512" s="111" t="str">
        <f ca="1">IF($B$2="Não","",'CÁLCULO FUNPRESP'!R512)</f>
        <v/>
      </c>
      <c r="L512" s="111">
        <f ca="1">IF($B$2="Não","",'CÁLCULO FUNPRESP'!S512)</f>
        <v>0</v>
      </c>
      <c r="N512" s="131" t="str">
        <f ca="1">'CÁLCULO FUNPRESP'!U512</f>
        <v/>
      </c>
      <c r="O512" s="111">
        <f ca="1">IF($B$2="Não","",'CÁLCULO FUNPRESP'!Y512)</f>
        <v>0</v>
      </c>
    </row>
    <row r="513" spans="9:15" x14ac:dyDescent="0.3">
      <c r="I513" s="131" t="str">
        <f ca="1">'CÁLCULO FUNPRESP'!P513</f>
        <v/>
      </c>
      <c r="J513" s="111" t="str">
        <f ca="1">IF($B$2="Não","",'CÁLCULO FUNPRESP'!Q513)</f>
        <v/>
      </c>
      <c r="K513" s="111" t="str">
        <f ca="1">IF($B$2="Não","",'CÁLCULO FUNPRESP'!R513)</f>
        <v/>
      </c>
      <c r="L513" s="111">
        <f ca="1">IF($B$2="Não","",'CÁLCULO FUNPRESP'!S513)</f>
        <v>0</v>
      </c>
      <c r="N513" s="131" t="str">
        <f ca="1">'CÁLCULO FUNPRESP'!U513</f>
        <v/>
      </c>
      <c r="O513" s="111">
        <f ca="1">IF($B$2="Não","",'CÁLCULO FUNPRESP'!Y513)</f>
        <v>0</v>
      </c>
    </row>
    <row r="514" spans="9:15" x14ac:dyDescent="0.3">
      <c r="I514" s="131" t="str">
        <f ca="1">'CÁLCULO FUNPRESP'!P514</f>
        <v/>
      </c>
      <c r="J514" s="111" t="str">
        <f ca="1">IF($B$2="Não","",'CÁLCULO FUNPRESP'!Q514)</f>
        <v/>
      </c>
      <c r="K514" s="111" t="str">
        <f ca="1">IF($B$2="Não","",'CÁLCULO FUNPRESP'!R514)</f>
        <v/>
      </c>
      <c r="L514" s="111">
        <f ca="1">IF($B$2="Não","",'CÁLCULO FUNPRESP'!S514)</f>
        <v>0</v>
      </c>
      <c r="N514" s="131" t="str">
        <f ca="1">'CÁLCULO FUNPRESP'!U514</f>
        <v/>
      </c>
      <c r="O514" s="111">
        <f ca="1">IF($B$2="Não","",'CÁLCULO FUNPRESP'!Y514)</f>
        <v>0</v>
      </c>
    </row>
    <row r="515" spans="9:15" x14ac:dyDescent="0.3">
      <c r="I515" s="131" t="str">
        <f ca="1">'CÁLCULO FUNPRESP'!P515</f>
        <v/>
      </c>
      <c r="J515" s="111" t="str">
        <f ca="1">IF($B$2="Não","",'CÁLCULO FUNPRESP'!Q515)</f>
        <v/>
      </c>
      <c r="K515" s="111" t="str">
        <f ca="1">IF($B$2="Não","",'CÁLCULO FUNPRESP'!R515)</f>
        <v/>
      </c>
      <c r="L515" s="111">
        <f ca="1">IF($B$2="Não","",'CÁLCULO FUNPRESP'!S515)</f>
        <v>0</v>
      </c>
      <c r="N515" s="131" t="str">
        <f ca="1">'CÁLCULO FUNPRESP'!U515</f>
        <v/>
      </c>
      <c r="O515" s="111">
        <f ca="1">IF($B$2="Não","",'CÁLCULO FUNPRESP'!Y515)</f>
        <v>0</v>
      </c>
    </row>
    <row r="516" spans="9:15" x14ac:dyDescent="0.3">
      <c r="I516" s="131" t="str">
        <f ca="1">'CÁLCULO FUNPRESP'!P516</f>
        <v/>
      </c>
      <c r="J516" s="111" t="str">
        <f ca="1">IF($B$2="Não","",'CÁLCULO FUNPRESP'!Q516)</f>
        <v/>
      </c>
      <c r="K516" s="111" t="str">
        <f ca="1">IF($B$2="Não","",'CÁLCULO FUNPRESP'!R516)</f>
        <v/>
      </c>
      <c r="L516" s="111">
        <f ca="1">IF($B$2="Não","",'CÁLCULO FUNPRESP'!S516)</f>
        <v>0</v>
      </c>
      <c r="N516" s="131" t="str">
        <f ca="1">'CÁLCULO FUNPRESP'!U516</f>
        <v/>
      </c>
      <c r="O516" s="111">
        <f ca="1">IF($B$2="Não","",'CÁLCULO FUNPRESP'!Y516)</f>
        <v>0</v>
      </c>
    </row>
    <row r="517" spans="9:15" x14ac:dyDescent="0.3">
      <c r="I517" s="131" t="str">
        <f ca="1">'CÁLCULO FUNPRESP'!P517</f>
        <v/>
      </c>
      <c r="J517" s="111" t="str">
        <f ca="1">IF($B$2="Não","",'CÁLCULO FUNPRESP'!Q517)</f>
        <v/>
      </c>
      <c r="K517" s="111" t="str">
        <f ca="1">IF($B$2="Não","",'CÁLCULO FUNPRESP'!R517)</f>
        <v/>
      </c>
      <c r="L517" s="111">
        <f ca="1">IF($B$2="Não","",'CÁLCULO FUNPRESP'!S517)</f>
        <v>0</v>
      </c>
      <c r="N517" s="131" t="str">
        <f ca="1">'CÁLCULO FUNPRESP'!U517</f>
        <v/>
      </c>
      <c r="O517" s="111">
        <f ca="1">IF($B$2="Não","",'CÁLCULO FUNPRESP'!Y517)</f>
        <v>0</v>
      </c>
    </row>
    <row r="518" spans="9:15" x14ac:dyDescent="0.3">
      <c r="I518" s="131" t="str">
        <f ca="1">'CÁLCULO FUNPRESP'!P518</f>
        <v/>
      </c>
      <c r="J518" s="111" t="str">
        <f ca="1">IF($B$2="Não","",'CÁLCULO FUNPRESP'!Q518)</f>
        <v/>
      </c>
      <c r="K518" s="111" t="str">
        <f ca="1">IF($B$2="Não","",'CÁLCULO FUNPRESP'!R518)</f>
        <v/>
      </c>
      <c r="L518" s="111">
        <f ca="1">IF($B$2="Não","",'CÁLCULO FUNPRESP'!S518)</f>
        <v>0</v>
      </c>
      <c r="N518" s="131" t="str">
        <f ca="1">'CÁLCULO FUNPRESP'!U518</f>
        <v/>
      </c>
      <c r="O518" s="111">
        <f ca="1">IF($B$2="Não","",'CÁLCULO FUNPRESP'!Y518)</f>
        <v>0</v>
      </c>
    </row>
    <row r="519" spans="9:15" x14ac:dyDescent="0.3">
      <c r="I519" s="131" t="str">
        <f ca="1">'CÁLCULO FUNPRESP'!P519</f>
        <v/>
      </c>
      <c r="J519" s="111" t="str">
        <f ca="1">IF($B$2="Não","",'CÁLCULO FUNPRESP'!Q519)</f>
        <v/>
      </c>
      <c r="K519" s="111" t="str">
        <f ca="1">IF($B$2="Não","",'CÁLCULO FUNPRESP'!R519)</f>
        <v/>
      </c>
      <c r="L519" s="111">
        <f ca="1">IF($B$2="Não","",'CÁLCULO FUNPRESP'!S519)</f>
        <v>0</v>
      </c>
      <c r="N519" s="131" t="str">
        <f ca="1">'CÁLCULO FUNPRESP'!U519</f>
        <v/>
      </c>
      <c r="O519" s="111">
        <f ca="1">IF($B$2="Não","",'CÁLCULO FUNPRESP'!Y519)</f>
        <v>0</v>
      </c>
    </row>
    <row r="520" spans="9:15" x14ac:dyDescent="0.3">
      <c r="I520" s="131" t="str">
        <f ca="1">'CÁLCULO FUNPRESP'!P520</f>
        <v/>
      </c>
      <c r="J520" s="111" t="str">
        <f ca="1">IF($B$2="Não","",'CÁLCULO FUNPRESP'!Q520)</f>
        <v/>
      </c>
      <c r="K520" s="111" t="str">
        <f ca="1">IF($B$2="Não","",'CÁLCULO FUNPRESP'!R520)</f>
        <v/>
      </c>
      <c r="L520" s="111">
        <f ca="1">IF($B$2="Não","",'CÁLCULO FUNPRESP'!S520)</f>
        <v>0</v>
      </c>
      <c r="N520" s="131" t="str">
        <f ca="1">'CÁLCULO FUNPRESP'!U520</f>
        <v/>
      </c>
      <c r="O520" s="111">
        <f ca="1">IF($B$2="Não","",'CÁLCULO FUNPRESP'!Y520)</f>
        <v>0</v>
      </c>
    </row>
    <row r="521" spans="9:15" x14ac:dyDescent="0.3">
      <c r="I521" s="131" t="str">
        <f ca="1">'CÁLCULO FUNPRESP'!P521</f>
        <v/>
      </c>
      <c r="J521" s="111" t="str">
        <f ca="1">IF($B$2="Não","",'CÁLCULO FUNPRESP'!Q521)</f>
        <v/>
      </c>
      <c r="K521" s="111" t="str">
        <f ca="1">IF($B$2="Não","",'CÁLCULO FUNPRESP'!R521)</f>
        <v/>
      </c>
      <c r="L521" s="111">
        <f ca="1">IF($B$2="Não","",'CÁLCULO FUNPRESP'!S521)</f>
        <v>0</v>
      </c>
      <c r="N521" s="131" t="str">
        <f ca="1">'CÁLCULO FUNPRESP'!U521</f>
        <v/>
      </c>
      <c r="O521" s="111">
        <f ca="1">IF($B$2="Não","",'CÁLCULO FUNPRESP'!Y521)</f>
        <v>0</v>
      </c>
    </row>
    <row r="522" spans="9:15" x14ac:dyDescent="0.3">
      <c r="I522" s="131" t="str">
        <f ca="1">'CÁLCULO FUNPRESP'!P522</f>
        <v/>
      </c>
      <c r="J522" s="111" t="str">
        <f ca="1">IF($B$2="Não","",'CÁLCULO FUNPRESP'!Q522)</f>
        <v/>
      </c>
      <c r="K522" s="111" t="str">
        <f ca="1">IF($B$2="Não","",'CÁLCULO FUNPRESP'!R522)</f>
        <v/>
      </c>
      <c r="L522" s="111">
        <f ca="1">IF($B$2="Não","",'CÁLCULO FUNPRESP'!S522)</f>
        <v>0</v>
      </c>
      <c r="N522" s="131" t="str">
        <f ca="1">'CÁLCULO FUNPRESP'!U522</f>
        <v/>
      </c>
      <c r="O522" s="111">
        <f ca="1">IF($B$2="Não","",'CÁLCULO FUNPRESP'!Y522)</f>
        <v>0</v>
      </c>
    </row>
    <row r="523" spans="9:15" x14ac:dyDescent="0.3">
      <c r="I523" s="131" t="str">
        <f ca="1">'CÁLCULO FUNPRESP'!P523</f>
        <v/>
      </c>
      <c r="J523" s="111" t="str">
        <f ca="1">IF($B$2="Não","",'CÁLCULO FUNPRESP'!Q523)</f>
        <v/>
      </c>
      <c r="K523" s="111" t="str">
        <f ca="1">IF($B$2="Não","",'CÁLCULO FUNPRESP'!R523)</f>
        <v/>
      </c>
      <c r="L523" s="111">
        <f ca="1">IF($B$2="Não","",'CÁLCULO FUNPRESP'!S523)</f>
        <v>0</v>
      </c>
      <c r="N523" s="131" t="str">
        <f ca="1">'CÁLCULO FUNPRESP'!U523</f>
        <v/>
      </c>
      <c r="O523" s="111">
        <f ca="1">IF($B$2="Não","",'CÁLCULO FUNPRESP'!Y523)</f>
        <v>0</v>
      </c>
    </row>
    <row r="524" spans="9:15" x14ac:dyDescent="0.3">
      <c r="I524" s="131" t="str">
        <f ca="1">'CÁLCULO FUNPRESP'!P524</f>
        <v/>
      </c>
      <c r="J524" s="111" t="str">
        <f ca="1">IF($B$2="Não","",'CÁLCULO FUNPRESP'!Q524)</f>
        <v/>
      </c>
      <c r="K524" s="111" t="str">
        <f ca="1">IF($B$2="Não","",'CÁLCULO FUNPRESP'!R524)</f>
        <v/>
      </c>
      <c r="L524" s="111">
        <f ca="1">IF($B$2="Não","",'CÁLCULO FUNPRESP'!S524)</f>
        <v>0</v>
      </c>
      <c r="N524" s="131" t="str">
        <f ca="1">'CÁLCULO FUNPRESP'!U524</f>
        <v/>
      </c>
      <c r="O524" s="111">
        <f ca="1">IF($B$2="Não","",'CÁLCULO FUNPRESP'!Y524)</f>
        <v>0</v>
      </c>
    </row>
    <row r="525" spans="9:15" x14ac:dyDescent="0.3">
      <c r="I525" s="131" t="str">
        <f ca="1">'CÁLCULO FUNPRESP'!P525</f>
        <v/>
      </c>
      <c r="J525" s="111" t="str">
        <f ca="1">IF($B$2="Não","",'CÁLCULO FUNPRESP'!Q525)</f>
        <v/>
      </c>
      <c r="K525" s="111" t="str">
        <f ca="1">IF($B$2="Não","",'CÁLCULO FUNPRESP'!R525)</f>
        <v/>
      </c>
      <c r="L525" s="111">
        <f ca="1">IF($B$2="Não","",'CÁLCULO FUNPRESP'!S525)</f>
        <v>0</v>
      </c>
      <c r="N525" s="131" t="str">
        <f ca="1">'CÁLCULO FUNPRESP'!U525</f>
        <v/>
      </c>
      <c r="O525" s="111">
        <f ca="1">IF($B$2="Não","",'CÁLCULO FUNPRESP'!Y525)</f>
        <v>0</v>
      </c>
    </row>
    <row r="526" spans="9:15" x14ac:dyDescent="0.3">
      <c r="I526" s="131" t="str">
        <f ca="1">'CÁLCULO FUNPRESP'!P526</f>
        <v/>
      </c>
      <c r="J526" s="111" t="str">
        <f ca="1">IF($B$2="Não","",'CÁLCULO FUNPRESP'!Q526)</f>
        <v/>
      </c>
      <c r="K526" s="111" t="str">
        <f ca="1">IF($B$2="Não","",'CÁLCULO FUNPRESP'!R526)</f>
        <v/>
      </c>
      <c r="L526" s="111">
        <f ca="1">IF($B$2="Não","",'CÁLCULO FUNPRESP'!S526)</f>
        <v>0</v>
      </c>
      <c r="N526" s="131" t="str">
        <f ca="1">'CÁLCULO FUNPRESP'!U526</f>
        <v/>
      </c>
      <c r="O526" s="111">
        <f ca="1">IF($B$2="Não","",'CÁLCULO FUNPRESP'!Y526)</f>
        <v>0</v>
      </c>
    </row>
    <row r="527" spans="9:15" x14ac:dyDescent="0.3">
      <c r="I527" s="131" t="str">
        <f ca="1">'CÁLCULO FUNPRESP'!P527</f>
        <v/>
      </c>
      <c r="J527" s="111" t="str">
        <f ca="1">IF($B$2="Não","",'CÁLCULO FUNPRESP'!Q527)</f>
        <v/>
      </c>
      <c r="K527" s="111" t="str">
        <f ca="1">IF($B$2="Não","",'CÁLCULO FUNPRESP'!R527)</f>
        <v/>
      </c>
      <c r="L527" s="111">
        <f ca="1">IF($B$2="Não","",'CÁLCULO FUNPRESP'!S527)</f>
        <v>0</v>
      </c>
      <c r="N527" s="131" t="str">
        <f ca="1">'CÁLCULO FUNPRESP'!U527</f>
        <v/>
      </c>
      <c r="O527" s="111">
        <f ca="1">IF($B$2="Não","",'CÁLCULO FUNPRESP'!Y527)</f>
        <v>0</v>
      </c>
    </row>
    <row r="528" spans="9:15" x14ac:dyDescent="0.3">
      <c r="I528" s="131" t="str">
        <f ca="1">'CÁLCULO FUNPRESP'!P528</f>
        <v/>
      </c>
      <c r="J528" s="111" t="str">
        <f ca="1">IF($B$2="Não","",'CÁLCULO FUNPRESP'!Q528)</f>
        <v/>
      </c>
      <c r="K528" s="111" t="str">
        <f ca="1">IF($B$2="Não","",'CÁLCULO FUNPRESP'!R528)</f>
        <v/>
      </c>
      <c r="L528" s="111">
        <f ca="1">IF($B$2="Não","",'CÁLCULO FUNPRESP'!S528)</f>
        <v>0</v>
      </c>
      <c r="N528" s="131" t="str">
        <f ca="1">'CÁLCULO FUNPRESP'!U528</f>
        <v/>
      </c>
      <c r="O528" s="111">
        <f ca="1">IF($B$2="Não","",'CÁLCULO FUNPRESP'!Y528)</f>
        <v>0</v>
      </c>
    </row>
    <row r="529" spans="9:15" x14ac:dyDescent="0.3">
      <c r="I529" s="131" t="str">
        <f ca="1">'CÁLCULO FUNPRESP'!P529</f>
        <v/>
      </c>
      <c r="J529" s="111" t="str">
        <f ca="1">IF($B$2="Não","",'CÁLCULO FUNPRESP'!Q529)</f>
        <v/>
      </c>
      <c r="K529" s="111" t="str">
        <f ca="1">IF($B$2="Não","",'CÁLCULO FUNPRESP'!R529)</f>
        <v/>
      </c>
      <c r="L529" s="111">
        <f ca="1">IF($B$2="Não","",'CÁLCULO FUNPRESP'!S529)</f>
        <v>0</v>
      </c>
      <c r="N529" s="131" t="str">
        <f ca="1">'CÁLCULO FUNPRESP'!U529</f>
        <v/>
      </c>
      <c r="O529" s="111">
        <f ca="1">IF($B$2="Não","",'CÁLCULO FUNPRESP'!Y529)</f>
        <v>0</v>
      </c>
    </row>
    <row r="530" spans="9:15" x14ac:dyDescent="0.3">
      <c r="I530" s="131" t="str">
        <f ca="1">'CÁLCULO FUNPRESP'!P530</f>
        <v/>
      </c>
      <c r="J530" s="111" t="str">
        <f ca="1">IF($B$2="Não","",'CÁLCULO FUNPRESP'!Q530)</f>
        <v/>
      </c>
      <c r="K530" s="111" t="str">
        <f ca="1">IF($B$2="Não","",'CÁLCULO FUNPRESP'!R530)</f>
        <v/>
      </c>
      <c r="L530" s="111">
        <f ca="1">IF($B$2="Não","",'CÁLCULO FUNPRESP'!S530)</f>
        <v>0</v>
      </c>
      <c r="N530" s="131" t="str">
        <f ca="1">'CÁLCULO FUNPRESP'!U530</f>
        <v/>
      </c>
      <c r="O530" s="111">
        <f ca="1">IF($B$2="Não","",'CÁLCULO FUNPRESP'!Y530)</f>
        <v>0</v>
      </c>
    </row>
    <row r="531" spans="9:15" x14ac:dyDescent="0.3">
      <c r="I531" s="131" t="str">
        <f ca="1">'CÁLCULO FUNPRESP'!P531</f>
        <v/>
      </c>
      <c r="J531" s="111" t="str">
        <f ca="1">IF($B$2="Não","",'CÁLCULO FUNPRESP'!Q531)</f>
        <v/>
      </c>
      <c r="K531" s="111" t="str">
        <f ca="1">IF($B$2="Não","",'CÁLCULO FUNPRESP'!R531)</f>
        <v/>
      </c>
      <c r="L531" s="111">
        <f ca="1">IF($B$2="Não","",'CÁLCULO FUNPRESP'!S531)</f>
        <v>0</v>
      </c>
      <c r="N531" s="131" t="str">
        <f ca="1">'CÁLCULO FUNPRESP'!U531</f>
        <v/>
      </c>
      <c r="O531" s="111">
        <f ca="1">IF($B$2="Não","",'CÁLCULO FUNPRESP'!Y531)</f>
        <v>0</v>
      </c>
    </row>
    <row r="532" spans="9:15" x14ac:dyDescent="0.3">
      <c r="I532" s="131" t="str">
        <f ca="1">'CÁLCULO FUNPRESP'!P532</f>
        <v/>
      </c>
      <c r="J532" s="111" t="str">
        <f ca="1">IF($B$2="Não","",'CÁLCULO FUNPRESP'!Q532)</f>
        <v/>
      </c>
      <c r="K532" s="111" t="str">
        <f ca="1">IF($B$2="Não","",'CÁLCULO FUNPRESP'!R532)</f>
        <v/>
      </c>
      <c r="L532" s="111">
        <f ca="1">IF($B$2="Não","",'CÁLCULO FUNPRESP'!S532)</f>
        <v>0</v>
      </c>
      <c r="N532" s="131" t="str">
        <f ca="1">'CÁLCULO FUNPRESP'!U532</f>
        <v/>
      </c>
      <c r="O532" s="111">
        <f ca="1">IF($B$2="Não","",'CÁLCULO FUNPRESP'!Y532)</f>
        <v>0</v>
      </c>
    </row>
    <row r="533" spans="9:15" x14ac:dyDescent="0.3">
      <c r="I533" s="131" t="str">
        <f ca="1">'CÁLCULO FUNPRESP'!P533</f>
        <v/>
      </c>
      <c r="J533" s="111" t="str">
        <f ca="1">IF($B$2="Não","",'CÁLCULO FUNPRESP'!Q533)</f>
        <v/>
      </c>
      <c r="K533" s="111" t="str">
        <f ca="1">IF($B$2="Não","",'CÁLCULO FUNPRESP'!R533)</f>
        <v/>
      </c>
      <c r="L533" s="111">
        <f ca="1">IF($B$2="Não","",'CÁLCULO FUNPRESP'!S533)</f>
        <v>0</v>
      </c>
      <c r="N533" s="131" t="str">
        <f ca="1">'CÁLCULO FUNPRESP'!U533</f>
        <v/>
      </c>
      <c r="O533" s="111">
        <f ca="1">IF($B$2="Não","",'CÁLCULO FUNPRESP'!Y533)</f>
        <v>0</v>
      </c>
    </row>
    <row r="534" spans="9:15" x14ac:dyDescent="0.3">
      <c r="I534" s="131" t="str">
        <f ca="1">'CÁLCULO FUNPRESP'!P534</f>
        <v/>
      </c>
      <c r="J534" s="111" t="str">
        <f ca="1">IF($B$2="Não","",'CÁLCULO FUNPRESP'!Q534)</f>
        <v/>
      </c>
      <c r="K534" s="111" t="str">
        <f ca="1">IF($B$2="Não","",'CÁLCULO FUNPRESP'!R534)</f>
        <v/>
      </c>
      <c r="L534" s="111">
        <f ca="1">IF($B$2="Não","",'CÁLCULO FUNPRESP'!S534)</f>
        <v>0</v>
      </c>
      <c r="N534" s="131" t="str">
        <f ca="1">'CÁLCULO FUNPRESP'!U534</f>
        <v/>
      </c>
      <c r="O534" s="111">
        <f ca="1">IF($B$2="Não","",'CÁLCULO FUNPRESP'!Y534)</f>
        <v>0</v>
      </c>
    </row>
    <row r="535" spans="9:15" x14ac:dyDescent="0.3">
      <c r="I535" s="131" t="str">
        <f ca="1">'CÁLCULO FUNPRESP'!P535</f>
        <v/>
      </c>
      <c r="J535" s="111" t="str">
        <f ca="1">IF($B$2="Não","",'CÁLCULO FUNPRESP'!Q535)</f>
        <v/>
      </c>
      <c r="K535" s="111" t="str">
        <f ca="1">IF($B$2="Não","",'CÁLCULO FUNPRESP'!R535)</f>
        <v/>
      </c>
      <c r="L535" s="111">
        <f ca="1">IF($B$2="Não","",'CÁLCULO FUNPRESP'!S535)</f>
        <v>0</v>
      </c>
      <c r="N535" s="131" t="str">
        <f ca="1">'CÁLCULO FUNPRESP'!U535</f>
        <v/>
      </c>
      <c r="O535" s="111">
        <f ca="1">IF($B$2="Não","",'CÁLCULO FUNPRESP'!Y535)</f>
        <v>0</v>
      </c>
    </row>
    <row r="536" spans="9:15" x14ac:dyDescent="0.3">
      <c r="I536" s="131" t="str">
        <f ca="1">'CÁLCULO FUNPRESP'!P536</f>
        <v/>
      </c>
      <c r="J536" s="111" t="str">
        <f ca="1">IF($B$2="Não","",'CÁLCULO FUNPRESP'!Q536)</f>
        <v/>
      </c>
      <c r="K536" s="111" t="str">
        <f ca="1">IF($B$2="Não","",'CÁLCULO FUNPRESP'!R536)</f>
        <v/>
      </c>
      <c r="L536" s="111">
        <f ca="1">IF($B$2="Não","",'CÁLCULO FUNPRESP'!S536)</f>
        <v>0</v>
      </c>
      <c r="N536" s="131" t="str">
        <f ca="1">'CÁLCULO FUNPRESP'!U536</f>
        <v/>
      </c>
      <c r="O536" s="111">
        <f ca="1">IF($B$2="Não","",'CÁLCULO FUNPRESP'!Y536)</f>
        <v>0</v>
      </c>
    </row>
    <row r="537" spans="9:15" x14ac:dyDescent="0.3">
      <c r="I537" s="131" t="str">
        <f ca="1">'CÁLCULO FUNPRESP'!P537</f>
        <v/>
      </c>
      <c r="J537" s="111" t="str">
        <f ca="1">IF($B$2="Não","",'CÁLCULO FUNPRESP'!Q537)</f>
        <v/>
      </c>
      <c r="K537" s="111" t="str">
        <f ca="1">IF($B$2="Não","",'CÁLCULO FUNPRESP'!R537)</f>
        <v/>
      </c>
      <c r="L537" s="111">
        <f ca="1">IF($B$2="Não","",'CÁLCULO FUNPRESP'!S537)</f>
        <v>0</v>
      </c>
      <c r="N537" s="131" t="str">
        <f ca="1">'CÁLCULO FUNPRESP'!U537</f>
        <v/>
      </c>
      <c r="O537" s="111">
        <f ca="1">IF($B$2="Não","",'CÁLCULO FUNPRESP'!Y537)</f>
        <v>0</v>
      </c>
    </row>
    <row r="538" spans="9:15" x14ac:dyDescent="0.3">
      <c r="I538" s="131" t="str">
        <f ca="1">'CÁLCULO FUNPRESP'!P538</f>
        <v/>
      </c>
      <c r="J538" s="111" t="str">
        <f ca="1">IF($B$2="Não","",'CÁLCULO FUNPRESP'!Q538)</f>
        <v/>
      </c>
      <c r="K538" s="111" t="str">
        <f ca="1">IF($B$2="Não","",'CÁLCULO FUNPRESP'!R538)</f>
        <v/>
      </c>
      <c r="L538" s="111">
        <f ca="1">IF($B$2="Não","",'CÁLCULO FUNPRESP'!S538)</f>
        <v>0</v>
      </c>
      <c r="N538" s="131" t="str">
        <f ca="1">'CÁLCULO FUNPRESP'!U538</f>
        <v/>
      </c>
      <c r="O538" s="111">
        <f ca="1">IF($B$2="Não","",'CÁLCULO FUNPRESP'!Y538)</f>
        <v>0</v>
      </c>
    </row>
    <row r="539" spans="9:15" x14ac:dyDescent="0.3">
      <c r="I539" s="131" t="str">
        <f ca="1">'CÁLCULO FUNPRESP'!P539</f>
        <v/>
      </c>
      <c r="J539" s="111" t="str">
        <f ca="1">IF($B$2="Não","",'CÁLCULO FUNPRESP'!Q539)</f>
        <v/>
      </c>
      <c r="K539" s="111" t="str">
        <f ca="1">IF($B$2="Não","",'CÁLCULO FUNPRESP'!R539)</f>
        <v/>
      </c>
      <c r="L539" s="111">
        <f ca="1">IF($B$2="Não","",'CÁLCULO FUNPRESP'!S539)</f>
        <v>0</v>
      </c>
      <c r="N539" s="131" t="str">
        <f ca="1">'CÁLCULO FUNPRESP'!U539</f>
        <v/>
      </c>
      <c r="O539" s="111">
        <f ca="1">IF($B$2="Não","",'CÁLCULO FUNPRESP'!Y539)</f>
        <v>0</v>
      </c>
    </row>
    <row r="540" spans="9:15" x14ac:dyDescent="0.3">
      <c r="I540" s="131" t="str">
        <f ca="1">'CÁLCULO FUNPRESP'!P540</f>
        <v/>
      </c>
      <c r="J540" s="111" t="str">
        <f ca="1">IF($B$2="Não","",'CÁLCULO FUNPRESP'!Q540)</f>
        <v/>
      </c>
      <c r="K540" s="111" t="str">
        <f ca="1">IF($B$2="Não","",'CÁLCULO FUNPRESP'!R540)</f>
        <v/>
      </c>
      <c r="L540" s="111">
        <f ca="1">IF($B$2="Não","",'CÁLCULO FUNPRESP'!S540)</f>
        <v>0</v>
      </c>
      <c r="N540" s="131" t="str">
        <f ca="1">'CÁLCULO FUNPRESP'!U540</f>
        <v/>
      </c>
      <c r="O540" s="111">
        <f ca="1">IF($B$2="Não","",'CÁLCULO FUNPRESP'!Y540)</f>
        <v>0</v>
      </c>
    </row>
    <row r="541" spans="9:15" x14ac:dyDescent="0.3">
      <c r="I541" s="131" t="str">
        <f ca="1">'CÁLCULO FUNPRESP'!P541</f>
        <v/>
      </c>
      <c r="J541" s="111" t="str">
        <f ca="1">IF($B$2="Não","",'CÁLCULO FUNPRESP'!Q541)</f>
        <v/>
      </c>
      <c r="K541" s="111" t="str">
        <f ca="1">IF($B$2="Não","",'CÁLCULO FUNPRESP'!R541)</f>
        <v/>
      </c>
      <c r="L541" s="111">
        <f ca="1">IF($B$2="Não","",'CÁLCULO FUNPRESP'!S541)</f>
        <v>0</v>
      </c>
      <c r="N541" s="131" t="str">
        <f ca="1">'CÁLCULO FUNPRESP'!U541</f>
        <v/>
      </c>
      <c r="O541" s="111">
        <f ca="1">IF($B$2="Não","",'CÁLCULO FUNPRESP'!Y541)</f>
        <v>0</v>
      </c>
    </row>
    <row r="542" spans="9:15" x14ac:dyDescent="0.3">
      <c r="I542" s="131" t="str">
        <f ca="1">'CÁLCULO FUNPRESP'!P542</f>
        <v/>
      </c>
      <c r="J542" s="111" t="str">
        <f ca="1">IF($B$2="Não","",'CÁLCULO FUNPRESP'!Q542)</f>
        <v/>
      </c>
      <c r="K542" s="111" t="str">
        <f ca="1">IF($B$2="Não","",'CÁLCULO FUNPRESP'!R542)</f>
        <v/>
      </c>
      <c r="L542" s="111">
        <f ca="1">IF($B$2="Não","",'CÁLCULO FUNPRESP'!S542)</f>
        <v>0</v>
      </c>
      <c r="N542" s="131" t="str">
        <f ca="1">'CÁLCULO FUNPRESP'!U542</f>
        <v/>
      </c>
      <c r="O542" s="111">
        <f ca="1">IF($B$2="Não","",'CÁLCULO FUNPRESP'!Y542)</f>
        <v>0</v>
      </c>
    </row>
    <row r="543" spans="9:15" x14ac:dyDescent="0.3">
      <c r="I543" s="131" t="str">
        <f ca="1">'CÁLCULO FUNPRESP'!P543</f>
        <v/>
      </c>
      <c r="J543" s="111" t="str">
        <f ca="1">IF($B$2="Não","",'CÁLCULO FUNPRESP'!Q543)</f>
        <v/>
      </c>
      <c r="K543" s="111" t="str">
        <f ca="1">IF($B$2="Não","",'CÁLCULO FUNPRESP'!R543)</f>
        <v/>
      </c>
      <c r="L543" s="111">
        <f ca="1">IF($B$2="Não","",'CÁLCULO FUNPRESP'!S543)</f>
        <v>0</v>
      </c>
      <c r="N543" s="131" t="str">
        <f ca="1">'CÁLCULO FUNPRESP'!U543</f>
        <v/>
      </c>
      <c r="O543" s="111">
        <f ca="1">IF($B$2="Não","",'CÁLCULO FUNPRESP'!Y543)</f>
        <v>0</v>
      </c>
    </row>
    <row r="544" spans="9:15" x14ac:dyDescent="0.3">
      <c r="I544" s="131" t="str">
        <f ca="1">'CÁLCULO FUNPRESP'!P544</f>
        <v/>
      </c>
      <c r="J544" s="111" t="str">
        <f ca="1">IF($B$2="Não","",'CÁLCULO FUNPRESP'!Q544)</f>
        <v/>
      </c>
      <c r="K544" s="111" t="str">
        <f ca="1">IF($B$2="Não","",'CÁLCULO FUNPRESP'!R544)</f>
        <v/>
      </c>
      <c r="L544" s="111">
        <f ca="1">IF($B$2="Não","",'CÁLCULO FUNPRESP'!S544)</f>
        <v>0</v>
      </c>
      <c r="N544" s="131" t="str">
        <f ca="1">'CÁLCULO FUNPRESP'!U544</f>
        <v/>
      </c>
      <c r="O544" s="111">
        <f ca="1">IF($B$2="Não","",'CÁLCULO FUNPRESP'!Y544)</f>
        <v>0</v>
      </c>
    </row>
    <row r="545" spans="9:15" x14ac:dyDescent="0.3">
      <c r="I545" s="131" t="str">
        <f ca="1">'CÁLCULO FUNPRESP'!P545</f>
        <v/>
      </c>
      <c r="J545" s="111" t="str">
        <f ca="1">IF($B$2="Não","",'CÁLCULO FUNPRESP'!Q545)</f>
        <v/>
      </c>
      <c r="K545" s="111" t="str">
        <f ca="1">IF($B$2="Não","",'CÁLCULO FUNPRESP'!R545)</f>
        <v/>
      </c>
      <c r="L545" s="111">
        <f ca="1">IF($B$2="Não","",'CÁLCULO FUNPRESP'!S545)</f>
        <v>0</v>
      </c>
      <c r="N545" s="131" t="str">
        <f ca="1">'CÁLCULO FUNPRESP'!U545</f>
        <v/>
      </c>
      <c r="O545" s="111">
        <f ca="1">IF($B$2="Não","",'CÁLCULO FUNPRESP'!Y545)</f>
        <v>0</v>
      </c>
    </row>
    <row r="546" spans="9:15" x14ac:dyDescent="0.3">
      <c r="I546" s="131" t="str">
        <f ca="1">'CÁLCULO FUNPRESP'!P546</f>
        <v/>
      </c>
      <c r="J546" s="111" t="str">
        <f ca="1">IF($B$2="Não","",'CÁLCULO FUNPRESP'!Q546)</f>
        <v/>
      </c>
      <c r="K546" s="111" t="str">
        <f ca="1">IF($B$2="Não","",'CÁLCULO FUNPRESP'!R546)</f>
        <v/>
      </c>
      <c r="L546" s="111">
        <f ca="1">IF($B$2="Não","",'CÁLCULO FUNPRESP'!S546)</f>
        <v>0</v>
      </c>
      <c r="N546" s="131" t="str">
        <f ca="1">'CÁLCULO FUNPRESP'!U546</f>
        <v/>
      </c>
      <c r="O546" s="111">
        <f ca="1">IF($B$2="Não","",'CÁLCULO FUNPRESP'!Y546)</f>
        <v>0</v>
      </c>
    </row>
    <row r="547" spans="9:15" x14ac:dyDescent="0.3">
      <c r="I547" s="131" t="str">
        <f ca="1">'CÁLCULO FUNPRESP'!P547</f>
        <v/>
      </c>
      <c r="J547" s="111" t="str">
        <f ca="1">IF($B$2="Não","",'CÁLCULO FUNPRESP'!Q547)</f>
        <v/>
      </c>
      <c r="K547" s="111" t="str">
        <f ca="1">IF($B$2="Não","",'CÁLCULO FUNPRESP'!R547)</f>
        <v/>
      </c>
      <c r="L547" s="111">
        <f ca="1">IF($B$2="Não","",'CÁLCULO FUNPRESP'!S547)</f>
        <v>0</v>
      </c>
      <c r="N547" s="131" t="str">
        <f ca="1">'CÁLCULO FUNPRESP'!U547</f>
        <v/>
      </c>
      <c r="O547" s="111">
        <f ca="1">IF($B$2="Não","",'CÁLCULO FUNPRESP'!Y547)</f>
        <v>0</v>
      </c>
    </row>
    <row r="548" spans="9:15" x14ac:dyDescent="0.3">
      <c r="I548" s="131" t="str">
        <f ca="1">'CÁLCULO FUNPRESP'!P548</f>
        <v/>
      </c>
      <c r="J548" s="111" t="str">
        <f ca="1">IF($B$2="Não","",'CÁLCULO FUNPRESP'!Q548)</f>
        <v/>
      </c>
      <c r="K548" s="111" t="str">
        <f ca="1">IF($B$2="Não","",'CÁLCULO FUNPRESP'!R548)</f>
        <v/>
      </c>
      <c r="L548" s="111">
        <f ca="1">IF($B$2="Não","",'CÁLCULO FUNPRESP'!S548)</f>
        <v>0</v>
      </c>
      <c r="N548" s="131" t="str">
        <f ca="1">'CÁLCULO FUNPRESP'!U548</f>
        <v/>
      </c>
      <c r="O548" s="111">
        <f ca="1">IF($B$2="Não","",'CÁLCULO FUNPRESP'!Y548)</f>
        <v>0</v>
      </c>
    </row>
    <row r="549" spans="9:15" x14ac:dyDescent="0.3">
      <c r="I549" s="131" t="str">
        <f ca="1">'CÁLCULO FUNPRESP'!P549</f>
        <v/>
      </c>
      <c r="J549" s="111" t="str">
        <f ca="1">IF($B$2="Não","",'CÁLCULO FUNPRESP'!Q549)</f>
        <v/>
      </c>
      <c r="K549" s="111" t="str">
        <f ca="1">IF($B$2="Não","",'CÁLCULO FUNPRESP'!R549)</f>
        <v/>
      </c>
      <c r="L549" s="111">
        <f ca="1">IF($B$2="Não","",'CÁLCULO FUNPRESP'!S549)</f>
        <v>0</v>
      </c>
      <c r="N549" s="131" t="str">
        <f ca="1">'CÁLCULO FUNPRESP'!U549</f>
        <v/>
      </c>
      <c r="O549" s="111">
        <f ca="1">IF($B$2="Não","",'CÁLCULO FUNPRESP'!Y549)</f>
        <v>0</v>
      </c>
    </row>
    <row r="550" spans="9:15" x14ac:dyDescent="0.3">
      <c r="I550" s="131" t="str">
        <f ca="1">'CÁLCULO FUNPRESP'!P550</f>
        <v/>
      </c>
      <c r="J550" s="111" t="str">
        <f ca="1">IF($B$2="Não","",'CÁLCULO FUNPRESP'!Q550)</f>
        <v/>
      </c>
      <c r="K550" s="111" t="str">
        <f ca="1">IF($B$2="Não","",'CÁLCULO FUNPRESP'!R550)</f>
        <v/>
      </c>
      <c r="L550" s="111">
        <f ca="1">IF($B$2="Não","",'CÁLCULO FUNPRESP'!S550)</f>
        <v>0</v>
      </c>
      <c r="N550" s="131" t="str">
        <f ca="1">'CÁLCULO FUNPRESP'!U550</f>
        <v/>
      </c>
      <c r="O550" s="111">
        <f ca="1">IF($B$2="Não","",'CÁLCULO FUNPRESP'!Y550)</f>
        <v>0</v>
      </c>
    </row>
    <row r="551" spans="9:15" x14ac:dyDescent="0.3">
      <c r="I551" s="131" t="str">
        <f ca="1">'CÁLCULO FUNPRESP'!P551</f>
        <v/>
      </c>
      <c r="J551" s="111" t="str">
        <f ca="1">IF($B$2="Não","",'CÁLCULO FUNPRESP'!Q551)</f>
        <v/>
      </c>
      <c r="K551" s="111" t="str">
        <f ca="1">IF($B$2="Não","",'CÁLCULO FUNPRESP'!R551)</f>
        <v/>
      </c>
      <c r="L551" s="111">
        <f ca="1">IF($B$2="Não","",'CÁLCULO FUNPRESP'!S551)</f>
        <v>0</v>
      </c>
      <c r="N551" s="131" t="str">
        <f ca="1">'CÁLCULO FUNPRESP'!U551</f>
        <v/>
      </c>
      <c r="O551" s="111">
        <f ca="1">IF($B$2="Não","",'CÁLCULO FUNPRESP'!Y551)</f>
        <v>0</v>
      </c>
    </row>
    <row r="552" spans="9:15" x14ac:dyDescent="0.3">
      <c r="I552" s="131" t="str">
        <f ca="1">'CÁLCULO FUNPRESP'!P552</f>
        <v/>
      </c>
      <c r="J552" s="111" t="str">
        <f ca="1">IF($B$2="Não","",'CÁLCULO FUNPRESP'!Q552)</f>
        <v/>
      </c>
      <c r="K552" s="111" t="str">
        <f ca="1">IF($B$2="Não","",'CÁLCULO FUNPRESP'!R552)</f>
        <v/>
      </c>
      <c r="L552" s="111">
        <f ca="1">IF($B$2="Não","",'CÁLCULO FUNPRESP'!S552)</f>
        <v>0</v>
      </c>
      <c r="N552" s="131" t="str">
        <f ca="1">'CÁLCULO FUNPRESP'!U552</f>
        <v/>
      </c>
      <c r="O552" s="111">
        <f ca="1">IF($B$2="Não","",'CÁLCULO FUNPRESP'!Y552)</f>
        <v>0</v>
      </c>
    </row>
    <row r="553" spans="9:15" x14ac:dyDescent="0.3">
      <c r="I553" s="131" t="str">
        <f ca="1">'CÁLCULO FUNPRESP'!P553</f>
        <v/>
      </c>
      <c r="J553" s="111" t="str">
        <f ca="1">IF($B$2="Não","",'CÁLCULO FUNPRESP'!Q553)</f>
        <v/>
      </c>
      <c r="K553" s="111" t="str">
        <f ca="1">IF($B$2="Não","",'CÁLCULO FUNPRESP'!R553)</f>
        <v/>
      </c>
      <c r="L553" s="111">
        <f ca="1">IF($B$2="Não","",'CÁLCULO FUNPRESP'!S553)</f>
        <v>0</v>
      </c>
      <c r="N553" s="131" t="str">
        <f ca="1">'CÁLCULO FUNPRESP'!U553</f>
        <v/>
      </c>
      <c r="O553" s="111">
        <f ca="1">IF($B$2="Não","",'CÁLCULO FUNPRESP'!Y553)</f>
        <v>0</v>
      </c>
    </row>
    <row r="554" spans="9:15" x14ac:dyDescent="0.3">
      <c r="I554" s="131" t="str">
        <f ca="1">'CÁLCULO FUNPRESP'!P554</f>
        <v/>
      </c>
      <c r="J554" s="111" t="str">
        <f ca="1">IF($B$2="Não","",'CÁLCULO FUNPRESP'!Q554)</f>
        <v/>
      </c>
      <c r="K554" s="111" t="str">
        <f ca="1">IF($B$2="Não","",'CÁLCULO FUNPRESP'!R554)</f>
        <v/>
      </c>
      <c r="L554" s="111">
        <f ca="1">IF($B$2="Não","",'CÁLCULO FUNPRESP'!S554)</f>
        <v>0</v>
      </c>
      <c r="N554" s="131" t="str">
        <f ca="1">'CÁLCULO FUNPRESP'!U554</f>
        <v/>
      </c>
      <c r="O554" s="111">
        <f ca="1">IF($B$2="Não","",'CÁLCULO FUNPRESP'!Y554)</f>
        <v>0</v>
      </c>
    </row>
    <row r="555" spans="9:15" x14ac:dyDescent="0.3">
      <c r="I555" s="131" t="str">
        <f ca="1">'CÁLCULO FUNPRESP'!P555</f>
        <v/>
      </c>
      <c r="J555" s="111" t="str">
        <f ca="1">IF($B$2="Não","",'CÁLCULO FUNPRESP'!Q555)</f>
        <v/>
      </c>
      <c r="K555" s="111" t="str">
        <f ca="1">IF($B$2="Não","",'CÁLCULO FUNPRESP'!R555)</f>
        <v/>
      </c>
      <c r="L555" s="111">
        <f ca="1">IF($B$2="Não","",'CÁLCULO FUNPRESP'!S555)</f>
        <v>0</v>
      </c>
      <c r="N555" s="131" t="str">
        <f ca="1">'CÁLCULO FUNPRESP'!U555</f>
        <v/>
      </c>
      <c r="O555" s="111">
        <f ca="1">IF($B$2="Não","",'CÁLCULO FUNPRESP'!Y555)</f>
        <v>0</v>
      </c>
    </row>
    <row r="556" spans="9:15" x14ac:dyDescent="0.3">
      <c r="I556" s="131" t="str">
        <f ca="1">'CÁLCULO FUNPRESP'!P556</f>
        <v/>
      </c>
      <c r="J556" s="111" t="str">
        <f ca="1">IF($B$2="Não","",'CÁLCULO FUNPRESP'!Q556)</f>
        <v/>
      </c>
      <c r="K556" s="111" t="str">
        <f ca="1">IF($B$2="Não","",'CÁLCULO FUNPRESP'!R556)</f>
        <v/>
      </c>
      <c r="L556" s="111">
        <f ca="1">IF($B$2="Não","",'CÁLCULO FUNPRESP'!S556)</f>
        <v>0</v>
      </c>
      <c r="N556" s="131" t="str">
        <f ca="1">'CÁLCULO FUNPRESP'!U556</f>
        <v/>
      </c>
      <c r="O556" s="111">
        <f ca="1">IF($B$2="Não","",'CÁLCULO FUNPRESP'!Y556)</f>
        <v>0</v>
      </c>
    </row>
    <row r="557" spans="9:15" x14ac:dyDescent="0.3">
      <c r="I557" s="131" t="str">
        <f ca="1">'CÁLCULO FUNPRESP'!P557</f>
        <v/>
      </c>
      <c r="J557" s="111" t="str">
        <f ca="1">IF($B$2="Não","",'CÁLCULO FUNPRESP'!Q557)</f>
        <v/>
      </c>
      <c r="K557" s="111" t="str">
        <f ca="1">IF($B$2="Não","",'CÁLCULO FUNPRESP'!R557)</f>
        <v/>
      </c>
      <c r="L557" s="111">
        <f ca="1">IF($B$2="Não","",'CÁLCULO FUNPRESP'!S557)</f>
        <v>0</v>
      </c>
      <c r="N557" s="131" t="str">
        <f ca="1">'CÁLCULO FUNPRESP'!U557</f>
        <v/>
      </c>
      <c r="O557" s="111">
        <f ca="1">IF($B$2="Não","",'CÁLCULO FUNPRESP'!Y557)</f>
        <v>0</v>
      </c>
    </row>
    <row r="558" spans="9:15" x14ac:dyDescent="0.3">
      <c r="I558" s="131" t="str">
        <f ca="1">'CÁLCULO FUNPRESP'!P558</f>
        <v/>
      </c>
      <c r="J558" s="111" t="str">
        <f ca="1">IF($B$2="Não","",'CÁLCULO FUNPRESP'!Q558)</f>
        <v/>
      </c>
      <c r="K558" s="111" t="str">
        <f ca="1">IF($B$2="Não","",'CÁLCULO FUNPRESP'!R558)</f>
        <v/>
      </c>
      <c r="L558" s="111">
        <f ca="1">IF($B$2="Não","",'CÁLCULO FUNPRESP'!S558)</f>
        <v>0</v>
      </c>
      <c r="N558" s="131" t="str">
        <f ca="1">'CÁLCULO FUNPRESP'!U558</f>
        <v/>
      </c>
      <c r="O558" s="111">
        <f ca="1">IF($B$2="Não","",'CÁLCULO FUNPRESP'!Y558)</f>
        <v>0</v>
      </c>
    </row>
    <row r="559" spans="9:15" x14ac:dyDescent="0.3">
      <c r="I559" s="131" t="str">
        <f ca="1">'CÁLCULO FUNPRESP'!P559</f>
        <v/>
      </c>
      <c r="J559" s="111" t="str">
        <f ca="1">IF($B$2="Não","",'CÁLCULO FUNPRESP'!Q559)</f>
        <v/>
      </c>
      <c r="K559" s="111" t="str">
        <f ca="1">IF($B$2="Não","",'CÁLCULO FUNPRESP'!R559)</f>
        <v/>
      </c>
      <c r="L559" s="111">
        <f ca="1">IF($B$2="Não","",'CÁLCULO FUNPRESP'!S559)</f>
        <v>0</v>
      </c>
      <c r="N559" s="131" t="str">
        <f ca="1">'CÁLCULO FUNPRESP'!U559</f>
        <v/>
      </c>
      <c r="O559" s="111">
        <f ca="1">IF($B$2="Não","",'CÁLCULO FUNPRESP'!Y559)</f>
        <v>0</v>
      </c>
    </row>
    <row r="560" spans="9:15" x14ac:dyDescent="0.3">
      <c r="I560" s="131" t="str">
        <f ca="1">'CÁLCULO FUNPRESP'!P560</f>
        <v/>
      </c>
      <c r="J560" s="111" t="str">
        <f ca="1">IF($B$2="Não","",'CÁLCULO FUNPRESP'!Q560)</f>
        <v/>
      </c>
      <c r="K560" s="111" t="str">
        <f ca="1">IF($B$2="Não","",'CÁLCULO FUNPRESP'!R560)</f>
        <v/>
      </c>
      <c r="L560" s="111">
        <f ca="1">IF($B$2="Não","",'CÁLCULO FUNPRESP'!S560)</f>
        <v>0</v>
      </c>
      <c r="N560" s="131" t="str">
        <f ca="1">'CÁLCULO FUNPRESP'!U560</f>
        <v/>
      </c>
      <c r="O560" s="111">
        <f ca="1">IF($B$2="Não","",'CÁLCULO FUNPRESP'!Y560)</f>
        <v>0</v>
      </c>
    </row>
    <row r="561" spans="9:15" x14ac:dyDescent="0.3">
      <c r="I561" s="131" t="str">
        <f ca="1">'CÁLCULO FUNPRESP'!P561</f>
        <v/>
      </c>
      <c r="J561" s="111" t="str">
        <f ca="1">IF($B$2="Não","",'CÁLCULO FUNPRESP'!Q561)</f>
        <v/>
      </c>
      <c r="K561" s="111" t="str">
        <f ca="1">IF($B$2="Não","",'CÁLCULO FUNPRESP'!R561)</f>
        <v/>
      </c>
      <c r="L561" s="111">
        <f ca="1">IF($B$2="Não","",'CÁLCULO FUNPRESP'!S561)</f>
        <v>0</v>
      </c>
      <c r="N561" s="131" t="str">
        <f ca="1">'CÁLCULO FUNPRESP'!U561</f>
        <v/>
      </c>
      <c r="O561" s="111">
        <f ca="1">IF($B$2="Não","",'CÁLCULO FUNPRESP'!Y561)</f>
        <v>0</v>
      </c>
    </row>
    <row r="562" spans="9:15" x14ac:dyDescent="0.3">
      <c r="I562" s="131" t="str">
        <f ca="1">'CÁLCULO FUNPRESP'!P562</f>
        <v/>
      </c>
      <c r="J562" s="111" t="str">
        <f ca="1">IF($B$2="Não","",'CÁLCULO FUNPRESP'!Q562)</f>
        <v/>
      </c>
      <c r="K562" s="111" t="str">
        <f ca="1">IF($B$2="Não","",'CÁLCULO FUNPRESP'!R562)</f>
        <v/>
      </c>
      <c r="L562" s="111">
        <f ca="1">IF($B$2="Não","",'CÁLCULO FUNPRESP'!S562)</f>
        <v>0</v>
      </c>
      <c r="N562" s="131" t="str">
        <f ca="1">'CÁLCULO FUNPRESP'!U562</f>
        <v/>
      </c>
      <c r="O562" s="111">
        <f ca="1">IF($B$2="Não","",'CÁLCULO FUNPRESP'!Y562)</f>
        <v>0</v>
      </c>
    </row>
    <row r="563" spans="9:15" x14ac:dyDescent="0.3">
      <c r="I563" s="131" t="str">
        <f ca="1">'CÁLCULO FUNPRESP'!P563</f>
        <v/>
      </c>
      <c r="J563" s="111" t="str">
        <f ca="1">IF($B$2="Não","",'CÁLCULO FUNPRESP'!Q563)</f>
        <v/>
      </c>
      <c r="K563" s="111" t="str">
        <f ca="1">IF($B$2="Não","",'CÁLCULO FUNPRESP'!R563)</f>
        <v/>
      </c>
      <c r="L563" s="111">
        <f ca="1">IF($B$2="Não","",'CÁLCULO FUNPRESP'!S563)</f>
        <v>0</v>
      </c>
      <c r="N563" s="131" t="str">
        <f ca="1">'CÁLCULO FUNPRESP'!U563</f>
        <v/>
      </c>
      <c r="O563" s="111">
        <f ca="1">IF($B$2="Não","",'CÁLCULO FUNPRESP'!Y563)</f>
        <v>0</v>
      </c>
    </row>
    <row r="564" spans="9:15" x14ac:dyDescent="0.3">
      <c r="I564" s="131" t="str">
        <f ca="1">'CÁLCULO FUNPRESP'!P564</f>
        <v/>
      </c>
      <c r="J564" s="111" t="str">
        <f ca="1">IF($B$2="Não","",'CÁLCULO FUNPRESP'!Q564)</f>
        <v/>
      </c>
      <c r="K564" s="111" t="str">
        <f ca="1">IF($B$2="Não","",'CÁLCULO FUNPRESP'!R564)</f>
        <v/>
      </c>
      <c r="L564" s="111">
        <f ca="1">IF($B$2="Não","",'CÁLCULO FUNPRESP'!S564)</f>
        <v>0</v>
      </c>
      <c r="N564" s="131" t="str">
        <f ca="1">'CÁLCULO FUNPRESP'!U564</f>
        <v/>
      </c>
      <c r="O564" s="111">
        <f ca="1">IF($B$2="Não","",'CÁLCULO FUNPRESP'!Y564)</f>
        <v>0</v>
      </c>
    </row>
    <row r="565" spans="9:15" x14ac:dyDescent="0.3">
      <c r="I565" s="131" t="str">
        <f ca="1">'CÁLCULO FUNPRESP'!P565</f>
        <v/>
      </c>
      <c r="J565" s="111" t="str">
        <f ca="1">IF($B$2="Não","",'CÁLCULO FUNPRESP'!Q565)</f>
        <v/>
      </c>
      <c r="K565" s="111" t="str">
        <f ca="1">IF($B$2="Não","",'CÁLCULO FUNPRESP'!R565)</f>
        <v/>
      </c>
      <c r="L565" s="111">
        <f ca="1">IF($B$2="Não","",'CÁLCULO FUNPRESP'!S565)</f>
        <v>0</v>
      </c>
      <c r="N565" s="131" t="str">
        <f ca="1">'CÁLCULO FUNPRESP'!U565</f>
        <v/>
      </c>
      <c r="O565" s="111">
        <f ca="1">IF($B$2="Não","",'CÁLCULO FUNPRESP'!Y565)</f>
        <v>0</v>
      </c>
    </row>
    <row r="566" spans="9:15" x14ac:dyDescent="0.3">
      <c r="I566" s="131" t="str">
        <f ca="1">'CÁLCULO FUNPRESP'!P566</f>
        <v/>
      </c>
      <c r="J566" s="111" t="str">
        <f ca="1">IF($B$2="Não","",'CÁLCULO FUNPRESP'!Q566)</f>
        <v/>
      </c>
      <c r="K566" s="111" t="str">
        <f ca="1">IF($B$2="Não","",'CÁLCULO FUNPRESP'!R566)</f>
        <v/>
      </c>
      <c r="L566" s="111">
        <f ca="1">IF($B$2="Não","",'CÁLCULO FUNPRESP'!S566)</f>
        <v>0</v>
      </c>
      <c r="N566" s="131" t="str">
        <f ca="1">'CÁLCULO FUNPRESP'!U566</f>
        <v/>
      </c>
      <c r="O566" s="111">
        <f ca="1">IF($B$2="Não","",'CÁLCULO FUNPRESP'!Y566)</f>
        <v>0</v>
      </c>
    </row>
    <row r="567" spans="9:15" x14ac:dyDescent="0.3">
      <c r="I567" s="131" t="str">
        <f ca="1">'CÁLCULO FUNPRESP'!P567</f>
        <v/>
      </c>
      <c r="J567" s="111" t="str">
        <f ca="1">IF($B$2="Não","",'CÁLCULO FUNPRESP'!Q567)</f>
        <v/>
      </c>
      <c r="K567" s="111" t="str">
        <f ca="1">IF($B$2="Não","",'CÁLCULO FUNPRESP'!R567)</f>
        <v/>
      </c>
      <c r="L567" s="111">
        <f ca="1">IF($B$2="Não","",'CÁLCULO FUNPRESP'!S567)</f>
        <v>0</v>
      </c>
      <c r="N567" s="131" t="str">
        <f ca="1">'CÁLCULO FUNPRESP'!U567</f>
        <v/>
      </c>
      <c r="O567" s="111">
        <f ca="1">IF($B$2="Não","",'CÁLCULO FUNPRESP'!Y567)</f>
        <v>0</v>
      </c>
    </row>
    <row r="568" spans="9:15" x14ac:dyDescent="0.3">
      <c r="I568" s="131" t="str">
        <f ca="1">'CÁLCULO FUNPRESP'!P568</f>
        <v/>
      </c>
      <c r="J568" s="111" t="str">
        <f ca="1">IF($B$2="Não","",'CÁLCULO FUNPRESP'!Q568)</f>
        <v/>
      </c>
      <c r="K568" s="111" t="str">
        <f ca="1">IF($B$2="Não","",'CÁLCULO FUNPRESP'!R568)</f>
        <v/>
      </c>
      <c r="L568" s="111">
        <f ca="1">IF($B$2="Não","",'CÁLCULO FUNPRESP'!S568)</f>
        <v>0</v>
      </c>
      <c r="N568" s="131" t="str">
        <f ca="1">'CÁLCULO FUNPRESP'!U568</f>
        <v/>
      </c>
      <c r="O568" s="111">
        <f ca="1">IF($B$2="Não","",'CÁLCULO FUNPRESP'!Y568)</f>
        <v>0</v>
      </c>
    </row>
    <row r="569" spans="9:15" x14ac:dyDescent="0.3">
      <c r="I569" s="131" t="str">
        <f ca="1">'CÁLCULO FUNPRESP'!P569</f>
        <v/>
      </c>
      <c r="J569" s="111" t="str">
        <f ca="1">IF($B$2="Não","",'CÁLCULO FUNPRESP'!Q569)</f>
        <v/>
      </c>
      <c r="K569" s="111" t="str">
        <f ca="1">IF($B$2="Não","",'CÁLCULO FUNPRESP'!R569)</f>
        <v/>
      </c>
      <c r="L569" s="111">
        <f ca="1">IF($B$2="Não","",'CÁLCULO FUNPRESP'!S569)</f>
        <v>0</v>
      </c>
      <c r="N569" s="131" t="str">
        <f ca="1">'CÁLCULO FUNPRESP'!U569</f>
        <v/>
      </c>
      <c r="O569" s="111">
        <f ca="1">IF($B$2="Não","",'CÁLCULO FUNPRESP'!Y569)</f>
        <v>0</v>
      </c>
    </row>
    <row r="570" spans="9:15" x14ac:dyDescent="0.3">
      <c r="I570" s="131" t="str">
        <f ca="1">'CÁLCULO FUNPRESP'!P570</f>
        <v/>
      </c>
      <c r="J570" s="111" t="str">
        <f ca="1">IF($B$2="Não","",'CÁLCULO FUNPRESP'!Q570)</f>
        <v/>
      </c>
      <c r="K570" s="111" t="str">
        <f ca="1">IF($B$2="Não","",'CÁLCULO FUNPRESP'!R570)</f>
        <v/>
      </c>
      <c r="L570" s="111">
        <f ca="1">IF($B$2="Não","",'CÁLCULO FUNPRESP'!S570)</f>
        <v>0</v>
      </c>
      <c r="N570" s="131" t="str">
        <f ca="1">'CÁLCULO FUNPRESP'!U570</f>
        <v/>
      </c>
      <c r="O570" s="111">
        <f ca="1">IF($B$2="Não","",'CÁLCULO FUNPRESP'!Y570)</f>
        <v>0</v>
      </c>
    </row>
    <row r="571" spans="9:15" x14ac:dyDescent="0.3">
      <c r="I571" s="131" t="str">
        <f ca="1">'CÁLCULO FUNPRESP'!P571</f>
        <v/>
      </c>
      <c r="J571" s="111" t="str">
        <f ca="1">IF($B$2="Não","",'CÁLCULO FUNPRESP'!Q571)</f>
        <v/>
      </c>
      <c r="K571" s="111" t="str">
        <f ca="1">IF($B$2="Não","",'CÁLCULO FUNPRESP'!R571)</f>
        <v/>
      </c>
      <c r="L571" s="111">
        <f ca="1">IF($B$2="Não","",'CÁLCULO FUNPRESP'!S571)</f>
        <v>0</v>
      </c>
      <c r="N571" s="131" t="str">
        <f ca="1">'CÁLCULO FUNPRESP'!U571</f>
        <v/>
      </c>
      <c r="O571" s="111">
        <f ca="1">IF($B$2="Não","",'CÁLCULO FUNPRESP'!Y571)</f>
        <v>0</v>
      </c>
    </row>
    <row r="572" spans="9:15" x14ac:dyDescent="0.3">
      <c r="I572" s="131" t="str">
        <f ca="1">'CÁLCULO FUNPRESP'!P572</f>
        <v/>
      </c>
      <c r="J572" s="111" t="str">
        <f ca="1">IF($B$2="Não","",'CÁLCULO FUNPRESP'!Q572)</f>
        <v/>
      </c>
      <c r="K572" s="111" t="str">
        <f ca="1">IF($B$2="Não","",'CÁLCULO FUNPRESP'!R572)</f>
        <v/>
      </c>
      <c r="L572" s="111">
        <f ca="1">IF($B$2="Não","",'CÁLCULO FUNPRESP'!S572)</f>
        <v>0</v>
      </c>
      <c r="N572" s="131" t="str">
        <f ca="1">'CÁLCULO FUNPRESP'!U572</f>
        <v/>
      </c>
      <c r="O572" s="111">
        <f ca="1">IF($B$2="Não","",'CÁLCULO FUNPRESP'!Y572)</f>
        <v>0</v>
      </c>
    </row>
    <row r="573" spans="9:15" x14ac:dyDescent="0.3">
      <c r="I573" s="131" t="str">
        <f ca="1">'CÁLCULO FUNPRESP'!P573</f>
        <v/>
      </c>
      <c r="J573" s="111" t="str">
        <f ca="1">IF($B$2="Não","",'CÁLCULO FUNPRESP'!Q573)</f>
        <v/>
      </c>
      <c r="K573" s="111" t="str">
        <f ca="1">IF($B$2="Não","",'CÁLCULO FUNPRESP'!R573)</f>
        <v/>
      </c>
      <c r="L573" s="111">
        <f ca="1">IF($B$2="Não","",'CÁLCULO FUNPRESP'!S573)</f>
        <v>0</v>
      </c>
      <c r="N573" s="131" t="str">
        <f ca="1">'CÁLCULO FUNPRESP'!U573</f>
        <v/>
      </c>
      <c r="O573" s="111">
        <f ca="1">IF($B$2="Não","",'CÁLCULO FUNPRESP'!Y573)</f>
        <v>0</v>
      </c>
    </row>
    <row r="574" spans="9:15" x14ac:dyDescent="0.3">
      <c r="I574" s="131" t="str">
        <f ca="1">'CÁLCULO FUNPRESP'!P574</f>
        <v/>
      </c>
      <c r="J574" s="111" t="str">
        <f ca="1">IF($B$2="Não","",'CÁLCULO FUNPRESP'!Q574)</f>
        <v/>
      </c>
      <c r="K574" s="111" t="str">
        <f ca="1">IF($B$2="Não","",'CÁLCULO FUNPRESP'!R574)</f>
        <v/>
      </c>
      <c r="L574" s="111">
        <f ca="1">IF($B$2="Não","",'CÁLCULO FUNPRESP'!S574)</f>
        <v>0</v>
      </c>
      <c r="N574" s="131" t="str">
        <f ca="1">'CÁLCULO FUNPRESP'!U574</f>
        <v/>
      </c>
      <c r="O574" s="111">
        <f ca="1">IF($B$2="Não","",'CÁLCULO FUNPRESP'!Y574)</f>
        <v>0</v>
      </c>
    </row>
    <row r="575" spans="9:15" x14ac:dyDescent="0.3">
      <c r="I575" s="131" t="str">
        <f ca="1">'CÁLCULO FUNPRESP'!P575</f>
        <v/>
      </c>
      <c r="J575" s="111" t="str">
        <f ca="1">IF($B$2="Não","",'CÁLCULO FUNPRESP'!Q575)</f>
        <v/>
      </c>
      <c r="K575" s="111" t="str">
        <f ca="1">IF($B$2="Não","",'CÁLCULO FUNPRESP'!R575)</f>
        <v/>
      </c>
      <c r="L575" s="111">
        <f ca="1">IF($B$2="Não","",'CÁLCULO FUNPRESP'!S575)</f>
        <v>0</v>
      </c>
      <c r="N575" s="131" t="str">
        <f ca="1">'CÁLCULO FUNPRESP'!U575</f>
        <v/>
      </c>
      <c r="O575" s="111">
        <f ca="1">IF($B$2="Não","",'CÁLCULO FUNPRESP'!Y575)</f>
        <v>0</v>
      </c>
    </row>
    <row r="576" spans="9:15" x14ac:dyDescent="0.3">
      <c r="I576" s="131" t="str">
        <f ca="1">'CÁLCULO FUNPRESP'!P576</f>
        <v/>
      </c>
      <c r="J576" s="111" t="str">
        <f ca="1">IF($B$2="Não","",'CÁLCULO FUNPRESP'!Q576)</f>
        <v/>
      </c>
      <c r="K576" s="111" t="str">
        <f ca="1">IF($B$2="Não","",'CÁLCULO FUNPRESP'!R576)</f>
        <v/>
      </c>
      <c r="L576" s="111">
        <f ca="1">IF($B$2="Não","",'CÁLCULO FUNPRESP'!S576)</f>
        <v>0</v>
      </c>
      <c r="N576" s="131" t="str">
        <f ca="1">'CÁLCULO FUNPRESP'!U576</f>
        <v/>
      </c>
      <c r="O576" s="111">
        <f ca="1">IF($B$2="Não","",'CÁLCULO FUNPRESP'!Y576)</f>
        <v>0</v>
      </c>
    </row>
    <row r="577" spans="9:15" x14ac:dyDescent="0.3">
      <c r="I577" s="131" t="str">
        <f ca="1">'CÁLCULO FUNPRESP'!P577</f>
        <v/>
      </c>
      <c r="J577" s="111" t="str">
        <f ca="1">IF($B$2="Não","",'CÁLCULO FUNPRESP'!Q577)</f>
        <v/>
      </c>
      <c r="K577" s="111" t="str">
        <f ca="1">IF($B$2="Não","",'CÁLCULO FUNPRESP'!R577)</f>
        <v/>
      </c>
      <c r="L577" s="111">
        <f ca="1">IF($B$2="Não","",'CÁLCULO FUNPRESP'!S577)</f>
        <v>0</v>
      </c>
      <c r="N577" s="131" t="str">
        <f ca="1">'CÁLCULO FUNPRESP'!U577</f>
        <v/>
      </c>
      <c r="O577" s="111">
        <f ca="1">IF($B$2="Não","",'CÁLCULO FUNPRESP'!Y577)</f>
        <v>0</v>
      </c>
    </row>
    <row r="578" spans="9:15" x14ac:dyDescent="0.3">
      <c r="I578" s="131" t="str">
        <f ca="1">'CÁLCULO FUNPRESP'!P578</f>
        <v/>
      </c>
      <c r="J578" s="111" t="str">
        <f ca="1">IF($B$2="Não","",'CÁLCULO FUNPRESP'!Q578)</f>
        <v/>
      </c>
      <c r="K578" s="111" t="str">
        <f ca="1">IF($B$2="Não","",'CÁLCULO FUNPRESP'!R578)</f>
        <v/>
      </c>
      <c r="L578" s="111">
        <f ca="1">IF($B$2="Não","",'CÁLCULO FUNPRESP'!S578)</f>
        <v>0</v>
      </c>
      <c r="N578" s="131" t="str">
        <f ca="1">'CÁLCULO FUNPRESP'!U578</f>
        <v/>
      </c>
      <c r="O578" s="111">
        <f ca="1">IF($B$2="Não","",'CÁLCULO FUNPRESP'!Y578)</f>
        <v>0</v>
      </c>
    </row>
    <row r="579" spans="9:15" x14ac:dyDescent="0.3">
      <c r="I579" s="131" t="str">
        <f ca="1">'CÁLCULO FUNPRESP'!P579</f>
        <v/>
      </c>
      <c r="J579" s="111" t="str">
        <f ca="1">IF($B$2="Não","",'CÁLCULO FUNPRESP'!Q579)</f>
        <v/>
      </c>
      <c r="K579" s="111" t="str">
        <f ca="1">IF($B$2="Não","",'CÁLCULO FUNPRESP'!R579)</f>
        <v/>
      </c>
      <c r="L579" s="111">
        <f ca="1">IF($B$2="Não","",'CÁLCULO FUNPRESP'!S579)</f>
        <v>0</v>
      </c>
      <c r="N579" s="131" t="str">
        <f ca="1">'CÁLCULO FUNPRESP'!U579</f>
        <v/>
      </c>
      <c r="O579" s="111">
        <f ca="1">IF($B$2="Não","",'CÁLCULO FUNPRESP'!Y579)</f>
        <v>0</v>
      </c>
    </row>
    <row r="580" spans="9:15" x14ac:dyDescent="0.3">
      <c r="I580" s="131" t="str">
        <f ca="1">'CÁLCULO FUNPRESP'!P580</f>
        <v/>
      </c>
      <c r="J580" s="111" t="str">
        <f ca="1">IF($B$2="Não","",'CÁLCULO FUNPRESP'!Q580)</f>
        <v/>
      </c>
      <c r="K580" s="111" t="str">
        <f ca="1">IF($B$2="Não","",'CÁLCULO FUNPRESP'!R580)</f>
        <v/>
      </c>
      <c r="L580" s="111">
        <f ca="1">IF($B$2="Não","",'CÁLCULO FUNPRESP'!S580)</f>
        <v>0</v>
      </c>
      <c r="N580" s="131" t="str">
        <f ca="1">'CÁLCULO FUNPRESP'!U580</f>
        <v/>
      </c>
      <c r="O580" s="111">
        <f ca="1">IF($B$2="Não","",'CÁLCULO FUNPRESP'!Y580)</f>
        <v>0</v>
      </c>
    </row>
    <row r="581" spans="9:15" x14ac:dyDescent="0.3">
      <c r="I581" s="131" t="str">
        <f ca="1">'CÁLCULO FUNPRESP'!P581</f>
        <v/>
      </c>
      <c r="J581" s="111" t="str">
        <f ca="1">IF($B$2="Não","",'CÁLCULO FUNPRESP'!Q581)</f>
        <v/>
      </c>
      <c r="K581" s="111" t="str">
        <f ca="1">IF($B$2="Não","",'CÁLCULO FUNPRESP'!R581)</f>
        <v/>
      </c>
      <c r="L581" s="111">
        <f ca="1">IF($B$2="Não","",'CÁLCULO FUNPRESP'!S581)</f>
        <v>0</v>
      </c>
      <c r="N581" s="131" t="str">
        <f ca="1">'CÁLCULO FUNPRESP'!U581</f>
        <v/>
      </c>
      <c r="O581" s="111">
        <f ca="1">IF($B$2="Não","",'CÁLCULO FUNPRESP'!Y581)</f>
        <v>0</v>
      </c>
    </row>
    <row r="582" spans="9:15" x14ac:dyDescent="0.3">
      <c r="I582" s="131" t="str">
        <f ca="1">'CÁLCULO FUNPRESP'!P582</f>
        <v/>
      </c>
      <c r="J582" s="111" t="str">
        <f ca="1">IF($B$2="Não","",'CÁLCULO FUNPRESP'!Q582)</f>
        <v/>
      </c>
      <c r="K582" s="111" t="str">
        <f ca="1">IF($B$2="Não","",'CÁLCULO FUNPRESP'!R582)</f>
        <v/>
      </c>
      <c r="L582" s="111">
        <f ca="1">IF($B$2="Não","",'CÁLCULO FUNPRESP'!S582)</f>
        <v>0</v>
      </c>
      <c r="N582" s="131" t="str">
        <f ca="1">'CÁLCULO FUNPRESP'!U582</f>
        <v/>
      </c>
      <c r="O582" s="111">
        <f ca="1">IF($B$2="Não","",'CÁLCULO FUNPRESP'!Y582)</f>
        <v>0</v>
      </c>
    </row>
    <row r="583" spans="9:15" x14ac:dyDescent="0.3">
      <c r="I583" s="131" t="str">
        <f ca="1">'CÁLCULO FUNPRESP'!P583</f>
        <v/>
      </c>
      <c r="J583" s="111" t="str">
        <f ca="1">IF($B$2="Não","",'CÁLCULO FUNPRESP'!Q583)</f>
        <v/>
      </c>
      <c r="K583" s="111" t="str">
        <f ca="1">IF($B$2="Não","",'CÁLCULO FUNPRESP'!R583)</f>
        <v/>
      </c>
      <c r="L583" s="111">
        <f ca="1">IF($B$2="Não","",'CÁLCULO FUNPRESP'!S583)</f>
        <v>0</v>
      </c>
      <c r="N583" s="131" t="str">
        <f ca="1">'CÁLCULO FUNPRESP'!U583</f>
        <v/>
      </c>
      <c r="O583" s="111">
        <f ca="1">IF($B$2="Não","",'CÁLCULO FUNPRESP'!Y583)</f>
        <v>0</v>
      </c>
    </row>
    <row r="584" spans="9:15" x14ac:dyDescent="0.3">
      <c r="I584" s="131" t="str">
        <f ca="1">'CÁLCULO FUNPRESP'!P584</f>
        <v/>
      </c>
      <c r="J584" s="111" t="str">
        <f ca="1">IF($B$2="Não","",'CÁLCULO FUNPRESP'!Q584)</f>
        <v/>
      </c>
      <c r="K584" s="111" t="str">
        <f ca="1">IF($B$2="Não","",'CÁLCULO FUNPRESP'!R584)</f>
        <v/>
      </c>
      <c r="L584" s="111">
        <f ca="1">IF($B$2="Não","",'CÁLCULO FUNPRESP'!S584)</f>
        <v>0</v>
      </c>
      <c r="N584" s="131" t="str">
        <f ca="1">'CÁLCULO FUNPRESP'!U584</f>
        <v/>
      </c>
      <c r="O584" s="111">
        <f ca="1">IF($B$2="Não","",'CÁLCULO FUNPRESP'!Y584)</f>
        <v>0</v>
      </c>
    </row>
    <row r="585" spans="9:15" x14ac:dyDescent="0.3">
      <c r="I585" s="131" t="str">
        <f ca="1">'CÁLCULO FUNPRESP'!P585</f>
        <v/>
      </c>
      <c r="J585" s="111" t="str">
        <f ca="1">IF($B$2="Não","",'CÁLCULO FUNPRESP'!Q585)</f>
        <v/>
      </c>
      <c r="K585" s="111" t="str">
        <f ca="1">IF($B$2="Não","",'CÁLCULO FUNPRESP'!R585)</f>
        <v/>
      </c>
      <c r="L585" s="111">
        <f ca="1">IF($B$2="Não","",'CÁLCULO FUNPRESP'!S585)</f>
        <v>0</v>
      </c>
      <c r="N585" s="131" t="str">
        <f ca="1">'CÁLCULO FUNPRESP'!U585</f>
        <v/>
      </c>
      <c r="O585" s="111">
        <f ca="1">IF($B$2="Não","",'CÁLCULO FUNPRESP'!Y585)</f>
        <v>0</v>
      </c>
    </row>
    <row r="586" spans="9:15" x14ac:dyDescent="0.3">
      <c r="I586" s="131" t="str">
        <f ca="1">'CÁLCULO FUNPRESP'!P586</f>
        <v/>
      </c>
      <c r="J586" s="111" t="str">
        <f ca="1">IF($B$2="Não","",'CÁLCULO FUNPRESP'!Q586)</f>
        <v/>
      </c>
      <c r="K586" s="111" t="str">
        <f ca="1">IF($B$2="Não","",'CÁLCULO FUNPRESP'!R586)</f>
        <v/>
      </c>
      <c r="L586" s="111">
        <f ca="1">IF($B$2="Não","",'CÁLCULO FUNPRESP'!S586)</f>
        <v>0</v>
      </c>
      <c r="N586" s="131" t="str">
        <f ca="1">'CÁLCULO FUNPRESP'!U586</f>
        <v/>
      </c>
      <c r="O586" s="111">
        <f ca="1">IF($B$2="Não","",'CÁLCULO FUNPRESP'!Y586)</f>
        <v>0</v>
      </c>
    </row>
    <row r="587" spans="9:15" x14ac:dyDescent="0.3">
      <c r="I587" s="131" t="str">
        <f ca="1">'CÁLCULO FUNPRESP'!P587</f>
        <v/>
      </c>
      <c r="J587" s="111" t="str">
        <f ca="1">IF($B$2="Não","",'CÁLCULO FUNPRESP'!Q587)</f>
        <v/>
      </c>
      <c r="K587" s="111" t="str">
        <f ca="1">IF($B$2="Não","",'CÁLCULO FUNPRESP'!R587)</f>
        <v/>
      </c>
      <c r="L587" s="111">
        <f ca="1">IF($B$2="Não","",'CÁLCULO FUNPRESP'!S587)</f>
        <v>0</v>
      </c>
      <c r="N587" s="131" t="str">
        <f ca="1">'CÁLCULO FUNPRESP'!U587</f>
        <v/>
      </c>
      <c r="O587" s="111">
        <f ca="1">IF($B$2="Não","",'CÁLCULO FUNPRESP'!Y587)</f>
        <v>0</v>
      </c>
    </row>
    <row r="588" spans="9:15" x14ac:dyDescent="0.3">
      <c r="I588" s="131" t="str">
        <f ca="1">'CÁLCULO FUNPRESP'!P588</f>
        <v/>
      </c>
      <c r="J588" s="111" t="str">
        <f ca="1">IF($B$2="Não","",'CÁLCULO FUNPRESP'!Q588)</f>
        <v/>
      </c>
      <c r="K588" s="111" t="str">
        <f ca="1">IF($B$2="Não","",'CÁLCULO FUNPRESP'!R588)</f>
        <v/>
      </c>
      <c r="L588" s="111">
        <f ca="1">IF($B$2="Não","",'CÁLCULO FUNPRESP'!S588)</f>
        <v>0</v>
      </c>
      <c r="N588" s="131" t="str">
        <f ca="1">'CÁLCULO FUNPRESP'!U588</f>
        <v/>
      </c>
      <c r="O588" s="111">
        <f ca="1">IF($B$2="Não","",'CÁLCULO FUNPRESP'!Y588)</f>
        <v>0</v>
      </c>
    </row>
    <row r="589" spans="9:15" x14ac:dyDescent="0.3">
      <c r="I589" s="131" t="str">
        <f ca="1">'CÁLCULO FUNPRESP'!P589</f>
        <v/>
      </c>
      <c r="J589" s="111" t="str">
        <f ca="1">IF($B$2="Não","",'CÁLCULO FUNPRESP'!Q589)</f>
        <v/>
      </c>
      <c r="K589" s="111" t="str">
        <f ca="1">IF($B$2="Não","",'CÁLCULO FUNPRESP'!R589)</f>
        <v/>
      </c>
      <c r="L589" s="111">
        <f ca="1">IF($B$2="Não","",'CÁLCULO FUNPRESP'!S589)</f>
        <v>0</v>
      </c>
      <c r="N589" s="131" t="str">
        <f ca="1">'CÁLCULO FUNPRESP'!U589</f>
        <v/>
      </c>
      <c r="O589" s="111">
        <f ca="1">IF($B$2="Não","",'CÁLCULO FUNPRESP'!Y589)</f>
        <v>0</v>
      </c>
    </row>
    <row r="590" spans="9:15" x14ac:dyDescent="0.3">
      <c r="I590" s="131" t="str">
        <f ca="1">'CÁLCULO FUNPRESP'!P590</f>
        <v/>
      </c>
      <c r="J590" s="111" t="str">
        <f ca="1">IF($B$2="Não","",'CÁLCULO FUNPRESP'!Q590)</f>
        <v/>
      </c>
      <c r="K590" s="111" t="str">
        <f ca="1">IF($B$2="Não","",'CÁLCULO FUNPRESP'!R590)</f>
        <v/>
      </c>
      <c r="L590" s="111">
        <f ca="1">IF($B$2="Não","",'CÁLCULO FUNPRESP'!S590)</f>
        <v>0</v>
      </c>
      <c r="N590" s="131" t="str">
        <f ca="1">'CÁLCULO FUNPRESP'!U590</f>
        <v/>
      </c>
      <c r="O590" s="111">
        <f ca="1">IF($B$2="Não","",'CÁLCULO FUNPRESP'!Y590)</f>
        <v>0</v>
      </c>
    </row>
    <row r="591" spans="9:15" x14ac:dyDescent="0.3">
      <c r="I591" s="131" t="str">
        <f ca="1">'CÁLCULO FUNPRESP'!P591</f>
        <v/>
      </c>
      <c r="J591" s="111" t="str">
        <f ca="1">IF($B$2="Não","",'CÁLCULO FUNPRESP'!Q591)</f>
        <v/>
      </c>
      <c r="K591" s="111" t="str">
        <f ca="1">IF($B$2="Não","",'CÁLCULO FUNPRESP'!R591)</f>
        <v/>
      </c>
      <c r="L591" s="111">
        <f ca="1">IF($B$2="Não","",'CÁLCULO FUNPRESP'!S591)</f>
        <v>0</v>
      </c>
      <c r="N591" s="131" t="str">
        <f ca="1">'CÁLCULO FUNPRESP'!U591</f>
        <v/>
      </c>
      <c r="O591" s="111">
        <f ca="1">IF($B$2="Não","",'CÁLCULO FUNPRESP'!Y591)</f>
        <v>0</v>
      </c>
    </row>
    <row r="592" spans="9:15" x14ac:dyDescent="0.3">
      <c r="I592" s="131" t="str">
        <f ca="1">'CÁLCULO FUNPRESP'!P592</f>
        <v/>
      </c>
      <c r="J592" s="111" t="str">
        <f ca="1">IF($B$2="Não","",'CÁLCULO FUNPRESP'!Q592)</f>
        <v/>
      </c>
      <c r="K592" s="111" t="str">
        <f ca="1">IF($B$2="Não","",'CÁLCULO FUNPRESP'!R592)</f>
        <v/>
      </c>
      <c r="L592" s="111">
        <f ca="1">IF($B$2="Não","",'CÁLCULO FUNPRESP'!S592)</f>
        <v>0</v>
      </c>
      <c r="N592" s="131" t="str">
        <f ca="1">'CÁLCULO FUNPRESP'!U592</f>
        <v/>
      </c>
      <c r="O592" s="111">
        <f ca="1">IF($B$2="Não","",'CÁLCULO FUNPRESP'!Y592)</f>
        <v>0</v>
      </c>
    </row>
    <row r="593" spans="9:15" x14ac:dyDescent="0.3">
      <c r="I593" s="131" t="str">
        <f ca="1">'CÁLCULO FUNPRESP'!P593</f>
        <v/>
      </c>
      <c r="J593" s="111" t="str">
        <f ca="1">IF($B$2="Não","",'CÁLCULO FUNPRESP'!Q593)</f>
        <v/>
      </c>
      <c r="K593" s="111" t="str">
        <f ca="1">IF($B$2="Não","",'CÁLCULO FUNPRESP'!R593)</f>
        <v/>
      </c>
      <c r="L593" s="111">
        <f ca="1">IF($B$2="Não","",'CÁLCULO FUNPRESP'!S593)</f>
        <v>0</v>
      </c>
      <c r="N593" s="131" t="str">
        <f ca="1">'CÁLCULO FUNPRESP'!U593</f>
        <v/>
      </c>
      <c r="O593" s="111">
        <f ca="1">IF($B$2="Não","",'CÁLCULO FUNPRESP'!Y593)</f>
        <v>0</v>
      </c>
    </row>
    <row r="594" spans="9:15" x14ac:dyDescent="0.3">
      <c r="I594" s="131" t="str">
        <f ca="1">'CÁLCULO FUNPRESP'!P594</f>
        <v/>
      </c>
      <c r="J594" s="111" t="str">
        <f ca="1">IF($B$2="Não","",'CÁLCULO FUNPRESP'!Q594)</f>
        <v/>
      </c>
      <c r="K594" s="111" t="str">
        <f ca="1">IF($B$2="Não","",'CÁLCULO FUNPRESP'!R594)</f>
        <v/>
      </c>
      <c r="L594" s="111">
        <f ca="1">IF($B$2="Não","",'CÁLCULO FUNPRESP'!S594)</f>
        <v>0</v>
      </c>
      <c r="N594" s="131" t="str">
        <f ca="1">'CÁLCULO FUNPRESP'!U594</f>
        <v/>
      </c>
      <c r="O594" s="111">
        <f ca="1">IF($B$2="Não","",'CÁLCULO FUNPRESP'!Y594)</f>
        <v>0</v>
      </c>
    </row>
    <row r="595" spans="9:15" x14ac:dyDescent="0.3">
      <c r="I595" s="131" t="str">
        <f ca="1">'CÁLCULO FUNPRESP'!P595</f>
        <v/>
      </c>
      <c r="J595" s="111" t="str">
        <f ca="1">IF($B$2="Não","",'CÁLCULO FUNPRESP'!Q595)</f>
        <v/>
      </c>
      <c r="K595" s="111" t="str">
        <f ca="1">IF($B$2="Não","",'CÁLCULO FUNPRESP'!R595)</f>
        <v/>
      </c>
      <c r="L595" s="111">
        <f ca="1">IF($B$2="Não","",'CÁLCULO FUNPRESP'!S595)</f>
        <v>0</v>
      </c>
      <c r="N595" s="131" t="str">
        <f ca="1">'CÁLCULO FUNPRESP'!U595</f>
        <v/>
      </c>
      <c r="O595" s="111">
        <f ca="1">IF($B$2="Não","",'CÁLCULO FUNPRESP'!Y595)</f>
        <v>0</v>
      </c>
    </row>
    <row r="596" spans="9:15" x14ac:dyDescent="0.3">
      <c r="I596" s="131" t="str">
        <f ca="1">'CÁLCULO FUNPRESP'!P596</f>
        <v/>
      </c>
      <c r="J596" s="111" t="str">
        <f ca="1">IF($B$2="Não","",'CÁLCULO FUNPRESP'!Q596)</f>
        <v/>
      </c>
      <c r="K596" s="111" t="str">
        <f ca="1">IF($B$2="Não","",'CÁLCULO FUNPRESP'!R596)</f>
        <v/>
      </c>
      <c r="L596" s="111">
        <f ca="1">IF($B$2="Não","",'CÁLCULO FUNPRESP'!S596)</f>
        <v>0</v>
      </c>
      <c r="N596" s="131" t="str">
        <f ca="1">'CÁLCULO FUNPRESP'!U596</f>
        <v/>
      </c>
      <c r="O596" s="111">
        <f ca="1">IF($B$2="Não","",'CÁLCULO FUNPRESP'!Y596)</f>
        <v>0</v>
      </c>
    </row>
    <row r="597" spans="9:15" x14ac:dyDescent="0.3">
      <c r="I597" s="131" t="str">
        <f ca="1">'CÁLCULO FUNPRESP'!P597</f>
        <v/>
      </c>
      <c r="J597" s="111" t="str">
        <f ca="1">IF($B$2="Não","",'CÁLCULO FUNPRESP'!Q597)</f>
        <v/>
      </c>
      <c r="K597" s="111" t="str">
        <f ca="1">IF($B$2="Não","",'CÁLCULO FUNPRESP'!R597)</f>
        <v/>
      </c>
      <c r="L597" s="111">
        <f ca="1">IF($B$2="Não","",'CÁLCULO FUNPRESP'!S597)</f>
        <v>0</v>
      </c>
      <c r="N597" s="131" t="str">
        <f ca="1">'CÁLCULO FUNPRESP'!U597</f>
        <v/>
      </c>
      <c r="O597" s="111">
        <f ca="1">IF($B$2="Não","",'CÁLCULO FUNPRESP'!Y597)</f>
        <v>0</v>
      </c>
    </row>
    <row r="598" spans="9:15" x14ac:dyDescent="0.3">
      <c r="I598" s="131" t="str">
        <f ca="1">'CÁLCULO FUNPRESP'!P598</f>
        <v/>
      </c>
      <c r="J598" s="111" t="str">
        <f ca="1">IF($B$2="Não","",'CÁLCULO FUNPRESP'!Q598)</f>
        <v/>
      </c>
      <c r="K598" s="111" t="str">
        <f ca="1">IF($B$2="Não","",'CÁLCULO FUNPRESP'!R598)</f>
        <v/>
      </c>
      <c r="L598" s="111">
        <f ca="1">IF($B$2="Não","",'CÁLCULO FUNPRESP'!S598)</f>
        <v>0</v>
      </c>
      <c r="N598" s="131" t="str">
        <f ca="1">'CÁLCULO FUNPRESP'!U598</f>
        <v/>
      </c>
      <c r="O598" s="111">
        <f ca="1">IF($B$2="Não","",'CÁLCULO FUNPRESP'!Y598)</f>
        <v>0</v>
      </c>
    </row>
    <row r="599" spans="9:15" x14ac:dyDescent="0.3">
      <c r="I599" s="131" t="str">
        <f ca="1">'CÁLCULO FUNPRESP'!P599</f>
        <v/>
      </c>
      <c r="J599" s="111" t="str">
        <f ca="1">IF($B$2="Não","",'CÁLCULO FUNPRESP'!Q599)</f>
        <v/>
      </c>
      <c r="K599" s="111" t="str">
        <f ca="1">IF($B$2="Não","",'CÁLCULO FUNPRESP'!R599)</f>
        <v/>
      </c>
      <c r="L599" s="111">
        <f ca="1">IF($B$2="Não","",'CÁLCULO FUNPRESP'!S599)</f>
        <v>0</v>
      </c>
      <c r="N599" s="131" t="str">
        <f ca="1">'CÁLCULO FUNPRESP'!U599</f>
        <v/>
      </c>
      <c r="O599" s="111">
        <f ca="1">IF($B$2="Não","",'CÁLCULO FUNPRESP'!Y599)</f>
        <v>0</v>
      </c>
    </row>
    <row r="600" spans="9:15" x14ac:dyDescent="0.3">
      <c r="I600" s="131" t="str">
        <f ca="1">'CÁLCULO FUNPRESP'!P600</f>
        <v/>
      </c>
      <c r="J600" s="111" t="str">
        <f ca="1">IF($B$2="Não","",'CÁLCULO FUNPRESP'!Q600)</f>
        <v/>
      </c>
      <c r="K600" s="111" t="str">
        <f ca="1">IF($B$2="Não","",'CÁLCULO FUNPRESP'!R600)</f>
        <v/>
      </c>
      <c r="L600" s="111">
        <f ca="1">IF($B$2="Não","",'CÁLCULO FUNPRESP'!S600)</f>
        <v>0</v>
      </c>
      <c r="N600" s="131" t="str">
        <f ca="1">'CÁLCULO FUNPRESP'!U600</f>
        <v/>
      </c>
      <c r="O600" s="111">
        <f ca="1">IF($B$2="Não","",'CÁLCULO FUNPRESP'!Y600)</f>
        <v>0</v>
      </c>
    </row>
    <row r="601" spans="9:15" x14ac:dyDescent="0.3">
      <c r="I601" s="131" t="str">
        <f ca="1">'CÁLCULO FUNPRESP'!P601</f>
        <v/>
      </c>
      <c r="J601" s="111" t="str">
        <f ca="1">IF($B$2="Não","",'CÁLCULO FUNPRESP'!Q601)</f>
        <v/>
      </c>
      <c r="K601" s="111" t="str">
        <f ca="1">IF($B$2="Não","",'CÁLCULO FUNPRESP'!R601)</f>
        <v/>
      </c>
      <c r="L601" s="111">
        <f ca="1">IF($B$2="Não","",'CÁLCULO FUNPRESP'!S601)</f>
        <v>0</v>
      </c>
      <c r="N601" s="131" t="str">
        <f ca="1">'CÁLCULO FUNPRESP'!U601</f>
        <v/>
      </c>
      <c r="O601" s="111">
        <f ca="1">IF($B$2="Não","",'CÁLCULO FUNPRESP'!Y601)</f>
        <v>0</v>
      </c>
    </row>
    <row r="602" spans="9:15" x14ac:dyDescent="0.3">
      <c r="I602" s="131" t="str">
        <f ca="1">'CÁLCULO FUNPRESP'!P602</f>
        <v/>
      </c>
      <c r="J602" s="111" t="str">
        <f ca="1">IF($B$2="Não","",'CÁLCULO FUNPRESP'!Q602)</f>
        <v/>
      </c>
      <c r="K602" s="111" t="str">
        <f ca="1">IF($B$2="Não","",'CÁLCULO FUNPRESP'!R602)</f>
        <v/>
      </c>
      <c r="L602" s="111">
        <f ca="1">IF($B$2="Não","",'CÁLCULO FUNPRESP'!S602)</f>
        <v>0</v>
      </c>
      <c r="N602" s="131" t="str">
        <f ca="1">'CÁLCULO FUNPRESP'!U602</f>
        <v/>
      </c>
      <c r="O602" s="111">
        <f ca="1">IF($B$2="Não","",'CÁLCULO FUNPRESP'!Y602)</f>
        <v>0</v>
      </c>
    </row>
    <row r="603" spans="9:15" x14ac:dyDescent="0.3">
      <c r="I603" s="131" t="str">
        <f ca="1">'CÁLCULO FUNPRESP'!P603</f>
        <v/>
      </c>
      <c r="J603" s="111" t="str">
        <f ca="1">IF($B$2="Não","",'CÁLCULO FUNPRESP'!Q603)</f>
        <v/>
      </c>
      <c r="K603" s="111" t="str">
        <f ca="1">IF($B$2="Não","",'CÁLCULO FUNPRESP'!R603)</f>
        <v/>
      </c>
      <c r="L603" s="111">
        <f ca="1">IF($B$2="Não","",'CÁLCULO FUNPRESP'!S603)</f>
        <v>0</v>
      </c>
      <c r="N603" s="131" t="str">
        <f ca="1">'CÁLCULO FUNPRESP'!U603</f>
        <v/>
      </c>
      <c r="O603" s="111">
        <f ca="1">IF($B$2="Não","",'CÁLCULO FUNPRESP'!Y603)</f>
        <v>0</v>
      </c>
    </row>
    <row r="604" spans="9:15" x14ac:dyDescent="0.3">
      <c r="I604" s="131" t="str">
        <f ca="1">'CÁLCULO FUNPRESP'!P604</f>
        <v/>
      </c>
      <c r="J604" s="111" t="str">
        <f ca="1">IF($B$2="Não","",'CÁLCULO FUNPRESP'!Q604)</f>
        <v/>
      </c>
      <c r="K604" s="111" t="str">
        <f ca="1">IF($B$2="Não","",'CÁLCULO FUNPRESP'!R604)</f>
        <v/>
      </c>
      <c r="L604" s="111">
        <f ca="1">IF($B$2="Não","",'CÁLCULO FUNPRESP'!S604)</f>
        <v>0</v>
      </c>
      <c r="N604" s="131" t="str">
        <f ca="1">'CÁLCULO FUNPRESP'!U604</f>
        <v/>
      </c>
      <c r="O604" s="111">
        <f ca="1">IF($B$2="Não","",'CÁLCULO FUNPRESP'!Y604)</f>
        <v>0</v>
      </c>
    </row>
    <row r="605" spans="9:15" x14ac:dyDescent="0.3">
      <c r="I605" s="131" t="str">
        <f ca="1">'CÁLCULO FUNPRESP'!P605</f>
        <v/>
      </c>
      <c r="J605" s="111" t="str">
        <f ca="1">IF($B$2="Não","",'CÁLCULO FUNPRESP'!Q605)</f>
        <v/>
      </c>
      <c r="K605" s="111" t="str">
        <f ca="1">IF($B$2="Não","",'CÁLCULO FUNPRESP'!R605)</f>
        <v/>
      </c>
      <c r="L605" s="111">
        <f ca="1">IF($B$2="Não","",'CÁLCULO FUNPRESP'!S605)</f>
        <v>0</v>
      </c>
      <c r="N605" s="131" t="str">
        <f ca="1">'CÁLCULO FUNPRESP'!U605</f>
        <v/>
      </c>
      <c r="O605" s="111">
        <f ca="1">IF($B$2="Não","",'CÁLCULO FUNPRESP'!Y605)</f>
        <v>0</v>
      </c>
    </row>
    <row r="606" spans="9:15" x14ac:dyDescent="0.3">
      <c r="I606" s="131" t="str">
        <f ca="1">'CÁLCULO FUNPRESP'!P606</f>
        <v/>
      </c>
      <c r="J606" s="111" t="str">
        <f ca="1">IF($B$2="Não","",'CÁLCULO FUNPRESP'!Q606)</f>
        <v/>
      </c>
      <c r="K606" s="111" t="str">
        <f ca="1">IF($B$2="Não","",'CÁLCULO FUNPRESP'!R606)</f>
        <v/>
      </c>
      <c r="L606" s="111">
        <f ca="1">IF($B$2="Não","",'CÁLCULO FUNPRESP'!S606)</f>
        <v>0</v>
      </c>
      <c r="N606" s="131" t="str">
        <f ca="1">'CÁLCULO FUNPRESP'!U606</f>
        <v/>
      </c>
      <c r="O606" s="111">
        <f ca="1">IF($B$2="Não","",'CÁLCULO FUNPRESP'!Y606)</f>
        <v>0</v>
      </c>
    </row>
    <row r="607" spans="9:15" x14ac:dyDescent="0.3">
      <c r="I607" s="131" t="str">
        <f ca="1">'CÁLCULO FUNPRESP'!P607</f>
        <v/>
      </c>
      <c r="J607" s="111" t="str">
        <f ca="1">IF($B$2="Não","",'CÁLCULO FUNPRESP'!Q607)</f>
        <v/>
      </c>
      <c r="K607" s="111" t="str">
        <f ca="1">IF($B$2="Não","",'CÁLCULO FUNPRESP'!R607)</f>
        <v/>
      </c>
      <c r="L607" s="111">
        <f ca="1">IF($B$2="Não","",'CÁLCULO FUNPRESP'!S607)</f>
        <v>0</v>
      </c>
      <c r="N607" s="131" t="str">
        <f ca="1">'CÁLCULO FUNPRESP'!U607</f>
        <v/>
      </c>
      <c r="O607" s="111">
        <f ca="1">IF($B$2="Não","",'CÁLCULO FUNPRESP'!Y607)</f>
        <v>0</v>
      </c>
    </row>
    <row r="608" spans="9:15" x14ac:dyDescent="0.3">
      <c r="I608" s="131" t="str">
        <f ca="1">'CÁLCULO FUNPRESP'!P608</f>
        <v/>
      </c>
      <c r="J608" s="111" t="str">
        <f ca="1">IF($B$2="Não","",'CÁLCULO FUNPRESP'!Q608)</f>
        <v/>
      </c>
      <c r="K608" s="111" t="str">
        <f ca="1">IF($B$2="Não","",'CÁLCULO FUNPRESP'!R608)</f>
        <v/>
      </c>
      <c r="L608" s="111">
        <f ca="1">IF($B$2="Não","",'CÁLCULO FUNPRESP'!S608)</f>
        <v>0</v>
      </c>
      <c r="N608" s="131" t="str">
        <f ca="1">'CÁLCULO FUNPRESP'!U608</f>
        <v/>
      </c>
      <c r="O608" s="111">
        <f ca="1">IF($B$2="Não","",'CÁLCULO FUNPRESP'!Y608)</f>
        <v>0</v>
      </c>
    </row>
    <row r="609" spans="9:15" x14ac:dyDescent="0.3">
      <c r="I609" s="131" t="str">
        <f ca="1">'CÁLCULO FUNPRESP'!P609</f>
        <v/>
      </c>
      <c r="J609" s="111" t="str">
        <f ca="1">IF($B$2="Não","",'CÁLCULO FUNPRESP'!Q609)</f>
        <v/>
      </c>
      <c r="K609" s="111" t="str">
        <f ca="1">IF($B$2="Não","",'CÁLCULO FUNPRESP'!R609)</f>
        <v/>
      </c>
      <c r="L609" s="111">
        <f ca="1">IF($B$2="Não","",'CÁLCULO FUNPRESP'!S609)</f>
        <v>0</v>
      </c>
      <c r="N609" s="131" t="str">
        <f ca="1">'CÁLCULO FUNPRESP'!U609</f>
        <v/>
      </c>
      <c r="O609" s="111">
        <f ca="1">IF($B$2="Não","",'CÁLCULO FUNPRESP'!Y609)</f>
        <v>0</v>
      </c>
    </row>
    <row r="610" spans="9:15" x14ac:dyDescent="0.3">
      <c r="I610" s="131" t="str">
        <f ca="1">'CÁLCULO FUNPRESP'!P610</f>
        <v/>
      </c>
      <c r="J610" s="111" t="str">
        <f ca="1">IF($B$2="Não","",'CÁLCULO FUNPRESP'!Q610)</f>
        <v/>
      </c>
      <c r="K610" s="111" t="str">
        <f ca="1">IF($B$2="Não","",'CÁLCULO FUNPRESP'!R610)</f>
        <v/>
      </c>
      <c r="L610" s="111">
        <f ca="1">IF($B$2="Não","",'CÁLCULO FUNPRESP'!S610)</f>
        <v>0</v>
      </c>
      <c r="N610" s="131" t="str">
        <f ca="1">'CÁLCULO FUNPRESP'!U610</f>
        <v/>
      </c>
      <c r="O610" s="111">
        <f ca="1">IF($B$2="Não","",'CÁLCULO FUNPRESP'!Y610)</f>
        <v>0</v>
      </c>
    </row>
    <row r="611" spans="9:15" x14ac:dyDescent="0.3">
      <c r="I611" s="131" t="str">
        <f ca="1">'CÁLCULO FUNPRESP'!P611</f>
        <v/>
      </c>
      <c r="J611" s="111" t="str">
        <f ca="1">IF($B$2="Não","",'CÁLCULO FUNPRESP'!Q611)</f>
        <v/>
      </c>
      <c r="K611" s="111" t="str">
        <f ca="1">IF($B$2="Não","",'CÁLCULO FUNPRESP'!R611)</f>
        <v/>
      </c>
      <c r="L611" s="111">
        <f ca="1">IF($B$2="Não","",'CÁLCULO FUNPRESP'!S611)</f>
        <v>0</v>
      </c>
      <c r="N611" s="131" t="str">
        <f ca="1">'CÁLCULO FUNPRESP'!U611</f>
        <v/>
      </c>
      <c r="O611" s="111">
        <f ca="1">IF($B$2="Não","",'CÁLCULO FUNPRESP'!Y611)</f>
        <v>0</v>
      </c>
    </row>
    <row r="612" spans="9:15" x14ac:dyDescent="0.3">
      <c r="I612" s="131" t="str">
        <f ca="1">'CÁLCULO FUNPRESP'!P612</f>
        <v/>
      </c>
      <c r="J612" s="111" t="str">
        <f ca="1">IF($B$2="Não","",'CÁLCULO FUNPRESP'!Q612)</f>
        <v/>
      </c>
      <c r="K612" s="111" t="str">
        <f ca="1">IF($B$2="Não","",'CÁLCULO FUNPRESP'!R612)</f>
        <v/>
      </c>
      <c r="L612" s="111">
        <f ca="1">IF($B$2="Não","",'CÁLCULO FUNPRESP'!S612)</f>
        <v>0</v>
      </c>
      <c r="N612" s="131" t="str">
        <f ca="1">'CÁLCULO FUNPRESP'!U612</f>
        <v/>
      </c>
      <c r="O612" s="111">
        <f ca="1">IF($B$2="Não","",'CÁLCULO FUNPRESP'!Y612)</f>
        <v>0</v>
      </c>
    </row>
    <row r="613" spans="9:15" x14ac:dyDescent="0.3">
      <c r="I613" s="131" t="str">
        <f ca="1">'CÁLCULO FUNPRESP'!P613</f>
        <v/>
      </c>
      <c r="J613" s="111" t="str">
        <f ca="1">IF($B$2="Não","",'CÁLCULO FUNPRESP'!Q613)</f>
        <v/>
      </c>
      <c r="K613" s="111" t="str">
        <f ca="1">IF($B$2="Não","",'CÁLCULO FUNPRESP'!R613)</f>
        <v/>
      </c>
      <c r="L613" s="111">
        <f ca="1">IF($B$2="Não","",'CÁLCULO FUNPRESP'!S613)</f>
        <v>0</v>
      </c>
      <c r="N613" s="131" t="str">
        <f ca="1">'CÁLCULO FUNPRESP'!U613</f>
        <v/>
      </c>
      <c r="O613" s="111">
        <f ca="1">IF($B$2="Não","",'CÁLCULO FUNPRESP'!Y613)</f>
        <v>0</v>
      </c>
    </row>
    <row r="614" spans="9:15" x14ac:dyDescent="0.3">
      <c r="I614" s="131" t="str">
        <f ca="1">'CÁLCULO FUNPRESP'!P614</f>
        <v/>
      </c>
      <c r="J614" s="111" t="str">
        <f ca="1">IF($B$2="Não","",'CÁLCULO FUNPRESP'!Q614)</f>
        <v/>
      </c>
      <c r="K614" s="111" t="str">
        <f ca="1">IF($B$2="Não","",'CÁLCULO FUNPRESP'!R614)</f>
        <v/>
      </c>
      <c r="L614" s="111">
        <f ca="1">IF($B$2="Não","",'CÁLCULO FUNPRESP'!S614)</f>
        <v>0</v>
      </c>
      <c r="N614" s="131" t="str">
        <f ca="1">'CÁLCULO FUNPRESP'!U614</f>
        <v/>
      </c>
      <c r="O614" s="111">
        <f ca="1">IF($B$2="Não","",'CÁLCULO FUNPRESP'!Y614)</f>
        <v>0</v>
      </c>
    </row>
    <row r="615" spans="9:15" x14ac:dyDescent="0.3">
      <c r="I615" s="131" t="str">
        <f ca="1">'CÁLCULO FUNPRESP'!P615</f>
        <v/>
      </c>
      <c r="J615" s="111" t="str">
        <f ca="1">IF($B$2="Não","",'CÁLCULO FUNPRESP'!Q615)</f>
        <v/>
      </c>
      <c r="K615" s="111" t="str">
        <f ca="1">IF($B$2="Não","",'CÁLCULO FUNPRESP'!R615)</f>
        <v/>
      </c>
      <c r="L615" s="111">
        <f ca="1">IF($B$2="Não","",'CÁLCULO FUNPRESP'!S615)</f>
        <v>0</v>
      </c>
      <c r="N615" s="131" t="str">
        <f ca="1">'CÁLCULO FUNPRESP'!U615</f>
        <v/>
      </c>
      <c r="O615" s="111">
        <f ca="1">IF($B$2="Não","",'CÁLCULO FUNPRESP'!Y615)</f>
        <v>0</v>
      </c>
    </row>
    <row r="616" spans="9:15" x14ac:dyDescent="0.3">
      <c r="I616" s="131" t="str">
        <f ca="1">'CÁLCULO FUNPRESP'!P616</f>
        <v/>
      </c>
      <c r="J616" s="111" t="str">
        <f ca="1">IF($B$2="Não","",'CÁLCULO FUNPRESP'!Q616)</f>
        <v/>
      </c>
      <c r="K616" s="111" t="str">
        <f ca="1">IF($B$2="Não","",'CÁLCULO FUNPRESP'!R616)</f>
        <v/>
      </c>
      <c r="L616" s="111">
        <f ca="1">IF($B$2="Não","",'CÁLCULO FUNPRESP'!S616)</f>
        <v>0</v>
      </c>
      <c r="N616" s="131" t="str">
        <f ca="1">'CÁLCULO FUNPRESP'!U616</f>
        <v/>
      </c>
      <c r="O616" s="111">
        <f ca="1">IF($B$2="Não","",'CÁLCULO FUNPRESP'!Y616)</f>
        <v>0</v>
      </c>
    </row>
    <row r="617" spans="9:15" x14ac:dyDescent="0.3">
      <c r="I617" s="131" t="str">
        <f ca="1">'CÁLCULO FUNPRESP'!P617</f>
        <v/>
      </c>
      <c r="J617" s="111" t="str">
        <f ca="1">IF($B$2="Não","",'CÁLCULO FUNPRESP'!Q617)</f>
        <v/>
      </c>
      <c r="K617" s="111" t="str">
        <f ca="1">IF($B$2="Não","",'CÁLCULO FUNPRESP'!R617)</f>
        <v/>
      </c>
      <c r="L617" s="111">
        <f ca="1">IF($B$2="Não","",'CÁLCULO FUNPRESP'!S617)</f>
        <v>0</v>
      </c>
      <c r="N617" s="131" t="str">
        <f ca="1">'CÁLCULO FUNPRESP'!U617</f>
        <v/>
      </c>
      <c r="O617" s="111">
        <f ca="1">IF($B$2="Não","",'CÁLCULO FUNPRESP'!Y617)</f>
        <v>0</v>
      </c>
    </row>
    <row r="618" spans="9:15" x14ac:dyDescent="0.3">
      <c r="I618" s="131" t="str">
        <f ca="1">'CÁLCULO FUNPRESP'!P618</f>
        <v/>
      </c>
      <c r="J618" s="111" t="str">
        <f ca="1">IF($B$2="Não","",'CÁLCULO FUNPRESP'!Q618)</f>
        <v/>
      </c>
      <c r="K618" s="111" t="str">
        <f ca="1">IF($B$2="Não","",'CÁLCULO FUNPRESP'!R618)</f>
        <v/>
      </c>
      <c r="L618" s="111">
        <f ca="1">IF($B$2="Não","",'CÁLCULO FUNPRESP'!S618)</f>
        <v>0</v>
      </c>
      <c r="N618" s="131" t="str">
        <f ca="1">'CÁLCULO FUNPRESP'!U618</f>
        <v/>
      </c>
      <c r="O618" s="111">
        <f ca="1">IF($B$2="Não","",'CÁLCULO FUNPRESP'!Y618)</f>
        <v>0</v>
      </c>
    </row>
    <row r="619" spans="9:15" x14ac:dyDescent="0.3">
      <c r="I619" s="131" t="str">
        <f ca="1">'CÁLCULO FUNPRESP'!P619</f>
        <v/>
      </c>
      <c r="J619" s="111" t="str">
        <f ca="1">IF($B$2="Não","",'CÁLCULO FUNPRESP'!Q619)</f>
        <v/>
      </c>
      <c r="K619" s="111" t="str">
        <f ca="1">IF($B$2="Não","",'CÁLCULO FUNPRESP'!R619)</f>
        <v/>
      </c>
      <c r="L619" s="111">
        <f ca="1">IF($B$2="Não","",'CÁLCULO FUNPRESP'!S619)</f>
        <v>0</v>
      </c>
      <c r="N619" s="131" t="str">
        <f ca="1">'CÁLCULO FUNPRESP'!U619</f>
        <v/>
      </c>
      <c r="O619" s="111">
        <f ca="1">IF($B$2="Não","",'CÁLCULO FUNPRESP'!Y619)</f>
        <v>0</v>
      </c>
    </row>
    <row r="620" spans="9:15" x14ac:dyDescent="0.3">
      <c r="I620" s="131" t="str">
        <f ca="1">'CÁLCULO FUNPRESP'!P620</f>
        <v/>
      </c>
      <c r="J620" s="111" t="str">
        <f ca="1">IF($B$2="Não","",'CÁLCULO FUNPRESP'!Q620)</f>
        <v/>
      </c>
      <c r="K620" s="111" t="str">
        <f ca="1">IF($B$2="Não","",'CÁLCULO FUNPRESP'!R620)</f>
        <v/>
      </c>
      <c r="L620" s="111">
        <f ca="1">IF($B$2="Não","",'CÁLCULO FUNPRESP'!S620)</f>
        <v>0</v>
      </c>
      <c r="N620" s="131" t="str">
        <f ca="1">'CÁLCULO FUNPRESP'!U620</f>
        <v/>
      </c>
      <c r="O620" s="111">
        <f ca="1">IF($B$2="Não","",'CÁLCULO FUNPRESP'!Y620)</f>
        <v>0</v>
      </c>
    </row>
    <row r="621" spans="9:15" x14ac:dyDescent="0.3">
      <c r="I621" s="131" t="str">
        <f ca="1">'CÁLCULO FUNPRESP'!P621</f>
        <v/>
      </c>
      <c r="J621" s="111" t="str">
        <f ca="1">IF($B$2="Não","",'CÁLCULO FUNPRESP'!Q621)</f>
        <v/>
      </c>
      <c r="K621" s="111" t="str">
        <f ca="1">IF($B$2="Não","",'CÁLCULO FUNPRESP'!R621)</f>
        <v/>
      </c>
      <c r="L621" s="111">
        <f ca="1">IF($B$2="Não","",'CÁLCULO FUNPRESP'!S621)</f>
        <v>0</v>
      </c>
      <c r="N621" s="131" t="str">
        <f ca="1">'CÁLCULO FUNPRESP'!U621</f>
        <v/>
      </c>
      <c r="O621" s="111">
        <f ca="1">IF($B$2="Não","",'CÁLCULO FUNPRESP'!Y621)</f>
        <v>0</v>
      </c>
    </row>
    <row r="622" spans="9:15" x14ac:dyDescent="0.3">
      <c r="I622" s="131" t="str">
        <f ca="1">'CÁLCULO FUNPRESP'!P622</f>
        <v/>
      </c>
      <c r="J622" s="111" t="str">
        <f ca="1">IF($B$2="Não","",'CÁLCULO FUNPRESP'!Q622)</f>
        <v/>
      </c>
      <c r="K622" s="111" t="str">
        <f ca="1">IF($B$2="Não","",'CÁLCULO FUNPRESP'!R622)</f>
        <v/>
      </c>
      <c r="L622" s="111">
        <f ca="1">IF($B$2="Não","",'CÁLCULO FUNPRESP'!S622)</f>
        <v>0</v>
      </c>
      <c r="N622" s="131" t="str">
        <f ca="1">'CÁLCULO FUNPRESP'!U622</f>
        <v/>
      </c>
      <c r="O622" s="111">
        <f ca="1">IF($B$2="Não","",'CÁLCULO FUNPRESP'!Y622)</f>
        <v>0</v>
      </c>
    </row>
    <row r="623" spans="9:15" x14ac:dyDescent="0.3">
      <c r="I623" s="131" t="str">
        <f ca="1">'CÁLCULO FUNPRESP'!P623</f>
        <v/>
      </c>
      <c r="J623" s="111" t="str">
        <f ca="1">IF($B$2="Não","",'CÁLCULO FUNPRESP'!Q623)</f>
        <v/>
      </c>
      <c r="K623" s="111" t="str">
        <f ca="1">IF($B$2="Não","",'CÁLCULO FUNPRESP'!R623)</f>
        <v/>
      </c>
      <c r="L623" s="111">
        <f ca="1">IF($B$2="Não","",'CÁLCULO FUNPRESP'!S623)</f>
        <v>0</v>
      </c>
      <c r="N623" s="131" t="str">
        <f ca="1">'CÁLCULO FUNPRESP'!U623</f>
        <v/>
      </c>
      <c r="O623" s="111">
        <f ca="1">IF($B$2="Não","",'CÁLCULO FUNPRESP'!Y623)</f>
        <v>0</v>
      </c>
    </row>
    <row r="624" spans="9:15" x14ac:dyDescent="0.3">
      <c r="I624" s="131" t="str">
        <f ca="1">'CÁLCULO FUNPRESP'!P624</f>
        <v/>
      </c>
      <c r="J624" s="111" t="str">
        <f ca="1">IF($B$2="Não","",'CÁLCULO FUNPRESP'!Q624)</f>
        <v/>
      </c>
      <c r="K624" s="111" t="str">
        <f ca="1">IF($B$2="Não","",'CÁLCULO FUNPRESP'!R624)</f>
        <v/>
      </c>
      <c r="L624" s="111">
        <f ca="1">IF($B$2="Não","",'CÁLCULO FUNPRESP'!S624)</f>
        <v>0</v>
      </c>
      <c r="N624" s="131" t="str">
        <f ca="1">'CÁLCULO FUNPRESP'!U624</f>
        <v/>
      </c>
      <c r="O624" s="111">
        <f ca="1">IF($B$2="Não","",'CÁLCULO FUNPRESP'!Y624)</f>
        <v>0</v>
      </c>
    </row>
    <row r="625" spans="9:15" x14ac:dyDescent="0.3">
      <c r="I625" s="131" t="str">
        <f ca="1">'CÁLCULO FUNPRESP'!P625</f>
        <v/>
      </c>
      <c r="J625" s="111" t="str">
        <f ca="1">IF($B$2="Não","",'CÁLCULO FUNPRESP'!Q625)</f>
        <v/>
      </c>
      <c r="K625" s="111" t="str">
        <f ca="1">IF($B$2="Não","",'CÁLCULO FUNPRESP'!R625)</f>
        <v/>
      </c>
      <c r="L625" s="111">
        <f ca="1">IF($B$2="Não","",'CÁLCULO FUNPRESP'!S625)</f>
        <v>0</v>
      </c>
      <c r="N625" s="131" t="str">
        <f ca="1">'CÁLCULO FUNPRESP'!U625</f>
        <v/>
      </c>
      <c r="O625" s="111">
        <f ca="1">IF($B$2="Não","",'CÁLCULO FUNPRESP'!Y625)</f>
        <v>0</v>
      </c>
    </row>
    <row r="626" spans="9:15" x14ac:dyDescent="0.3">
      <c r="I626" s="131" t="str">
        <f ca="1">'CÁLCULO FUNPRESP'!P626</f>
        <v/>
      </c>
      <c r="J626" s="111" t="str">
        <f ca="1">IF($B$2="Não","",'CÁLCULO FUNPRESP'!Q626)</f>
        <v/>
      </c>
      <c r="K626" s="111" t="str">
        <f ca="1">IF($B$2="Não","",'CÁLCULO FUNPRESP'!R626)</f>
        <v/>
      </c>
      <c r="L626" s="111">
        <f ca="1">IF($B$2="Não","",'CÁLCULO FUNPRESP'!S626)</f>
        <v>0</v>
      </c>
      <c r="N626" s="131" t="str">
        <f ca="1">'CÁLCULO FUNPRESP'!U626</f>
        <v/>
      </c>
      <c r="O626" s="111">
        <f ca="1">IF($B$2="Não","",'CÁLCULO FUNPRESP'!Y626)</f>
        <v>0</v>
      </c>
    </row>
    <row r="627" spans="9:15" x14ac:dyDescent="0.3">
      <c r="I627" s="131" t="str">
        <f ca="1">'CÁLCULO FUNPRESP'!P627</f>
        <v/>
      </c>
      <c r="J627" s="111" t="str">
        <f ca="1">IF($B$2="Não","",'CÁLCULO FUNPRESP'!Q627)</f>
        <v/>
      </c>
      <c r="K627" s="111" t="str">
        <f ca="1">IF($B$2="Não","",'CÁLCULO FUNPRESP'!R627)</f>
        <v/>
      </c>
      <c r="L627" s="111">
        <f ca="1">IF($B$2="Não","",'CÁLCULO FUNPRESP'!S627)</f>
        <v>0</v>
      </c>
      <c r="N627" s="131" t="str">
        <f ca="1">'CÁLCULO FUNPRESP'!U627</f>
        <v/>
      </c>
      <c r="O627" s="111">
        <f ca="1">IF($B$2="Não","",'CÁLCULO FUNPRESP'!Y627)</f>
        <v>0</v>
      </c>
    </row>
    <row r="628" spans="9:15" x14ac:dyDescent="0.3">
      <c r="I628" s="131" t="str">
        <f ca="1">'CÁLCULO FUNPRESP'!P628</f>
        <v/>
      </c>
      <c r="J628" s="111" t="str">
        <f ca="1">IF($B$2="Não","",'CÁLCULO FUNPRESP'!Q628)</f>
        <v/>
      </c>
      <c r="K628" s="111" t="str">
        <f ca="1">IF($B$2="Não","",'CÁLCULO FUNPRESP'!R628)</f>
        <v/>
      </c>
      <c r="L628" s="111">
        <f ca="1">IF($B$2="Não","",'CÁLCULO FUNPRESP'!S628)</f>
        <v>0</v>
      </c>
      <c r="N628" s="131" t="str">
        <f ca="1">'CÁLCULO FUNPRESP'!U628</f>
        <v/>
      </c>
      <c r="O628" s="111">
        <f ca="1">IF($B$2="Não","",'CÁLCULO FUNPRESP'!Y628)</f>
        <v>0</v>
      </c>
    </row>
    <row r="629" spans="9:15" x14ac:dyDescent="0.3">
      <c r="I629" s="131" t="str">
        <f ca="1">'CÁLCULO FUNPRESP'!P629</f>
        <v/>
      </c>
      <c r="J629" s="111" t="str">
        <f ca="1">IF($B$2="Não","",'CÁLCULO FUNPRESP'!Q629)</f>
        <v/>
      </c>
      <c r="K629" s="111" t="str">
        <f ca="1">IF($B$2="Não","",'CÁLCULO FUNPRESP'!R629)</f>
        <v/>
      </c>
      <c r="L629" s="111">
        <f ca="1">IF($B$2="Não","",'CÁLCULO FUNPRESP'!S629)</f>
        <v>0</v>
      </c>
      <c r="N629" s="131" t="str">
        <f ca="1">'CÁLCULO FUNPRESP'!U629</f>
        <v/>
      </c>
      <c r="O629" s="111">
        <f ca="1">IF($B$2="Não","",'CÁLCULO FUNPRESP'!Y629)</f>
        <v>0</v>
      </c>
    </row>
    <row r="630" spans="9:15" x14ac:dyDescent="0.3">
      <c r="I630" s="131" t="str">
        <f ca="1">'CÁLCULO FUNPRESP'!P630</f>
        <v/>
      </c>
      <c r="J630" s="111" t="str">
        <f ca="1">IF($B$2="Não","",'CÁLCULO FUNPRESP'!Q630)</f>
        <v/>
      </c>
      <c r="K630" s="111" t="str">
        <f ca="1">IF($B$2="Não","",'CÁLCULO FUNPRESP'!R630)</f>
        <v/>
      </c>
      <c r="L630" s="111">
        <f ca="1">IF($B$2="Não","",'CÁLCULO FUNPRESP'!S630)</f>
        <v>0</v>
      </c>
      <c r="N630" s="131" t="str">
        <f ca="1">'CÁLCULO FUNPRESP'!U630</f>
        <v/>
      </c>
      <c r="O630" s="111">
        <f ca="1">IF($B$2="Não","",'CÁLCULO FUNPRESP'!Y630)</f>
        <v>0</v>
      </c>
    </row>
    <row r="631" spans="9:15" x14ac:dyDescent="0.3">
      <c r="I631" s="131" t="str">
        <f ca="1">'CÁLCULO FUNPRESP'!P631</f>
        <v/>
      </c>
      <c r="J631" s="111" t="str">
        <f ca="1">IF($B$2="Não","",'CÁLCULO FUNPRESP'!Q631)</f>
        <v/>
      </c>
      <c r="K631" s="111" t="str">
        <f ca="1">IF($B$2="Não","",'CÁLCULO FUNPRESP'!R631)</f>
        <v/>
      </c>
      <c r="L631" s="111">
        <f ca="1">IF($B$2="Não","",'CÁLCULO FUNPRESP'!S631)</f>
        <v>0</v>
      </c>
      <c r="N631" s="131" t="str">
        <f ca="1">'CÁLCULO FUNPRESP'!U631</f>
        <v/>
      </c>
      <c r="O631" s="111">
        <f ca="1">IF($B$2="Não","",'CÁLCULO FUNPRESP'!Y631)</f>
        <v>0</v>
      </c>
    </row>
    <row r="632" spans="9:15" x14ac:dyDescent="0.3">
      <c r="I632" s="131" t="str">
        <f ca="1">'CÁLCULO FUNPRESP'!P632</f>
        <v/>
      </c>
      <c r="J632" s="111" t="str">
        <f ca="1">IF($B$2="Não","",'CÁLCULO FUNPRESP'!Q632)</f>
        <v/>
      </c>
      <c r="K632" s="111" t="str">
        <f ca="1">IF($B$2="Não","",'CÁLCULO FUNPRESP'!R632)</f>
        <v/>
      </c>
      <c r="L632" s="111">
        <f ca="1">IF($B$2="Não","",'CÁLCULO FUNPRESP'!S632)</f>
        <v>0</v>
      </c>
      <c r="N632" s="131" t="str">
        <f ca="1">'CÁLCULO FUNPRESP'!U632</f>
        <v/>
      </c>
      <c r="O632" s="111">
        <f ca="1">IF($B$2="Não","",'CÁLCULO FUNPRESP'!Y632)</f>
        <v>0</v>
      </c>
    </row>
    <row r="633" spans="9:15" x14ac:dyDescent="0.3">
      <c r="I633" s="131" t="str">
        <f ca="1">'CÁLCULO FUNPRESP'!P633</f>
        <v/>
      </c>
      <c r="J633" s="111" t="str">
        <f ca="1">IF($B$2="Não","",'CÁLCULO FUNPRESP'!Q633)</f>
        <v/>
      </c>
      <c r="K633" s="111" t="str">
        <f ca="1">IF($B$2="Não","",'CÁLCULO FUNPRESP'!R633)</f>
        <v/>
      </c>
      <c r="L633" s="111">
        <f ca="1">IF($B$2="Não","",'CÁLCULO FUNPRESP'!S633)</f>
        <v>0</v>
      </c>
      <c r="N633" s="131" t="str">
        <f ca="1">'CÁLCULO FUNPRESP'!U633</f>
        <v/>
      </c>
      <c r="O633" s="111">
        <f ca="1">IF($B$2="Não","",'CÁLCULO FUNPRESP'!Y633)</f>
        <v>0</v>
      </c>
    </row>
    <row r="634" spans="9:15" x14ac:dyDescent="0.3">
      <c r="I634" s="131" t="str">
        <f ca="1">'CÁLCULO FUNPRESP'!P634</f>
        <v/>
      </c>
      <c r="J634" s="111" t="str">
        <f ca="1">IF($B$2="Não","",'CÁLCULO FUNPRESP'!Q634)</f>
        <v/>
      </c>
      <c r="K634" s="111" t="str">
        <f ca="1">IF($B$2="Não","",'CÁLCULO FUNPRESP'!R634)</f>
        <v/>
      </c>
      <c r="L634" s="111">
        <f ca="1">IF($B$2="Não","",'CÁLCULO FUNPRESP'!S634)</f>
        <v>0</v>
      </c>
      <c r="N634" s="131" t="str">
        <f ca="1">'CÁLCULO FUNPRESP'!U634</f>
        <v/>
      </c>
      <c r="O634" s="111">
        <f ca="1">IF($B$2="Não","",'CÁLCULO FUNPRESP'!Y634)</f>
        <v>0</v>
      </c>
    </row>
    <row r="635" spans="9:15" x14ac:dyDescent="0.3">
      <c r="I635" s="131" t="str">
        <f ca="1">'CÁLCULO FUNPRESP'!P635</f>
        <v/>
      </c>
      <c r="J635" s="111" t="str">
        <f ca="1">IF($B$2="Não","",'CÁLCULO FUNPRESP'!Q635)</f>
        <v/>
      </c>
      <c r="K635" s="111" t="str">
        <f ca="1">IF($B$2="Não","",'CÁLCULO FUNPRESP'!R635)</f>
        <v/>
      </c>
      <c r="L635" s="111">
        <f ca="1">IF($B$2="Não","",'CÁLCULO FUNPRESP'!S635)</f>
        <v>0</v>
      </c>
      <c r="N635" s="131" t="str">
        <f ca="1">'CÁLCULO FUNPRESP'!U635</f>
        <v/>
      </c>
      <c r="O635" s="111">
        <f ca="1">IF($B$2="Não","",'CÁLCULO FUNPRESP'!Y635)</f>
        <v>0</v>
      </c>
    </row>
    <row r="636" spans="9:15" x14ac:dyDescent="0.3">
      <c r="I636" s="131" t="str">
        <f ca="1">'CÁLCULO FUNPRESP'!P636</f>
        <v/>
      </c>
      <c r="J636" s="111" t="str">
        <f ca="1">IF($B$2="Não","",'CÁLCULO FUNPRESP'!Q636)</f>
        <v/>
      </c>
      <c r="K636" s="111" t="str">
        <f ca="1">IF($B$2="Não","",'CÁLCULO FUNPRESP'!R636)</f>
        <v/>
      </c>
      <c r="L636" s="111">
        <f ca="1">IF($B$2="Não","",'CÁLCULO FUNPRESP'!S636)</f>
        <v>0</v>
      </c>
      <c r="N636" s="131" t="str">
        <f ca="1">'CÁLCULO FUNPRESP'!U636</f>
        <v/>
      </c>
      <c r="O636" s="111">
        <f ca="1">IF($B$2="Não","",'CÁLCULO FUNPRESP'!Y636)</f>
        <v>0</v>
      </c>
    </row>
    <row r="637" spans="9:15" x14ac:dyDescent="0.3">
      <c r="I637" s="131" t="str">
        <f ca="1">'CÁLCULO FUNPRESP'!P637</f>
        <v/>
      </c>
      <c r="J637" s="111" t="str">
        <f ca="1">IF($B$2="Não","",'CÁLCULO FUNPRESP'!Q637)</f>
        <v/>
      </c>
      <c r="K637" s="111" t="str">
        <f ca="1">IF($B$2="Não","",'CÁLCULO FUNPRESP'!R637)</f>
        <v/>
      </c>
      <c r="L637" s="111">
        <f ca="1">IF($B$2="Não","",'CÁLCULO FUNPRESP'!S637)</f>
        <v>0</v>
      </c>
      <c r="N637" s="131" t="str">
        <f ca="1">'CÁLCULO FUNPRESP'!U637</f>
        <v/>
      </c>
      <c r="O637" s="111">
        <f ca="1">IF($B$2="Não","",'CÁLCULO FUNPRESP'!Y637)</f>
        <v>0</v>
      </c>
    </row>
    <row r="638" spans="9:15" x14ac:dyDescent="0.3">
      <c r="I638" s="131" t="str">
        <f ca="1">'CÁLCULO FUNPRESP'!P638</f>
        <v/>
      </c>
      <c r="J638" s="111" t="str">
        <f ca="1">IF($B$2="Não","",'CÁLCULO FUNPRESP'!Q638)</f>
        <v/>
      </c>
      <c r="K638" s="111" t="str">
        <f ca="1">IF($B$2="Não","",'CÁLCULO FUNPRESP'!R638)</f>
        <v/>
      </c>
      <c r="L638" s="111">
        <f ca="1">IF($B$2="Não","",'CÁLCULO FUNPRESP'!S638)</f>
        <v>0</v>
      </c>
      <c r="N638" s="131" t="str">
        <f ca="1">'CÁLCULO FUNPRESP'!U638</f>
        <v/>
      </c>
      <c r="O638" s="111">
        <f ca="1">IF($B$2="Não","",'CÁLCULO FUNPRESP'!Y638)</f>
        <v>0</v>
      </c>
    </row>
    <row r="639" spans="9:15" x14ac:dyDescent="0.3">
      <c r="I639" s="131" t="str">
        <f ca="1">'CÁLCULO FUNPRESP'!P639</f>
        <v/>
      </c>
      <c r="J639" s="111" t="str">
        <f ca="1">IF($B$2="Não","",'CÁLCULO FUNPRESP'!Q639)</f>
        <v/>
      </c>
      <c r="K639" s="111" t="str">
        <f ca="1">IF($B$2="Não","",'CÁLCULO FUNPRESP'!R639)</f>
        <v/>
      </c>
      <c r="L639" s="111">
        <f ca="1">IF($B$2="Não","",'CÁLCULO FUNPRESP'!S639)</f>
        <v>0</v>
      </c>
      <c r="N639" s="131" t="str">
        <f ca="1">'CÁLCULO FUNPRESP'!U639</f>
        <v/>
      </c>
      <c r="O639" s="111">
        <f ca="1">IF($B$2="Não","",'CÁLCULO FUNPRESP'!Y639)</f>
        <v>0</v>
      </c>
    </row>
    <row r="640" spans="9:15" x14ac:dyDescent="0.3">
      <c r="I640" s="131" t="str">
        <f ca="1">'CÁLCULO FUNPRESP'!P640</f>
        <v/>
      </c>
      <c r="J640" s="111" t="str">
        <f ca="1">IF($B$2="Não","",'CÁLCULO FUNPRESP'!Q640)</f>
        <v/>
      </c>
      <c r="K640" s="111" t="str">
        <f ca="1">IF($B$2="Não","",'CÁLCULO FUNPRESP'!R640)</f>
        <v/>
      </c>
      <c r="L640" s="111">
        <f ca="1">IF($B$2="Não","",'CÁLCULO FUNPRESP'!S640)</f>
        <v>0</v>
      </c>
      <c r="N640" s="131" t="str">
        <f ca="1">'CÁLCULO FUNPRESP'!U640</f>
        <v/>
      </c>
      <c r="O640" s="111">
        <f ca="1">IF($B$2="Não","",'CÁLCULO FUNPRESP'!Y640)</f>
        <v>0</v>
      </c>
    </row>
    <row r="641" spans="9:15" x14ac:dyDescent="0.3">
      <c r="I641" s="131" t="str">
        <f ca="1">'CÁLCULO FUNPRESP'!P641</f>
        <v/>
      </c>
      <c r="J641" s="111" t="str">
        <f ca="1">IF($B$2="Não","",'CÁLCULO FUNPRESP'!Q641)</f>
        <v/>
      </c>
      <c r="K641" s="111" t="str">
        <f ca="1">IF($B$2="Não","",'CÁLCULO FUNPRESP'!R641)</f>
        <v/>
      </c>
      <c r="L641" s="111">
        <f ca="1">IF($B$2="Não","",'CÁLCULO FUNPRESP'!S641)</f>
        <v>0</v>
      </c>
      <c r="N641" s="131" t="str">
        <f ca="1">'CÁLCULO FUNPRESP'!U641</f>
        <v/>
      </c>
      <c r="O641" s="111">
        <f ca="1">IF($B$2="Não","",'CÁLCULO FUNPRESP'!Y641)</f>
        <v>0</v>
      </c>
    </row>
    <row r="642" spans="9:15" x14ac:dyDescent="0.3">
      <c r="I642" s="131" t="str">
        <f ca="1">'CÁLCULO FUNPRESP'!P642</f>
        <v/>
      </c>
      <c r="J642" s="111" t="str">
        <f ca="1">IF($B$2="Não","",'CÁLCULO FUNPRESP'!Q642)</f>
        <v/>
      </c>
      <c r="K642" s="111" t="str">
        <f ca="1">IF($B$2="Não","",'CÁLCULO FUNPRESP'!R642)</f>
        <v/>
      </c>
      <c r="L642" s="111">
        <f ca="1">IF($B$2="Não","",'CÁLCULO FUNPRESP'!S642)</f>
        <v>0</v>
      </c>
      <c r="N642" s="131" t="str">
        <f ca="1">'CÁLCULO FUNPRESP'!U642</f>
        <v/>
      </c>
      <c r="O642" s="111">
        <f ca="1">IF($B$2="Não","",'CÁLCULO FUNPRESP'!Y642)</f>
        <v>0</v>
      </c>
    </row>
    <row r="643" spans="9:15" x14ac:dyDescent="0.3">
      <c r="I643" s="131" t="str">
        <f ca="1">'CÁLCULO FUNPRESP'!P643</f>
        <v/>
      </c>
      <c r="J643" s="111" t="str">
        <f ca="1">IF($B$2="Não","",'CÁLCULO FUNPRESP'!Q643)</f>
        <v/>
      </c>
      <c r="K643" s="111" t="str">
        <f ca="1">IF($B$2="Não","",'CÁLCULO FUNPRESP'!R643)</f>
        <v/>
      </c>
      <c r="L643" s="111">
        <f ca="1">IF($B$2="Não","",'CÁLCULO FUNPRESP'!S643)</f>
        <v>0</v>
      </c>
      <c r="N643" s="131" t="str">
        <f ca="1">'CÁLCULO FUNPRESP'!U643</f>
        <v/>
      </c>
      <c r="O643" s="111">
        <f ca="1">IF($B$2="Não","",'CÁLCULO FUNPRESP'!Y643)</f>
        <v>0</v>
      </c>
    </row>
    <row r="644" spans="9:15" x14ac:dyDescent="0.3">
      <c r="I644" s="131" t="str">
        <f ca="1">'CÁLCULO FUNPRESP'!P644</f>
        <v/>
      </c>
      <c r="J644" s="111" t="str">
        <f ca="1">IF($B$2="Não","",'CÁLCULO FUNPRESP'!Q644)</f>
        <v/>
      </c>
      <c r="K644" s="111" t="str">
        <f ca="1">IF($B$2="Não","",'CÁLCULO FUNPRESP'!R644)</f>
        <v/>
      </c>
      <c r="L644" s="111">
        <f ca="1">IF($B$2="Não","",'CÁLCULO FUNPRESP'!S644)</f>
        <v>0</v>
      </c>
      <c r="N644" s="131" t="str">
        <f ca="1">'CÁLCULO FUNPRESP'!U644</f>
        <v/>
      </c>
      <c r="O644" s="111">
        <f ca="1">IF($B$2="Não","",'CÁLCULO FUNPRESP'!Y644)</f>
        <v>0</v>
      </c>
    </row>
    <row r="645" spans="9:15" x14ac:dyDescent="0.3">
      <c r="I645" s="131" t="str">
        <f ca="1">'CÁLCULO FUNPRESP'!P645</f>
        <v/>
      </c>
      <c r="J645" s="111" t="str">
        <f ca="1">IF($B$2="Não","",'CÁLCULO FUNPRESP'!Q645)</f>
        <v/>
      </c>
      <c r="K645" s="111" t="str">
        <f ca="1">IF($B$2="Não","",'CÁLCULO FUNPRESP'!R645)</f>
        <v/>
      </c>
      <c r="L645" s="111">
        <f ca="1">IF($B$2="Não","",'CÁLCULO FUNPRESP'!S645)</f>
        <v>0</v>
      </c>
      <c r="N645" s="131" t="str">
        <f ca="1">'CÁLCULO FUNPRESP'!U645</f>
        <v/>
      </c>
      <c r="O645" s="111">
        <f ca="1">IF($B$2="Não","",'CÁLCULO FUNPRESP'!Y645)</f>
        <v>0</v>
      </c>
    </row>
    <row r="646" spans="9:15" x14ac:dyDescent="0.3">
      <c r="I646" s="131" t="str">
        <f ca="1">'CÁLCULO FUNPRESP'!P646</f>
        <v/>
      </c>
      <c r="J646" s="111" t="str">
        <f ca="1">IF($B$2="Não","",'CÁLCULO FUNPRESP'!Q646)</f>
        <v/>
      </c>
      <c r="K646" s="111" t="str">
        <f ca="1">IF($B$2="Não","",'CÁLCULO FUNPRESP'!R646)</f>
        <v/>
      </c>
      <c r="L646" s="111">
        <f ca="1">IF($B$2="Não","",'CÁLCULO FUNPRESP'!S646)</f>
        <v>0</v>
      </c>
      <c r="N646" s="131" t="str">
        <f ca="1">'CÁLCULO FUNPRESP'!U646</f>
        <v/>
      </c>
      <c r="O646" s="111">
        <f ca="1">IF($B$2="Não","",'CÁLCULO FUNPRESP'!Y646)</f>
        <v>0</v>
      </c>
    </row>
    <row r="647" spans="9:15" x14ac:dyDescent="0.3">
      <c r="I647" s="131" t="str">
        <f ca="1">'CÁLCULO FUNPRESP'!P647</f>
        <v/>
      </c>
      <c r="J647" s="111" t="str">
        <f ca="1">IF($B$2="Não","",'CÁLCULO FUNPRESP'!Q647)</f>
        <v/>
      </c>
      <c r="K647" s="111" t="str">
        <f ca="1">IF($B$2="Não","",'CÁLCULO FUNPRESP'!R647)</f>
        <v/>
      </c>
      <c r="L647" s="111">
        <f ca="1">IF($B$2="Não","",'CÁLCULO FUNPRESP'!S647)</f>
        <v>0</v>
      </c>
      <c r="N647" s="131" t="str">
        <f ca="1">'CÁLCULO FUNPRESP'!U647</f>
        <v/>
      </c>
      <c r="O647" s="111">
        <f ca="1">IF($B$2="Não","",'CÁLCULO FUNPRESP'!Y647)</f>
        <v>0</v>
      </c>
    </row>
    <row r="648" spans="9:15" x14ac:dyDescent="0.3">
      <c r="I648" s="131" t="str">
        <f ca="1">'CÁLCULO FUNPRESP'!P648</f>
        <v/>
      </c>
      <c r="J648" s="111" t="str">
        <f ca="1">IF($B$2="Não","",'CÁLCULO FUNPRESP'!Q648)</f>
        <v/>
      </c>
      <c r="K648" s="111" t="str">
        <f ca="1">IF($B$2="Não","",'CÁLCULO FUNPRESP'!R648)</f>
        <v/>
      </c>
      <c r="L648" s="111">
        <f ca="1">IF($B$2="Não","",'CÁLCULO FUNPRESP'!S648)</f>
        <v>0</v>
      </c>
      <c r="N648" s="131" t="str">
        <f ca="1">'CÁLCULO FUNPRESP'!U648</f>
        <v/>
      </c>
      <c r="O648" s="111">
        <f ca="1">IF($B$2="Não","",'CÁLCULO FUNPRESP'!Y648)</f>
        <v>0</v>
      </c>
    </row>
    <row r="649" spans="9:15" x14ac:dyDescent="0.3">
      <c r="I649" s="131" t="str">
        <f ca="1">'CÁLCULO FUNPRESP'!P649</f>
        <v/>
      </c>
      <c r="J649" s="111" t="str">
        <f ca="1">IF($B$2="Não","",'CÁLCULO FUNPRESP'!Q649)</f>
        <v/>
      </c>
      <c r="K649" s="111" t="str">
        <f ca="1">IF($B$2="Não","",'CÁLCULO FUNPRESP'!R649)</f>
        <v/>
      </c>
      <c r="L649" s="111">
        <f ca="1">IF($B$2="Não","",'CÁLCULO FUNPRESP'!S649)</f>
        <v>0</v>
      </c>
      <c r="N649" s="131" t="str">
        <f ca="1">'CÁLCULO FUNPRESP'!U649</f>
        <v/>
      </c>
      <c r="O649" s="111">
        <f ca="1">IF($B$2="Não","",'CÁLCULO FUNPRESP'!Y649)</f>
        <v>0</v>
      </c>
    </row>
    <row r="650" spans="9:15" x14ac:dyDescent="0.3">
      <c r="I650" s="131" t="str">
        <f ca="1">'CÁLCULO FUNPRESP'!P650</f>
        <v/>
      </c>
      <c r="J650" s="111" t="str">
        <f ca="1">IF($B$2="Não","",'CÁLCULO FUNPRESP'!Q650)</f>
        <v/>
      </c>
      <c r="K650" s="111" t="str">
        <f ca="1">IF($B$2="Não","",'CÁLCULO FUNPRESP'!R650)</f>
        <v/>
      </c>
      <c r="L650" s="111">
        <f ca="1">IF($B$2="Não","",'CÁLCULO FUNPRESP'!S650)</f>
        <v>0</v>
      </c>
      <c r="N650" s="131" t="str">
        <f ca="1">'CÁLCULO FUNPRESP'!U650</f>
        <v/>
      </c>
      <c r="O650" s="111">
        <f ca="1">IF($B$2="Não","",'CÁLCULO FUNPRESP'!Y650)</f>
        <v>0</v>
      </c>
    </row>
    <row r="651" spans="9:15" x14ac:dyDescent="0.3">
      <c r="I651" s="131" t="str">
        <f ca="1">'CÁLCULO FUNPRESP'!P651</f>
        <v/>
      </c>
      <c r="J651" s="111" t="str">
        <f ca="1">IF($B$2="Não","",'CÁLCULO FUNPRESP'!Q651)</f>
        <v/>
      </c>
      <c r="K651" s="111" t="str">
        <f ca="1">IF($B$2="Não","",'CÁLCULO FUNPRESP'!R651)</f>
        <v/>
      </c>
      <c r="L651" s="111">
        <f ca="1">IF($B$2="Não","",'CÁLCULO FUNPRESP'!S651)</f>
        <v>0</v>
      </c>
      <c r="N651" s="131" t="str">
        <f ca="1">'CÁLCULO FUNPRESP'!U651</f>
        <v/>
      </c>
      <c r="O651" s="111">
        <f ca="1">IF($B$2="Não","",'CÁLCULO FUNPRESP'!Y651)</f>
        <v>0</v>
      </c>
    </row>
    <row r="652" spans="9:15" x14ac:dyDescent="0.3">
      <c r="I652" s="131" t="str">
        <f ca="1">'CÁLCULO FUNPRESP'!P652</f>
        <v/>
      </c>
      <c r="J652" s="111" t="str">
        <f ca="1">IF($B$2="Não","",'CÁLCULO FUNPRESP'!Q652)</f>
        <v/>
      </c>
      <c r="K652" s="111" t="str">
        <f ca="1">IF($B$2="Não","",'CÁLCULO FUNPRESP'!R652)</f>
        <v/>
      </c>
      <c r="L652" s="111">
        <f ca="1">IF($B$2="Não","",'CÁLCULO FUNPRESP'!S652)</f>
        <v>0</v>
      </c>
      <c r="N652" s="131" t="str">
        <f ca="1">'CÁLCULO FUNPRESP'!U652</f>
        <v/>
      </c>
      <c r="O652" s="111">
        <f ca="1">IF($B$2="Não","",'CÁLCULO FUNPRESP'!Y652)</f>
        <v>0</v>
      </c>
    </row>
    <row r="653" spans="9:15" x14ac:dyDescent="0.3">
      <c r="I653" s="131" t="str">
        <f ca="1">'CÁLCULO FUNPRESP'!P653</f>
        <v/>
      </c>
      <c r="J653" s="111" t="str">
        <f ca="1">IF($B$2="Não","",'CÁLCULO FUNPRESP'!Q653)</f>
        <v/>
      </c>
      <c r="K653" s="111" t="str">
        <f ca="1">IF($B$2="Não","",'CÁLCULO FUNPRESP'!R653)</f>
        <v/>
      </c>
      <c r="L653" s="111">
        <f ca="1">IF($B$2="Não","",'CÁLCULO FUNPRESP'!S653)</f>
        <v>0</v>
      </c>
      <c r="N653" s="131" t="str">
        <f ca="1">'CÁLCULO FUNPRESP'!U653</f>
        <v/>
      </c>
      <c r="O653" s="111">
        <f ca="1">IF($B$2="Não","",'CÁLCULO FUNPRESP'!Y653)</f>
        <v>0</v>
      </c>
    </row>
    <row r="654" spans="9:15" x14ac:dyDescent="0.3">
      <c r="I654" s="131" t="str">
        <f ca="1">'CÁLCULO FUNPRESP'!P654</f>
        <v/>
      </c>
      <c r="J654" s="111" t="str">
        <f ca="1">IF($B$2="Não","",'CÁLCULO FUNPRESP'!Q654)</f>
        <v/>
      </c>
      <c r="K654" s="111" t="str">
        <f ca="1">IF($B$2="Não","",'CÁLCULO FUNPRESP'!R654)</f>
        <v/>
      </c>
      <c r="L654" s="111">
        <f ca="1">IF($B$2="Não","",'CÁLCULO FUNPRESP'!S654)</f>
        <v>0</v>
      </c>
      <c r="N654" s="131" t="str">
        <f ca="1">'CÁLCULO FUNPRESP'!U654</f>
        <v/>
      </c>
      <c r="O654" s="111">
        <f ca="1">IF($B$2="Não","",'CÁLCULO FUNPRESP'!Y654)</f>
        <v>0</v>
      </c>
    </row>
    <row r="655" spans="9:15" x14ac:dyDescent="0.3">
      <c r="I655" s="131" t="str">
        <f ca="1">'CÁLCULO FUNPRESP'!P655</f>
        <v/>
      </c>
      <c r="J655" s="111" t="str">
        <f ca="1">IF($B$2="Não","",'CÁLCULO FUNPRESP'!Q655)</f>
        <v/>
      </c>
      <c r="K655" s="111" t="str">
        <f ca="1">IF($B$2="Não","",'CÁLCULO FUNPRESP'!R655)</f>
        <v/>
      </c>
      <c r="L655" s="111">
        <f ca="1">IF($B$2="Não","",'CÁLCULO FUNPRESP'!S655)</f>
        <v>0</v>
      </c>
      <c r="N655" s="131" t="str">
        <f ca="1">'CÁLCULO FUNPRESP'!U655</f>
        <v/>
      </c>
      <c r="O655" s="111">
        <f ca="1">IF($B$2="Não","",'CÁLCULO FUNPRESP'!Y655)</f>
        <v>0</v>
      </c>
    </row>
    <row r="656" spans="9:15" x14ac:dyDescent="0.3">
      <c r="I656" s="131" t="str">
        <f ca="1">'CÁLCULO FUNPRESP'!P656</f>
        <v/>
      </c>
      <c r="J656" s="111" t="str">
        <f ca="1">IF($B$2="Não","",'CÁLCULO FUNPRESP'!Q656)</f>
        <v/>
      </c>
      <c r="K656" s="111" t="str">
        <f ca="1">IF($B$2="Não","",'CÁLCULO FUNPRESP'!R656)</f>
        <v/>
      </c>
      <c r="L656" s="111">
        <f ca="1">IF($B$2="Não","",'CÁLCULO FUNPRESP'!S656)</f>
        <v>0</v>
      </c>
      <c r="N656" s="131" t="str">
        <f ca="1">'CÁLCULO FUNPRESP'!U656</f>
        <v/>
      </c>
      <c r="O656" s="111">
        <f ca="1">IF($B$2="Não","",'CÁLCULO FUNPRESP'!Y656)</f>
        <v>0</v>
      </c>
    </row>
    <row r="657" spans="9:15" x14ac:dyDescent="0.3">
      <c r="I657" s="131" t="str">
        <f ca="1">'CÁLCULO FUNPRESP'!P657</f>
        <v/>
      </c>
      <c r="J657" s="111" t="str">
        <f ca="1">IF($B$2="Não","",'CÁLCULO FUNPRESP'!Q657)</f>
        <v/>
      </c>
      <c r="K657" s="111" t="str">
        <f ca="1">IF($B$2="Não","",'CÁLCULO FUNPRESP'!R657)</f>
        <v/>
      </c>
      <c r="L657" s="111">
        <f ca="1">IF($B$2="Não","",'CÁLCULO FUNPRESP'!S657)</f>
        <v>0</v>
      </c>
      <c r="N657" s="131" t="str">
        <f ca="1">'CÁLCULO FUNPRESP'!U657</f>
        <v/>
      </c>
      <c r="O657" s="111">
        <f ca="1">IF($B$2="Não","",'CÁLCULO FUNPRESP'!Y657)</f>
        <v>0</v>
      </c>
    </row>
    <row r="658" spans="9:15" x14ac:dyDescent="0.3">
      <c r="I658" s="131" t="str">
        <f ca="1">'CÁLCULO FUNPRESP'!P658</f>
        <v/>
      </c>
      <c r="J658" s="111" t="str">
        <f ca="1">IF($B$2="Não","",'CÁLCULO FUNPRESP'!Q658)</f>
        <v/>
      </c>
      <c r="K658" s="111" t="str">
        <f ca="1">IF($B$2="Não","",'CÁLCULO FUNPRESP'!R658)</f>
        <v/>
      </c>
      <c r="L658" s="111">
        <f ca="1">IF($B$2="Não","",'CÁLCULO FUNPRESP'!S658)</f>
        <v>0</v>
      </c>
      <c r="N658" s="131" t="str">
        <f ca="1">'CÁLCULO FUNPRESP'!U658</f>
        <v/>
      </c>
      <c r="O658" s="111">
        <f ca="1">IF($B$2="Não","",'CÁLCULO FUNPRESP'!Y658)</f>
        <v>0</v>
      </c>
    </row>
    <row r="659" spans="9:15" x14ac:dyDescent="0.3">
      <c r="I659" s="131" t="str">
        <f ca="1">'CÁLCULO FUNPRESP'!P659</f>
        <v/>
      </c>
      <c r="J659" s="111" t="str">
        <f ca="1">IF($B$2="Não","",'CÁLCULO FUNPRESP'!Q659)</f>
        <v/>
      </c>
      <c r="K659" s="111" t="str">
        <f ca="1">IF($B$2="Não","",'CÁLCULO FUNPRESP'!R659)</f>
        <v/>
      </c>
      <c r="L659" s="111">
        <f ca="1">IF($B$2="Não","",'CÁLCULO FUNPRESP'!S659)</f>
        <v>0</v>
      </c>
      <c r="N659" s="131" t="str">
        <f ca="1">'CÁLCULO FUNPRESP'!U659</f>
        <v/>
      </c>
      <c r="O659" s="111">
        <f ca="1">IF($B$2="Não","",'CÁLCULO FUNPRESP'!Y659)</f>
        <v>0</v>
      </c>
    </row>
    <row r="660" spans="9:15" x14ac:dyDescent="0.3">
      <c r="I660" s="131" t="str">
        <f ca="1">'CÁLCULO FUNPRESP'!P660</f>
        <v/>
      </c>
      <c r="J660" s="111" t="str">
        <f ca="1">IF($B$2="Não","",'CÁLCULO FUNPRESP'!Q660)</f>
        <v/>
      </c>
      <c r="K660" s="111" t="str">
        <f ca="1">IF($B$2="Não","",'CÁLCULO FUNPRESP'!R660)</f>
        <v/>
      </c>
      <c r="L660" s="111">
        <f ca="1">IF($B$2="Não","",'CÁLCULO FUNPRESP'!S660)</f>
        <v>0</v>
      </c>
      <c r="N660" s="131" t="str">
        <f ca="1">'CÁLCULO FUNPRESP'!U660</f>
        <v/>
      </c>
      <c r="O660" s="111">
        <f ca="1">IF($B$2="Não","",'CÁLCULO FUNPRESP'!Y660)</f>
        <v>0</v>
      </c>
    </row>
    <row r="661" spans="9:15" x14ac:dyDescent="0.3">
      <c r="I661" s="131" t="str">
        <f ca="1">'CÁLCULO FUNPRESP'!P661</f>
        <v/>
      </c>
      <c r="J661" s="111" t="str">
        <f ca="1">IF($B$2="Não","",'CÁLCULO FUNPRESP'!Q661)</f>
        <v/>
      </c>
      <c r="K661" s="111" t="str">
        <f ca="1">IF($B$2="Não","",'CÁLCULO FUNPRESP'!R661)</f>
        <v/>
      </c>
      <c r="L661" s="111">
        <f ca="1">IF($B$2="Não","",'CÁLCULO FUNPRESP'!S661)</f>
        <v>0</v>
      </c>
      <c r="N661" s="131" t="str">
        <f ca="1">'CÁLCULO FUNPRESP'!U661</f>
        <v/>
      </c>
      <c r="O661" s="111">
        <f ca="1">IF($B$2="Não","",'CÁLCULO FUNPRESP'!Y661)</f>
        <v>0</v>
      </c>
    </row>
    <row r="662" spans="9:15" x14ac:dyDescent="0.3">
      <c r="I662" s="131" t="str">
        <f ca="1">'CÁLCULO FUNPRESP'!P662</f>
        <v/>
      </c>
      <c r="J662" s="111" t="str">
        <f ca="1">IF($B$2="Não","",'CÁLCULO FUNPRESP'!Q662)</f>
        <v/>
      </c>
      <c r="K662" s="111" t="str">
        <f ca="1">IF($B$2="Não","",'CÁLCULO FUNPRESP'!R662)</f>
        <v/>
      </c>
      <c r="L662" s="111">
        <f ca="1">IF($B$2="Não","",'CÁLCULO FUNPRESP'!S662)</f>
        <v>0</v>
      </c>
      <c r="N662" s="131" t="str">
        <f ca="1">'CÁLCULO FUNPRESP'!U662</f>
        <v/>
      </c>
      <c r="O662" s="111">
        <f ca="1">IF($B$2="Não","",'CÁLCULO FUNPRESP'!Y662)</f>
        <v>0</v>
      </c>
    </row>
    <row r="663" spans="9:15" x14ac:dyDescent="0.3">
      <c r="I663" s="131" t="str">
        <f ca="1">'CÁLCULO FUNPRESP'!P663</f>
        <v/>
      </c>
      <c r="J663" s="111" t="str">
        <f ca="1">IF($B$2="Não","",'CÁLCULO FUNPRESP'!Q663)</f>
        <v/>
      </c>
      <c r="K663" s="111" t="str">
        <f ca="1">IF($B$2="Não","",'CÁLCULO FUNPRESP'!R663)</f>
        <v/>
      </c>
      <c r="L663" s="111">
        <f ca="1">IF($B$2="Não","",'CÁLCULO FUNPRESP'!S663)</f>
        <v>0</v>
      </c>
      <c r="N663" s="131" t="str">
        <f ca="1">'CÁLCULO FUNPRESP'!U663</f>
        <v/>
      </c>
      <c r="O663" s="111">
        <f ca="1">IF($B$2="Não","",'CÁLCULO FUNPRESP'!Y663)</f>
        <v>0</v>
      </c>
    </row>
    <row r="664" spans="9:15" x14ac:dyDescent="0.3">
      <c r="I664" s="131" t="str">
        <f ca="1">'CÁLCULO FUNPRESP'!P664</f>
        <v/>
      </c>
      <c r="J664" s="111" t="str">
        <f ca="1">IF($B$2="Não","",'CÁLCULO FUNPRESP'!Q664)</f>
        <v/>
      </c>
      <c r="K664" s="111" t="str">
        <f ca="1">IF($B$2="Não","",'CÁLCULO FUNPRESP'!R664)</f>
        <v/>
      </c>
      <c r="L664" s="111">
        <f ca="1">IF($B$2="Não","",'CÁLCULO FUNPRESP'!S664)</f>
        <v>0</v>
      </c>
      <c r="N664" s="131" t="str">
        <f ca="1">'CÁLCULO FUNPRESP'!U664</f>
        <v/>
      </c>
      <c r="O664" s="111">
        <f ca="1">IF($B$2="Não","",'CÁLCULO FUNPRESP'!Y664)</f>
        <v>0</v>
      </c>
    </row>
    <row r="665" spans="9:15" x14ac:dyDescent="0.3">
      <c r="I665" s="131" t="str">
        <f ca="1">'CÁLCULO FUNPRESP'!P665</f>
        <v/>
      </c>
      <c r="J665" s="111" t="str">
        <f ca="1">IF($B$2="Não","",'CÁLCULO FUNPRESP'!Q665)</f>
        <v/>
      </c>
      <c r="K665" s="111" t="str">
        <f ca="1">IF($B$2="Não","",'CÁLCULO FUNPRESP'!R665)</f>
        <v/>
      </c>
      <c r="L665" s="111">
        <f ca="1">IF($B$2="Não","",'CÁLCULO FUNPRESP'!S665)</f>
        <v>0</v>
      </c>
      <c r="N665" s="131" t="str">
        <f ca="1">'CÁLCULO FUNPRESP'!U665</f>
        <v/>
      </c>
      <c r="O665" s="111">
        <f ca="1">IF($B$2="Não","",'CÁLCULO FUNPRESP'!Y665)</f>
        <v>0</v>
      </c>
    </row>
    <row r="666" spans="9:15" x14ac:dyDescent="0.3">
      <c r="I666" s="131" t="str">
        <f ca="1">'CÁLCULO FUNPRESP'!P666</f>
        <v/>
      </c>
      <c r="J666" s="111" t="str">
        <f ca="1">IF($B$2="Não","",'CÁLCULO FUNPRESP'!Q666)</f>
        <v/>
      </c>
      <c r="K666" s="111" t="str">
        <f ca="1">IF($B$2="Não","",'CÁLCULO FUNPRESP'!R666)</f>
        <v/>
      </c>
      <c r="L666" s="111">
        <f ca="1">IF($B$2="Não","",'CÁLCULO FUNPRESP'!S666)</f>
        <v>0</v>
      </c>
      <c r="N666" s="131" t="str">
        <f ca="1">'CÁLCULO FUNPRESP'!U666</f>
        <v/>
      </c>
      <c r="O666" s="111">
        <f ca="1">IF($B$2="Não","",'CÁLCULO FUNPRESP'!Y666)</f>
        <v>0</v>
      </c>
    </row>
    <row r="667" spans="9:15" x14ac:dyDescent="0.3">
      <c r="I667" s="131" t="str">
        <f ca="1">'CÁLCULO FUNPRESP'!P667</f>
        <v/>
      </c>
      <c r="J667" s="111" t="str">
        <f ca="1">IF($B$2="Não","",'CÁLCULO FUNPRESP'!Q667)</f>
        <v/>
      </c>
      <c r="K667" s="111" t="str">
        <f ca="1">IF($B$2="Não","",'CÁLCULO FUNPRESP'!R667)</f>
        <v/>
      </c>
      <c r="L667" s="111">
        <f ca="1">IF($B$2="Não","",'CÁLCULO FUNPRESP'!S667)</f>
        <v>0</v>
      </c>
      <c r="N667" s="131" t="str">
        <f ca="1">'CÁLCULO FUNPRESP'!U667</f>
        <v/>
      </c>
      <c r="O667" s="111">
        <f ca="1">IF($B$2="Não","",'CÁLCULO FUNPRESP'!Y667)</f>
        <v>0</v>
      </c>
    </row>
    <row r="668" spans="9:15" x14ac:dyDescent="0.3">
      <c r="I668" s="131" t="str">
        <f ca="1">'CÁLCULO FUNPRESP'!P668</f>
        <v/>
      </c>
      <c r="J668" s="111" t="str">
        <f ca="1">IF($B$2="Não","",'CÁLCULO FUNPRESP'!Q668)</f>
        <v/>
      </c>
      <c r="K668" s="111" t="str">
        <f ca="1">IF($B$2="Não","",'CÁLCULO FUNPRESP'!R668)</f>
        <v/>
      </c>
      <c r="L668" s="111">
        <f ca="1">IF($B$2="Não","",'CÁLCULO FUNPRESP'!S668)</f>
        <v>0</v>
      </c>
      <c r="N668" s="131" t="str">
        <f ca="1">'CÁLCULO FUNPRESP'!U668</f>
        <v/>
      </c>
      <c r="O668" s="111">
        <f ca="1">IF($B$2="Não","",'CÁLCULO FUNPRESP'!Y668)</f>
        <v>0</v>
      </c>
    </row>
    <row r="669" spans="9:15" x14ac:dyDescent="0.3">
      <c r="I669" s="131" t="str">
        <f ca="1">'CÁLCULO FUNPRESP'!P669</f>
        <v/>
      </c>
      <c r="J669" s="111" t="str">
        <f ca="1">IF($B$2="Não","",'CÁLCULO FUNPRESP'!Q669)</f>
        <v/>
      </c>
      <c r="K669" s="111" t="str">
        <f ca="1">IF($B$2="Não","",'CÁLCULO FUNPRESP'!R669)</f>
        <v/>
      </c>
      <c r="L669" s="111">
        <f ca="1">IF($B$2="Não","",'CÁLCULO FUNPRESP'!S669)</f>
        <v>0</v>
      </c>
      <c r="N669" s="131" t="str">
        <f ca="1">'CÁLCULO FUNPRESP'!U669</f>
        <v/>
      </c>
      <c r="O669" s="111">
        <f ca="1">IF($B$2="Não","",'CÁLCULO FUNPRESP'!Y669)</f>
        <v>0</v>
      </c>
    </row>
    <row r="670" spans="9:15" x14ac:dyDescent="0.3">
      <c r="I670" s="131" t="str">
        <f ca="1">'CÁLCULO FUNPRESP'!P670</f>
        <v/>
      </c>
      <c r="J670" s="111" t="str">
        <f ca="1">IF($B$2="Não","",'CÁLCULO FUNPRESP'!Q670)</f>
        <v/>
      </c>
      <c r="K670" s="111" t="str">
        <f ca="1">IF($B$2="Não","",'CÁLCULO FUNPRESP'!R670)</f>
        <v/>
      </c>
      <c r="L670" s="111">
        <f ca="1">IF($B$2="Não","",'CÁLCULO FUNPRESP'!S670)</f>
        <v>0</v>
      </c>
      <c r="N670" s="131" t="str">
        <f ca="1">'CÁLCULO FUNPRESP'!U670</f>
        <v/>
      </c>
      <c r="O670" s="111">
        <f ca="1">IF($B$2="Não","",'CÁLCULO FUNPRESP'!Y670)</f>
        <v>0</v>
      </c>
    </row>
    <row r="671" spans="9:15" x14ac:dyDescent="0.3">
      <c r="I671" s="131" t="str">
        <f ca="1">'CÁLCULO FUNPRESP'!P671</f>
        <v/>
      </c>
      <c r="J671" s="111" t="str">
        <f ca="1">IF($B$2="Não","",'CÁLCULO FUNPRESP'!Q671)</f>
        <v/>
      </c>
      <c r="K671" s="111" t="str">
        <f ca="1">IF($B$2="Não","",'CÁLCULO FUNPRESP'!R671)</f>
        <v/>
      </c>
      <c r="L671" s="111">
        <f ca="1">IF($B$2="Não","",'CÁLCULO FUNPRESP'!S671)</f>
        <v>0</v>
      </c>
      <c r="N671" s="131" t="str">
        <f ca="1">'CÁLCULO FUNPRESP'!U671</f>
        <v/>
      </c>
      <c r="O671" s="111">
        <f ca="1">IF($B$2="Não","",'CÁLCULO FUNPRESP'!Y671)</f>
        <v>0</v>
      </c>
    </row>
    <row r="672" spans="9:15" x14ac:dyDescent="0.3">
      <c r="I672" s="131" t="str">
        <f ca="1">'CÁLCULO FUNPRESP'!P672</f>
        <v/>
      </c>
      <c r="J672" s="111" t="str">
        <f ca="1">IF($B$2="Não","",'CÁLCULO FUNPRESP'!Q672)</f>
        <v/>
      </c>
      <c r="K672" s="111" t="str">
        <f ca="1">IF($B$2="Não","",'CÁLCULO FUNPRESP'!R672)</f>
        <v/>
      </c>
      <c r="L672" s="111">
        <f ca="1">IF($B$2="Não","",'CÁLCULO FUNPRESP'!S672)</f>
        <v>0</v>
      </c>
      <c r="N672" s="131" t="str">
        <f ca="1">'CÁLCULO FUNPRESP'!U672</f>
        <v/>
      </c>
      <c r="O672" s="111">
        <f ca="1">IF($B$2="Não","",'CÁLCULO FUNPRESP'!Y672)</f>
        <v>0</v>
      </c>
    </row>
    <row r="673" spans="9:15" x14ac:dyDescent="0.3">
      <c r="I673" s="131" t="str">
        <f ca="1">'CÁLCULO FUNPRESP'!P673</f>
        <v/>
      </c>
      <c r="J673" s="111" t="str">
        <f ca="1">IF($B$2="Não","",'CÁLCULO FUNPRESP'!Q673)</f>
        <v/>
      </c>
      <c r="K673" s="111" t="str">
        <f ca="1">IF($B$2="Não","",'CÁLCULO FUNPRESP'!R673)</f>
        <v/>
      </c>
      <c r="L673" s="111">
        <f ca="1">IF($B$2="Não","",'CÁLCULO FUNPRESP'!S673)</f>
        <v>0</v>
      </c>
      <c r="N673" s="131" t="str">
        <f ca="1">'CÁLCULO FUNPRESP'!U673</f>
        <v/>
      </c>
      <c r="O673" s="111">
        <f ca="1">IF($B$2="Não","",'CÁLCULO FUNPRESP'!Y673)</f>
        <v>0</v>
      </c>
    </row>
    <row r="674" spans="9:15" x14ac:dyDescent="0.3">
      <c r="I674" s="131" t="str">
        <f ca="1">'CÁLCULO FUNPRESP'!P674</f>
        <v/>
      </c>
      <c r="J674" s="111" t="str">
        <f ca="1">IF($B$2="Não","",'CÁLCULO FUNPRESP'!Q674)</f>
        <v/>
      </c>
      <c r="K674" s="111" t="str">
        <f ca="1">IF($B$2="Não","",'CÁLCULO FUNPRESP'!R674)</f>
        <v/>
      </c>
      <c r="L674" s="111">
        <f ca="1">IF($B$2="Não","",'CÁLCULO FUNPRESP'!S674)</f>
        <v>0</v>
      </c>
      <c r="N674" s="131" t="str">
        <f ca="1">'CÁLCULO FUNPRESP'!U674</f>
        <v/>
      </c>
      <c r="O674" s="111">
        <f ca="1">IF($B$2="Não","",'CÁLCULO FUNPRESP'!Y674)</f>
        <v>0</v>
      </c>
    </row>
    <row r="675" spans="9:15" x14ac:dyDescent="0.3">
      <c r="I675" s="131" t="str">
        <f ca="1">'CÁLCULO FUNPRESP'!P675</f>
        <v/>
      </c>
      <c r="J675" s="111" t="str">
        <f ca="1">IF($B$2="Não","",'CÁLCULO FUNPRESP'!Q675)</f>
        <v/>
      </c>
      <c r="K675" s="111" t="str">
        <f ca="1">IF($B$2="Não","",'CÁLCULO FUNPRESP'!R675)</f>
        <v/>
      </c>
      <c r="L675" s="111">
        <f ca="1">IF($B$2="Não","",'CÁLCULO FUNPRESP'!S675)</f>
        <v>0</v>
      </c>
      <c r="N675" s="131" t="str">
        <f ca="1">'CÁLCULO FUNPRESP'!U675</f>
        <v/>
      </c>
      <c r="O675" s="111">
        <f ca="1">IF($B$2="Não","",'CÁLCULO FUNPRESP'!Y675)</f>
        <v>0</v>
      </c>
    </row>
    <row r="676" spans="9:15" x14ac:dyDescent="0.3">
      <c r="I676" s="131" t="str">
        <f ca="1">'CÁLCULO FUNPRESP'!P676</f>
        <v/>
      </c>
      <c r="J676" s="111" t="str">
        <f ca="1">IF($B$2="Não","",'CÁLCULO FUNPRESP'!Q676)</f>
        <v/>
      </c>
      <c r="K676" s="111" t="str">
        <f ca="1">IF($B$2="Não","",'CÁLCULO FUNPRESP'!R676)</f>
        <v/>
      </c>
      <c r="L676" s="111">
        <f ca="1">IF($B$2="Não","",'CÁLCULO FUNPRESP'!S676)</f>
        <v>0</v>
      </c>
      <c r="N676" s="131" t="str">
        <f ca="1">'CÁLCULO FUNPRESP'!U676</f>
        <v/>
      </c>
      <c r="O676" s="111">
        <f ca="1">IF($B$2="Não","",'CÁLCULO FUNPRESP'!Y676)</f>
        <v>0</v>
      </c>
    </row>
    <row r="677" spans="9:15" x14ac:dyDescent="0.3">
      <c r="I677" s="131" t="str">
        <f ca="1">'CÁLCULO FUNPRESP'!P677</f>
        <v/>
      </c>
      <c r="J677" s="111" t="str">
        <f ca="1">IF($B$2="Não","",'CÁLCULO FUNPRESP'!Q677)</f>
        <v/>
      </c>
      <c r="K677" s="111" t="str">
        <f ca="1">IF($B$2="Não","",'CÁLCULO FUNPRESP'!R677)</f>
        <v/>
      </c>
      <c r="L677" s="111">
        <f ca="1">IF($B$2="Não","",'CÁLCULO FUNPRESP'!S677)</f>
        <v>0</v>
      </c>
      <c r="N677" s="131" t="str">
        <f ca="1">'CÁLCULO FUNPRESP'!U677</f>
        <v/>
      </c>
      <c r="O677" s="111">
        <f ca="1">IF($B$2="Não","",'CÁLCULO FUNPRESP'!Y677)</f>
        <v>0</v>
      </c>
    </row>
    <row r="678" spans="9:15" x14ac:dyDescent="0.3">
      <c r="I678" s="131" t="str">
        <f ca="1">'CÁLCULO FUNPRESP'!P678</f>
        <v/>
      </c>
      <c r="J678" s="111" t="str">
        <f ca="1">IF($B$2="Não","",'CÁLCULO FUNPRESP'!Q678)</f>
        <v/>
      </c>
      <c r="K678" s="111" t="str">
        <f ca="1">IF($B$2="Não","",'CÁLCULO FUNPRESP'!R678)</f>
        <v/>
      </c>
      <c r="L678" s="111">
        <f ca="1">IF($B$2="Não","",'CÁLCULO FUNPRESP'!S678)</f>
        <v>0</v>
      </c>
      <c r="N678" s="131" t="str">
        <f ca="1">'CÁLCULO FUNPRESP'!U678</f>
        <v/>
      </c>
      <c r="O678" s="111">
        <f ca="1">IF($B$2="Não","",'CÁLCULO FUNPRESP'!Y678)</f>
        <v>0</v>
      </c>
    </row>
    <row r="679" spans="9:15" x14ac:dyDescent="0.3">
      <c r="I679" s="131" t="str">
        <f ca="1">'CÁLCULO FUNPRESP'!P679</f>
        <v/>
      </c>
      <c r="J679" s="111" t="str">
        <f ca="1">IF($B$2="Não","",'CÁLCULO FUNPRESP'!Q679)</f>
        <v/>
      </c>
      <c r="K679" s="111" t="str">
        <f ca="1">IF($B$2="Não","",'CÁLCULO FUNPRESP'!R679)</f>
        <v/>
      </c>
      <c r="L679" s="111">
        <f ca="1">IF($B$2="Não","",'CÁLCULO FUNPRESP'!S679)</f>
        <v>0</v>
      </c>
      <c r="N679" s="131" t="str">
        <f ca="1">'CÁLCULO FUNPRESP'!U679</f>
        <v/>
      </c>
      <c r="O679" s="111">
        <f ca="1">IF($B$2="Não","",'CÁLCULO FUNPRESP'!Y679)</f>
        <v>0</v>
      </c>
    </row>
    <row r="680" spans="9:15" x14ac:dyDescent="0.3">
      <c r="I680" s="131" t="str">
        <f ca="1">'CÁLCULO FUNPRESP'!P680</f>
        <v/>
      </c>
      <c r="J680" s="111" t="str">
        <f ca="1">IF($B$2="Não","",'CÁLCULO FUNPRESP'!Q680)</f>
        <v/>
      </c>
      <c r="K680" s="111" t="str">
        <f ca="1">IF($B$2="Não","",'CÁLCULO FUNPRESP'!R680)</f>
        <v/>
      </c>
      <c r="L680" s="111">
        <f ca="1">IF($B$2="Não","",'CÁLCULO FUNPRESP'!S680)</f>
        <v>0</v>
      </c>
      <c r="N680" s="131" t="str">
        <f ca="1">'CÁLCULO FUNPRESP'!U680</f>
        <v/>
      </c>
      <c r="O680" s="111">
        <f ca="1">IF($B$2="Não","",'CÁLCULO FUNPRESP'!Y680)</f>
        <v>0</v>
      </c>
    </row>
    <row r="681" spans="9:15" x14ac:dyDescent="0.3">
      <c r="I681" s="131" t="str">
        <f ca="1">'CÁLCULO FUNPRESP'!P681</f>
        <v/>
      </c>
      <c r="J681" s="111" t="str">
        <f ca="1">IF($B$2="Não","",'CÁLCULO FUNPRESP'!Q681)</f>
        <v/>
      </c>
      <c r="K681" s="111" t="str">
        <f ca="1">IF($B$2="Não","",'CÁLCULO FUNPRESP'!R681)</f>
        <v/>
      </c>
      <c r="L681" s="111">
        <f ca="1">IF($B$2="Não","",'CÁLCULO FUNPRESP'!S681)</f>
        <v>0</v>
      </c>
      <c r="N681" s="131" t="str">
        <f ca="1">'CÁLCULO FUNPRESP'!U681</f>
        <v/>
      </c>
      <c r="O681" s="111">
        <f ca="1">IF($B$2="Não","",'CÁLCULO FUNPRESP'!Y681)</f>
        <v>0</v>
      </c>
    </row>
    <row r="682" spans="9:15" x14ac:dyDescent="0.3">
      <c r="I682" s="131" t="str">
        <f ca="1">'CÁLCULO FUNPRESP'!P682</f>
        <v/>
      </c>
      <c r="J682" s="111" t="str">
        <f ca="1">IF($B$2="Não","",'CÁLCULO FUNPRESP'!Q682)</f>
        <v/>
      </c>
      <c r="K682" s="111" t="str">
        <f ca="1">IF($B$2="Não","",'CÁLCULO FUNPRESP'!R682)</f>
        <v/>
      </c>
      <c r="L682" s="111">
        <f ca="1">IF($B$2="Não","",'CÁLCULO FUNPRESP'!S682)</f>
        <v>0</v>
      </c>
      <c r="N682" s="131" t="str">
        <f ca="1">'CÁLCULO FUNPRESP'!U682</f>
        <v/>
      </c>
      <c r="O682" s="111">
        <f ca="1">IF($B$2="Não","",'CÁLCULO FUNPRESP'!Y682)</f>
        <v>0</v>
      </c>
    </row>
    <row r="683" spans="9:15" x14ac:dyDescent="0.3">
      <c r="I683" s="131" t="str">
        <f ca="1">'CÁLCULO FUNPRESP'!P683</f>
        <v/>
      </c>
      <c r="J683" s="111" t="str">
        <f ca="1">IF($B$2="Não","",'CÁLCULO FUNPRESP'!Q683)</f>
        <v/>
      </c>
      <c r="K683" s="111" t="str">
        <f ca="1">IF($B$2="Não","",'CÁLCULO FUNPRESP'!R683)</f>
        <v/>
      </c>
      <c r="L683" s="111">
        <f ca="1">IF($B$2="Não","",'CÁLCULO FUNPRESP'!S683)</f>
        <v>0</v>
      </c>
      <c r="N683" s="131" t="str">
        <f ca="1">'CÁLCULO FUNPRESP'!U683</f>
        <v/>
      </c>
      <c r="O683" s="111">
        <f ca="1">IF($B$2="Não","",'CÁLCULO FUNPRESP'!Y683)</f>
        <v>0</v>
      </c>
    </row>
    <row r="684" spans="9:15" x14ac:dyDescent="0.3">
      <c r="I684" s="131" t="str">
        <f ca="1">'CÁLCULO FUNPRESP'!P684</f>
        <v/>
      </c>
      <c r="J684" s="111" t="str">
        <f ca="1">IF($B$2="Não","",'CÁLCULO FUNPRESP'!Q684)</f>
        <v/>
      </c>
      <c r="K684" s="111" t="str">
        <f ca="1">IF($B$2="Não","",'CÁLCULO FUNPRESP'!R684)</f>
        <v/>
      </c>
      <c r="L684" s="111">
        <f ca="1">IF($B$2="Não","",'CÁLCULO FUNPRESP'!S684)</f>
        <v>0</v>
      </c>
      <c r="N684" s="131" t="str">
        <f ca="1">'CÁLCULO FUNPRESP'!U684</f>
        <v/>
      </c>
      <c r="O684" s="111">
        <f ca="1">IF($B$2="Não","",'CÁLCULO FUNPRESP'!Y684)</f>
        <v>0</v>
      </c>
    </row>
    <row r="685" spans="9:15" x14ac:dyDescent="0.3">
      <c r="I685" s="131" t="str">
        <f ca="1">'CÁLCULO FUNPRESP'!P685</f>
        <v/>
      </c>
      <c r="J685" s="111" t="str">
        <f ca="1">IF($B$2="Não","",'CÁLCULO FUNPRESP'!Q685)</f>
        <v/>
      </c>
      <c r="K685" s="111" t="str">
        <f ca="1">IF($B$2="Não","",'CÁLCULO FUNPRESP'!R685)</f>
        <v/>
      </c>
      <c r="L685" s="111">
        <f ca="1">IF($B$2="Não","",'CÁLCULO FUNPRESP'!S685)</f>
        <v>0</v>
      </c>
      <c r="N685" s="131" t="str">
        <f ca="1">'CÁLCULO FUNPRESP'!U685</f>
        <v/>
      </c>
      <c r="O685" s="111">
        <f ca="1">IF($B$2="Não","",'CÁLCULO FUNPRESP'!Y685)</f>
        <v>0</v>
      </c>
    </row>
    <row r="686" spans="9:15" x14ac:dyDescent="0.3">
      <c r="I686" s="131" t="str">
        <f ca="1">'CÁLCULO FUNPRESP'!P686</f>
        <v/>
      </c>
      <c r="J686" s="111" t="str">
        <f ca="1">IF($B$2="Não","",'CÁLCULO FUNPRESP'!Q686)</f>
        <v/>
      </c>
      <c r="K686" s="111" t="str">
        <f ca="1">IF($B$2="Não","",'CÁLCULO FUNPRESP'!R686)</f>
        <v/>
      </c>
      <c r="L686" s="111">
        <f ca="1">IF($B$2="Não","",'CÁLCULO FUNPRESP'!S686)</f>
        <v>0</v>
      </c>
      <c r="N686" s="131" t="str">
        <f ca="1">'CÁLCULO FUNPRESP'!U686</f>
        <v/>
      </c>
      <c r="O686" s="111">
        <f ca="1">IF($B$2="Não","",'CÁLCULO FUNPRESP'!Y686)</f>
        <v>0</v>
      </c>
    </row>
    <row r="687" spans="9:15" x14ac:dyDescent="0.3">
      <c r="I687" s="131" t="str">
        <f ca="1">'CÁLCULO FUNPRESP'!P687</f>
        <v/>
      </c>
      <c r="J687" s="111" t="str">
        <f ca="1">IF($B$2="Não","",'CÁLCULO FUNPRESP'!Q687)</f>
        <v/>
      </c>
      <c r="K687" s="111" t="str">
        <f ca="1">IF($B$2="Não","",'CÁLCULO FUNPRESP'!R687)</f>
        <v/>
      </c>
      <c r="L687" s="111">
        <f ca="1">IF($B$2="Não","",'CÁLCULO FUNPRESP'!S687)</f>
        <v>0</v>
      </c>
      <c r="N687" s="131" t="str">
        <f ca="1">'CÁLCULO FUNPRESP'!U687</f>
        <v/>
      </c>
      <c r="O687" s="111">
        <f ca="1">IF($B$2="Não","",'CÁLCULO FUNPRESP'!Y687)</f>
        <v>0</v>
      </c>
    </row>
    <row r="688" spans="9:15" x14ac:dyDescent="0.3">
      <c r="I688" s="131" t="str">
        <f ca="1">'CÁLCULO FUNPRESP'!P688</f>
        <v/>
      </c>
      <c r="J688" s="111" t="str">
        <f ca="1">IF($B$2="Não","",'CÁLCULO FUNPRESP'!Q688)</f>
        <v/>
      </c>
      <c r="K688" s="111" t="str">
        <f ca="1">IF($B$2="Não","",'CÁLCULO FUNPRESP'!R688)</f>
        <v/>
      </c>
      <c r="L688" s="111">
        <f ca="1">IF($B$2="Não","",'CÁLCULO FUNPRESP'!S688)</f>
        <v>0</v>
      </c>
      <c r="N688" s="131" t="str">
        <f ca="1">'CÁLCULO FUNPRESP'!U688</f>
        <v/>
      </c>
      <c r="O688" s="111">
        <f ca="1">IF($B$2="Não","",'CÁLCULO FUNPRESP'!Y688)</f>
        <v>0</v>
      </c>
    </row>
    <row r="689" spans="9:15" x14ac:dyDescent="0.3">
      <c r="I689" s="131" t="str">
        <f ca="1">'CÁLCULO FUNPRESP'!P689</f>
        <v/>
      </c>
      <c r="J689" s="111" t="str">
        <f ca="1">IF($B$2="Não","",'CÁLCULO FUNPRESP'!Q689)</f>
        <v/>
      </c>
      <c r="K689" s="111" t="str">
        <f ca="1">IF($B$2="Não","",'CÁLCULO FUNPRESP'!R689)</f>
        <v/>
      </c>
      <c r="L689" s="111">
        <f ca="1">IF($B$2="Não","",'CÁLCULO FUNPRESP'!S689)</f>
        <v>0</v>
      </c>
      <c r="N689" s="131" t="str">
        <f ca="1">'CÁLCULO FUNPRESP'!U689</f>
        <v/>
      </c>
      <c r="O689" s="111">
        <f ca="1">IF($B$2="Não","",'CÁLCULO FUNPRESP'!Y689)</f>
        <v>0</v>
      </c>
    </row>
    <row r="690" spans="9:15" x14ac:dyDescent="0.3">
      <c r="I690" s="131" t="str">
        <f ca="1">'CÁLCULO FUNPRESP'!P690</f>
        <v/>
      </c>
      <c r="J690" s="111" t="str">
        <f ca="1">IF($B$2="Não","",'CÁLCULO FUNPRESP'!Q690)</f>
        <v/>
      </c>
      <c r="K690" s="111" t="str">
        <f ca="1">IF($B$2="Não","",'CÁLCULO FUNPRESP'!R690)</f>
        <v/>
      </c>
      <c r="L690" s="111">
        <f ca="1">IF($B$2="Não","",'CÁLCULO FUNPRESP'!S690)</f>
        <v>0</v>
      </c>
      <c r="N690" s="131" t="str">
        <f ca="1">'CÁLCULO FUNPRESP'!U690</f>
        <v/>
      </c>
      <c r="O690" s="111">
        <f ca="1">IF($B$2="Não","",'CÁLCULO FUNPRESP'!Y690)</f>
        <v>0</v>
      </c>
    </row>
    <row r="691" spans="9:15" x14ac:dyDescent="0.3">
      <c r="I691" s="131" t="str">
        <f ca="1">'CÁLCULO FUNPRESP'!P691</f>
        <v/>
      </c>
      <c r="J691" s="111" t="str">
        <f ca="1">IF($B$2="Não","",'CÁLCULO FUNPRESP'!Q691)</f>
        <v/>
      </c>
      <c r="K691" s="111" t="str">
        <f ca="1">IF($B$2="Não","",'CÁLCULO FUNPRESP'!R691)</f>
        <v/>
      </c>
      <c r="L691" s="111">
        <f ca="1">IF($B$2="Não","",'CÁLCULO FUNPRESP'!S691)</f>
        <v>0</v>
      </c>
      <c r="N691" s="131" t="str">
        <f ca="1">'CÁLCULO FUNPRESP'!U691</f>
        <v/>
      </c>
      <c r="O691" s="111">
        <f ca="1">IF($B$2="Não","",'CÁLCULO FUNPRESP'!Y691)</f>
        <v>0</v>
      </c>
    </row>
    <row r="692" spans="9:15" x14ac:dyDescent="0.3">
      <c r="I692" s="131" t="str">
        <f ca="1">'CÁLCULO FUNPRESP'!P692</f>
        <v/>
      </c>
      <c r="J692" s="111" t="str">
        <f ca="1">IF($B$2="Não","",'CÁLCULO FUNPRESP'!Q692)</f>
        <v/>
      </c>
      <c r="K692" s="111" t="str">
        <f ca="1">IF($B$2="Não","",'CÁLCULO FUNPRESP'!R692)</f>
        <v/>
      </c>
      <c r="L692" s="111">
        <f ca="1">IF($B$2="Não","",'CÁLCULO FUNPRESP'!S692)</f>
        <v>0</v>
      </c>
      <c r="N692" s="131" t="str">
        <f ca="1">'CÁLCULO FUNPRESP'!U692</f>
        <v/>
      </c>
      <c r="O692" s="111">
        <f ca="1">IF($B$2="Não","",'CÁLCULO FUNPRESP'!Y692)</f>
        <v>0</v>
      </c>
    </row>
    <row r="693" spans="9:15" x14ac:dyDescent="0.3">
      <c r="I693" s="131" t="str">
        <f ca="1">'CÁLCULO FUNPRESP'!P693</f>
        <v/>
      </c>
      <c r="J693" s="111" t="str">
        <f ca="1">IF($B$2="Não","",'CÁLCULO FUNPRESP'!Q693)</f>
        <v/>
      </c>
      <c r="K693" s="111" t="str">
        <f ca="1">IF($B$2="Não","",'CÁLCULO FUNPRESP'!R693)</f>
        <v/>
      </c>
      <c r="L693" s="111">
        <f ca="1">IF($B$2="Não","",'CÁLCULO FUNPRESP'!S693)</f>
        <v>0</v>
      </c>
      <c r="N693" s="131" t="str">
        <f ca="1">'CÁLCULO FUNPRESP'!U693</f>
        <v/>
      </c>
      <c r="O693" s="111">
        <f ca="1">IF($B$2="Não","",'CÁLCULO FUNPRESP'!Y693)</f>
        <v>0</v>
      </c>
    </row>
    <row r="694" spans="9:15" x14ac:dyDescent="0.3">
      <c r="I694" s="131" t="str">
        <f ca="1">'CÁLCULO FUNPRESP'!P694</f>
        <v/>
      </c>
      <c r="J694" s="111" t="str">
        <f ca="1">IF($B$2="Não","",'CÁLCULO FUNPRESP'!Q694)</f>
        <v/>
      </c>
      <c r="K694" s="111" t="str">
        <f ca="1">IF($B$2="Não","",'CÁLCULO FUNPRESP'!R694)</f>
        <v/>
      </c>
      <c r="L694" s="111">
        <f ca="1">IF($B$2="Não","",'CÁLCULO FUNPRESP'!S694)</f>
        <v>0</v>
      </c>
      <c r="N694" s="131" t="str">
        <f ca="1">'CÁLCULO FUNPRESP'!U694</f>
        <v/>
      </c>
      <c r="O694" s="111">
        <f ca="1">IF($B$2="Não","",'CÁLCULO FUNPRESP'!Y694)</f>
        <v>0</v>
      </c>
    </row>
    <row r="695" spans="9:15" x14ac:dyDescent="0.3">
      <c r="I695" s="131" t="str">
        <f ca="1">'CÁLCULO FUNPRESP'!P695</f>
        <v/>
      </c>
      <c r="J695" s="111" t="str">
        <f ca="1">IF($B$2="Não","",'CÁLCULO FUNPRESP'!Q695)</f>
        <v/>
      </c>
      <c r="K695" s="111" t="str">
        <f ca="1">IF($B$2="Não","",'CÁLCULO FUNPRESP'!R695)</f>
        <v/>
      </c>
      <c r="L695" s="111">
        <f ca="1">IF($B$2="Não","",'CÁLCULO FUNPRESP'!S695)</f>
        <v>0</v>
      </c>
      <c r="N695" s="131" t="str">
        <f ca="1">'CÁLCULO FUNPRESP'!U695</f>
        <v/>
      </c>
      <c r="O695" s="111">
        <f ca="1">IF($B$2="Não","",'CÁLCULO FUNPRESP'!Y695)</f>
        <v>0</v>
      </c>
    </row>
    <row r="696" spans="9:15" x14ac:dyDescent="0.3">
      <c r="I696" s="131" t="str">
        <f ca="1">'CÁLCULO FUNPRESP'!P696</f>
        <v/>
      </c>
      <c r="J696" s="111" t="str">
        <f ca="1">IF($B$2="Não","",'CÁLCULO FUNPRESP'!Q696)</f>
        <v/>
      </c>
      <c r="K696" s="111" t="str">
        <f ca="1">IF($B$2="Não","",'CÁLCULO FUNPRESP'!R696)</f>
        <v/>
      </c>
      <c r="L696" s="111">
        <f ca="1">IF($B$2="Não","",'CÁLCULO FUNPRESP'!S696)</f>
        <v>0</v>
      </c>
      <c r="N696" s="131" t="str">
        <f ca="1">'CÁLCULO FUNPRESP'!U696</f>
        <v/>
      </c>
      <c r="O696" s="111">
        <f ca="1">IF($B$2="Não","",'CÁLCULO FUNPRESP'!Y696)</f>
        <v>0</v>
      </c>
    </row>
    <row r="697" spans="9:15" x14ac:dyDescent="0.3">
      <c r="I697" s="131" t="str">
        <f ca="1">'CÁLCULO FUNPRESP'!P697</f>
        <v/>
      </c>
      <c r="J697" s="111" t="str">
        <f ca="1">IF($B$2="Não","",'CÁLCULO FUNPRESP'!Q697)</f>
        <v/>
      </c>
      <c r="K697" s="111" t="str">
        <f ca="1">IF($B$2="Não","",'CÁLCULO FUNPRESP'!R697)</f>
        <v/>
      </c>
      <c r="L697" s="111">
        <f ca="1">IF($B$2="Não","",'CÁLCULO FUNPRESP'!S697)</f>
        <v>0</v>
      </c>
      <c r="N697" s="131" t="str">
        <f ca="1">'CÁLCULO FUNPRESP'!U697</f>
        <v/>
      </c>
      <c r="O697" s="111">
        <f ca="1">IF($B$2="Não","",'CÁLCULO FUNPRESP'!Y697)</f>
        <v>0</v>
      </c>
    </row>
    <row r="698" spans="9:15" x14ac:dyDescent="0.3">
      <c r="I698" s="131" t="str">
        <f ca="1">'CÁLCULO FUNPRESP'!P698</f>
        <v/>
      </c>
      <c r="J698" s="111" t="str">
        <f ca="1">IF($B$2="Não","",'CÁLCULO FUNPRESP'!Q698)</f>
        <v/>
      </c>
      <c r="K698" s="111" t="str">
        <f ca="1">IF($B$2="Não","",'CÁLCULO FUNPRESP'!R698)</f>
        <v/>
      </c>
      <c r="L698" s="111">
        <f ca="1">IF($B$2="Não","",'CÁLCULO FUNPRESP'!S698)</f>
        <v>0</v>
      </c>
      <c r="N698" s="131" t="str">
        <f ca="1">'CÁLCULO FUNPRESP'!U698</f>
        <v/>
      </c>
      <c r="O698" s="111">
        <f ca="1">IF($B$2="Não","",'CÁLCULO FUNPRESP'!Y698)</f>
        <v>0</v>
      </c>
    </row>
    <row r="699" spans="9:15" x14ac:dyDescent="0.3">
      <c r="I699" s="131" t="str">
        <f ca="1">'CÁLCULO FUNPRESP'!P699</f>
        <v/>
      </c>
      <c r="J699" s="111" t="str">
        <f ca="1">IF($B$2="Não","",'CÁLCULO FUNPRESP'!Q699)</f>
        <v/>
      </c>
      <c r="K699" s="111" t="str">
        <f ca="1">IF($B$2="Não","",'CÁLCULO FUNPRESP'!R699)</f>
        <v/>
      </c>
      <c r="L699" s="111">
        <f ca="1">IF($B$2="Não","",'CÁLCULO FUNPRESP'!S699)</f>
        <v>0</v>
      </c>
      <c r="N699" s="131" t="str">
        <f ca="1">'CÁLCULO FUNPRESP'!U699</f>
        <v/>
      </c>
      <c r="O699" s="111">
        <f ca="1">IF($B$2="Não","",'CÁLCULO FUNPRESP'!Y699)</f>
        <v>0</v>
      </c>
    </row>
    <row r="700" spans="9:15" x14ac:dyDescent="0.3">
      <c r="I700" s="131" t="str">
        <f ca="1">'CÁLCULO FUNPRESP'!P700</f>
        <v/>
      </c>
      <c r="J700" s="111" t="str">
        <f ca="1">IF($B$2="Não","",'CÁLCULO FUNPRESP'!Q700)</f>
        <v/>
      </c>
      <c r="K700" s="111" t="str">
        <f ca="1">IF($B$2="Não","",'CÁLCULO FUNPRESP'!R700)</f>
        <v/>
      </c>
      <c r="L700" s="111">
        <f ca="1">IF($B$2="Não","",'CÁLCULO FUNPRESP'!S700)</f>
        <v>0</v>
      </c>
      <c r="N700" s="131" t="str">
        <f ca="1">'CÁLCULO FUNPRESP'!U700</f>
        <v/>
      </c>
      <c r="O700" s="111">
        <f ca="1">IF($B$2="Não","",'CÁLCULO FUNPRESP'!Y700)</f>
        <v>0</v>
      </c>
    </row>
  </sheetData>
  <mergeCells count="2">
    <mergeCell ref="I2:L2"/>
    <mergeCell ref="N2:O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tabColor theme="4" tint="-0.499984740745262"/>
  </sheetPr>
  <dimension ref="A2:S89"/>
  <sheetViews>
    <sheetView showGridLines="0" topLeftCell="A52" zoomScaleNormal="100" zoomScaleSheetLayoutView="100" workbookViewId="0">
      <selection activeCell="K61" sqref="K61:M61"/>
    </sheetView>
  </sheetViews>
  <sheetFormatPr defaultColWidth="9.109375" defaultRowHeight="13.8" x14ac:dyDescent="0.25"/>
  <cols>
    <col min="1" max="1" width="9.109375" style="170"/>
    <col min="2" max="3" width="1.5546875" style="170" customWidth="1"/>
    <col min="4" max="5" width="2.88671875" style="170" customWidth="1"/>
    <col min="6" max="6" width="35.33203125" style="170" customWidth="1"/>
    <col min="7" max="7" width="14.88671875" style="170" customWidth="1"/>
    <col min="8" max="8" width="3.109375" style="170" customWidth="1"/>
    <col min="9" max="9" width="14.33203125" style="170" customWidth="1"/>
    <col min="10" max="10" width="6.109375" style="170" customWidth="1"/>
    <col min="11" max="11" width="3.5546875" style="170" customWidth="1"/>
    <col min="12" max="12" width="8.6640625" style="170" customWidth="1"/>
    <col min="13" max="13" width="6" style="170" customWidth="1"/>
    <col min="14" max="14" width="12" style="170" customWidth="1"/>
    <col min="15" max="16" width="1.5546875" style="170" customWidth="1"/>
    <col min="17" max="17" width="9.109375" style="170"/>
    <col min="18" max="18" width="3.44140625" style="170" bestFit="1" customWidth="1"/>
    <col min="19" max="19" width="27.88671875" style="170" customWidth="1"/>
    <col min="20" max="20" width="9.109375" style="170"/>
    <col min="21" max="21" width="11.33203125" style="170" bestFit="1" customWidth="1"/>
    <col min="22" max="23" width="9.88671875" style="170" bestFit="1" customWidth="1"/>
    <col min="24" max="16384" width="9.109375" style="170"/>
  </cols>
  <sheetData>
    <row r="2" spans="1:19" x14ac:dyDescent="0.25">
      <c r="A2" s="167"/>
      <c r="B2" s="167"/>
      <c r="C2" s="168"/>
      <c r="D2" s="395"/>
      <c r="E2" s="395"/>
      <c r="F2" s="395"/>
      <c r="G2" s="395"/>
      <c r="H2" s="395"/>
      <c r="I2" s="395"/>
      <c r="J2" s="395"/>
      <c r="K2" s="395"/>
      <c r="L2" s="395"/>
      <c r="M2" s="395"/>
      <c r="N2" s="395"/>
      <c r="O2" s="169"/>
      <c r="P2" s="167"/>
    </row>
    <row r="3" spans="1:19" ht="93" customHeight="1" x14ac:dyDescent="0.25">
      <c r="A3" s="167"/>
      <c r="B3" s="167"/>
      <c r="C3" s="171"/>
      <c r="D3" s="396"/>
      <c r="E3" s="396"/>
      <c r="F3" s="396"/>
      <c r="G3" s="396"/>
      <c r="H3" s="396"/>
      <c r="I3" s="396"/>
      <c r="J3" s="396"/>
      <c r="K3" s="396"/>
      <c r="L3" s="396"/>
      <c r="M3" s="396"/>
      <c r="N3" s="396"/>
      <c r="O3" s="172"/>
      <c r="P3" s="167"/>
    </row>
    <row r="4" spans="1:19" ht="5.25" customHeight="1" x14ac:dyDescent="0.25">
      <c r="B4" s="145"/>
      <c r="C4" s="171"/>
      <c r="D4" s="145"/>
      <c r="E4" s="145"/>
      <c r="F4" s="145"/>
      <c r="G4" s="145"/>
      <c r="H4" s="145"/>
      <c r="I4" s="145"/>
      <c r="J4" s="145"/>
      <c r="K4" s="145"/>
      <c r="L4" s="145"/>
      <c r="M4" s="145"/>
      <c r="N4" s="145"/>
      <c r="O4" s="172"/>
      <c r="P4" s="145"/>
    </row>
    <row r="5" spans="1:19" ht="30.75" customHeight="1" x14ac:dyDescent="0.25">
      <c r="B5" s="145"/>
      <c r="C5" s="171"/>
      <c r="D5" s="397" t="s">
        <v>332</v>
      </c>
      <c r="E5" s="397"/>
      <c r="F5" s="397"/>
      <c r="G5" s="397"/>
      <c r="H5" s="397"/>
      <c r="I5" s="397"/>
      <c r="J5" s="397"/>
      <c r="K5" s="397"/>
      <c r="L5" s="397"/>
      <c r="M5" s="397"/>
      <c r="N5" s="397"/>
      <c r="O5" s="172"/>
      <c r="P5" s="145"/>
    </row>
    <row r="6" spans="1:19" ht="4.5" customHeight="1" x14ac:dyDescent="0.25">
      <c r="C6" s="141"/>
      <c r="D6" s="142"/>
      <c r="E6" s="145"/>
      <c r="F6" s="145"/>
      <c r="G6" s="145"/>
      <c r="H6" s="145"/>
      <c r="I6" s="145"/>
      <c r="J6" s="142"/>
      <c r="K6" s="151"/>
      <c r="L6" s="151"/>
      <c r="M6" s="151"/>
      <c r="N6" s="151"/>
      <c r="O6" s="164"/>
    </row>
    <row r="7" spans="1:19" ht="15.6" x14ac:dyDescent="0.3">
      <c r="C7" s="141"/>
      <c r="D7" s="146" t="s">
        <v>342</v>
      </c>
      <c r="E7" s="147"/>
      <c r="F7" s="147"/>
      <c r="G7" s="147"/>
      <c r="H7" s="142"/>
      <c r="I7" s="142"/>
      <c r="J7" s="142"/>
      <c r="K7" s="142"/>
      <c r="L7" s="142"/>
      <c r="M7" s="142"/>
      <c r="N7" s="142"/>
      <c r="O7" s="164"/>
    </row>
    <row r="8" spans="1:19" ht="4.5" customHeight="1" x14ac:dyDescent="0.25">
      <c r="C8" s="141"/>
      <c r="D8" s="142"/>
      <c r="E8" s="145"/>
      <c r="F8" s="145"/>
      <c r="G8" s="145"/>
      <c r="H8" s="145"/>
      <c r="I8" s="145"/>
      <c r="J8" s="142"/>
      <c r="K8" s="151"/>
      <c r="L8" s="151"/>
      <c r="M8" s="151"/>
      <c r="N8" s="151"/>
      <c r="O8" s="164"/>
    </row>
    <row r="9" spans="1:19" ht="15.6" x14ac:dyDescent="0.3">
      <c r="C9" s="323"/>
      <c r="D9" s="324" t="s">
        <v>350</v>
      </c>
      <c r="E9" s="325"/>
      <c r="F9" s="325"/>
      <c r="G9" s="325"/>
      <c r="H9" s="325"/>
      <c r="I9" s="325"/>
      <c r="J9" s="326"/>
      <c r="K9" s="327"/>
      <c r="L9" s="327"/>
      <c r="M9" s="327"/>
      <c r="N9" s="327"/>
      <c r="O9" s="328"/>
    </row>
    <row r="10" spans="1:19" ht="15" x14ac:dyDescent="0.25">
      <c r="C10" s="321"/>
      <c r="D10" s="320"/>
      <c r="E10" s="394" t="s">
        <v>344</v>
      </c>
      <c r="F10" s="394"/>
      <c r="G10" s="394"/>
      <c r="H10" s="394"/>
      <c r="I10" s="394"/>
      <c r="J10" s="394"/>
      <c r="K10" s="394"/>
      <c r="L10" s="394"/>
      <c r="M10" s="394"/>
      <c r="N10" s="394"/>
      <c r="O10" s="322"/>
    </row>
    <row r="11" spans="1:19" ht="15" x14ac:dyDescent="0.25">
      <c r="C11" s="141"/>
      <c r="D11" s="142"/>
      <c r="F11" s="329" t="s">
        <v>298</v>
      </c>
      <c r="G11" s="143"/>
      <c r="H11" s="145"/>
      <c r="I11" s="181">
        <v>28306</v>
      </c>
      <c r="J11" s="142"/>
      <c r="K11" s="151"/>
      <c r="L11" s="151"/>
      <c r="M11" s="151"/>
      <c r="N11" s="151"/>
      <c r="O11" s="164"/>
      <c r="S11" s="246"/>
    </row>
    <row r="12" spans="1:19" ht="4.5" customHeight="1" x14ac:dyDescent="0.25">
      <c r="C12" s="141"/>
      <c r="D12" s="142"/>
      <c r="E12" s="145"/>
      <c r="F12" s="145"/>
      <c r="G12" s="145"/>
      <c r="H12" s="145"/>
      <c r="I12" s="145"/>
      <c r="J12" s="142"/>
      <c r="K12" s="151"/>
      <c r="L12" s="151"/>
      <c r="M12" s="151"/>
      <c r="N12" s="151"/>
      <c r="O12" s="164"/>
    </row>
    <row r="13" spans="1:19" ht="15" x14ac:dyDescent="0.25">
      <c r="C13" s="321"/>
      <c r="D13" s="320"/>
      <c r="E13" s="394" t="s">
        <v>343</v>
      </c>
      <c r="F13" s="394"/>
      <c r="G13" s="394"/>
      <c r="H13" s="394"/>
      <c r="I13" s="394"/>
      <c r="J13" s="394"/>
      <c r="K13" s="394"/>
      <c r="L13" s="394"/>
      <c r="M13" s="394"/>
      <c r="N13" s="394"/>
      <c r="O13" s="322"/>
    </row>
    <row r="14" spans="1:19" ht="15" x14ac:dyDescent="0.25">
      <c r="C14" s="141"/>
      <c r="D14" s="142"/>
      <c r="F14" s="329" t="s">
        <v>176</v>
      </c>
      <c r="G14" s="143"/>
      <c r="H14" s="145"/>
      <c r="I14" s="180" t="s">
        <v>6</v>
      </c>
      <c r="J14" s="142"/>
      <c r="K14" s="151"/>
      <c r="L14" s="151"/>
      <c r="M14" s="151"/>
      <c r="N14" s="151"/>
      <c r="O14" s="164"/>
      <c r="S14" s="246"/>
    </row>
    <row r="15" spans="1:19" ht="4.5" customHeight="1" x14ac:dyDescent="0.25">
      <c r="C15" s="141"/>
      <c r="D15" s="142"/>
      <c r="E15" s="145"/>
      <c r="F15" s="145"/>
      <c r="G15" s="145"/>
      <c r="H15" s="145"/>
      <c r="I15" s="145"/>
      <c r="J15" s="142"/>
      <c r="K15" s="151"/>
      <c r="L15" s="151"/>
      <c r="M15" s="151"/>
      <c r="N15" s="151"/>
      <c r="O15" s="164"/>
      <c r="S15" s="246"/>
    </row>
    <row r="16" spans="1:19" ht="15" customHeight="1" x14ac:dyDescent="0.25">
      <c r="C16" s="321"/>
      <c r="D16" s="320"/>
      <c r="E16" s="394" t="s">
        <v>345</v>
      </c>
      <c r="F16" s="394"/>
      <c r="G16" s="394"/>
      <c r="H16" s="394"/>
      <c r="I16" s="394"/>
      <c r="J16" s="394"/>
      <c r="K16" s="394"/>
      <c r="L16" s="394"/>
      <c r="M16" s="394"/>
      <c r="N16" s="394"/>
      <c r="O16" s="322"/>
      <c r="S16" s="246"/>
    </row>
    <row r="17" spans="3:19" ht="15" x14ac:dyDescent="0.25">
      <c r="C17" s="141"/>
      <c r="D17" s="142"/>
      <c r="F17" s="329" t="s">
        <v>299</v>
      </c>
      <c r="G17" s="143"/>
      <c r="H17" s="145"/>
      <c r="I17" s="181">
        <v>37437</v>
      </c>
      <c r="J17" s="142"/>
      <c r="K17" s="151"/>
      <c r="L17" s="151"/>
      <c r="M17" s="151"/>
      <c r="N17" s="151"/>
      <c r="O17" s="164"/>
      <c r="S17" s="246"/>
    </row>
    <row r="18" spans="3:19" ht="4.5" customHeight="1" x14ac:dyDescent="0.25">
      <c r="C18" s="141"/>
      <c r="D18" s="142"/>
      <c r="E18" s="145"/>
      <c r="F18" s="145"/>
      <c r="G18" s="145"/>
      <c r="H18" s="145"/>
      <c r="I18" s="145"/>
      <c r="J18" s="142"/>
      <c r="K18" s="151"/>
      <c r="L18" s="151"/>
      <c r="M18" s="151"/>
      <c r="N18" s="151"/>
      <c r="O18" s="164"/>
    </row>
    <row r="19" spans="3:19" ht="15" customHeight="1" x14ac:dyDescent="0.25">
      <c r="C19" s="321"/>
      <c r="D19" s="320"/>
      <c r="E19" s="394" t="s">
        <v>346</v>
      </c>
      <c r="F19" s="394"/>
      <c r="G19" s="394"/>
      <c r="H19" s="394"/>
      <c r="I19" s="394"/>
      <c r="J19" s="394"/>
      <c r="K19" s="394"/>
      <c r="L19" s="394"/>
      <c r="M19" s="394"/>
      <c r="N19" s="394"/>
      <c r="O19" s="322"/>
    </row>
    <row r="20" spans="3:19" ht="15" x14ac:dyDescent="0.25">
      <c r="C20" s="141"/>
      <c r="D20" s="142"/>
      <c r="F20" s="329" t="s">
        <v>307</v>
      </c>
      <c r="G20" s="143"/>
      <c r="H20" s="145"/>
      <c r="I20" s="181">
        <v>37437</v>
      </c>
      <c r="J20" s="142"/>
      <c r="K20" s="151"/>
      <c r="L20" s="151"/>
      <c r="M20" s="151"/>
      <c r="N20" s="151"/>
      <c r="O20" s="164"/>
    </row>
    <row r="21" spans="3:19" ht="4.5" customHeight="1" x14ac:dyDescent="0.25">
      <c r="C21" s="141"/>
      <c r="D21" s="142"/>
      <c r="E21" s="143"/>
      <c r="F21" s="145"/>
      <c r="G21" s="145"/>
      <c r="H21" s="145"/>
      <c r="I21" s="145"/>
      <c r="J21" s="142"/>
      <c r="K21" s="151"/>
      <c r="L21" s="151"/>
      <c r="M21" s="151"/>
      <c r="N21" s="151"/>
      <c r="O21" s="164"/>
    </row>
    <row r="22" spans="3:19" ht="30.75" customHeight="1" x14ac:dyDescent="0.25">
      <c r="C22" s="321"/>
      <c r="D22" s="320"/>
      <c r="E22" s="394" t="s">
        <v>354</v>
      </c>
      <c r="F22" s="394"/>
      <c r="G22" s="394"/>
      <c r="H22" s="394"/>
      <c r="I22" s="394"/>
      <c r="J22" s="394"/>
      <c r="K22" s="394"/>
      <c r="L22" s="394"/>
      <c r="M22" s="394"/>
      <c r="N22" s="394"/>
      <c r="O22" s="322"/>
    </row>
    <row r="23" spans="3:19" ht="15" x14ac:dyDescent="0.25">
      <c r="C23" s="141"/>
      <c r="D23" s="142"/>
      <c r="F23" s="329" t="s">
        <v>265</v>
      </c>
      <c r="G23" s="143"/>
      <c r="H23" s="145"/>
      <c r="I23" s="180" t="s">
        <v>18</v>
      </c>
      <c r="J23" s="142"/>
      <c r="K23" s="151"/>
      <c r="L23" s="151"/>
      <c r="M23" s="151"/>
      <c r="N23" s="151"/>
      <c r="O23" s="164"/>
    </row>
    <row r="24" spans="3:19" ht="4.5" customHeight="1" x14ac:dyDescent="0.25">
      <c r="C24" s="141"/>
      <c r="D24" s="142"/>
      <c r="E24" s="145"/>
      <c r="F24" s="145"/>
      <c r="G24" s="145"/>
      <c r="H24" s="145"/>
      <c r="I24" s="145"/>
      <c r="J24" s="142"/>
      <c r="K24" s="151"/>
      <c r="L24" s="151"/>
      <c r="M24" s="151"/>
      <c r="N24" s="151"/>
      <c r="O24" s="164"/>
    </row>
    <row r="25" spans="3:19" ht="15" x14ac:dyDescent="0.25">
      <c r="C25" s="141"/>
      <c r="D25" s="142"/>
      <c r="F25" s="329" t="s">
        <v>264</v>
      </c>
      <c r="G25" s="143"/>
      <c r="H25" s="145"/>
      <c r="I25" s="180" t="s">
        <v>19</v>
      </c>
      <c r="J25" s="142"/>
      <c r="K25" s="151"/>
      <c r="L25" s="151"/>
      <c r="M25" s="151"/>
      <c r="N25" s="151"/>
      <c r="O25" s="164"/>
    </row>
    <row r="26" spans="3:19" ht="4.5" customHeight="1" x14ac:dyDescent="0.25">
      <c r="C26" s="141"/>
      <c r="D26" s="142"/>
      <c r="E26" s="145"/>
      <c r="F26" s="145"/>
      <c r="G26" s="145"/>
      <c r="H26" s="145"/>
      <c r="I26" s="145"/>
      <c r="J26" s="142"/>
      <c r="K26" s="151"/>
      <c r="L26" s="151"/>
      <c r="M26" s="151"/>
      <c r="N26" s="151"/>
      <c r="O26" s="164"/>
    </row>
    <row r="27" spans="3:19" ht="33" customHeight="1" x14ac:dyDescent="0.25">
      <c r="C27" s="321"/>
      <c r="D27" s="320"/>
      <c r="E27" s="394" t="s">
        <v>347</v>
      </c>
      <c r="F27" s="394"/>
      <c r="G27" s="394"/>
      <c r="H27" s="394"/>
      <c r="I27" s="394"/>
      <c r="J27" s="394"/>
      <c r="K27" s="394"/>
      <c r="L27" s="394"/>
      <c r="M27" s="394"/>
      <c r="N27" s="394"/>
      <c r="O27" s="322"/>
    </row>
    <row r="28" spans="3:19" ht="15" x14ac:dyDescent="0.25">
      <c r="C28" s="141"/>
      <c r="D28" s="142"/>
      <c r="F28" s="329" t="s">
        <v>197</v>
      </c>
      <c r="G28" s="143"/>
      <c r="H28" s="145"/>
      <c r="I28" s="180" t="s">
        <v>19</v>
      </c>
      <c r="J28" s="142"/>
      <c r="K28" s="142"/>
      <c r="L28" s="142"/>
      <c r="M28" s="142"/>
      <c r="N28" s="142"/>
      <c r="O28" s="164"/>
    </row>
    <row r="29" spans="3:19" ht="4.5" customHeight="1" x14ac:dyDescent="0.25">
      <c r="C29" s="141"/>
      <c r="D29" s="142"/>
      <c r="E29" s="145"/>
      <c r="F29" s="145"/>
      <c r="G29" s="145"/>
      <c r="H29" s="145"/>
      <c r="I29" s="145"/>
      <c r="J29" s="142"/>
      <c r="K29" s="151"/>
      <c r="L29" s="151"/>
      <c r="M29" s="151"/>
      <c r="N29" s="151"/>
      <c r="O29" s="164"/>
    </row>
    <row r="30" spans="3:19" ht="15" x14ac:dyDescent="0.25">
      <c r="C30" s="141"/>
      <c r="D30" s="142"/>
      <c r="F30" s="329" t="s">
        <v>362</v>
      </c>
      <c r="G30" s="143"/>
      <c r="H30" s="145"/>
      <c r="I30" s="180" t="s">
        <v>18</v>
      </c>
      <c r="J30" s="142"/>
      <c r="K30" s="182">
        <v>3</v>
      </c>
      <c r="L30" s="151" t="s">
        <v>178</v>
      </c>
      <c r="M30" s="182">
        <v>5</v>
      </c>
      <c r="N30" s="151" t="s">
        <v>177</v>
      </c>
      <c r="O30" s="164"/>
    </row>
    <row r="31" spans="3:19" ht="4.5" customHeight="1" x14ac:dyDescent="0.25">
      <c r="C31" s="141"/>
      <c r="D31" s="142"/>
      <c r="E31" s="145"/>
      <c r="F31" s="145"/>
      <c r="G31" s="145"/>
      <c r="H31" s="145"/>
      <c r="I31" s="145"/>
      <c r="J31" s="142"/>
      <c r="K31" s="151"/>
      <c r="L31" s="151"/>
      <c r="M31" s="151"/>
      <c r="N31" s="151"/>
      <c r="O31" s="164"/>
    </row>
    <row r="32" spans="3:19" ht="51.75" customHeight="1" x14ac:dyDescent="0.25">
      <c r="C32" s="321"/>
      <c r="D32" s="320"/>
      <c r="E32" s="394" t="s">
        <v>363</v>
      </c>
      <c r="F32" s="394"/>
      <c r="G32" s="394"/>
      <c r="H32" s="394"/>
      <c r="I32" s="394"/>
      <c r="J32" s="394"/>
      <c r="K32" s="394"/>
      <c r="L32" s="394"/>
      <c r="M32" s="394"/>
      <c r="N32" s="394"/>
      <c r="O32" s="322"/>
    </row>
    <row r="33" spans="3:15" ht="4.5" customHeight="1" x14ac:dyDescent="0.25">
      <c r="C33" s="141"/>
      <c r="D33" s="142"/>
      <c r="E33" s="145"/>
      <c r="F33" s="145"/>
      <c r="G33" s="145"/>
      <c r="H33" s="145"/>
      <c r="I33" s="145"/>
      <c r="J33" s="142"/>
      <c r="K33" s="151"/>
      <c r="L33" s="151"/>
      <c r="M33" s="151"/>
      <c r="N33" s="151"/>
      <c r="O33" s="164"/>
    </row>
    <row r="34" spans="3:15" ht="30" customHeight="1" x14ac:dyDescent="0.25">
      <c r="C34" s="321"/>
      <c r="D34" s="320"/>
      <c r="E34" s="394" t="s">
        <v>355</v>
      </c>
      <c r="F34" s="394"/>
      <c r="G34" s="394"/>
      <c r="H34" s="394"/>
      <c r="I34" s="394"/>
      <c r="J34" s="394"/>
      <c r="K34" s="394"/>
      <c r="L34" s="394"/>
      <c r="M34" s="394"/>
      <c r="N34" s="394"/>
      <c r="O34" s="322"/>
    </row>
    <row r="35" spans="3:15" ht="15.75" customHeight="1" x14ac:dyDescent="0.25">
      <c r="C35" s="141"/>
      <c r="D35" s="142"/>
      <c r="F35" s="329" t="s">
        <v>311</v>
      </c>
      <c r="G35" s="145"/>
      <c r="H35" s="145"/>
      <c r="I35" s="180">
        <v>2</v>
      </c>
      <c r="J35" s="142"/>
      <c r="K35" s="151"/>
      <c r="L35" s="151"/>
      <c r="M35" s="151"/>
      <c r="N35" s="151"/>
      <c r="O35" s="164"/>
    </row>
    <row r="36" spans="3:15" ht="4.5" customHeight="1" x14ac:dyDescent="0.25">
      <c r="C36" s="141"/>
      <c r="D36" s="142"/>
      <c r="I36" s="145"/>
      <c r="J36" s="142"/>
      <c r="K36" s="151"/>
      <c r="L36" s="151"/>
      <c r="M36" s="151"/>
      <c r="N36" s="151"/>
      <c r="O36" s="164"/>
    </row>
    <row r="37" spans="3:15" ht="32.25" customHeight="1" x14ac:dyDescent="0.25">
      <c r="C37" s="321"/>
      <c r="D37" s="320"/>
      <c r="E37" s="394" t="s">
        <v>359</v>
      </c>
      <c r="F37" s="394"/>
      <c r="G37" s="394"/>
      <c r="H37" s="394"/>
      <c r="I37" s="394"/>
      <c r="J37" s="394"/>
      <c r="K37" s="394"/>
      <c r="L37" s="394"/>
      <c r="M37" s="394"/>
      <c r="N37" s="394"/>
      <c r="O37" s="322"/>
    </row>
    <row r="38" spans="3:15" ht="15.75" customHeight="1" x14ac:dyDescent="0.25">
      <c r="C38" s="141"/>
      <c r="D38" s="142"/>
      <c r="F38" s="329" t="s">
        <v>331</v>
      </c>
      <c r="G38" s="143"/>
      <c r="H38" s="145"/>
      <c r="I38" s="398" t="s">
        <v>202</v>
      </c>
      <c r="J38" s="398"/>
      <c r="K38" s="399"/>
      <c r="L38" s="151"/>
      <c r="M38" s="151"/>
      <c r="N38" s="151"/>
      <c r="O38" s="164"/>
    </row>
    <row r="39" spans="3:15" ht="4.5" customHeight="1" x14ac:dyDescent="0.25">
      <c r="C39" s="141"/>
      <c r="D39" s="145"/>
      <c r="I39" s="145"/>
      <c r="J39" s="142"/>
      <c r="K39" s="151"/>
      <c r="L39" s="151"/>
      <c r="M39" s="151"/>
      <c r="N39" s="151"/>
      <c r="O39" s="164"/>
    </row>
    <row r="40" spans="3:15" ht="33" customHeight="1" x14ac:dyDescent="0.25">
      <c r="C40" s="321"/>
      <c r="D40" s="394" t="s">
        <v>348</v>
      </c>
      <c r="E40" s="394"/>
      <c r="F40" s="394"/>
      <c r="G40" s="394"/>
      <c r="H40" s="394"/>
      <c r="I40" s="394"/>
      <c r="J40" s="394"/>
      <c r="K40" s="394"/>
      <c r="L40" s="394"/>
      <c r="M40" s="394"/>
      <c r="N40" s="394"/>
      <c r="O40" s="322"/>
    </row>
    <row r="41" spans="3:15" ht="4.5" customHeight="1" x14ac:dyDescent="0.25">
      <c r="C41" s="141"/>
      <c r="D41" s="145"/>
      <c r="I41" s="145"/>
      <c r="J41" s="142"/>
      <c r="K41" s="151"/>
      <c r="L41" s="151"/>
      <c r="M41" s="151"/>
      <c r="N41" s="151"/>
      <c r="O41" s="164"/>
    </row>
    <row r="42" spans="3:15" ht="15.6" x14ac:dyDescent="0.3">
      <c r="C42" s="141"/>
      <c r="D42" s="146" t="s">
        <v>337</v>
      </c>
      <c r="E42" s="147"/>
      <c r="F42" s="147"/>
      <c r="G42" s="147"/>
      <c r="I42" s="145"/>
      <c r="J42" s="142"/>
      <c r="K42" s="151"/>
      <c r="L42" s="151"/>
      <c r="M42" s="151"/>
      <c r="N42" s="151"/>
      <c r="O42" s="164"/>
    </row>
    <row r="43" spans="3:15" ht="4.5" customHeight="1" x14ac:dyDescent="0.25">
      <c r="C43" s="141"/>
      <c r="D43" s="145"/>
      <c r="E43" s="145"/>
      <c r="F43" s="145"/>
      <c r="G43" s="145"/>
      <c r="H43" s="145"/>
      <c r="I43" s="145"/>
      <c r="J43" s="142"/>
      <c r="K43" s="151"/>
      <c r="L43" s="151"/>
      <c r="M43" s="151"/>
      <c r="N43" s="151"/>
      <c r="O43" s="164"/>
    </row>
    <row r="44" spans="3:15" x14ac:dyDescent="0.25">
      <c r="C44" s="141"/>
      <c r="D44" s="148"/>
      <c r="E44" s="329" t="s">
        <v>297</v>
      </c>
      <c r="F44" s="143"/>
      <c r="G44" s="143"/>
      <c r="H44" s="145"/>
      <c r="I44" s="149">
        <v>52047</v>
      </c>
      <c r="J44" s="145"/>
      <c r="K44" s="150" t="s">
        <v>349</v>
      </c>
      <c r="L44" s="145"/>
      <c r="M44" s="145"/>
      <c r="N44" s="145"/>
      <c r="O44" s="164"/>
    </row>
    <row r="45" spans="3:15" ht="4.5" customHeight="1" x14ac:dyDescent="0.25">
      <c r="C45" s="141"/>
      <c r="D45" s="142"/>
      <c r="E45" s="145"/>
      <c r="F45" s="145"/>
      <c r="G45" s="145"/>
      <c r="H45" s="145"/>
      <c r="I45" s="145"/>
      <c r="J45" s="142"/>
      <c r="K45" s="151"/>
      <c r="L45" s="151"/>
      <c r="M45" s="151"/>
      <c r="N45" s="151"/>
      <c r="O45" s="164"/>
    </row>
    <row r="46" spans="3:15" ht="33" customHeight="1" x14ac:dyDescent="0.25">
      <c r="C46" s="321"/>
      <c r="D46" s="394" t="s">
        <v>356</v>
      </c>
      <c r="E46" s="394"/>
      <c r="F46" s="394"/>
      <c r="G46" s="394"/>
      <c r="H46" s="394"/>
      <c r="I46" s="394"/>
      <c r="J46" s="394"/>
      <c r="K46" s="394"/>
      <c r="L46" s="394"/>
      <c r="M46" s="394"/>
      <c r="N46" s="394"/>
      <c r="O46" s="322"/>
    </row>
    <row r="47" spans="3:15" ht="4.5" customHeight="1" x14ac:dyDescent="0.25">
      <c r="C47" s="141"/>
      <c r="D47" s="142"/>
      <c r="E47" s="145"/>
      <c r="F47" s="145"/>
      <c r="G47" s="145"/>
      <c r="H47" s="145"/>
      <c r="I47" s="145"/>
      <c r="J47" s="142"/>
      <c r="K47" s="151"/>
      <c r="L47" s="151"/>
      <c r="M47" s="151"/>
      <c r="N47" s="151"/>
      <c r="O47" s="164"/>
    </row>
    <row r="48" spans="3:15" x14ac:dyDescent="0.25">
      <c r="C48" s="141"/>
      <c r="D48" s="145"/>
      <c r="E48" s="329" t="s">
        <v>185</v>
      </c>
      <c r="F48" s="143"/>
      <c r="G48" s="143"/>
      <c r="H48" s="145"/>
      <c r="I48" s="180" t="s">
        <v>18</v>
      </c>
      <c r="J48" s="145"/>
      <c r="K48" s="151"/>
      <c r="L48" s="151"/>
      <c r="M48" s="151"/>
      <c r="N48" s="151"/>
      <c r="O48" s="164"/>
    </row>
    <row r="49" spans="3:15" ht="4.5" customHeight="1" x14ac:dyDescent="0.25">
      <c r="C49" s="141"/>
      <c r="D49" s="142"/>
      <c r="E49" s="330"/>
      <c r="F49" s="145"/>
      <c r="G49" s="145"/>
      <c r="H49" s="145"/>
      <c r="I49" s="145"/>
      <c r="J49" s="142"/>
      <c r="K49" s="151"/>
      <c r="L49" s="151"/>
      <c r="M49" s="151"/>
      <c r="N49" s="151"/>
      <c r="O49" s="164"/>
    </row>
    <row r="50" spans="3:15" x14ac:dyDescent="0.25">
      <c r="C50" s="141"/>
      <c r="D50" s="145"/>
      <c r="E50" s="329" t="str">
        <f>IF(I48="Não","","Qual a idade de aposentadoria desejada?")</f>
        <v>Qual a idade de aposentadoria desejada?</v>
      </c>
      <c r="F50" s="143"/>
      <c r="G50" s="143"/>
      <c r="H50" s="145"/>
      <c r="I50" s="180">
        <v>66</v>
      </c>
      <c r="J50" s="145" t="str">
        <f>IF(I48="Não","","anos")</f>
        <v>anos</v>
      </c>
      <c r="K50" s="151"/>
      <c r="L50" s="151"/>
      <c r="M50" s="151"/>
      <c r="N50" s="151"/>
      <c r="O50" s="164"/>
    </row>
    <row r="51" spans="3:15" ht="4.5" customHeight="1" x14ac:dyDescent="0.25">
      <c r="C51" s="141"/>
      <c r="D51" s="142"/>
      <c r="E51" s="145"/>
      <c r="F51" s="145"/>
      <c r="G51" s="145"/>
      <c r="H51" s="145"/>
      <c r="I51" s="145"/>
      <c r="J51" s="142"/>
      <c r="K51" s="151"/>
      <c r="L51" s="151"/>
      <c r="M51" s="151"/>
      <c r="N51" s="151"/>
      <c r="O51" s="164"/>
    </row>
    <row r="52" spans="3:15" ht="46.5" customHeight="1" x14ac:dyDescent="0.25">
      <c r="C52" s="321"/>
      <c r="D52" s="394" t="s">
        <v>358</v>
      </c>
      <c r="E52" s="394"/>
      <c r="F52" s="394"/>
      <c r="G52" s="394"/>
      <c r="H52" s="394"/>
      <c r="I52" s="394"/>
      <c r="J52" s="394"/>
      <c r="K52" s="394"/>
      <c r="L52" s="394"/>
      <c r="M52" s="394"/>
      <c r="N52" s="394"/>
      <c r="O52" s="322"/>
    </row>
    <row r="53" spans="3:15" ht="15.6" x14ac:dyDescent="0.3">
      <c r="C53" s="141"/>
      <c r="D53" s="146" t="s">
        <v>338</v>
      </c>
      <c r="E53" s="155"/>
      <c r="F53" s="155"/>
      <c r="G53" s="155"/>
      <c r="H53" s="143"/>
      <c r="I53" s="143"/>
      <c r="J53" s="142"/>
      <c r="K53" s="151"/>
      <c r="L53" s="151"/>
      <c r="M53" s="151"/>
      <c r="N53" s="151"/>
      <c r="O53" s="164"/>
    </row>
    <row r="54" spans="3:15" ht="4.5" customHeight="1" x14ac:dyDescent="0.25">
      <c r="C54" s="141"/>
      <c r="D54" s="142"/>
      <c r="E54" s="145"/>
      <c r="F54" s="145"/>
      <c r="G54" s="145"/>
      <c r="H54" s="145"/>
      <c r="I54" s="145"/>
      <c r="J54" s="142"/>
      <c r="K54" s="151"/>
      <c r="L54" s="151"/>
      <c r="M54" s="151"/>
      <c r="N54" s="151"/>
      <c r="O54" s="164"/>
    </row>
    <row r="55" spans="3:15" ht="15" x14ac:dyDescent="0.25">
      <c r="C55" s="141"/>
      <c r="D55" s="142"/>
      <c r="E55" s="329" t="s">
        <v>290</v>
      </c>
      <c r="F55" s="143"/>
      <c r="G55" s="143"/>
      <c r="H55" s="145"/>
      <c r="I55" s="237">
        <v>2000</v>
      </c>
      <c r="J55" s="142"/>
      <c r="K55" s="151"/>
      <c r="L55" s="151"/>
      <c r="M55" s="151"/>
      <c r="N55" s="151"/>
      <c r="O55" s="164"/>
    </row>
    <row r="56" spans="3:15" ht="4.5" customHeight="1" x14ac:dyDescent="0.25">
      <c r="C56" s="141"/>
      <c r="D56" s="142"/>
      <c r="E56" s="145"/>
      <c r="F56" s="145"/>
      <c r="G56" s="145"/>
      <c r="H56" s="145"/>
      <c r="I56" s="145"/>
      <c r="J56" s="142"/>
      <c r="K56" s="151"/>
      <c r="L56" s="151"/>
      <c r="M56" s="151"/>
      <c r="N56" s="151"/>
      <c r="O56" s="164"/>
    </row>
    <row r="57" spans="3:15" ht="30" customHeight="1" x14ac:dyDescent="0.25">
      <c r="C57" s="321"/>
      <c r="D57" s="394" t="s">
        <v>357</v>
      </c>
      <c r="E57" s="394"/>
      <c r="F57" s="394"/>
      <c r="G57" s="394"/>
      <c r="H57" s="394"/>
      <c r="I57" s="394"/>
      <c r="J57" s="394"/>
      <c r="K57" s="394"/>
      <c r="L57" s="394"/>
      <c r="M57" s="394"/>
      <c r="N57" s="394"/>
      <c r="O57" s="322"/>
    </row>
    <row r="58" spans="3:15" ht="15.6" x14ac:dyDescent="0.3">
      <c r="C58" s="141"/>
      <c r="D58" s="146" t="s">
        <v>339</v>
      </c>
      <c r="E58" s="155"/>
      <c r="F58" s="155"/>
      <c r="G58" s="155"/>
      <c r="H58" s="145"/>
      <c r="I58" s="145"/>
      <c r="J58" s="145"/>
      <c r="K58" s="145"/>
      <c r="L58" s="145"/>
      <c r="M58" s="145"/>
      <c r="N58" s="145"/>
      <c r="O58" s="164"/>
    </row>
    <row r="59" spans="3:15" x14ac:dyDescent="0.25">
      <c r="C59" s="141"/>
      <c r="D59" s="145"/>
      <c r="E59" s="400" t="s">
        <v>326</v>
      </c>
      <c r="F59" s="400"/>
      <c r="G59" s="400"/>
      <c r="H59" s="400"/>
      <c r="I59" s="400"/>
      <c r="J59" s="310" t="s">
        <v>188</v>
      </c>
      <c r="K59" s="401">
        <v>260</v>
      </c>
      <c r="L59" s="401"/>
      <c r="M59" s="401"/>
      <c r="N59" s="145"/>
      <c r="O59" s="164"/>
    </row>
    <row r="60" spans="3:15" x14ac:dyDescent="0.25">
      <c r="C60" s="141"/>
      <c r="D60" s="145"/>
      <c r="E60" s="309" t="s">
        <v>371</v>
      </c>
      <c r="F60" s="151"/>
      <c r="G60" s="151"/>
      <c r="H60" s="151"/>
      <c r="I60" s="151"/>
      <c r="J60" s="310" t="s">
        <v>188</v>
      </c>
      <c r="K60" s="401">
        <f>IF(I14="M",455,390)-IF(OR(I23="SIM",I25="SIM"),65,0)</f>
        <v>390</v>
      </c>
      <c r="L60" s="401"/>
      <c r="M60" s="401"/>
      <c r="N60" s="145"/>
      <c r="O60" s="164"/>
    </row>
    <row r="61" spans="3:15" x14ac:dyDescent="0.25">
      <c r="C61" s="141"/>
      <c r="D61" s="156" t="s">
        <v>194</v>
      </c>
      <c r="E61" s="309" t="s">
        <v>187</v>
      </c>
      <c r="F61" s="151"/>
      <c r="G61" s="151"/>
      <c r="H61" s="151"/>
      <c r="I61" s="151"/>
      <c r="J61" s="310" t="s">
        <v>188</v>
      </c>
      <c r="K61" s="402">
        <v>0.66666666666666663</v>
      </c>
      <c r="L61" s="402"/>
      <c r="M61" s="402"/>
      <c r="N61" s="145"/>
      <c r="O61" s="164"/>
    </row>
    <row r="62" spans="3:15" ht="39.75" customHeight="1" x14ac:dyDescent="0.25">
      <c r="C62" s="141"/>
      <c r="D62" s="178" t="s">
        <v>195</v>
      </c>
      <c r="E62" s="400" t="s">
        <v>364</v>
      </c>
      <c r="F62" s="400"/>
      <c r="G62" s="400"/>
      <c r="H62" s="400"/>
      <c r="I62" s="400"/>
      <c r="J62" s="310" t="s">
        <v>188</v>
      </c>
      <c r="K62" s="403">
        <v>8037.6</v>
      </c>
      <c r="L62" s="403"/>
      <c r="M62" s="403"/>
      <c r="N62" s="145"/>
      <c r="O62" s="164"/>
    </row>
    <row r="63" spans="3:15" x14ac:dyDescent="0.25">
      <c r="C63" s="141"/>
      <c r="D63" s="156" t="s">
        <v>196</v>
      </c>
      <c r="E63" s="309" t="s">
        <v>193</v>
      </c>
      <c r="F63" s="151"/>
      <c r="G63" s="151"/>
      <c r="H63" s="151"/>
      <c r="I63" s="151"/>
      <c r="J63" s="310" t="s">
        <v>188</v>
      </c>
      <c r="K63" s="403">
        <v>7087.22</v>
      </c>
      <c r="L63" s="403"/>
      <c r="M63" s="403"/>
      <c r="N63" s="145"/>
      <c r="O63" s="164"/>
    </row>
    <row r="64" spans="3:15" x14ac:dyDescent="0.25">
      <c r="C64" s="141"/>
      <c r="D64" s="156" t="s">
        <v>287</v>
      </c>
      <c r="E64" s="309" t="s">
        <v>327</v>
      </c>
      <c r="F64" s="151"/>
      <c r="G64" s="151"/>
      <c r="H64" s="151"/>
      <c r="I64" s="151"/>
      <c r="J64" s="310" t="s">
        <v>188</v>
      </c>
      <c r="K64" s="403">
        <v>633.5866666666667</v>
      </c>
      <c r="L64" s="403"/>
      <c r="M64" s="403"/>
      <c r="N64" s="145"/>
      <c r="O64" s="164"/>
    </row>
    <row r="65" spans="3:15" x14ac:dyDescent="0.25">
      <c r="C65" s="141"/>
      <c r="D65" s="158"/>
      <c r="E65" s="159" t="s">
        <v>190</v>
      </c>
      <c r="F65" s="160" t="s">
        <v>191</v>
      </c>
      <c r="G65" s="160"/>
      <c r="H65" s="158"/>
      <c r="I65" s="158"/>
      <c r="J65" s="158"/>
      <c r="K65" s="158"/>
      <c r="L65" s="158"/>
      <c r="M65" s="158"/>
      <c r="N65" s="158"/>
      <c r="O65" s="164"/>
    </row>
    <row r="66" spans="3:15" x14ac:dyDescent="0.25">
      <c r="C66" s="141"/>
      <c r="D66" s="158"/>
      <c r="E66" s="159" t="s">
        <v>189</v>
      </c>
      <c r="F66" s="404" t="s">
        <v>201</v>
      </c>
      <c r="G66" s="404"/>
      <c r="H66" s="404"/>
      <c r="I66" s="404"/>
      <c r="J66" s="404"/>
      <c r="K66" s="404"/>
      <c r="L66" s="404"/>
      <c r="M66" s="404"/>
      <c r="N66" s="404"/>
      <c r="O66" s="164"/>
    </row>
    <row r="67" spans="3:15" ht="4.5" customHeight="1" x14ac:dyDescent="0.25">
      <c r="C67" s="141"/>
      <c r="D67" s="142"/>
      <c r="E67" s="145"/>
      <c r="F67" s="145"/>
      <c r="G67" s="145"/>
      <c r="H67" s="145"/>
      <c r="I67" s="145"/>
      <c r="J67" s="142"/>
      <c r="K67" s="151"/>
      <c r="L67" s="151"/>
      <c r="M67" s="151"/>
      <c r="N67" s="151"/>
      <c r="O67" s="164"/>
    </row>
    <row r="68" spans="3:15" ht="15.6" x14ac:dyDescent="0.3">
      <c r="C68" s="323"/>
      <c r="D68" s="324" t="s">
        <v>351</v>
      </c>
      <c r="E68" s="325"/>
      <c r="F68" s="325"/>
      <c r="G68" s="325"/>
      <c r="H68" s="325"/>
      <c r="I68" s="325"/>
      <c r="J68" s="326"/>
      <c r="K68" s="327"/>
      <c r="L68" s="327"/>
      <c r="M68" s="327"/>
      <c r="N68" s="327"/>
      <c r="O68" s="328"/>
    </row>
    <row r="69" spans="3:15" ht="27.75" customHeight="1" x14ac:dyDescent="0.25">
      <c r="C69" s="321"/>
      <c r="D69" s="394" t="s">
        <v>352</v>
      </c>
      <c r="E69" s="394"/>
      <c r="F69" s="394"/>
      <c r="G69" s="394"/>
      <c r="H69" s="394"/>
      <c r="I69" s="394"/>
      <c r="J69" s="394"/>
      <c r="K69" s="394"/>
      <c r="L69" s="394"/>
      <c r="M69" s="394"/>
      <c r="N69" s="394"/>
      <c r="O69" s="322"/>
    </row>
    <row r="70" spans="3:15" ht="15" x14ac:dyDescent="0.25">
      <c r="C70" s="141"/>
      <c r="D70" s="142"/>
      <c r="E70" s="145"/>
      <c r="F70" s="254" t="s">
        <v>181</v>
      </c>
      <c r="G70" s="254" t="s">
        <v>182</v>
      </c>
      <c r="H70" s="145"/>
      <c r="I70" s="145"/>
      <c r="J70" s="142"/>
      <c r="K70" s="151"/>
      <c r="L70" s="151"/>
      <c r="M70" s="151"/>
      <c r="N70" s="151"/>
      <c r="O70" s="164"/>
    </row>
    <row r="71" spans="3:15" ht="15" x14ac:dyDescent="0.25">
      <c r="C71" s="141"/>
      <c r="D71" s="142"/>
      <c r="E71" s="145"/>
      <c r="F71" s="255">
        <v>44592</v>
      </c>
      <c r="G71" s="256">
        <v>11000</v>
      </c>
      <c r="H71" s="145"/>
      <c r="I71" s="145"/>
      <c r="J71" s="142"/>
      <c r="K71" s="151"/>
      <c r="L71" s="151"/>
      <c r="M71" s="151"/>
      <c r="N71" s="151"/>
      <c r="O71" s="164"/>
    </row>
    <row r="72" spans="3:15" ht="15" x14ac:dyDescent="0.25">
      <c r="C72" s="141"/>
      <c r="D72" s="142"/>
      <c r="E72" s="145"/>
      <c r="F72" s="258">
        <v>44620</v>
      </c>
      <c r="G72" s="256">
        <v>11000</v>
      </c>
      <c r="H72" s="145"/>
      <c r="I72" s="145"/>
      <c r="J72" s="142"/>
      <c r="K72" s="151"/>
      <c r="L72" s="151"/>
      <c r="M72" s="151"/>
      <c r="N72" s="151"/>
      <c r="O72" s="164"/>
    </row>
    <row r="73" spans="3:15" ht="15" x14ac:dyDescent="0.25">
      <c r="C73" s="141"/>
      <c r="D73" s="142"/>
      <c r="E73" s="145"/>
      <c r="F73" s="258">
        <v>44651</v>
      </c>
      <c r="G73" s="256">
        <v>11000</v>
      </c>
      <c r="H73" s="145"/>
      <c r="I73" s="145"/>
      <c r="J73" s="142"/>
      <c r="K73" s="151"/>
      <c r="L73" s="151"/>
      <c r="M73" s="151"/>
      <c r="N73" s="151"/>
      <c r="O73" s="164"/>
    </row>
    <row r="74" spans="3:15" ht="15" x14ac:dyDescent="0.25">
      <c r="C74" s="141"/>
      <c r="D74" s="142"/>
      <c r="E74" s="145"/>
      <c r="F74" s="258">
        <v>44681</v>
      </c>
      <c r="G74" s="256">
        <v>11000</v>
      </c>
      <c r="H74" s="145"/>
      <c r="I74" s="145"/>
      <c r="J74" s="142"/>
      <c r="K74" s="151"/>
      <c r="L74" s="151"/>
      <c r="M74" s="151"/>
      <c r="N74" s="151"/>
      <c r="O74" s="164"/>
    </row>
    <row r="75" spans="3:15" ht="15" x14ac:dyDescent="0.25">
      <c r="C75" s="141"/>
      <c r="D75" s="142"/>
      <c r="E75" s="145"/>
      <c r="F75" s="258">
        <v>44712</v>
      </c>
      <c r="G75" s="256">
        <v>11000</v>
      </c>
      <c r="H75" s="145"/>
      <c r="I75" s="145"/>
      <c r="J75" s="142"/>
      <c r="K75" s="151"/>
      <c r="L75" s="151"/>
      <c r="M75" s="151"/>
      <c r="N75" s="151"/>
      <c r="O75" s="164"/>
    </row>
    <row r="76" spans="3:15" ht="15" x14ac:dyDescent="0.25">
      <c r="C76" s="141"/>
      <c r="D76" s="142"/>
      <c r="E76" s="145"/>
      <c r="F76" s="258">
        <v>44227</v>
      </c>
      <c r="G76" s="256">
        <v>10000</v>
      </c>
      <c r="H76" s="145"/>
      <c r="I76" s="145"/>
      <c r="J76" s="142"/>
      <c r="K76" s="151"/>
      <c r="L76" s="151"/>
      <c r="M76" s="151"/>
      <c r="N76" s="151"/>
      <c r="O76" s="164"/>
    </row>
    <row r="77" spans="3:15" ht="15" x14ac:dyDescent="0.25">
      <c r="C77" s="141"/>
      <c r="D77" s="142"/>
      <c r="E77" s="145"/>
      <c r="F77" s="258">
        <v>44255</v>
      </c>
      <c r="G77" s="256">
        <v>10000</v>
      </c>
      <c r="H77" s="145"/>
      <c r="I77" s="145"/>
      <c r="J77" s="142"/>
      <c r="K77" s="151"/>
      <c r="L77" s="151"/>
      <c r="M77" s="151"/>
      <c r="N77" s="151"/>
      <c r="O77" s="164"/>
    </row>
    <row r="78" spans="3:15" ht="15" x14ac:dyDescent="0.25">
      <c r="C78" s="141"/>
      <c r="D78" s="142"/>
      <c r="E78" s="145"/>
      <c r="F78" s="258">
        <v>44286</v>
      </c>
      <c r="G78" s="256">
        <v>10000</v>
      </c>
      <c r="H78" s="145"/>
      <c r="I78" s="145"/>
      <c r="J78" s="142"/>
      <c r="K78" s="151"/>
      <c r="L78" s="151"/>
      <c r="M78" s="151"/>
      <c r="N78" s="151"/>
      <c r="O78" s="164"/>
    </row>
    <row r="79" spans="3:15" ht="15" x14ac:dyDescent="0.25">
      <c r="C79" s="141"/>
      <c r="D79" s="142"/>
      <c r="E79" s="145"/>
      <c r="F79" s="258">
        <v>44316</v>
      </c>
      <c r="G79" s="256">
        <v>10000</v>
      </c>
      <c r="H79" s="145"/>
      <c r="I79" s="145"/>
      <c r="J79" s="142"/>
      <c r="K79" s="151"/>
      <c r="L79" s="151"/>
      <c r="M79" s="151"/>
      <c r="N79" s="151"/>
      <c r="O79" s="164"/>
    </row>
    <row r="80" spans="3:15" ht="15" x14ac:dyDescent="0.25">
      <c r="C80" s="141"/>
      <c r="D80" s="142"/>
      <c r="E80" s="145"/>
      <c r="F80" s="258">
        <v>44347</v>
      </c>
      <c r="G80" s="256">
        <v>10000</v>
      </c>
      <c r="H80" s="145"/>
      <c r="I80" s="145"/>
      <c r="J80" s="142"/>
      <c r="K80" s="151"/>
      <c r="L80" s="151"/>
      <c r="M80" s="151"/>
      <c r="N80" s="151"/>
      <c r="O80" s="164"/>
    </row>
    <row r="81" spans="3:15" ht="15" x14ac:dyDescent="0.25">
      <c r="C81" s="141"/>
      <c r="D81" s="142"/>
      <c r="E81" s="145"/>
      <c r="F81" s="258">
        <v>44377</v>
      </c>
      <c r="G81" s="256">
        <v>10000</v>
      </c>
      <c r="H81" s="145"/>
      <c r="I81" s="145"/>
      <c r="J81" s="142"/>
      <c r="K81" s="151"/>
      <c r="L81" s="151"/>
      <c r="M81" s="151"/>
      <c r="N81" s="151"/>
      <c r="O81" s="164"/>
    </row>
    <row r="82" spans="3:15" ht="15" x14ac:dyDescent="0.25">
      <c r="C82" s="141"/>
      <c r="D82" s="142"/>
      <c r="E82" s="145"/>
      <c r="F82" s="258">
        <v>44408</v>
      </c>
      <c r="G82" s="256">
        <v>10000</v>
      </c>
      <c r="H82" s="145"/>
      <c r="I82" s="145"/>
      <c r="J82" s="142"/>
      <c r="K82" s="151"/>
      <c r="L82" s="151"/>
      <c r="M82" s="151"/>
      <c r="N82" s="151"/>
      <c r="O82" s="164"/>
    </row>
    <row r="83" spans="3:15" ht="15" x14ac:dyDescent="0.25">
      <c r="C83" s="141"/>
      <c r="D83" s="142"/>
      <c r="E83" s="145"/>
      <c r="F83" s="258">
        <v>44439</v>
      </c>
      <c r="G83" s="256">
        <v>10000</v>
      </c>
      <c r="H83" s="145"/>
      <c r="I83" s="145"/>
      <c r="J83" s="142"/>
      <c r="K83" s="151"/>
      <c r="L83" s="151"/>
      <c r="M83" s="151"/>
      <c r="N83" s="151"/>
      <c r="O83" s="164"/>
    </row>
    <row r="84" spans="3:15" ht="15" x14ac:dyDescent="0.25">
      <c r="C84" s="141"/>
      <c r="D84" s="142"/>
      <c r="E84" s="145"/>
      <c r="F84" s="258">
        <v>44469</v>
      </c>
      <c r="G84" s="256">
        <v>10000</v>
      </c>
      <c r="H84" s="145"/>
      <c r="I84" s="145"/>
      <c r="J84" s="142"/>
      <c r="K84" s="151"/>
      <c r="L84" s="151"/>
      <c r="M84" s="151"/>
      <c r="N84" s="151"/>
      <c r="O84" s="164"/>
    </row>
    <row r="85" spans="3:15" ht="15" x14ac:dyDescent="0.25">
      <c r="C85" s="141"/>
      <c r="D85" s="142"/>
      <c r="E85" s="145"/>
      <c r="F85" s="258">
        <v>44500</v>
      </c>
      <c r="G85" s="256">
        <v>10000</v>
      </c>
      <c r="H85" s="145"/>
      <c r="I85" s="145"/>
      <c r="J85" s="142"/>
      <c r="K85" s="151"/>
      <c r="L85" s="151"/>
      <c r="M85" s="151"/>
      <c r="N85" s="151"/>
      <c r="O85" s="164"/>
    </row>
    <row r="86" spans="3:15" ht="15" x14ac:dyDescent="0.25">
      <c r="C86" s="141"/>
      <c r="D86" s="142"/>
      <c r="E86" s="145"/>
      <c r="F86" s="258">
        <v>44530</v>
      </c>
      <c r="G86" s="256">
        <v>10000</v>
      </c>
      <c r="H86" s="145"/>
      <c r="I86" s="145"/>
      <c r="J86" s="142"/>
      <c r="K86" s="151"/>
      <c r="L86" s="151"/>
      <c r="M86" s="151"/>
      <c r="N86" s="151"/>
      <c r="O86" s="164"/>
    </row>
    <row r="87" spans="3:15" ht="15" x14ac:dyDescent="0.25">
      <c r="C87" s="141"/>
      <c r="D87" s="142"/>
      <c r="E87" s="145"/>
      <c r="F87" s="258">
        <v>44561</v>
      </c>
      <c r="G87" s="256">
        <v>10000</v>
      </c>
      <c r="H87" s="145"/>
      <c r="I87" s="145"/>
      <c r="J87" s="142"/>
      <c r="K87" s="151"/>
      <c r="L87" s="151"/>
      <c r="M87" s="151"/>
      <c r="N87" s="151"/>
      <c r="O87" s="164"/>
    </row>
    <row r="88" spans="3:15" ht="15" x14ac:dyDescent="0.25">
      <c r="C88" s="141"/>
      <c r="D88" s="142"/>
      <c r="E88" s="145"/>
      <c r="F88" s="258" t="s">
        <v>353</v>
      </c>
      <c r="G88" s="256">
        <v>10000</v>
      </c>
      <c r="H88" s="145"/>
      <c r="I88" s="145"/>
      <c r="J88" s="142"/>
      <c r="K88" s="151"/>
      <c r="L88" s="151"/>
      <c r="M88" s="151"/>
      <c r="N88" s="151"/>
      <c r="O88" s="164"/>
    </row>
    <row r="89" spans="3:15" ht="5.25" customHeight="1" x14ac:dyDescent="0.25">
      <c r="C89" s="161"/>
      <c r="D89" s="183"/>
      <c r="E89" s="177"/>
      <c r="F89" s="177"/>
      <c r="G89" s="177"/>
      <c r="H89" s="177"/>
      <c r="I89" s="177"/>
      <c r="J89" s="177"/>
      <c r="K89" s="177"/>
      <c r="L89" s="177"/>
      <c r="M89" s="162"/>
      <c r="N89" s="163"/>
      <c r="O89" s="166"/>
    </row>
  </sheetData>
  <sheetProtection algorithmName="SHA-512" hashValue="8wXL62/dP8B1n4VklL585m2wQ72g6XaWQ1+uVNG+crIOdt6tQl2R3lIB0GHiAq6jMYsjz2cxCO115HYLusV28w==" saltValue="rPTJ9g0hu5u1biQhLVJoGQ==" spinCount="100000" sheet="1" objects="1" scenarios="1"/>
  <mergeCells count="26">
    <mergeCell ref="D57:N57"/>
    <mergeCell ref="D69:N69"/>
    <mergeCell ref="E59:I59"/>
    <mergeCell ref="K59:M59"/>
    <mergeCell ref="K60:M60"/>
    <mergeCell ref="K61:M61"/>
    <mergeCell ref="E62:I62"/>
    <mergeCell ref="K62:M62"/>
    <mergeCell ref="K63:M63"/>
    <mergeCell ref="K64:M64"/>
    <mergeCell ref="F66:N66"/>
    <mergeCell ref="D46:N46"/>
    <mergeCell ref="D52:N52"/>
    <mergeCell ref="D2:N3"/>
    <mergeCell ref="D5:N5"/>
    <mergeCell ref="D40:N40"/>
    <mergeCell ref="E27:N27"/>
    <mergeCell ref="E22:N22"/>
    <mergeCell ref="E34:N34"/>
    <mergeCell ref="E37:N37"/>
    <mergeCell ref="E10:N10"/>
    <mergeCell ref="E13:N13"/>
    <mergeCell ref="E16:N16"/>
    <mergeCell ref="E19:N19"/>
    <mergeCell ref="I38:K38"/>
    <mergeCell ref="E32:N32"/>
  </mergeCells>
  <conditionalFormatting sqref="E48:H48 E50:H50 F38:H38">
    <cfRule type="expression" dxfId="165" priority="14">
      <formula>#REF!="Não"</formula>
    </cfRule>
  </conditionalFormatting>
  <conditionalFormatting sqref="K30:N30">
    <cfRule type="expression" dxfId="164" priority="12">
      <formula>$I$27="Não"</formula>
    </cfRule>
  </conditionalFormatting>
  <conditionalFormatting sqref="I38">
    <cfRule type="expression" dxfId="163" priority="10">
      <formula>#REF!="Não"</formula>
    </cfRule>
  </conditionalFormatting>
  <conditionalFormatting sqref="I48:J48 I50:J50">
    <cfRule type="expression" dxfId="162" priority="7">
      <formula>#REF!="Não"</formula>
    </cfRule>
  </conditionalFormatting>
  <conditionalFormatting sqref="I50">
    <cfRule type="expression" dxfId="161" priority="8">
      <formula>$I$36="Não"</formula>
    </cfRule>
  </conditionalFormatting>
  <conditionalFormatting sqref="H53:I53">
    <cfRule type="expression" dxfId="160" priority="6">
      <formula>#REF!="Não"</formula>
    </cfRule>
  </conditionalFormatting>
  <conditionalFormatting sqref="D53:G53">
    <cfRule type="expression" dxfId="159" priority="5">
      <formula>$I$42&gt;0</formula>
    </cfRule>
  </conditionalFormatting>
  <conditionalFormatting sqref="D58:N59 D65:N66 N60:N64">
    <cfRule type="expression" dxfId="158" priority="4">
      <formula>$I$41&gt;0</formula>
    </cfRule>
  </conditionalFormatting>
  <conditionalFormatting sqref="D61:M64 D60 F60:J60">
    <cfRule type="expression" dxfId="157" priority="3">
      <formula>$I$41&gt;0</formula>
    </cfRule>
  </conditionalFormatting>
  <conditionalFormatting sqref="E60">
    <cfRule type="expression" dxfId="156" priority="2">
      <formula>$I$39&gt;0</formula>
    </cfRule>
  </conditionalFormatting>
  <conditionalFormatting sqref="K60:M60">
    <cfRule type="expression" dxfId="155" priority="1">
      <formula>$I$39&gt;0</formula>
    </cfRule>
  </conditionalFormatting>
  <dataValidations count="2">
    <dataValidation type="whole" allowBlank="1" showInputMessage="1" showErrorMessage="1" sqref="M30:M32" xr:uid="{00000000-0002-0000-0C00-000000000000}">
      <formula1>0</formula1>
      <formula2>11</formula2>
    </dataValidation>
    <dataValidation type="whole" allowBlank="1" showInputMessage="1" showErrorMessage="1" sqref="K30:K32" xr:uid="{00000000-0002-0000-0C00-000001000000}">
      <formula1>0</formula1>
      <formula2>45</formula2>
    </dataValidation>
  </dataValidations>
  <hyperlinks>
    <hyperlink ref="D5" r:id="rId1" location="contato" tooltip="https://www.funpresp.com.br/migracao-do-rpps-para-o-rpc/janela2022/#contato" display="contato" xr:uid="{00000000-0004-0000-0C00-000000000000}"/>
    <hyperlink ref="E37:N37" r:id="rId2" display="Identificar o regime de tributação no plano de benefícios da Funpresp, se regime progressivo ou regressivo. (Há um tópico sobre perguntas frequentes de regime de tributação no nosso site, clique aqui para acessar)" xr:uid="{00000000-0004-0000-0C00-000001000000}"/>
  </hyperlinks>
  <printOptions horizontalCentered="1"/>
  <pageMargins left="0.31496062992125984" right="0.31496062992125984" top="0.59055118110236227" bottom="0.59055118110236227" header="0.31496062992125984" footer="0.31496062992125984"/>
  <pageSetup paperSize="9" scale="83" fitToWidth="0" orientation="portrait" r:id="rId3"/>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C00-000002000000}">
          <x14:formula1>
            <xm:f>PREMISSAS!$U$5:$U$6</xm:f>
          </x14:formula1>
          <xm:sqref>I30:I32 I28 I23 I25 I48</xm:sqref>
        </x14:dataValidation>
        <x14:dataValidation type="list" allowBlank="1" showInputMessage="1" showErrorMessage="1" xr:uid="{00000000-0002-0000-0C00-000003000000}">
          <x14:formula1>
            <xm:f>PREMISSAS!$U$2:$U$3</xm:f>
          </x14:formula1>
          <xm:sqref>I14</xm:sqref>
        </x14:dataValidation>
        <x14:dataValidation type="list" allowBlank="1" showInputMessage="1" showErrorMessage="1" xr:uid="{00000000-0002-0000-0C00-000004000000}">
          <x14:formula1>
            <xm:f>PREMISSAS!$D$100:$D$104</xm:f>
          </x14:formula1>
          <xm:sqref>I35</xm:sqref>
        </x14:dataValidation>
        <x14:dataValidation type="list" allowBlank="1" showInputMessage="1" showErrorMessage="1" xr:uid="{00000000-0002-0000-0C00-000005000000}">
          <x14:formula1>
            <xm:f>PREMISSAS!$U$15:$U$16</xm:f>
          </x14:formula1>
          <xm:sqref>I38</xm:sqref>
        </x14:dataValidation>
        <x14:dataValidation type="whole" operator="greaterThan" allowBlank="1" showInputMessage="1" showErrorMessage="1" xr:uid="{00000000-0002-0000-0C00-000006000000}">
          <x14:formula1>
            <xm:f>ELEGIBILIDADE!E37</xm:f>
          </x14:formula1>
          <xm:sqref>I50</xm:sqref>
        </x14:dataValidation>
        <x14:dataValidation type="date" operator="lessThanOrEqual" allowBlank="1" showInputMessage="1" showErrorMessage="1" xr:uid="{00000000-0002-0000-0C00-000007000000}">
          <x14:formula1>
            <xm:f>'Info Graf'!D11</xm:f>
          </x14:formula1>
          <xm:sqref>I11</xm:sqref>
        </x14:dataValidation>
        <x14:dataValidation type="date" allowBlank="1" showInputMessage="1" showErrorMessage="1" errorTitle="Data incompatível" error="Data de Ingresso deve representar idade de ingresso superior a 18 anos, assim como a data de instituição do RPC (04/02/2013)._x000a_" xr:uid="{00000000-0002-0000-0C00-000008000000}">
          <x14:formula1>
            <xm:f>'Info Graf'!D15</xm:f>
          </x14:formula1>
          <x14:formula2>
            <xm:f>PREMISSAS!E13</xm:f>
          </x14:formula2>
          <xm:sqref>I17 I20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
    <tabColor theme="4" tint="-0.499984740745262"/>
  </sheetPr>
  <dimension ref="A2:Y54"/>
  <sheetViews>
    <sheetView showGridLines="0" tabSelected="1" topLeftCell="A7" zoomScaleNormal="100" zoomScaleSheetLayoutView="100" workbookViewId="0">
      <selection activeCell="I39" sqref="I39"/>
    </sheetView>
  </sheetViews>
  <sheetFormatPr defaultColWidth="9.109375" defaultRowHeight="13.8" x14ac:dyDescent="0.25"/>
  <cols>
    <col min="1" max="1" width="9.109375" style="170"/>
    <col min="2" max="3" width="1.5546875" style="170" customWidth="1"/>
    <col min="4" max="5" width="2.88671875" style="170" customWidth="1"/>
    <col min="6" max="6" width="35.33203125" style="170" customWidth="1"/>
    <col min="7" max="7" width="14.88671875" style="170" customWidth="1"/>
    <col min="8" max="8" width="3.109375" style="170" customWidth="1"/>
    <col min="9" max="9" width="14.33203125" style="170" customWidth="1"/>
    <col min="10" max="10" width="6.109375" style="170" customWidth="1"/>
    <col min="11" max="11" width="3.5546875" style="170" customWidth="1"/>
    <col min="12" max="12" width="8.6640625" style="170" customWidth="1"/>
    <col min="13" max="13" width="6" style="170" customWidth="1"/>
    <col min="14" max="14" width="9.6640625" style="170" customWidth="1"/>
    <col min="15" max="16" width="1.5546875" style="170" customWidth="1"/>
    <col min="17" max="17" width="9.109375" style="170"/>
    <col min="18" max="18" width="3.44140625" style="170" bestFit="1" customWidth="1"/>
    <col min="19" max="19" width="27.88671875" style="170" customWidth="1"/>
    <col min="20" max="20" width="9.109375" style="170"/>
    <col min="21" max="21" width="11.33203125" style="170" bestFit="1" customWidth="1"/>
    <col min="22" max="23" width="9.88671875" style="170" bestFit="1" customWidth="1"/>
    <col min="24" max="16384" width="9.109375" style="170"/>
  </cols>
  <sheetData>
    <row r="2" spans="1:25" x14ac:dyDescent="0.25">
      <c r="A2" s="167"/>
      <c r="B2" s="167"/>
      <c r="C2" s="168"/>
      <c r="D2" s="395"/>
      <c r="E2" s="395"/>
      <c r="F2" s="395"/>
      <c r="G2" s="395"/>
      <c r="H2" s="395"/>
      <c r="I2" s="395"/>
      <c r="J2" s="395"/>
      <c r="K2" s="395"/>
      <c r="L2" s="395"/>
      <c r="M2" s="395"/>
      <c r="N2" s="395"/>
      <c r="O2" s="169"/>
      <c r="P2" s="167"/>
    </row>
    <row r="3" spans="1:25" ht="93" customHeight="1" x14ac:dyDescent="0.25">
      <c r="A3" s="167"/>
      <c r="B3" s="167"/>
      <c r="C3" s="171"/>
      <c r="D3" s="396"/>
      <c r="E3" s="396"/>
      <c r="F3" s="396"/>
      <c r="G3" s="396"/>
      <c r="H3" s="396"/>
      <c r="I3" s="396"/>
      <c r="J3" s="396"/>
      <c r="K3" s="396"/>
      <c r="L3" s="396"/>
      <c r="M3" s="396"/>
      <c r="N3" s="396"/>
      <c r="O3" s="172"/>
      <c r="P3" s="167"/>
    </row>
    <row r="4" spans="1:25" ht="5.25" customHeight="1" x14ac:dyDescent="0.25">
      <c r="B4" s="145"/>
      <c r="C4" s="171"/>
      <c r="D4" s="145"/>
      <c r="E4" s="145"/>
      <c r="F4" s="145"/>
      <c r="G4" s="145"/>
      <c r="H4" s="145"/>
      <c r="I4" s="145"/>
      <c r="J4" s="145"/>
      <c r="K4" s="145"/>
      <c r="L4" s="145"/>
      <c r="M4" s="145"/>
      <c r="N4" s="145"/>
      <c r="O4" s="172"/>
      <c r="P4" s="145"/>
    </row>
    <row r="5" spans="1:25" ht="17.399999999999999" x14ac:dyDescent="0.25">
      <c r="C5" s="173"/>
      <c r="D5" s="406" t="s">
        <v>300</v>
      </c>
      <c r="E5" s="406"/>
      <c r="F5" s="406"/>
      <c r="G5" s="406"/>
      <c r="H5" s="406"/>
      <c r="I5" s="406"/>
      <c r="J5" s="406"/>
      <c r="K5" s="406"/>
      <c r="L5" s="406"/>
      <c r="M5" s="406"/>
      <c r="N5" s="406"/>
      <c r="O5" s="174"/>
    </row>
    <row r="6" spans="1:25" ht="30" customHeight="1" x14ac:dyDescent="0.25">
      <c r="C6" s="141"/>
      <c r="D6" s="407" t="s">
        <v>304</v>
      </c>
      <c r="E6" s="408"/>
      <c r="F6" s="408"/>
      <c r="G6" s="408"/>
      <c r="H6" s="408"/>
      <c r="I6" s="408"/>
      <c r="J6" s="408"/>
      <c r="K6" s="408"/>
      <c r="L6" s="408"/>
      <c r="M6" s="408"/>
      <c r="N6" s="408"/>
      <c r="O6" s="164"/>
      <c r="S6" s="331"/>
      <c r="T6" s="331"/>
      <c r="U6" s="331"/>
      <c r="V6" s="331"/>
      <c r="W6" s="331"/>
      <c r="X6" s="331"/>
      <c r="Y6" s="331"/>
    </row>
    <row r="7" spans="1:25" ht="30.75" customHeight="1" x14ac:dyDescent="0.25">
      <c r="B7" s="145"/>
      <c r="C7" s="171"/>
      <c r="D7" s="397" t="s">
        <v>332</v>
      </c>
      <c r="E7" s="397"/>
      <c r="F7" s="397"/>
      <c r="G7" s="397"/>
      <c r="H7" s="397"/>
      <c r="I7" s="397"/>
      <c r="J7" s="397"/>
      <c r="K7" s="397"/>
      <c r="L7" s="397"/>
      <c r="M7" s="397"/>
      <c r="N7" s="397"/>
      <c r="O7" s="172"/>
      <c r="P7" s="145"/>
      <c r="S7" s="331"/>
      <c r="T7" s="331"/>
      <c r="U7" s="331"/>
      <c r="V7" s="331"/>
      <c r="W7" s="331"/>
      <c r="X7" s="331"/>
      <c r="Y7" s="331"/>
    </row>
    <row r="8" spans="1:25" ht="15.6" x14ac:dyDescent="0.3">
      <c r="C8" s="141"/>
      <c r="D8" s="146" t="s">
        <v>336</v>
      </c>
      <c r="E8" s="147"/>
      <c r="F8" s="147"/>
      <c r="G8" s="147"/>
      <c r="H8" s="142"/>
      <c r="I8" s="142"/>
      <c r="J8" s="142"/>
      <c r="K8" s="142"/>
      <c r="L8" s="142"/>
      <c r="M8" s="142"/>
      <c r="N8" s="142"/>
      <c r="O8" s="164"/>
      <c r="S8" s="331"/>
      <c r="T8" s="331"/>
      <c r="U8" s="331" t="s">
        <v>320</v>
      </c>
      <c r="V8" s="331" t="s">
        <v>321</v>
      </c>
      <c r="W8" s="331" t="s">
        <v>322</v>
      </c>
      <c r="X8" s="331"/>
      <c r="Y8" s="331"/>
    </row>
    <row r="9" spans="1:25" ht="15" x14ac:dyDescent="0.25">
      <c r="C9" s="141"/>
      <c r="D9" s="142"/>
      <c r="E9" s="143" t="s">
        <v>298</v>
      </c>
      <c r="F9" s="143"/>
      <c r="G9" s="143"/>
      <c r="H9" s="145"/>
      <c r="I9" s="181">
        <v>28454</v>
      </c>
      <c r="J9" s="142"/>
      <c r="K9" s="150" t="str">
        <f ca="1">CONCATENATE(INT(RESULTADOS!F5)," anos e ",INT(MOD(RESULTADOS!F5*12,12))," meses completos.")</f>
        <v>44 anos e 11 meses completos.</v>
      </c>
      <c r="L9" s="151"/>
      <c r="M9" s="151"/>
      <c r="N9" s="151"/>
      <c r="O9" s="164"/>
      <c r="S9" s="331"/>
      <c r="T9" s="331" t="s">
        <v>47</v>
      </c>
      <c r="U9" s="331">
        <f>U13+25</f>
        <v>30</v>
      </c>
      <c r="V9" s="331">
        <f t="shared" ref="V9:W9" si="0">V13+25</f>
        <v>40</v>
      </c>
      <c r="W9" s="331">
        <f t="shared" si="0"/>
        <v>45</v>
      </c>
      <c r="X9" s="331"/>
      <c r="Y9" s="331"/>
    </row>
    <row r="10" spans="1:25" ht="4.5" customHeight="1" x14ac:dyDescent="0.25">
      <c r="C10" s="141"/>
      <c r="D10" s="142"/>
      <c r="E10" s="145"/>
      <c r="F10" s="145"/>
      <c r="G10" s="145"/>
      <c r="H10" s="145"/>
      <c r="I10" s="145"/>
      <c r="J10" s="142"/>
      <c r="K10" s="151"/>
      <c r="L10" s="151"/>
      <c r="M10" s="151"/>
      <c r="N10" s="151"/>
      <c r="O10" s="164"/>
      <c r="S10" s="331"/>
      <c r="T10" s="331"/>
      <c r="U10" s="331"/>
      <c r="V10" s="331"/>
      <c r="W10" s="331"/>
      <c r="X10" s="331"/>
      <c r="Y10" s="331"/>
    </row>
    <row r="11" spans="1:25" ht="15" x14ac:dyDescent="0.25">
      <c r="C11" s="141"/>
      <c r="D11" s="142"/>
      <c r="E11" s="143" t="s">
        <v>176</v>
      </c>
      <c r="F11" s="143"/>
      <c r="G11" s="143"/>
      <c r="H11" s="145"/>
      <c r="I11" s="180" t="s">
        <v>6</v>
      </c>
      <c r="J11" s="142"/>
      <c r="K11" s="151"/>
      <c r="L11" s="151"/>
      <c r="M11" s="151"/>
      <c r="N11" s="151"/>
      <c r="O11" s="164"/>
      <c r="S11" s="331"/>
      <c r="T11" s="331"/>
      <c r="U11" s="332">
        <f ca="1">EOMONTH(TODAY(),-U9*12)</f>
        <v>33938</v>
      </c>
      <c r="V11" s="332">
        <f ca="1">EOMONTH(TODAY(),-V9*12)</f>
        <v>30285</v>
      </c>
      <c r="W11" s="332">
        <f ca="1">EOMONTH(TODAY(),-W9*12)</f>
        <v>28459</v>
      </c>
      <c r="X11" s="331"/>
      <c r="Y11" s="331"/>
    </row>
    <row r="12" spans="1:25" ht="4.5" customHeight="1" x14ac:dyDescent="0.25">
      <c r="C12" s="141"/>
      <c r="D12" s="142"/>
      <c r="E12" s="145"/>
      <c r="F12" s="145"/>
      <c r="G12" s="145"/>
      <c r="H12" s="145"/>
      <c r="I12" s="145"/>
      <c r="J12" s="142"/>
      <c r="K12" s="151"/>
      <c r="L12" s="151"/>
      <c r="M12" s="151"/>
      <c r="N12" s="151"/>
      <c r="O12" s="164"/>
      <c r="S12" s="331"/>
      <c r="T12" s="331"/>
      <c r="U12" s="331"/>
      <c r="V12" s="331"/>
      <c r="W12" s="331"/>
      <c r="X12" s="331"/>
      <c r="Y12" s="331"/>
    </row>
    <row r="13" spans="1:25" ht="15" x14ac:dyDescent="0.25">
      <c r="C13" s="141"/>
      <c r="D13" s="142"/>
      <c r="E13" s="143" t="s">
        <v>299</v>
      </c>
      <c r="F13" s="143"/>
      <c r="G13" s="143"/>
      <c r="H13" s="145"/>
      <c r="I13" s="181">
        <v>37592</v>
      </c>
      <c r="J13" s="142"/>
      <c r="K13" s="150" t="str">
        <f ca="1">CONCATENATE(INT(RESULTADOS!F8)," anos e ",INT(MOD(RESULTADOS!F8*12,12))," meses completos.")</f>
        <v>19 anos e 11 meses completos.</v>
      </c>
      <c r="L13" s="151"/>
      <c r="M13" s="151"/>
      <c r="N13" s="151"/>
      <c r="O13" s="164"/>
      <c r="S13" s="331"/>
      <c r="T13" s="331" t="s">
        <v>255</v>
      </c>
      <c r="U13" s="331">
        <v>5</v>
      </c>
      <c r="V13" s="331">
        <v>15</v>
      </c>
      <c r="W13" s="331">
        <v>20</v>
      </c>
      <c r="X13" s="331"/>
      <c r="Y13" s="331"/>
    </row>
    <row r="14" spans="1:25" ht="4.5" customHeight="1" x14ac:dyDescent="0.25">
      <c r="C14" s="141"/>
      <c r="D14" s="142"/>
      <c r="E14" s="145"/>
      <c r="F14" s="145"/>
      <c r="G14" s="145"/>
      <c r="H14" s="145"/>
      <c r="I14" s="145"/>
      <c r="J14" s="142"/>
      <c r="K14" s="151"/>
      <c r="L14" s="151"/>
      <c r="M14" s="151"/>
      <c r="N14" s="151"/>
      <c r="O14" s="164"/>
      <c r="S14" s="331"/>
      <c r="T14" s="331"/>
      <c r="U14" s="331"/>
      <c r="V14" s="331"/>
      <c r="W14" s="331"/>
      <c r="X14" s="331"/>
      <c r="Y14" s="331"/>
    </row>
    <row r="15" spans="1:25" ht="15" x14ac:dyDescent="0.25">
      <c r="C15" s="141"/>
      <c r="D15" s="142"/>
      <c r="E15" s="143" t="s">
        <v>307</v>
      </c>
      <c r="F15" s="143"/>
      <c r="G15" s="143"/>
      <c r="H15" s="145"/>
      <c r="I15" s="181">
        <v>37592</v>
      </c>
      <c r="J15" s="142"/>
      <c r="K15" s="150" t="str">
        <f ca="1">CONCATENATE(INT(RESULTADOS!F10)," anos e ",INT(MOD(RESULTADOS!F10*12,12))," meses completos.")</f>
        <v>19 anos e 11 meses completos.</v>
      </c>
      <c r="L15" s="151"/>
      <c r="M15" s="151"/>
      <c r="N15" s="151"/>
      <c r="O15" s="164"/>
      <c r="S15" s="331"/>
      <c r="T15" s="331"/>
      <c r="U15" s="332">
        <f ca="1">EOMONTH(TODAY(),-U13*12)</f>
        <v>43069</v>
      </c>
      <c r="V15" s="332">
        <f ca="1">EOMONTH(TODAY(),-V13*12)</f>
        <v>39416</v>
      </c>
      <c r="W15" s="332">
        <f ca="1">EOMONTH(TODAY(),-W13*12)</f>
        <v>37590</v>
      </c>
      <c r="X15" s="331"/>
      <c r="Y15" s="331"/>
    </row>
    <row r="16" spans="1:25" ht="4.5" customHeight="1" x14ac:dyDescent="0.25">
      <c r="C16" s="141"/>
      <c r="D16" s="142"/>
      <c r="E16" s="143"/>
      <c r="F16" s="145"/>
      <c r="G16" s="145"/>
      <c r="H16" s="145"/>
      <c r="I16" s="145"/>
      <c r="J16" s="142"/>
      <c r="K16" s="175"/>
      <c r="L16" s="142"/>
      <c r="M16" s="142"/>
      <c r="N16" s="142"/>
      <c r="O16" s="164"/>
      <c r="S16" s="331"/>
      <c r="T16" s="331"/>
      <c r="U16" s="331"/>
      <c r="V16" s="331"/>
      <c r="W16" s="331"/>
      <c r="X16" s="331"/>
      <c r="Y16" s="331"/>
    </row>
    <row r="17" spans="3:25" ht="15" x14ac:dyDescent="0.25">
      <c r="C17" s="141"/>
      <c r="D17" s="142"/>
      <c r="E17" s="143" t="s">
        <v>265</v>
      </c>
      <c r="F17" s="143"/>
      <c r="G17" s="143"/>
      <c r="H17" s="145"/>
      <c r="I17" s="180" t="s">
        <v>19</v>
      </c>
      <c r="J17" s="142"/>
      <c r="K17" s="175"/>
      <c r="L17" s="142"/>
      <c r="M17" s="142"/>
      <c r="N17" s="142"/>
      <c r="O17" s="164"/>
      <c r="S17" s="331"/>
      <c r="T17" s="331"/>
      <c r="U17" s="331"/>
      <c r="V17" s="331"/>
      <c r="W17" s="331"/>
      <c r="X17" s="331"/>
      <c r="Y17" s="331"/>
    </row>
    <row r="18" spans="3:25" ht="4.5" customHeight="1" x14ac:dyDescent="0.25">
      <c r="C18" s="141"/>
      <c r="D18" s="142"/>
      <c r="E18" s="145"/>
      <c r="F18" s="145"/>
      <c r="G18" s="145"/>
      <c r="H18" s="145"/>
      <c r="I18" s="145"/>
      <c r="J18" s="142"/>
      <c r="K18" s="175"/>
      <c r="L18" s="142"/>
      <c r="M18" s="142"/>
      <c r="N18" s="142"/>
      <c r="O18" s="164"/>
      <c r="S18" s="331"/>
      <c r="T18" s="331"/>
      <c r="U18" s="331"/>
      <c r="V18" s="331"/>
      <c r="W18" s="331"/>
      <c r="X18" s="331"/>
      <c r="Y18" s="331"/>
    </row>
    <row r="19" spans="3:25" ht="15" x14ac:dyDescent="0.25">
      <c r="C19" s="141"/>
      <c r="D19" s="142"/>
      <c r="E19" s="143" t="s">
        <v>264</v>
      </c>
      <c r="F19" s="143"/>
      <c r="G19" s="143"/>
      <c r="H19" s="145"/>
      <c r="I19" s="180" t="s">
        <v>19</v>
      </c>
      <c r="J19" s="142"/>
      <c r="K19" s="142"/>
      <c r="L19" s="142"/>
      <c r="M19" s="142"/>
      <c r="N19" s="142"/>
      <c r="O19" s="164"/>
      <c r="S19" s="331"/>
      <c r="T19" s="331"/>
      <c r="U19" s="331"/>
      <c r="V19" s="331"/>
      <c r="W19" s="331"/>
      <c r="X19" s="331"/>
      <c r="Y19" s="331"/>
    </row>
    <row r="20" spans="3:25" ht="4.5" customHeight="1" x14ac:dyDescent="0.25">
      <c r="C20" s="141"/>
      <c r="D20" s="142"/>
      <c r="E20" s="145"/>
      <c r="F20" s="145"/>
      <c r="G20" s="145"/>
      <c r="H20" s="145"/>
      <c r="I20" s="145"/>
      <c r="J20" s="142"/>
      <c r="K20" s="142"/>
      <c r="L20" s="142"/>
      <c r="M20" s="142"/>
      <c r="N20" s="142"/>
      <c r="O20" s="164"/>
    </row>
    <row r="21" spans="3:25" ht="15" x14ac:dyDescent="0.25">
      <c r="C21" s="141"/>
      <c r="D21" s="142"/>
      <c r="E21" s="143" t="s">
        <v>197</v>
      </c>
      <c r="F21" s="143"/>
      <c r="G21" s="143"/>
      <c r="H21" s="145"/>
      <c r="I21" s="180" t="s">
        <v>19</v>
      </c>
      <c r="J21" s="142"/>
      <c r="K21" s="182">
        <v>3</v>
      </c>
      <c r="L21" s="151" t="s">
        <v>178</v>
      </c>
      <c r="M21" s="182">
        <v>0</v>
      </c>
      <c r="N21" s="151" t="s">
        <v>177</v>
      </c>
      <c r="O21" s="164"/>
    </row>
    <row r="22" spans="3:25" ht="4.5" customHeight="1" x14ac:dyDescent="0.25">
      <c r="C22" s="141"/>
      <c r="D22" s="142"/>
      <c r="E22" s="145"/>
      <c r="F22" s="145"/>
      <c r="G22" s="145"/>
      <c r="H22" s="145"/>
      <c r="I22" s="145"/>
      <c r="J22" s="142"/>
      <c r="K22" s="142"/>
      <c r="L22" s="142"/>
      <c r="M22" s="142"/>
      <c r="N22" s="142"/>
      <c r="O22" s="164"/>
    </row>
    <row r="23" spans="3:25" ht="15" x14ac:dyDescent="0.25">
      <c r="C23" s="141"/>
      <c r="D23" s="142"/>
      <c r="E23" s="143" t="s">
        <v>362</v>
      </c>
      <c r="F23" s="143"/>
      <c r="G23" s="143"/>
      <c r="H23" s="145"/>
      <c r="I23" s="180" t="s">
        <v>19</v>
      </c>
      <c r="J23" s="142"/>
      <c r="K23" s="182">
        <v>2</v>
      </c>
      <c r="L23" s="151" t="s">
        <v>178</v>
      </c>
      <c r="M23" s="182">
        <v>0</v>
      </c>
      <c r="N23" s="151" t="s">
        <v>177</v>
      </c>
      <c r="O23" s="164"/>
    </row>
    <row r="24" spans="3:25" ht="4.5" customHeight="1" x14ac:dyDescent="0.25">
      <c r="C24" s="141"/>
      <c r="D24" s="142"/>
      <c r="E24" s="145"/>
      <c r="F24" s="145"/>
      <c r="G24" s="145"/>
      <c r="H24" s="145"/>
      <c r="I24" s="145"/>
      <c r="K24" s="264"/>
      <c r="L24" s="264"/>
      <c r="M24" s="264"/>
      <c r="N24" s="264"/>
      <c r="O24" s="164"/>
    </row>
    <row r="25" spans="3:25" ht="15.75" customHeight="1" x14ac:dyDescent="0.25">
      <c r="C25" s="141"/>
      <c r="D25" s="142"/>
      <c r="E25" s="143" t="s">
        <v>311</v>
      </c>
      <c r="F25" s="145"/>
      <c r="G25" s="145"/>
      <c r="H25" s="145"/>
      <c r="I25" s="180">
        <v>1</v>
      </c>
      <c r="J25" s="264"/>
      <c r="K25" s="264"/>
      <c r="L25" s="264"/>
      <c r="M25" s="264"/>
      <c r="N25" s="264"/>
      <c r="O25" s="164"/>
    </row>
    <row r="26" spans="3:25" ht="4.5" customHeight="1" x14ac:dyDescent="0.25">
      <c r="C26" s="141"/>
      <c r="D26" s="142"/>
      <c r="O26" s="164"/>
    </row>
    <row r="27" spans="3:25" ht="15.75" customHeight="1" x14ac:dyDescent="0.25">
      <c r="C27" s="141"/>
      <c r="D27" s="142"/>
      <c r="E27" s="143" t="s">
        <v>331</v>
      </c>
      <c r="F27" s="143"/>
      <c r="G27" s="143"/>
      <c r="H27" s="145"/>
      <c r="I27" s="398" t="s">
        <v>202</v>
      </c>
      <c r="J27" s="398"/>
      <c r="K27" s="399"/>
      <c r="L27" s="142"/>
      <c r="M27" s="142"/>
      <c r="N27" s="142"/>
      <c r="O27" s="164"/>
    </row>
    <row r="28" spans="3:25" ht="4.5" customHeight="1" x14ac:dyDescent="0.25">
      <c r="C28" s="141"/>
      <c r="D28" s="145"/>
      <c r="O28" s="164"/>
    </row>
    <row r="29" spans="3:25" ht="15.6" x14ac:dyDescent="0.3">
      <c r="C29" s="141"/>
      <c r="D29" s="146" t="s">
        <v>337</v>
      </c>
      <c r="E29" s="147"/>
      <c r="F29" s="147"/>
      <c r="G29" s="147"/>
      <c r="O29" s="164"/>
    </row>
    <row r="30" spans="3:25" ht="4.5" customHeight="1" x14ac:dyDescent="0.25">
      <c r="C30" s="141"/>
      <c r="D30" s="145"/>
      <c r="E30" s="145"/>
      <c r="F30" s="145"/>
      <c r="G30" s="145"/>
      <c r="H30" s="145"/>
      <c r="I30" s="145"/>
      <c r="J30" s="305"/>
      <c r="K30" s="305"/>
      <c r="L30" s="305"/>
      <c r="M30" s="305"/>
      <c r="N30" s="305"/>
      <c r="O30" s="164"/>
    </row>
    <row r="31" spans="3:25" x14ac:dyDescent="0.25">
      <c r="C31" s="141"/>
      <c r="D31" s="148"/>
      <c r="E31" s="143" t="s">
        <v>297</v>
      </c>
      <c r="F31" s="143"/>
      <c r="G31" s="143"/>
      <c r="H31" s="145"/>
      <c r="I31" s="149">
        <f ca="1">RESULTADOS!C26</f>
        <v>52195</v>
      </c>
      <c r="J31" s="145"/>
      <c r="K31" s="150" t="str">
        <f ca="1">CONCATENATE(INT(RESULTADOS!C25)," anos e ",INT(MOD(RESULTADOS!C25*12,12))," meses completos.")</f>
        <v>65 anos e 0 meses completos.</v>
      </c>
      <c r="L31" s="145"/>
      <c r="M31" s="145"/>
      <c r="N31" s="145"/>
      <c r="O31" s="164"/>
    </row>
    <row r="32" spans="3:25" ht="4.5" customHeight="1" x14ac:dyDescent="0.25">
      <c r="C32" s="141"/>
      <c r="D32" s="142"/>
      <c r="E32" s="145"/>
      <c r="F32" s="145"/>
      <c r="G32" s="145"/>
      <c r="H32" s="145"/>
      <c r="I32" s="145"/>
      <c r="J32" s="142"/>
      <c r="K32" s="175"/>
      <c r="L32" s="142"/>
      <c r="M32" s="142"/>
      <c r="N32" s="142"/>
      <c r="O32" s="164"/>
    </row>
    <row r="33" spans="3:23" x14ac:dyDescent="0.25">
      <c r="C33" s="141"/>
      <c r="D33" s="145"/>
      <c r="E33" s="143" t="s">
        <v>185</v>
      </c>
      <c r="F33" s="143"/>
      <c r="G33" s="143"/>
      <c r="H33" s="145"/>
      <c r="I33" s="180" t="s">
        <v>19</v>
      </c>
      <c r="J33" s="145"/>
      <c r="K33" s="145"/>
      <c r="L33" s="145"/>
      <c r="M33" s="145"/>
      <c r="N33" s="145"/>
      <c r="O33" s="164"/>
    </row>
    <row r="34" spans="3:23" ht="4.5" customHeight="1" x14ac:dyDescent="0.25">
      <c r="C34" s="141"/>
      <c r="D34" s="142"/>
      <c r="E34" s="145"/>
      <c r="F34" s="145"/>
      <c r="G34" s="145"/>
      <c r="H34" s="145"/>
      <c r="I34" s="145"/>
      <c r="J34" s="142"/>
      <c r="K34" s="175"/>
      <c r="L34" s="142"/>
      <c r="M34" s="142"/>
      <c r="N34" s="142"/>
      <c r="O34" s="164"/>
    </row>
    <row r="35" spans="3:23" x14ac:dyDescent="0.25">
      <c r="C35" s="141"/>
      <c r="D35" s="145"/>
      <c r="E35" s="143" t="str">
        <f>IF(I33="Não","","Qual a idade de aposentadoria desejada?")</f>
        <v/>
      </c>
      <c r="F35" s="143"/>
      <c r="G35" s="143"/>
      <c r="H35" s="145"/>
      <c r="I35" s="180">
        <v>75</v>
      </c>
      <c r="J35" s="145" t="str">
        <f>IF(I33="Não","","anos")</f>
        <v/>
      </c>
      <c r="K35" s="145"/>
      <c r="L35" s="145"/>
      <c r="M35" s="145"/>
      <c r="N35" s="145"/>
      <c r="O35" s="164"/>
    </row>
    <row r="36" spans="3:23" ht="4.5" customHeight="1" x14ac:dyDescent="0.25">
      <c r="C36" s="141"/>
      <c r="D36" s="142"/>
      <c r="E36" s="145"/>
      <c r="F36" s="145"/>
      <c r="G36" s="145"/>
      <c r="H36" s="145"/>
      <c r="I36" s="145"/>
      <c r="J36" s="142"/>
      <c r="K36" s="175"/>
      <c r="L36" s="142"/>
      <c r="M36" s="142"/>
      <c r="N36" s="142"/>
      <c r="O36" s="164"/>
    </row>
    <row r="37" spans="3:23" ht="15.6" x14ac:dyDescent="0.3">
      <c r="C37" s="141"/>
      <c r="D37" s="146" t="s">
        <v>338</v>
      </c>
      <c r="E37" s="155"/>
      <c r="F37" s="155"/>
      <c r="G37" s="155"/>
      <c r="H37" s="143"/>
      <c r="I37" s="143"/>
      <c r="J37" s="143"/>
      <c r="K37" s="143"/>
      <c r="L37" s="142"/>
      <c r="M37" s="142"/>
      <c r="N37" s="142"/>
      <c r="O37" s="164"/>
    </row>
    <row r="38" spans="3:23" ht="4.5" customHeight="1" x14ac:dyDescent="0.25">
      <c r="C38" s="141"/>
      <c r="D38" s="142"/>
      <c r="E38" s="143"/>
      <c r="F38" s="143"/>
      <c r="G38" s="143"/>
      <c r="H38" s="143"/>
      <c r="I38" s="143"/>
      <c r="J38" s="143"/>
      <c r="K38" s="409" t="s">
        <v>302</v>
      </c>
      <c r="L38" s="409"/>
      <c r="M38" s="409"/>
      <c r="N38" s="409"/>
      <c r="O38" s="164"/>
    </row>
    <row r="39" spans="3:23" ht="15.75" customHeight="1" x14ac:dyDescent="0.25">
      <c r="C39" s="141"/>
      <c r="D39" s="142"/>
      <c r="E39" s="143" t="s">
        <v>290</v>
      </c>
      <c r="F39" s="143"/>
      <c r="G39" s="143"/>
      <c r="H39" s="145"/>
      <c r="I39" s="237"/>
      <c r="J39" s="142"/>
      <c r="K39" s="409"/>
      <c r="L39" s="409"/>
      <c r="M39" s="409"/>
      <c r="N39" s="409"/>
      <c r="O39" s="164"/>
    </row>
    <row r="40" spans="3:23" ht="4.5" customHeight="1" x14ac:dyDescent="0.25">
      <c r="C40" s="141"/>
      <c r="D40" s="142"/>
      <c r="E40" s="145"/>
      <c r="F40" s="145"/>
      <c r="G40" s="145"/>
      <c r="H40" s="145"/>
      <c r="I40" s="145"/>
      <c r="J40" s="236"/>
      <c r="K40" s="409"/>
      <c r="L40" s="409"/>
      <c r="M40" s="409"/>
      <c r="N40" s="409"/>
      <c r="O40" s="164"/>
    </row>
    <row r="41" spans="3:23" ht="15.6" x14ac:dyDescent="0.3">
      <c r="C41" s="141"/>
      <c r="D41" s="146" t="s">
        <v>339</v>
      </c>
      <c r="E41" s="155"/>
      <c r="F41" s="155"/>
      <c r="G41" s="155"/>
      <c r="H41" s="145"/>
      <c r="I41" s="145"/>
      <c r="J41" s="145"/>
      <c r="K41" s="145"/>
      <c r="L41" s="145"/>
      <c r="M41" s="145"/>
      <c r="N41" s="145"/>
      <c r="O41" s="164"/>
    </row>
    <row r="42" spans="3:23" ht="26.25" customHeight="1" x14ac:dyDescent="0.25">
      <c r="C42" s="141"/>
      <c r="D42" s="145"/>
      <c r="E42" s="400" t="s">
        <v>326</v>
      </c>
      <c r="F42" s="400"/>
      <c r="G42" s="400"/>
      <c r="H42" s="400"/>
      <c r="I42" s="400"/>
      <c r="J42" s="310" t="s">
        <v>188</v>
      </c>
      <c r="K42" s="401">
        <f ca="1">COUNTIF('CÁLCULO RPPS ESPECIAL'!$D$5:$D$654,"&gt;"&amp;0)</f>
        <v>0</v>
      </c>
      <c r="L42" s="401"/>
      <c r="M42" s="401"/>
      <c r="N42" s="145"/>
      <c r="O42" s="164"/>
      <c r="U42" s="233"/>
      <c r="V42" s="233"/>
      <c r="W42" s="233"/>
    </row>
    <row r="43" spans="3:23" x14ac:dyDescent="0.25">
      <c r="C43" s="141"/>
      <c r="D43" s="145"/>
      <c r="E43" s="309" t="s">
        <v>371</v>
      </c>
      <c r="F43" s="151"/>
      <c r="G43" s="151"/>
      <c r="H43" s="151"/>
      <c r="I43" s="151"/>
      <c r="J43" s="310" t="s">
        <v>188</v>
      </c>
      <c r="K43" s="401">
        <f>IF(I11="M",455,390)-IF(OR(I17="SIM",I19="SIM"),65,0)</f>
        <v>455</v>
      </c>
      <c r="L43" s="401"/>
      <c r="M43" s="401"/>
      <c r="N43" s="145"/>
      <c r="O43" s="164"/>
      <c r="U43" s="145"/>
      <c r="V43" s="145"/>
      <c r="W43" s="145"/>
    </row>
    <row r="44" spans="3:23" x14ac:dyDescent="0.25">
      <c r="C44" s="141"/>
      <c r="D44" s="156" t="s">
        <v>194</v>
      </c>
      <c r="E44" s="309" t="s">
        <v>187</v>
      </c>
      <c r="F44" s="151"/>
      <c r="G44" s="151"/>
      <c r="H44" s="151"/>
      <c r="I44" s="151"/>
      <c r="J44" s="310" t="s">
        <v>188</v>
      </c>
      <c r="K44" s="402">
        <f ca="1">MIN(K42/K43,1)</f>
        <v>0</v>
      </c>
      <c r="L44" s="402"/>
      <c r="M44" s="402"/>
      <c r="N44" s="145"/>
      <c r="O44" s="164"/>
      <c r="U44" s="145"/>
      <c r="V44" s="145"/>
      <c r="W44" s="145"/>
    </row>
    <row r="45" spans="3:23" ht="39.75" customHeight="1" x14ac:dyDescent="0.25">
      <c r="C45" s="141"/>
      <c r="D45" s="178" t="s">
        <v>195</v>
      </c>
      <c r="E45" s="400" t="s">
        <v>364</v>
      </c>
      <c r="F45" s="400"/>
      <c r="G45" s="400"/>
      <c r="H45" s="400"/>
      <c r="I45" s="400"/>
      <c r="J45" s="310" t="s">
        <v>188</v>
      </c>
      <c r="K45" s="403">
        <f ca="1">IFERROR(VLOOKUP(EOMONTH(PREMISSAS!$C$3,-1),'CÁLCULO RPPS ESPECIAL'!$C$5:$G$654,4,FALSE),"")</f>
        <v>0</v>
      </c>
      <c r="L45" s="403"/>
      <c r="M45" s="403"/>
      <c r="N45" s="145"/>
      <c r="O45" s="164"/>
      <c r="U45" s="233"/>
      <c r="V45" s="233"/>
      <c r="W45" s="233"/>
    </row>
    <row r="46" spans="3:23" x14ac:dyDescent="0.25">
      <c r="C46" s="141"/>
      <c r="D46" s="156" t="s">
        <v>196</v>
      </c>
      <c r="E46" s="309" t="s">
        <v>193</v>
      </c>
      <c r="F46" s="151"/>
      <c r="G46" s="151"/>
      <c r="H46" s="151"/>
      <c r="I46" s="151"/>
      <c r="J46" s="310" t="s">
        <v>188</v>
      </c>
      <c r="K46" s="403">
        <f>PREMISSAS!C14</f>
        <v>7087.22</v>
      </c>
      <c r="L46" s="403"/>
      <c r="M46" s="403"/>
      <c r="N46" s="145"/>
      <c r="O46" s="164"/>
      <c r="U46" s="145"/>
      <c r="V46" s="145"/>
      <c r="W46" s="145"/>
    </row>
    <row r="47" spans="3:23" x14ac:dyDescent="0.25">
      <c r="C47" s="141"/>
      <c r="D47" s="156" t="s">
        <v>287</v>
      </c>
      <c r="E47" s="309" t="s">
        <v>327</v>
      </c>
      <c r="F47" s="151"/>
      <c r="G47" s="151"/>
      <c r="H47" s="151"/>
      <c r="I47" s="151"/>
      <c r="J47" s="310" t="s">
        <v>188</v>
      </c>
      <c r="K47" s="403">
        <f ca="1">IFERROR(MAX(K44*(K45-K46),0),"")</f>
        <v>0</v>
      </c>
      <c r="L47" s="403"/>
      <c r="M47" s="403"/>
      <c r="N47" s="145"/>
      <c r="O47" s="164"/>
      <c r="U47" s="145"/>
      <c r="V47" s="145"/>
      <c r="W47" s="145"/>
    </row>
    <row r="48" spans="3:23" ht="7.5" customHeight="1" x14ac:dyDescent="0.25">
      <c r="C48" s="141"/>
      <c r="D48" s="145"/>
      <c r="E48" s="145"/>
      <c r="F48" s="145"/>
      <c r="G48" s="145"/>
      <c r="H48" s="145"/>
      <c r="I48" s="145"/>
      <c r="J48" s="145"/>
      <c r="K48" s="145"/>
      <c r="L48" s="145"/>
      <c r="M48" s="145"/>
      <c r="N48" s="145"/>
      <c r="O48" s="164"/>
    </row>
    <row r="49" spans="3:20" s="176" customFormat="1" x14ac:dyDescent="0.25">
      <c r="C49" s="157"/>
      <c r="D49" s="158"/>
      <c r="E49" s="159" t="s">
        <v>190</v>
      </c>
      <c r="F49" s="160" t="s">
        <v>191</v>
      </c>
      <c r="G49" s="160"/>
      <c r="H49" s="158"/>
      <c r="I49" s="158"/>
      <c r="J49" s="158"/>
      <c r="K49" s="158"/>
      <c r="L49" s="158"/>
      <c r="M49" s="158"/>
      <c r="N49" s="158"/>
      <c r="O49" s="165"/>
      <c r="Q49" s="170"/>
      <c r="R49" s="170"/>
      <c r="S49" s="170"/>
      <c r="T49" s="170"/>
    </row>
    <row r="50" spans="3:20" s="176" customFormat="1" x14ac:dyDescent="0.25">
      <c r="C50" s="157"/>
      <c r="D50" s="158"/>
      <c r="E50" s="159" t="s">
        <v>189</v>
      </c>
      <c r="F50" s="404" t="s">
        <v>201</v>
      </c>
      <c r="G50" s="404"/>
      <c r="H50" s="404"/>
      <c r="I50" s="404"/>
      <c r="J50" s="404"/>
      <c r="K50" s="404"/>
      <c r="L50" s="404"/>
      <c r="M50" s="404"/>
      <c r="N50" s="404"/>
      <c r="O50" s="165"/>
      <c r="Q50" s="170"/>
      <c r="R50" s="170"/>
      <c r="S50" s="170"/>
      <c r="T50" s="170"/>
    </row>
    <row r="51" spans="3:20" ht="6" customHeight="1" x14ac:dyDescent="0.25">
      <c r="C51" s="141"/>
      <c r="D51" s="142"/>
      <c r="E51" s="143"/>
      <c r="F51" s="143"/>
      <c r="G51" s="143"/>
      <c r="H51" s="145"/>
      <c r="I51" s="179"/>
      <c r="J51" s="145"/>
      <c r="K51" s="150"/>
      <c r="L51" s="145"/>
      <c r="M51" s="145"/>
      <c r="N51" s="145"/>
      <c r="O51" s="164"/>
    </row>
    <row r="52" spans="3:20" ht="11.25" customHeight="1" x14ac:dyDescent="0.25">
      <c r="C52" s="141"/>
      <c r="D52" s="405" t="s">
        <v>301</v>
      </c>
      <c r="E52" s="405"/>
      <c r="F52" s="405"/>
      <c r="G52" s="405"/>
      <c r="H52" s="405"/>
      <c r="I52" s="405"/>
      <c r="J52" s="405"/>
      <c r="K52" s="405"/>
      <c r="L52" s="405"/>
      <c r="M52" s="405"/>
      <c r="N52" s="405"/>
      <c r="O52" s="164"/>
    </row>
    <row r="53" spans="3:20" ht="11.25" customHeight="1" x14ac:dyDescent="0.25">
      <c r="C53" s="141"/>
      <c r="D53" s="405"/>
      <c r="E53" s="405"/>
      <c r="F53" s="405"/>
      <c r="G53" s="405"/>
      <c r="H53" s="405"/>
      <c r="I53" s="405"/>
      <c r="J53" s="405"/>
      <c r="K53" s="405"/>
      <c r="L53" s="405"/>
      <c r="M53" s="405"/>
      <c r="N53" s="405"/>
      <c r="O53" s="164"/>
    </row>
    <row r="54" spans="3:20" ht="11.25" customHeight="1" x14ac:dyDescent="0.25">
      <c r="C54" s="161"/>
      <c r="D54" s="183" t="s">
        <v>222</v>
      </c>
      <c r="E54" s="177"/>
      <c r="F54" s="177"/>
      <c r="G54" s="177"/>
      <c r="H54" s="177"/>
      <c r="I54" s="177"/>
      <c r="J54" s="177"/>
      <c r="K54" s="177"/>
      <c r="L54" s="177"/>
      <c r="M54" s="162" t="s">
        <v>183</v>
      </c>
      <c r="N54" s="163">
        <f ca="1">TODAY()</f>
        <v>44889</v>
      </c>
      <c r="O54" s="166"/>
    </row>
  </sheetData>
  <sheetProtection algorithmName="SHA-512" hashValue="3Yb860HGfpt24rFsg33R6ipl3oSwVJDhpswRC/d5a3gtUXT0zssUF1WguXTS3YvsGmXt5MWaFwT9ZmKrgepj0g==" saltValue="lXxp78U0KZZMdG/rxY/6xA==" spinCount="100000" sheet="1" objects="1" scenarios="1"/>
  <mergeCells count="16">
    <mergeCell ref="D52:N53"/>
    <mergeCell ref="D2:N3"/>
    <mergeCell ref="D5:N5"/>
    <mergeCell ref="D6:N6"/>
    <mergeCell ref="F50:N50"/>
    <mergeCell ref="I27:K27"/>
    <mergeCell ref="E42:I42"/>
    <mergeCell ref="K42:M42"/>
    <mergeCell ref="K43:M43"/>
    <mergeCell ref="K44:M44"/>
    <mergeCell ref="K45:M45"/>
    <mergeCell ref="E45:I45"/>
    <mergeCell ref="K38:N40"/>
    <mergeCell ref="K46:M46"/>
    <mergeCell ref="K47:M47"/>
    <mergeCell ref="D7:N7"/>
  </mergeCells>
  <conditionalFormatting sqref="K23:N23">
    <cfRule type="expression" dxfId="154" priority="140">
      <formula>$I$23="Não"</formula>
    </cfRule>
  </conditionalFormatting>
  <conditionalFormatting sqref="I35">
    <cfRule type="expression" dxfId="153" priority="139">
      <formula>$I$33="Não"</formula>
    </cfRule>
  </conditionalFormatting>
  <conditionalFormatting sqref="K21:N21">
    <cfRule type="expression" dxfId="152" priority="114">
      <formula>$I$21="Não"</formula>
    </cfRule>
  </conditionalFormatting>
  <conditionalFormatting sqref="K15">
    <cfRule type="expression" dxfId="151" priority="84">
      <formula>$I$15=""</formula>
    </cfRule>
  </conditionalFormatting>
  <conditionalFormatting sqref="K13">
    <cfRule type="expression" dxfId="150" priority="83" stopIfTrue="1">
      <formula>$I$13=""</formula>
    </cfRule>
  </conditionalFormatting>
  <conditionalFormatting sqref="E33:J33 E35:J35 E27:I27 D51:N51 E38:J38 H37:K37">
    <cfRule type="expression" dxfId="149" priority="82">
      <formula>#REF!="Não"</formula>
    </cfRule>
  </conditionalFormatting>
  <conditionalFormatting sqref="D41:N42 D44:N44 D43 F43:N43 D46:N50 D45 J45:N45">
    <cfRule type="expression" dxfId="148" priority="284">
      <formula>$I$39&gt;0</formula>
    </cfRule>
  </conditionalFormatting>
  <conditionalFormatting sqref="D37:G37">
    <cfRule type="expression" dxfId="147" priority="3">
      <formula>$I$39&gt;0</formula>
    </cfRule>
  </conditionalFormatting>
  <conditionalFormatting sqref="E43">
    <cfRule type="expression" dxfId="146" priority="2">
      <formula>$I$39&gt;0</formula>
    </cfRule>
  </conditionalFormatting>
  <conditionalFormatting sqref="E45:I45">
    <cfRule type="expression" dxfId="145" priority="1">
      <formula>$I$39&gt;0</formula>
    </cfRule>
  </conditionalFormatting>
  <dataValidations count="3">
    <dataValidation type="whole" allowBlank="1" showInputMessage="1" showErrorMessage="1" sqref="K21" xr:uid="{00000000-0002-0000-0D00-000000000000}">
      <formula1>0</formula1>
      <formula2>45</formula2>
    </dataValidation>
    <dataValidation type="whole" allowBlank="1" showInputMessage="1" showErrorMessage="1" sqref="M23 M21" xr:uid="{00000000-0002-0000-0D00-000001000000}">
      <formula1>0</formula1>
      <formula2>11</formula2>
    </dataValidation>
    <dataValidation type="whole" allowBlank="1" showInputMessage="1" showErrorMessage="1" sqref="K23" xr:uid="{00000000-0002-0000-0D00-000002000000}">
      <formula1>0</formula1>
      <formula2>50</formula2>
    </dataValidation>
  </dataValidations>
  <hyperlinks>
    <hyperlink ref="D7" r:id="rId1" location="contato" tooltip="https://www.funpresp.com.br/migracao-do-rpps-para-o-rpc/janela2022/#contato" display="contato" xr:uid="{00000000-0004-0000-0D00-000000000000}"/>
  </hyperlinks>
  <printOptions horizontalCentered="1"/>
  <pageMargins left="0.31496062992125984" right="0.31496062992125984" top="0.59055118110236227" bottom="0.59055118110236227" header="0.31496062992125984" footer="0.31496062992125984"/>
  <pageSetup paperSize="9" scale="83" fitToWidth="0" orientation="portrait"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D00-000003000000}">
          <x14:formula1>
            <xm:f>PREMISSAS!$U$2:$U$3</xm:f>
          </x14:formula1>
          <xm:sqref>I11</xm:sqref>
        </x14:dataValidation>
        <x14:dataValidation type="list" allowBlank="1" showInputMessage="1" showErrorMessage="1" xr:uid="{00000000-0002-0000-0D00-000004000000}">
          <x14:formula1>
            <xm:f>PREMISSAS!$U$5:$U$6</xm:f>
          </x14:formula1>
          <xm:sqref>I19 I23 I33 I21 I17</xm:sqref>
        </x14:dataValidation>
        <x14:dataValidation type="list" allowBlank="1" showInputMessage="1" showErrorMessage="1" xr:uid="{00000000-0002-0000-0D00-000005000000}">
          <x14:formula1>
            <xm:f>PREMISSAS!$U$15:$U$16</xm:f>
          </x14:formula1>
          <xm:sqref>I27</xm:sqref>
        </x14:dataValidation>
        <x14:dataValidation type="list" allowBlank="1" showInputMessage="1" showErrorMessage="1" xr:uid="{00000000-0002-0000-0D00-000006000000}">
          <x14:formula1>
            <xm:f>PREMISSAS!$D$100:$D$104</xm:f>
          </x14:formula1>
          <xm:sqref>I25</xm:sqref>
        </x14:dataValidation>
        <x14:dataValidation type="whole" operator="greaterThan" allowBlank="1" showInputMessage="1" showErrorMessage="1" xr:uid="{00000000-0002-0000-0D00-000007000000}">
          <x14:formula1>
            <xm:f>ELEGIBILIDADE!F13</xm:f>
          </x14:formula1>
          <xm:sqref>I35</xm:sqref>
        </x14:dataValidation>
        <x14:dataValidation type="date" allowBlank="1" showInputMessage="1" showErrorMessage="1" errorTitle="Data incompatível" error="Data de Ingresso deve representar idade de ingresso superior a 18 anos, assim como a data de instituição do RPC (04/02/2013)._x000a_" xr:uid="{00000000-0002-0000-0D00-000008000000}">
          <x14:formula1>
            <xm:f>'Info Graf'!D14</xm:f>
          </x14:formula1>
          <x14:formula2>
            <xm:f>PREMISSAS!D12</xm:f>
          </x14:formula2>
          <xm:sqref>I15</xm:sqref>
        </x14:dataValidation>
        <x14:dataValidation type="date" operator="lessThanOrEqual" allowBlank="1" showInputMessage="1" showErrorMessage="1" xr:uid="{00000000-0002-0000-0D00-000009000000}">
          <x14:formula1>
            <xm:f>'Info Graf'!D10</xm:f>
          </x14:formula1>
          <xm:sqref>I9</xm:sqref>
        </x14:dataValidation>
        <x14:dataValidation type="date" allowBlank="1" showInputMessage="1" showErrorMessage="1" errorTitle="Data incompatível" error="Data de Ingresso deve representar idade de ingresso superior a 18 anos, assim como a data de instituição do RPC (04/02/2013)._x000a_" xr:uid="{00000000-0002-0000-0D00-00000A000000}">
          <x14:formula1>
            <xm:f>'Info Graf'!D12</xm:f>
          </x14:formula1>
          <x14:formula2>
            <xm:f>PREMISSAS!E10</xm:f>
          </x14:formula2>
          <xm:sqref>I13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0">
    <tabColor theme="4" tint="-0.499984740745262"/>
  </sheetPr>
  <dimension ref="A1:N656"/>
  <sheetViews>
    <sheetView showGridLines="0" zoomScaleNormal="100" workbookViewId="0">
      <selection activeCell="E7" sqref="E7:E150"/>
    </sheetView>
  </sheetViews>
  <sheetFormatPr defaultColWidth="9.109375" defaultRowHeight="14.4" x14ac:dyDescent="0.3"/>
  <cols>
    <col min="1" max="2" width="1.5546875" style="248" customWidth="1"/>
    <col min="3" max="3" width="12.88671875" style="248" customWidth="1"/>
    <col min="4" max="4" width="15.6640625" style="248" customWidth="1"/>
    <col min="5" max="5" width="15.5546875" style="248" customWidth="1"/>
    <col min="6" max="6" width="17.88671875" style="248" customWidth="1"/>
    <col min="7" max="8" width="1.5546875" style="248" customWidth="1"/>
    <col min="9" max="9" width="11.33203125" style="248" hidden="1" customWidth="1"/>
    <col min="10" max="10" width="17.5546875" style="248" hidden="1" customWidth="1"/>
    <col min="11" max="11" width="9.109375" style="248"/>
    <col min="12" max="13" width="11.5546875" style="334" bestFit="1" customWidth="1"/>
    <col min="14" max="16384" width="9.109375" style="248"/>
  </cols>
  <sheetData>
    <row r="1" spans="1:14" ht="15" customHeight="1" x14ac:dyDescent="0.3">
      <c r="A1" s="249"/>
      <c r="B1" s="250"/>
      <c r="C1" s="250"/>
      <c r="D1" s="250"/>
      <c r="E1" s="250"/>
      <c r="F1" s="250"/>
      <c r="G1" s="250"/>
      <c r="H1" s="249"/>
    </row>
    <row r="2" spans="1:14" ht="63.75" customHeight="1" x14ac:dyDescent="0.3">
      <c r="A2" s="249"/>
      <c r="B2" s="250"/>
      <c r="C2" s="250"/>
      <c r="D2" s="250"/>
      <c r="E2" s="410" t="s">
        <v>179</v>
      </c>
      <c r="F2" s="410"/>
      <c r="G2" s="250"/>
      <c r="H2" s="249"/>
    </row>
    <row r="3" spans="1:14" ht="28.5" customHeight="1" x14ac:dyDescent="0.3">
      <c r="B3" s="251"/>
      <c r="C3" s="411" t="s">
        <v>303</v>
      </c>
      <c r="D3" s="411"/>
      <c r="E3" s="411"/>
      <c r="F3" s="411"/>
      <c r="G3" s="251"/>
    </row>
    <row r="4" spans="1:14" ht="15.6" x14ac:dyDescent="0.3">
      <c r="B4" s="251"/>
      <c r="C4" s="252" t="s">
        <v>184</v>
      </c>
      <c r="D4" s="253"/>
      <c r="E4" s="253"/>
      <c r="F4" s="253"/>
      <c r="G4" s="251"/>
      <c r="K4" s="333"/>
      <c r="N4" s="333"/>
    </row>
    <row r="5" spans="1:14" ht="9" customHeight="1" x14ac:dyDescent="0.3">
      <c r="B5" s="251"/>
      <c r="C5" s="253"/>
      <c r="D5" s="253"/>
      <c r="E5" s="253"/>
      <c r="F5" s="253"/>
      <c r="G5" s="251"/>
      <c r="K5" s="333"/>
      <c r="N5" s="333"/>
    </row>
    <row r="6" spans="1:14" ht="15.6" x14ac:dyDescent="0.3">
      <c r="B6" s="251"/>
      <c r="C6" s="251"/>
      <c r="D6" s="254" t="s">
        <v>181</v>
      </c>
      <c r="E6" s="254" t="s">
        <v>182</v>
      </c>
      <c r="F6" s="253"/>
      <c r="G6" s="251"/>
      <c r="I6" s="259" t="s">
        <v>21</v>
      </c>
      <c r="J6" s="259" t="s">
        <v>3</v>
      </c>
      <c r="K6" s="333"/>
      <c r="N6" s="333"/>
    </row>
    <row r="7" spans="1:14" ht="15" x14ac:dyDescent="0.25">
      <c r="B7" s="251"/>
      <c r="C7" s="251"/>
      <c r="D7" s="255">
        <f ca="1">DATE(YEAR(PREMISSAS!C3),1,31)</f>
        <v>44592</v>
      </c>
      <c r="E7" s="342"/>
      <c r="F7" s="257"/>
      <c r="G7" s="251"/>
      <c r="I7" s="260">
        <f>RESULTADOS!O5</f>
        <v>37621</v>
      </c>
      <c r="J7" s="261">
        <f ca="1">IF(I7="","",IFERROR(VLOOKUP(I7,$D$6:$E$656,2,0),""))</f>
        <v>0</v>
      </c>
      <c r="K7" s="333"/>
      <c r="L7" s="335">
        <v>20000</v>
      </c>
      <c r="M7" s="336">
        <f ca="1">IFERROR(L7/VLOOKUP(D7,IPCA!$A$3:$D$340,4,FALSE),M6)</f>
        <v>19101.515893662279</v>
      </c>
      <c r="N7" s="333"/>
    </row>
    <row r="8" spans="1:14" ht="15" x14ac:dyDescent="0.25">
      <c r="B8" s="251"/>
      <c r="C8" s="251"/>
      <c r="D8" s="258">
        <f ca="1">IF(D7="","",
IF(D7="13º "&amp;YEAR(RESULTADOS!$C$11),"",
IF(IFERROR(EOMONTH(D7,1)&gt;PREMISSAS!$C$3,"FALSO"),
   DATE(YEAR(D7)-1,1,31),
   IF(IF(ISTEXT(D7),RIGHT(D7,4)-1=YEAR(RESULTADOS!$C$11),YEAR(D7)-1=YEAR(RESULTADOS!$C$11)),
      IF(LEFT(D7,2)="13",EOMONTH(RESULTADOS!$C$11,0),IF(MONTH(D7)=12,"13º "&amp;YEAR(D7),EOMONTH(D7,1))),
      IF(LEFT(D7,2)="13",DATE(RIGHT(D7,4)-1,1,31),IF(MONTH(D7)=12,"13º "&amp;YEAR(D7),EOMONTH(D7,1)))))))</f>
        <v>44620</v>
      </c>
      <c r="E8" s="342"/>
      <c r="F8" s="257"/>
      <c r="G8" s="251"/>
      <c r="I8" s="262">
        <f ca="1">RESULTADOS!O6</f>
        <v>37652</v>
      </c>
      <c r="J8" s="261">
        <f t="shared" ref="J8:J71" ca="1" si="0">IF(I8="","",IFERROR(VLOOKUP(I8,$D$6:$E$656,2,0),""))</f>
        <v>0</v>
      </c>
      <c r="K8" s="333"/>
      <c r="L8" s="336">
        <f>L7</f>
        <v>20000</v>
      </c>
      <c r="M8" s="336">
        <f ca="1">IFERROR(L8/VLOOKUP(D8,IPCA!$A$3:$D$340,4,FALSE),M7)</f>
        <v>19204.664079488059</v>
      </c>
      <c r="N8" s="333"/>
    </row>
    <row r="9" spans="1:14" ht="15" x14ac:dyDescent="0.25">
      <c r="B9" s="251"/>
      <c r="C9" s="251"/>
      <c r="D9" s="258">
        <f ca="1">IF(D8="","",
IF(D8="13º "&amp;YEAR(RESULTADOS!$C$11),"",
IF(IFERROR(EOMONTH(D8,1)&gt;PREMISSAS!$C$3,"FALSO"),
   DATE(YEAR(D8)-1,1,31),
   IF(IF(ISTEXT(D8),RIGHT(D8,4)-1=YEAR(RESULTADOS!$C$11),YEAR(D8)-1=YEAR(RESULTADOS!$C$11)),
      IF(LEFT(D8,2)="13",EOMONTH(RESULTADOS!$C$11,0),IF(MONTH(D8)=12,"13º "&amp;YEAR(D8),EOMONTH(D8,1))),
      IF(LEFT(D8,2)="13",DATE(RIGHT(D8,4)-1,1,31),IF(MONTH(D8)=12,"13º "&amp;YEAR(D8),EOMONTH(D8,1)))))))</f>
        <v>44651</v>
      </c>
      <c r="E9" s="342"/>
      <c r="F9" s="257"/>
      <c r="G9" s="251"/>
      <c r="I9" s="262">
        <f ca="1">RESULTADOS!O7</f>
        <v>37680</v>
      </c>
      <c r="J9" s="261">
        <f t="shared" ca="1" si="0"/>
        <v>0</v>
      </c>
      <c r="K9" s="333"/>
      <c r="L9" s="336">
        <f t="shared" ref="L9:L72" si="1">L8</f>
        <v>20000</v>
      </c>
      <c r="M9" s="336">
        <f ca="1">IFERROR(L9/VLOOKUP(D9,IPCA!$A$3:$D$340,4,FALSE),M8)</f>
        <v>19398.631186690887</v>
      </c>
      <c r="N9" s="333"/>
    </row>
    <row r="10" spans="1:14" ht="15" x14ac:dyDescent="0.25">
      <c r="B10" s="251"/>
      <c r="C10" s="251"/>
      <c r="D10" s="258">
        <f ca="1">IF(D9="","",
IF(D9="13º "&amp;YEAR(RESULTADOS!$C$11),"",
IF(IFERROR(EOMONTH(D9,1)&gt;PREMISSAS!$C$3,"FALSO"),
   DATE(YEAR(D9)-1,1,31),
   IF(IF(ISTEXT(D9),RIGHT(D9,4)-1=YEAR(RESULTADOS!$C$11),YEAR(D9)-1=YEAR(RESULTADOS!$C$11)),
      IF(LEFT(D9,2)="13",EOMONTH(RESULTADOS!$C$11,0),IF(MONTH(D9)=12,"13º "&amp;YEAR(D9),EOMONTH(D9,1))),
      IF(LEFT(D9,2)="13",DATE(RIGHT(D9,4)-1,1,31),IF(MONTH(D9)=12,"13º "&amp;YEAR(D9),EOMONTH(D9,1)))))))</f>
        <v>44681</v>
      </c>
      <c r="E10" s="342"/>
      <c r="F10" s="257"/>
      <c r="G10" s="251"/>
      <c r="I10" s="262">
        <f ca="1">RESULTADOS!O8</f>
        <v>37711</v>
      </c>
      <c r="J10" s="261">
        <f t="shared" ca="1" si="0"/>
        <v>0</v>
      </c>
      <c r="K10" s="333"/>
      <c r="L10" s="336">
        <f t="shared" si="1"/>
        <v>20000</v>
      </c>
      <c r="M10" s="336">
        <f ca="1">IFERROR(L10/VLOOKUP(D10,IPCA!$A$3:$D$340,4,FALSE),M9)</f>
        <v>19712.889011915275</v>
      </c>
      <c r="N10" s="333"/>
    </row>
    <row r="11" spans="1:14" ht="15" x14ac:dyDescent="0.25">
      <c r="B11" s="251"/>
      <c r="C11" s="251"/>
      <c r="D11" s="258">
        <f ca="1">IF(D10="","",
IF(D10="13º "&amp;YEAR(RESULTADOS!$C$11),"",
IF(IFERROR(EOMONTH(D10,1)&gt;PREMISSAS!$C$3,"FALSO"),
   DATE(YEAR(D10)-1,1,31),
   IF(IF(ISTEXT(D10),RIGHT(D10,4)-1=YEAR(RESULTADOS!$C$11),YEAR(D10)-1=YEAR(RESULTADOS!$C$11)),
      IF(LEFT(D10,2)="13",EOMONTH(RESULTADOS!$C$11,0),IF(MONTH(D10)=12,"13º "&amp;YEAR(D10),EOMONTH(D10,1))),
      IF(LEFT(D10,2)="13",DATE(RIGHT(D10,4)-1,1,31),IF(MONTH(D10)=12,"13º "&amp;YEAR(D10),EOMONTH(D10,1)))))))</f>
        <v>44712</v>
      </c>
      <c r="E11" s="342"/>
      <c r="F11" s="257"/>
      <c r="G11" s="251"/>
      <c r="I11" s="262">
        <f ca="1">RESULTADOS!O9</f>
        <v>37741</v>
      </c>
      <c r="J11" s="261">
        <f t="shared" ca="1" si="0"/>
        <v>0</v>
      </c>
      <c r="K11" s="333"/>
      <c r="L11" s="336">
        <f t="shared" si="1"/>
        <v>20000</v>
      </c>
      <c r="M11" s="336">
        <f ca="1">IFERROR(L11/VLOOKUP(D11,IPCA!$A$3:$D$340,4,FALSE),M10)</f>
        <v>19921.845635441576</v>
      </c>
      <c r="N11" s="333"/>
    </row>
    <row r="12" spans="1:14" ht="15" x14ac:dyDescent="0.25">
      <c r="B12" s="251"/>
      <c r="C12" s="251"/>
      <c r="D12" s="258">
        <f ca="1">IF(D11="","",
IF(D11="13º "&amp;YEAR(RESULTADOS!$C$11),"",
IF(IFERROR(EOMONTH(D11,1)&gt;PREMISSAS!$C$3,"FALSO"),
   DATE(YEAR(D11)-1,1,31),
   IF(IF(ISTEXT(D11),RIGHT(D11,4)-1=YEAR(RESULTADOS!$C$11),YEAR(D11)-1=YEAR(RESULTADOS!$C$11)),
      IF(LEFT(D11,2)="13",EOMONTH(RESULTADOS!$C$11,0),IF(MONTH(D11)=12,"13º "&amp;YEAR(D11),EOMONTH(D11,1))),
      IF(LEFT(D11,2)="13",DATE(RIGHT(D11,4)-1,1,31),IF(MONTH(D11)=12,"13º "&amp;YEAR(D11),EOMONTH(D11,1)))))))</f>
        <v>44742</v>
      </c>
      <c r="E12" s="342"/>
      <c r="F12" s="257"/>
      <c r="G12" s="251"/>
      <c r="I12" s="262">
        <f ca="1">RESULTADOS!O10</f>
        <v>37772</v>
      </c>
      <c r="J12" s="261">
        <f t="shared" ca="1" si="0"/>
        <v>0</v>
      </c>
      <c r="K12" s="333"/>
      <c r="L12" s="336">
        <f t="shared" si="1"/>
        <v>20000</v>
      </c>
      <c r="M12" s="336">
        <f ca="1">IFERROR(L12/VLOOKUP(D12,IPCA!$A$3:$D$340,4,FALSE),M11)</f>
        <v>20015.478309928149</v>
      </c>
      <c r="N12" s="333"/>
    </row>
    <row r="13" spans="1:14" ht="15" x14ac:dyDescent="0.25">
      <c r="B13" s="251"/>
      <c r="C13" s="251"/>
      <c r="D13" s="258">
        <f ca="1">IF(D12="","",
IF(D12="13º "&amp;YEAR(RESULTADOS!$C$11),"",
IF(IFERROR(EOMONTH(D12,1)&gt;PREMISSAS!$C$3,"FALSO"),
   DATE(YEAR(D12)-1,1,31),
   IF(IF(ISTEXT(D12),RIGHT(D12,4)-1=YEAR(RESULTADOS!$C$11),YEAR(D12)-1=YEAR(RESULTADOS!$C$11)),
      IF(LEFT(D12,2)="13",EOMONTH(RESULTADOS!$C$11,0),IF(MONTH(D12)=12,"13º "&amp;YEAR(D12),EOMONTH(D12,1))),
      IF(LEFT(D12,2)="13",DATE(RIGHT(D12,4)-1,1,31),IF(MONTH(D12)=12,"13º "&amp;YEAR(D12),EOMONTH(D12,1)))))))</f>
        <v>44773</v>
      </c>
      <c r="E13" s="342"/>
      <c r="F13" s="257"/>
      <c r="G13" s="251"/>
      <c r="I13" s="262">
        <f ca="1">RESULTADOS!O11</f>
        <v>37802</v>
      </c>
      <c r="J13" s="261">
        <f t="shared" ca="1" si="0"/>
        <v>0</v>
      </c>
      <c r="K13" s="333"/>
      <c r="L13" s="336">
        <f t="shared" si="1"/>
        <v>20000</v>
      </c>
      <c r="M13" s="336">
        <f ca="1">IFERROR(L13/VLOOKUP(D13,IPCA!$A$3:$D$340,4,FALSE),M12)</f>
        <v>20149.582014604668</v>
      </c>
      <c r="N13" s="333"/>
    </row>
    <row r="14" spans="1:14" ht="15" x14ac:dyDescent="0.25">
      <c r="B14" s="251"/>
      <c r="C14" s="251"/>
      <c r="D14" s="258">
        <f ca="1">IF(D13="","",
IF(D13="13º "&amp;YEAR(RESULTADOS!$C$11),"",
IF(IFERROR(EOMONTH(D13,1)&gt;PREMISSAS!$C$3,"FALSO"),
   DATE(YEAR(D13)-1,1,31),
   IF(IF(ISTEXT(D13),RIGHT(D13,4)-1=YEAR(RESULTADOS!$C$11),YEAR(D13)-1=YEAR(RESULTADOS!$C$11)),
      IF(LEFT(D13,2)="13",EOMONTH(RESULTADOS!$C$11,0),IF(MONTH(D13)=12,"13º "&amp;YEAR(D13),EOMONTH(D13,1))),
      IF(LEFT(D13,2)="13",DATE(RIGHT(D13,4)-1,1,31),IF(MONTH(D13)=12,"13º "&amp;YEAR(D13),EOMONTH(D13,1)))))))</f>
        <v>44804</v>
      </c>
      <c r="E14" s="342"/>
      <c r="F14" s="257"/>
      <c r="G14" s="251"/>
      <c r="I14" s="262">
        <f ca="1">RESULTADOS!O12</f>
        <v>37833</v>
      </c>
      <c r="J14" s="261">
        <f t="shared" ca="1" si="0"/>
        <v>0</v>
      </c>
      <c r="K14" s="333"/>
      <c r="L14" s="336">
        <f t="shared" si="1"/>
        <v>20000</v>
      </c>
      <c r="M14" s="336">
        <f ca="1">IFERROR(L14/VLOOKUP(D14,IPCA!$A$3:$D$340,4,FALSE),M13)</f>
        <v>20012.564856905356</v>
      </c>
      <c r="N14" s="333"/>
    </row>
    <row r="15" spans="1:14" ht="15" x14ac:dyDescent="0.25">
      <c r="B15" s="251"/>
      <c r="C15" s="251"/>
      <c r="D15" s="258">
        <f ca="1">IF(D14="","",
IF(D14="13º "&amp;YEAR(RESULTADOS!$C$11),"",
IF(IFERROR(EOMONTH(D14,1)&gt;PREMISSAS!$C$3,"FALSO"),
   DATE(YEAR(D14)-1,1,31),
   IF(IF(ISTEXT(D14),RIGHT(D14,4)-1=YEAR(RESULTADOS!$C$11),YEAR(D14)-1=YEAR(RESULTADOS!$C$11)),
      IF(LEFT(D14,2)="13",EOMONTH(RESULTADOS!$C$11,0),IF(MONTH(D14)=12,"13º "&amp;YEAR(D14),EOMONTH(D14,1))),
      IF(LEFT(D14,2)="13",DATE(RIGHT(D14,4)-1,1,31),IF(MONTH(D14)=12,"13º "&amp;YEAR(D14),EOMONTH(D14,1)))))))</f>
        <v>44834</v>
      </c>
      <c r="E15" s="342"/>
      <c r="F15" s="257"/>
      <c r="G15" s="251"/>
      <c r="I15" s="262">
        <f ca="1">RESULTADOS!O13</f>
        <v>37864</v>
      </c>
      <c r="J15" s="261">
        <f t="shared" ca="1" si="0"/>
        <v>0</v>
      </c>
      <c r="K15" s="333"/>
      <c r="L15" s="336">
        <f t="shared" si="1"/>
        <v>20000</v>
      </c>
      <c r="M15" s="336">
        <f ca="1">IFERROR(L15/VLOOKUP(D15,IPCA!$A$3:$D$340,4,FALSE),M14)</f>
        <v>20012.564856905356</v>
      </c>
      <c r="N15" s="333"/>
    </row>
    <row r="16" spans="1:14" ht="15" x14ac:dyDescent="0.25">
      <c r="B16" s="251"/>
      <c r="C16" s="251"/>
      <c r="D16" s="258">
        <f ca="1">IF(D15="","",
IF(D15="13º "&amp;YEAR(RESULTADOS!$C$11),"",
IF(IFERROR(EOMONTH(D15,1)&gt;PREMISSAS!$C$3,"FALSO"),
   DATE(YEAR(D15)-1,1,31),
   IF(IF(ISTEXT(D15),RIGHT(D15,4)-1=YEAR(RESULTADOS!$C$11),YEAR(D15)-1=YEAR(RESULTADOS!$C$11)),
      IF(LEFT(D15,2)="13",EOMONTH(RESULTADOS!$C$11,0),IF(MONTH(D15)=12,"13º "&amp;YEAR(D15),EOMONTH(D15,1))),
      IF(LEFT(D15,2)="13",DATE(RIGHT(D15,4)-1,1,31),IF(MONTH(D15)=12,"13º "&amp;YEAR(D15),EOMONTH(D15,1)))))))</f>
        <v>44865</v>
      </c>
      <c r="E16" s="342"/>
      <c r="F16" s="257"/>
      <c r="G16" s="251"/>
      <c r="I16" s="262">
        <f ca="1">RESULTADOS!O14</f>
        <v>37894</v>
      </c>
      <c r="J16" s="261">
        <f t="shared" ca="1" si="0"/>
        <v>0</v>
      </c>
      <c r="K16" s="333"/>
      <c r="L16" s="336">
        <f t="shared" si="1"/>
        <v>20000</v>
      </c>
      <c r="M16" s="336">
        <f ca="1">IFERROR(L16/VLOOKUP(D16,IPCA!$A$3:$D$340,4,FALSE),M15)</f>
        <v>20012.564856905356</v>
      </c>
      <c r="N16" s="333"/>
    </row>
    <row r="17" spans="2:14" ht="15" x14ac:dyDescent="0.25">
      <c r="B17" s="251"/>
      <c r="C17" s="251"/>
      <c r="D17" s="258">
        <f ca="1">IF(D16="","",
IF(D16="13º "&amp;YEAR(RESULTADOS!$C$11),"",
IF(IFERROR(EOMONTH(D16,1)&gt;PREMISSAS!$C$3,"FALSO"),
   DATE(YEAR(D16)-1,1,31),
   IF(IF(ISTEXT(D16),RIGHT(D16,4)-1=YEAR(RESULTADOS!$C$11),YEAR(D16)-1=YEAR(RESULTADOS!$C$11)),
      IF(LEFT(D16,2)="13",EOMONTH(RESULTADOS!$C$11,0),IF(MONTH(D16)=12,"13º "&amp;YEAR(D16),EOMONTH(D16,1))),
      IF(LEFT(D16,2)="13",DATE(RIGHT(D16,4)-1,1,31),IF(MONTH(D16)=12,"13º "&amp;YEAR(D16),EOMONTH(D16,1)))))))</f>
        <v>44227</v>
      </c>
      <c r="E17" s="342"/>
      <c r="F17" s="257"/>
      <c r="G17" s="251"/>
      <c r="I17" s="262">
        <f ca="1">RESULTADOS!O15</f>
        <v>37925</v>
      </c>
      <c r="J17" s="261">
        <f t="shared" ca="1" si="0"/>
        <v>0</v>
      </c>
      <c r="K17" s="333"/>
      <c r="L17" s="336">
        <f t="shared" si="1"/>
        <v>20000</v>
      </c>
      <c r="M17" s="336">
        <f ca="1">IFERROR(L17/VLOOKUP(D17,IPCA!$A$3:$D$340,4,FALSE),M16)</f>
        <v>17355.38144004505</v>
      </c>
      <c r="N17" s="333"/>
    </row>
    <row r="18" spans="2:14" ht="15" x14ac:dyDescent="0.25">
      <c r="B18" s="251"/>
      <c r="C18" s="251"/>
      <c r="D18" s="258">
        <f ca="1">IF(D17="","",
IF(D17="13º "&amp;YEAR(RESULTADOS!$C$11),"",
IF(IFERROR(EOMONTH(D17,1)&gt;PREMISSAS!$C$3,"FALSO"),
   DATE(YEAR(D17)-1,1,31),
   IF(IF(ISTEXT(D17),RIGHT(D17,4)-1=YEAR(RESULTADOS!$C$11),YEAR(D17)-1=YEAR(RESULTADOS!$C$11)),
      IF(LEFT(D17,2)="13",EOMONTH(RESULTADOS!$C$11,0),IF(MONTH(D17)=12,"13º "&amp;YEAR(D17),EOMONTH(D17,1))),
      IF(LEFT(D17,2)="13",DATE(RIGHT(D17,4)-1,1,31),IF(MONTH(D17)=12,"13º "&amp;YEAR(D17),EOMONTH(D17,1)))))))</f>
        <v>44255</v>
      </c>
      <c r="E18" s="342"/>
      <c r="F18" s="257"/>
      <c r="G18" s="251"/>
      <c r="I18" s="262">
        <f ca="1">RESULTADOS!O16</f>
        <v>37955</v>
      </c>
      <c r="J18" s="261">
        <f t="shared" ca="1" si="0"/>
        <v>0</v>
      </c>
      <c r="K18" s="333"/>
      <c r="L18" s="336">
        <f t="shared" si="1"/>
        <v>20000</v>
      </c>
      <c r="M18" s="336">
        <f ca="1">IFERROR(L18/VLOOKUP(D18,IPCA!$A$3:$D$340,4,FALSE),M17)</f>
        <v>17398.769893645163</v>
      </c>
      <c r="N18" s="333"/>
    </row>
    <row r="19" spans="2:14" ht="15" x14ac:dyDescent="0.25">
      <c r="B19" s="251"/>
      <c r="C19" s="251"/>
      <c r="D19" s="258">
        <f ca="1">IF(D18="","",
IF(D18="13º "&amp;YEAR(RESULTADOS!$C$11),"",
IF(IFERROR(EOMONTH(D18,1)&gt;PREMISSAS!$C$3,"FALSO"),
   DATE(YEAR(D18)-1,1,31),
   IF(IF(ISTEXT(D18),RIGHT(D18,4)-1=YEAR(RESULTADOS!$C$11),YEAR(D18)-1=YEAR(RESULTADOS!$C$11)),
      IF(LEFT(D18,2)="13",EOMONTH(RESULTADOS!$C$11,0),IF(MONTH(D18)=12,"13º "&amp;YEAR(D18),EOMONTH(D18,1))),
      IF(LEFT(D18,2)="13",DATE(RIGHT(D18,4)-1,1,31),IF(MONTH(D18)=12,"13º "&amp;YEAR(D18),EOMONTH(D18,1)))))))</f>
        <v>44286</v>
      </c>
      <c r="E19" s="342"/>
      <c r="F19" s="257"/>
      <c r="G19" s="251"/>
      <c r="I19" s="262" t="str">
        <f ca="1">RESULTADOS!O17</f>
        <v>13º 2003</v>
      </c>
      <c r="J19" s="261">
        <f t="shared" ca="1" si="0"/>
        <v>0</v>
      </c>
      <c r="K19" s="333"/>
      <c r="L19" s="336">
        <f t="shared" si="1"/>
        <v>20000</v>
      </c>
      <c r="M19" s="336">
        <f ca="1">IFERROR(L19/VLOOKUP(D19,IPCA!$A$3:$D$340,4,FALSE),M18)</f>
        <v>17548.399314730505</v>
      </c>
      <c r="N19" s="333"/>
    </row>
    <row r="20" spans="2:14" ht="15" x14ac:dyDescent="0.25">
      <c r="B20" s="251"/>
      <c r="C20" s="251"/>
      <c r="D20" s="258">
        <f ca="1">IF(D19="","",
IF(D19="13º "&amp;YEAR(RESULTADOS!$C$11),"",
IF(IFERROR(EOMONTH(D19,1)&gt;PREMISSAS!$C$3,"FALSO"),
   DATE(YEAR(D19)-1,1,31),
   IF(IF(ISTEXT(D19),RIGHT(D19,4)-1=YEAR(RESULTADOS!$C$11),YEAR(D19)-1=YEAR(RESULTADOS!$C$11)),
      IF(LEFT(D19,2)="13",EOMONTH(RESULTADOS!$C$11,0),IF(MONTH(D19)=12,"13º "&amp;YEAR(D19),EOMONTH(D19,1))),
      IF(LEFT(D19,2)="13",DATE(RIGHT(D19,4)-1,1,31),IF(MONTH(D19)=12,"13º "&amp;YEAR(D19),EOMONTH(D19,1)))))))</f>
        <v>44316</v>
      </c>
      <c r="E20" s="342"/>
      <c r="F20" s="257"/>
      <c r="G20" s="251"/>
      <c r="I20" s="262">
        <f ca="1">RESULTADOS!O18</f>
        <v>37986</v>
      </c>
      <c r="J20" s="261">
        <f t="shared" ca="1" si="0"/>
        <v>0</v>
      </c>
      <c r="K20" s="333"/>
      <c r="L20" s="336">
        <f t="shared" si="1"/>
        <v>20000</v>
      </c>
      <c r="M20" s="336">
        <f ca="1">IFERROR(L20/VLOOKUP(D20,IPCA!$A$3:$D$340,4,FALSE),M19)</f>
        <v>17711.599428357506</v>
      </c>
      <c r="N20" s="333"/>
    </row>
    <row r="21" spans="2:14" ht="15" x14ac:dyDescent="0.25">
      <c r="B21" s="251"/>
      <c r="C21" s="251"/>
      <c r="D21" s="258">
        <f ca="1">IF(D20="","",
IF(D20="13º "&amp;YEAR(RESULTADOS!$C$11),"",
IF(IFERROR(EOMONTH(D20,1)&gt;PREMISSAS!$C$3,"FALSO"),
   DATE(YEAR(D20)-1,1,31),
   IF(IF(ISTEXT(D20),RIGHT(D20,4)-1=YEAR(RESULTADOS!$C$11),YEAR(D20)-1=YEAR(RESULTADOS!$C$11)),
      IF(LEFT(D20,2)="13",EOMONTH(RESULTADOS!$C$11,0),IF(MONTH(D20)=12,"13º "&amp;YEAR(D20),EOMONTH(D20,1))),
      IF(LEFT(D20,2)="13",DATE(RIGHT(D20,4)-1,1,31),IF(MONTH(D20)=12,"13º "&amp;YEAR(D20),EOMONTH(D20,1)))))))</f>
        <v>44347</v>
      </c>
      <c r="E21" s="342"/>
      <c r="F21" s="257"/>
      <c r="G21" s="251"/>
      <c r="I21" s="262">
        <f ca="1">RESULTADOS!O19</f>
        <v>38017</v>
      </c>
      <c r="J21" s="261">
        <f t="shared" ca="1" si="0"/>
        <v>0</v>
      </c>
      <c r="K21" s="333"/>
      <c r="L21" s="336">
        <f t="shared" si="1"/>
        <v>20000</v>
      </c>
      <c r="M21" s="336">
        <f ca="1">IFERROR(L21/VLOOKUP(D21,IPCA!$A$3:$D$340,4,FALSE),M20)</f>
        <v>17766.505386585421</v>
      </c>
      <c r="N21" s="333"/>
    </row>
    <row r="22" spans="2:14" ht="15" x14ac:dyDescent="0.25">
      <c r="B22" s="251"/>
      <c r="C22" s="251"/>
      <c r="D22" s="258">
        <f ca="1">IF(D21="","",
IF(D21="13º "&amp;YEAR(RESULTADOS!$C$11),"",
IF(IFERROR(EOMONTH(D21,1)&gt;PREMISSAS!$C$3,"FALSO"),
   DATE(YEAR(D21)-1,1,31),
   IF(IF(ISTEXT(D21),RIGHT(D21,4)-1=YEAR(RESULTADOS!$C$11),YEAR(D21)-1=YEAR(RESULTADOS!$C$11)),
      IF(LEFT(D21,2)="13",EOMONTH(RESULTADOS!$C$11,0),IF(MONTH(D21)=12,"13º "&amp;YEAR(D21),EOMONTH(D21,1))),
      IF(LEFT(D21,2)="13",DATE(RIGHT(D21,4)-1,1,31),IF(MONTH(D21)=12,"13º "&amp;YEAR(D21),EOMONTH(D21,1)))))))</f>
        <v>44377</v>
      </c>
      <c r="E22" s="342"/>
      <c r="F22" s="257"/>
      <c r="G22" s="251"/>
      <c r="I22" s="262">
        <f ca="1">RESULTADOS!O20</f>
        <v>38046</v>
      </c>
      <c r="J22" s="261">
        <f t="shared" ca="1" si="0"/>
        <v>0</v>
      </c>
      <c r="K22" s="333"/>
      <c r="L22" s="336">
        <f t="shared" si="1"/>
        <v>20000</v>
      </c>
      <c r="M22" s="336">
        <f ca="1">IFERROR(L22/VLOOKUP(D22,IPCA!$A$3:$D$340,4,FALSE),M21)</f>
        <v>17913.967381294075</v>
      </c>
      <c r="N22" s="333"/>
    </row>
    <row r="23" spans="2:14" ht="15" x14ac:dyDescent="0.25">
      <c r="B23" s="251"/>
      <c r="C23" s="251"/>
      <c r="D23" s="258">
        <f ca="1">IF(D22="","",
IF(D22="13º "&amp;YEAR(RESULTADOS!$C$11),"",
IF(IFERROR(EOMONTH(D22,1)&gt;PREMISSAS!$C$3,"FALSO"),
   DATE(YEAR(D22)-1,1,31),
   IF(IF(ISTEXT(D22),RIGHT(D22,4)-1=YEAR(RESULTADOS!$C$11),YEAR(D22)-1=YEAR(RESULTADOS!$C$11)),
      IF(LEFT(D22,2)="13",EOMONTH(RESULTADOS!$C$11,0),IF(MONTH(D22)=12,"13º "&amp;YEAR(D22),EOMONTH(D22,1))),
      IF(LEFT(D22,2)="13",DATE(RIGHT(D22,4)-1,1,31),IF(MONTH(D22)=12,"13º "&amp;YEAR(D22),EOMONTH(D22,1)))))))</f>
        <v>44408</v>
      </c>
      <c r="E23" s="342"/>
      <c r="F23" s="257"/>
      <c r="G23" s="251"/>
      <c r="I23" s="262">
        <f ca="1">RESULTADOS!O21</f>
        <v>38077</v>
      </c>
      <c r="J23" s="261">
        <f t="shared" ca="1" si="0"/>
        <v>0</v>
      </c>
      <c r="K23" s="333"/>
      <c r="L23" s="336">
        <f t="shared" si="1"/>
        <v>20000</v>
      </c>
      <c r="M23" s="336">
        <f ca="1">IFERROR(L23/VLOOKUP(D23,IPCA!$A$3:$D$340,4,FALSE),M22)</f>
        <v>18008.911408414933</v>
      </c>
      <c r="N23" s="333"/>
    </row>
    <row r="24" spans="2:14" ht="15" x14ac:dyDescent="0.25">
      <c r="B24" s="251"/>
      <c r="C24" s="251"/>
      <c r="D24" s="258">
        <f ca="1">IF(D23="","",
IF(D23="13º "&amp;YEAR(RESULTADOS!$C$11),"",
IF(IFERROR(EOMONTH(D23,1)&gt;PREMISSAS!$C$3,"FALSO"),
   DATE(YEAR(D23)-1,1,31),
   IF(IF(ISTEXT(D23),RIGHT(D23,4)-1=YEAR(RESULTADOS!$C$11),YEAR(D23)-1=YEAR(RESULTADOS!$C$11)),
      IF(LEFT(D23,2)="13",EOMONTH(RESULTADOS!$C$11,0),IF(MONTH(D23)=12,"13º "&amp;YEAR(D23),EOMONTH(D23,1))),
      IF(LEFT(D23,2)="13",DATE(RIGHT(D23,4)-1,1,31),IF(MONTH(D23)=12,"13º "&amp;YEAR(D23),EOMONTH(D23,1)))))))</f>
        <v>44439</v>
      </c>
      <c r="E24" s="342"/>
      <c r="F24" s="257"/>
      <c r="G24" s="251"/>
      <c r="I24" s="262">
        <f ca="1">RESULTADOS!O22</f>
        <v>38107</v>
      </c>
      <c r="J24" s="261">
        <f t="shared" ca="1" si="0"/>
        <v>0</v>
      </c>
      <c r="K24" s="333"/>
      <c r="L24" s="336">
        <f t="shared" si="1"/>
        <v>20000</v>
      </c>
      <c r="M24" s="336">
        <f ca="1">IFERROR(L24/VLOOKUP(D24,IPCA!$A$3:$D$340,4,FALSE),M23)</f>
        <v>18181.796957935716</v>
      </c>
      <c r="N24" s="333"/>
    </row>
    <row r="25" spans="2:14" ht="15" x14ac:dyDescent="0.25">
      <c r="B25" s="251"/>
      <c r="C25" s="251"/>
      <c r="D25" s="258">
        <f ca="1">IF(D24="","",
IF(D24="13º "&amp;YEAR(RESULTADOS!$C$11),"",
IF(IFERROR(EOMONTH(D24,1)&gt;PREMISSAS!$C$3,"FALSO"),
   DATE(YEAR(D24)-1,1,31),
   IF(IF(ISTEXT(D24),RIGHT(D24,4)-1=YEAR(RESULTADOS!$C$11),YEAR(D24)-1=YEAR(RESULTADOS!$C$11)),
      IF(LEFT(D24,2)="13",EOMONTH(RESULTADOS!$C$11,0),IF(MONTH(D24)=12,"13º "&amp;YEAR(D24),EOMONTH(D24,1))),
      IF(LEFT(D24,2)="13",DATE(RIGHT(D24,4)-1,1,31),IF(MONTH(D24)=12,"13º "&amp;YEAR(D24),EOMONTH(D24,1)))))))</f>
        <v>44469</v>
      </c>
      <c r="E25" s="342"/>
      <c r="F25" s="257"/>
      <c r="G25" s="251"/>
      <c r="I25" s="262">
        <f ca="1">RESULTADOS!O23</f>
        <v>38138</v>
      </c>
      <c r="J25" s="261">
        <f t="shared" ca="1" si="0"/>
        <v>0</v>
      </c>
      <c r="K25" s="333"/>
      <c r="L25" s="336">
        <f t="shared" si="1"/>
        <v>20000</v>
      </c>
      <c r="M25" s="336">
        <f ca="1">IFERROR(L25/VLOOKUP(D25,IPCA!$A$3:$D$340,4,FALSE),M24)</f>
        <v>18339.97859146976</v>
      </c>
      <c r="N25" s="333"/>
    </row>
    <row r="26" spans="2:14" ht="15" x14ac:dyDescent="0.25">
      <c r="B26" s="251"/>
      <c r="C26" s="251"/>
      <c r="D26" s="258">
        <f ca="1">IF(D25="","",
IF(D25="13º "&amp;YEAR(RESULTADOS!$C$11),"",
IF(IFERROR(EOMONTH(D25,1)&gt;PREMISSAS!$C$3,"FALSO"),
   DATE(YEAR(D25)-1,1,31),
   IF(IF(ISTEXT(D25),RIGHT(D25,4)-1=YEAR(RESULTADOS!$C$11),YEAR(D25)-1=YEAR(RESULTADOS!$C$11)),
      IF(LEFT(D25,2)="13",EOMONTH(RESULTADOS!$C$11,0),IF(MONTH(D25)=12,"13º "&amp;YEAR(D25),EOMONTH(D25,1))),
      IF(LEFT(D25,2)="13",DATE(RIGHT(D25,4)-1,1,31),IF(MONTH(D25)=12,"13º "&amp;YEAR(D25),EOMONTH(D25,1)))))))</f>
        <v>44500</v>
      </c>
      <c r="E26" s="342"/>
      <c r="F26" s="257"/>
      <c r="G26" s="251"/>
      <c r="I26" s="262">
        <f ca="1">RESULTADOS!O24</f>
        <v>38168</v>
      </c>
      <c r="J26" s="261">
        <f t="shared" ca="1" si="0"/>
        <v>0</v>
      </c>
      <c r="K26" s="333"/>
      <c r="L26" s="336">
        <f t="shared" si="1"/>
        <v>20000</v>
      </c>
      <c r="M26" s="336">
        <f ca="1">IFERROR(L26/VLOOKUP(D26,IPCA!$A$3:$D$340,4,FALSE),M25)</f>
        <v>18552.722343130808</v>
      </c>
      <c r="N26" s="333"/>
    </row>
    <row r="27" spans="2:14" ht="15" x14ac:dyDescent="0.25">
      <c r="B27" s="251"/>
      <c r="C27" s="251"/>
      <c r="D27" s="258">
        <f ca="1">IF(D26="","",
IF(D26="13º "&amp;YEAR(RESULTADOS!$C$11),"",
IF(IFERROR(EOMONTH(D26,1)&gt;PREMISSAS!$C$3,"FALSO"),
   DATE(YEAR(D26)-1,1,31),
   IF(IF(ISTEXT(D26),RIGHT(D26,4)-1=YEAR(RESULTADOS!$C$11),YEAR(D26)-1=YEAR(RESULTADOS!$C$11)),
      IF(LEFT(D26,2)="13",EOMONTH(RESULTADOS!$C$11,0),IF(MONTH(D26)=12,"13º "&amp;YEAR(D26),EOMONTH(D26,1))),
      IF(LEFT(D26,2)="13",DATE(RIGHT(D26,4)-1,1,31),IF(MONTH(D26)=12,"13º "&amp;YEAR(D26),EOMONTH(D26,1)))))))</f>
        <v>44530</v>
      </c>
      <c r="E27" s="342"/>
      <c r="F27" s="257"/>
      <c r="G27" s="251"/>
      <c r="I27" s="262">
        <f ca="1">RESULTADOS!O25</f>
        <v>38199</v>
      </c>
      <c r="J27" s="261">
        <f t="shared" ca="1" si="0"/>
        <v>0</v>
      </c>
      <c r="K27" s="333"/>
      <c r="L27" s="336">
        <f t="shared" si="1"/>
        <v>20000</v>
      </c>
      <c r="M27" s="336">
        <f ca="1">IFERROR(L27/VLOOKUP(D27,IPCA!$A$3:$D$340,4,FALSE),M26)</f>
        <v>18784.631372419943</v>
      </c>
      <c r="N27" s="333"/>
    </row>
    <row r="28" spans="2:14" ht="15" x14ac:dyDescent="0.25">
      <c r="B28" s="251"/>
      <c r="C28" s="251"/>
      <c r="D28" s="258">
        <f ca="1">IF(D27="","",
IF(D27="13º "&amp;YEAR(RESULTADOS!$C$11),"",
IF(IFERROR(EOMONTH(D27,1)&gt;PREMISSAS!$C$3,"FALSO"),
   DATE(YEAR(D27)-1,1,31),
   IF(IF(ISTEXT(D27),RIGHT(D27,4)-1=YEAR(RESULTADOS!$C$11),YEAR(D27)-1=YEAR(RESULTADOS!$C$11)),
      IF(LEFT(D27,2)="13",EOMONTH(RESULTADOS!$C$11,0),IF(MONTH(D27)=12,"13º "&amp;YEAR(D27),EOMONTH(D27,1))),
      IF(LEFT(D27,2)="13",DATE(RIGHT(D27,4)-1,1,31),IF(MONTH(D27)=12,"13º "&amp;YEAR(D27),EOMONTH(D27,1)))))))</f>
        <v>44561</v>
      </c>
      <c r="E28" s="342"/>
      <c r="F28" s="257"/>
      <c r="G28" s="251"/>
      <c r="I28" s="262">
        <f ca="1">RESULTADOS!O26</f>
        <v>38230</v>
      </c>
      <c r="J28" s="261">
        <f t="shared" ca="1" si="0"/>
        <v>0</v>
      </c>
      <c r="K28" s="333"/>
      <c r="L28" s="336">
        <f t="shared" si="1"/>
        <v>20000</v>
      </c>
      <c r="M28" s="336">
        <f ca="1">IFERROR(L28/VLOOKUP(D28,IPCA!$A$3:$D$340,4,FALSE),M27)</f>
        <v>18963.085370457931</v>
      </c>
      <c r="N28" s="333"/>
    </row>
    <row r="29" spans="2:14" ht="15" x14ac:dyDescent="0.25">
      <c r="B29" s="251"/>
      <c r="C29" s="251"/>
      <c r="D29" s="258" t="str">
        <f ca="1">IF(D28="","",
IF(D28="13º "&amp;YEAR(RESULTADOS!$C$11),"",
IF(IFERROR(EOMONTH(D28,1)&gt;PREMISSAS!$C$3,"FALSO"),
   DATE(YEAR(D28)-1,1,31),
   IF(IF(ISTEXT(D28),RIGHT(D28,4)-1=YEAR(RESULTADOS!$C$11),YEAR(D28)-1=YEAR(RESULTADOS!$C$11)),
      IF(LEFT(D28,2)="13",EOMONTH(RESULTADOS!$C$11,0),IF(MONTH(D28)=12,"13º "&amp;YEAR(D28),EOMONTH(D28,1))),
      IF(LEFT(D28,2)="13",DATE(RIGHT(D28,4)-1,1,31),IF(MONTH(D28)=12,"13º "&amp;YEAR(D28),EOMONTH(D28,1)))))))</f>
        <v>13º 2021</v>
      </c>
      <c r="E29" s="342"/>
      <c r="F29" s="257"/>
      <c r="G29" s="251"/>
      <c r="I29" s="262">
        <f ca="1">RESULTADOS!O27</f>
        <v>38260</v>
      </c>
      <c r="J29" s="261">
        <f t="shared" ca="1" si="0"/>
        <v>0</v>
      </c>
      <c r="K29" s="333"/>
      <c r="L29" s="336">
        <f t="shared" si="1"/>
        <v>20000</v>
      </c>
      <c r="M29" s="336">
        <f ca="1">IFERROR(L29/VLOOKUP(D29,IPCA!$A$3:$D$340,4,FALSE),M28)</f>
        <v>18963.085370457931</v>
      </c>
      <c r="N29" s="333"/>
    </row>
    <row r="30" spans="2:14" ht="15" x14ac:dyDescent="0.25">
      <c r="B30" s="251"/>
      <c r="C30" s="251"/>
      <c r="D30" s="258">
        <f ca="1">IF(D29="","",
IF(D29="13º "&amp;YEAR(RESULTADOS!$C$11),"",
IF(IFERROR(EOMONTH(D29,1)&gt;PREMISSAS!$C$3,"FALSO"),
   DATE(YEAR(D29)-1,1,31),
   IF(IF(ISTEXT(D29),RIGHT(D29,4)-1=YEAR(RESULTADOS!$C$11),YEAR(D29)-1=YEAR(RESULTADOS!$C$11)),
      IF(LEFT(D29,2)="13",EOMONTH(RESULTADOS!$C$11,0),IF(MONTH(D29)=12,"13º "&amp;YEAR(D29),EOMONTH(D29,1))),
      IF(LEFT(D29,2)="13",DATE(RIGHT(D29,4)-1,1,31),IF(MONTH(D29)=12,"13º "&amp;YEAR(D29),EOMONTH(D29,1)))))))</f>
        <v>43861</v>
      </c>
      <c r="E30" s="342"/>
      <c r="F30" s="257"/>
      <c r="G30" s="251"/>
      <c r="I30" s="262">
        <f ca="1">RESULTADOS!O28</f>
        <v>38291</v>
      </c>
      <c r="J30" s="261">
        <f t="shared" ca="1" si="0"/>
        <v>0</v>
      </c>
      <c r="K30" s="333"/>
      <c r="L30" s="336">
        <f t="shared" si="1"/>
        <v>20000</v>
      </c>
      <c r="M30" s="336">
        <f ca="1">IFERROR(L30/VLOOKUP(D30,IPCA!$A$3:$D$340,4,FALSE),M29)</f>
        <v>16605.264916693635</v>
      </c>
      <c r="N30" s="333"/>
    </row>
    <row r="31" spans="2:14" ht="15" x14ac:dyDescent="0.25">
      <c r="B31" s="251"/>
      <c r="C31" s="251"/>
      <c r="D31" s="258">
        <f ca="1">IF(D30="","",
IF(D30="13º "&amp;YEAR(RESULTADOS!$C$11),"",
IF(IFERROR(EOMONTH(D30,1)&gt;PREMISSAS!$C$3,"FALSO"),
   DATE(YEAR(D30)-1,1,31),
   IF(IF(ISTEXT(D30),RIGHT(D30,4)-1=YEAR(RESULTADOS!$C$11),YEAR(D30)-1=YEAR(RESULTADOS!$C$11)),
      IF(LEFT(D30,2)="13",EOMONTH(RESULTADOS!$C$11,0),IF(MONTH(D30)=12,"13º "&amp;YEAR(D30),EOMONTH(D30,1))),
      IF(LEFT(D30,2)="13",DATE(RIGHT(D30,4)-1,1,31),IF(MONTH(D30)=12,"13º "&amp;YEAR(D30),EOMONTH(D30,1)))))))</f>
        <v>43890</v>
      </c>
      <c r="E31" s="342"/>
      <c r="F31" s="257"/>
      <c r="G31" s="251"/>
      <c r="I31" s="262">
        <f ca="1">RESULTADOS!O29</f>
        <v>38321</v>
      </c>
      <c r="J31" s="261">
        <f t="shared" ca="1" si="0"/>
        <v>0</v>
      </c>
      <c r="K31" s="333"/>
      <c r="L31" s="336">
        <f t="shared" si="1"/>
        <v>20000</v>
      </c>
      <c r="M31" s="336">
        <f ca="1">IFERROR(L31/VLOOKUP(D31,IPCA!$A$3:$D$340,4,FALSE),M30)</f>
        <v>16640.135973018696</v>
      </c>
      <c r="N31" s="333"/>
    </row>
    <row r="32" spans="2:14" ht="15" x14ac:dyDescent="0.25">
      <c r="B32" s="251"/>
      <c r="C32" s="251"/>
      <c r="D32" s="258">
        <f ca="1">IF(D31="","",
IF(D31="13º "&amp;YEAR(RESULTADOS!$C$11),"",
IF(IFERROR(EOMONTH(D31,1)&gt;PREMISSAS!$C$3,"FALSO"),
   DATE(YEAR(D31)-1,1,31),
   IF(IF(ISTEXT(D31),RIGHT(D31,4)-1=YEAR(RESULTADOS!$C$11),YEAR(D31)-1=YEAR(RESULTADOS!$C$11)),
      IF(LEFT(D31,2)="13",EOMONTH(RESULTADOS!$C$11,0),IF(MONTH(D31)=12,"13º "&amp;YEAR(D31),EOMONTH(D31,1))),
      IF(LEFT(D31,2)="13",DATE(RIGHT(D31,4)-1,1,31),IF(MONTH(D31)=12,"13º "&amp;YEAR(D31),EOMONTH(D31,1)))))))</f>
        <v>43921</v>
      </c>
      <c r="E32" s="342"/>
      <c r="F32" s="257"/>
      <c r="G32" s="251"/>
      <c r="I32" s="262" t="str">
        <f ca="1">RESULTADOS!O30</f>
        <v>13º 2004</v>
      </c>
      <c r="J32" s="261">
        <f t="shared" ca="1" si="0"/>
        <v>0</v>
      </c>
      <c r="K32" s="333"/>
      <c r="L32" s="336">
        <f t="shared" si="1"/>
        <v>20000</v>
      </c>
      <c r="M32" s="336">
        <f ca="1">IFERROR(L32/VLOOKUP(D32,IPCA!$A$3:$D$340,4,FALSE),M31)</f>
        <v>16681.736312951245</v>
      </c>
      <c r="N32" s="333"/>
    </row>
    <row r="33" spans="2:14" ht="15" x14ac:dyDescent="0.25">
      <c r="B33" s="251"/>
      <c r="C33" s="251"/>
      <c r="D33" s="258">
        <f ca="1">IF(D32="","",
IF(D32="13º "&amp;YEAR(RESULTADOS!$C$11),"",
IF(IFERROR(EOMONTH(D32,1)&gt;PREMISSAS!$C$3,"FALSO"),
   DATE(YEAR(D32)-1,1,31),
   IF(IF(ISTEXT(D32),RIGHT(D32,4)-1=YEAR(RESULTADOS!$C$11),YEAR(D32)-1=YEAR(RESULTADOS!$C$11)),
      IF(LEFT(D32,2)="13",EOMONTH(RESULTADOS!$C$11,0),IF(MONTH(D32)=12,"13º "&amp;YEAR(D32),EOMONTH(D32,1))),
      IF(LEFT(D32,2)="13",DATE(RIGHT(D32,4)-1,1,31),IF(MONTH(D32)=12,"13º "&amp;YEAR(D32),EOMONTH(D32,1)))))))</f>
        <v>43951</v>
      </c>
      <c r="E33" s="342"/>
      <c r="F33" s="257"/>
      <c r="G33" s="251"/>
      <c r="I33" s="262">
        <f ca="1">RESULTADOS!O31</f>
        <v>38352</v>
      </c>
      <c r="J33" s="261">
        <f t="shared" ca="1" si="0"/>
        <v>0</v>
      </c>
      <c r="K33" s="333"/>
      <c r="L33" s="336">
        <f t="shared" si="1"/>
        <v>20000</v>
      </c>
      <c r="M33" s="336">
        <f ca="1">IFERROR(L33/VLOOKUP(D33,IPCA!$A$3:$D$340,4,FALSE),M32)</f>
        <v>16693.413528370311</v>
      </c>
      <c r="N33" s="333"/>
    </row>
    <row r="34" spans="2:14" ht="15" x14ac:dyDescent="0.25">
      <c r="B34" s="251"/>
      <c r="C34" s="251"/>
      <c r="D34" s="258">
        <f ca="1">IF(D33="","",
IF(D33="13º "&amp;YEAR(RESULTADOS!$C$11),"",
IF(IFERROR(EOMONTH(D33,1)&gt;PREMISSAS!$C$3,"FALSO"),
   DATE(YEAR(D33)-1,1,31),
   IF(IF(ISTEXT(D33),RIGHT(D33,4)-1=YEAR(RESULTADOS!$C$11),YEAR(D33)-1=YEAR(RESULTADOS!$C$11)),
      IF(LEFT(D33,2)="13",EOMONTH(RESULTADOS!$C$11,0),IF(MONTH(D33)=12,"13º "&amp;YEAR(D33),EOMONTH(D33,1))),
      IF(LEFT(D33,2)="13",DATE(RIGHT(D33,4)-1,1,31),IF(MONTH(D33)=12,"13º "&amp;YEAR(D33),EOMONTH(D33,1)))))))</f>
        <v>43982</v>
      </c>
      <c r="E34" s="342"/>
      <c r="F34" s="257"/>
      <c r="G34" s="251"/>
      <c r="I34" s="262">
        <f ca="1">RESULTADOS!O32</f>
        <v>38383</v>
      </c>
      <c r="J34" s="261">
        <f t="shared" ca="1" si="0"/>
        <v>0</v>
      </c>
      <c r="K34" s="333"/>
      <c r="L34" s="336">
        <f t="shared" si="1"/>
        <v>20000</v>
      </c>
      <c r="M34" s="336">
        <f ca="1">IFERROR(L34/VLOOKUP(D34,IPCA!$A$3:$D$340,4,FALSE),M33)</f>
        <v>16641.663946432356</v>
      </c>
      <c r="N34" s="333"/>
    </row>
    <row r="35" spans="2:14" ht="15" x14ac:dyDescent="0.25">
      <c r="B35" s="251"/>
      <c r="C35" s="251"/>
      <c r="D35" s="258">
        <f ca="1">IF(D34="","",
IF(D34="13º "&amp;YEAR(RESULTADOS!$C$11),"",
IF(IFERROR(EOMONTH(D34,1)&gt;PREMISSAS!$C$3,"FALSO"),
   DATE(YEAR(D34)-1,1,31),
   IF(IF(ISTEXT(D34),RIGHT(D34,4)-1=YEAR(RESULTADOS!$C$11),YEAR(D34)-1=YEAR(RESULTADOS!$C$11)),
      IF(LEFT(D34,2)="13",EOMONTH(RESULTADOS!$C$11,0),IF(MONTH(D34)=12,"13º "&amp;YEAR(D34),EOMONTH(D34,1))),
      IF(LEFT(D34,2)="13",DATE(RIGHT(D34,4)-1,1,31),IF(MONTH(D34)=12,"13º "&amp;YEAR(D34),EOMONTH(D34,1)))))))</f>
        <v>44012</v>
      </c>
      <c r="E35" s="342"/>
      <c r="F35" s="257"/>
      <c r="G35" s="251"/>
      <c r="I35" s="262">
        <f ca="1">RESULTADOS!O33</f>
        <v>38411</v>
      </c>
      <c r="J35" s="261">
        <f t="shared" ca="1" si="0"/>
        <v>0</v>
      </c>
      <c r="K35" s="333"/>
      <c r="L35" s="336">
        <f t="shared" si="1"/>
        <v>20000</v>
      </c>
      <c r="M35" s="336">
        <f ca="1">IFERROR(L35/VLOOKUP(D35,IPCA!$A$3:$D$340,4,FALSE),M34)</f>
        <v>16578.42562343592</v>
      </c>
      <c r="N35" s="333"/>
    </row>
    <row r="36" spans="2:14" ht="15" x14ac:dyDescent="0.25">
      <c r="B36" s="251"/>
      <c r="C36" s="251"/>
      <c r="D36" s="258">
        <f ca="1">IF(D35="","",
IF(D35="13º "&amp;YEAR(RESULTADOS!$C$11),"",
IF(IFERROR(EOMONTH(D35,1)&gt;PREMISSAS!$C$3,"FALSO"),
   DATE(YEAR(D35)-1,1,31),
   IF(IF(ISTEXT(D35),RIGHT(D35,4)-1=YEAR(RESULTADOS!$C$11),YEAR(D35)-1=YEAR(RESULTADOS!$C$11)),
      IF(LEFT(D35,2)="13",EOMONTH(RESULTADOS!$C$11,0),IF(MONTH(D35)=12,"13º "&amp;YEAR(D35),EOMONTH(D35,1))),
      IF(LEFT(D35,2)="13",DATE(RIGHT(D35,4)-1,1,31),IF(MONTH(D35)=12,"13º "&amp;YEAR(D35),EOMONTH(D35,1)))))))</f>
        <v>44043</v>
      </c>
      <c r="E36" s="342"/>
      <c r="F36" s="257"/>
      <c r="G36" s="251"/>
      <c r="I36" s="262">
        <f ca="1">RESULTADOS!O34</f>
        <v>38442</v>
      </c>
      <c r="J36" s="261">
        <f t="shared" ca="1" si="0"/>
        <v>0</v>
      </c>
      <c r="K36" s="333"/>
      <c r="L36" s="336">
        <f t="shared" si="1"/>
        <v>20000</v>
      </c>
      <c r="M36" s="336">
        <f ca="1">IFERROR(L36/VLOOKUP(D36,IPCA!$A$3:$D$340,4,FALSE),M35)</f>
        <v>16621.529530056854</v>
      </c>
      <c r="N36" s="333"/>
    </row>
    <row r="37" spans="2:14" ht="15" x14ac:dyDescent="0.25">
      <c r="B37" s="251"/>
      <c r="C37" s="251"/>
      <c r="D37" s="258">
        <f ca="1">IF(D36="","",
IF(D36="13º "&amp;YEAR(RESULTADOS!$C$11),"",
IF(IFERROR(EOMONTH(D36,1)&gt;PREMISSAS!$C$3,"FALSO"),
   DATE(YEAR(D36)-1,1,31),
   IF(IF(ISTEXT(D36),RIGHT(D36,4)-1=YEAR(RESULTADOS!$C$11),YEAR(D36)-1=YEAR(RESULTADOS!$C$11)),
      IF(LEFT(D36,2)="13",EOMONTH(RESULTADOS!$C$11,0),IF(MONTH(D36)=12,"13º "&amp;YEAR(D36),EOMONTH(D36,1))),
      IF(LEFT(D36,2)="13",DATE(RIGHT(D36,4)-1,1,31),IF(MONTH(D36)=12,"13º "&amp;YEAR(D36),EOMONTH(D36,1)))))))</f>
        <v>44074</v>
      </c>
      <c r="E37" s="342"/>
      <c r="F37" s="257"/>
      <c r="G37" s="251"/>
      <c r="I37" s="262">
        <f ca="1">RESULTADOS!O35</f>
        <v>38472</v>
      </c>
      <c r="J37" s="261">
        <f t="shared" ca="1" si="0"/>
        <v>0</v>
      </c>
      <c r="K37" s="333"/>
      <c r="L37" s="336">
        <f t="shared" si="1"/>
        <v>20000</v>
      </c>
      <c r="M37" s="336">
        <f ca="1">IFERROR(L37/VLOOKUP(D37,IPCA!$A$3:$D$340,4,FALSE),M36)</f>
        <v>16681.367036365056</v>
      </c>
      <c r="N37" s="333"/>
    </row>
    <row r="38" spans="2:14" ht="15" x14ac:dyDescent="0.25">
      <c r="B38" s="251"/>
      <c r="C38" s="251"/>
      <c r="D38" s="258">
        <f ca="1">IF(D37="","",
IF(D37="13º "&amp;YEAR(RESULTADOS!$C$11),"",
IF(IFERROR(EOMONTH(D37,1)&gt;PREMISSAS!$C$3,"FALSO"),
   DATE(YEAR(D37)-1,1,31),
   IF(IF(ISTEXT(D37),RIGHT(D37,4)-1=YEAR(RESULTADOS!$C$11),YEAR(D37)-1=YEAR(RESULTADOS!$C$11)),
      IF(LEFT(D37,2)="13",EOMONTH(RESULTADOS!$C$11,0),IF(MONTH(D37)=12,"13º "&amp;YEAR(D37),EOMONTH(D37,1))),
      IF(LEFT(D37,2)="13",DATE(RIGHT(D37,4)-1,1,31),IF(MONTH(D37)=12,"13º "&amp;YEAR(D37),EOMONTH(D37,1)))))))</f>
        <v>44104</v>
      </c>
      <c r="E38" s="342"/>
      <c r="F38" s="257"/>
      <c r="G38" s="251"/>
      <c r="I38" s="262">
        <f ca="1">RESULTADOS!O36</f>
        <v>38503</v>
      </c>
      <c r="J38" s="261">
        <f t="shared" ca="1" si="0"/>
        <v>0</v>
      </c>
      <c r="K38" s="333"/>
      <c r="L38" s="336">
        <f t="shared" si="1"/>
        <v>20000</v>
      </c>
      <c r="M38" s="336">
        <f ca="1">IFERROR(L38/VLOOKUP(D38,IPCA!$A$3:$D$340,4,FALSE),M37)</f>
        <v>16721.402317252334</v>
      </c>
      <c r="N38" s="333"/>
    </row>
    <row r="39" spans="2:14" ht="15" x14ac:dyDescent="0.25">
      <c r="B39" s="251"/>
      <c r="C39" s="251"/>
      <c r="D39" s="258">
        <f ca="1">IF(D38="","",
IF(D38="13º "&amp;YEAR(RESULTADOS!$C$11),"",
IF(IFERROR(EOMONTH(D38,1)&gt;PREMISSAS!$C$3,"FALSO"),
   DATE(YEAR(D38)-1,1,31),
   IF(IF(ISTEXT(D38),RIGHT(D38,4)-1=YEAR(RESULTADOS!$C$11),YEAR(D38)-1=YEAR(RESULTADOS!$C$11)),
      IF(LEFT(D38,2)="13",EOMONTH(RESULTADOS!$C$11,0),IF(MONTH(D38)=12,"13º "&amp;YEAR(D38),EOMONTH(D38,1))),
      IF(LEFT(D38,2)="13",DATE(RIGHT(D38,4)-1,1,31),IF(MONTH(D38)=12,"13º "&amp;YEAR(D38),EOMONTH(D38,1)))))))</f>
        <v>44135</v>
      </c>
      <c r="E39" s="342"/>
      <c r="F39" s="257"/>
      <c r="G39" s="251"/>
      <c r="I39" s="262">
        <f ca="1">RESULTADOS!O37</f>
        <v>38533</v>
      </c>
      <c r="J39" s="261">
        <f t="shared" ca="1" si="0"/>
        <v>0</v>
      </c>
      <c r="K39" s="333"/>
      <c r="L39" s="336">
        <f t="shared" si="1"/>
        <v>20000</v>
      </c>
      <c r="M39" s="336">
        <f ca="1">IFERROR(L39/VLOOKUP(D39,IPCA!$A$3:$D$340,4,FALSE),M38)</f>
        <v>16828.419292082748</v>
      </c>
      <c r="N39" s="333"/>
    </row>
    <row r="40" spans="2:14" ht="15" x14ac:dyDescent="0.25">
      <c r="B40" s="251"/>
      <c r="C40" s="251"/>
      <c r="D40" s="258">
        <f ca="1">IF(D39="","",
IF(D39="13º "&amp;YEAR(RESULTADOS!$C$11),"",
IF(IFERROR(EOMONTH(D39,1)&gt;PREMISSAS!$C$3,"FALSO"),
   DATE(YEAR(D39)-1,1,31),
   IF(IF(ISTEXT(D39),RIGHT(D39,4)-1=YEAR(RESULTADOS!$C$11),YEAR(D39)-1=YEAR(RESULTADOS!$C$11)),
      IF(LEFT(D39,2)="13",EOMONTH(RESULTADOS!$C$11,0),IF(MONTH(D39)=12,"13º "&amp;YEAR(D39),EOMONTH(D39,1))),
      IF(LEFT(D39,2)="13",DATE(RIGHT(D39,4)-1,1,31),IF(MONTH(D39)=12,"13º "&amp;YEAR(D39),EOMONTH(D39,1)))))))</f>
        <v>44165</v>
      </c>
      <c r="E40" s="342"/>
      <c r="F40" s="257"/>
      <c r="G40" s="251"/>
      <c r="I40" s="262">
        <f ca="1">RESULTADOS!O38</f>
        <v>38564</v>
      </c>
      <c r="J40" s="261">
        <f t="shared" ca="1" si="0"/>
        <v>0</v>
      </c>
      <c r="K40" s="333"/>
      <c r="L40" s="336">
        <f t="shared" si="1"/>
        <v>20000</v>
      </c>
      <c r="M40" s="336">
        <f ca="1">IFERROR(L40/VLOOKUP(D40,IPCA!$A$3:$D$340,4,FALSE),M39)</f>
        <v>16973.143697994663</v>
      </c>
      <c r="N40" s="333"/>
    </row>
    <row r="41" spans="2:14" ht="15" x14ac:dyDescent="0.25">
      <c r="B41" s="251"/>
      <c r="C41" s="251"/>
      <c r="D41" s="258">
        <f ca="1">IF(D40="","",
IF(D40="13º "&amp;YEAR(RESULTADOS!$C$11),"",
IF(IFERROR(EOMONTH(D40,1)&gt;PREMISSAS!$C$3,"FALSO"),
   DATE(YEAR(D40)-1,1,31),
   IF(IF(ISTEXT(D40),RIGHT(D40,4)-1=YEAR(RESULTADOS!$C$11),YEAR(D40)-1=YEAR(RESULTADOS!$C$11)),
      IF(LEFT(D40,2)="13",EOMONTH(RESULTADOS!$C$11,0),IF(MONTH(D40)=12,"13º "&amp;YEAR(D40),EOMONTH(D40,1))),
      IF(LEFT(D40,2)="13",DATE(RIGHT(D40,4)-1,1,31),IF(MONTH(D40)=12,"13º "&amp;YEAR(D40),EOMONTH(D40,1)))))))</f>
        <v>44196</v>
      </c>
      <c r="E41" s="342"/>
      <c r="F41" s="257"/>
      <c r="G41" s="251"/>
      <c r="I41" s="262">
        <f ca="1">RESULTADOS!O39</f>
        <v>38595</v>
      </c>
      <c r="J41" s="261">
        <f t="shared" ca="1" si="0"/>
        <v>0</v>
      </c>
      <c r="K41" s="333"/>
      <c r="L41" s="336">
        <f t="shared" si="1"/>
        <v>20000</v>
      </c>
      <c r="M41" s="336">
        <f ca="1">IFERROR(L41/VLOOKUP(D41,IPCA!$A$3:$D$340,4,FALSE),M40)</f>
        <v>17124.204676906797</v>
      </c>
      <c r="N41" s="333"/>
    </row>
    <row r="42" spans="2:14" ht="15" x14ac:dyDescent="0.25">
      <c r="B42" s="251"/>
      <c r="C42" s="251"/>
      <c r="D42" s="258" t="str">
        <f ca="1">IF(D41="","",
IF(D41="13º "&amp;YEAR(RESULTADOS!$C$11),"",
IF(IFERROR(EOMONTH(D41,1)&gt;PREMISSAS!$C$3,"FALSO"),
   DATE(YEAR(D41)-1,1,31),
   IF(IF(ISTEXT(D41),RIGHT(D41,4)-1=YEAR(RESULTADOS!$C$11),YEAR(D41)-1=YEAR(RESULTADOS!$C$11)),
      IF(LEFT(D41,2)="13",EOMONTH(RESULTADOS!$C$11,0),IF(MONTH(D41)=12,"13º "&amp;YEAR(D41),EOMONTH(D41,1))),
      IF(LEFT(D41,2)="13",DATE(RIGHT(D41,4)-1,1,31),IF(MONTH(D41)=12,"13º "&amp;YEAR(D41),EOMONTH(D41,1)))))))</f>
        <v>13º 2020</v>
      </c>
      <c r="E42" s="342"/>
      <c r="F42" s="257"/>
      <c r="G42" s="251"/>
      <c r="I42" s="262">
        <f ca="1">RESULTADOS!O40</f>
        <v>38625</v>
      </c>
      <c r="J42" s="261">
        <f t="shared" ca="1" si="0"/>
        <v>0</v>
      </c>
      <c r="K42" s="333"/>
      <c r="L42" s="336">
        <f t="shared" si="1"/>
        <v>20000</v>
      </c>
      <c r="M42" s="336">
        <f ca="1">IFERROR(L42/VLOOKUP(D42,IPCA!$A$3:$D$340,4,FALSE),M41)</f>
        <v>17124.204676906797</v>
      </c>
      <c r="N42" s="333"/>
    </row>
    <row r="43" spans="2:14" ht="15" x14ac:dyDescent="0.25">
      <c r="B43" s="251"/>
      <c r="C43" s="251"/>
      <c r="D43" s="258">
        <f ca="1">IF(D42="","",
IF(D42="13º "&amp;YEAR(RESULTADOS!$C$11),"",
IF(IFERROR(EOMONTH(D42,1)&gt;PREMISSAS!$C$3,"FALSO"),
   DATE(YEAR(D42)-1,1,31),
   IF(IF(ISTEXT(D42),RIGHT(D42,4)-1=YEAR(RESULTADOS!$C$11),YEAR(D42)-1=YEAR(RESULTADOS!$C$11)),
      IF(LEFT(D42,2)="13",EOMONTH(RESULTADOS!$C$11,0),IF(MONTH(D42)=12,"13º "&amp;YEAR(D42),EOMONTH(D42,1))),
      IF(LEFT(D42,2)="13",DATE(RIGHT(D42,4)-1,1,31),IF(MONTH(D42)=12,"13º "&amp;YEAR(D42),EOMONTH(D42,1)))))))</f>
        <v>43496</v>
      </c>
      <c r="E43" s="342"/>
      <c r="F43" s="257"/>
      <c r="G43" s="251"/>
      <c r="I43" s="262">
        <f ca="1">RESULTADOS!O41</f>
        <v>38656</v>
      </c>
      <c r="J43" s="261">
        <f t="shared" ca="1" si="0"/>
        <v>0</v>
      </c>
      <c r="K43" s="333"/>
      <c r="L43" s="336">
        <f t="shared" si="1"/>
        <v>20000</v>
      </c>
      <c r="M43" s="336">
        <f ca="1">IFERROR(L43/VLOOKUP(D43,IPCA!$A$3:$D$340,4,FALSE),M42)</f>
        <v>15919.75394638967</v>
      </c>
      <c r="N43" s="333"/>
    </row>
    <row r="44" spans="2:14" ht="15" x14ac:dyDescent="0.25">
      <c r="B44" s="251"/>
      <c r="C44" s="251"/>
      <c r="D44" s="258">
        <f ca="1">IF(D43="","",
IF(D43="13º "&amp;YEAR(RESULTADOS!$C$11),"",
IF(IFERROR(EOMONTH(D43,1)&gt;PREMISSAS!$C$3,"FALSO"),
   DATE(YEAR(D43)-1,1,31),
   IF(IF(ISTEXT(D43),RIGHT(D43,4)-1=YEAR(RESULTADOS!$C$11),YEAR(D43)-1=YEAR(RESULTADOS!$C$11)),
      IF(LEFT(D43,2)="13",EOMONTH(RESULTADOS!$C$11,0),IF(MONTH(D43)=12,"13º "&amp;YEAR(D43),EOMONTH(D43,1))),
      IF(LEFT(D43,2)="13",DATE(RIGHT(D43,4)-1,1,31),IF(MONTH(D43)=12,"13º "&amp;YEAR(D43),EOMONTH(D43,1)))))))</f>
        <v>43524</v>
      </c>
      <c r="E44" s="342"/>
      <c r="F44" s="257"/>
      <c r="G44" s="251"/>
      <c r="I44" s="262">
        <f ca="1">RESULTADOS!O42</f>
        <v>38686</v>
      </c>
      <c r="J44" s="261">
        <f t="shared" ca="1" si="0"/>
        <v>0</v>
      </c>
      <c r="K44" s="333"/>
      <c r="L44" s="336">
        <f t="shared" si="1"/>
        <v>20000</v>
      </c>
      <c r="M44" s="336">
        <f ca="1">IFERROR(L44/VLOOKUP(D44,IPCA!$A$3:$D$340,4,FALSE),M43)</f>
        <v>15970.697159018111</v>
      </c>
      <c r="N44" s="333"/>
    </row>
    <row r="45" spans="2:14" ht="15" x14ac:dyDescent="0.25">
      <c r="B45" s="251"/>
      <c r="C45" s="251"/>
      <c r="D45" s="258">
        <f ca="1">IF(D44="","",
IF(D44="13º "&amp;YEAR(RESULTADOS!$C$11),"",
IF(IFERROR(EOMONTH(D44,1)&gt;PREMISSAS!$C$3,"FALSO"),
   DATE(YEAR(D44)-1,1,31),
   IF(IF(ISTEXT(D44),RIGHT(D44,4)-1=YEAR(RESULTADOS!$C$11),YEAR(D44)-1=YEAR(RESULTADOS!$C$11)),
      IF(LEFT(D44,2)="13",EOMONTH(RESULTADOS!$C$11,0),IF(MONTH(D44)=12,"13º "&amp;YEAR(D44),EOMONTH(D44,1))),
      IF(LEFT(D44,2)="13",DATE(RIGHT(D44,4)-1,1,31),IF(MONTH(D44)=12,"13º "&amp;YEAR(D44),EOMONTH(D44,1)))))))</f>
        <v>43555</v>
      </c>
      <c r="E45" s="342"/>
      <c r="F45" s="257"/>
      <c r="G45" s="251"/>
      <c r="I45" s="262" t="str">
        <f ca="1">RESULTADOS!O43</f>
        <v>13º 2005</v>
      </c>
      <c r="J45" s="261">
        <f t="shared" ca="1" si="0"/>
        <v>0</v>
      </c>
      <c r="K45" s="333"/>
      <c r="L45" s="336">
        <f t="shared" si="1"/>
        <v>20000</v>
      </c>
      <c r="M45" s="336">
        <f ca="1">IFERROR(L45/VLOOKUP(D45,IPCA!$A$3:$D$340,4,FALSE),M44)</f>
        <v>16039.371156801899</v>
      </c>
      <c r="N45" s="333"/>
    </row>
    <row r="46" spans="2:14" ht="15" x14ac:dyDescent="0.25">
      <c r="B46" s="251"/>
      <c r="C46" s="251"/>
      <c r="D46" s="258">
        <f ca="1">IF(D45="","",
IF(D45="13º "&amp;YEAR(RESULTADOS!$C$11),"",
IF(IFERROR(EOMONTH(D45,1)&gt;PREMISSAS!$C$3,"FALSO"),
   DATE(YEAR(D45)-1,1,31),
   IF(IF(ISTEXT(D45),RIGHT(D45,4)-1=YEAR(RESULTADOS!$C$11),YEAR(D45)-1=YEAR(RESULTADOS!$C$11)),
      IF(LEFT(D45,2)="13",EOMONTH(RESULTADOS!$C$11,0),IF(MONTH(D45)=12,"13º "&amp;YEAR(D45),EOMONTH(D45,1))),
      IF(LEFT(D45,2)="13",DATE(RIGHT(D45,4)-1,1,31),IF(MONTH(D45)=12,"13º "&amp;YEAR(D45),EOMONTH(D45,1)))))))</f>
        <v>43585</v>
      </c>
      <c r="E46" s="342"/>
      <c r="F46" s="257"/>
      <c r="G46" s="251"/>
      <c r="I46" s="262">
        <f ca="1">RESULTADOS!O44</f>
        <v>38717</v>
      </c>
      <c r="J46" s="261">
        <f t="shared" ca="1" si="0"/>
        <v>0</v>
      </c>
      <c r="K46" s="333"/>
      <c r="L46" s="336">
        <f t="shared" si="1"/>
        <v>20000</v>
      </c>
      <c r="M46" s="336">
        <f ca="1">IFERROR(L46/VLOOKUP(D46,IPCA!$A$3:$D$340,4,FALSE),M45)</f>
        <v>16159.666440477913</v>
      </c>
      <c r="N46" s="333"/>
    </row>
    <row r="47" spans="2:14" ht="15" x14ac:dyDescent="0.25">
      <c r="B47" s="251"/>
      <c r="C47" s="251"/>
      <c r="D47" s="258">
        <f ca="1">IF(D46="","",
IF(D46="13º "&amp;YEAR(RESULTADOS!$C$11),"",
IF(IFERROR(EOMONTH(D46,1)&gt;PREMISSAS!$C$3,"FALSO"),
   DATE(YEAR(D46)-1,1,31),
   IF(IF(ISTEXT(D46),RIGHT(D46,4)-1=YEAR(RESULTADOS!$C$11),YEAR(D46)-1=YEAR(RESULTADOS!$C$11)),
      IF(LEFT(D46,2)="13",EOMONTH(RESULTADOS!$C$11,0),IF(MONTH(D46)=12,"13º "&amp;YEAR(D46),EOMONTH(D46,1))),
      IF(LEFT(D46,2)="13",DATE(RIGHT(D46,4)-1,1,31),IF(MONTH(D46)=12,"13º "&amp;YEAR(D46),EOMONTH(D46,1)))))))</f>
        <v>43616</v>
      </c>
      <c r="E47" s="342"/>
      <c r="F47" s="257"/>
      <c r="G47" s="251"/>
      <c r="I47" s="262">
        <f ca="1">RESULTADOS!O45</f>
        <v>38748</v>
      </c>
      <c r="J47" s="261">
        <f t="shared" ca="1" si="0"/>
        <v>0</v>
      </c>
      <c r="K47" s="333"/>
      <c r="L47" s="336">
        <f t="shared" si="1"/>
        <v>20000</v>
      </c>
      <c r="M47" s="336">
        <f ca="1">IFERROR(L47/VLOOKUP(D47,IPCA!$A$3:$D$340,4,FALSE),M46)</f>
        <v>16251.776539188626</v>
      </c>
      <c r="N47" s="333"/>
    </row>
    <row r="48" spans="2:14" ht="15" x14ac:dyDescent="0.25">
      <c r="B48" s="251"/>
      <c r="C48" s="251"/>
      <c r="D48" s="258">
        <f ca="1">IF(D47="","",
IF(D47="13º "&amp;YEAR(RESULTADOS!$C$11),"",
IF(IFERROR(EOMONTH(D47,1)&gt;PREMISSAS!$C$3,"FALSO"),
   DATE(YEAR(D47)-1,1,31),
   IF(IF(ISTEXT(D47),RIGHT(D47,4)-1=YEAR(RESULTADOS!$C$11),YEAR(D47)-1=YEAR(RESULTADOS!$C$11)),
      IF(LEFT(D47,2)="13",EOMONTH(RESULTADOS!$C$11,0),IF(MONTH(D47)=12,"13º "&amp;YEAR(D47),EOMONTH(D47,1))),
      IF(LEFT(D47,2)="13",DATE(RIGHT(D47,4)-1,1,31),IF(MONTH(D47)=12,"13º "&amp;YEAR(D47),EOMONTH(D47,1)))))))</f>
        <v>43646</v>
      </c>
      <c r="E48" s="342"/>
      <c r="F48" s="257"/>
      <c r="G48" s="251"/>
      <c r="I48" s="262">
        <f ca="1">RESULTADOS!O46</f>
        <v>38776</v>
      </c>
      <c r="J48" s="261">
        <f t="shared" ca="1" si="0"/>
        <v>0</v>
      </c>
      <c r="K48" s="333"/>
      <c r="L48" s="336">
        <f t="shared" si="1"/>
        <v>20000</v>
      </c>
      <c r="M48" s="336">
        <f ca="1">IFERROR(L48/VLOOKUP(D48,IPCA!$A$3:$D$340,4,FALSE),M47)</f>
        <v>16272.903848689584</v>
      </c>
      <c r="N48" s="333"/>
    </row>
    <row r="49" spans="2:14" ht="15" x14ac:dyDescent="0.25">
      <c r="B49" s="251"/>
      <c r="C49" s="251"/>
      <c r="D49" s="258">
        <f ca="1">IF(D48="","",
IF(D48="13º "&amp;YEAR(RESULTADOS!$C$11),"",
IF(IFERROR(EOMONTH(D48,1)&gt;PREMISSAS!$C$3,"FALSO"),
   DATE(YEAR(D48)-1,1,31),
   IF(IF(ISTEXT(D48),RIGHT(D48,4)-1=YEAR(RESULTADOS!$C$11),YEAR(D48)-1=YEAR(RESULTADOS!$C$11)),
      IF(LEFT(D48,2)="13",EOMONTH(RESULTADOS!$C$11,0),IF(MONTH(D48)=12,"13º "&amp;YEAR(D48),EOMONTH(D48,1))),
      IF(LEFT(D48,2)="13",DATE(RIGHT(D48,4)-1,1,31),IF(MONTH(D48)=12,"13º "&amp;YEAR(D48),EOMONTH(D48,1)))))))</f>
        <v>43677</v>
      </c>
      <c r="E49" s="342"/>
      <c r="F49" s="257"/>
      <c r="G49" s="251"/>
      <c r="I49" s="262">
        <f ca="1">RESULTADOS!O47</f>
        <v>38807</v>
      </c>
      <c r="J49" s="261">
        <f t="shared" ca="1" si="0"/>
        <v>0</v>
      </c>
      <c r="K49" s="333"/>
      <c r="L49" s="336">
        <f t="shared" si="1"/>
        <v>20000</v>
      </c>
      <c r="M49" s="336">
        <f ca="1">IFERROR(L49/VLOOKUP(D49,IPCA!$A$3:$D$340,4,FALSE),M48)</f>
        <v>16274.531139074457</v>
      </c>
      <c r="N49" s="333"/>
    </row>
    <row r="50" spans="2:14" ht="15" x14ac:dyDescent="0.25">
      <c r="B50" s="251"/>
      <c r="C50" s="251"/>
      <c r="D50" s="258">
        <f ca="1">IF(D49="","",
IF(D49="13º "&amp;YEAR(RESULTADOS!$C$11),"",
IF(IFERROR(EOMONTH(D49,1)&gt;PREMISSAS!$C$3,"FALSO"),
   DATE(YEAR(D49)-1,1,31),
   IF(IF(ISTEXT(D49),RIGHT(D49,4)-1=YEAR(RESULTADOS!$C$11),YEAR(D49)-1=YEAR(RESULTADOS!$C$11)),
      IF(LEFT(D49,2)="13",EOMONTH(RESULTADOS!$C$11,0),IF(MONTH(D49)=12,"13º "&amp;YEAR(D49),EOMONTH(D49,1))),
      IF(LEFT(D49,2)="13",DATE(RIGHT(D49,4)-1,1,31),IF(MONTH(D49)=12,"13º "&amp;YEAR(D49),EOMONTH(D49,1)))))))</f>
        <v>43708</v>
      </c>
      <c r="E50" s="342"/>
      <c r="F50" s="257"/>
      <c r="G50" s="251"/>
      <c r="I50" s="262">
        <f ca="1">RESULTADOS!O48</f>
        <v>38837</v>
      </c>
      <c r="J50" s="261">
        <f t="shared" ca="1" si="0"/>
        <v>0</v>
      </c>
      <c r="K50" s="333"/>
      <c r="L50" s="336">
        <f t="shared" si="1"/>
        <v>20000</v>
      </c>
      <c r="M50" s="336">
        <f ca="1">IFERROR(L50/VLOOKUP(D50,IPCA!$A$3:$D$340,4,FALSE),M49)</f>
        <v>16305.452748238695</v>
      </c>
      <c r="N50" s="333"/>
    </row>
    <row r="51" spans="2:14" ht="15" x14ac:dyDescent="0.25">
      <c r="B51" s="251"/>
      <c r="C51" s="251"/>
      <c r="D51" s="258">
        <f ca="1">IF(D50="","",
IF(D50="13º "&amp;YEAR(RESULTADOS!$C$11),"",
IF(IFERROR(EOMONTH(D50,1)&gt;PREMISSAS!$C$3,"FALSO"),
   DATE(YEAR(D50)-1,1,31),
   IF(IF(ISTEXT(D50),RIGHT(D50,4)-1=YEAR(RESULTADOS!$C$11),YEAR(D50)-1=YEAR(RESULTADOS!$C$11)),
      IF(LEFT(D50,2)="13",EOMONTH(RESULTADOS!$C$11,0),IF(MONTH(D50)=12,"13º "&amp;YEAR(D50),EOMONTH(D50,1))),
      IF(LEFT(D50,2)="13",DATE(RIGHT(D50,4)-1,1,31),IF(MONTH(D50)=12,"13º "&amp;YEAR(D50),EOMONTH(D50,1)))))))</f>
        <v>43738</v>
      </c>
      <c r="E51" s="342"/>
      <c r="F51" s="257"/>
      <c r="G51" s="251"/>
      <c r="I51" s="262">
        <f ca="1">RESULTADOS!O49</f>
        <v>38868</v>
      </c>
      <c r="J51" s="261">
        <f t="shared" ca="1" si="0"/>
        <v>0</v>
      </c>
      <c r="K51" s="333"/>
      <c r="L51" s="336">
        <f t="shared" si="1"/>
        <v>20000</v>
      </c>
      <c r="M51" s="336">
        <f ca="1">IFERROR(L51/VLOOKUP(D51,IPCA!$A$3:$D$340,4,FALSE),M50)</f>
        <v>16323.388746261755</v>
      </c>
      <c r="N51" s="333"/>
    </row>
    <row r="52" spans="2:14" ht="15" x14ac:dyDescent="0.25">
      <c r="B52" s="251"/>
      <c r="C52" s="251"/>
      <c r="D52" s="258">
        <f ca="1">IF(D51="","",
IF(D51="13º "&amp;YEAR(RESULTADOS!$C$11),"",
IF(IFERROR(EOMONTH(D51,1)&gt;PREMISSAS!$C$3,"FALSO"),
   DATE(YEAR(D51)-1,1,31),
   IF(IF(ISTEXT(D51),RIGHT(D51,4)-1=YEAR(RESULTADOS!$C$11),YEAR(D51)-1=YEAR(RESULTADOS!$C$11)),
      IF(LEFT(D51,2)="13",EOMONTH(RESULTADOS!$C$11,0),IF(MONTH(D51)=12,"13º "&amp;YEAR(D51),EOMONTH(D51,1))),
      IF(LEFT(D51,2)="13",DATE(RIGHT(D51,4)-1,1,31),IF(MONTH(D51)=12,"13º "&amp;YEAR(D51),EOMONTH(D51,1)))))))</f>
        <v>43769</v>
      </c>
      <c r="E52" s="342"/>
      <c r="F52" s="257"/>
      <c r="G52" s="251"/>
      <c r="I52" s="262">
        <f ca="1">RESULTADOS!O50</f>
        <v>38898</v>
      </c>
      <c r="J52" s="261">
        <f t="shared" ca="1" si="0"/>
        <v>0</v>
      </c>
      <c r="K52" s="333"/>
      <c r="L52" s="336">
        <f t="shared" si="1"/>
        <v>20000</v>
      </c>
      <c r="M52" s="336">
        <f ca="1">IFERROR(L52/VLOOKUP(D52,IPCA!$A$3:$D$340,4,FALSE),M51)</f>
        <v>16316.859390763244</v>
      </c>
      <c r="N52" s="333"/>
    </row>
    <row r="53" spans="2:14" ht="15" x14ac:dyDescent="0.25">
      <c r="B53" s="251"/>
      <c r="C53" s="251"/>
      <c r="D53" s="258">
        <f ca="1">IF(D52="","",
IF(D52="13º "&amp;YEAR(RESULTADOS!$C$11),"",
IF(IFERROR(EOMONTH(D52,1)&gt;PREMISSAS!$C$3,"FALSO"),
   DATE(YEAR(D52)-1,1,31),
   IF(IF(ISTEXT(D52),RIGHT(D52,4)-1=YEAR(RESULTADOS!$C$11),YEAR(D52)-1=YEAR(RESULTADOS!$C$11)),
      IF(LEFT(D52,2)="13",EOMONTH(RESULTADOS!$C$11,0),IF(MONTH(D52)=12,"13º "&amp;YEAR(D52),EOMONTH(D52,1))),
      IF(LEFT(D52,2)="13",DATE(RIGHT(D52,4)-1,1,31),IF(MONTH(D52)=12,"13º "&amp;YEAR(D52),EOMONTH(D52,1)))))))</f>
        <v>43799</v>
      </c>
      <c r="E53" s="342"/>
      <c r="F53" s="257"/>
      <c r="G53" s="251"/>
      <c r="I53" s="262">
        <f ca="1">RESULTADOS!O51</f>
        <v>38929</v>
      </c>
      <c r="J53" s="261">
        <f t="shared" ca="1" si="0"/>
        <v>0</v>
      </c>
      <c r="K53" s="333"/>
      <c r="L53" s="336">
        <f t="shared" si="1"/>
        <v>20000</v>
      </c>
      <c r="M53" s="336">
        <f ca="1">IFERROR(L53/VLOOKUP(D53,IPCA!$A$3:$D$340,4,FALSE),M52)</f>
        <v>16333.176250154016</v>
      </c>
      <c r="N53" s="333"/>
    </row>
    <row r="54" spans="2:14" ht="15" x14ac:dyDescent="0.25">
      <c r="B54" s="251"/>
      <c r="C54" s="251"/>
      <c r="D54" s="258">
        <f ca="1">IF(D53="","",
IF(D53="13º "&amp;YEAR(RESULTADOS!$C$11),"",
IF(IFERROR(EOMONTH(D53,1)&gt;PREMISSAS!$C$3,"FALSO"),
   DATE(YEAR(D53)-1,1,31),
   IF(IF(ISTEXT(D53),RIGHT(D53,4)-1=YEAR(RESULTADOS!$C$11),YEAR(D53)-1=YEAR(RESULTADOS!$C$11)),
      IF(LEFT(D53,2)="13",EOMONTH(RESULTADOS!$C$11,0),IF(MONTH(D53)=12,"13º "&amp;YEAR(D53),EOMONTH(D53,1))),
      IF(LEFT(D53,2)="13",DATE(RIGHT(D53,4)-1,1,31),IF(MONTH(D53)=12,"13º "&amp;YEAR(D53),EOMONTH(D53,1)))))))</f>
        <v>43830</v>
      </c>
      <c r="E54" s="342"/>
      <c r="F54" s="257"/>
      <c r="G54" s="251"/>
      <c r="I54" s="262">
        <f ca="1">RESULTADOS!O52</f>
        <v>38960</v>
      </c>
      <c r="J54" s="261">
        <f t="shared" ca="1" si="0"/>
        <v>0</v>
      </c>
      <c r="K54" s="333"/>
      <c r="L54" s="336">
        <f t="shared" si="1"/>
        <v>20000</v>
      </c>
      <c r="M54" s="336">
        <f ca="1">IFERROR(L54/VLOOKUP(D54,IPCA!$A$3:$D$340,4,FALSE),M53)</f>
        <v>16416.4754490298</v>
      </c>
      <c r="N54" s="333"/>
    </row>
    <row r="55" spans="2:14" ht="15" x14ac:dyDescent="0.25">
      <c r="B55" s="251"/>
      <c r="C55" s="251"/>
      <c r="D55" s="258" t="str">
        <f ca="1">IF(D54="","",
IF(D54="13º "&amp;YEAR(RESULTADOS!$C$11),"",
IF(IFERROR(EOMONTH(D54,1)&gt;PREMISSAS!$C$3,"FALSO"),
   DATE(YEAR(D54)-1,1,31),
   IF(IF(ISTEXT(D54),RIGHT(D54,4)-1=YEAR(RESULTADOS!$C$11),YEAR(D54)-1=YEAR(RESULTADOS!$C$11)),
      IF(LEFT(D54,2)="13",EOMONTH(RESULTADOS!$C$11,0),IF(MONTH(D54)=12,"13º "&amp;YEAR(D54),EOMONTH(D54,1))),
      IF(LEFT(D54,2)="13",DATE(RIGHT(D54,4)-1,1,31),IF(MONTH(D54)=12,"13º "&amp;YEAR(D54),EOMONTH(D54,1)))))))</f>
        <v>13º 2019</v>
      </c>
      <c r="E55" s="342"/>
      <c r="F55" s="257"/>
      <c r="G55" s="251"/>
      <c r="I55" s="262">
        <f ca="1">RESULTADOS!O53</f>
        <v>38990</v>
      </c>
      <c r="J55" s="261">
        <f t="shared" ca="1" si="0"/>
        <v>0</v>
      </c>
      <c r="K55" s="333"/>
      <c r="L55" s="336">
        <f t="shared" si="1"/>
        <v>20000</v>
      </c>
      <c r="M55" s="336">
        <f ca="1">IFERROR(L55/VLOOKUP(D55,IPCA!$A$3:$D$340,4,FALSE),M54)</f>
        <v>16416.4754490298</v>
      </c>
      <c r="N55" s="333"/>
    </row>
    <row r="56" spans="2:14" ht="15" x14ac:dyDescent="0.25">
      <c r="B56" s="251"/>
      <c r="C56" s="251"/>
      <c r="D56" s="258">
        <f ca="1">IF(D55="","",
IF(D55="13º "&amp;YEAR(RESULTADOS!$C$11),"",
IF(IFERROR(EOMONTH(D55,1)&gt;PREMISSAS!$C$3,"FALSO"),
   DATE(YEAR(D55)-1,1,31),
   IF(IF(ISTEXT(D55),RIGHT(D55,4)-1=YEAR(RESULTADOS!$C$11),YEAR(D55)-1=YEAR(RESULTADOS!$C$11)),
      IF(LEFT(D55,2)="13",EOMONTH(RESULTADOS!$C$11,0),IF(MONTH(D55)=12,"13º "&amp;YEAR(D55),EOMONTH(D55,1))),
      IF(LEFT(D55,2)="13",DATE(RIGHT(D55,4)-1,1,31),IF(MONTH(D55)=12,"13º "&amp;YEAR(D55),EOMONTH(D55,1)))))))</f>
        <v>43131</v>
      </c>
      <c r="E56" s="342"/>
      <c r="F56" s="257"/>
      <c r="G56" s="251"/>
      <c r="I56" s="262">
        <f ca="1">RESULTADOS!O54</f>
        <v>39021</v>
      </c>
      <c r="J56" s="261">
        <f t="shared" ca="1" si="0"/>
        <v>0</v>
      </c>
      <c r="K56" s="333"/>
      <c r="L56" s="336">
        <f t="shared" si="1"/>
        <v>20000</v>
      </c>
      <c r="M56" s="336">
        <f ca="1">IFERROR(L56/VLOOKUP(D56,IPCA!$A$3:$D$340,4,FALSE),M55)</f>
        <v>15345.009364065856</v>
      </c>
      <c r="N56" s="333"/>
    </row>
    <row r="57" spans="2:14" ht="15" x14ac:dyDescent="0.25">
      <c r="B57" s="251"/>
      <c r="C57" s="251"/>
      <c r="D57" s="258">
        <f ca="1">IF(D56="","",
IF(D56="13º "&amp;YEAR(RESULTADOS!$C$11),"",
IF(IFERROR(EOMONTH(D56,1)&gt;PREMISSAS!$C$3,"FALSO"),
   DATE(YEAR(D56)-1,1,31),
   IF(IF(ISTEXT(D56),RIGHT(D56,4)-1=YEAR(RESULTADOS!$C$11),YEAR(D56)-1=YEAR(RESULTADOS!$C$11)),
      IF(LEFT(D56,2)="13",EOMONTH(RESULTADOS!$C$11,0),IF(MONTH(D56)=12,"13º "&amp;YEAR(D56),EOMONTH(D56,1))),
      IF(LEFT(D56,2)="13",DATE(RIGHT(D56,4)-1,1,31),IF(MONTH(D56)=12,"13º "&amp;YEAR(D56),EOMONTH(D56,1)))))))</f>
        <v>43159</v>
      </c>
      <c r="E57" s="342"/>
      <c r="F57" s="257"/>
      <c r="G57" s="251"/>
      <c r="I57" s="262">
        <f ca="1">RESULTADOS!O55</f>
        <v>39051</v>
      </c>
      <c r="J57" s="261">
        <f t="shared" ca="1" si="0"/>
        <v>0</v>
      </c>
      <c r="K57" s="333"/>
      <c r="L57" s="336">
        <f t="shared" si="1"/>
        <v>20000</v>
      </c>
      <c r="M57" s="336">
        <f ca="1">IFERROR(L57/VLOOKUP(D57,IPCA!$A$3:$D$340,4,FALSE),M56)</f>
        <v>15389.509891221634</v>
      </c>
      <c r="N57" s="333"/>
    </row>
    <row r="58" spans="2:14" ht="15" x14ac:dyDescent="0.25">
      <c r="B58" s="251"/>
      <c r="C58" s="251"/>
      <c r="D58" s="258">
        <f ca="1">IF(D57="","",
IF(D57="13º "&amp;YEAR(RESULTADOS!$C$11),"",
IF(IFERROR(EOMONTH(D57,1)&gt;PREMISSAS!$C$3,"FALSO"),
   DATE(YEAR(D57)-1,1,31),
   IF(IF(ISTEXT(D57),RIGHT(D57,4)-1=YEAR(RESULTADOS!$C$11),YEAR(D57)-1=YEAR(RESULTADOS!$C$11)),
      IF(LEFT(D57,2)="13",EOMONTH(RESULTADOS!$C$11,0),IF(MONTH(D57)=12,"13º "&amp;YEAR(D57),EOMONTH(D57,1))),
      IF(LEFT(D57,2)="13",DATE(RIGHT(D57,4)-1,1,31),IF(MONTH(D57)=12,"13º "&amp;YEAR(D57),EOMONTH(D57,1)))))))</f>
        <v>43190</v>
      </c>
      <c r="E58" s="342"/>
      <c r="F58" s="257"/>
      <c r="G58" s="251"/>
      <c r="I58" s="262" t="str">
        <f ca="1">RESULTADOS!O56</f>
        <v>13º 2006</v>
      </c>
      <c r="J58" s="261">
        <f t="shared" ca="1" si="0"/>
        <v>0</v>
      </c>
      <c r="K58" s="333"/>
      <c r="L58" s="336">
        <f t="shared" si="1"/>
        <v>20000</v>
      </c>
      <c r="M58" s="336">
        <f ca="1">IFERROR(L58/VLOOKUP(D58,IPCA!$A$3:$D$340,4,FALSE),M57)</f>
        <v>15438.756322873551</v>
      </c>
      <c r="N58" s="333"/>
    </row>
    <row r="59" spans="2:14" ht="15" x14ac:dyDescent="0.25">
      <c r="B59" s="251"/>
      <c r="C59" s="251"/>
      <c r="D59" s="258">
        <f ca="1">IF(D58="","",
IF(D58="13º "&amp;YEAR(RESULTADOS!$C$11),"",
IF(IFERROR(EOMONTH(D58,1)&gt;PREMISSAS!$C$3,"FALSO"),
   DATE(YEAR(D58)-1,1,31),
   IF(IF(ISTEXT(D58),RIGHT(D58,4)-1=YEAR(RESULTADOS!$C$11),YEAR(D58)-1=YEAR(RESULTADOS!$C$11)),
      IF(LEFT(D58,2)="13",EOMONTH(RESULTADOS!$C$11,0),IF(MONTH(D58)=12,"13º "&amp;YEAR(D58),EOMONTH(D58,1))),
      IF(LEFT(D58,2)="13",DATE(RIGHT(D58,4)-1,1,31),IF(MONTH(D58)=12,"13º "&amp;YEAR(D58),EOMONTH(D58,1)))))))</f>
        <v>43220</v>
      </c>
      <c r="E59" s="342"/>
      <c r="F59" s="257"/>
      <c r="G59" s="251"/>
      <c r="I59" s="262">
        <f ca="1">RESULTADOS!O57</f>
        <v>39082</v>
      </c>
      <c r="J59" s="261">
        <f t="shared" ca="1" si="0"/>
        <v>0</v>
      </c>
      <c r="K59" s="333"/>
      <c r="L59" s="336">
        <f t="shared" si="1"/>
        <v>20000</v>
      </c>
      <c r="M59" s="336">
        <f ca="1">IFERROR(L59/VLOOKUP(D59,IPCA!$A$3:$D$340,4,FALSE),M58)</f>
        <v>15452.651203564132</v>
      </c>
      <c r="N59" s="333"/>
    </row>
    <row r="60" spans="2:14" ht="15" x14ac:dyDescent="0.25">
      <c r="B60" s="251"/>
      <c r="C60" s="251"/>
      <c r="D60" s="258">
        <f ca="1">IF(D59="","",
IF(D59="13º "&amp;YEAR(RESULTADOS!$C$11),"",
IF(IFERROR(EOMONTH(D59,1)&gt;PREMISSAS!$C$3,"FALSO"),
   DATE(YEAR(D59)-1,1,31),
   IF(IF(ISTEXT(D59),RIGHT(D59,4)-1=YEAR(RESULTADOS!$C$11),YEAR(D59)-1=YEAR(RESULTADOS!$C$11)),
      IF(LEFT(D59,2)="13",EOMONTH(RESULTADOS!$C$11,0),IF(MONTH(D59)=12,"13º "&amp;YEAR(D59),EOMONTH(D59,1))),
      IF(LEFT(D59,2)="13",DATE(RIGHT(D59,4)-1,1,31),IF(MONTH(D59)=12,"13º "&amp;YEAR(D59),EOMONTH(D59,1)))))))</f>
        <v>43251</v>
      </c>
      <c r="E60" s="342"/>
      <c r="F60" s="257"/>
      <c r="G60" s="251"/>
      <c r="I60" s="262">
        <f ca="1">RESULTADOS!O58</f>
        <v>39113</v>
      </c>
      <c r="J60" s="261">
        <f t="shared" ca="1" si="0"/>
        <v>0</v>
      </c>
      <c r="K60" s="333"/>
      <c r="L60" s="336">
        <f t="shared" si="1"/>
        <v>20000</v>
      </c>
      <c r="M60" s="336">
        <f ca="1">IFERROR(L60/VLOOKUP(D60,IPCA!$A$3:$D$340,4,FALSE),M59)</f>
        <v>15486.647036211976</v>
      </c>
      <c r="N60" s="333"/>
    </row>
    <row r="61" spans="2:14" ht="15" x14ac:dyDescent="0.25">
      <c r="B61" s="251"/>
      <c r="C61" s="251"/>
      <c r="D61" s="258">
        <f ca="1">IF(D60="","",
IF(D60="13º "&amp;YEAR(RESULTADOS!$C$11),"",
IF(IFERROR(EOMONTH(D60,1)&gt;PREMISSAS!$C$3,"FALSO"),
   DATE(YEAR(D60)-1,1,31),
   IF(IF(ISTEXT(D60),RIGHT(D60,4)-1=YEAR(RESULTADOS!$C$11),YEAR(D60)-1=YEAR(RESULTADOS!$C$11)),
      IF(LEFT(D60,2)="13",EOMONTH(RESULTADOS!$C$11,0),IF(MONTH(D60)=12,"13º "&amp;YEAR(D60),EOMONTH(D60,1))),
      IF(LEFT(D60,2)="13",DATE(RIGHT(D60,4)-1,1,31),IF(MONTH(D60)=12,"13º "&amp;YEAR(D60),EOMONTH(D60,1)))))))</f>
        <v>43281</v>
      </c>
      <c r="E61" s="342"/>
      <c r="F61" s="257"/>
      <c r="G61" s="251"/>
      <c r="I61" s="262">
        <f ca="1">RESULTADOS!O59</f>
        <v>39141</v>
      </c>
      <c r="J61" s="261">
        <f t="shared" ca="1" si="0"/>
        <v>0</v>
      </c>
      <c r="K61" s="333"/>
      <c r="L61" s="336">
        <f t="shared" si="1"/>
        <v>20000</v>
      </c>
      <c r="M61" s="336">
        <f ca="1">IFERROR(L61/VLOOKUP(D61,IPCA!$A$3:$D$340,4,FALSE),M60)</f>
        <v>15548.593624356821</v>
      </c>
      <c r="N61" s="333"/>
    </row>
    <row r="62" spans="2:14" ht="15" x14ac:dyDescent="0.25">
      <c r="B62" s="251"/>
      <c r="C62" s="251"/>
      <c r="D62" s="258">
        <f ca="1">IF(D61="","",
IF(D61="13º "&amp;YEAR(RESULTADOS!$C$11),"",
IF(IFERROR(EOMONTH(D61,1)&gt;PREMISSAS!$C$3,"FALSO"),
   DATE(YEAR(D61)-1,1,31),
   IF(IF(ISTEXT(D61),RIGHT(D61,4)-1=YEAR(RESULTADOS!$C$11),YEAR(D61)-1=YEAR(RESULTADOS!$C$11)),
      IF(LEFT(D61,2)="13",EOMONTH(RESULTADOS!$C$11,0),IF(MONTH(D61)=12,"13º "&amp;YEAR(D61),EOMONTH(D61,1))),
      IF(LEFT(D61,2)="13",DATE(RIGHT(D61,4)-1,1,31),IF(MONTH(D61)=12,"13º "&amp;YEAR(D61),EOMONTH(D61,1)))))))</f>
        <v>43312</v>
      </c>
      <c r="E62" s="342"/>
      <c r="F62" s="257"/>
      <c r="G62" s="251"/>
      <c r="I62" s="262">
        <f ca="1">RESULTADOS!O60</f>
        <v>39172</v>
      </c>
      <c r="J62" s="261">
        <f t="shared" ca="1" si="0"/>
        <v>0</v>
      </c>
      <c r="K62" s="333"/>
      <c r="L62" s="336">
        <f t="shared" si="1"/>
        <v>20000</v>
      </c>
      <c r="M62" s="336">
        <f ca="1">IFERROR(L62/VLOOKUP(D62,IPCA!$A$3:$D$340,4,FALSE),M61)</f>
        <v>15744.505904023696</v>
      </c>
      <c r="N62" s="333"/>
    </row>
    <row r="63" spans="2:14" ht="15" x14ac:dyDescent="0.25">
      <c r="B63" s="251"/>
      <c r="C63" s="251"/>
      <c r="D63" s="258">
        <f ca="1">IF(D62="","",
IF(D62="13º "&amp;YEAR(RESULTADOS!$C$11),"",
IF(IFERROR(EOMONTH(D62,1)&gt;PREMISSAS!$C$3,"FALSO"),
   DATE(YEAR(D62)-1,1,31),
   IF(IF(ISTEXT(D62),RIGHT(D62,4)-1=YEAR(RESULTADOS!$C$11),YEAR(D62)-1=YEAR(RESULTADOS!$C$11)),
      IF(LEFT(D62,2)="13",EOMONTH(RESULTADOS!$C$11,0),IF(MONTH(D62)=12,"13º "&amp;YEAR(D62),EOMONTH(D62,1))),
      IF(LEFT(D62,2)="13",DATE(RIGHT(D62,4)-1,1,31),IF(MONTH(D62)=12,"13º "&amp;YEAR(D62),EOMONTH(D62,1)))))))</f>
        <v>43343</v>
      </c>
      <c r="E63" s="342"/>
      <c r="F63" s="257"/>
      <c r="G63" s="251"/>
      <c r="I63" s="262">
        <f ca="1">RESULTADOS!O61</f>
        <v>39202</v>
      </c>
      <c r="J63" s="261">
        <f t="shared" ca="1" si="0"/>
        <v>0</v>
      </c>
      <c r="K63" s="333"/>
      <c r="L63" s="336">
        <f t="shared" si="1"/>
        <v>20000</v>
      </c>
      <c r="M63" s="336">
        <f ca="1">IFERROR(L63/VLOOKUP(D63,IPCA!$A$3:$D$340,4,FALSE),M62)</f>
        <v>15796.462773506988</v>
      </c>
      <c r="N63" s="333"/>
    </row>
    <row r="64" spans="2:14" ht="15" x14ac:dyDescent="0.25">
      <c r="B64" s="251"/>
      <c r="C64" s="251"/>
      <c r="D64" s="258">
        <f ca="1">IF(D63="","",
IF(D63="13º "&amp;YEAR(RESULTADOS!$C$11),"",
IF(IFERROR(EOMONTH(D63,1)&gt;PREMISSAS!$C$3,"FALSO"),
   DATE(YEAR(D63)-1,1,31),
   IF(IF(ISTEXT(D63),RIGHT(D63,4)-1=YEAR(RESULTADOS!$C$11),YEAR(D63)-1=YEAR(RESULTADOS!$C$11)),
      IF(LEFT(D63,2)="13",EOMONTH(RESULTADOS!$C$11,0),IF(MONTH(D63)=12,"13º "&amp;YEAR(D63),EOMONTH(D63,1))),
      IF(LEFT(D63,2)="13",DATE(RIGHT(D63,4)-1,1,31),IF(MONTH(D63)=12,"13º "&amp;YEAR(D63),EOMONTH(D63,1)))))))</f>
        <v>43373</v>
      </c>
      <c r="E64" s="342"/>
      <c r="F64" s="257"/>
      <c r="G64" s="251"/>
      <c r="I64" s="262">
        <f ca="1">RESULTADOS!O62</f>
        <v>39233</v>
      </c>
      <c r="J64" s="261">
        <f t="shared" ca="1" si="0"/>
        <v>0</v>
      </c>
      <c r="K64" s="333"/>
      <c r="L64" s="336">
        <f t="shared" si="1"/>
        <v>20000</v>
      </c>
      <c r="M64" s="336">
        <f ca="1">IFERROR(L64/VLOOKUP(D64,IPCA!$A$3:$D$340,4,FALSE),M63)</f>
        <v>15782.245957010835</v>
      </c>
      <c r="N64" s="333"/>
    </row>
    <row r="65" spans="2:14" ht="15" x14ac:dyDescent="0.25">
      <c r="B65" s="251"/>
      <c r="C65" s="251"/>
      <c r="D65" s="258">
        <f ca="1">IF(D64="","",
IF(D64="13º "&amp;YEAR(RESULTADOS!$C$11),"",
IF(IFERROR(EOMONTH(D64,1)&gt;PREMISSAS!$C$3,"FALSO"),
   DATE(YEAR(D64)-1,1,31),
   IF(IF(ISTEXT(D64),RIGHT(D64,4)-1=YEAR(RESULTADOS!$C$11),YEAR(D64)-1=YEAR(RESULTADOS!$C$11)),
      IF(LEFT(D64,2)="13",EOMONTH(RESULTADOS!$C$11,0),IF(MONTH(D64)=12,"13º "&amp;YEAR(D64),EOMONTH(D64,1))),
      IF(LEFT(D64,2)="13",DATE(RIGHT(D64,4)-1,1,31),IF(MONTH(D64)=12,"13º "&amp;YEAR(D64),EOMONTH(D64,1)))))))</f>
        <v>43404</v>
      </c>
      <c r="E65" s="342"/>
      <c r="F65" s="257"/>
      <c r="G65" s="251"/>
      <c r="I65" s="262">
        <f ca="1">RESULTADOS!O63</f>
        <v>39263</v>
      </c>
      <c r="J65" s="261">
        <f t="shared" ca="1" si="0"/>
        <v>0</v>
      </c>
      <c r="K65" s="333"/>
      <c r="L65" s="336">
        <f t="shared" si="1"/>
        <v>20000</v>
      </c>
      <c r="M65" s="336">
        <f ca="1">IFERROR(L65/VLOOKUP(D65,IPCA!$A$3:$D$340,4,FALSE),M64)</f>
        <v>15858.000737604483</v>
      </c>
      <c r="N65" s="333"/>
    </row>
    <row r="66" spans="2:14" ht="15" x14ac:dyDescent="0.25">
      <c r="B66" s="251"/>
      <c r="C66" s="251"/>
      <c r="D66" s="258">
        <f ca="1">IF(D65="","",
IF(D65="13º "&amp;YEAR(RESULTADOS!$C$11),"",
IF(IFERROR(EOMONTH(D65,1)&gt;PREMISSAS!$C$3,"FALSO"),
   DATE(YEAR(D65)-1,1,31),
   IF(IF(ISTEXT(D65),RIGHT(D65,4)-1=YEAR(RESULTADOS!$C$11),YEAR(D65)-1=YEAR(RESULTADOS!$C$11)),
      IF(LEFT(D65,2)="13",EOMONTH(RESULTADOS!$C$11,0),IF(MONTH(D65)=12,"13º "&amp;YEAR(D65),EOMONTH(D65,1))),
      IF(LEFT(D65,2)="13",DATE(RIGHT(D65,4)-1,1,31),IF(MONTH(D65)=12,"13º "&amp;YEAR(D65),EOMONTH(D65,1)))))))</f>
        <v>43434</v>
      </c>
      <c r="E66" s="342"/>
      <c r="F66" s="257"/>
      <c r="G66" s="251"/>
      <c r="I66" s="262">
        <f ca="1">RESULTADOS!O64</f>
        <v>39294</v>
      </c>
      <c r="J66" s="261">
        <f t="shared" ca="1" si="0"/>
        <v>0</v>
      </c>
      <c r="K66" s="333"/>
      <c r="L66" s="336">
        <f t="shared" si="1"/>
        <v>20000</v>
      </c>
      <c r="M66" s="336">
        <f ca="1">IFERROR(L66/VLOOKUP(D66,IPCA!$A$3:$D$340,4,FALSE),M65)</f>
        <v>15929.361740923699</v>
      </c>
      <c r="N66" s="333"/>
    </row>
    <row r="67" spans="2:14" ht="15" x14ac:dyDescent="0.25">
      <c r="B67" s="251"/>
      <c r="C67" s="251"/>
      <c r="D67" s="258">
        <f ca="1">IF(D66="","",
IF(D66="13º "&amp;YEAR(RESULTADOS!$C$11),"",
IF(IFERROR(EOMONTH(D66,1)&gt;PREMISSAS!$C$3,"FALSO"),
   DATE(YEAR(D66)-1,1,31),
   IF(IF(ISTEXT(D66),RIGHT(D66,4)-1=YEAR(RESULTADOS!$C$11),YEAR(D66)-1=YEAR(RESULTADOS!$C$11)),
      IF(LEFT(D66,2)="13",EOMONTH(RESULTADOS!$C$11,0),IF(MONTH(D66)=12,"13º "&amp;YEAR(D66),EOMONTH(D66,1))),
      IF(LEFT(D66,2)="13",DATE(RIGHT(D66,4)-1,1,31),IF(MONTH(D66)=12,"13º "&amp;YEAR(D66),EOMONTH(D66,1)))))))</f>
        <v>43465</v>
      </c>
      <c r="E67" s="342"/>
      <c r="F67" s="257"/>
      <c r="G67" s="251"/>
      <c r="I67" s="262">
        <f ca="1">RESULTADOS!O65</f>
        <v>39325</v>
      </c>
      <c r="J67" s="261">
        <f t="shared" ca="1" si="0"/>
        <v>0</v>
      </c>
      <c r="K67" s="333"/>
      <c r="L67" s="336">
        <f t="shared" si="1"/>
        <v>20000</v>
      </c>
      <c r="M67" s="336">
        <f ca="1">IFERROR(L67/VLOOKUP(D67,IPCA!$A$3:$D$340,4,FALSE),M66)</f>
        <v>15895.910081267781</v>
      </c>
      <c r="N67" s="333"/>
    </row>
    <row r="68" spans="2:14" ht="15" x14ac:dyDescent="0.25">
      <c r="B68" s="251"/>
      <c r="C68" s="251"/>
      <c r="D68" s="258" t="str">
        <f ca="1">IF(D67="","",
IF(D67="13º "&amp;YEAR(RESULTADOS!$C$11),"",
IF(IFERROR(EOMONTH(D67,1)&gt;PREMISSAS!$C$3,"FALSO"),
   DATE(YEAR(D67)-1,1,31),
   IF(IF(ISTEXT(D67),RIGHT(D67,4)-1=YEAR(RESULTADOS!$C$11),YEAR(D67)-1=YEAR(RESULTADOS!$C$11)),
      IF(LEFT(D67,2)="13",EOMONTH(RESULTADOS!$C$11,0),IF(MONTH(D67)=12,"13º "&amp;YEAR(D67),EOMONTH(D67,1))),
      IF(LEFT(D67,2)="13",DATE(RIGHT(D67,4)-1,1,31),IF(MONTH(D67)=12,"13º "&amp;YEAR(D67),EOMONTH(D67,1)))))))</f>
        <v>13º 2018</v>
      </c>
      <c r="E68" s="342"/>
      <c r="F68" s="257"/>
      <c r="G68" s="251"/>
      <c r="I68" s="262">
        <f ca="1">RESULTADOS!O66</f>
        <v>39355</v>
      </c>
      <c r="J68" s="261">
        <f t="shared" ca="1" si="0"/>
        <v>0</v>
      </c>
      <c r="K68" s="333"/>
      <c r="L68" s="336">
        <f t="shared" si="1"/>
        <v>20000</v>
      </c>
      <c r="M68" s="336">
        <f ca="1">IFERROR(L68/VLOOKUP(D68,IPCA!$A$3:$D$340,4,FALSE),M67)</f>
        <v>15895.910081267781</v>
      </c>
      <c r="N68" s="333"/>
    </row>
    <row r="69" spans="2:14" ht="15" x14ac:dyDescent="0.25">
      <c r="B69" s="251"/>
      <c r="C69" s="251"/>
      <c r="D69" s="258">
        <f ca="1">IF(D68="","",
IF(D68="13º "&amp;YEAR(RESULTADOS!$C$11),"",
IF(IFERROR(EOMONTH(D68,1)&gt;PREMISSAS!$C$3,"FALSO"),
   DATE(YEAR(D68)-1,1,31),
   IF(IF(ISTEXT(D68),RIGHT(D68,4)-1=YEAR(RESULTADOS!$C$11),YEAR(D68)-1=YEAR(RESULTADOS!$C$11)),
      IF(LEFT(D68,2)="13",EOMONTH(RESULTADOS!$C$11,0),IF(MONTH(D68)=12,"13º "&amp;YEAR(D68),EOMONTH(D68,1))),
      IF(LEFT(D68,2)="13",DATE(RIGHT(D68,4)-1,1,31),IF(MONTH(D68)=12,"13º "&amp;YEAR(D68),EOMONTH(D68,1)))))))</f>
        <v>42766</v>
      </c>
      <c r="E69" s="342"/>
      <c r="F69" s="257"/>
      <c r="G69" s="251"/>
      <c r="I69" s="262">
        <f ca="1">RESULTADOS!O67</f>
        <v>39386</v>
      </c>
      <c r="J69" s="261">
        <f t="shared" ca="1" si="0"/>
        <v>0</v>
      </c>
      <c r="K69" s="333"/>
      <c r="L69" s="336">
        <f t="shared" si="1"/>
        <v>20000</v>
      </c>
      <c r="M69" s="336">
        <f ca="1">IFERROR(L69/VLOOKUP(D69,IPCA!$A$3:$D$340,4,FALSE),M68)</f>
        <v>14905.686623043241</v>
      </c>
      <c r="N69" s="333"/>
    </row>
    <row r="70" spans="2:14" ht="15" x14ac:dyDescent="0.25">
      <c r="B70" s="251"/>
      <c r="C70" s="251"/>
      <c r="D70" s="258">
        <f ca="1">IF(D69="","",
IF(D69="13º "&amp;YEAR(RESULTADOS!$C$11),"",
IF(IFERROR(EOMONTH(D69,1)&gt;PREMISSAS!$C$3,"FALSO"),
   DATE(YEAR(D69)-1,1,31),
   IF(IF(ISTEXT(D69),RIGHT(D69,4)-1=YEAR(RESULTADOS!$C$11),YEAR(D69)-1=YEAR(RESULTADOS!$C$11)),
      IF(LEFT(D69,2)="13",EOMONTH(RESULTADOS!$C$11,0),IF(MONTH(D69)=12,"13º "&amp;YEAR(D69),EOMONTH(D69,1))),
      IF(LEFT(D69,2)="13",DATE(RIGHT(D69,4)-1,1,31),IF(MONTH(D69)=12,"13º "&amp;YEAR(D69),EOMONTH(D69,1)))))))</f>
        <v>42794</v>
      </c>
      <c r="E70" s="342"/>
      <c r="F70" s="257"/>
      <c r="G70" s="251"/>
      <c r="I70" s="262">
        <f ca="1">RESULTADOS!O68</f>
        <v>39416</v>
      </c>
      <c r="J70" s="261">
        <f t="shared" ca="1" si="0"/>
        <v>0</v>
      </c>
      <c r="K70" s="333"/>
      <c r="L70" s="336">
        <f t="shared" si="1"/>
        <v>20000</v>
      </c>
      <c r="M70" s="336">
        <f ca="1">IFERROR(L70/VLOOKUP(D70,IPCA!$A$3:$D$340,4,FALSE),M69)</f>
        <v>14962.328232210808</v>
      </c>
      <c r="N70" s="333"/>
    </row>
    <row r="71" spans="2:14" ht="15" x14ac:dyDescent="0.25">
      <c r="B71" s="251"/>
      <c r="C71" s="251"/>
      <c r="D71" s="258">
        <f ca="1">IF(D70="","",
IF(D70="13º "&amp;YEAR(RESULTADOS!$C$11),"",
IF(IFERROR(EOMONTH(D70,1)&gt;PREMISSAS!$C$3,"FALSO"),
   DATE(YEAR(D70)-1,1,31),
   IF(IF(ISTEXT(D70),RIGHT(D70,4)-1=YEAR(RESULTADOS!$C$11),YEAR(D70)-1=YEAR(RESULTADOS!$C$11)),
      IF(LEFT(D70,2)="13",EOMONTH(RESULTADOS!$C$11,0),IF(MONTH(D70)=12,"13º "&amp;YEAR(D70),EOMONTH(D70,1))),
      IF(LEFT(D70,2)="13",DATE(RIGHT(D70,4)-1,1,31),IF(MONTH(D70)=12,"13º "&amp;YEAR(D70),EOMONTH(D70,1)))))))</f>
        <v>42825</v>
      </c>
      <c r="E71" s="342"/>
      <c r="F71" s="257"/>
      <c r="G71" s="251"/>
      <c r="I71" s="262" t="str">
        <f ca="1">RESULTADOS!O69</f>
        <v>13º 2007</v>
      </c>
      <c r="J71" s="261">
        <f t="shared" ca="1" si="0"/>
        <v>0</v>
      </c>
      <c r="K71" s="333"/>
      <c r="L71" s="336">
        <f t="shared" si="1"/>
        <v>20000</v>
      </c>
      <c r="M71" s="336">
        <f ca="1">IFERROR(L71/VLOOKUP(D71,IPCA!$A$3:$D$340,4,FALSE),M70)</f>
        <v>15011.703915377127</v>
      </c>
      <c r="N71" s="333"/>
    </row>
    <row r="72" spans="2:14" ht="15" x14ac:dyDescent="0.25">
      <c r="B72" s="251"/>
      <c r="C72" s="251"/>
      <c r="D72" s="258">
        <f ca="1">IF(D71="","",
IF(D71="13º "&amp;YEAR(RESULTADOS!$C$11),"",
IF(IFERROR(EOMONTH(D71,1)&gt;PREMISSAS!$C$3,"FALSO"),
   DATE(YEAR(D71)-1,1,31),
   IF(IF(ISTEXT(D71),RIGHT(D71,4)-1=YEAR(RESULTADOS!$C$11),YEAR(D71)-1=YEAR(RESULTADOS!$C$11)),
      IF(LEFT(D71,2)="13",EOMONTH(RESULTADOS!$C$11,0),IF(MONTH(D71)=12,"13º "&amp;YEAR(D71),EOMONTH(D71,1))),
      IF(LEFT(D71,2)="13",DATE(RIGHT(D71,4)-1,1,31),IF(MONTH(D71)=12,"13º "&amp;YEAR(D71),EOMONTH(D71,1)))))))</f>
        <v>42855</v>
      </c>
      <c r="E72" s="342"/>
      <c r="F72" s="257"/>
      <c r="G72" s="251"/>
      <c r="I72" s="262">
        <f ca="1">RESULTADOS!O70</f>
        <v>39447</v>
      </c>
      <c r="J72" s="261">
        <f t="shared" ref="J72:J135" ca="1" si="2">IF(I72="","",IFERROR(VLOOKUP(I72,$D$6:$E$656,2,0),""))</f>
        <v>0</v>
      </c>
      <c r="K72" s="333"/>
      <c r="L72" s="336">
        <f t="shared" si="1"/>
        <v>20000</v>
      </c>
      <c r="M72" s="336">
        <f ca="1">IFERROR(L72/VLOOKUP(D72,IPCA!$A$3:$D$340,4,FALSE),M71)</f>
        <v>15049.233175165562</v>
      </c>
      <c r="N72" s="333"/>
    </row>
    <row r="73" spans="2:14" ht="15" x14ac:dyDescent="0.25">
      <c r="B73" s="251"/>
      <c r="C73" s="251"/>
      <c r="D73" s="258">
        <f ca="1">IF(D72="","",
IF(D72="13º "&amp;YEAR(RESULTADOS!$C$11),"",
IF(IFERROR(EOMONTH(D72,1)&gt;PREMISSAS!$C$3,"FALSO"),
   DATE(YEAR(D72)-1,1,31),
   IF(IF(ISTEXT(D72),RIGHT(D72,4)-1=YEAR(RESULTADOS!$C$11),YEAR(D72)-1=YEAR(RESULTADOS!$C$11)),
      IF(LEFT(D72,2)="13",EOMONTH(RESULTADOS!$C$11,0),IF(MONTH(D72)=12,"13º "&amp;YEAR(D72),EOMONTH(D72,1))),
      IF(LEFT(D72,2)="13",DATE(RIGHT(D72,4)-1,1,31),IF(MONTH(D72)=12,"13º "&amp;YEAR(D72),EOMONTH(D72,1)))))))</f>
        <v>42886</v>
      </c>
      <c r="E73" s="342"/>
      <c r="F73" s="257"/>
      <c r="G73" s="251"/>
      <c r="I73" s="262">
        <f ca="1">RESULTADOS!O71</f>
        <v>39478</v>
      </c>
      <c r="J73" s="261">
        <f t="shared" ca="1" si="2"/>
        <v>0</v>
      </c>
      <c r="K73" s="333"/>
      <c r="L73" s="336">
        <f t="shared" ref="L73:L136" si="3">L72</f>
        <v>20000</v>
      </c>
      <c r="M73" s="336">
        <f ca="1">IFERROR(L73/VLOOKUP(D73,IPCA!$A$3:$D$340,4,FALSE),M72)</f>
        <v>15070.302101610785</v>
      </c>
      <c r="N73" s="333"/>
    </row>
    <row r="74" spans="2:14" ht="15" x14ac:dyDescent="0.25">
      <c r="B74" s="251"/>
      <c r="C74" s="251"/>
      <c r="D74" s="258">
        <f ca="1">IF(D73="","",
IF(D73="13º "&amp;YEAR(RESULTADOS!$C$11),"",
IF(IFERROR(EOMONTH(D73,1)&gt;PREMISSAS!$C$3,"FALSO"),
   DATE(YEAR(D73)-1,1,31),
   IF(IF(ISTEXT(D73),RIGHT(D73,4)-1=YEAR(RESULTADOS!$C$11),YEAR(D73)-1=YEAR(RESULTADOS!$C$11)),
      IF(LEFT(D73,2)="13",EOMONTH(RESULTADOS!$C$11,0),IF(MONTH(D73)=12,"13º "&amp;YEAR(D73),EOMONTH(D73,1))),
      IF(LEFT(D73,2)="13",DATE(RIGHT(D73,4)-1,1,31),IF(MONTH(D73)=12,"13º "&amp;YEAR(D73),EOMONTH(D73,1)))))))</f>
        <v>42916</v>
      </c>
      <c r="E74" s="342"/>
      <c r="F74" s="257"/>
      <c r="G74" s="251"/>
      <c r="I74" s="262">
        <f ca="1">RESULTADOS!O72</f>
        <v>39507</v>
      </c>
      <c r="J74" s="261">
        <f t="shared" ca="1" si="2"/>
        <v>0</v>
      </c>
      <c r="K74" s="333"/>
      <c r="L74" s="336">
        <f t="shared" si="3"/>
        <v>20000</v>
      </c>
      <c r="M74" s="336">
        <f ca="1">IFERROR(L74/VLOOKUP(D74,IPCA!$A$3:$D$340,4,FALSE),M73)</f>
        <v>15117.020038125782</v>
      </c>
      <c r="N74" s="333"/>
    </row>
    <row r="75" spans="2:14" ht="15" x14ac:dyDescent="0.25">
      <c r="B75" s="251"/>
      <c r="C75" s="251"/>
      <c r="D75" s="258">
        <f ca="1">IF(D74="","",
IF(D74="13º "&amp;YEAR(RESULTADOS!$C$11),"",
IF(IFERROR(EOMONTH(D74,1)&gt;PREMISSAS!$C$3,"FALSO"),
   DATE(YEAR(D74)-1,1,31),
   IF(IF(ISTEXT(D74),RIGHT(D74,4)-1=YEAR(RESULTADOS!$C$11),YEAR(D74)-1=YEAR(RESULTADOS!$C$11)),
      IF(LEFT(D74,2)="13",EOMONTH(RESULTADOS!$C$11,0),IF(MONTH(D74)=12,"13º "&amp;YEAR(D74),EOMONTH(D74,1))),
      IF(LEFT(D74,2)="13",DATE(RIGHT(D74,4)-1,1,31),IF(MONTH(D74)=12,"13º "&amp;YEAR(D74),EOMONTH(D74,1)))))))</f>
        <v>42947</v>
      </c>
      <c r="E75" s="342"/>
      <c r="F75" s="257"/>
      <c r="G75" s="251"/>
      <c r="I75" s="262">
        <f ca="1">RESULTADOS!O73</f>
        <v>39538</v>
      </c>
      <c r="J75" s="261">
        <f t="shared" ca="1" si="2"/>
        <v>0</v>
      </c>
      <c r="K75" s="333"/>
      <c r="L75" s="336">
        <f t="shared" si="3"/>
        <v>20000</v>
      </c>
      <c r="M75" s="336">
        <f ca="1">IFERROR(L75/VLOOKUP(D75,IPCA!$A$3:$D$340,4,FALSE),M74)</f>
        <v>15082.250892038093</v>
      </c>
      <c r="N75" s="333"/>
    </row>
    <row r="76" spans="2:14" ht="15" x14ac:dyDescent="0.25">
      <c r="B76" s="251"/>
      <c r="C76" s="251"/>
      <c r="D76" s="258">
        <f ca="1">IF(D75="","",
IF(D75="13º "&amp;YEAR(RESULTADOS!$C$11),"",
IF(IFERROR(EOMONTH(D75,1)&gt;PREMISSAS!$C$3,"FALSO"),
   DATE(YEAR(D75)-1,1,31),
   IF(IF(ISTEXT(D75),RIGHT(D75,4)-1=YEAR(RESULTADOS!$C$11),YEAR(D75)-1=YEAR(RESULTADOS!$C$11)),
      IF(LEFT(D75,2)="13",EOMONTH(RESULTADOS!$C$11,0),IF(MONTH(D75)=12,"13º "&amp;YEAR(D75),EOMONTH(D75,1))),
      IF(LEFT(D75,2)="13",DATE(RIGHT(D75,4)-1,1,31),IF(MONTH(D75)=12,"13º "&amp;YEAR(D75),EOMONTH(D75,1)))))))</f>
        <v>42978</v>
      </c>
      <c r="E76" s="342"/>
      <c r="F76" s="257"/>
      <c r="G76" s="251"/>
      <c r="I76" s="262">
        <f ca="1">RESULTADOS!O74</f>
        <v>39568</v>
      </c>
      <c r="J76" s="261">
        <f t="shared" ca="1" si="2"/>
        <v>0</v>
      </c>
      <c r="K76" s="333"/>
      <c r="L76" s="336">
        <f t="shared" si="3"/>
        <v>20000</v>
      </c>
      <c r="M76" s="336">
        <f ca="1">IFERROR(L76/VLOOKUP(D76,IPCA!$A$3:$D$340,4,FALSE),M75)</f>
        <v>15118.448294178994</v>
      </c>
      <c r="N76" s="333"/>
    </row>
    <row r="77" spans="2:14" ht="15" x14ac:dyDescent="0.25">
      <c r="B77" s="251"/>
      <c r="C77" s="251"/>
      <c r="D77" s="258">
        <f ca="1">IF(D76="","",
IF(D76="13º "&amp;YEAR(RESULTADOS!$C$11),"",
IF(IFERROR(EOMONTH(D76,1)&gt;PREMISSAS!$C$3,"FALSO"),
   DATE(YEAR(D76)-1,1,31),
   IF(IF(ISTEXT(D76),RIGHT(D76,4)-1=YEAR(RESULTADOS!$C$11),YEAR(D76)-1=YEAR(RESULTADOS!$C$11)),
      IF(LEFT(D76,2)="13",EOMONTH(RESULTADOS!$C$11,0),IF(MONTH(D76)=12,"13º "&amp;YEAR(D76),EOMONTH(D76,1))),
      IF(LEFT(D76,2)="13",DATE(RIGHT(D76,4)-1,1,31),IF(MONTH(D76)=12,"13º "&amp;YEAR(D76),EOMONTH(D76,1)))))))</f>
        <v>43008</v>
      </c>
      <c r="E77" s="342"/>
      <c r="F77" s="257"/>
      <c r="G77" s="251"/>
      <c r="I77" s="262">
        <f ca="1">RESULTADOS!O75</f>
        <v>39599</v>
      </c>
      <c r="J77" s="261">
        <f t="shared" ca="1" si="2"/>
        <v>0</v>
      </c>
      <c r="K77" s="333"/>
      <c r="L77" s="336">
        <f t="shared" si="3"/>
        <v>20000</v>
      </c>
      <c r="M77" s="336">
        <f ca="1">IFERROR(L77/VLOOKUP(D77,IPCA!$A$3:$D$340,4,FALSE),M76)</f>
        <v>15147.173345937928</v>
      </c>
      <c r="N77" s="333"/>
    </row>
    <row r="78" spans="2:14" ht="15" x14ac:dyDescent="0.25">
      <c r="B78" s="251"/>
      <c r="C78" s="251"/>
      <c r="D78" s="258">
        <f ca="1">IF(D77="","",
IF(D77="13º "&amp;YEAR(RESULTADOS!$C$11),"",
IF(IFERROR(EOMONTH(D77,1)&gt;PREMISSAS!$C$3,"FALSO"),
   DATE(YEAR(D77)-1,1,31),
   IF(IF(ISTEXT(D77),RIGHT(D77,4)-1=YEAR(RESULTADOS!$C$11),YEAR(D77)-1=YEAR(RESULTADOS!$C$11)),
      IF(LEFT(D77,2)="13",EOMONTH(RESULTADOS!$C$11,0),IF(MONTH(D77)=12,"13º "&amp;YEAR(D77),EOMONTH(D77,1))),
      IF(LEFT(D77,2)="13",DATE(RIGHT(D77,4)-1,1,31),IF(MONTH(D77)=12,"13º "&amp;YEAR(D77),EOMONTH(D77,1)))))))</f>
        <v>43039</v>
      </c>
      <c r="E78" s="342"/>
      <c r="F78" s="257"/>
      <c r="G78" s="251"/>
      <c r="I78" s="262">
        <f ca="1">RESULTADOS!O76</f>
        <v>39629</v>
      </c>
      <c r="J78" s="261">
        <f t="shared" ca="1" si="2"/>
        <v>0</v>
      </c>
      <c r="K78" s="333"/>
      <c r="L78" s="336">
        <f t="shared" si="3"/>
        <v>20000</v>
      </c>
      <c r="M78" s="336">
        <f ca="1">IFERROR(L78/VLOOKUP(D78,IPCA!$A$3:$D$340,4,FALSE),M77)</f>
        <v>15171.408823291422</v>
      </c>
      <c r="N78" s="333"/>
    </row>
    <row r="79" spans="2:14" ht="15" x14ac:dyDescent="0.25">
      <c r="B79" s="251"/>
      <c r="C79" s="251"/>
      <c r="D79" s="258">
        <f ca="1">IF(D78="","",
IF(D78="13º "&amp;YEAR(RESULTADOS!$C$11),"",
IF(IFERROR(EOMONTH(D78,1)&gt;PREMISSAS!$C$3,"FALSO"),
   DATE(YEAR(D78)-1,1,31),
   IF(IF(ISTEXT(D78),RIGHT(D78,4)-1=YEAR(RESULTADOS!$C$11),YEAR(D78)-1=YEAR(RESULTADOS!$C$11)),
      IF(LEFT(D78,2)="13",EOMONTH(RESULTADOS!$C$11,0),IF(MONTH(D78)=12,"13º "&amp;YEAR(D78),EOMONTH(D78,1))),
      IF(LEFT(D78,2)="13",DATE(RIGHT(D78,4)-1,1,31),IF(MONTH(D78)=12,"13º "&amp;YEAR(D78),EOMONTH(D78,1)))))))</f>
        <v>43069</v>
      </c>
      <c r="E79" s="342"/>
      <c r="F79" s="257"/>
      <c r="G79" s="251"/>
      <c r="I79" s="262">
        <f ca="1">RESULTADOS!O77</f>
        <v>39660</v>
      </c>
      <c r="J79" s="261">
        <f t="shared" ca="1" si="2"/>
        <v>0</v>
      </c>
      <c r="K79" s="333"/>
      <c r="L79" s="336">
        <f t="shared" si="3"/>
        <v>20000</v>
      </c>
      <c r="M79" s="336">
        <f ca="1">IFERROR(L79/VLOOKUP(D79,IPCA!$A$3:$D$340,4,FALSE),M78)</f>
        <v>15235.128740349246</v>
      </c>
      <c r="N79" s="333"/>
    </row>
    <row r="80" spans="2:14" ht="15" x14ac:dyDescent="0.25">
      <c r="B80" s="251"/>
      <c r="C80" s="251"/>
      <c r="D80" s="258">
        <f ca="1">IF(D79="","",
IF(D79="13º "&amp;YEAR(RESULTADOS!$C$11),"",
IF(IFERROR(EOMONTH(D79,1)&gt;PREMISSAS!$C$3,"FALSO"),
   DATE(YEAR(D79)-1,1,31),
   IF(IF(ISTEXT(D79),RIGHT(D79,4)-1=YEAR(RESULTADOS!$C$11),YEAR(D79)-1=YEAR(RESULTADOS!$C$11)),
      IF(LEFT(D79,2)="13",EOMONTH(RESULTADOS!$C$11,0),IF(MONTH(D79)=12,"13º "&amp;YEAR(D79),EOMONTH(D79,1))),
      IF(LEFT(D79,2)="13",DATE(RIGHT(D79,4)-1,1,31),IF(MONTH(D79)=12,"13º "&amp;YEAR(D79),EOMONTH(D79,1)))))))</f>
        <v>43100</v>
      </c>
      <c r="E80" s="342"/>
      <c r="F80" s="257"/>
      <c r="G80" s="251"/>
      <c r="I80" s="262">
        <f ca="1">RESULTADOS!O78</f>
        <v>39691</v>
      </c>
      <c r="J80" s="261">
        <f t="shared" ca="1" si="2"/>
        <v>0</v>
      </c>
      <c r="K80" s="333"/>
      <c r="L80" s="336">
        <f t="shared" si="3"/>
        <v>20000</v>
      </c>
      <c r="M80" s="336">
        <f ca="1">IFERROR(L80/VLOOKUP(D80,IPCA!$A$3:$D$340,4,FALSE),M79)</f>
        <v>15277.787100822236</v>
      </c>
      <c r="N80" s="333"/>
    </row>
    <row r="81" spans="2:14" ht="15" x14ac:dyDescent="0.25">
      <c r="B81" s="251"/>
      <c r="C81" s="251"/>
      <c r="D81" s="258" t="str">
        <f ca="1">IF(D80="","",
IF(D80="13º "&amp;YEAR(RESULTADOS!$C$11),"",
IF(IFERROR(EOMONTH(D80,1)&gt;PREMISSAS!$C$3,"FALSO"),
   DATE(YEAR(D80)-1,1,31),
   IF(IF(ISTEXT(D80),RIGHT(D80,4)-1=YEAR(RESULTADOS!$C$11),YEAR(D80)-1=YEAR(RESULTADOS!$C$11)),
      IF(LEFT(D80,2)="13",EOMONTH(RESULTADOS!$C$11,0),IF(MONTH(D80)=12,"13º "&amp;YEAR(D80),EOMONTH(D80,1))),
      IF(LEFT(D80,2)="13",DATE(RIGHT(D80,4)-1,1,31),IF(MONTH(D80)=12,"13º "&amp;YEAR(D80),EOMONTH(D80,1)))))))</f>
        <v>13º 2017</v>
      </c>
      <c r="E81" s="342"/>
      <c r="F81" s="257"/>
      <c r="G81" s="251"/>
      <c r="I81" s="262">
        <f ca="1">RESULTADOS!O79</f>
        <v>39721</v>
      </c>
      <c r="J81" s="261">
        <f t="shared" ca="1" si="2"/>
        <v>0</v>
      </c>
      <c r="K81" s="333"/>
      <c r="L81" s="336">
        <f t="shared" si="3"/>
        <v>20000</v>
      </c>
      <c r="M81" s="336">
        <f ca="1">IFERROR(L81/VLOOKUP(D81,IPCA!$A$3:$D$340,4,FALSE),M80)</f>
        <v>15277.787100822236</v>
      </c>
      <c r="N81" s="333"/>
    </row>
    <row r="82" spans="2:14" ht="15" x14ac:dyDescent="0.25">
      <c r="B82" s="251"/>
      <c r="C82" s="251"/>
      <c r="D82" s="258">
        <f ca="1">IF(D81="","",
IF(D81="13º "&amp;YEAR(RESULTADOS!$C$11),"",
IF(IFERROR(EOMONTH(D81,1)&gt;PREMISSAS!$C$3,"FALSO"),
   DATE(YEAR(D81)-1,1,31),
   IF(IF(ISTEXT(D81),RIGHT(D81,4)-1=YEAR(RESULTADOS!$C$11),YEAR(D81)-1=YEAR(RESULTADOS!$C$11)),
      IF(LEFT(D81,2)="13",EOMONTH(RESULTADOS!$C$11,0),IF(MONTH(D81)=12,"13º "&amp;YEAR(D81),EOMONTH(D81,1))),
      IF(LEFT(D81,2)="13",DATE(RIGHT(D81,4)-1,1,31),IF(MONTH(D81)=12,"13º "&amp;YEAR(D81),EOMONTH(D81,1)))))))</f>
        <v>42400</v>
      </c>
      <c r="E82" s="342"/>
      <c r="F82" s="257"/>
      <c r="G82" s="251"/>
      <c r="I82" s="262">
        <f ca="1">RESULTADOS!O80</f>
        <v>39752</v>
      </c>
      <c r="J82" s="261">
        <f t="shared" ca="1" si="2"/>
        <v>0</v>
      </c>
      <c r="K82" s="333"/>
      <c r="L82" s="336">
        <f t="shared" si="3"/>
        <v>20000</v>
      </c>
      <c r="M82" s="336">
        <f ca="1">IFERROR(L82/VLOOKUP(D82,IPCA!$A$3:$D$340,4,FALSE),M81)</f>
        <v>14023.858669197483</v>
      </c>
      <c r="N82" s="333"/>
    </row>
    <row r="83" spans="2:14" ht="15" x14ac:dyDescent="0.25">
      <c r="B83" s="251"/>
      <c r="C83" s="251"/>
      <c r="D83" s="258">
        <f ca="1">IF(D82="","",
IF(D82="13º "&amp;YEAR(RESULTADOS!$C$11),"",
IF(IFERROR(EOMONTH(D82,1)&gt;PREMISSAS!$C$3,"FALSO"),
   DATE(YEAR(D82)-1,1,31),
   IF(IF(ISTEXT(D82),RIGHT(D82,4)-1=YEAR(RESULTADOS!$C$11),YEAR(D82)-1=YEAR(RESULTADOS!$C$11)),
      IF(LEFT(D82,2)="13",EOMONTH(RESULTADOS!$C$11,0),IF(MONTH(D82)=12,"13º "&amp;YEAR(D82),EOMONTH(D82,1))),
      IF(LEFT(D82,2)="13",DATE(RIGHT(D82,4)-1,1,31),IF(MONTH(D82)=12,"13º "&amp;YEAR(D82),EOMONTH(D82,1)))))))</f>
        <v>42429</v>
      </c>
      <c r="E83" s="342"/>
      <c r="F83" s="257"/>
      <c r="G83" s="251"/>
      <c r="I83" s="262">
        <f ca="1">RESULTADOS!O81</f>
        <v>39782</v>
      </c>
      <c r="J83" s="261">
        <f t="shared" ca="1" si="2"/>
        <v>0</v>
      </c>
      <c r="K83" s="333"/>
      <c r="L83" s="336">
        <f t="shared" si="3"/>
        <v>20000</v>
      </c>
      <c r="M83" s="336">
        <f ca="1">IFERROR(L83/VLOOKUP(D83,IPCA!$A$3:$D$340,4,FALSE),M82)</f>
        <v>14201.961674296284</v>
      </c>
      <c r="N83" s="333"/>
    </row>
    <row r="84" spans="2:14" ht="15" x14ac:dyDescent="0.25">
      <c r="B84" s="251"/>
      <c r="C84" s="251"/>
      <c r="D84" s="258">
        <f ca="1">IF(D83="","",
IF(D83="13º "&amp;YEAR(RESULTADOS!$C$11),"",
IF(IFERROR(EOMONTH(D83,1)&gt;PREMISSAS!$C$3,"FALSO"),
   DATE(YEAR(D83)-1,1,31),
   IF(IF(ISTEXT(D83),RIGHT(D83,4)-1=YEAR(RESULTADOS!$C$11),YEAR(D83)-1=YEAR(RESULTADOS!$C$11)),
      IF(LEFT(D83,2)="13",EOMONTH(RESULTADOS!$C$11,0),IF(MONTH(D83)=12,"13º "&amp;YEAR(D83),EOMONTH(D83,1))),
      IF(LEFT(D83,2)="13",DATE(RIGHT(D83,4)-1,1,31),IF(MONTH(D83)=12,"13º "&amp;YEAR(D83),EOMONTH(D83,1)))))))</f>
        <v>42460</v>
      </c>
      <c r="E84" s="342"/>
      <c r="F84" s="257"/>
      <c r="G84" s="251"/>
      <c r="I84" s="262" t="str">
        <f ca="1">RESULTADOS!O82</f>
        <v>13º 2008</v>
      </c>
      <c r="J84" s="261">
        <f t="shared" ca="1" si="2"/>
        <v>0</v>
      </c>
      <c r="K84" s="333"/>
      <c r="L84" s="336">
        <f t="shared" si="3"/>
        <v>20000</v>
      </c>
      <c r="M84" s="336">
        <f ca="1">IFERROR(L84/VLOOKUP(D84,IPCA!$A$3:$D$340,4,FALSE),M83)</f>
        <v>14329.779329364937</v>
      </c>
      <c r="N84" s="333"/>
    </row>
    <row r="85" spans="2:14" ht="15" x14ac:dyDescent="0.25">
      <c r="B85" s="251"/>
      <c r="C85" s="251"/>
      <c r="D85" s="258">
        <f ca="1">IF(D84="","",
IF(D84="13º "&amp;YEAR(RESULTADOS!$C$11),"",
IF(IFERROR(EOMONTH(D84,1)&gt;PREMISSAS!$C$3,"FALSO"),
   DATE(YEAR(D84)-1,1,31),
   IF(IF(ISTEXT(D84),RIGHT(D84,4)-1=YEAR(RESULTADOS!$C$11),YEAR(D84)-1=YEAR(RESULTADOS!$C$11)),
      IF(LEFT(D84,2)="13",EOMONTH(RESULTADOS!$C$11,0),IF(MONTH(D84)=12,"13º "&amp;YEAR(D84),EOMONTH(D84,1))),
      IF(LEFT(D84,2)="13",DATE(RIGHT(D84,4)-1,1,31),IF(MONTH(D84)=12,"13º "&amp;YEAR(D84),EOMONTH(D84,1)))))))</f>
        <v>42490</v>
      </c>
      <c r="E85" s="342"/>
      <c r="F85" s="257"/>
      <c r="G85" s="251"/>
      <c r="I85" s="262">
        <f ca="1">RESULTADOS!O83</f>
        <v>39813</v>
      </c>
      <c r="J85" s="261">
        <f t="shared" ca="1" si="2"/>
        <v>0</v>
      </c>
      <c r="K85" s="333"/>
      <c r="L85" s="336">
        <f t="shared" si="3"/>
        <v>20000</v>
      </c>
      <c r="M85" s="336">
        <f ca="1">IFERROR(L85/VLOOKUP(D85,IPCA!$A$3:$D$340,4,FALSE),M84)</f>
        <v>14391.397380481219</v>
      </c>
      <c r="N85" s="333"/>
    </row>
    <row r="86" spans="2:14" ht="15" x14ac:dyDescent="0.25">
      <c r="B86" s="251"/>
      <c r="C86" s="251"/>
      <c r="D86" s="258">
        <f ca="1">IF(D85="","",
IF(D85="13º "&amp;YEAR(RESULTADOS!$C$11),"",
IF(IFERROR(EOMONTH(D85,1)&gt;PREMISSAS!$C$3,"FALSO"),
   DATE(YEAR(D85)-1,1,31),
   IF(IF(ISTEXT(D85),RIGHT(D85,4)-1=YEAR(RESULTADOS!$C$11),YEAR(D85)-1=YEAR(RESULTADOS!$C$11)),
      IF(LEFT(D85,2)="13",EOMONTH(RESULTADOS!$C$11,0),IF(MONTH(D85)=12,"13º "&amp;YEAR(D85),EOMONTH(D85,1))),
      IF(LEFT(D85,2)="13",DATE(RIGHT(D85,4)-1,1,31),IF(MONTH(D85)=12,"13º "&amp;YEAR(D85),EOMONTH(D85,1)))))))</f>
        <v>42521</v>
      </c>
      <c r="E86" s="342"/>
      <c r="F86" s="257"/>
      <c r="G86" s="251"/>
      <c r="I86" s="262">
        <f ca="1">RESULTADOS!O84</f>
        <v>39844</v>
      </c>
      <c r="J86" s="261">
        <f t="shared" ca="1" si="2"/>
        <v>0</v>
      </c>
      <c r="K86" s="333"/>
      <c r="L86" s="336">
        <f t="shared" si="3"/>
        <v>20000</v>
      </c>
      <c r="M86" s="336">
        <f ca="1">IFERROR(L86/VLOOKUP(D86,IPCA!$A$3:$D$340,4,FALSE),M85)</f>
        <v>14479.184904502154</v>
      </c>
      <c r="N86" s="333"/>
    </row>
    <row r="87" spans="2:14" ht="15" x14ac:dyDescent="0.25">
      <c r="B87" s="251"/>
      <c r="C87" s="251"/>
      <c r="D87" s="258">
        <f ca="1">IF(D86="","",
IF(D86="13º "&amp;YEAR(RESULTADOS!$C$11),"",
IF(IFERROR(EOMONTH(D86,1)&gt;PREMISSAS!$C$3,"FALSO"),
   DATE(YEAR(D86)-1,1,31),
   IF(IF(ISTEXT(D86),RIGHT(D86,4)-1=YEAR(RESULTADOS!$C$11),YEAR(D86)-1=YEAR(RESULTADOS!$C$11)),
      IF(LEFT(D86,2)="13",EOMONTH(RESULTADOS!$C$11,0),IF(MONTH(D86)=12,"13º "&amp;YEAR(D86),EOMONTH(D86,1))),
      IF(LEFT(D86,2)="13",DATE(RIGHT(D86,4)-1,1,31),IF(MONTH(D86)=12,"13º "&amp;YEAR(D86),EOMONTH(D86,1)))))))</f>
        <v>42551</v>
      </c>
      <c r="E87" s="342"/>
      <c r="F87" s="257"/>
      <c r="G87" s="251"/>
      <c r="I87" s="262">
        <f ca="1">RESULTADOS!O85</f>
        <v>39872</v>
      </c>
      <c r="J87" s="261">
        <f t="shared" ca="1" si="2"/>
        <v>0</v>
      </c>
      <c r="K87" s="333"/>
      <c r="L87" s="336">
        <f t="shared" si="3"/>
        <v>20000</v>
      </c>
      <c r="M87" s="336">
        <f ca="1">IFERROR(L87/VLOOKUP(D87,IPCA!$A$3:$D$340,4,FALSE),M86)</f>
        <v>14592.12254675726</v>
      </c>
      <c r="N87" s="333"/>
    </row>
    <row r="88" spans="2:14" ht="15" x14ac:dyDescent="0.25">
      <c r="B88" s="251"/>
      <c r="C88" s="251"/>
      <c r="D88" s="258">
        <f ca="1">IF(D87="","",
IF(D87="13º "&amp;YEAR(RESULTADOS!$C$11),"",
IF(IFERROR(EOMONTH(D87,1)&gt;PREMISSAS!$C$3,"FALSO"),
   DATE(YEAR(D87)-1,1,31),
   IF(IF(ISTEXT(D87),RIGHT(D87,4)-1=YEAR(RESULTADOS!$C$11),YEAR(D87)-1=YEAR(RESULTADOS!$C$11)),
      IF(LEFT(D87,2)="13",EOMONTH(RESULTADOS!$C$11,0),IF(MONTH(D87)=12,"13º "&amp;YEAR(D87),EOMONTH(D87,1))),
      IF(LEFT(D87,2)="13",DATE(RIGHT(D87,4)-1,1,31),IF(MONTH(D87)=12,"13º "&amp;YEAR(D87),EOMONTH(D87,1)))))))</f>
        <v>42582</v>
      </c>
      <c r="E88" s="342"/>
      <c r="F88" s="257"/>
      <c r="G88" s="251"/>
      <c r="I88" s="262">
        <f ca="1">RESULTADOS!O86</f>
        <v>39903</v>
      </c>
      <c r="J88" s="261">
        <f t="shared" ca="1" si="2"/>
        <v>0</v>
      </c>
      <c r="K88" s="333"/>
      <c r="L88" s="336">
        <f t="shared" si="3"/>
        <v>20000</v>
      </c>
      <c r="M88" s="336">
        <f ca="1">IFERROR(L88/VLOOKUP(D88,IPCA!$A$3:$D$340,4,FALSE),M87)</f>
        <v>14643.194975670925</v>
      </c>
      <c r="N88" s="333"/>
    </row>
    <row r="89" spans="2:14" ht="15" x14ac:dyDescent="0.25">
      <c r="B89" s="251"/>
      <c r="C89" s="251"/>
      <c r="D89" s="258">
        <f ca="1">IF(D88="","",
IF(D88="13º "&amp;YEAR(RESULTADOS!$C$11),"",
IF(IFERROR(EOMONTH(D88,1)&gt;PREMISSAS!$C$3,"FALSO"),
   DATE(YEAR(D88)-1,1,31),
   IF(IF(ISTEXT(D88),RIGHT(D88,4)-1=YEAR(RESULTADOS!$C$11),YEAR(D88)-1=YEAR(RESULTADOS!$C$11)),
      IF(LEFT(D88,2)="13",EOMONTH(RESULTADOS!$C$11,0),IF(MONTH(D88)=12,"13º "&amp;YEAR(D88),EOMONTH(D88,1))),
      IF(LEFT(D88,2)="13",DATE(RIGHT(D88,4)-1,1,31),IF(MONTH(D88)=12,"13º "&amp;YEAR(D88),EOMONTH(D88,1)))))))</f>
        <v>42613</v>
      </c>
      <c r="E89" s="342"/>
      <c r="F89" s="257"/>
      <c r="G89" s="251"/>
      <c r="I89" s="262">
        <f ca="1">RESULTADOS!O87</f>
        <v>39933</v>
      </c>
      <c r="J89" s="261">
        <f t="shared" ca="1" si="2"/>
        <v>0</v>
      </c>
      <c r="K89" s="333"/>
      <c r="L89" s="336">
        <f t="shared" si="3"/>
        <v>20000</v>
      </c>
      <c r="M89" s="336">
        <f ca="1">IFERROR(L89/VLOOKUP(D89,IPCA!$A$3:$D$340,4,FALSE),M88)</f>
        <v>14719.339589544421</v>
      </c>
      <c r="N89" s="333"/>
    </row>
    <row r="90" spans="2:14" ht="15" x14ac:dyDescent="0.25">
      <c r="B90" s="251"/>
      <c r="C90" s="251"/>
      <c r="D90" s="258">
        <f ca="1">IF(D89="","",
IF(D89="13º "&amp;YEAR(RESULTADOS!$C$11),"",
IF(IFERROR(EOMONTH(D89,1)&gt;PREMISSAS!$C$3,"FALSO"),
   DATE(YEAR(D89)-1,1,31),
   IF(IF(ISTEXT(D89),RIGHT(D89,4)-1=YEAR(RESULTADOS!$C$11),YEAR(D89)-1=YEAR(RESULTADOS!$C$11)),
      IF(LEFT(D89,2)="13",EOMONTH(RESULTADOS!$C$11,0),IF(MONTH(D89)=12,"13º "&amp;YEAR(D89),EOMONTH(D89,1))),
      IF(LEFT(D89,2)="13",DATE(RIGHT(D89,4)-1,1,31),IF(MONTH(D89)=12,"13º "&amp;YEAR(D89),EOMONTH(D89,1)))))))</f>
        <v>42643</v>
      </c>
      <c r="E90" s="342"/>
      <c r="F90" s="257"/>
      <c r="G90" s="251"/>
      <c r="I90" s="262">
        <f ca="1">RESULTADOS!O88</f>
        <v>39964</v>
      </c>
      <c r="J90" s="261">
        <f t="shared" ca="1" si="2"/>
        <v>0</v>
      </c>
      <c r="K90" s="333"/>
      <c r="L90" s="336">
        <f t="shared" si="3"/>
        <v>20000</v>
      </c>
      <c r="M90" s="336">
        <f ca="1">IFERROR(L90/VLOOKUP(D90,IPCA!$A$3:$D$340,4,FALSE),M89)</f>
        <v>14784.1046837384</v>
      </c>
      <c r="N90" s="333"/>
    </row>
    <row r="91" spans="2:14" ht="15" x14ac:dyDescent="0.25">
      <c r="B91" s="251"/>
      <c r="C91" s="251"/>
      <c r="D91" s="258">
        <f ca="1">IF(D90="","",
IF(D90="13º "&amp;YEAR(RESULTADOS!$C$11),"",
IF(IFERROR(EOMONTH(D90,1)&gt;PREMISSAS!$C$3,"FALSO"),
   DATE(YEAR(D90)-1,1,31),
   IF(IF(ISTEXT(D90),RIGHT(D90,4)-1=YEAR(RESULTADOS!$C$11),YEAR(D90)-1=YEAR(RESULTADOS!$C$11)),
      IF(LEFT(D90,2)="13",EOMONTH(RESULTADOS!$C$11,0),IF(MONTH(D90)=12,"13º "&amp;YEAR(D90),EOMONTH(D90,1))),
      IF(LEFT(D90,2)="13",DATE(RIGHT(D90,4)-1,1,31),IF(MONTH(D90)=12,"13º "&amp;YEAR(D90),EOMONTH(D90,1)))))))</f>
        <v>42674</v>
      </c>
      <c r="E91" s="342"/>
      <c r="F91" s="257"/>
      <c r="G91" s="251"/>
      <c r="I91" s="262">
        <f ca="1">RESULTADOS!O89</f>
        <v>39994</v>
      </c>
      <c r="J91" s="261">
        <f t="shared" ca="1" si="2"/>
        <v>0</v>
      </c>
      <c r="K91" s="333"/>
      <c r="L91" s="336">
        <f t="shared" si="3"/>
        <v>20000</v>
      </c>
      <c r="M91" s="336">
        <f ca="1">IFERROR(L91/VLOOKUP(D91,IPCA!$A$3:$D$340,4,FALSE),M90)</f>
        <v>14795.93196748539</v>
      </c>
      <c r="N91" s="333"/>
    </row>
    <row r="92" spans="2:14" ht="15" x14ac:dyDescent="0.25">
      <c r="B92" s="251"/>
      <c r="C92" s="251"/>
      <c r="D92" s="258">
        <f ca="1">IF(D91="","",
IF(D91="13º "&amp;YEAR(RESULTADOS!$C$11),"",
IF(IFERROR(EOMONTH(D91,1)&gt;PREMISSAS!$C$3,"FALSO"),
   DATE(YEAR(D91)-1,1,31),
   IF(IF(ISTEXT(D91),RIGHT(D91,4)-1=YEAR(RESULTADOS!$C$11),YEAR(D91)-1=YEAR(RESULTADOS!$C$11)),
      IF(LEFT(D91,2)="13",EOMONTH(RESULTADOS!$C$11,0),IF(MONTH(D91)=12,"13º "&amp;YEAR(D91),EOMONTH(D91,1))),
      IF(LEFT(D91,2)="13",DATE(RIGHT(D91,4)-1,1,31),IF(MONTH(D91)=12,"13º "&amp;YEAR(D91),EOMONTH(D91,1)))))))</f>
        <v>42704</v>
      </c>
      <c r="E92" s="342"/>
      <c r="F92" s="257"/>
      <c r="G92" s="251"/>
      <c r="I92" s="262">
        <f ca="1">RESULTADOS!O90</f>
        <v>40025</v>
      </c>
      <c r="J92" s="261">
        <f t="shared" ca="1" si="2"/>
        <v>0</v>
      </c>
      <c r="K92" s="333"/>
      <c r="L92" s="336">
        <f t="shared" si="3"/>
        <v>20000</v>
      </c>
      <c r="M92" s="336">
        <f ca="1">IFERROR(L92/VLOOKUP(D92,IPCA!$A$3:$D$340,4,FALSE),M91)</f>
        <v>14834.401390600851</v>
      </c>
      <c r="N92" s="333"/>
    </row>
    <row r="93" spans="2:14" ht="15" x14ac:dyDescent="0.25">
      <c r="B93" s="251"/>
      <c r="C93" s="251"/>
      <c r="D93" s="258">
        <f ca="1">IF(D92="","",
IF(D92="13º "&amp;YEAR(RESULTADOS!$C$11),"",
IF(IFERROR(EOMONTH(D92,1)&gt;PREMISSAS!$C$3,"FALSO"),
   DATE(YEAR(D92)-1,1,31),
   IF(IF(ISTEXT(D92),RIGHT(D92,4)-1=YEAR(RESULTADOS!$C$11),YEAR(D92)-1=YEAR(RESULTADOS!$C$11)),
      IF(LEFT(D92,2)="13",EOMONTH(RESULTADOS!$C$11,0),IF(MONTH(D92)=12,"13º "&amp;YEAR(D92),EOMONTH(D92,1))),
      IF(LEFT(D92,2)="13",DATE(RIGHT(D92,4)-1,1,31),IF(MONTH(D92)=12,"13º "&amp;YEAR(D92),EOMONTH(D92,1)))))))</f>
        <v>42735</v>
      </c>
      <c r="E93" s="342"/>
      <c r="F93" s="257"/>
      <c r="G93" s="251"/>
      <c r="I93" s="262">
        <f ca="1">RESULTADOS!O91</f>
        <v>40056</v>
      </c>
      <c r="J93" s="261">
        <f t="shared" ca="1" si="2"/>
        <v>0</v>
      </c>
      <c r="K93" s="333"/>
      <c r="L93" s="336">
        <f t="shared" si="3"/>
        <v>20000</v>
      </c>
      <c r="M93" s="336">
        <f ca="1">IFERROR(L93/VLOOKUP(D93,IPCA!$A$3:$D$340,4,FALSE),M92)</f>
        <v>14861.103313103931</v>
      </c>
      <c r="N93" s="333"/>
    </row>
    <row r="94" spans="2:14" ht="15" x14ac:dyDescent="0.25">
      <c r="B94" s="251"/>
      <c r="C94" s="251"/>
      <c r="D94" s="258" t="str">
        <f ca="1">IF(D93="","",
IF(D93="13º "&amp;YEAR(RESULTADOS!$C$11),"",
IF(IFERROR(EOMONTH(D93,1)&gt;PREMISSAS!$C$3,"FALSO"),
   DATE(YEAR(D93)-1,1,31),
   IF(IF(ISTEXT(D93),RIGHT(D93,4)-1=YEAR(RESULTADOS!$C$11),YEAR(D93)-1=YEAR(RESULTADOS!$C$11)),
      IF(LEFT(D93,2)="13",EOMONTH(RESULTADOS!$C$11,0),IF(MONTH(D93)=12,"13º "&amp;YEAR(D93),EOMONTH(D93,1))),
      IF(LEFT(D93,2)="13",DATE(RIGHT(D93,4)-1,1,31),IF(MONTH(D93)=12,"13º "&amp;YEAR(D93),EOMONTH(D93,1)))))))</f>
        <v>13º 2016</v>
      </c>
      <c r="E94" s="342"/>
      <c r="F94" s="257"/>
      <c r="G94" s="251"/>
      <c r="I94" s="262">
        <f ca="1">RESULTADOS!O92</f>
        <v>40086</v>
      </c>
      <c r="J94" s="261">
        <f t="shared" ca="1" si="2"/>
        <v>0</v>
      </c>
      <c r="K94" s="333"/>
      <c r="L94" s="336">
        <f t="shared" si="3"/>
        <v>20000</v>
      </c>
      <c r="M94" s="336">
        <f ca="1">IFERROR(L94/VLOOKUP(D94,IPCA!$A$3:$D$340,4,FALSE),M93)</f>
        <v>14861.103313103931</v>
      </c>
      <c r="N94" s="333"/>
    </row>
    <row r="95" spans="2:14" ht="15" x14ac:dyDescent="0.25">
      <c r="B95" s="251"/>
      <c r="C95" s="251"/>
      <c r="D95" s="258">
        <f ca="1">IF(D94="","",
IF(D94="13º "&amp;YEAR(RESULTADOS!$C$11),"",
IF(IFERROR(EOMONTH(D94,1)&gt;PREMISSAS!$C$3,"FALSO"),
   DATE(YEAR(D94)-1,1,31),
   IF(IF(ISTEXT(D94),RIGHT(D94,4)-1=YEAR(RESULTADOS!$C$11),YEAR(D94)-1=YEAR(RESULTADOS!$C$11)),
      IF(LEFT(D94,2)="13",EOMONTH(RESULTADOS!$C$11,0),IF(MONTH(D94)=12,"13º "&amp;YEAR(D94),EOMONTH(D94,1))),
      IF(LEFT(D94,2)="13",DATE(RIGHT(D94,4)-1,1,31),IF(MONTH(D94)=12,"13º "&amp;YEAR(D94),EOMONTH(D94,1)))))))</f>
        <v>42035</v>
      </c>
      <c r="E95" s="342"/>
      <c r="F95" s="257"/>
      <c r="G95" s="251"/>
      <c r="I95" s="262">
        <f ca="1">RESULTADOS!O93</f>
        <v>40117</v>
      </c>
      <c r="J95" s="261">
        <f t="shared" ca="1" si="2"/>
        <v>0</v>
      </c>
      <c r="K95" s="333"/>
      <c r="L95" s="336">
        <f t="shared" si="3"/>
        <v>20000</v>
      </c>
      <c r="M95" s="336">
        <f ca="1">IFERROR(L95/VLOOKUP(D95,IPCA!$A$3:$D$340,4,FALSE),M94)</f>
        <v>12671.379258069783</v>
      </c>
      <c r="N95" s="333"/>
    </row>
    <row r="96" spans="2:14" ht="15" x14ac:dyDescent="0.25">
      <c r="B96" s="251"/>
      <c r="C96" s="251"/>
      <c r="D96" s="258">
        <f ca="1">IF(D95="","",
IF(D95="13º "&amp;YEAR(RESULTADOS!$C$11),"",
IF(IFERROR(EOMONTH(D95,1)&gt;PREMISSAS!$C$3,"FALSO"),
   DATE(YEAR(D95)-1,1,31),
   IF(IF(ISTEXT(D95),RIGHT(D95,4)-1=YEAR(RESULTADOS!$C$11),YEAR(D95)-1=YEAR(RESULTADOS!$C$11)),
      IF(LEFT(D95,2)="13",EOMONTH(RESULTADOS!$C$11,0),IF(MONTH(D95)=12,"13º "&amp;YEAR(D95),EOMONTH(D95,1))),
      IF(LEFT(D95,2)="13",DATE(RIGHT(D95,4)-1,1,31),IF(MONTH(D95)=12,"13º "&amp;YEAR(D95),EOMONTH(D95,1)))))))</f>
        <v>42063</v>
      </c>
      <c r="E96" s="342"/>
      <c r="F96" s="257"/>
      <c r="G96" s="251"/>
      <c r="I96" s="262">
        <f ca="1">RESULTADOS!O94</f>
        <v>40147</v>
      </c>
      <c r="J96" s="261">
        <f t="shared" ca="1" si="2"/>
        <v>0</v>
      </c>
      <c r="K96" s="333"/>
      <c r="L96" s="336">
        <f t="shared" si="3"/>
        <v>20000</v>
      </c>
      <c r="M96" s="336">
        <f ca="1">IFERROR(L96/VLOOKUP(D96,IPCA!$A$3:$D$340,4,FALSE),M95)</f>
        <v>12828.504360869834</v>
      </c>
      <c r="N96" s="333"/>
    </row>
    <row r="97" spans="2:14" ht="15" x14ac:dyDescent="0.25">
      <c r="B97" s="251"/>
      <c r="C97" s="251"/>
      <c r="D97" s="258">
        <f ca="1">IF(D96="","",
IF(D96="13º "&amp;YEAR(RESULTADOS!$C$11),"",
IF(IFERROR(EOMONTH(D96,1)&gt;PREMISSAS!$C$3,"FALSO"),
   DATE(YEAR(D96)-1,1,31),
   IF(IF(ISTEXT(D96),RIGHT(D96,4)-1=YEAR(RESULTADOS!$C$11),YEAR(D96)-1=YEAR(RESULTADOS!$C$11)),
      IF(LEFT(D96,2)="13",EOMONTH(RESULTADOS!$C$11,0),IF(MONTH(D96)=12,"13º "&amp;YEAR(D96),EOMONTH(D96,1))),
      IF(LEFT(D96,2)="13",DATE(RIGHT(D96,4)-1,1,31),IF(MONTH(D96)=12,"13º "&amp;YEAR(D96),EOMONTH(D96,1)))))))</f>
        <v>42094</v>
      </c>
      <c r="E97" s="342"/>
      <c r="F97" s="257"/>
      <c r="G97" s="251"/>
      <c r="I97" s="262" t="str">
        <f ca="1">RESULTADOS!O95</f>
        <v>13º 2009</v>
      </c>
      <c r="J97" s="261">
        <f t="shared" ca="1" si="2"/>
        <v>0</v>
      </c>
      <c r="K97" s="333"/>
      <c r="L97" s="336">
        <f t="shared" si="3"/>
        <v>20000</v>
      </c>
      <c r="M97" s="336">
        <f ca="1">IFERROR(L97/VLOOKUP(D97,IPCA!$A$3:$D$340,4,FALSE),M96)</f>
        <v>12985.012114072455</v>
      </c>
      <c r="N97" s="333"/>
    </row>
    <row r="98" spans="2:14" ht="15" x14ac:dyDescent="0.25">
      <c r="B98" s="251"/>
      <c r="C98" s="251"/>
      <c r="D98" s="258">
        <f ca="1">IF(D97="","",
IF(D97="13º "&amp;YEAR(RESULTADOS!$C$11),"",
IF(IFERROR(EOMONTH(D97,1)&gt;PREMISSAS!$C$3,"FALSO"),
   DATE(YEAR(D97)-1,1,31),
   IF(IF(ISTEXT(D97),RIGHT(D97,4)-1=YEAR(RESULTADOS!$C$11),YEAR(D97)-1=YEAR(RESULTADOS!$C$11)),
      IF(LEFT(D97,2)="13",EOMONTH(RESULTADOS!$C$11,0),IF(MONTH(D97)=12,"13º "&amp;YEAR(D97),EOMONTH(D97,1))),
      IF(LEFT(D97,2)="13",DATE(RIGHT(D97,4)-1,1,31),IF(MONTH(D97)=12,"13º "&amp;YEAR(D97),EOMONTH(D97,1)))))))</f>
        <v>42124</v>
      </c>
      <c r="E98" s="342"/>
      <c r="F98" s="257"/>
      <c r="G98" s="251"/>
      <c r="I98" s="262">
        <f ca="1">RESULTADOS!O96</f>
        <v>40178</v>
      </c>
      <c r="J98" s="261">
        <f t="shared" ca="1" si="2"/>
        <v>0</v>
      </c>
      <c r="K98" s="333"/>
      <c r="L98" s="336">
        <f t="shared" si="3"/>
        <v>20000</v>
      </c>
      <c r="M98" s="336">
        <f ca="1">IFERROR(L98/VLOOKUP(D98,IPCA!$A$3:$D$340,4,FALSE),M97)</f>
        <v>13156.414273978207</v>
      </c>
      <c r="N98" s="333"/>
    </row>
    <row r="99" spans="2:14" ht="15" x14ac:dyDescent="0.25">
      <c r="B99" s="251"/>
      <c r="C99" s="251"/>
      <c r="D99" s="258">
        <f ca="1">IF(D98="","",
IF(D98="13º "&amp;YEAR(RESULTADOS!$C$11),"",
IF(IFERROR(EOMONTH(D98,1)&gt;PREMISSAS!$C$3,"FALSO"),
   DATE(YEAR(D98)-1,1,31),
   IF(IF(ISTEXT(D98),RIGHT(D98,4)-1=YEAR(RESULTADOS!$C$11),YEAR(D98)-1=YEAR(RESULTADOS!$C$11)),
      IF(LEFT(D98,2)="13",EOMONTH(RESULTADOS!$C$11,0),IF(MONTH(D98)=12,"13º "&amp;YEAR(D98),EOMONTH(D98,1))),
      IF(LEFT(D98,2)="13",DATE(RIGHT(D98,4)-1,1,31),IF(MONTH(D98)=12,"13º "&amp;YEAR(D98),EOMONTH(D98,1)))))))</f>
        <v>42155</v>
      </c>
      <c r="E99" s="342"/>
      <c r="F99" s="257"/>
      <c r="G99" s="251"/>
      <c r="I99" s="262">
        <f ca="1">RESULTADOS!O97</f>
        <v>40209</v>
      </c>
      <c r="J99" s="261">
        <f t="shared" ca="1" si="2"/>
        <v>0</v>
      </c>
      <c r="K99" s="333"/>
      <c r="L99" s="336">
        <f t="shared" si="3"/>
        <v>20000</v>
      </c>
      <c r="M99" s="336">
        <f ca="1">IFERROR(L99/VLOOKUP(D99,IPCA!$A$3:$D$340,4,FALSE),M98)</f>
        <v>13249.824815323454</v>
      </c>
      <c r="N99" s="333"/>
    </row>
    <row r="100" spans="2:14" ht="15" x14ac:dyDescent="0.25">
      <c r="B100" s="251"/>
      <c r="C100" s="251"/>
      <c r="D100" s="258">
        <f ca="1">IF(D99="","",
IF(D99="13º "&amp;YEAR(RESULTADOS!$C$11),"",
IF(IFERROR(EOMONTH(D99,1)&gt;PREMISSAS!$C$3,"FALSO"),
   DATE(YEAR(D99)-1,1,31),
   IF(IF(ISTEXT(D99),RIGHT(D99,4)-1=YEAR(RESULTADOS!$C$11),YEAR(D99)-1=YEAR(RESULTADOS!$C$11)),
      IF(LEFT(D99,2)="13",EOMONTH(RESULTADOS!$C$11,0),IF(MONTH(D99)=12,"13º "&amp;YEAR(D99),EOMONTH(D99,1))),
      IF(LEFT(D99,2)="13",DATE(RIGHT(D99,4)-1,1,31),IF(MONTH(D99)=12,"13º "&amp;YEAR(D99),EOMONTH(D99,1)))))))</f>
        <v>42185</v>
      </c>
      <c r="E100" s="342"/>
      <c r="F100" s="257"/>
      <c r="G100" s="251"/>
      <c r="I100" s="262">
        <f ca="1">RESULTADOS!O98</f>
        <v>40237</v>
      </c>
      <c r="J100" s="261">
        <f t="shared" ca="1" si="2"/>
        <v>0</v>
      </c>
      <c r="K100" s="333"/>
      <c r="L100" s="336">
        <f t="shared" si="3"/>
        <v>20000</v>
      </c>
      <c r="M100" s="336">
        <f ca="1">IFERROR(L100/VLOOKUP(D100,IPCA!$A$3:$D$340,4,FALSE),M99)</f>
        <v>13347.873518956856</v>
      </c>
      <c r="N100" s="333"/>
    </row>
    <row r="101" spans="2:14" ht="15" x14ac:dyDescent="0.25">
      <c r="B101" s="251"/>
      <c r="C101" s="251"/>
      <c r="D101" s="258">
        <f ca="1">IF(D100="","",
IF(D100="13º "&amp;YEAR(RESULTADOS!$C$11),"",
IF(IFERROR(EOMONTH(D100,1)&gt;PREMISSAS!$C$3,"FALSO"),
   DATE(YEAR(D100)-1,1,31),
   IF(IF(ISTEXT(D100),RIGHT(D100,4)-1=YEAR(RESULTADOS!$C$11),YEAR(D100)-1=YEAR(RESULTADOS!$C$11)),
      IF(LEFT(D100,2)="13",EOMONTH(RESULTADOS!$C$11,0),IF(MONTH(D100)=12,"13º "&amp;YEAR(D100),EOMONTH(D100,1))),
      IF(LEFT(D100,2)="13",DATE(RIGHT(D100,4)-1,1,31),IF(MONTH(D100)=12,"13º "&amp;YEAR(D100),EOMONTH(D100,1)))))))</f>
        <v>42216</v>
      </c>
      <c r="E101" s="342"/>
      <c r="F101" s="257"/>
      <c r="G101" s="251"/>
      <c r="I101" s="262">
        <f ca="1">RESULTADOS!O99</f>
        <v>40268</v>
      </c>
      <c r="J101" s="261">
        <f t="shared" ca="1" si="2"/>
        <v>0</v>
      </c>
      <c r="K101" s="333"/>
      <c r="L101" s="336">
        <f t="shared" si="3"/>
        <v>20000</v>
      </c>
      <c r="M101" s="336">
        <f ca="1">IFERROR(L101/VLOOKUP(D101,IPCA!$A$3:$D$340,4,FALSE),M100)</f>
        <v>13453.321719756608</v>
      </c>
      <c r="N101" s="333"/>
    </row>
    <row r="102" spans="2:14" ht="15" x14ac:dyDescent="0.25">
      <c r="B102" s="251"/>
      <c r="C102" s="251"/>
      <c r="D102" s="258">
        <f ca="1">IF(D101="","",
IF(D101="13º "&amp;YEAR(RESULTADOS!$C$11),"",
IF(IFERROR(EOMONTH(D101,1)&gt;PREMISSAS!$C$3,"FALSO"),
   DATE(YEAR(D101)-1,1,31),
   IF(IF(ISTEXT(D101),RIGHT(D101,4)-1=YEAR(RESULTADOS!$C$11),YEAR(D101)-1=YEAR(RESULTADOS!$C$11)),
      IF(LEFT(D101,2)="13",EOMONTH(RESULTADOS!$C$11,0),IF(MONTH(D101)=12,"13º "&amp;YEAR(D101),EOMONTH(D101,1))),
      IF(LEFT(D101,2)="13",DATE(RIGHT(D101,4)-1,1,31),IF(MONTH(D101)=12,"13º "&amp;YEAR(D101),EOMONTH(D101,1)))))))</f>
        <v>42247</v>
      </c>
      <c r="E102" s="342"/>
      <c r="F102" s="257"/>
      <c r="G102" s="251"/>
      <c r="I102" s="262">
        <f ca="1">RESULTADOS!O100</f>
        <v>40298</v>
      </c>
      <c r="J102" s="261">
        <f t="shared" ca="1" si="2"/>
        <v>0</v>
      </c>
      <c r="K102" s="333"/>
      <c r="L102" s="336">
        <f t="shared" si="3"/>
        <v>20000</v>
      </c>
      <c r="M102" s="336">
        <f ca="1">IFERROR(L102/VLOOKUP(D102,IPCA!$A$3:$D$340,4,FALSE),M101)</f>
        <v>13536.732314419096</v>
      </c>
      <c r="N102" s="333"/>
    </row>
    <row r="103" spans="2:14" ht="15" x14ac:dyDescent="0.25">
      <c r="B103" s="251"/>
      <c r="C103" s="251"/>
      <c r="D103" s="258">
        <f ca="1">IF(D102="","",
IF(D102="13º "&amp;YEAR(RESULTADOS!$C$11),"",
IF(IFERROR(EOMONTH(D102,1)&gt;PREMISSAS!$C$3,"FALSO"),
   DATE(YEAR(D102)-1,1,31),
   IF(IF(ISTEXT(D102),RIGHT(D102,4)-1=YEAR(RESULTADOS!$C$11),YEAR(D102)-1=YEAR(RESULTADOS!$C$11)),
      IF(LEFT(D102,2)="13",EOMONTH(RESULTADOS!$C$11,0),IF(MONTH(D102)=12,"13º "&amp;YEAR(D102),EOMONTH(D102,1))),
      IF(LEFT(D102,2)="13",DATE(RIGHT(D102,4)-1,1,31),IF(MONTH(D102)=12,"13º "&amp;YEAR(D102),EOMONTH(D102,1)))))))</f>
        <v>42277</v>
      </c>
      <c r="E103" s="342"/>
      <c r="F103" s="257"/>
      <c r="G103" s="251"/>
      <c r="I103" s="262">
        <f ca="1">RESULTADOS!O101</f>
        <v>40329</v>
      </c>
      <c r="J103" s="261">
        <f t="shared" ca="1" si="2"/>
        <v>0</v>
      </c>
      <c r="K103" s="333"/>
      <c r="L103" s="336">
        <f t="shared" si="3"/>
        <v>20000</v>
      </c>
      <c r="M103" s="336">
        <f ca="1">IFERROR(L103/VLOOKUP(D103,IPCA!$A$3:$D$340,4,FALSE),M102)</f>
        <v>13566.513125510817</v>
      </c>
      <c r="N103" s="333"/>
    </row>
    <row r="104" spans="2:14" ht="15" x14ac:dyDescent="0.25">
      <c r="B104" s="251"/>
      <c r="C104" s="251"/>
      <c r="D104" s="258">
        <f ca="1">IF(D103="","",
IF(D103="13º "&amp;YEAR(RESULTADOS!$C$11),"",
IF(IFERROR(EOMONTH(D103,1)&gt;PREMISSAS!$C$3,"FALSO"),
   DATE(YEAR(D103)-1,1,31),
   IF(IF(ISTEXT(D103),RIGHT(D103,4)-1=YEAR(RESULTADOS!$C$11),YEAR(D103)-1=YEAR(RESULTADOS!$C$11)),
      IF(LEFT(D103,2)="13",EOMONTH(RESULTADOS!$C$11,0),IF(MONTH(D103)=12,"13º "&amp;YEAR(D103),EOMONTH(D103,1))),
      IF(LEFT(D103,2)="13",DATE(RIGHT(D103,4)-1,1,31),IF(MONTH(D103)=12,"13º "&amp;YEAR(D103),EOMONTH(D103,1)))))))</f>
        <v>42308</v>
      </c>
      <c r="E104" s="342"/>
      <c r="F104" s="257"/>
      <c r="G104" s="251"/>
      <c r="I104" s="262">
        <f ca="1">RESULTADOS!O102</f>
        <v>40359</v>
      </c>
      <c r="J104" s="261">
        <f t="shared" ca="1" si="2"/>
        <v>0</v>
      </c>
      <c r="K104" s="333"/>
      <c r="L104" s="336">
        <f t="shared" si="3"/>
        <v>20000</v>
      </c>
      <c r="M104" s="336">
        <f ca="1">IFERROR(L104/VLOOKUP(D104,IPCA!$A$3:$D$340,4,FALSE),M103)</f>
        <v>13639.772296388586</v>
      </c>
      <c r="N104" s="333"/>
    </row>
    <row r="105" spans="2:14" ht="15" x14ac:dyDescent="0.25">
      <c r="B105" s="251"/>
      <c r="C105" s="251"/>
      <c r="D105" s="258">
        <f ca="1">IF(D104="","",
IF(D104="13º "&amp;YEAR(RESULTADOS!$C$11),"",
IF(IFERROR(EOMONTH(D104,1)&gt;PREMISSAS!$C$3,"FALSO"),
   DATE(YEAR(D104)-1,1,31),
   IF(IF(ISTEXT(D104),RIGHT(D104,4)-1=YEAR(RESULTADOS!$C$11),YEAR(D104)-1=YEAR(RESULTADOS!$C$11)),
      IF(LEFT(D104,2)="13",EOMONTH(RESULTADOS!$C$11,0),IF(MONTH(D104)=12,"13º "&amp;YEAR(D104),EOMONTH(D104,1))),
      IF(LEFT(D104,2)="13",DATE(RIGHT(D104,4)-1,1,31),IF(MONTH(D104)=12,"13º "&amp;YEAR(D104),EOMONTH(D104,1)))))))</f>
        <v>42338</v>
      </c>
      <c r="E105" s="342"/>
      <c r="F105" s="257"/>
      <c r="G105" s="251"/>
      <c r="I105" s="262">
        <f ca="1">RESULTADOS!O103</f>
        <v>40390</v>
      </c>
      <c r="J105" s="261">
        <f t="shared" ca="1" si="2"/>
        <v>0</v>
      </c>
      <c r="K105" s="333"/>
      <c r="L105" s="336">
        <f t="shared" si="3"/>
        <v>20000</v>
      </c>
      <c r="M105" s="336">
        <f ca="1">IFERROR(L105/VLOOKUP(D105,IPCA!$A$3:$D$340,4,FALSE),M104)</f>
        <v>13751.618429218965</v>
      </c>
      <c r="N105" s="333"/>
    </row>
    <row r="106" spans="2:14" ht="15" x14ac:dyDescent="0.25">
      <c r="B106" s="251"/>
      <c r="C106" s="251"/>
      <c r="D106" s="258">
        <f ca="1">IF(D105="","",
IF(D105="13º "&amp;YEAR(RESULTADOS!$C$11),"",
IF(IFERROR(EOMONTH(D105,1)&gt;PREMISSAS!$C$3,"FALSO"),
   DATE(YEAR(D105)-1,1,31),
   IF(IF(ISTEXT(D105),RIGHT(D105,4)-1=YEAR(RESULTADOS!$C$11),YEAR(D105)-1=YEAR(RESULTADOS!$C$11)),
      IF(LEFT(D105,2)="13",EOMONTH(RESULTADOS!$C$11,0),IF(MONTH(D105)=12,"13º "&amp;YEAR(D105),EOMONTH(D105,1))),
      IF(LEFT(D105,2)="13",DATE(RIGHT(D105,4)-1,1,31),IF(MONTH(D105)=12,"13º "&amp;YEAR(D105),EOMONTH(D105,1)))))))</f>
        <v>42369</v>
      </c>
      <c r="E106" s="342"/>
      <c r="F106" s="257"/>
      <c r="G106" s="251"/>
      <c r="I106" s="262">
        <f ca="1">RESULTADOS!O104</f>
        <v>40421</v>
      </c>
      <c r="J106" s="261">
        <f t="shared" ca="1" si="2"/>
        <v>0</v>
      </c>
      <c r="K106" s="333"/>
      <c r="L106" s="336">
        <f t="shared" si="3"/>
        <v>20000</v>
      </c>
      <c r="M106" s="336">
        <f ca="1">IFERROR(L106/VLOOKUP(D106,IPCA!$A$3:$D$340,4,FALSE),M105)</f>
        <v>13890.509775354078</v>
      </c>
      <c r="N106" s="333"/>
    </row>
    <row r="107" spans="2:14" ht="15" x14ac:dyDescent="0.25">
      <c r="B107" s="251"/>
      <c r="C107" s="251"/>
      <c r="D107" s="258" t="str">
        <f ca="1">IF(D106="","",
IF(D106="13º "&amp;YEAR(RESULTADOS!$C$11),"",
IF(IFERROR(EOMONTH(D106,1)&gt;PREMISSAS!$C$3,"FALSO"),
   DATE(YEAR(D106)-1,1,31),
   IF(IF(ISTEXT(D106),RIGHT(D106,4)-1=YEAR(RESULTADOS!$C$11),YEAR(D106)-1=YEAR(RESULTADOS!$C$11)),
      IF(LEFT(D106,2)="13",EOMONTH(RESULTADOS!$C$11,0),IF(MONTH(D106)=12,"13º "&amp;YEAR(D106),EOMONTH(D106,1))),
      IF(LEFT(D106,2)="13",DATE(RIGHT(D106,4)-1,1,31),IF(MONTH(D106)=12,"13º "&amp;YEAR(D106),EOMONTH(D106,1)))))))</f>
        <v>13º 2015</v>
      </c>
      <c r="E107" s="342"/>
      <c r="F107" s="257"/>
      <c r="G107" s="251"/>
      <c r="I107" s="262">
        <f ca="1">RESULTADOS!O105</f>
        <v>40451</v>
      </c>
      <c r="J107" s="261">
        <f t="shared" ca="1" si="2"/>
        <v>0</v>
      </c>
      <c r="K107" s="333"/>
      <c r="L107" s="336">
        <f t="shared" si="3"/>
        <v>20000</v>
      </c>
      <c r="M107" s="336">
        <f ca="1">IFERROR(L107/VLOOKUP(D107,IPCA!$A$3:$D$340,4,FALSE),M106)</f>
        <v>13890.509775354078</v>
      </c>
      <c r="N107" s="333"/>
    </row>
    <row r="108" spans="2:14" ht="15" x14ac:dyDescent="0.25">
      <c r="B108" s="251"/>
      <c r="C108" s="251"/>
      <c r="D108" s="258">
        <f ca="1">IF(D107="","",
IF(D107="13º "&amp;YEAR(RESULTADOS!$C$11),"",
IF(IFERROR(EOMONTH(D107,1)&gt;PREMISSAS!$C$3,"FALSO"),
   DATE(YEAR(D107)-1,1,31),
   IF(IF(ISTEXT(D107),RIGHT(D107,4)-1=YEAR(RESULTADOS!$C$11),YEAR(D107)-1=YEAR(RESULTADOS!$C$11)),
      IF(LEFT(D107,2)="13",EOMONTH(RESULTADOS!$C$11,0),IF(MONTH(D107)=12,"13º "&amp;YEAR(D107),EOMONTH(D107,1))),
      IF(LEFT(D107,2)="13",DATE(RIGHT(D107,4)-1,1,31),IF(MONTH(D107)=12,"13º "&amp;YEAR(D107),EOMONTH(D107,1)))))))</f>
        <v>41670</v>
      </c>
      <c r="E108" s="342"/>
      <c r="F108" s="257"/>
      <c r="G108" s="251"/>
      <c r="I108" s="262">
        <f ca="1">RESULTADOS!O106</f>
        <v>40482</v>
      </c>
      <c r="J108" s="261">
        <f t="shared" ca="1" si="2"/>
        <v>0</v>
      </c>
      <c r="K108" s="333"/>
      <c r="L108" s="336">
        <f t="shared" si="3"/>
        <v>20000</v>
      </c>
      <c r="M108" s="336">
        <f ca="1">IFERROR(L108/VLOOKUP(D108,IPCA!$A$3:$D$340,4,FALSE),M107)</f>
        <v>11908.338578931602</v>
      </c>
      <c r="N108" s="333"/>
    </row>
    <row r="109" spans="2:14" ht="15" x14ac:dyDescent="0.25">
      <c r="B109" s="251"/>
      <c r="C109" s="251"/>
      <c r="D109" s="258">
        <f ca="1">IF(D108="","",
IF(D108="13º "&amp;YEAR(RESULTADOS!$C$11),"",
IF(IFERROR(EOMONTH(D108,1)&gt;PREMISSAS!$C$3,"FALSO"),
   DATE(YEAR(D108)-1,1,31),
   IF(IF(ISTEXT(D108),RIGHT(D108,4)-1=YEAR(RESULTADOS!$C$11),YEAR(D108)-1=YEAR(RESULTADOS!$C$11)),
      IF(LEFT(D108,2)="13",EOMONTH(RESULTADOS!$C$11,0),IF(MONTH(D108)=12,"13º "&amp;YEAR(D108),EOMONTH(D108,1))),
      IF(LEFT(D108,2)="13",DATE(RIGHT(D108,4)-1,1,31),IF(MONTH(D108)=12,"13º "&amp;YEAR(D108),EOMONTH(D108,1)))))))</f>
        <v>41698</v>
      </c>
      <c r="E109" s="342"/>
      <c r="F109" s="257"/>
      <c r="G109" s="251"/>
      <c r="I109" s="262">
        <f ca="1">RESULTADOS!O107</f>
        <v>40512</v>
      </c>
      <c r="J109" s="261">
        <f t="shared" ca="1" si="2"/>
        <v>0</v>
      </c>
      <c r="K109" s="333"/>
      <c r="L109" s="336">
        <f t="shared" si="3"/>
        <v>20000</v>
      </c>
      <c r="M109" s="336">
        <f ca="1">IFERROR(L109/VLOOKUP(D109,IPCA!$A$3:$D$340,4,FALSE),M108)</f>
        <v>11973.834441115727</v>
      </c>
      <c r="N109" s="333"/>
    </row>
    <row r="110" spans="2:14" ht="15" x14ac:dyDescent="0.25">
      <c r="B110" s="251"/>
      <c r="C110" s="251"/>
      <c r="D110" s="258">
        <f ca="1">IF(D109="","",
IF(D109="13º "&amp;YEAR(RESULTADOS!$C$11),"",
IF(IFERROR(EOMONTH(D109,1)&gt;PREMISSAS!$C$3,"FALSO"),
   DATE(YEAR(D109)-1,1,31),
   IF(IF(ISTEXT(D109),RIGHT(D109,4)-1=YEAR(RESULTADOS!$C$11),YEAR(D109)-1=YEAR(RESULTADOS!$C$11)),
      IF(LEFT(D109,2)="13",EOMONTH(RESULTADOS!$C$11,0),IF(MONTH(D109)=12,"13º "&amp;YEAR(D109),EOMONTH(D109,1))),
      IF(LEFT(D109,2)="13",DATE(RIGHT(D109,4)-1,1,31),IF(MONTH(D109)=12,"13º "&amp;YEAR(D109),EOMONTH(D109,1)))))))</f>
        <v>41729</v>
      </c>
      <c r="E110" s="342"/>
      <c r="F110" s="257"/>
      <c r="G110" s="251"/>
      <c r="I110" s="262" t="str">
        <f ca="1">RESULTADOS!O108</f>
        <v>13º 2010</v>
      </c>
      <c r="J110" s="261">
        <f t="shared" ca="1" si="2"/>
        <v>0</v>
      </c>
      <c r="K110" s="333"/>
      <c r="L110" s="336">
        <f t="shared" si="3"/>
        <v>20000</v>
      </c>
      <c r="M110" s="336">
        <f ca="1">IFERROR(L110/VLOOKUP(D110,IPCA!$A$3:$D$340,4,FALSE),M109)</f>
        <v>12056.453898759426</v>
      </c>
      <c r="N110" s="333"/>
    </row>
    <row r="111" spans="2:14" ht="15" x14ac:dyDescent="0.25">
      <c r="B111" s="251"/>
      <c r="C111" s="251"/>
      <c r="D111" s="258">
        <f ca="1">IF(D110="","",
IF(D110="13º "&amp;YEAR(RESULTADOS!$C$11),"",
IF(IFERROR(EOMONTH(D110,1)&gt;PREMISSAS!$C$3,"FALSO"),
   DATE(YEAR(D110)-1,1,31),
   IF(IF(ISTEXT(D110),RIGHT(D110,4)-1=YEAR(RESULTADOS!$C$11),YEAR(D110)-1=YEAR(RESULTADOS!$C$11)),
      IF(LEFT(D110,2)="13",EOMONTH(RESULTADOS!$C$11,0),IF(MONTH(D110)=12,"13º "&amp;YEAR(D110),EOMONTH(D110,1))),
      IF(LEFT(D110,2)="13",DATE(RIGHT(D110,4)-1,1,31),IF(MONTH(D110)=12,"13º "&amp;YEAR(D110),EOMONTH(D110,1)))))))</f>
        <v>41759</v>
      </c>
      <c r="E111" s="342"/>
      <c r="F111" s="257"/>
      <c r="G111" s="251"/>
      <c r="I111" s="262">
        <f ca="1">RESULTADOS!O109</f>
        <v>40543</v>
      </c>
      <c r="J111" s="261">
        <f t="shared" ca="1" si="2"/>
        <v>0</v>
      </c>
      <c r="K111" s="333"/>
      <c r="L111" s="336">
        <f t="shared" si="3"/>
        <v>20000</v>
      </c>
      <c r="M111" s="336">
        <f ca="1">IFERROR(L111/VLOOKUP(D111,IPCA!$A$3:$D$340,4,FALSE),M110)</f>
        <v>12167.373274628017</v>
      </c>
      <c r="N111" s="333"/>
    </row>
    <row r="112" spans="2:14" ht="15" x14ac:dyDescent="0.25">
      <c r="B112" s="251"/>
      <c r="C112" s="251"/>
      <c r="D112" s="258">
        <f ca="1">IF(D111="","",
IF(D111="13º "&amp;YEAR(RESULTADOS!$C$11),"",
IF(IFERROR(EOMONTH(D111,1)&gt;PREMISSAS!$C$3,"FALSO"),
   DATE(YEAR(D111)-1,1,31),
   IF(IF(ISTEXT(D111),RIGHT(D111,4)-1=YEAR(RESULTADOS!$C$11),YEAR(D111)-1=YEAR(RESULTADOS!$C$11)),
      IF(LEFT(D111,2)="13",EOMONTH(RESULTADOS!$C$11,0),IF(MONTH(D111)=12,"13º "&amp;YEAR(D111),EOMONTH(D111,1))),
      IF(LEFT(D111,2)="13",DATE(RIGHT(D111,4)-1,1,31),IF(MONTH(D111)=12,"13º "&amp;YEAR(D111),EOMONTH(D111,1)))))))</f>
        <v>41790</v>
      </c>
      <c r="E112" s="342"/>
      <c r="F112" s="257"/>
      <c r="G112" s="251"/>
      <c r="I112" s="262">
        <f ca="1">RESULTADOS!O110</f>
        <v>40574</v>
      </c>
      <c r="J112" s="261">
        <f t="shared" ca="1" si="2"/>
        <v>0</v>
      </c>
      <c r="K112" s="333"/>
      <c r="L112" s="336">
        <f t="shared" si="3"/>
        <v>20000</v>
      </c>
      <c r="M112" s="336">
        <f ca="1">IFERROR(L112/VLOOKUP(D112,IPCA!$A$3:$D$340,4,FALSE),M111)</f>
        <v>12248.894675568015</v>
      </c>
      <c r="N112" s="333"/>
    </row>
    <row r="113" spans="2:14" ht="15" x14ac:dyDescent="0.25">
      <c r="B113" s="251"/>
      <c r="C113" s="251"/>
      <c r="D113" s="258">
        <f ca="1">IF(D112="","",
IF(D112="13º "&amp;YEAR(RESULTADOS!$C$11),"",
IF(IFERROR(EOMONTH(D112,1)&gt;PREMISSAS!$C$3,"FALSO"),
   DATE(YEAR(D112)-1,1,31),
   IF(IF(ISTEXT(D112),RIGHT(D112,4)-1=YEAR(RESULTADOS!$C$11),YEAR(D112)-1=YEAR(RESULTADOS!$C$11)),
      IF(LEFT(D112,2)="13",EOMONTH(RESULTADOS!$C$11,0),IF(MONTH(D112)=12,"13º "&amp;YEAR(D112),EOMONTH(D112,1))),
      IF(LEFT(D112,2)="13",DATE(RIGHT(D112,4)-1,1,31),IF(MONTH(D112)=12,"13º "&amp;YEAR(D112),EOMONTH(D112,1)))))))</f>
        <v>41820</v>
      </c>
      <c r="E113" s="342"/>
      <c r="F113" s="257"/>
      <c r="G113" s="251"/>
      <c r="I113" s="262">
        <f ca="1">RESULTADOS!O111</f>
        <v>40602</v>
      </c>
      <c r="J113" s="261">
        <f t="shared" ca="1" si="2"/>
        <v>0</v>
      </c>
      <c r="K113" s="333"/>
      <c r="L113" s="336">
        <f t="shared" si="3"/>
        <v>20000</v>
      </c>
      <c r="M113" s="336">
        <f ca="1">IFERROR(L113/VLOOKUP(D113,IPCA!$A$3:$D$340,4,FALSE),M112)</f>
        <v>12305.239591075631</v>
      </c>
      <c r="N113" s="333"/>
    </row>
    <row r="114" spans="2:14" ht="15" x14ac:dyDescent="0.25">
      <c r="B114" s="251"/>
      <c r="C114" s="251"/>
      <c r="D114" s="258">
        <f ca="1">IF(D113="","",
IF(D113="13º "&amp;YEAR(RESULTADOS!$C$11),"",
IF(IFERROR(EOMONTH(D113,1)&gt;PREMISSAS!$C$3,"FALSO"),
   DATE(YEAR(D113)-1,1,31),
   IF(IF(ISTEXT(D113),RIGHT(D113,4)-1=YEAR(RESULTADOS!$C$11),YEAR(D113)-1=YEAR(RESULTADOS!$C$11)),
      IF(LEFT(D113,2)="13",EOMONTH(RESULTADOS!$C$11,0),IF(MONTH(D113)=12,"13º "&amp;YEAR(D113),EOMONTH(D113,1))),
      IF(LEFT(D113,2)="13",DATE(RIGHT(D113,4)-1,1,31),IF(MONTH(D113)=12,"13º "&amp;YEAR(D113),EOMONTH(D113,1)))))))</f>
        <v>41851</v>
      </c>
      <c r="E114" s="342"/>
      <c r="F114" s="257"/>
      <c r="G114" s="251"/>
      <c r="I114" s="262">
        <f ca="1">RESULTADOS!O112</f>
        <v>40633</v>
      </c>
      <c r="J114" s="261">
        <f t="shared" ca="1" si="2"/>
        <v>0</v>
      </c>
      <c r="K114" s="333"/>
      <c r="L114" s="336">
        <f t="shared" si="3"/>
        <v>20000</v>
      </c>
      <c r="M114" s="336">
        <f ca="1">IFERROR(L114/VLOOKUP(D114,IPCA!$A$3:$D$340,4,FALSE),M113)</f>
        <v>12354.460549439938</v>
      </c>
      <c r="N114" s="333"/>
    </row>
    <row r="115" spans="2:14" ht="15" x14ac:dyDescent="0.25">
      <c r="B115" s="251"/>
      <c r="C115" s="251"/>
      <c r="D115" s="258">
        <f ca="1">IF(D114="","",
IF(D114="13º "&amp;YEAR(RESULTADOS!$C$11),"",
IF(IFERROR(EOMONTH(D114,1)&gt;PREMISSAS!$C$3,"FALSO"),
   DATE(YEAR(D114)-1,1,31),
   IF(IF(ISTEXT(D114),RIGHT(D114,4)-1=YEAR(RESULTADOS!$C$11),YEAR(D114)-1=YEAR(RESULTADOS!$C$11)),
      IF(LEFT(D114,2)="13",EOMONTH(RESULTADOS!$C$11,0),IF(MONTH(D114)=12,"13º "&amp;YEAR(D114),EOMONTH(D114,1))),
      IF(LEFT(D114,2)="13",DATE(RIGHT(D114,4)-1,1,31),IF(MONTH(D114)=12,"13º "&amp;YEAR(D114),EOMONTH(D114,1)))))))</f>
        <v>41882</v>
      </c>
      <c r="E115" s="342"/>
      <c r="F115" s="257"/>
      <c r="G115" s="251"/>
      <c r="I115" s="262">
        <f ca="1">RESULTADOS!O113</f>
        <v>40663</v>
      </c>
      <c r="J115" s="261">
        <f t="shared" ca="1" si="2"/>
        <v>0</v>
      </c>
      <c r="K115" s="333"/>
      <c r="L115" s="336">
        <f t="shared" si="3"/>
        <v>20000</v>
      </c>
      <c r="M115" s="336">
        <f ca="1">IFERROR(L115/VLOOKUP(D115,IPCA!$A$3:$D$340,4,FALSE),M114)</f>
        <v>12355.69599549488</v>
      </c>
      <c r="N115" s="333"/>
    </row>
    <row r="116" spans="2:14" ht="15" x14ac:dyDescent="0.25">
      <c r="B116" s="251"/>
      <c r="C116" s="251"/>
      <c r="D116" s="258">
        <f ca="1">IF(D115="","",
IF(D115="13º "&amp;YEAR(RESULTADOS!$C$11),"",
IF(IFERROR(EOMONTH(D115,1)&gt;PREMISSAS!$C$3,"FALSO"),
   DATE(YEAR(D115)-1,1,31),
   IF(IF(ISTEXT(D115),RIGHT(D115,4)-1=YEAR(RESULTADOS!$C$11),YEAR(D115)-1=YEAR(RESULTADOS!$C$11)),
      IF(LEFT(D115,2)="13",EOMONTH(RESULTADOS!$C$11,0),IF(MONTH(D115)=12,"13º "&amp;YEAR(D115),EOMONTH(D115,1))),
      IF(LEFT(D115,2)="13",DATE(RIGHT(D115,4)-1,1,31),IF(MONTH(D115)=12,"13º "&amp;YEAR(D115),EOMONTH(D115,1)))))))</f>
        <v>41912</v>
      </c>
      <c r="E116" s="342"/>
      <c r="F116" s="257"/>
      <c r="G116" s="251"/>
      <c r="I116" s="262">
        <f ca="1">RESULTADOS!O114</f>
        <v>40694</v>
      </c>
      <c r="J116" s="261">
        <f t="shared" ca="1" si="2"/>
        <v>0</v>
      </c>
      <c r="K116" s="333"/>
      <c r="L116" s="336">
        <f t="shared" si="3"/>
        <v>20000</v>
      </c>
      <c r="M116" s="336">
        <f ca="1">IFERROR(L116/VLOOKUP(D116,IPCA!$A$3:$D$340,4,FALSE),M115)</f>
        <v>12386.585235483613</v>
      </c>
      <c r="N116" s="333"/>
    </row>
    <row r="117" spans="2:14" ht="15" x14ac:dyDescent="0.25">
      <c r="B117" s="251"/>
      <c r="C117" s="251"/>
      <c r="D117" s="258">
        <f ca="1">IF(D116="","",
IF(D116="13º "&amp;YEAR(RESULTADOS!$C$11),"",
IF(IFERROR(EOMONTH(D116,1)&gt;PREMISSAS!$C$3,"FALSO"),
   DATE(YEAR(D116)-1,1,31),
   IF(IF(ISTEXT(D116),RIGHT(D116,4)-1=YEAR(RESULTADOS!$C$11),YEAR(D116)-1=YEAR(RESULTADOS!$C$11)),
      IF(LEFT(D116,2)="13",EOMONTH(RESULTADOS!$C$11,0),IF(MONTH(D116)=12,"13º "&amp;YEAR(D116),EOMONTH(D116,1))),
      IF(LEFT(D116,2)="13",DATE(RIGHT(D116,4)-1,1,31),IF(MONTH(D116)=12,"13º "&amp;YEAR(D116),EOMONTH(D116,1)))))))</f>
        <v>41943</v>
      </c>
      <c r="E117" s="342"/>
      <c r="F117" s="257"/>
      <c r="G117" s="251"/>
      <c r="I117" s="262">
        <f ca="1">RESULTADOS!O115</f>
        <v>40724</v>
      </c>
      <c r="J117" s="261">
        <f t="shared" ca="1" si="2"/>
        <v>0</v>
      </c>
      <c r="K117" s="333"/>
      <c r="L117" s="336">
        <f t="shared" si="3"/>
        <v>20000</v>
      </c>
      <c r="M117" s="336">
        <f ca="1">IFERROR(L117/VLOOKUP(D117,IPCA!$A$3:$D$340,4,FALSE),M116)</f>
        <v>12457.188771325869</v>
      </c>
      <c r="N117" s="333"/>
    </row>
    <row r="118" spans="2:14" ht="15" x14ac:dyDescent="0.25">
      <c r="B118" s="251"/>
      <c r="C118" s="251"/>
      <c r="D118" s="258">
        <f ca="1">IF(D117="","",
IF(D117="13º "&amp;YEAR(RESULTADOS!$C$11),"",
IF(IFERROR(EOMONTH(D117,1)&gt;PREMISSAS!$C$3,"FALSO"),
   DATE(YEAR(D117)-1,1,31),
   IF(IF(ISTEXT(D117),RIGHT(D117,4)-1=YEAR(RESULTADOS!$C$11),YEAR(D117)-1=YEAR(RESULTADOS!$C$11)),
      IF(LEFT(D117,2)="13",EOMONTH(RESULTADOS!$C$11,0),IF(MONTH(D117)=12,"13º "&amp;YEAR(D117),EOMONTH(D117,1))),
      IF(LEFT(D117,2)="13",DATE(RIGHT(D117,4)-1,1,31),IF(MONTH(D117)=12,"13º "&amp;YEAR(D117),EOMONTH(D117,1)))))))</f>
        <v>41973</v>
      </c>
      <c r="E118" s="342"/>
      <c r="F118" s="257"/>
      <c r="G118" s="251"/>
      <c r="I118" s="262">
        <f ca="1">RESULTADOS!O116</f>
        <v>40755</v>
      </c>
      <c r="J118" s="261">
        <f t="shared" ca="1" si="2"/>
        <v>0</v>
      </c>
      <c r="K118" s="333"/>
      <c r="L118" s="336">
        <f t="shared" si="3"/>
        <v>20000</v>
      </c>
      <c r="M118" s="336">
        <f ca="1">IFERROR(L118/VLOOKUP(D118,IPCA!$A$3:$D$340,4,FALSE),M117)</f>
        <v>12509.508964165438</v>
      </c>
      <c r="N118" s="333"/>
    </row>
    <row r="119" spans="2:14" ht="15" x14ac:dyDescent="0.25">
      <c r="B119" s="251"/>
      <c r="C119" s="251"/>
      <c r="D119" s="258">
        <f ca="1">IF(D118="","",
IF(D118="13º "&amp;YEAR(RESULTADOS!$C$11),"",
IF(IFERROR(EOMONTH(D118,1)&gt;PREMISSAS!$C$3,"FALSO"),
   DATE(YEAR(D118)-1,1,31),
   IF(IF(ISTEXT(D118),RIGHT(D118,4)-1=YEAR(RESULTADOS!$C$11),YEAR(D118)-1=YEAR(RESULTADOS!$C$11)),
      IF(LEFT(D118,2)="13",EOMONTH(RESULTADOS!$C$11,0),IF(MONTH(D118)=12,"13º "&amp;YEAR(D118),EOMONTH(D118,1))),
      IF(LEFT(D118,2)="13",DATE(RIGHT(D118,4)-1,1,31),IF(MONTH(D118)=12,"13º "&amp;YEAR(D118),EOMONTH(D118,1)))))))</f>
        <v>42004</v>
      </c>
      <c r="E119" s="342"/>
      <c r="F119" s="257"/>
      <c r="G119" s="251"/>
      <c r="I119" s="262">
        <f ca="1">RESULTADOS!O117</f>
        <v>40786</v>
      </c>
      <c r="J119" s="261">
        <f t="shared" ca="1" si="2"/>
        <v>0</v>
      </c>
      <c r="K119" s="333"/>
      <c r="L119" s="336">
        <f t="shared" si="3"/>
        <v>20000</v>
      </c>
      <c r="M119" s="336">
        <f ca="1">IFERROR(L119/VLOOKUP(D119,IPCA!$A$3:$D$340,4,FALSE),M118)</f>
        <v>12573.307459882692</v>
      </c>
      <c r="N119" s="333"/>
    </row>
    <row r="120" spans="2:14" ht="15" x14ac:dyDescent="0.25">
      <c r="B120" s="251"/>
      <c r="C120" s="251"/>
      <c r="D120" s="258" t="str">
        <f ca="1">IF(D119="","",
IF(D119="13º "&amp;YEAR(RESULTADOS!$C$11),"",
IF(IFERROR(EOMONTH(D119,1)&gt;PREMISSAS!$C$3,"FALSO"),
   DATE(YEAR(D119)-1,1,31),
   IF(IF(ISTEXT(D119),RIGHT(D119,4)-1=YEAR(RESULTADOS!$C$11),YEAR(D119)-1=YEAR(RESULTADOS!$C$11)),
      IF(LEFT(D119,2)="13",EOMONTH(RESULTADOS!$C$11,0),IF(MONTH(D119)=12,"13º "&amp;YEAR(D119),EOMONTH(D119,1))),
      IF(LEFT(D119,2)="13",DATE(RIGHT(D119,4)-1,1,31),IF(MONTH(D119)=12,"13º "&amp;YEAR(D119),EOMONTH(D119,1)))))))</f>
        <v>13º 2014</v>
      </c>
      <c r="E120" s="342"/>
      <c r="F120" s="257"/>
      <c r="G120" s="251"/>
      <c r="I120" s="262">
        <f ca="1">RESULTADOS!O118</f>
        <v>40816</v>
      </c>
      <c r="J120" s="261">
        <f t="shared" ca="1" si="2"/>
        <v>0</v>
      </c>
      <c r="K120" s="333"/>
      <c r="L120" s="336">
        <f t="shared" si="3"/>
        <v>20000</v>
      </c>
      <c r="M120" s="336">
        <f ca="1">IFERROR(L120/VLOOKUP(D120,IPCA!$A$3:$D$340,4,FALSE),M119)</f>
        <v>12573.307459882692</v>
      </c>
      <c r="N120" s="333"/>
    </row>
    <row r="121" spans="2:14" ht="15" x14ac:dyDescent="0.25">
      <c r="B121" s="251"/>
      <c r="C121" s="251"/>
      <c r="D121" s="258">
        <f ca="1">IF(D120="","",
IF(D120="13º "&amp;YEAR(RESULTADOS!$C$11),"",
IF(IFERROR(EOMONTH(D120,1)&gt;PREMISSAS!$C$3,"FALSO"),
   DATE(YEAR(D120)-1,1,31),
   IF(IF(ISTEXT(D120),RIGHT(D120,4)-1=YEAR(RESULTADOS!$C$11),YEAR(D120)-1=YEAR(RESULTADOS!$C$11)),
      IF(LEFT(D120,2)="13",EOMONTH(RESULTADOS!$C$11,0),IF(MONTH(D120)=12,"13º "&amp;YEAR(D120),EOMONTH(D120,1))),
      IF(LEFT(D120,2)="13",DATE(RIGHT(D120,4)-1,1,31),IF(MONTH(D120)=12,"13º "&amp;YEAR(D120),EOMONTH(D120,1)))))))</f>
        <v>41305</v>
      </c>
      <c r="E121" s="342"/>
      <c r="F121" s="257"/>
      <c r="G121" s="251"/>
      <c r="I121" s="262">
        <f ca="1">RESULTADOS!O119</f>
        <v>40847</v>
      </c>
      <c r="J121" s="261">
        <f t="shared" ca="1" si="2"/>
        <v>0</v>
      </c>
      <c r="K121" s="333"/>
      <c r="L121" s="336">
        <f t="shared" si="3"/>
        <v>20000</v>
      </c>
      <c r="M121" s="336">
        <f ca="1">IFERROR(L121/VLOOKUP(D121,IPCA!$A$3:$D$340,4,FALSE),M120)</f>
        <v>11243.741474959679</v>
      </c>
      <c r="N121" s="333"/>
    </row>
    <row r="122" spans="2:14" ht="15" x14ac:dyDescent="0.25">
      <c r="B122" s="251"/>
      <c r="C122" s="251"/>
      <c r="D122" s="258">
        <f ca="1">IF(D121="","",
IF(D121="13º "&amp;YEAR(RESULTADOS!$C$11),"",
IF(IFERROR(EOMONTH(D121,1)&gt;PREMISSAS!$C$3,"FALSO"),
   DATE(YEAR(D121)-1,1,31),
   IF(IF(ISTEXT(D121),RIGHT(D121,4)-1=YEAR(RESULTADOS!$C$11),YEAR(D121)-1=YEAR(RESULTADOS!$C$11)),
      IF(LEFT(D121,2)="13",EOMONTH(RESULTADOS!$C$11,0),IF(MONTH(D121)=12,"13º "&amp;YEAR(D121),EOMONTH(D121,1))),
      IF(LEFT(D121,2)="13",DATE(RIGHT(D121,4)-1,1,31),IF(MONTH(D121)=12,"13º "&amp;YEAR(D121),EOMONTH(D121,1)))))))</f>
        <v>41333</v>
      </c>
      <c r="E122" s="342"/>
      <c r="F122" s="257"/>
      <c r="G122" s="251"/>
      <c r="I122" s="262">
        <f ca="1">RESULTADOS!O120</f>
        <v>40877</v>
      </c>
      <c r="J122" s="261">
        <f t="shared" ca="1" si="2"/>
        <v>0</v>
      </c>
      <c r="K122" s="333"/>
      <c r="L122" s="336">
        <f t="shared" si="3"/>
        <v>20000</v>
      </c>
      <c r="M122" s="336">
        <f ca="1">IFERROR(L122/VLOOKUP(D122,IPCA!$A$3:$D$340,4,FALSE),M121)</f>
        <v>11340.437651644334</v>
      </c>
      <c r="N122" s="333"/>
    </row>
    <row r="123" spans="2:14" ht="15" x14ac:dyDescent="0.25">
      <c r="B123" s="251"/>
      <c r="C123" s="251"/>
      <c r="D123" s="258">
        <f ca="1">IF(D122="","",
IF(D122="13º "&amp;YEAR(RESULTADOS!$C$11),"",
IF(IFERROR(EOMONTH(D122,1)&gt;PREMISSAS!$C$3,"FALSO"),
   DATE(YEAR(D122)-1,1,31),
   IF(IF(ISTEXT(D122),RIGHT(D122,4)-1=YEAR(RESULTADOS!$C$11),YEAR(D122)-1=YEAR(RESULTADOS!$C$11)),
      IF(LEFT(D122,2)="13",EOMONTH(RESULTADOS!$C$11,0),IF(MONTH(D122)=12,"13º "&amp;YEAR(D122),EOMONTH(D122,1))),
      IF(LEFT(D122,2)="13",DATE(RIGHT(D122,4)-1,1,31),IF(MONTH(D122)=12,"13º "&amp;YEAR(D122),EOMONTH(D122,1)))))))</f>
        <v>41364</v>
      </c>
      <c r="E123" s="342"/>
      <c r="F123" s="257"/>
      <c r="G123" s="251"/>
      <c r="I123" s="262" t="str">
        <f ca="1">RESULTADOS!O121</f>
        <v>13º 2011</v>
      </c>
      <c r="J123" s="261">
        <f t="shared" ca="1" si="2"/>
        <v>0</v>
      </c>
      <c r="K123" s="333"/>
      <c r="L123" s="336">
        <f t="shared" si="3"/>
        <v>20000</v>
      </c>
      <c r="M123" s="336">
        <f ca="1">IFERROR(L123/VLOOKUP(D123,IPCA!$A$3:$D$340,4,FALSE),M122)</f>
        <v>11408.480277554199</v>
      </c>
      <c r="N123" s="333"/>
    </row>
    <row r="124" spans="2:14" ht="15" x14ac:dyDescent="0.25">
      <c r="B124" s="251"/>
      <c r="C124" s="251"/>
      <c r="D124" s="258">
        <f ca="1">IF(D123="","",
IF(D123="13º "&amp;YEAR(RESULTADOS!$C$11),"",
IF(IFERROR(EOMONTH(D123,1)&gt;PREMISSAS!$C$3,"FALSO"),
   DATE(YEAR(D123)-1,1,31),
   IF(IF(ISTEXT(D123),RIGHT(D123,4)-1=YEAR(RESULTADOS!$C$11),YEAR(D123)-1=YEAR(RESULTADOS!$C$11)),
      IF(LEFT(D123,2)="13",EOMONTH(RESULTADOS!$C$11,0),IF(MONTH(D123)=12,"13º "&amp;YEAR(D123),EOMONTH(D123,1))),
      IF(LEFT(D123,2)="13",DATE(RIGHT(D123,4)-1,1,31),IF(MONTH(D123)=12,"13º "&amp;YEAR(D123),EOMONTH(D123,1)))))))</f>
        <v>41394</v>
      </c>
      <c r="E124" s="342"/>
      <c r="F124" s="257"/>
      <c r="G124" s="251"/>
      <c r="I124" s="262">
        <f ca="1">RESULTADOS!O122</f>
        <v>40908</v>
      </c>
      <c r="J124" s="261">
        <f t="shared" ca="1" si="2"/>
        <v>0</v>
      </c>
      <c r="K124" s="333"/>
      <c r="L124" s="336">
        <f t="shared" si="3"/>
        <v>20000</v>
      </c>
      <c r="M124" s="336">
        <f ca="1">IFERROR(L124/VLOOKUP(D124,IPCA!$A$3:$D$340,4,FALSE),M123)</f>
        <v>11462.1001348587</v>
      </c>
      <c r="N124" s="333"/>
    </row>
    <row r="125" spans="2:14" ht="15" x14ac:dyDescent="0.25">
      <c r="B125" s="251"/>
      <c r="C125" s="251"/>
      <c r="D125" s="258">
        <f ca="1">IF(D124="","",
IF(D124="13º "&amp;YEAR(RESULTADOS!$C$11),"",
IF(IFERROR(EOMONTH(D124,1)&gt;PREMISSAS!$C$3,"FALSO"),
   DATE(YEAR(D124)-1,1,31),
   IF(IF(ISTEXT(D124),RIGHT(D124,4)-1=YEAR(RESULTADOS!$C$11),YEAR(D124)-1=YEAR(RESULTADOS!$C$11)),
      IF(LEFT(D124,2)="13",EOMONTH(RESULTADOS!$C$11,0),IF(MONTH(D124)=12,"13º "&amp;YEAR(D124),EOMONTH(D124,1))),
      IF(LEFT(D124,2)="13",DATE(RIGHT(D124,4)-1,1,31),IF(MONTH(D124)=12,"13º "&amp;YEAR(D124),EOMONTH(D124,1)))))))</f>
        <v>41425</v>
      </c>
      <c r="E125" s="342"/>
      <c r="F125" s="257"/>
      <c r="G125" s="251"/>
      <c r="I125" s="262">
        <f ca="1">RESULTADOS!O123</f>
        <v>40939</v>
      </c>
      <c r="J125" s="261">
        <f t="shared" ca="1" si="2"/>
        <v>0</v>
      </c>
      <c r="K125" s="333"/>
      <c r="L125" s="336">
        <f t="shared" si="3"/>
        <v>20000</v>
      </c>
      <c r="M125" s="336">
        <f ca="1">IFERROR(L125/VLOOKUP(D125,IPCA!$A$3:$D$340,4,FALSE),M124)</f>
        <v>11525.141685600427</v>
      </c>
      <c r="N125" s="333"/>
    </row>
    <row r="126" spans="2:14" ht="15" x14ac:dyDescent="0.25">
      <c r="B126" s="251"/>
      <c r="C126" s="251"/>
      <c r="D126" s="258">
        <f ca="1">IF(D125="","",
IF(D125="13º "&amp;YEAR(RESULTADOS!$C$11),"",
IF(IFERROR(EOMONTH(D125,1)&gt;PREMISSAS!$C$3,"FALSO"),
   DATE(YEAR(D125)-1,1,31),
   IF(IF(ISTEXT(D125),RIGHT(D125,4)-1=YEAR(RESULTADOS!$C$11),YEAR(D125)-1=YEAR(RESULTADOS!$C$11)),
      IF(LEFT(D125,2)="13",EOMONTH(RESULTADOS!$C$11,0),IF(MONTH(D125)=12,"13º "&amp;YEAR(D125),EOMONTH(D125,1))),
      IF(LEFT(D125,2)="13",DATE(RIGHT(D125,4)-1,1,31),IF(MONTH(D125)=12,"13º "&amp;YEAR(D125),EOMONTH(D125,1)))))))</f>
        <v>41455</v>
      </c>
      <c r="E126" s="342"/>
      <c r="F126" s="257"/>
      <c r="G126" s="251"/>
      <c r="I126" s="262">
        <f ca="1">RESULTADOS!O124</f>
        <v>40968</v>
      </c>
      <c r="J126" s="261">
        <f t="shared" ca="1" si="2"/>
        <v>0</v>
      </c>
      <c r="K126" s="333"/>
      <c r="L126" s="336">
        <f t="shared" si="3"/>
        <v>20000</v>
      </c>
      <c r="M126" s="336">
        <f ca="1">IFERROR(L126/VLOOKUP(D126,IPCA!$A$3:$D$340,4,FALSE),M125)</f>
        <v>11567.784709837149</v>
      </c>
      <c r="N126" s="333"/>
    </row>
    <row r="127" spans="2:14" ht="15" x14ac:dyDescent="0.25">
      <c r="B127" s="251"/>
      <c r="C127" s="251"/>
      <c r="D127" s="258">
        <f ca="1">IF(D126="","",
IF(D126="13º "&amp;YEAR(RESULTADOS!$C$11),"",
IF(IFERROR(EOMONTH(D126,1)&gt;PREMISSAS!$C$3,"FALSO"),
   DATE(YEAR(D126)-1,1,31),
   IF(IF(ISTEXT(D126),RIGHT(D126,4)-1=YEAR(RESULTADOS!$C$11),YEAR(D126)-1=YEAR(RESULTADOS!$C$11)),
      IF(LEFT(D126,2)="13",EOMONTH(RESULTADOS!$C$11,0),IF(MONTH(D126)=12,"13º "&amp;YEAR(D126),EOMONTH(D126,1))),
      IF(LEFT(D126,2)="13",DATE(RIGHT(D126,4)-1,1,31),IF(MONTH(D126)=12,"13º "&amp;YEAR(D126),EOMONTH(D126,1)))))))</f>
        <v>41486</v>
      </c>
      <c r="E127" s="342"/>
      <c r="F127" s="257"/>
      <c r="G127" s="251"/>
      <c r="I127" s="262">
        <f ca="1">RESULTADOS!O125</f>
        <v>40999</v>
      </c>
      <c r="J127" s="261">
        <f t="shared" ca="1" si="2"/>
        <v>0</v>
      </c>
      <c r="K127" s="333"/>
      <c r="L127" s="336">
        <f t="shared" si="3"/>
        <v>20000</v>
      </c>
      <c r="M127" s="336">
        <f ca="1">IFERROR(L127/VLOOKUP(D127,IPCA!$A$3:$D$340,4,FALSE),M126)</f>
        <v>11597.860950082722</v>
      </c>
      <c r="N127" s="333"/>
    </row>
    <row r="128" spans="2:14" ht="15" x14ac:dyDescent="0.25">
      <c r="B128" s="251"/>
      <c r="C128" s="251"/>
      <c r="D128" s="258">
        <f ca="1">IF(D127="","",
IF(D127="13º "&amp;YEAR(RESULTADOS!$C$11),"",
IF(IFERROR(EOMONTH(D127,1)&gt;PREMISSAS!$C$3,"FALSO"),
   DATE(YEAR(D127)-1,1,31),
   IF(IF(ISTEXT(D127),RIGHT(D127,4)-1=YEAR(RESULTADOS!$C$11),YEAR(D127)-1=YEAR(RESULTADOS!$C$11)),
      IF(LEFT(D127,2)="13",EOMONTH(RESULTADOS!$C$11,0),IF(MONTH(D127)=12,"13º "&amp;YEAR(D127),EOMONTH(D127,1))),
      IF(LEFT(D127,2)="13",DATE(RIGHT(D127,4)-1,1,31),IF(MONTH(D127)=12,"13º "&amp;YEAR(D127),EOMONTH(D127,1)))))))</f>
        <v>41517</v>
      </c>
      <c r="E128" s="342"/>
      <c r="F128" s="257"/>
      <c r="G128" s="251"/>
      <c r="I128" s="262">
        <f ca="1">RESULTADOS!O126</f>
        <v>41029</v>
      </c>
      <c r="J128" s="261">
        <f t="shared" ca="1" si="2"/>
        <v>0</v>
      </c>
      <c r="K128" s="333"/>
      <c r="L128" s="336">
        <f t="shared" si="3"/>
        <v>20000</v>
      </c>
      <c r="M128" s="336">
        <f ca="1">IFERROR(L128/VLOOKUP(D128,IPCA!$A$3:$D$340,4,FALSE),M127)</f>
        <v>11601.340308367749</v>
      </c>
      <c r="N128" s="333"/>
    </row>
    <row r="129" spans="2:14" ht="15" x14ac:dyDescent="0.25">
      <c r="B129" s="251"/>
      <c r="C129" s="251"/>
      <c r="D129" s="258">
        <f ca="1">IF(D128="","",
IF(D128="13º "&amp;YEAR(RESULTADOS!$C$11),"",
IF(IFERROR(EOMONTH(D128,1)&gt;PREMISSAS!$C$3,"FALSO"),
   DATE(YEAR(D128)-1,1,31),
   IF(IF(ISTEXT(D128),RIGHT(D128,4)-1=YEAR(RESULTADOS!$C$11),YEAR(D128)-1=YEAR(RESULTADOS!$C$11)),
      IF(LEFT(D128,2)="13",EOMONTH(RESULTADOS!$C$11,0),IF(MONTH(D128)=12,"13º "&amp;YEAR(D128),EOMONTH(D128,1))),
      IF(LEFT(D128,2)="13",DATE(RIGHT(D128,4)-1,1,31),IF(MONTH(D128)=12,"13º "&amp;YEAR(D128),EOMONTH(D128,1)))))))</f>
        <v>41547</v>
      </c>
      <c r="E129" s="342"/>
      <c r="F129" s="257"/>
      <c r="G129" s="251"/>
      <c r="I129" s="262">
        <f ca="1">RESULTADOS!O127</f>
        <v>41060</v>
      </c>
      <c r="J129" s="261">
        <f t="shared" ca="1" si="2"/>
        <v>0</v>
      </c>
      <c r="K129" s="333"/>
      <c r="L129" s="336">
        <f t="shared" si="3"/>
        <v>20000</v>
      </c>
      <c r="M129" s="336">
        <f ca="1">IFERROR(L129/VLOOKUP(D129,IPCA!$A$3:$D$340,4,FALSE),M128)</f>
        <v>11629.183525107816</v>
      </c>
      <c r="N129" s="333"/>
    </row>
    <row r="130" spans="2:14" ht="15" x14ac:dyDescent="0.25">
      <c r="B130" s="251"/>
      <c r="C130" s="251"/>
      <c r="D130" s="258">
        <f ca="1">IF(D129="","",
IF(D129="13º "&amp;YEAR(RESULTADOS!$C$11),"",
IF(IFERROR(EOMONTH(D129,1)&gt;PREMISSAS!$C$3,"FALSO"),
   DATE(YEAR(D129)-1,1,31),
   IF(IF(ISTEXT(D129),RIGHT(D129,4)-1=YEAR(RESULTADOS!$C$11),YEAR(D129)-1=YEAR(RESULTADOS!$C$11)),
      IF(LEFT(D129,2)="13",EOMONTH(RESULTADOS!$C$11,0),IF(MONTH(D129)=12,"13º "&amp;YEAR(D129),EOMONTH(D129,1))),
      IF(LEFT(D129,2)="13",DATE(RIGHT(D129,4)-1,1,31),IF(MONTH(D129)=12,"13º "&amp;YEAR(D129),EOMONTH(D129,1)))))))</f>
        <v>41578</v>
      </c>
      <c r="E130" s="342"/>
      <c r="F130" s="257"/>
      <c r="G130" s="251"/>
      <c r="I130" s="262">
        <f ca="1">RESULTADOS!O128</f>
        <v>41090</v>
      </c>
      <c r="J130" s="261">
        <f t="shared" ca="1" si="2"/>
        <v>0</v>
      </c>
      <c r="K130" s="333"/>
      <c r="L130" s="336">
        <f t="shared" si="3"/>
        <v>20000</v>
      </c>
      <c r="M130" s="336">
        <f ca="1">IFERROR(L130/VLOOKUP(D130,IPCA!$A$3:$D$340,4,FALSE),M129)</f>
        <v>11669.885667445718</v>
      </c>
      <c r="N130" s="333"/>
    </row>
    <row r="131" spans="2:14" ht="15" x14ac:dyDescent="0.25">
      <c r="B131" s="251"/>
      <c r="C131" s="251"/>
      <c r="D131" s="258">
        <f ca="1">IF(D130="","",
IF(D130="13º "&amp;YEAR(RESULTADOS!$C$11),"",
IF(IFERROR(EOMONTH(D130,1)&gt;PREMISSAS!$C$3,"FALSO"),
   DATE(YEAR(D130)-1,1,31),
   IF(IF(ISTEXT(D130),RIGHT(D130,4)-1=YEAR(RESULTADOS!$C$11),YEAR(D130)-1=YEAR(RESULTADOS!$C$11)),
      IF(LEFT(D130,2)="13",EOMONTH(RESULTADOS!$C$11,0),IF(MONTH(D130)=12,"13º "&amp;YEAR(D130),EOMONTH(D130,1))),
      IF(LEFT(D130,2)="13",DATE(RIGHT(D130,4)-1,1,31),IF(MONTH(D130)=12,"13º "&amp;YEAR(D130),EOMONTH(D130,1)))))))</f>
        <v>41608</v>
      </c>
      <c r="E131" s="342"/>
      <c r="F131" s="257"/>
      <c r="G131" s="251"/>
      <c r="I131" s="262">
        <f ca="1">RESULTADOS!O129</f>
        <v>41121</v>
      </c>
      <c r="J131" s="261">
        <f t="shared" ca="1" si="2"/>
        <v>0</v>
      </c>
      <c r="K131" s="333"/>
      <c r="L131" s="336">
        <f t="shared" si="3"/>
        <v>20000</v>
      </c>
      <c r="M131" s="336">
        <f ca="1">IFERROR(L131/VLOOKUP(D131,IPCA!$A$3:$D$340,4,FALSE),M130)</f>
        <v>11736.404015750142</v>
      </c>
      <c r="N131" s="333"/>
    </row>
    <row r="132" spans="2:14" ht="15" x14ac:dyDescent="0.25">
      <c r="B132" s="251"/>
      <c r="C132" s="251"/>
      <c r="D132" s="258">
        <f ca="1">IF(D131="","",
IF(D131="13º "&amp;YEAR(RESULTADOS!$C$11),"",
IF(IFERROR(EOMONTH(D131,1)&gt;PREMISSAS!$C$3,"FALSO"),
   DATE(YEAR(D131)-1,1,31),
   IF(IF(ISTEXT(D131),RIGHT(D131,4)-1=YEAR(RESULTADOS!$C$11),YEAR(D131)-1=YEAR(RESULTADOS!$C$11)),
      IF(LEFT(D131,2)="13",EOMONTH(RESULTADOS!$C$11,0),IF(MONTH(D131)=12,"13º "&amp;YEAR(D131),EOMONTH(D131,1))),
      IF(LEFT(D131,2)="13",DATE(RIGHT(D131,4)-1,1,31),IF(MONTH(D131)=12,"13º "&amp;YEAR(D131),EOMONTH(D131,1)))))))</f>
        <v>41639</v>
      </c>
      <c r="E132" s="342"/>
      <c r="F132" s="257"/>
      <c r="G132" s="251"/>
      <c r="I132" s="262">
        <f ca="1">RESULTADOS!O130</f>
        <v>41152</v>
      </c>
      <c r="J132" s="261">
        <f t="shared" ca="1" si="2"/>
        <v>0</v>
      </c>
      <c r="K132" s="333"/>
      <c r="L132" s="336">
        <f t="shared" si="3"/>
        <v>20000</v>
      </c>
      <c r="M132" s="336">
        <f ca="1">IFERROR(L132/VLOOKUP(D132,IPCA!$A$3:$D$340,4,FALSE),M131)</f>
        <v>11799.78059743521</v>
      </c>
      <c r="N132" s="333"/>
    </row>
    <row r="133" spans="2:14" ht="15" x14ac:dyDescent="0.25">
      <c r="B133" s="251"/>
      <c r="C133" s="251"/>
      <c r="D133" s="258" t="str">
        <f ca="1">IF(D132="","",
IF(D132="13º "&amp;YEAR(RESULTADOS!$C$11),"",
IF(IFERROR(EOMONTH(D132,1)&gt;PREMISSAS!$C$3,"FALSO"),
   DATE(YEAR(D132)-1,1,31),
   IF(IF(ISTEXT(D132),RIGHT(D132,4)-1=YEAR(RESULTADOS!$C$11),YEAR(D132)-1=YEAR(RESULTADOS!$C$11)),
      IF(LEFT(D132,2)="13",EOMONTH(RESULTADOS!$C$11,0),IF(MONTH(D132)=12,"13º "&amp;YEAR(D132),EOMONTH(D132,1))),
      IF(LEFT(D132,2)="13",DATE(RIGHT(D132,4)-1,1,31),IF(MONTH(D132)=12,"13º "&amp;YEAR(D132),EOMONTH(D132,1)))))))</f>
        <v>13º 2013</v>
      </c>
      <c r="E133" s="342"/>
      <c r="F133" s="257"/>
      <c r="G133" s="251"/>
      <c r="I133" s="262">
        <f ca="1">RESULTADOS!O131</f>
        <v>41182</v>
      </c>
      <c r="J133" s="261">
        <f t="shared" ca="1" si="2"/>
        <v>0</v>
      </c>
      <c r="K133" s="333"/>
      <c r="L133" s="336">
        <f t="shared" si="3"/>
        <v>20000</v>
      </c>
      <c r="M133" s="336">
        <f ca="1">IFERROR(L133/VLOOKUP(D133,IPCA!$A$3:$D$340,4,FALSE),M132)</f>
        <v>11799.78059743521</v>
      </c>
      <c r="N133" s="333"/>
    </row>
    <row r="134" spans="2:14" ht="15" x14ac:dyDescent="0.25">
      <c r="B134" s="251"/>
      <c r="C134" s="251"/>
      <c r="D134" s="258">
        <f ca="1">IF(D133="","",
IF(D133="13º "&amp;YEAR(RESULTADOS!$C$11),"",
IF(IFERROR(EOMONTH(D133,1)&gt;PREMISSAS!$C$3,"FALSO"),
   DATE(YEAR(D133)-1,1,31),
   IF(IF(ISTEXT(D133),RIGHT(D133,4)-1=YEAR(RESULTADOS!$C$11),YEAR(D133)-1=YEAR(RESULTADOS!$C$11)),
      IF(LEFT(D133,2)="13",EOMONTH(RESULTADOS!$C$11,0),IF(MONTH(D133)=12,"13º "&amp;YEAR(D133),EOMONTH(D133,1))),
      IF(LEFT(D133,2)="13",DATE(RIGHT(D133,4)-1,1,31),IF(MONTH(D133)=12,"13º "&amp;YEAR(D133),EOMONTH(D133,1)))))))</f>
        <v>40939</v>
      </c>
      <c r="E134" s="342"/>
      <c r="F134" s="257"/>
      <c r="G134" s="251"/>
      <c r="I134" s="262">
        <f ca="1">RESULTADOS!O132</f>
        <v>41213</v>
      </c>
      <c r="J134" s="261">
        <f t="shared" ca="1" si="2"/>
        <v>0</v>
      </c>
      <c r="K134" s="333"/>
      <c r="L134" s="336">
        <f t="shared" si="3"/>
        <v>20000</v>
      </c>
      <c r="M134" s="336">
        <f ca="1">IFERROR(L134/VLOOKUP(D134,IPCA!$A$3:$D$340,4,FALSE),M133)</f>
        <v>10623.48214024934</v>
      </c>
      <c r="N134" s="333"/>
    </row>
    <row r="135" spans="2:14" ht="15" x14ac:dyDescent="0.25">
      <c r="B135" s="251"/>
      <c r="C135" s="251"/>
      <c r="D135" s="258">
        <f ca="1">IF(D134="","",
IF(D134="13º "&amp;YEAR(RESULTADOS!$C$11),"",
IF(IFERROR(EOMONTH(D134,1)&gt;PREMISSAS!$C$3,"FALSO"),
   DATE(YEAR(D134)-1,1,31),
   IF(IF(ISTEXT(D134),RIGHT(D134,4)-1=YEAR(RESULTADOS!$C$11),YEAR(D134)-1=YEAR(RESULTADOS!$C$11)),
      IF(LEFT(D134,2)="13",EOMONTH(RESULTADOS!$C$11,0),IF(MONTH(D134)=12,"13º "&amp;YEAR(D134),EOMONTH(D134,1))),
      IF(LEFT(D134,2)="13",DATE(RIGHT(D134,4)-1,1,31),IF(MONTH(D134)=12,"13º "&amp;YEAR(D134),EOMONTH(D134,1)))))))</f>
        <v>40968</v>
      </c>
      <c r="E135" s="342"/>
      <c r="F135" s="257"/>
      <c r="G135" s="251"/>
      <c r="I135" s="262">
        <f ca="1">RESULTADOS!O133</f>
        <v>41243</v>
      </c>
      <c r="J135" s="261">
        <f t="shared" ca="1" si="2"/>
        <v>0</v>
      </c>
      <c r="K135" s="333"/>
      <c r="L135" s="336">
        <f t="shared" si="3"/>
        <v>20000</v>
      </c>
      <c r="M135" s="336">
        <f ca="1">IFERROR(L135/VLOOKUP(D135,IPCA!$A$3:$D$340,4,FALSE),M134)</f>
        <v>10682.973640234748</v>
      </c>
      <c r="N135" s="333"/>
    </row>
    <row r="136" spans="2:14" ht="15" x14ac:dyDescent="0.25">
      <c r="B136" s="251"/>
      <c r="C136" s="251"/>
      <c r="D136" s="258">
        <f ca="1">IF(D135="","",
IF(D135="13º "&amp;YEAR(RESULTADOS!$C$11),"",
IF(IFERROR(EOMONTH(D135,1)&gt;PREMISSAS!$C$3,"FALSO"),
   DATE(YEAR(D135)-1,1,31),
   IF(IF(ISTEXT(D135),RIGHT(D135,4)-1=YEAR(RESULTADOS!$C$11),YEAR(D135)-1=YEAR(RESULTADOS!$C$11)),
      IF(LEFT(D135,2)="13",EOMONTH(RESULTADOS!$C$11,0),IF(MONTH(D135)=12,"13º "&amp;YEAR(D135),EOMONTH(D135,1))),
      IF(LEFT(D135,2)="13",DATE(RIGHT(D135,4)-1,1,31),IF(MONTH(D135)=12,"13º "&amp;YEAR(D135),EOMONTH(D135,1)))))))</f>
        <v>40999</v>
      </c>
      <c r="E136" s="342"/>
      <c r="F136" s="257"/>
      <c r="G136" s="251"/>
      <c r="I136" s="262" t="str">
        <f ca="1">RESULTADOS!O134</f>
        <v>13º 2012</v>
      </c>
      <c r="J136" s="261">
        <f t="shared" ref="J136:J199" ca="1" si="4">IF(I136="","",IFERROR(VLOOKUP(I136,$D$6:$E$656,2,0),""))</f>
        <v>0</v>
      </c>
      <c r="K136" s="333"/>
      <c r="L136" s="336">
        <f t="shared" si="3"/>
        <v>20000</v>
      </c>
      <c r="M136" s="336">
        <f ca="1">IFERROR(L136/VLOOKUP(D136,IPCA!$A$3:$D$340,4,FALSE),M135)</f>
        <v>10731.047021615794</v>
      </c>
      <c r="N136" s="333"/>
    </row>
    <row r="137" spans="2:14" ht="15" x14ac:dyDescent="0.25">
      <c r="B137" s="251"/>
      <c r="C137" s="251"/>
      <c r="D137" s="258">
        <f ca="1">IF(D136="","",
IF(D136="13º "&amp;YEAR(RESULTADOS!$C$11),"",
IF(IFERROR(EOMONTH(D136,1)&gt;PREMISSAS!$C$3,"FALSO"),
   DATE(YEAR(D136)-1,1,31),
   IF(IF(ISTEXT(D136),RIGHT(D136,4)-1=YEAR(RESULTADOS!$C$11),YEAR(D136)-1=YEAR(RESULTADOS!$C$11)),
      IF(LEFT(D136,2)="13",EOMONTH(RESULTADOS!$C$11,0),IF(MONTH(D136)=12,"13º "&amp;YEAR(D136),EOMONTH(D136,1))),
      IF(LEFT(D136,2)="13",DATE(RIGHT(D136,4)-1,1,31),IF(MONTH(D136)=12,"13º "&amp;YEAR(D136),EOMONTH(D136,1)))))))</f>
        <v>41029</v>
      </c>
      <c r="E137" s="342"/>
      <c r="F137" s="257"/>
      <c r="G137" s="251"/>
      <c r="I137" s="262">
        <f ca="1">RESULTADOS!O135</f>
        <v>41274</v>
      </c>
      <c r="J137" s="261">
        <f t="shared" ca="1" si="4"/>
        <v>0</v>
      </c>
      <c r="K137" s="333"/>
      <c r="L137" s="336">
        <f t="shared" ref="L137:L200" si="5">L136</f>
        <v>20000</v>
      </c>
      <c r="M137" s="336">
        <f ca="1">IFERROR(L137/VLOOKUP(D137,IPCA!$A$3:$D$340,4,FALSE),M136)</f>
        <v>10753.582220361188</v>
      </c>
      <c r="N137" s="333"/>
    </row>
    <row r="138" spans="2:14" ht="15" x14ac:dyDescent="0.25">
      <c r="B138" s="251"/>
      <c r="C138" s="251"/>
      <c r="D138" s="258">
        <f ca="1">IF(D137="","",
IF(D137="13º "&amp;YEAR(RESULTADOS!$C$11),"",
IF(IFERROR(EOMONTH(D137,1)&gt;PREMISSAS!$C$3,"FALSO"),
   DATE(YEAR(D137)-1,1,31),
   IF(IF(ISTEXT(D137),RIGHT(D137,4)-1=YEAR(RESULTADOS!$C$11),YEAR(D137)-1=YEAR(RESULTADOS!$C$11)),
      IF(LEFT(D137,2)="13",EOMONTH(RESULTADOS!$C$11,0),IF(MONTH(D137)=12,"13º "&amp;YEAR(D137),EOMONTH(D137,1))),
      IF(LEFT(D137,2)="13",DATE(RIGHT(D137,4)-1,1,31),IF(MONTH(D137)=12,"13º "&amp;YEAR(D137),EOMONTH(D137,1)))))))</f>
        <v>41060</v>
      </c>
      <c r="E138" s="342"/>
      <c r="F138" s="257"/>
      <c r="G138" s="251"/>
      <c r="I138" s="262">
        <f ca="1">RESULTADOS!O136</f>
        <v>41305</v>
      </c>
      <c r="J138" s="261">
        <f t="shared" ca="1" si="4"/>
        <v>0</v>
      </c>
      <c r="K138" s="333"/>
      <c r="L138" s="336">
        <f t="shared" si="5"/>
        <v>20000</v>
      </c>
      <c r="M138" s="336">
        <f ca="1">IFERROR(L138/VLOOKUP(D138,IPCA!$A$3:$D$340,4,FALSE),M137)</f>
        <v>10822.405146571495</v>
      </c>
      <c r="N138" s="333"/>
    </row>
    <row r="139" spans="2:14" ht="15" x14ac:dyDescent="0.25">
      <c r="B139" s="251"/>
      <c r="C139" s="251"/>
      <c r="D139" s="258">
        <f ca="1">IF(D138="","",
IF(D138="13º "&amp;YEAR(RESULTADOS!$C$11),"",
IF(IFERROR(EOMONTH(D138,1)&gt;PREMISSAS!$C$3,"FALSO"),
   DATE(YEAR(D138)-1,1,31),
   IF(IF(ISTEXT(D138),RIGHT(D138,4)-1=YEAR(RESULTADOS!$C$11),YEAR(D138)-1=YEAR(RESULTADOS!$C$11)),
      IF(LEFT(D138,2)="13",EOMONTH(RESULTADOS!$C$11,0),IF(MONTH(D138)=12,"13º "&amp;YEAR(D138),EOMONTH(D138,1))),
      IF(LEFT(D138,2)="13",DATE(RIGHT(D138,4)-1,1,31),IF(MONTH(D138)=12,"13º "&amp;YEAR(D138),EOMONTH(D138,1)))))))</f>
        <v>41090</v>
      </c>
      <c r="E139" s="342"/>
      <c r="F139" s="257"/>
      <c r="G139" s="251"/>
      <c r="I139" s="262">
        <f ca="1">RESULTADOS!O137</f>
        <v>41333</v>
      </c>
      <c r="J139" s="261">
        <f t="shared" ca="1" si="4"/>
        <v>0</v>
      </c>
      <c r="K139" s="333"/>
      <c r="L139" s="336">
        <f t="shared" si="5"/>
        <v>20000</v>
      </c>
      <c r="M139" s="336">
        <f ca="1">IFERROR(L139/VLOOKUP(D139,IPCA!$A$3:$D$340,4,FALSE),M138)</f>
        <v>10861.365805099174</v>
      </c>
      <c r="N139" s="333"/>
    </row>
    <row r="140" spans="2:14" ht="15" x14ac:dyDescent="0.25">
      <c r="B140" s="251"/>
      <c r="C140" s="251"/>
      <c r="D140" s="258">
        <f ca="1">IF(D139="","",
IF(D139="13º "&amp;YEAR(RESULTADOS!$C$11),"",
IF(IFERROR(EOMONTH(D139,1)&gt;PREMISSAS!$C$3,"FALSO"),
   DATE(YEAR(D139)-1,1,31),
   IF(IF(ISTEXT(D139),RIGHT(D139,4)-1=YEAR(RESULTADOS!$C$11),YEAR(D139)-1=YEAR(RESULTADOS!$C$11)),
      IF(LEFT(D139,2)="13",EOMONTH(RESULTADOS!$C$11,0),IF(MONTH(D139)=12,"13º "&amp;YEAR(D139),EOMONTH(D139,1))),
      IF(LEFT(D139,2)="13",DATE(RIGHT(D139,4)-1,1,31),IF(MONTH(D139)=12,"13º "&amp;YEAR(D139),EOMONTH(D139,1)))))))</f>
        <v>41121</v>
      </c>
      <c r="E140" s="342"/>
      <c r="F140" s="257"/>
      <c r="G140" s="251"/>
      <c r="I140" s="262">
        <f ca="1">RESULTADOS!O138</f>
        <v>41364</v>
      </c>
      <c r="J140" s="261">
        <f t="shared" ca="1" si="4"/>
        <v>0</v>
      </c>
      <c r="K140" s="333"/>
      <c r="L140" s="336">
        <f t="shared" si="5"/>
        <v>20000</v>
      </c>
      <c r="M140" s="336">
        <f ca="1">IFERROR(L140/VLOOKUP(D140,IPCA!$A$3:$D$340,4,FALSE),M139)</f>
        <v>10870.054897743237</v>
      </c>
      <c r="N140" s="333"/>
    </row>
    <row r="141" spans="2:14" ht="15" x14ac:dyDescent="0.25">
      <c r="B141" s="251"/>
      <c r="C141" s="251"/>
      <c r="D141" s="258">
        <f ca="1">IF(D140="","",
IF(D140="13º "&amp;YEAR(RESULTADOS!$C$11),"",
IF(IFERROR(EOMONTH(D140,1)&gt;PREMISSAS!$C$3,"FALSO"),
   DATE(YEAR(D140)-1,1,31),
   IF(IF(ISTEXT(D140),RIGHT(D140,4)-1=YEAR(RESULTADOS!$C$11),YEAR(D140)-1=YEAR(RESULTADOS!$C$11)),
      IF(LEFT(D140,2)="13",EOMONTH(RESULTADOS!$C$11,0),IF(MONTH(D140)=12,"13º "&amp;YEAR(D140),EOMONTH(D140,1))),
      IF(LEFT(D140,2)="13",DATE(RIGHT(D140,4)-1,1,31),IF(MONTH(D140)=12,"13º "&amp;YEAR(D140),EOMONTH(D140,1)))))))</f>
        <v>41152</v>
      </c>
      <c r="E141" s="342"/>
      <c r="F141" s="257"/>
      <c r="G141" s="251"/>
      <c r="I141" s="262">
        <f ca="1">RESULTADOS!O139</f>
        <v>41394</v>
      </c>
      <c r="J141" s="261">
        <f t="shared" ca="1" si="4"/>
        <v>0</v>
      </c>
      <c r="K141" s="333"/>
      <c r="L141" s="336">
        <f t="shared" si="5"/>
        <v>20000</v>
      </c>
      <c r="M141" s="336">
        <f ca="1">IFERROR(L141/VLOOKUP(D141,IPCA!$A$3:$D$340,4,FALSE),M140)</f>
        <v>10916.796133803537</v>
      </c>
      <c r="N141" s="333"/>
    </row>
    <row r="142" spans="2:14" ht="15" x14ac:dyDescent="0.25">
      <c r="B142" s="251"/>
      <c r="C142" s="251"/>
      <c r="D142" s="258">
        <f ca="1">IF(D141="","",
IF(D141="13º "&amp;YEAR(RESULTADOS!$C$11),"",
IF(IFERROR(EOMONTH(D141,1)&gt;PREMISSAS!$C$3,"FALSO"),
   DATE(YEAR(D141)-1,1,31),
   IF(IF(ISTEXT(D141),RIGHT(D141,4)-1=YEAR(RESULTADOS!$C$11),YEAR(D141)-1=YEAR(RESULTADOS!$C$11)),
      IF(LEFT(D141,2)="13",EOMONTH(RESULTADOS!$C$11,0),IF(MONTH(D141)=12,"13º "&amp;YEAR(D141),EOMONTH(D141,1))),
      IF(LEFT(D141,2)="13",DATE(RIGHT(D141,4)-1,1,31),IF(MONTH(D141)=12,"13º "&amp;YEAR(D141),EOMONTH(D141,1)))))))</f>
        <v>41182</v>
      </c>
      <c r="E142" s="342"/>
      <c r="F142" s="257"/>
      <c r="G142" s="251"/>
      <c r="I142" s="262">
        <f ca="1">RESULTADOS!O140</f>
        <v>41425</v>
      </c>
      <c r="J142" s="261">
        <f t="shared" ca="1" si="4"/>
        <v>0</v>
      </c>
      <c r="K142" s="333"/>
      <c r="L142" s="336">
        <f t="shared" si="5"/>
        <v>20000</v>
      </c>
      <c r="M142" s="336">
        <f ca="1">IFERROR(L142/VLOOKUP(D142,IPCA!$A$3:$D$340,4,FALSE),M141)</f>
        <v>10961.554997952135</v>
      </c>
      <c r="N142" s="333"/>
    </row>
    <row r="143" spans="2:14" ht="15" x14ac:dyDescent="0.25">
      <c r="B143" s="251"/>
      <c r="C143" s="251"/>
      <c r="D143" s="258">
        <f ca="1">IF(D142="","",
IF(D142="13º "&amp;YEAR(RESULTADOS!$C$11),"",
IF(IFERROR(EOMONTH(D142,1)&gt;PREMISSAS!$C$3,"FALSO"),
   DATE(YEAR(D142)-1,1,31),
   IF(IF(ISTEXT(D142),RIGHT(D142,4)-1=YEAR(RESULTADOS!$C$11),YEAR(D142)-1=YEAR(RESULTADOS!$C$11)),
      IF(LEFT(D142,2)="13",EOMONTH(RESULTADOS!$C$11,0),IF(MONTH(D142)=12,"13º "&amp;YEAR(D142),EOMONTH(D142,1))),
      IF(LEFT(D142,2)="13",DATE(RIGHT(D142,4)-1,1,31),IF(MONTH(D142)=12,"13º "&amp;YEAR(D142),EOMONTH(D142,1)))))))</f>
        <v>41213</v>
      </c>
      <c r="E143" s="342"/>
      <c r="F143" s="257"/>
      <c r="G143" s="251"/>
      <c r="I143" s="262">
        <f ca="1">RESULTADOS!O141</f>
        <v>41455</v>
      </c>
      <c r="J143" s="261">
        <f t="shared" ca="1" si="4"/>
        <v>0</v>
      </c>
      <c r="K143" s="333"/>
      <c r="L143" s="336">
        <f t="shared" si="5"/>
        <v>20000</v>
      </c>
      <c r="M143" s="336">
        <f ca="1">IFERROR(L143/VLOOKUP(D143,IPCA!$A$3:$D$340,4,FALSE),M142)</f>
        <v>11024.035861440463</v>
      </c>
      <c r="N143" s="333"/>
    </row>
    <row r="144" spans="2:14" ht="15" x14ac:dyDescent="0.25">
      <c r="B144" s="251"/>
      <c r="C144" s="251"/>
      <c r="D144" s="258">
        <f ca="1">IF(D143="","",
IF(D143="13º "&amp;YEAR(RESULTADOS!$C$11),"",
IF(IFERROR(EOMONTH(D143,1)&gt;PREMISSAS!$C$3,"FALSO"),
   DATE(YEAR(D143)-1,1,31),
   IF(IF(ISTEXT(D143),RIGHT(D143,4)-1=YEAR(RESULTADOS!$C$11),YEAR(D143)-1=YEAR(RESULTADOS!$C$11)),
      IF(LEFT(D143,2)="13",EOMONTH(RESULTADOS!$C$11,0),IF(MONTH(D143)=12,"13º "&amp;YEAR(D143),EOMONTH(D143,1))),
      IF(LEFT(D143,2)="13",DATE(RIGHT(D143,4)-1,1,31),IF(MONTH(D143)=12,"13º "&amp;YEAR(D143),EOMONTH(D143,1)))))))</f>
        <v>41243</v>
      </c>
      <c r="E144" s="342"/>
      <c r="F144" s="257"/>
      <c r="G144" s="251"/>
      <c r="I144" s="262">
        <f ca="1">RESULTADOS!O142</f>
        <v>41486</v>
      </c>
      <c r="J144" s="261">
        <f t="shared" ca="1" si="4"/>
        <v>0</v>
      </c>
      <c r="K144" s="333"/>
      <c r="L144" s="336">
        <f t="shared" si="5"/>
        <v>20000</v>
      </c>
      <c r="M144" s="336">
        <f ca="1">IFERROR(L144/VLOOKUP(D144,IPCA!$A$3:$D$340,4,FALSE),M143)</f>
        <v>11089.077673022961</v>
      </c>
      <c r="N144" s="333"/>
    </row>
    <row r="145" spans="2:14" ht="15" x14ac:dyDescent="0.25">
      <c r="B145" s="251"/>
      <c r="C145" s="251"/>
      <c r="D145" s="258">
        <f ca="1">IF(D144="","",
IF(D144="13º "&amp;YEAR(RESULTADOS!$C$11),"",
IF(IFERROR(EOMONTH(D144,1)&gt;PREMISSAS!$C$3,"FALSO"),
   DATE(YEAR(D144)-1,1,31),
   IF(IF(ISTEXT(D144),RIGHT(D144,4)-1=YEAR(RESULTADOS!$C$11),YEAR(D144)-1=YEAR(RESULTADOS!$C$11)),
      IF(LEFT(D144,2)="13",EOMONTH(RESULTADOS!$C$11,0),IF(MONTH(D144)=12,"13º "&amp;YEAR(D144),EOMONTH(D144,1))),
      IF(LEFT(D144,2)="13",DATE(RIGHT(D144,4)-1,1,31),IF(MONTH(D144)=12,"13º "&amp;YEAR(D144),EOMONTH(D144,1)))))))</f>
        <v>41274</v>
      </c>
      <c r="E145" s="342"/>
      <c r="F145" s="257"/>
      <c r="G145" s="251"/>
      <c r="I145" s="262">
        <f ca="1">RESULTADOS!O143</f>
        <v>41517</v>
      </c>
      <c r="J145" s="261">
        <f t="shared" ca="1" si="4"/>
        <v>0</v>
      </c>
      <c r="K145" s="333"/>
      <c r="L145" s="336">
        <f t="shared" si="5"/>
        <v>20000</v>
      </c>
      <c r="M145" s="336">
        <f ca="1">IFERROR(L145/VLOOKUP(D145,IPCA!$A$3:$D$340,4,FALSE),M144)</f>
        <v>11155.612139061092</v>
      </c>
      <c r="N145" s="333"/>
    </row>
    <row r="146" spans="2:14" ht="15" x14ac:dyDescent="0.25">
      <c r="B146" s="251"/>
      <c r="C146" s="251"/>
      <c r="D146" s="258" t="str">
        <f ca="1">IF(D145="","",
IF(D145="13º "&amp;YEAR(RESULTADOS!$C$11),"",
IF(IFERROR(EOMONTH(D145,1)&gt;PREMISSAS!$C$3,"FALSO"),
   DATE(YEAR(D145)-1,1,31),
   IF(IF(ISTEXT(D145),RIGHT(D145,4)-1=YEAR(RESULTADOS!$C$11),YEAR(D145)-1=YEAR(RESULTADOS!$C$11)),
      IF(LEFT(D145,2)="13",EOMONTH(RESULTADOS!$C$11,0),IF(MONTH(D145)=12,"13º "&amp;YEAR(D145),EOMONTH(D145,1))),
      IF(LEFT(D145,2)="13",DATE(RIGHT(D145,4)-1,1,31),IF(MONTH(D145)=12,"13º "&amp;YEAR(D145),EOMONTH(D145,1)))))))</f>
        <v>13º 2012</v>
      </c>
      <c r="E146" s="342"/>
      <c r="F146" s="257"/>
      <c r="G146" s="251"/>
      <c r="I146" s="262">
        <f ca="1">RESULTADOS!O144</f>
        <v>41547</v>
      </c>
      <c r="J146" s="261">
        <f t="shared" ca="1" si="4"/>
        <v>0</v>
      </c>
      <c r="K146" s="333"/>
      <c r="L146" s="336">
        <f t="shared" si="5"/>
        <v>20000</v>
      </c>
      <c r="M146" s="336">
        <f ca="1">IFERROR(L146/VLOOKUP(D146,IPCA!$A$3:$D$340,4,FALSE),M145)</f>
        <v>11155.612139061092</v>
      </c>
      <c r="N146" s="333"/>
    </row>
    <row r="147" spans="2:14" ht="15" x14ac:dyDescent="0.25">
      <c r="B147" s="251"/>
      <c r="C147" s="251"/>
      <c r="D147" s="258">
        <f ca="1">IF(D146="","",
IF(D146="13º "&amp;YEAR(RESULTADOS!$C$11),"",
IF(IFERROR(EOMONTH(D146,1)&gt;PREMISSAS!$C$3,"FALSO"),
   DATE(YEAR(D146)-1,1,31),
   IF(IF(ISTEXT(D146),RIGHT(D146,4)-1=YEAR(RESULTADOS!$C$11),YEAR(D146)-1=YEAR(RESULTADOS!$C$11)),
      IF(LEFT(D146,2)="13",EOMONTH(RESULTADOS!$C$11,0),IF(MONTH(D146)=12,"13º "&amp;YEAR(D146),EOMONTH(D146,1))),
      IF(LEFT(D146,2)="13",DATE(RIGHT(D146,4)-1,1,31),IF(MONTH(D146)=12,"13º "&amp;YEAR(D146),EOMONTH(D146,1)))))))</f>
        <v>40574</v>
      </c>
      <c r="E147" s="342"/>
      <c r="F147" s="257"/>
      <c r="G147" s="251"/>
      <c r="I147" s="262">
        <f ca="1">RESULTADOS!O145</f>
        <v>41578</v>
      </c>
      <c r="J147" s="261">
        <f t="shared" ca="1" si="4"/>
        <v>0</v>
      </c>
      <c r="K147" s="333"/>
      <c r="L147" s="336">
        <f t="shared" si="5"/>
        <v>20000</v>
      </c>
      <c r="M147" s="336">
        <f ca="1">IFERROR(L147/VLOOKUP(D147,IPCA!$A$3:$D$340,4,FALSE),M146)</f>
        <v>9974.8094078612357</v>
      </c>
      <c r="N147" s="333"/>
    </row>
    <row r="148" spans="2:14" ht="15" x14ac:dyDescent="0.25">
      <c r="B148" s="251"/>
      <c r="C148" s="251"/>
      <c r="D148" s="258">
        <f ca="1">IF(D147="","",
IF(D147="13º "&amp;YEAR(RESULTADOS!$C$11),"",
IF(IFERROR(EOMONTH(D147,1)&gt;PREMISSAS!$C$3,"FALSO"),
   DATE(YEAR(D147)-1,1,31),
   IF(IF(ISTEXT(D147),RIGHT(D147,4)-1=YEAR(RESULTADOS!$C$11),YEAR(D147)-1=YEAR(RESULTADOS!$C$11)),
      IF(LEFT(D147,2)="13",EOMONTH(RESULTADOS!$C$11,0),IF(MONTH(D147)=12,"13º "&amp;YEAR(D147),EOMONTH(D147,1))),
      IF(LEFT(D147,2)="13",DATE(RIGHT(D147,4)-1,1,31),IF(MONTH(D147)=12,"13º "&amp;YEAR(D147),EOMONTH(D147,1)))))))</f>
        <v>40602</v>
      </c>
      <c r="E148" s="342"/>
      <c r="F148" s="257"/>
      <c r="G148" s="251"/>
      <c r="I148" s="262">
        <f ca="1">RESULTADOS!O146</f>
        <v>41608</v>
      </c>
      <c r="J148" s="261">
        <f t="shared" ca="1" si="4"/>
        <v>0</v>
      </c>
      <c r="K148" s="333"/>
      <c r="L148" s="336">
        <f t="shared" si="5"/>
        <v>20000</v>
      </c>
      <c r="M148" s="336">
        <f ca="1">IFERROR(L148/VLOOKUP(D148,IPCA!$A$3:$D$340,4,FALSE),M147)</f>
        <v>10057.600325946481</v>
      </c>
      <c r="N148" s="333"/>
    </row>
    <row r="149" spans="2:14" ht="15" x14ac:dyDescent="0.25">
      <c r="B149" s="251"/>
      <c r="C149" s="251"/>
      <c r="D149" s="258">
        <f ca="1">IF(D148="","",
IF(D148="13º "&amp;YEAR(RESULTADOS!$C$11),"",
IF(IFERROR(EOMONTH(D148,1)&gt;PREMISSAS!$C$3,"FALSO"),
   DATE(YEAR(D148)-1,1,31),
   IF(IF(ISTEXT(D148),RIGHT(D148,4)-1=YEAR(RESULTADOS!$C$11),YEAR(D148)-1=YEAR(RESULTADOS!$C$11)),
      IF(LEFT(D148,2)="13",EOMONTH(RESULTADOS!$C$11,0),IF(MONTH(D148)=12,"13º "&amp;YEAR(D148),EOMONTH(D148,1))),
      IF(LEFT(D148,2)="13",DATE(RIGHT(D148,4)-1,1,31),IF(MONTH(D148)=12,"13º "&amp;YEAR(D148),EOMONTH(D148,1)))))))</f>
        <v>40633</v>
      </c>
      <c r="E149" s="342"/>
      <c r="F149" s="257"/>
      <c r="G149" s="251"/>
      <c r="I149" s="262" t="str">
        <f ca="1">RESULTADOS!O147</f>
        <v>13º 2013</v>
      </c>
      <c r="J149" s="261">
        <f t="shared" ca="1" si="4"/>
        <v>0</v>
      </c>
      <c r="K149" s="333"/>
      <c r="L149" s="336">
        <f t="shared" si="5"/>
        <v>20000</v>
      </c>
      <c r="M149" s="336">
        <f ca="1">IFERROR(L149/VLOOKUP(D149,IPCA!$A$3:$D$340,4,FALSE),M148)</f>
        <v>10138.06112855404</v>
      </c>
      <c r="N149" s="333"/>
    </row>
    <row r="150" spans="2:14" ht="15" x14ac:dyDescent="0.25">
      <c r="B150" s="251"/>
      <c r="C150" s="251"/>
      <c r="D150" s="258">
        <f ca="1">IF(D149="","",
IF(D149="13º "&amp;YEAR(RESULTADOS!$C$11),"",
IF(IFERROR(EOMONTH(D149,1)&gt;PREMISSAS!$C$3,"FALSO"),
   DATE(YEAR(D149)-1,1,31),
   IF(IF(ISTEXT(D149),RIGHT(D149,4)-1=YEAR(RESULTADOS!$C$11),YEAR(D149)-1=YEAR(RESULTADOS!$C$11)),
      IF(LEFT(D149,2)="13",EOMONTH(RESULTADOS!$C$11,0),IF(MONTH(D149)=12,"13º "&amp;YEAR(D149),EOMONTH(D149,1))),
      IF(LEFT(D149,2)="13",DATE(RIGHT(D149,4)-1,1,31),IF(MONTH(D149)=12,"13º "&amp;YEAR(D149),EOMONTH(D149,1)))))))</f>
        <v>40663</v>
      </c>
      <c r="E150" s="342"/>
      <c r="F150" s="257"/>
      <c r="G150" s="251"/>
      <c r="I150" s="262">
        <f ca="1">RESULTADOS!O148</f>
        <v>41639</v>
      </c>
      <c r="J150" s="261">
        <f t="shared" ca="1" si="4"/>
        <v>0</v>
      </c>
      <c r="K150" s="333"/>
      <c r="L150" s="336">
        <f t="shared" si="5"/>
        <v>20000</v>
      </c>
      <c r="M150" s="336">
        <f ca="1">IFERROR(L150/VLOOKUP(D150,IPCA!$A$3:$D$340,4,FALSE),M149)</f>
        <v>10218.151811469626</v>
      </c>
      <c r="N150" s="333"/>
    </row>
    <row r="151" spans="2:14" ht="15" x14ac:dyDescent="0.25">
      <c r="B151" s="251"/>
      <c r="C151" s="251"/>
      <c r="D151" s="258">
        <f ca="1">IF(D150="","",
IF(D150="13º "&amp;YEAR(RESULTADOS!$C$11),"",
IF(IFERROR(EOMONTH(D150,1)&gt;PREMISSAS!$C$3,"FALSO"),
   DATE(YEAR(D150)-1,1,31),
   IF(IF(ISTEXT(D150),RIGHT(D150,4)-1=YEAR(RESULTADOS!$C$11),YEAR(D150)-1=YEAR(RESULTADOS!$C$11)),
      IF(LEFT(D150,2)="13",EOMONTH(RESULTADOS!$C$11,0),IF(MONTH(D150)=12,"13º "&amp;YEAR(D150),EOMONTH(D150,1))),
      IF(LEFT(D150,2)="13",DATE(RIGHT(D150,4)-1,1,31),IF(MONTH(D150)=12,"13º "&amp;YEAR(D150),EOMONTH(D150,1)))))))</f>
        <v>40694</v>
      </c>
      <c r="E151" s="342"/>
      <c r="F151" s="257"/>
      <c r="G151" s="251"/>
      <c r="I151" s="262">
        <f ca="1">RESULTADOS!O149</f>
        <v>41670</v>
      </c>
      <c r="J151" s="261">
        <f t="shared" ca="1" si="4"/>
        <v>0</v>
      </c>
      <c r="K151" s="333"/>
      <c r="L151" s="336">
        <f t="shared" si="5"/>
        <v>20000</v>
      </c>
      <c r="M151" s="336">
        <f ca="1">IFERROR(L151/VLOOKUP(D151,IPCA!$A$3:$D$340,4,FALSE),M150)</f>
        <v>10296.831580417946</v>
      </c>
      <c r="N151" s="333"/>
    </row>
    <row r="152" spans="2:14" ht="15" x14ac:dyDescent="0.25">
      <c r="B152" s="251"/>
      <c r="C152" s="251"/>
      <c r="D152" s="258">
        <f ca="1">IF(D151="","",
IF(D151="13º "&amp;YEAR(RESULTADOS!$C$11),"",
IF(IFERROR(EOMONTH(D151,1)&gt;PREMISSAS!$C$3,"FALSO"),
   DATE(YEAR(D151)-1,1,31),
   IF(IF(ISTEXT(D151),RIGHT(D151,4)-1=YEAR(RESULTADOS!$C$11),YEAR(D151)-1=YEAR(RESULTADOS!$C$11)),
      IF(LEFT(D151,2)="13",EOMONTH(RESULTADOS!$C$11,0),IF(MONTH(D151)=12,"13º "&amp;YEAR(D151),EOMONTH(D151,1))),
      IF(LEFT(D151,2)="13",DATE(RIGHT(D151,4)-1,1,31),IF(MONTH(D151)=12,"13º "&amp;YEAR(D151),EOMONTH(D151,1)))))))</f>
        <v>40724</v>
      </c>
      <c r="E152" s="342"/>
      <c r="F152" s="257"/>
      <c r="G152" s="251"/>
      <c r="I152" s="262">
        <f ca="1">RESULTADOS!O150</f>
        <v>41698</v>
      </c>
      <c r="J152" s="261">
        <f t="shared" ca="1" si="4"/>
        <v>0</v>
      </c>
      <c r="K152" s="333"/>
      <c r="L152" s="336">
        <f t="shared" si="5"/>
        <v>20000</v>
      </c>
      <c r="M152" s="336">
        <f ca="1">IFERROR(L152/VLOOKUP(D152,IPCA!$A$3:$D$340,4,FALSE),M151)</f>
        <v>10345.226688845907</v>
      </c>
      <c r="N152" s="333"/>
    </row>
    <row r="153" spans="2:14" ht="15" x14ac:dyDescent="0.25">
      <c r="B153" s="251"/>
      <c r="C153" s="251"/>
      <c r="D153" s="258">
        <f ca="1">IF(D152="","",
IF(D152="13º "&amp;YEAR(RESULTADOS!$C$11),"",
IF(IFERROR(EOMONTH(D152,1)&gt;PREMISSAS!$C$3,"FALSO"),
   DATE(YEAR(D152)-1,1,31),
   IF(IF(ISTEXT(D152),RIGHT(D152,4)-1=YEAR(RESULTADOS!$C$11),YEAR(D152)-1=YEAR(RESULTADOS!$C$11)),
      IF(LEFT(D152,2)="13",EOMONTH(RESULTADOS!$C$11,0),IF(MONTH(D152)=12,"13º "&amp;YEAR(D152),EOMONTH(D152,1))),
      IF(LEFT(D152,2)="13",DATE(RIGHT(D152,4)-1,1,31),IF(MONTH(D152)=12,"13º "&amp;YEAR(D152),EOMONTH(D152,1)))))))</f>
        <v>40755</v>
      </c>
      <c r="E153" s="342"/>
      <c r="F153" s="257"/>
      <c r="G153" s="251"/>
      <c r="I153" s="262">
        <f ca="1">RESULTADOS!O151</f>
        <v>41729</v>
      </c>
      <c r="J153" s="261">
        <f t="shared" ca="1" si="4"/>
        <v>0</v>
      </c>
      <c r="K153" s="333"/>
      <c r="L153" s="336">
        <f t="shared" si="5"/>
        <v>20000</v>
      </c>
      <c r="M153" s="336">
        <f ca="1">IFERROR(L153/VLOOKUP(D153,IPCA!$A$3:$D$340,4,FALSE),M152)</f>
        <v>10360.744528879186</v>
      </c>
      <c r="N153" s="333"/>
    </row>
    <row r="154" spans="2:14" ht="15" x14ac:dyDescent="0.25">
      <c r="B154" s="251"/>
      <c r="C154" s="251"/>
      <c r="D154" s="258">
        <f ca="1">IF(D153="","",
IF(D153="13º "&amp;YEAR(RESULTADOS!$C$11),"",
IF(IFERROR(EOMONTH(D153,1)&gt;PREMISSAS!$C$3,"FALSO"),
   DATE(YEAR(D153)-1,1,31),
   IF(IF(ISTEXT(D153),RIGHT(D153,4)-1=YEAR(RESULTADOS!$C$11),YEAR(D153)-1=YEAR(RESULTADOS!$C$11)),
      IF(LEFT(D153,2)="13",EOMONTH(RESULTADOS!$C$11,0),IF(MONTH(D153)=12,"13º "&amp;YEAR(D153),EOMONTH(D153,1))),
      IF(LEFT(D153,2)="13",DATE(RIGHT(D153,4)-1,1,31),IF(MONTH(D153)=12,"13º "&amp;YEAR(D153),EOMONTH(D153,1)))))))</f>
        <v>40786</v>
      </c>
      <c r="E154" s="342"/>
      <c r="F154" s="257"/>
      <c r="G154" s="251"/>
      <c r="I154" s="262">
        <f ca="1">RESULTADOS!O152</f>
        <v>41759</v>
      </c>
      <c r="J154" s="261">
        <f t="shared" ca="1" si="4"/>
        <v>0</v>
      </c>
      <c r="K154" s="333"/>
      <c r="L154" s="336">
        <f t="shared" si="5"/>
        <v>20000</v>
      </c>
      <c r="M154" s="336">
        <f ca="1">IFERROR(L154/VLOOKUP(D154,IPCA!$A$3:$D$340,4,FALSE),M153)</f>
        <v>10377.321720125385</v>
      </c>
      <c r="N154" s="333"/>
    </row>
    <row r="155" spans="2:14" ht="15" x14ac:dyDescent="0.25">
      <c r="B155" s="251"/>
      <c r="C155" s="251"/>
      <c r="D155" s="258">
        <f ca="1">IF(D154="","",
IF(D154="13º "&amp;YEAR(RESULTADOS!$C$11),"",
IF(IFERROR(EOMONTH(D154,1)&gt;PREMISSAS!$C$3,"FALSO"),
   DATE(YEAR(D154)-1,1,31),
   IF(IF(ISTEXT(D154),RIGHT(D154,4)-1=YEAR(RESULTADOS!$C$11),YEAR(D154)-1=YEAR(RESULTADOS!$C$11)),
      IF(LEFT(D154,2)="13",EOMONTH(RESULTADOS!$C$11,0),IF(MONTH(D154)=12,"13º "&amp;YEAR(D154),EOMONTH(D154,1))),
      IF(LEFT(D154,2)="13",DATE(RIGHT(D154,4)-1,1,31),IF(MONTH(D154)=12,"13º "&amp;YEAR(D154),EOMONTH(D154,1)))))))</f>
        <v>40816</v>
      </c>
      <c r="E155" s="342"/>
      <c r="F155" s="257"/>
      <c r="G155" s="251"/>
      <c r="I155" s="262">
        <f ca="1">RESULTADOS!O153</f>
        <v>41790</v>
      </c>
      <c r="J155" s="261">
        <f t="shared" ca="1" si="4"/>
        <v>0</v>
      </c>
      <c r="K155" s="333"/>
      <c r="L155" s="336">
        <f t="shared" si="5"/>
        <v>20000</v>
      </c>
      <c r="M155" s="336">
        <f ca="1">IFERROR(L155/VLOOKUP(D155,IPCA!$A$3:$D$340,4,FALSE),M154)</f>
        <v>10415.717810489836</v>
      </c>
      <c r="N155" s="333"/>
    </row>
    <row r="156" spans="2:14" ht="15" x14ac:dyDescent="0.25">
      <c r="B156" s="251"/>
      <c r="C156" s="251"/>
      <c r="D156" s="258">
        <f ca="1">IF(D155="","",
IF(D155="13º "&amp;YEAR(RESULTADOS!$C$11),"",
IF(IFERROR(EOMONTH(D155,1)&gt;PREMISSAS!$C$3,"FALSO"),
   DATE(YEAR(D155)-1,1,31),
   IF(IF(ISTEXT(D155),RIGHT(D155,4)-1=YEAR(RESULTADOS!$C$11),YEAR(D155)-1=YEAR(RESULTADOS!$C$11)),
      IF(LEFT(D155,2)="13",EOMONTH(RESULTADOS!$C$11,0),IF(MONTH(D155)=12,"13º "&amp;YEAR(D155),EOMONTH(D155,1))),
      IF(LEFT(D155,2)="13",DATE(RIGHT(D155,4)-1,1,31),IF(MONTH(D155)=12,"13º "&amp;YEAR(D155),EOMONTH(D155,1)))))))</f>
        <v>40847</v>
      </c>
      <c r="E156" s="342"/>
      <c r="F156" s="257"/>
      <c r="G156" s="251"/>
      <c r="I156" s="262">
        <f ca="1">RESULTADOS!O154</f>
        <v>41820</v>
      </c>
      <c r="J156" s="261">
        <f t="shared" ca="1" si="4"/>
        <v>0</v>
      </c>
      <c r="K156" s="333"/>
      <c r="L156" s="336">
        <f t="shared" si="5"/>
        <v>20000</v>
      </c>
      <c r="M156" s="336">
        <f ca="1">IFERROR(L156/VLOOKUP(D156,IPCA!$A$3:$D$340,4,FALSE),M155)</f>
        <v>10470.921114885434</v>
      </c>
      <c r="N156" s="333"/>
    </row>
    <row r="157" spans="2:14" ht="15" x14ac:dyDescent="0.25">
      <c r="B157" s="251"/>
      <c r="C157" s="251"/>
      <c r="D157" s="258">
        <f ca="1">IF(D156="","",
IF(D156="13º "&amp;YEAR(RESULTADOS!$C$11),"",
IF(IFERROR(EOMONTH(D156,1)&gt;PREMISSAS!$C$3,"FALSO"),
   DATE(YEAR(D156)-1,1,31),
   IF(IF(ISTEXT(D156),RIGHT(D156,4)-1=YEAR(RESULTADOS!$C$11),YEAR(D156)-1=YEAR(RESULTADOS!$C$11)),
      IF(LEFT(D156,2)="13",EOMONTH(RESULTADOS!$C$11,0),IF(MONTH(D156)=12,"13º "&amp;YEAR(D156),EOMONTH(D156,1))),
      IF(LEFT(D156,2)="13",DATE(RIGHT(D156,4)-1,1,31),IF(MONTH(D156)=12,"13º "&amp;YEAR(D156),EOMONTH(D156,1)))))))</f>
        <v>40877</v>
      </c>
      <c r="E157" s="342"/>
      <c r="F157" s="257"/>
      <c r="G157" s="251"/>
      <c r="I157" s="262">
        <f ca="1">RESULTADOS!O155</f>
        <v>41851</v>
      </c>
      <c r="J157" s="261">
        <f t="shared" ca="1" si="4"/>
        <v>0</v>
      </c>
      <c r="K157" s="333"/>
      <c r="L157" s="336">
        <f t="shared" si="5"/>
        <v>20000</v>
      </c>
      <c r="M157" s="336">
        <f ca="1">IFERROR(L157/VLOOKUP(D157,IPCA!$A$3:$D$340,4,FALSE),M156)</f>
        <v>10515.946075679434</v>
      </c>
      <c r="N157" s="333"/>
    </row>
    <row r="158" spans="2:14" ht="15" x14ac:dyDescent="0.25">
      <c r="B158" s="251"/>
      <c r="C158" s="251"/>
      <c r="D158" s="258">
        <f ca="1">IF(D157="","",
IF(D157="13º "&amp;YEAR(RESULTADOS!$C$11),"",
IF(IFERROR(EOMONTH(D157,1)&gt;PREMISSAS!$C$3,"FALSO"),
   DATE(YEAR(D157)-1,1,31),
   IF(IF(ISTEXT(D157),RIGHT(D157,4)-1=YEAR(RESULTADOS!$C$11),YEAR(D157)-1=YEAR(RESULTADOS!$C$11)),
      IF(LEFT(D157,2)="13",EOMONTH(RESULTADOS!$C$11,0),IF(MONTH(D157)=12,"13º "&amp;YEAR(D157),EOMONTH(D157,1))),
      IF(LEFT(D157,2)="13",DATE(RIGHT(D157,4)-1,1,31),IF(MONTH(D157)=12,"13º "&amp;YEAR(D157),EOMONTH(D157,1)))))))</f>
        <v>40908</v>
      </c>
      <c r="E158" s="342"/>
      <c r="F158" s="257"/>
      <c r="G158" s="251"/>
      <c r="I158" s="262">
        <f ca="1">RESULTADOS!O156</f>
        <v>41882</v>
      </c>
      <c r="J158" s="261">
        <f t="shared" ca="1" si="4"/>
        <v>0</v>
      </c>
      <c r="K158" s="333"/>
      <c r="L158" s="336">
        <f t="shared" si="5"/>
        <v>20000</v>
      </c>
      <c r="M158" s="336">
        <f ca="1">IFERROR(L158/VLOOKUP(D158,IPCA!$A$3:$D$340,4,FALSE),M157)</f>
        <v>10570.628995272991</v>
      </c>
      <c r="N158" s="333"/>
    </row>
    <row r="159" spans="2:14" ht="15" x14ac:dyDescent="0.25">
      <c r="B159" s="251"/>
      <c r="C159" s="251"/>
      <c r="D159" s="258" t="str">
        <f ca="1">IF(D158="","",
IF(D158="13º "&amp;YEAR(RESULTADOS!$C$11),"",
IF(IFERROR(EOMONTH(D158,1)&gt;PREMISSAS!$C$3,"FALSO"),
   DATE(YEAR(D158)-1,1,31),
   IF(IF(ISTEXT(D158),RIGHT(D158,4)-1=YEAR(RESULTADOS!$C$11),YEAR(D158)-1=YEAR(RESULTADOS!$C$11)),
      IF(LEFT(D158,2)="13",EOMONTH(RESULTADOS!$C$11,0),IF(MONTH(D158)=12,"13º "&amp;YEAR(D158),EOMONTH(D158,1))),
      IF(LEFT(D158,2)="13",DATE(RIGHT(D158,4)-1,1,31),IF(MONTH(D158)=12,"13º "&amp;YEAR(D158),EOMONTH(D158,1)))))))</f>
        <v>13º 2011</v>
      </c>
      <c r="E159" s="342"/>
      <c r="F159" s="257"/>
      <c r="G159" s="251"/>
      <c r="I159" s="262">
        <f ca="1">RESULTADOS!O157</f>
        <v>41912</v>
      </c>
      <c r="J159" s="261">
        <f t="shared" ca="1" si="4"/>
        <v>0</v>
      </c>
      <c r="K159" s="333"/>
      <c r="L159" s="336">
        <f t="shared" si="5"/>
        <v>20000</v>
      </c>
      <c r="M159" s="336">
        <f ca="1">IFERROR(L159/VLOOKUP(D159,IPCA!$A$3:$D$340,4,FALSE),M158)</f>
        <v>10570.628995272991</v>
      </c>
      <c r="N159" s="333"/>
    </row>
    <row r="160" spans="2:14" ht="15" x14ac:dyDescent="0.25">
      <c r="B160" s="251"/>
      <c r="C160" s="251"/>
      <c r="D160" s="258">
        <f ca="1">IF(D159="","",
IF(D159="13º "&amp;YEAR(RESULTADOS!$C$11),"",
IF(IFERROR(EOMONTH(D159,1)&gt;PREMISSAS!$C$3,"FALSO"),
   DATE(YEAR(D159)-1,1,31),
   IF(IF(ISTEXT(D159),RIGHT(D159,4)-1=YEAR(RESULTADOS!$C$11),YEAR(D159)-1=YEAR(RESULTADOS!$C$11)),
      IF(LEFT(D159,2)="13",EOMONTH(RESULTADOS!$C$11,0),IF(MONTH(D159)=12,"13º "&amp;YEAR(D159),EOMONTH(D159,1))),
      IF(LEFT(D159,2)="13",DATE(RIGHT(D159,4)-1,1,31),IF(MONTH(D159)=12,"13º "&amp;YEAR(D159),EOMONTH(D159,1)))))))</f>
        <v>40209</v>
      </c>
      <c r="E160" s="342"/>
      <c r="F160" s="257"/>
      <c r="G160" s="251"/>
      <c r="I160" s="262">
        <f ca="1">RESULTADOS!O158</f>
        <v>41943</v>
      </c>
      <c r="J160" s="261">
        <f t="shared" ca="1" si="4"/>
        <v>0</v>
      </c>
      <c r="K160" s="333"/>
      <c r="L160" s="336">
        <f t="shared" si="5"/>
        <v>20000</v>
      </c>
      <c r="M160" s="336">
        <f ca="1">IFERROR(L160/VLOOKUP(D160,IPCA!$A$3:$D$340,4,FALSE),M159)</f>
        <v>9418.2769837562319</v>
      </c>
      <c r="N160" s="333"/>
    </row>
    <row r="161" spans="2:14" ht="15" x14ac:dyDescent="0.25">
      <c r="B161" s="251"/>
      <c r="C161" s="251"/>
      <c r="D161" s="258">
        <f ca="1">IF(D160="","",
IF(D160="13º "&amp;YEAR(RESULTADOS!$C$11),"",
IF(IFERROR(EOMONTH(D160,1)&gt;PREMISSAS!$C$3,"FALSO"),
   DATE(YEAR(D160)-1,1,31),
   IF(IF(ISTEXT(D160),RIGHT(D160,4)-1=YEAR(RESULTADOS!$C$11),YEAR(D160)-1=YEAR(RESULTADOS!$C$11)),
      IF(LEFT(D160,2)="13",EOMONTH(RESULTADOS!$C$11,0),IF(MONTH(D160)=12,"13º "&amp;YEAR(D160),EOMONTH(D160,1))),
      IF(LEFT(D160,2)="13",DATE(RIGHT(D160,4)-1,1,31),IF(MONTH(D160)=12,"13º "&amp;YEAR(D160),EOMONTH(D160,1)))))))</f>
        <v>40237</v>
      </c>
      <c r="E161" s="342"/>
      <c r="F161" s="257"/>
      <c r="G161" s="251"/>
      <c r="I161" s="262">
        <f ca="1">RESULTADOS!O159</f>
        <v>41973</v>
      </c>
      <c r="J161" s="261">
        <f t="shared" ca="1" si="4"/>
        <v>0</v>
      </c>
      <c r="K161" s="333"/>
      <c r="L161" s="336">
        <f t="shared" si="5"/>
        <v>20000</v>
      </c>
      <c r="M161" s="336">
        <f ca="1">IFERROR(L161/VLOOKUP(D161,IPCA!$A$3:$D$340,4,FALSE),M160)</f>
        <v>9488.9140611344046</v>
      </c>
      <c r="N161" s="333"/>
    </row>
    <row r="162" spans="2:14" ht="15" x14ac:dyDescent="0.25">
      <c r="B162" s="251"/>
      <c r="C162" s="251"/>
      <c r="D162" s="258">
        <f ca="1">IF(D161="","",
IF(D161="13º "&amp;YEAR(RESULTADOS!$C$11),"",
IF(IFERROR(EOMONTH(D161,1)&gt;PREMISSAS!$C$3,"FALSO"),
   DATE(YEAR(D161)-1,1,31),
   IF(IF(ISTEXT(D161),RIGHT(D161,4)-1=YEAR(RESULTADOS!$C$11),YEAR(D161)-1=YEAR(RESULTADOS!$C$11)),
      IF(LEFT(D161,2)="13",EOMONTH(RESULTADOS!$C$11,0),IF(MONTH(D161)=12,"13º "&amp;YEAR(D161),EOMONTH(D161,1))),
      IF(LEFT(D161,2)="13",DATE(RIGHT(D161,4)-1,1,31),IF(MONTH(D161)=12,"13º "&amp;YEAR(D161),EOMONTH(D161,1)))))))</f>
        <v>40268</v>
      </c>
      <c r="E162" s="342"/>
      <c r="F162" s="257"/>
      <c r="G162" s="251"/>
      <c r="I162" s="262" t="str">
        <f ca="1">RESULTADOS!O160</f>
        <v>13º 2014</v>
      </c>
      <c r="J162" s="261">
        <f t="shared" ca="1" si="4"/>
        <v>0</v>
      </c>
      <c r="K162" s="333"/>
      <c r="L162" s="336">
        <f t="shared" si="5"/>
        <v>20000</v>
      </c>
      <c r="M162" s="336">
        <f ca="1">IFERROR(L162/VLOOKUP(D162,IPCA!$A$3:$D$340,4,FALSE),M161)</f>
        <v>9562.9275908112577</v>
      </c>
      <c r="N162" s="333"/>
    </row>
    <row r="163" spans="2:14" ht="15" x14ac:dyDescent="0.25">
      <c r="B163" s="251"/>
      <c r="C163" s="251"/>
      <c r="D163" s="258">
        <f ca="1">IF(D162="","",
IF(D162="13º "&amp;YEAR(RESULTADOS!$C$11),"",
IF(IFERROR(EOMONTH(D162,1)&gt;PREMISSAS!$C$3,"FALSO"),
   DATE(YEAR(D162)-1,1,31),
   IF(IF(ISTEXT(D162),RIGHT(D162,4)-1=YEAR(RESULTADOS!$C$11),YEAR(D162)-1=YEAR(RESULTADOS!$C$11)),
      IF(LEFT(D162,2)="13",EOMONTH(RESULTADOS!$C$11,0),IF(MONTH(D162)=12,"13º "&amp;YEAR(D162),EOMONTH(D162,1))),
      IF(LEFT(D162,2)="13",DATE(RIGHT(D162,4)-1,1,31),IF(MONTH(D162)=12,"13º "&amp;YEAR(D162),EOMONTH(D162,1)))))))</f>
        <v>40298</v>
      </c>
      <c r="E163" s="342"/>
      <c r="F163" s="257"/>
      <c r="G163" s="251"/>
      <c r="I163" s="262">
        <f ca="1">RESULTADOS!O161</f>
        <v>42004</v>
      </c>
      <c r="J163" s="261">
        <f t="shared" ca="1" si="4"/>
        <v>0</v>
      </c>
      <c r="K163" s="333"/>
      <c r="L163" s="336">
        <f t="shared" si="5"/>
        <v>20000</v>
      </c>
      <c r="M163" s="336">
        <f ca="1">IFERROR(L163/VLOOKUP(D163,IPCA!$A$3:$D$340,4,FALSE),M162)</f>
        <v>9612.6548142834708</v>
      </c>
      <c r="N163" s="333"/>
    </row>
    <row r="164" spans="2:14" ht="15" x14ac:dyDescent="0.25">
      <c r="B164" s="251"/>
      <c r="C164" s="251"/>
      <c r="D164" s="258">
        <f ca="1">IF(D163="","",
IF(D163="13º "&amp;YEAR(RESULTADOS!$C$11),"",
IF(IFERROR(EOMONTH(D163,1)&gt;PREMISSAS!$C$3,"FALSO"),
   DATE(YEAR(D163)-1,1,31),
   IF(IF(ISTEXT(D163),RIGHT(D163,4)-1=YEAR(RESULTADOS!$C$11),YEAR(D163)-1=YEAR(RESULTADOS!$C$11)),
      IF(LEFT(D163,2)="13",EOMONTH(RESULTADOS!$C$11,0),IF(MONTH(D163)=12,"13º "&amp;YEAR(D163),EOMONTH(D163,1))),
      IF(LEFT(D163,2)="13",DATE(RIGHT(D163,4)-1,1,31),IF(MONTH(D163)=12,"13º "&amp;YEAR(D163),EOMONTH(D163,1)))))))</f>
        <v>40329</v>
      </c>
      <c r="E164" s="342"/>
      <c r="F164" s="257"/>
      <c r="G164" s="251"/>
      <c r="I164" s="262">
        <f ca="1">RESULTADOS!O162</f>
        <v>42035</v>
      </c>
      <c r="J164" s="261">
        <f t="shared" ca="1" si="4"/>
        <v>0</v>
      </c>
      <c r="K164" s="333"/>
      <c r="L164" s="336">
        <f t="shared" si="5"/>
        <v>20000</v>
      </c>
      <c r="M164" s="336">
        <f ca="1">IFERROR(L164/VLOOKUP(D164,IPCA!$A$3:$D$340,4,FALSE),M163)</f>
        <v>9667.4469467248764</v>
      </c>
      <c r="N164" s="333"/>
    </row>
    <row r="165" spans="2:14" ht="15" x14ac:dyDescent="0.25">
      <c r="B165" s="251"/>
      <c r="C165" s="251"/>
      <c r="D165" s="258">
        <f ca="1">IF(D164="","",
IF(D164="13º "&amp;YEAR(RESULTADOS!$C$11),"",
IF(IFERROR(EOMONTH(D164,1)&gt;PREMISSAS!$C$3,"FALSO"),
   DATE(YEAR(D164)-1,1,31),
   IF(IF(ISTEXT(D164),RIGHT(D164,4)-1=YEAR(RESULTADOS!$C$11),YEAR(D164)-1=YEAR(RESULTADOS!$C$11)),
      IF(LEFT(D164,2)="13",EOMONTH(RESULTADOS!$C$11,0),IF(MONTH(D164)=12,"13º "&amp;YEAR(D164),EOMONTH(D164,1))),
      IF(LEFT(D164,2)="13",DATE(RIGHT(D164,4)-1,1,31),IF(MONTH(D164)=12,"13º "&amp;YEAR(D164),EOMONTH(D164,1)))))))</f>
        <v>40359</v>
      </c>
      <c r="E165" s="342"/>
      <c r="F165" s="257"/>
      <c r="G165" s="251"/>
      <c r="I165" s="262">
        <f ca="1">RESULTADOS!O163</f>
        <v>42063</v>
      </c>
      <c r="J165" s="261">
        <f t="shared" ca="1" si="4"/>
        <v>0</v>
      </c>
      <c r="K165" s="333"/>
      <c r="L165" s="336">
        <f t="shared" si="5"/>
        <v>20000</v>
      </c>
      <c r="M165" s="336">
        <f ca="1">IFERROR(L165/VLOOKUP(D165,IPCA!$A$3:$D$340,4,FALSE),M164)</f>
        <v>9709.0169685957881</v>
      </c>
      <c r="N165" s="333"/>
    </row>
    <row r="166" spans="2:14" ht="15" x14ac:dyDescent="0.25">
      <c r="B166" s="251"/>
      <c r="C166" s="251"/>
      <c r="D166" s="258">
        <f ca="1">IF(D165="","",
IF(D165="13º "&amp;YEAR(RESULTADOS!$C$11),"",
IF(IFERROR(EOMONTH(D165,1)&gt;PREMISSAS!$C$3,"FALSO"),
   DATE(YEAR(D165)-1,1,31),
   IF(IF(ISTEXT(D165),RIGHT(D165,4)-1=YEAR(RESULTADOS!$C$11),YEAR(D165)-1=YEAR(RESULTADOS!$C$11)),
      IF(LEFT(D165,2)="13",EOMONTH(RESULTADOS!$C$11,0),IF(MONTH(D165)=12,"13º "&amp;YEAR(D165),EOMONTH(D165,1))),
      IF(LEFT(D165,2)="13",DATE(RIGHT(D165,4)-1,1,31),IF(MONTH(D165)=12,"13º "&amp;YEAR(D165),EOMONTH(D165,1)))))))</f>
        <v>40390</v>
      </c>
      <c r="E166" s="342"/>
      <c r="F166" s="257"/>
      <c r="G166" s="251"/>
      <c r="I166" s="262">
        <f ca="1">RESULTADOS!O164</f>
        <v>42094</v>
      </c>
      <c r="J166" s="261">
        <f t="shared" ca="1" si="4"/>
        <v>0</v>
      </c>
      <c r="K166" s="333"/>
      <c r="L166" s="336">
        <f t="shared" si="5"/>
        <v>20000</v>
      </c>
      <c r="M166" s="336">
        <f ca="1">IFERROR(L166/VLOOKUP(D166,IPCA!$A$3:$D$340,4,FALSE),M165)</f>
        <v>9709.0169685957881</v>
      </c>
      <c r="N166" s="333"/>
    </row>
    <row r="167" spans="2:14" ht="15" x14ac:dyDescent="0.25">
      <c r="B167" s="251"/>
      <c r="C167" s="251"/>
      <c r="D167" s="258">
        <f ca="1">IF(D166="","",
IF(D166="13º "&amp;YEAR(RESULTADOS!$C$11),"",
IF(IFERROR(EOMONTH(D166,1)&gt;PREMISSAS!$C$3,"FALSO"),
   DATE(YEAR(D166)-1,1,31),
   IF(IF(ISTEXT(D166),RIGHT(D166,4)-1=YEAR(RESULTADOS!$C$11),YEAR(D166)-1=YEAR(RESULTADOS!$C$11)),
      IF(LEFT(D166,2)="13",EOMONTH(RESULTADOS!$C$11,0),IF(MONTH(D166)=12,"13º "&amp;YEAR(D166),EOMONTH(D166,1))),
      IF(LEFT(D166,2)="13",DATE(RIGHT(D166,4)-1,1,31),IF(MONTH(D166)=12,"13º "&amp;YEAR(D166),EOMONTH(D166,1)))))))</f>
        <v>40421</v>
      </c>
      <c r="E167" s="342"/>
      <c r="F167" s="257"/>
      <c r="G167" s="251"/>
      <c r="I167" s="262">
        <f ca="1">RESULTADOS!O165</f>
        <v>42124</v>
      </c>
      <c r="J167" s="261">
        <f t="shared" ca="1" si="4"/>
        <v>0</v>
      </c>
      <c r="K167" s="333"/>
      <c r="L167" s="336">
        <f t="shared" si="5"/>
        <v>20000</v>
      </c>
      <c r="M167" s="336">
        <f ca="1">IFERROR(L167/VLOOKUP(D167,IPCA!$A$3:$D$340,4,FALSE),M166)</f>
        <v>9709.9878702926599</v>
      </c>
      <c r="N167" s="333"/>
    </row>
    <row r="168" spans="2:14" ht="15" x14ac:dyDescent="0.25">
      <c r="B168" s="251"/>
      <c r="C168" s="251"/>
      <c r="D168" s="258">
        <f ca="1">IF(D167="","",
IF(D167="13º "&amp;YEAR(RESULTADOS!$C$11),"",
IF(IFERROR(EOMONTH(D167,1)&gt;PREMISSAS!$C$3,"FALSO"),
   DATE(YEAR(D167)-1,1,31),
   IF(IF(ISTEXT(D167),RIGHT(D167,4)-1=YEAR(RESULTADOS!$C$11),YEAR(D167)-1=YEAR(RESULTADOS!$C$11)),
      IF(LEFT(D167,2)="13",EOMONTH(RESULTADOS!$C$11,0),IF(MONTH(D167)=12,"13º "&amp;YEAR(D167),EOMONTH(D167,1))),
      IF(LEFT(D167,2)="13",DATE(RIGHT(D167,4)-1,1,31),IF(MONTH(D167)=12,"13º "&amp;YEAR(D167),EOMONTH(D167,1)))))))</f>
        <v>40451</v>
      </c>
      <c r="E168" s="342"/>
      <c r="F168" s="257"/>
      <c r="G168" s="251"/>
      <c r="I168" s="262">
        <f ca="1">RESULTADOS!O166</f>
        <v>42155</v>
      </c>
      <c r="J168" s="261">
        <f t="shared" ca="1" si="4"/>
        <v>0</v>
      </c>
      <c r="K168" s="333"/>
      <c r="L168" s="336">
        <f t="shared" si="5"/>
        <v>20000</v>
      </c>
      <c r="M168" s="336">
        <f ca="1">IFERROR(L168/VLOOKUP(D168,IPCA!$A$3:$D$340,4,FALSE),M167)</f>
        <v>9713.8718654407749</v>
      </c>
      <c r="N168" s="333"/>
    </row>
    <row r="169" spans="2:14" ht="15" x14ac:dyDescent="0.25">
      <c r="B169" s="251"/>
      <c r="C169" s="251"/>
      <c r="D169" s="258">
        <f ca="1">IF(D168="","",
IF(D168="13º "&amp;YEAR(RESULTADOS!$C$11),"",
IF(IFERROR(EOMONTH(D168,1)&gt;PREMISSAS!$C$3,"FALSO"),
   DATE(YEAR(D168)-1,1,31),
   IF(IF(ISTEXT(D168),RIGHT(D168,4)-1=YEAR(RESULTADOS!$C$11),YEAR(D168)-1=YEAR(RESULTADOS!$C$11)),
      IF(LEFT(D168,2)="13",EOMONTH(RESULTADOS!$C$11,0),IF(MONTH(D168)=12,"13º "&amp;YEAR(D168),EOMONTH(D168,1))),
      IF(LEFT(D168,2)="13",DATE(RIGHT(D168,4)-1,1,31),IF(MONTH(D168)=12,"13º "&amp;YEAR(D168),EOMONTH(D168,1)))))))</f>
        <v>40482</v>
      </c>
      <c r="E169" s="342"/>
      <c r="F169" s="257"/>
      <c r="G169" s="251"/>
      <c r="I169" s="262">
        <f ca="1">RESULTADOS!O167</f>
        <v>42185</v>
      </c>
      <c r="J169" s="261">
        <f t="shared" ca="1" si="4"/>
        <v>0</v>
      </c>
      <c r="K169" s="333"/>
      <c r="L169" s="336">
        <f t="shared" si="5"/>
        <v>20000</v>
      </c>
      <c r="M169" s="336">
        <f ca="1">IFERROR(L169/VLOOKUP(D169,IPCA!$A$3:$D$340,4,FALSE),M168)</f>
        <v>9757.5842888352618</v>
      </c>
      <c r="N169" s="333"/>
    </row>
    <row r="170" spans="2:14" ht="15" x14ac:dyDescent="0.25">
      <c r="B170" s="251"/>
      <c r="C170" s="251"/>
      <c r="D170" s="258">
        <f ca="1">IF(D169="","",
IF(D169="13º "&amp;YEAR(RESULTADOS!$C$11),"",
IF(IFERROR(EOMONTH(D169,1)&gt;PREMISSAS!$C$3,"FALSO"),
   DATE(YEAR(D169)-1,1,31),
   IF(IF(ISTEXT(D169),RIGHT(D169,4)-1=YEAR(RESULTADOS!$C$11),YEAR(D169)-1=YEAR(RESULTADOS!$C$11)),
      IF(LEFT(D169,2)="13",EOMONTH(RESULTADOS!$C$11,0),IF(MONTH(D169)=12,"13º "&amp;YEAR(D169),EOMONTH(D169,1))),
      IF(LEFT(D169,2)="13",DATE(RIGHT(D169,4)-1,1,31),IF(MONTH(D169)=12,"13º "&amp;YEAR(D169),EOMONTH(D169,1)))))))</f>
        <v>40512</v>
      </c>
      <c r="E170" s="342"/>
      <c r="F170" s="257"/>
      <c r="G170" s="251"/>
      <c r="I170" s="262">
        <f ca="1">RESULTADOS!O168</f>
        <v>42216</v>
      </c>
      <c r="J170" s="261">
        <f t="shared" ca="1" si="4"/>
        <v>0</v>
      </c>
      <c r="K170" s="333"/>
      <c r="L170" s="336">
        <f t="shared" si="5"/>
        <v>20000</v>
      </c>
      <c r="M170" s="336">
        <f ca="1">IFERROR(L170/VLOOKUP(D170,IPCA!$A$3:$D$340,4,FALSE),M169)</f>
        <v>9830.7661710015291</v>
      </c>
      <c r="N170" s="333"/>
    </row>
    <row r="171" spans="2:14" ht="15" x14ac:dyDescent="0.25">
      <c r="B171" s="251"/>
      <c r="C171" s="251"/>
      <c r="D171" s="258">
        <f ca="1">IF(D170="","",
IF(D170="13º "&amp;YEAR(RESULTADOS!$C$11),"",
IF(IFERROR(EOMONTH(D170,1)&gt;PREMISSAS!$C$3,"FALSO"),
   DATE(YEAR(D170)-1,1,31),
   IF(IF(ISTEXT(D170),RIGHT(D170,4)-1=YEAR(RESULTADOS!$C$11),YEAR(D170)-1=YEAR(RESULTADOS!$C$11)),
      IF(LEFT(D170,2)="13",EOMONTH(RESULTADOS!$C$11,0),IF(MONTH(D170)=12,"13º "&amp;YEAR(D170),EOMONTH(D170,1))),
      IF(LEFT(D170,2)="13",DATE(RIGHT(D170,4)-1,1,31),IF(MONTH(D170)=12,"13º "&amp;YEAR(D170),EOMONTH(D170,1)))))))</f>
        <v>40543</v>
      </c>
      <c r="E171" s="342"/>
      <c r="F171" s="257"/>
      <c r="G171" s="251"/>
      <c r="I171" s="262">
        <f ca="1">RESULTADOS!O169</f>
        <v>42247</v>
      </c>
      <c r="J171" s="261">
        <f t="shared" ca="1" si="4"/>
        <v>0</v>
      </c>
      <c r="K171" s="333"/>
      <c r="L171" s="336">
        <f t="shared" si="5"/>
        <v>20000</v>
      </c>
      <c r="M171" s="336">
        <f ca="1">IFERROR(L171/VLOOKUP(D171,IPCA!$A$3:$D$340,4,FALSE),M170)</f>
        <v>9912.3615302208455</v>
      </c>
      <c r="N171" s="333"/>
    </row>
    <row r="172" spans="2:14" ht="15" x14ac:dyDescent="0.25">
      <c r="B172" s="251"/>
      <c r="C172" s="251"/>
      <c r="D172" s="258" t="str">
        <f ca="1">IF(D171="","",
IF(D171="13º "&amp;YEAR(RESULTADOS!$C$11),"",
IF(IFERROR(EOMONTH(D171,1)&gt;PREMISSAS!$C$3,"FALSO"),
   DATE(YEAR(D171)-1,1,31),
   IF(IF(ISTEXT(D171),RIGHT(D171,4)-1=YEAR(RESULTADOS!$C$11),YEAR(D171)-1=YEAR(RESULTADOS!$C$11)),
      IF(LEFT(D171,2)="13",EOMONTH(RESULTADOS!$C$11,0),IF(MONTH(D171)=12,"13º "&amp;YEAR(D171),EOMONTH(D171,1))),
      IF(LEFT(D171,2)="13",DATE(RIGHT(D171,4)-1,1,31),IF(MONTH(D171)=12,"13º "&amp;YEAR(D171),EOMONTH(D171,1)))))))</f>
        <v>13º 2010</v>
      </c>
      <c r="E172" s="342"/>
      <c r="F172" s="257"/>
      <c r="G172" s="251"/>
      <c r="I172" s="262">
        <f ca="1">RESULTADOS!O170</f>
        <v>42277</v>
      </c>
      <c r="J172" s="261">
        <f t="shared" ca="1" si="4"/>
        <v>0</v>
      </c>
      <c r="K172" s="333"/>
      <c r="L172" s="336">
        <f t="shared" si="5"/>
        <v>20000</v>
      </c>
      <c r="M172" s="336">
        <f ca="1">IFERROR(L172/VLOOKUP(D172,IPCA!$A$3:$D$340,4,FALSE),M171)</f>
        <v>9912.3615302208455</v>
      </c>
      <c r="N172" s="333"/>
    </row>
    <row r="173" spans="2:14" ht="15" x14ac:dyDescent="0.25">
      <c r="B173" s="251"/>
      <c r="C173" s="251"/>
      <c r="D173" s="258">
        <f ca="1">IF(D172="","",
IF(D172="13º "&amp;YEAR(RESULTADOS!$C$11),"",
IF(IFERROR(EOMONTH(D172,1)&gt;PREMISSAS!$C$3,"FALSO"),
   DATE(YEAR(D172)-1,1,31),
   IF(IF(ISTEXT(D172),RIGHT(D172,4)-1=YEAR(RESULTADOS!$C$11),YEAR(D172)-1=YEAR(RESULTADOS!$C$11)),
      IF(LEFT(D172,2)="13",EOMONTH(RESULTADOS!$C$11,0),IF(MONTH(D172)=12,"13º "&amp;YEAR(D172),EOMONTH(D172,1))),
      IF(LEFT(D172,2)="13",DATE(RIGHT(D172,4)-1,1,31),IF(MONTH(D172)=12,"13º "&amp;YEAR(D172),EOMONTH(D172,1)))))))</f>
        <v>39844</v>
      </c>
      <c r="E173" s="342"/>
      <c r="F173" s="257"/>
      <c r="G173" s="251"/>
      <c r="I173" s="262">
        <f ca="1">RESULTADOS!O171</f>
        <v>42308</v>
      </c>
      <c r="J173" s="261">
        <f t="shared" ca="1" si="4"/>
        <v>0</v>
      </c>
      <c r="K173" s="333"/>
      <c r="L173" s="336">
        <f t="shared" si="5"/>
        <v>20000</v>
      </c>
      <c r="M173" s="336">
        <f ca="1">IFERROR(L173/VLOOKUP(D173,IPCA!$A$3:$D$340,4,FALSE),M172)</f>
        <v>9028.9462630222351</v>
      </c>
      <c r="N173" s="333"/>
    </row>
    <row r="174" spans="2:14" ht="15" x14ac:dyDescent="0.25">
      <c r="B174" s="251"/>
      <c r="C174" s="251"/>
      <c r="D174" s="258">
        <f ca="1">IF(D173="","",
IF(D173="13º "&amp;YEAR(RESULTADOS!$C$11),"",
IF(IFERROR(EOMONTH(D173,1)&gt;PREMISSAS!$C$3,"FALSO"),
   DATE(YEAR(D173)-1,1,31),
   IF(IF(ISTEXT(D173),RIGHT(D173,4)-1=YEAR(RESULTADOS!$C$11),YEAR(D173)-1=YEAR(RESULTADOS!$C$11)),
      IF(LEFT(D173,2)="13",EOMONTH(RESULTADOS!$C$11,0),IF(MONTH(D173)=12,"13º "&amp;YEAR(D173),EOMONTH(D173,1))),
      IF(LEFT(D173,2)="13",DATE(RIGHT(D173,4)-1,1,31),IF(MONTH(D173)=12,"13º "&amp;YEAR(D173),EOMONTH(D173,1)))))))</f>
        <v>39872</v>
      </c>
      <c r="E174" s="342"/>
      <c r="F174" s="257"/>
      <c r="G174" s="251"/>
      <c r="I174" s="262">
        <f ca="1">RESULTADOS!O172</f>
        <v>42338</v>
      </c>
      <c r="J174" s="261">
        <f t="shared" ca="1" si="4"/>
        <v>0</v>
      </c>
      <c r="K174" s="333"/>
      <c r="L174" s="336">
        <f t="shared" si="5"/>
        <v>20000</v>
      </c>
      <c r="M174" s="336">
        <f ca="1">IFERROR(L174/VLOOKUP(D174,IPCA!$A$3:$D$340,4,FALSE),M173)</f>
        <v>9072.2852050847323</v>
      </c>
      <c r="N174" s="333"/>
    </row>
    <row r="175" spans="2:14" ht="15" x14ac:dyDescent="0.25">
      <c r="B175" s="251"/>
      <c r="C175" s="251"/>
      <c r="D175" s="258">
        <f ca="1">IF(D174="","",
IF(D174="13º "&amp;YEAR(RESULTADOS!$C$11),"",
IF(IFERROR(EOMONTH(D174,1)&gt;PREMISSAS!$C$3,"FALSO"),
   DATE(YEAR(D174)-1,1,31),
   IF(IF(ISTEXT(D174),RIGHT(D174,4)-1=YEAR(RESULTADOS!$C$11),YEAR(D174)-1=YEAR(RESULTADOS!$C$11)),
      IF(LEFT(D174,2)="13",EOMONTH(RESULTADOS!$C$11,0),IF(MONTH(D174)=12,"13º "&amp;YEAR(D174),EOMONTH(D174,1))),
      IF(LEFT(D174,2)="13",DATE(RIGHT(D174,4)-1,1,31),IF(MONTH(D174)=12,"13º "&amp;YEAR(D174),EOMONTH(D174,1)))))))</f>
        <v>39903</v>
      </c>
      <c r="E175" s="342"/>
      <c r="F175" s="257"/>
      <c r="G175" s="251"/>
      <c r="I175" s="262" t="str">
        <f ca="1">RESULTADOS!O173</f>
        <v>13º 2015</v>
      </c>
      <c r="J175" s="261">
        <f t="shared" ca="1" si="4"/>
        <v>0</v>
      </c>
      <c r="K175" s="333"/>
      <c r="L175" s="336">
        <f t="shared" si="5"/>
        <v>20000</v>
      </c>
      <c r="M175" s="336">
        <f ca="1">IFERROR(L175/VLOOKUP(D175,IPCA!$A$3:$D$340,4,FALSE),M174)</f>
        <v>9122.1827737126896</v>
      </c>
      <c r="N175" s="333"/>
    </row>
    <row r="176" spans="2:14" ht="15" x14ac:dyDescent="0.25">
      <c r="B176" s="251"/>
      <c r="C176" s="251"/>
      <c r="D176" s="258">
        <f ca="1">IF(D175="","",
IF(D175="13º "&amp;YEAR(RESULTADOS!$C$11),"",
IF(IFERROR(EOMONTH(D175,1)&gt;PREMISSAS!$C$3,"FALSO"),
   DATE(YEAR(D175)-1,1,31),
   IF(IF(ISTEXT(D175),RIGHT(D175,4)-1=YEAR(RESULTADOS!$C$11),YEAR(D175)-1=YEAR(RESULTADOS!$C$11)),
      IF(LEFT(D175,2)="13",EOMONTH(RESULTADOS!$C$11,0),IF(MONTH(D175)=12,"13º "&amp;YEAR(D175),EOMONTH(D175,1))),
      IF(LEFT(D175,2)="13",DATE(RIGHT(D175,4)-1,1,31),IF(MONTH(D175)=12,"13º "&amp;YEAR(D175),EOMONTH(D175,1)))))))</f>
        <v>39933</v>
      </c>
      <c r="E176" s="342"/>
      <c r="F176" s="257"/>
      <c r="G176" s="251"/>
      <c r="I176" s="262">
        <f ca="1">RESULTADOS!O174</f>
        <v>42369</v>
      </c>
      <c r="J176" s="261">
        <f t="shared" ca="1" si="4"/>
        <v>0</v>
      </c>
      <c r="K176" s="333"/>
      <c r="L176" s="336">
        <f t="shared" si="5"/>
        <v>20000</v>
      </c>
      <c r="M176" s="336">
        <f ca="1">IFERROR(L176/VLOOKUP(D176,IPCA!$A$3:$D$340,4,FALSE),M175)</f>
        <v>9140.4271392601222</v>
      </c>
      <c r="N176" s="333"/>
    </row>
    <row r="177" spans="2:14" ht="15" x14ac:dyDescent="0.25">
      <c r="B177" s="251"/>
      <c r="C177" s="251"/>
      <c r="D177" s="258">
        <f ca="1">IF(D176="","",
IF(D176="13º "&amp;YEAR(RESULTADOS!$C$11),"",
IF(IFERROR(EOMONTH(D176,1)&gt;PREMISSAS!$C$3,"FALSO"),
   DATE(YEAR(D176)-1,1,31),
   IF(IF(ISTEXT(D176),RIGHT(D176,4)-1=YEAR(RESULTADOS!$C$11),YEAR(D176)-1=YEAR(RESULTADOS!$C$11)),
      IF(LEFT(D176,2)="13",EOMONTH(RESULTADOS!$C$11,0),IF(MONTH(D176)=12,"13º "&amp;YEAR(D176),EOMONTH(D176,1))),
      IF(LEFT(D176,2)="13",DATE(RIGHT(D176,4)-1,1,31),IF(MONTH(D176)=12,"13º "&amp;YEAR(D176),EOMONTH(D176,1)))))))</f>
        <v>39964</v>
      </c>
      <c r="E177" s="342"/>
      <c r="F177" s="257"/>
      <c r="G177" s="251"/>
      <c r="I177" s="262">
        <f ca="1">RESULTADOS!O175</f>
        <v>42400</v>
      </c>
      <c r="J177" s="261">
        <f t="shared" ca="1" si="4"/>
        <v>0</v>
      </c>
      <c r="K177" s="333"/>
      <c r="L177" s="336">
        <f t="shared" si="5"/>
        <v>20000</v>
      </c>
      <c r="M177" s="336">
        <f ca="1">IFERROR(L177/VLOOKUP(D177,IPCA!$A$3:$D$340,4,FALSE),M176)</f>
        <v>9184.3011895285745</v>
      </c>
      <c r="N177" s="333"/>
    </row>
    <row r="178" spans="2:14" ht="15" x14ac:dyDescent="0.25">
      <c r="B178" s="251"/>
      <c r="C178" s="251"/>
      <c r="D178" s="258">
        <f ca="1">IF(D177="","",
IF(D177="13º "&amp;YEAR(RESULTADOS!$C$11),"",
IF(IFERROR(EOMONTH(D177,1)&gt;PREMISSAS!$C$3,"FALSO"),
   DATE(YEAR(D177)-1,1,31),
   IF(IF(ISTEXT(D177),RIGHT(D177,4)-1=YEAR(RESULTADOS!$C$11),YEAR(D177)-1=YEAR(RESULTADOS!$C$11)),
      IF(LEFT(D177,2)="13",EOMONTH(RESULTADOS!$C$11,0),IF(MONTH(D177)=12,"13º "&amp;YEAR(D177),EOMONTH(D177,1))),
      IF(LEFT(D177,2)="13",DATE(RIGHT(D177,4)-1,1,31),IF(MONTH(D177)=12,"13º "&amp;YEAR(D177),EOMONTH(D177,1)))))))</f>
        <v>39994</v>
      </c>
      <c r="E178" s="342"/>
      <c r="F178" s="257"/>
      <c r="G178" s="251"/>
      <c r="I178" s="262">
        <f ca="1">RESULTADOS!O176</f>
        <v>42429</v>
      </c>
      <c r="J178" s="261">
        <f t="shared" ca="1" si="4"/>
        <v>0</v>
      </c>
      <c r="K178" s="333"/>
      <c r="L178" s="336">
        <f t="shared" si="5"/>
        <v>20000</v>
      </c>
      <c r="M178" s="336">
        <f ca="1">IFERROR(L178/VLOOKUP(D178,IPCA!$A$3:$D$340,4,FALSE),M177)</f>
        <v>9227.4674051193488</v>
      </c>
      <c r="N178" s="333"/>
    </row>
    <row r="179" spans="2:14" ht="15" x14ac:dyDescent="0.25">
      <c r="B179" s="251"/>
      <c r="C179" s="251"/>
      <c r="D179" s="258">
        <f ca="1">IF(D178="","",
IF(D178="13º "&amp;YEAR(RESULTADOS!$C$11),"",
IF(IFERROR(EOMONTH(D178,1)&gt;PREMISSAS!$C$3,"FALSO"),
   DATE(YEAR(D178)-1,1,31),
   IF(IF(ISTEXT(D178),RIGHT(D178,4)-1=YEAR(RESULTADOS!$C$11),YEAR(D178)-1=YEAR(RESULTADOS!$C$11)),
      IF(LEFT(D178,2)="13",EOMONTH(RESULTADOS!$C$11,0),IF(MONTH(D178)=12,"13º "&amp;YEAR(D178),EOMONTH(D178,1))),
      IF(LEFT(D178,2)="13",DATE(RIGHT(D178,4)-1,1,31),IF(MONTH(D178)=12,"13º "&amp;YEAR(D178),EOMONTH(D178,1)))))))</f>
        <v>40025</v>
      </c>
      <c r="E179" s="342"/>
      <c r="F179" s="257"/>
      <c r="G179" s="251"/>
      <c r="I179" s="262">
        <f ca="1">RESULTADOS!O177</f>
        <v>42460</v>
      </c>
      <c r="J179" s="261">
        <f t="shared" ca="1" si="4"/>
        <v>0</v>
      </c>
      <c r="K179" s="333"/>
      <c r="L179" s="336">
        <f t="shared" si="5"/>
        <v>20000</v>
      </c>
      <c r="M179" s="336">
        <f ca="1">IFERROR(L179/VLOOKUP(D179,IPCA!$A$3:$D$340,4,FALSE),M178)</f>
        <v>9260.6862877777767</v>
      </c>
      <c r="N179" s="333"/>
    </row>
    <row r="180" spans="2:14" ht="15" x14ac:dyDescent="0.25">
      <c r="B180" s="251"/>
      <c r="C180" s="251"/>
      <c r="D180" s="258">
        <f ca="1">IF(D179="","",
IF(D179="13º "&amp;YEAR(RESULTADOS!$C$11),"",
IF(IFERROR(EOMONTH(D179,1)&gt;PREMISSAS!$C$3,"FALSO"),
   DATE(YEAR(D179)-1,1,31),
   IF(IF(ISTEXT(D179),RIGHT(D179,4)-1=YEAR(RESULTADOS!$C$11),YEAR(D179)-1=YEAR(RESULTADOS!$C$11)),
      IF(LEFT(D179,2)="13",EOMONTH(RESULTADOS!$C$11,0),IF(MONTH(D179)=12,"13º "&amp;YEAR(D179),EOMONTH(D179,1))),
      IF(LEFT(D179,2)="13",DATE(RIGHT(D179,4)-1,1,31),IF(MONTH(D179)=12,"13º "&amp;YEAR(D179),EOMONTH(D179,1)))))))</f>
        <v>40056</v>
      </c>
      <c r="E180" s="342"/>
      <c r="F180" s="257"/>
      <c r="G180" s="251"/>
      <c r="I180" s="262">
        <f ca="1">RESULTADOS!O178</f>
        <v>42490</v>
      </c>
      <c r="J180" s="261">
        <f t="shared" ca="1" si="4"/>
        <v>0</v>
      </c>
      <c r="K180" s="333"/>
      <c r="L180" s="336">
        <f t="shared" si="5"/>
        <v>20000</v>
      </c>
      <c r="M180" s="336">
        <f ca="1">IFERROR(L180/VLOOKUP(D180,IPCA!$A$3:$D$340,4,FALSE),M179)</f>
        <v>9282.9119348684453</v>
      </c>
      <c r="N180" s="333"/>
    </row>
    <row r="181" spans="2:14" ht="15" x14ac:dyDescent="0.25">
      <c r="B181" s="251"/>
      <c r="C181" s="251"/>
      <c r="D181" s="258">
        <f ca="1">IF(D180="","",
IF(D180="13º "&amp;YEAR(RESULTADOS!$C$11),"",
IF(IFERROR(EOMONTH(D180,1)&gt;PREMISSAS!$C$3,"FALSO"),
   DATE(YEAR(D180)-1,1,31),
   IF(IF(ISTEXT(D180),RIGHT(D180,4)-1=YEAR(RESULTADOS!$C$11),YEAR(D180)-1=YEAR(RESULTADOS!$C$11)),
      IF(LEFT(D180,2)="13",EOMONTH(RESULTADOS!$C$11,0),IF(MONTH(D180)=12,"13º "&amp;YEAR(D180),EOMONTH(D180,1))),
      IF(LEFT(D180,2)="13",DATE(RIGHT(D180,4)-1,1,31),IF(MONTH(D180)=12,"13º "&amp;YEAR(D180),EOMONTH(D180,1)))))))</f>
        <v>40086</v>
      </c>
      <c r="E181" s="342"/>
      <c r="F181" s="257"/>
      <c r="G181" s="251"/>
      <c r="I181" s="262">
        <f ca="1">RESULTADOS!O179</f>
        <v>42521</v>
      </c>
      <c r="J181" s="261">
        <f t="shared" ca="1" si="4"/>
        <v>0</v>
      </c>
      <c r="K181" s="333"/>
      <c r="L181" s="336">
        <f t="shared" si="5"/>
        <v>20000</v>
      </c>
      <c r="M181" s="336">
        <f ca="1">IFERROR(L181/VLOOKUP(D181,IPCA!$A$3:$D$340,4,FALSE),M180)</f>
        <v>9296.8363027707546</v>
      </c>
      <c r="N181" s="333"/>
    </row>
    <row r="182" spans="2:14" ht="15" x14ac:dyDescent="0.25">
      <c r="B182" s="251"/>
      <c r="C182" s="251"/>
      <c r="D182" s="258">
        <f ca="1">IF(D181="","",
IF(D181="13º "&amp;YEAR(RESULTADOS!$C$11),"",
IF(IFERROR(EOMONTH(D181,1)&gt;PREMISSAS!$C$3,"FALSO"),
   DATE(YEAR(D181)-1,1,31),
   IF(IF(ISTEXT(D181),RIGHT(D181,4)-1=YEAR(RESULTADOS!$C$11),YEAR(D181)-1=YEAR(RESULTADOS!$C$11)),
      IF(LEFT(D181,2)="13",EOMONTH(RESULTADOS!$C$11,0),IF(MONTH(D181)=12,"13º "&amp;YEAR(D181),EOMONTH(D181,1))),
      IF(LEFT(D181,2)="13",DATE(RIGHT(D181,4)-1,1,31),IF(MONTH(D181)=12,"13º "&amp;YEAR(D181),EOMONTH(D181,1)))))))</f>
        <v>40117</v>
      </c>
      <c r="E182" s="342"/>
      <c r="F182" s="257"/>
      <c r="G182" s="251"/>
      <c r="I182" s="262">
        <f ca="1">RESULTADOS!O180</f>
        <v>42551</v>
      </c>
      <c r="J182" s="261">
        <f t="shared" ca="1" si="4"/>
        <v>0</v>
      </c>
      <c r="K182" s="333"/>
      <c r="L182" s="336">
        <f t="shared" si="5"/>
        <v>20000</v>
      </c>
      <c r="M182" s="336">
        <f ca="1">IFERROR(L182/VLOOKUP(D182,IPCA!$A$3:$D$340,4,FALSE),M181)</f>
        <v>9319.148709897403</v>
      </c>
      <c r="N182" s="333"/>
    </row>
    <row r="183" spans="2:14" ht="15" x14ac:dyDescent="0.25">
      <c r="B183" s="251"/>
      <c r="C183" s="251"/>
      <c r="D183" s="258">
        <f ca="1">IF(D182="","",
IF(D182="13º "&amp;YEAR(RESULTADOS!$C$11),"",
IF(IFERROR(EOMONTH(D182,1)&gt;PREMISSAS!$C$3,"FALSO"),
   DATE(YEAR(D182)-1,1,31),
   IF(IF(ISTEXT(D182),RIGHT(D182,4)-1=YEAR(RESULTADOS!$C$11),YEAR(D182)-1=YEAR(RESULTADOS!$C$11)),
      IF(LEFT(D182,2)="13",EOMONTH(RESULTADOS!$C$11,0),IF(MONTH(D182)=12,"13º "&amp;YEAR(D182),EOMONTH(D182,1))),
      IF(LEFT(D182,2)="13",DATE(RIGHT(D182,4)-1,1,31),IF(MONTH(D182)=12,"13º "&amp;YEAR(D182),EOMONTH(D182,1)))))))</f>
        <v>40147</v>
      </c>
      <c r="E183" s="342"/>
      <c r="F183" s="257"/>
      <c r="G183" s="251"/>
      <c r="I183" s="262">
        <f ca="1">RESULTADOS!O181</f>
        <v>42582</v>
      </c>
      <c r="J183" s="261">
        <f t="shared" ca="1" si="4"/>
        <v>0</v>
      </c>
      <c r="K183" s="333"/>
      <c r="L183" s="336">
        <f t="shared" si="5"/>
        <v>20000</v>
      </c>
      <c r="M183" s="336">
        <f ca="1">IFERROR(L183/VLOOKUP(D183,IPCA!$A$3:$D$340,4,FALSE),M182)</f>
        <v>9345.2423262851207</v>
      </c>
      <c r="N183" s="333"/>
    </row>
    <row r="184" spans="2:14" ht="15" x14ac:dyDescent="0.25">
      <c r="B184" s="251"/>
      <c r="C184" s="251"/>
      <c r="D184" s="258">
        <f ca="1">IF(D183="","",
IF(D183="13º "&amp;YEAR(RESULTADOS!$C$11),"",
IF(IFERROR(EOMONTH(D183,1)&gt;PREMISSAS!$C$3,"FALSO"),
   DATE(YEAR(D183)-1,1,31),
   IF(IF(ISTEXT(D183),RIGHT(D183,4)-1=YEAR(RESULTADOS!$C$11),YEAR(D183)-1=YEAR(RESULTADOS!$C$11)),
      IF(LEFT(D183,2)="13",EOMONTH(RESULTADOS!$C$11,0),IF(MONTH(D183)=12,"13º "&amp;YEAR(D183),EOMONTH(D183,1))),
      IF(LEFT(D183,2)="13",DATE(RIGHT(D183,4)-1,1,31),IF(MONTH(D183)=12,"13º "&amp;YEAR(D183),EOMONTH(D183,1)))))))</f>
        <v>40178</v>
      </c>
      <c r="E184" s="342"/>
      <c r="F184" s="257"/>
      <c r="G184" s="251"/>
      <c r="I184" s="262">
        <f ca="1">RESULTADOS!O182</f>
        <v>42613</v>
      </c>
      <c r="J184" s="261">
        <f t="shared" ca="1" si="4"/>
        <v>0</v>
      </c>
      <c r="K184" s="333"/>
      <c r="L184" s="336">
        <f t="shared" si="5"/>
        <v>20000</v>
      </c>
      <c r="M184" s="336">
        <f ca="1">IFERROR(L184/VLOOKUP(D184,IPCA!$A$3:$D$340,4,FALSE),M183)</f>
        <v>9383.5578198228832</v>
      </c>
      <c r="N184" s="333"/>
    </row>
    <row r="185" spans="2:14" ht="15" x14ac:dyDescent="0.25">
      <c r="B185" s="251"/>
      <c r="C185" s="251"/>
      <c r="D185" s="258" t="str">
        <f ca="1">IF(D184="","",
IF(D184="13º "&amp;YEAR(RESULTADOS!$C$11),"",
IF(IFERROR(EOMONTH(D184,1)&gt;PREMISSAS!$C$3,"FALSO"),
   DATE(YEAR(D184)-1,1,31),
   IF(IF(ISTEXT(D184),RIGHT(D184,4)-1=YEAR(RESULTADOS!$C$11),YEAR(D184)-1=YEAR(RESULTADOS!$C$11)),
      IF(LEFT(D184,2)="13",EOMONTH(RESULTADOS!$C$11,0),IF(MONTH(D184)=12,"13º "&amp;YEAR(D184),EOMONTH(D184,1))),
      IF(LEFT(D184,2)="13",DATE(RIGHT(D184,4)-1,1,31),IF(MONTH(D184)=12,"13º "&amp;YEAR(D184),EOMONTH(D184,1)))))))</f>
        <v>13º 2009</v>
      </c>
      <c r="E185" s="342"/>
      <c r="F185" s="257"/>
      <c r="G185" s="251"/>
      <c r="I185" s="262">
        <f ca="1">RESULTADOS!O183</f>
        <v>42643</v>
      </c>
      <c r="J185" s="261">
        <f t="shared" ca="1" si="4"/>
        <v>0</v>
      </c>
      <c r="K185" s="333"/>
      <c r="L185" s="336">
        <f t="shared" si="5"/>
        <v>20000</v>
      </c>
      <c r="M185" s="336">
        <f ca="1">IFERROR(L185/VLOOKUP(D185,IPCA!$A$3:$D$340,4,FALSE),M184)</f>
        <v>9383.5578198228832</v>
      </c>
      <c r="N185" s="333"/>
    </row>
    <row r="186" spans="2:14" ht="15" x14ac:dyDescent="0.25">
      <c r="B186" s="251"/>
      <c r="C186" s="251"/>
      <c r="D186" s="258">
        <f ca="1">IF(D185="","",
IF(D185="13º "&amp;YEAR(RESULTADOS!$C$11),"",
IF(IFERROR(EOMONTH(D185,1)&gt;PREMISSAS!$C$3,"FALSO"),
   DATE(YEAR(D185)-1,1,31),
   IF(IF(ISTEXT(D185),RIGHT(D185,4)-1=YEAR(RESULTADOS!$C$11),YEAR(D185)-1=YEAR(RESULTADOS!$C$11)),
      IF(LEFT(D185,2)="13",EOMONTH(RESULTADOS!$C$11,0),IF(MONTH(D185)=12,"13º "&amp;YEAR(D185),EOMONTH(D185,1))),
      IF(LEFT(D185,2)="13",DATE(RIGHT(D185,4)-1,1,31),IF(MONTH(D185)=12,"13º "&amp;YEAR(D185),EOMONTH(D185,1)))))))</f>
        <v>39478</v>
      </c>
      <c r="E186" s="342"/>
      <c r="F186" s="257"/>
      <c r="G186" s="251"/>
      <c r="I186" s="262">
        <f ca="1">RESULTADOS!O184</f>
        <v>42674</v>
      </c>
      <c r="J186" s="261">
        <f t="shared" ca="1" si="4"/>
        <v>0</v>
      </c>
      <c r="K186" s="333"/>
      <c r="L186" s="336">
        <f t="shared" si="5"/>
        <v>20000</v>
      </c>
      <c r="M186" s="336">
        <f ca="1">IFERROR(L186/VLOOKUP(D186,IPCA!$A$3:$D$340,4,FALSE),M185)</f>
        <v>8525.7309039370339</v>
      </c>
      <c r="N186" s="333"/>
    </row>
    <row r="187" spans="2:14" ht="15" x14ac:dyDescent="0.25">
      <c r="B187" s="251"/>
      <c r="C187" s="251"/>
      <c r="D187" s="258">
        <f ca="1">IF(D186="","",
IF(D186="13º "&amp;YEAR(RESULTADOS!$C$11),"",
IF(IFERROR(EOMONTH(D186,1)&gt;PREMISSAS!$C$3,"FALSO"),
   DATE(YEAR(D186)-1,1,31),
   IF(IF(ISTEXT(D186),RIGHT(D186,4)-1=YEAR(RESULTADOS!$C$11),YEAR(D186)-1=YEAR(RESULTADOS!$C$11)),
      IF(LEFT(D186,2)="13",EOMONTH(RESULTADOS!$C$11,0),IF(MONTH(D186)=12,"13º "&amp;YEAR(D186),EOMONTH(D186,1))),
      IF(LEFT(D186,2)="13",DATE(RIGHT(D186,4)-1,1,31),IF(MONTH(D186)=12,"13º "&amp;YEAR(D186),EOMONTH(D186,1)))))))</f>
        <v>39507</v>
      </c>
      <c r="E187" s="342"/>
      <c r="F187" s="257"/>
      <c r="G187" s="251"/>
      <c r="I187" s="262">
        <f ca="1">RESULTADOS!O185</f>
        <v>42704</v>
      </c>
      <c r="J187" s="261">
        <f t="shared" ca="1" si="4"/>
        <v>0</v>
      </c>
      <c r="K187" s="333"/>
      <c r="L187" s="336">
        <f t="shared" si="5"/>
        <v>20000</v>
      </c>
      <c r="M187" s="336">
        <f ca="1">IFERROR(L187/VLOOKUP(D187,IPCA!$A$3:$D$340,4,FALSE),M186)</f>
        <v>8571.7698508182802</v>
      </c>
      <c r="N187" s="333"/>
    </row>
    <row r="188" spans="2:14" ht="15" x14ac:dyDescent="0.25">
      <c r="B188" s="251"/>
      <c r="C188" s="251"/>
      <c r="D188" s="258">
        <f ca="1">IF(D187="","",
IF(D187="13º "&amp;YEAR(RESULTADOS!$C$11),"",
IF(IFERROR(EOMONTH(D187,1)&gt;PREMISSAS!$C$3,"FALSO"),
   DATE(YEAR(D187)-1,1,31),
   IF(IF(ISTEXT(D187),RIGHT(D187,4)-1=YEAR(RESULTADOS!$C$11),YEAR(D187)-1=YEAR(RESULTADOS!$C$11)),
      IF(LEFT(D187,2)="13",EOMONTH(RESULTADOS!$C$11,0),IF(MONTH(D187)=12,"13º "&amp;YEAR(D187),EOMONTH(D187,1))),
      IF(LEFT(D187,2)="13",DATE(RIGHT(D187,4)-1,1,31),IF(MONTH(D187)=12,"13º "&amp;YEAR(D187),EOMONTH(D187,1)))))))</f>
        <v>39538</v>
      </c>
      <c r="E188" s="342"/>
      <c r="F188" s="257"/>
      <c r="G188" s="251"/>
      <c r="I188" s="262" t="str">
        <f ca="1">RESULTADOS!O186</f>
        <v>13º 2016</v>
      </c>
      <c r="J188" s="261">
        <f t="shared" ca="1" si="4"/>
        <v>0</v>
      </c>
      <c r="K188" s="333"/>
      <c r="L188" s="336">
        <f t="shared" si="5"/>
        <v>20000</v>
      </c>
      <c r="M188" s="336">
        <f ca="1">IFERROR(L188/VLOOKUP(D188,IPCA!$A$3:$D$340,4,FALSE),M187)</f>
        <v>8613.7715230873091</v>
      </c>
      <c r="N188" s="333"/>
    </row>
    <row r="189" spans="2:14" ht="15" x14ac:dyDescent="0.25">
      <c r="B189" s="251"/>
      <c r="C189" s="251"/>
      <c r="D189" s="258">
        <f ca="1">IF(D188="","",
IF(D188="13º "&amp;YEAR(RESULTADOS!$C$11),"",
IF(IFERROR(EOMONTH(D188,1)&gt;PREMISSAS!$C$3,"FALSO"),
   DATE(YEAR(D188)-1,1,31),
   IF(IF(ISTEXT(D188),RIGHT(D188,4)-1=YEAR(RESULTADOS!$C$11),YEAR(D188)-1=YEAR(RESULTADOS!$C$11)),
      IF(LEFT(D188,2)="13",EOMONTH(RESULTADOS!$C$11,0),IF(MONTH(D188)=12,"13º "&amp;YEAR(D188),EOMONTH(D188,1))),
      IF(LEFT(D188,2)="13",DATE(RIGHT(D188,4)-1,1,31),IF(MONTH(D188)=12,"13º "&amp;YEAR(D188),EOMONTH(D188,1)))))))</f>
        <v>39568</v>
      </c>
      <c r="E189" s="342"/>
      <c r="F189" s="257"/>
      <c r="G189" s="251"/>
      <c r="I189" s="262">
        <f ca="1">RESULTADOS!O187</f>
        <v>42735</v>
      </c>
      <c r="J189" s="261">
        <f t="shared" ca="1" si="4"/>
        <v>0</v>
      </c>
      <c r="K189" s="333"/>
      <c r="L189" s="336">
        <f t="shared" si="5"/>
        <v>20000</v>
      </c>
      <c r="M189" s="336">
        <f ca="1">IFERROR(L189/VLOOKUP(D189,IPCA!$A$3:$D$340,4,FALSE),M188)</f>
        <v>8655.1176263981233</v>
      </c>
      <c r="N189" s="333"/>
    </row>
    <row r="190" spans="2:14" ht="15" x14ac:dyDescent="0.25">
      <c r="B190" s="251"/>
      <c r="C190" s="251"/>
      <c r="D190" s="258">
        <f ca="1">IF(D189="","",
IF(D189="13º "&amp;YEAR(RESULTADOS!$C$11),"",
IF(IFERROR(EOMONTH(D189,1)&gt;PREMISSAS!$C$3,"FALSO"),
   DATE(YEAR(D189)-1,1,31),
   IF(IF(ISTEXT(D189),RIGHT(D189,4)-1=YEAR(RESULTADOS!$C$11),YEAR(D189)-1=YEAR(RESULTADOS!$C$11)),
      IF(LEFT(D189,2)="13",EOMONTH(RESULTADOS!$C$11,0),IF(MONTH(D189)=12,"13º "&amp;YEAR(D189),EOMONTH(D189,1))),
      IF(LEFT(D189,2)="13",DATE(RIGHT(D189,4)-1,1,31),IF(MONTH(D189)=12,"13º "&amp;YEAR(D189),EOMONTH(D189,1)))))))</f>
        <v>39599</v>
      </c>
      <c r="E190" s="342"/>
      <c r="F190" s="257"/>
      <c r="G190" s="251"/>
      <c r="I190" s="262">
        <f ca="1">RESULTADOS!O188</f>
        <v>42766</v>
      </c>
      <c r="J190" s="261">
        <f t="shared" ca="1" si="4"/>
        <v>0</v>
      </c>
      <c r="K190" s="333"/>
      <c r="L190" s="336">
        <f t="shared" si="5"/>
        <v>20000</v>
      </c>
      <c r="M190" s="336">
        <f ca="1">IFERROR(L190/VLOOKUP(D190,IPCA!$A$3:$D$340,4,FALSE),M189)</f>
        <v>8702.7207733432988</v>
      </c>
      <c r="N190" s="333"/>
    </row>
    <row r="191" spans="2:14" ht="15" x14ac:dyDescent="0.25">
      <c r="B191" s="251"/>
      <c r="C191" s="251"/>
      <c r="D191" s="258">
        <f ca="1">IF(D190="","",
IF(D190="13º "&amp;YEAR(RESULTADOS!$C$11),"",
IF(IFERROR(EOMONTH(D190,1)&gt;PREMISSAS!$C$3,"FALSO"),
   DATE(YEAR(D190)-1,1,31),
   IF(IF(ISTEXT(D190),RIGHT(D190,4)-1=YEAR(RESULTADOS!$C$11),YEAR(D190)-1=YEAR(RESULTADOS!$C$11)),
      IF(LEFT(D190,2)="13",EOMONTH(RESULTADOS!$C$11,0),IF(MONTH(D190)=12,"13º "&amp;YEAR(D190),EOMONTH(D190,1))),
      IF(LEFT(D190,2)="13",DATE(RIGHT(D190,4)-1,1,31),IF(MONTH(D190)=12,"13º "&amp;YEAR(D190),EOMONTH(D190,1)))))))</f>
        <v>39629</v>
      </c>
      <c r="E191" s="342"/>
      <c r="F191" s="257"/>
      <c r="G191" s="251"/>
      <c r="I191" s="262">
        <f ca="1">RESULTADOS!O189</f>
        <v>42794</v>
      </c>
      <c r="J191" s="261">
        <f t="shared" ca="1" si="4"/>
        <v>0</v>
      </c>
      <c r="K191" s="333"/>
      <c r="L191" s="336">
        <f t="shared" si="5"/>
        <v>20000</v>
      </c>
      <c r="M191" s="336">
        <f ca="1">IFERROR(L191/VLOOKUP(D191,IPCA!$A$3:$D$340,4,FALSE),M190)</f>
        <v>8771.4722674527129</v>
      </c>
      <c r="N191" s="333"/>
    </row>
    <row r="192" spans="2:14" ht="15" x14ac:dyDescent="0.25">
      <c r="B192" s="251"/>
      <c r="C192" s="251"/>
      <c r="D192" s="258">
        <f ca="1">IF(D191="","",
IF(D191="13º "&amp;YEAR(RESULTADOS!$C$11),"",
IF(IFERROR(EOMONTH(D191,1)&gt;PREMISSAS!$C$3,"FALSO"),
   DATE(YEAR(D191)-1,1,31),
   IF(IF(ISTEXT(D191),RIGHT(D191,4)-1=YEAR(RESULTADOS!$C$11),YEAR(D191)-1=YEAR(RESULTADOS!$C$11)),
      IF(LEFT(D191,2)="13",EOMONTH(RESULTADOS!$C$11,0),IF(MONTH(D191)=12,"13º "&amp;YEAR(D191),EOMONTH(D191,1))),
      IF(LEFT(D191,2)="13",DATE(RIGHT(D191,4)-1,1,31),IF(MONTH(D191)=12,"13º "&amp;YEAR(D191),EOMONTH(D191,1)))))))</f>
        <v>39660</v>
      </c>
      <c r="E192" s="342"/>
      <c r="F192" s="257"/>
      <c r="G192" s="251"/>
      <c r="I192" s="262">
        <f ca="1">RESULTADOS!O190</f>
        <v>42825</v>
      </c>
      <c r="J192" s="261">
        <f t="shared" ca="1" si="4"/>
        <v>0</v>
      </c>
      <c r="K192" s="333"/>
      <c r="L192" s="336">
        <f t="shared" si="5"/>
        <v>20000</v>
      </c>
      <c r="M192" s="336">
        <f ca="1">IFERROR(L192/VLOOKUP(D192,IPCA!$A$3:$D$340,4,FALSE),M191)</f>
        <v>8836.3811622318735</v>
      </c>
      <c r="N192" s="333"/>
    </row>
    <row r="193" spans="2:14" ht="15" x14ac:dyDescent="0.25">
      <c r="B193" s="251"/>
      <c r="C193" s="251"/>
      <c r="D193" s="258">
        <f ca="1">IF(D192="","",
IF(D192="13º "&amp;YEAR(RESULTADOS!$C$11),"",
IF(IFERROR(EOMONTH(D192,1)&gt;PREMISSAS!$C$3,"FALSO"),
   DATE(YEAR(D192)-1,1,31),
   IF(IF(ISTEXT(D192),RIGHT(D192,4)-1=YEAR(RESULTADOS!$C$11),YEAR(D192)-1=YEAR(RESULTADOS!$C$11)),
      IF(LEFT(D192,2)="13",EOMONTH(RESULTADOS!$C$11,0),IF(MONTH(D192)=12,"13º "&amp;YEAR(D192),EOMONTH(D192,1))),
      IF(LEFT(D192,2)="13",DATE(RIGHT(D192,4)-1,1,31),IF(MONTH(D192)=12,"13º "&amp;YEAR(D192),EOMONTH(D192,1)))))))</f>
        <v>39691</v>
      </c>
      <c r="E193" s="342"/>
      <c r="F193" s="257"/>
      <c r="G193" s="251"/>
      <c r="I193" s="262">
        <f ca="1">RESULTADOS!O191</f>
        <v>42855</v>
      </c>
      <c r="J193" s="261">
        <f t="shared" ca="1" si="4"/>
        <v>0</v>
      </c>
      <c r="K193" s="333"/>
      <c r="L193" s="336">
        <f t="shared" si="5"/>
        <v>20000</v>
      </c>
      <c r="M193" s="336">
        <f ca="1">IFERROR(L193/VLOOKUP(D193,IPCA!$A$3:$D$340,4,FALSE),M192)</f>
        <v>8883.2139823917041</v>
      </c>
      <c r="N193" s="333"/>
    </row>
    <row r="194" spans="2:14" ht="15" x14ac:dyDescent="0.25">
      <c r="B194" s="251"/>
      <c r="C194" s="251"/>
      <c r="D194" s="258">
        <f ca="1">IF(D193="","",
IF(D193="13º "&amp;YEAR(RESULTADOS!$C$11),"",
IF(IFERROR(EOMONTH(D193,1)&gt;PREMISSAS!$C$3,"FALSO"),
   DATE(YEAR(D193)-1,1,31),
   IF(IF(ISTEXT(D193),RIGHT(D193,4)-1=YEAR(RESULTADOS!$C$11),YEAR(D193)-1=YEAR(RESULTADOS!$C$11)),
      IF(LEFT(D193,2)="13",EOMONTH(RESULTADOS!$C$11,0),IF(MONTH(D193)=12,"13º "&amp;YEAR(D193),EOMONTH(D193,1))),
      IF(LEFT(D193,2)="13",DATE(RIGHT(D193,4)-1,1,31),IF(MONTH(D193)=12,"13º "&amp;YEAR(D193),EOMONTH(D193,1)))))))</f>
        <v>39721</v>
      </c>
      <c r="E194" s="342"/>
      <c r="F194" s="257"/>
      <c r="G194" s="251"/>
      <c r="I194" s="262">
        <f ca="1">RESULTADOS!O192</f>
        <v>42886</v>
      </c>
      <c r="J194" s="261">
        <f t="shared" ca="1" si="4"/>
        <v>0</v>
      </c>
      <c r="K194" s="333"/>
      <c r="L194" s="336">
        <f t="shared" si="5"/>
        <v>20000</v>
      </c>
      <c r="M194" s="336">
        <f ca="1">IFERROR(L194/VLOOKUP(D194,IPCA!$A$3:$D$340,4,FALSE),M193)</f>
        <v>8908.0869815424012</v>
      </c>
      <c r="N194" s="333"/>
    </row>
    <row r="195" spans="2:14" ht="15" x14ac:dyDescent="0.25">
      <c r="B195" s="251"/>
      <c r="C195" s="251"/>
      <c r="D195" s="258">
        <f ca="1">IF(D194="","",
IF(D194="13º "&amp;YEAR(RESULTADOS!$C$11),"",
IF(IFERROR(EOMONTH(D194,1)&gt;PREMISSAS!$C$3,"FALSO"),
   DATE(YEAR(D194)-1,1,31),
   IF(IF(ISTEXT(D194),RIGHT(D194,4)-1=YEAR(RESULTADOS!$C$11),YEAR(D194)-1=YEAR(RESULTADOS!$C$11)),
      IF(LEFT(D194,2)="13",EOMONTH(RESULTADOS!$C$11,0),IF(MONTH(D194)=12,"13º "&amp;YEAR(D194),EOMONTH(D194,1))),
      IF(LEFT(D194,2)="13",DATE(RIGHT(D194,4)-1,1,31),IF(MONTH(D194)=12,"13º "&amp;YEAR(D194),EOMONTH(D194,1)))))))</f>
        <v>39752</v>
      </c>
      <c r="E195" s="342"/>
      <c r="F195" s="257"/>
      <c r="G195" s="251"/>
      <c r="I195" s="262">
        <f ca="1">RESULTADOS!O193</f>
        <v>42916</v>
      </c>
      <c r="J195" s="261">
        <f t="shared" ca="1" si="4"/>
        <v>0</v>
      </c>
      <c r="K195" s="333"/>
      <c r="L195" s="336">
        <f t="shared" si="5"/>
        <v>20000</v>
      </c>
      <c r="M195" s="336">
        <f ca="1">IFERROR(L195/VLOOKUP(D195,IPCA!$A$3:$D$340,4,FALSE),M194)</f>
        <v>8931.2480076944121</v>
      </c>
      <c r="N195" s="333"/>
    </row>
    <row r="196" spans="2:14" ht="15" x14ac:dyDescent="0.25">
      <c r="B196" s="251"/>
      <c r="C196" s="251"/>
      <c r="D196" s="258">
        <f ca="1">IF(D195="","",
IF(D195="13º "&amp;YEAR(RESULTADOS!$C$11),"",
IF(IFERROR(EOMONTH(D195,1)&gt;PREMISSAS!$C$3,"FALSO"),
   DATE(YEAR(D195)-1,1,31),
   IF(IF(ISTEXT(D195),RIGHT(D195,4)-1=YEAR(RESULTADOS!$C$11),YEAR(D195)-1=YEAR(RESULTADOS!$C$11)),
      IF(LEFT(D195,2)="13",EOMONTH(RESULTADOS!$C$11,0),IF(MONTH(D195)=12,"13º "&amp;YEAR(D195),EOMONTH(D195,1))),
      IF(LEFT(D195,2)="13",DATE(RIGHT(D195,4)-1,1,31),IF(MONTH(D195)=12,"13º "&amp;YEAR(D195),EOMONTH(D195,1)))))))</f>
        <v>39782</v>
      </c>
      <c r="E196" s="342"/>
      <c r="F196" s="257"/>
      <c r="G196" s="251"/>
      <c r="I196" s="262">
        <f ca="1">RESULTADOS!O194</f>
        <v>42947</v>
      </c>
      <c r="J196" s="261">
        <f t="shared" ca="1" si="4"/>
        <v>0</v>
      </c>
      <c r="K196" s="333"/>
      <c r="L196" s="336">
        <f t="shared" si="5"/>
        <v>20000</v>
      </c>
      <c r="M196" s="336">
        <f ca="1">IFERROR(L196/VLOOKUP(D196,IPCA!$A$3:$D$340,4,FALSE),M195)</f>
        <v>8971.4386237290237</v>
      </c>
      <c r="N196" s="333"/>
    </row>
    <row r="197" spans="2:14" ht="15" x14ac:dyDescent="0.25">
      <c r="B197" s="251"/>
      <c r="C197" s="251"/>
      <c r="D197" s="258">
        <f ca="1">IF(D196="","",
IF(D196="13º "&amp;YEAR(RESULTADOS!$C$11),"",
IF(IFERROR(EOMONTH(D196,1)&gt;PREMISSAS!$C$3,"FALSO"),
   DATE(YEAR(D196)-1,1,31),
   IF(IF(ISTEXT(D196),RIGHT(D196,4)-1=YEAR(RESULTADOS!$C$11),YEAR(D196)-1=YEAR(RESULTADOS!$C$11)),
      IF(LEFT(D196,2)="13",EOMONTH(RESULTADOS!$C$11,0),IF(MONTH(D196)=12,"13º "&amp;YEAR(D196),EOMONTH(D196,1))),
      IF(LEFT(D196,2)="13",DATE(RIGHT(D196,4)-1,1,31),IF(MONTH(D196)=12,"13º "&amp;YEAR(D196),EOMONTH(D196,1)))))))</f>
        <v>39813</v>
      </c>
      <c r="E197" s="342"/>
      <c r="F197" s="257"/>
      <c r="G197" s="251"/>
      <c r="I197" s="262">
        <f ca="1">RESULTADOS!O195</f>
        <v>42978</v>
      </c>
      <c r="J197" s="261">
        <f t="shared" ca="1" si="4"/>
        <v>0</v>
      </c>
      <c r="K197" s="333"/>
      <c r="L197" s="336">
        <f t="shared" si="5"/>
        <v>20000</v>
      </c>
      <c r="M197" s="336">
        <f ca="1">IFERROR(L197/VLOOKUP(D197,IPCA!$A$3:$D$340,4,FALSE),M196)</f>
        <v>9003.7358027744522</v>
      </c>
      <c r="N197" s="333"/>
    </row>
    <row r="198" spans="2:14" ht="15" x14ac:dyDescent="0.25">
      <c r="B198" s="251"/>
      <c r="C198" s="251"/>
      <c r="D198" s="258" t="str">
        <f ca="1">IF(D197="","",
IF(D197="13º "&amp;YEAR(RESULTADOS!$C$11),"",
IF(IFERROR(EOMONTH(D197,1)&gt;PREMISSAS!$C$3,"FALSO"),
   DATE(YEAR(D197)-1,1,31),
   IF(IF(ISTEXT(D197),RIGHT(D197,4)-1=YEAR(RESULTADOS!$C$11),YEAR(D197)-1=YEAR(RESULTADOS!$C$11)),
      IF(LEFT(D197,2)="13",EOMONTH(RESULTADOS!$C$11,0),IF(MONTH(D197)=12,"13º "&amp;YEAR(D197),EOMONTH(D197,1))),
      IF(LEFT(D197,2)="13",DATE(RIGHT(D197,4)-1,1,31),IF(MONTH(D197)=12,"13º "&amp;YEAR(D197),EOMONTH(D197,1)))))))</f>
        <v>13º 2008</v>
      </c>
      <c r="E198" s="342"/>
      <c r="F198" s="257"/>
      <c r="G198" s="251"/>
      <c r="I198" s="262">
        <f ca="1">RESULTADOS!O196</f>
        <v>43008</v>
      </c>
      <c r="J198" s="261">
        <f t="shared" ca="1" si="4"/>
        <v>0</v>
      </c>
      <c r="K198" s="333"/>
      <c r="L198" s="336">
        <f t="shared" si="5"/>
        <v>20000</v>
      </c>
      <c r="M198" s="336">
        <f ca="1">IFERROR(L198/VLOOKUP(D198,IPCA!$A$3:$D$340,4,FALSE),M197)</f>
        <v>9003.7358027744522</v>
      </c>
      <c r="N198" s="333"/>
    </row>
    <row r="199" spans="2:14" ht="15" x14ac:dyDescent="0.25">
      <c r="B199" s="251"/>
      <c r="C199" s="251"/>
      <c r="D199" s="258">
        <f ca="1">IF(D198="","",
IF(D198="13º "&amp;YEAR(RESULTADOS!$C$11),"",
IF(IFERROR(EOMONTH(D198,1)&gt;PREMISSAS!$C$3,"FALSO"),
   DATE(YEAR(D198)-1,1,31),
   IF(IF(ISTEXT(D198),RIGHT(D198,4)-1=YEAR(RESULTADOS!$C$11),YEAR(D198)-1=YEAR(RESULTADOS!$C$11)),
      IF(LEFT(D198,2)="13",EOMONTH(RESULTADOS!$C$11,0),IF(MONTH(D198)=12,"13º "&amp;YEAR(D198),EOMONTH(D198,1))),
      IF(LEFT(D198,2)="13",DATE(RIGHT(D198,4)-1,1,31),IF(MONTH(D198)=12,"13º "&amp;YEAR(D198),EOMONTH(D198,1)))))))</f>
        <v>39113</v>
      </c>
      <c r="E199" s="342"/>
      <c r="F199" s="257"/>
      <c r="G199" s="251"/>
      <c r="I199" s="262">
        <f ca="1">RESULTADOS!O197</f>
        <v>43039</v>
      </c>
      <c r="J199" s="261">
        <f t="shared" ca="1" si="4"/>
        <v>0</v>
      </c>
      <c r="K199" s="333"/>
      <c r="L199" s="336">
        <f t="shared" si="5"/>
        <v>20000</v>
      </c>
      <c r="M199" s="336">
        <f ca="1">IFERROR(L199/VLOOKUP(D199,IPCA!$A$3:$D$340,4,FALSE),M198)</f>
        <v>8161.9268543207863</v>
      </c>
      <c r="N199" s="333"/>
    </row>
    <row r="200" spans="2:14" ht="15" x14ac:dyDescent="0.25">
      <c r="B200" s="251"/>
      <c r="C200" s="251"/>
      <c r="D200" s="258">
        <f ca="1">IF(D199="","",
IF(D199="13º "&amp;YEAR(RESULTADOS!$C$11),"",
IF(IFERROR(EOMONTH(D199,1)&gt;PREMISSAS!$C$3,"FALSO"),
   DATE(YEAR(D199)-1,1,31),
   IF(IF(ISTEXT(D199),RIGHT(D199,4)-1=YEAR(RESULTADOS!$C$11),YEAR(D199)-1=YEAR(RESULTADOS!$C$11)),
      IF(LEFT(D199,2)="13",EOMONTH(RESULTADOS!$C$11,0),IF(MONTH(D199)=12,"13º "&amp;YEAR(D199),EOMONTH(D199,1))),
      IF(LEFT(D199,2)="13",DATE(RIGHT(D199,4)-1,1,31),IF(MONTH(D199)=12,"13º "&amp;YEAR(D199),EOMONTH(D199,1)))))))</f>
        <v>39141</v>
      </c>
      <c r="E200" s="342"/>
      <c r="F200" s="257"/>
      <c r="G200" s="251"/>
      <c r="I200" s="262">
        <f ca="1">RESULTADOS!O198</f>
        <v>43069</v>
      </c>
      <c r="J200" s="261">
        <f t="shared" ref="J200:J263" ca="1" si="6">IF(I200="","",IFERROR(VLOOKUP(I200,$D$6:$E$656,2,0),""))</f>
        <v>0</v>
      </c>
      <c r="K200" s="333"/>
      <c r="L200" s="336">
        <f t="shared" si="5"/>
        <v>20000</v>
      </c>
      <c r="M200" s="336">
        <f ca="1">IFERROR(L200/VLOOKUP(D200,IPCA!$A$3:$D$340,4,FALSE),M199)</f>
        <v>8197.8393324797853</v>
      </c>
      <c r="N200" s="333"/>
    </row>
    <row r="201" spans="2:14" ht="15" x14ac:dyDescent="0.25">
      <c r="B201" s="251"/>
      <c r="C201" s="251"/>
      <c r="D201" s="258">
        <f ca="1">IF(D200="","",
IF(D200="13º "&amp;YEAR(RESULTADOS!$C$11),"",
IF(IFERROR(EOMONTH(D200,1)&gt;PREMISSAS!$C$3,"FALSO"),
   DATE(YEAR(D200)-1,1,31),
   IF(IF(ISTEXT(D200),RIGHT(D200,4)-1=YEAR(RESULTADOS!$C$11),YEAR(D200)-1=YEAR(RESULTADOS!$C$11)),
      IF(LEFT(D200,2)="13",EOMONTH(RESULTADOS!$C$11,0),IF(MONTH(D200)=12,"13º "&amp;YEAR(D200),EOMONTH(D200,1))),
      IF(LEFT(D200,2)="13",DATE(RIGHT(D200,4)-1,1,31),IF(MONTH(D200)=12,"13º "&amp;YEAR(D200),EOMONTH(D200,1)))))))</f>
        <v>39172</v>
      </c>
      <c r="E201" s="342"/>
      <c r="F201" s="257"/>
      <c r="G201" s="251"/>
      <c r="I201" s="262" t="str">
        <f ca="1">RESULTADOS!O199</f>
        <v>13º 2017</v>
      </c>
      <c r="J201" s="261">
        <f t="shared" ca="1" si="6"/>
        <v>0</v>
      </c>
      <c r="K201" s="333"/>
      <c r="L201" s="336">
        <f t="shared" ref="L201:L264" si="7">L200</f>
        <v>20000</v>
      </c>
      <c r="M201" s="336">
        <f ca="1">IFERROR(L201/VLOOKUP(D201,IPCA!$A$3:$D$340,4,FALSE),M200)</f>
        <v>8233.9098255427052</v>
      </c>
      <c r="N201" s="333"/>
    </row>
    <row r="202" spans="2:14" ht="15" x14ac:dyDescent="0.25">
      <c r="B202" s="251"/>
      <c r="C202" s="251"/>
      <c r="D202" s="258">
        <f ca="1">IF(D201="","",
IF(D201="13º "&amp;YEAR(RESULTADOS!$C$11),"",
IF(IFERROR(EOMONTH(D201,1)&gt;PREMISSAS!$C$3,"FALSO"),
   DATE(YEAR(D201)-1,1,31),
   IF(IF(ISTEXT(D201),RIGHT(D201,4)-1=YEAR(RESULTADOS!$C$11),YEAR(D201)-1=YEAR(RESULTADOS!$C$11)),
      IF(LEFT(D201,2)="13",EOMONTH(RESULTADOS!$C$11,0),IF(MONTH(D201)=12,"13º "&amp;YEAR(D201),EOMONTH(D201,1))),
      IF(LEFT(D201,2)="13",DATE(RIGHT(D201,4)-1,1,31),IF(MONTH(D201)=12,"13º "&amp;YEAR(D201),EOMONTH(D201,1)))))))</f>
        <v>39202</v>
      </c>
      <c r="E202" s="342"/>
      <c r="F202" s="257"/>
      <c r="G202" s="251"/>
      <c r="I202" s="262">
        <f ca="1">RESULTADOS!O200</f>
        <v>43100</v>
      </c>
      <c r="J202" s="261">
        <f t="shared" ca="1" si="6"/>
        <v>0</v>
      </c>
      <c r="K202" s="333"/>
      <c r="L202" s="336">
        <f t="shared" si="7"/>
        <v>20000</v>
      </c>
      <c r="M202" s="336">
        <f ca="1">IFERROR(L202/VLOOKUP(D202,IPCA!$A$3:$D$340,4,FALSE),M201)</f>
        <v>8264.3752918972132</v>
      </c>
      <c r="N202" s="333"/>
    </row>
    <row r="203" spans="2:14" ht="15" x14ac:dyDescent="0.25">
      <c r="B203" s="251"/>
      <c r="C203" s="251"/>
      <c r="D203" s="258">
        <f ca="1">IF(D202="","",
IF(D202="13º "&amp;YEAR(RESULTADOS!$C$11),"",
IF(IFERROR(EOMONTH(D202,1)&gt;PREMISSAS!$C$3,"FALSO"),
   DATE(YEAR(D202)-1,1,31),
   IF(IF(ISTEXT(D202),RIGHT(D202,4)-1=YEAR(RESULTADOS!$C$11),YEAR(D202)-1=YEAR(RESULTADOS!$C$11)),
      IF(LEFT(D202,2)="13",EOMONTH(RESULTADOS!$C$11,0),IF(MONTH(D202)=12,"13º "&amp;YEAR(D202),EOMONTH(D202,1))),
      IF(LEFT(D202,2)="13",DATE(RIGHT(D202,4)-1,1,31),IF(MONTH(D202)=12,"13º "&amp;YEAR(D202),EOMONTH(D202,1)))))))</f>
        <v>39233</v>
      </c>
      <c r="E203" s="342"/>
      <c r="F203" s="257"/>
      <c r="G203" s="251"/>
      <c r="I203" s="262">
        <f ca="1">RESULTADOS!O201</f>
        <v>43131</v>
      </c>
      <c r="J203" s="261">
        <f t="shared" ca="1" si="6"/>
        <v>0</v>
      </c>
      <c r="K203" s="333"/>
      <c r="L203" s="336">
        <f t="shared" si="7"/>
        <v>20000</v>
      </c>
      <c r="M203" s="336">
        <f ca="1">IFERROR(L203/VLOOKUP(D203,IPCA!$A$3:$D$340,4,FALSE),M202)</f>
        <v>8285.0362301269506</v>
      </c>
      <c r="N203" s="333"/>
    </row>
    <row r="204" spans="2:14" ht="15" x14ac:dyDescent="0.25">
      <c r="B204" s="251"/>
      <c r="C204" s="251"/>
      <c r="D204" s="258">
        <f ca="1">IF(D203="","",
IF(D203="13º "&amp;YEAR(RESULTADOS!$C$11),"",
IF(IFERROR(EOMONTH(D203,1)&gt;PREMISSAS!$C$3,"FALSO"),
   DATE(YEAR(D203)-1,1,31),
   IF(IF(ISTEXT(D203),RIGHT(D203,4)-1=YEAR(RESULTADOS!$C$11),YEAR(D203)-1=YEAR(RESULTADOS!$C$11)),
      IF(LEFT(D203,2)="13",EOMONTH(RESULTADOS!$C$11,0),IF(MONTH(D203)=12,"13º "&amp;YEAR(D203),EOMONTH(D203,1))),
      IF(LEFT(D203,2)="13",DATE(RIGHT(D203,4)-1,1,31),IF(MONTH(D203)=12,"13º "&amp;YEAR(D203),EOMONTH(D203,1)))))))</f>
        <v>39263</v>
      </c>
      <c r="E204" s="342"/>
      <c r="F204" s="257"/>
      <c r="G204" s="251"/>
      <c r="I204" s="262">
        <f ca="1">RESULTADOS!O202</f>
        <v>43159</v>
      </c>
      <c r="J204" s="261">
        <f t="shared" ca="1" si="6"/>
        <v>0</v>
      </c>
      <c r="K204" s="333"/>
      <c r="L204" s="336">
        <f t="shared" si="7"/>
        <v>20000</v>
      </c>
      <c r="M204" s="336">
        <f ca="1">IFERROR(L204/VLOOKUP(D204,IPCA!$A$3:$D$340,4,FALSE),M203)</f>
        <v>8308.2343315712988</v>
      </c>
      <c r="N204" s="333"/>
    </row>
    <row r="205" spans="2:14" ht="15" x14ac:dyDescent="0.25">
      <c r="B205" s="251"/>
      <c r="C205" s="251"/>
      <c r="D205" s="258">
        <f ca="1">IF(D204="","",
IF(D204="13º "&amp;YEAR(RESULTADOS!$C$11),"",
IF(IFERROR(EOMONTH(D204,1)&gt;PREMISSAS!$C$3,"FALSO"),
   DATE(YEAR(D204)-1,1,31),
   IF(IF(ISTEXT(D204),RIGHT(D204,4)-1=YEAR(RESULTADOS!$C$11),YEAR(D204)-1=YEAR(RESULTADOS!$C$11)),
      IF(LEFT(D204,2)="13",EOMONTH(RESULTADOS!$C$11,0),IF(MONTH(D204)=12,"13º "&amp;YEAR(D204),EOMONTH(D204,1))),
      IF(LEFT(D204,2)="13",DATE(RIGHT(D204,4)-1,1,31),IF(MONTH(D204)=12,"13º "&amp;YEAR(D204),EOMONTH(D204,1)))))))</f>
        <v>39294</v>
      </c>
      <c r="E205" s="342"/>
      <c r="F205" s="257"/>
      <c r="G205" s="251"/>
      <c r="I205" s="262">
        <f ca="1">RESULTADOS!O203</f>
        <v>43190</v>
      </c>
      <c r="J205" s="261">
        <f t="shared" ca="1" si="6"/>
        <v>0</v>
      </c>
      <c r="K205" s="333"/>
      <c r="L205" s="336">
        <f t="shared" si="7"/>
        <v>20000</v>
      </c>
      <c r="M205" s="336">
        <f ca="1">IFERROR(L205/VLOOKUP(D205,IPCA!$A$3:$D$340,4,FALSE),M204)</f>
        <v>8331.4973876997046</v>
      </c>
      <c r="N205" s="333"/>
    </row>
    <row r="206" spans="2:14" ht="15" x14ac:dyDescent="0.25">
      <c r="B206" s="251"/>
      <c r="C206" s="251"/>
      <c r="D206" s="258">
        <f ca="1">IF(D205="","",
IF(D205="13º "&amp;YEAR(RESULTADOS!$C$11),"",
IF(IFERROR(EOMONTH(D205,1)&gt;PREMISSAS!$C$3,"FALSO"),
   DATE(YEAR(D205)-1,1,31),
   IF(IF(ISTEXT(D205),RIGHT(D205,4)-1=YEAR(RESULTADOS!$C$11),YEAR(D205)-1=YEAR(RESULTADOS!$C$11)),
      IF(LEFT(D205,2)="13",EOMONTH(RESULTADOS!$C$11,0),IF(MONTH(D205)=12,"13º "&amp;YEAR(D205),EOMONTH(D205,1))),
      IF(LEFT(D205,2)="13",DATE(RIGHT(D205,4)-1,1,31),IF(MONTH(D205)=12,"13º "&amp;YEAR(D205),EOMONTH(D205,1)))))))</f>
        <v>39325</v>
      </c>
      <c r="E206" s="342"/>
      <c r="F206" s="257"/>
      <c r="G206" s="251"/>
      <c r="I206" s="262">
        <f ca="1">RESULTADOS!O204</f>
        <v>43220</v>
      </c>
      <c r="J206" s="261">
        <f t="shared" ca="1" si="6"/>
        <v>0</v>
      </c>
      <c r="K206" s="333"/>
      <c r="L206" s="336">
        <f t="shared" si="7"/>
        <v>20000</v>
      </c>
      <c r="M206" s="336">
        <f ca="1">IFERROR(L206/VLOOKUP(D206,IPCA!$A$3:$D$340,4,FALSE),M205)</f>
        <v>8351.4929814301795</v>
      </c>
      <c r="N206" s="333"/>
    </row>
    <row r="207" spans="2:14" ht="15" x14ac:dyDescent="0.25">
      <c r="B207" s="251"/>
      <c r="C207" s="251"/>
      <c r="D207" s="258">
        <f ca="1">IF(D206="","",
IF(D206="13º "&amp;YEAR(RESULTADOS!$C$11),"",
IF(IFERROR(EOMONTH(D206,1)&gt;PREMISSAS!$C$3,"FALSO"),
   DATE(YEAR(D206)-1,1,31),
   IF(IF(ISTEXT(D206),RIGHT(D206,4)-1=YEAR(RESULTADOS!$C$11),YEAR(D206)-1=YEAR(RESULTADOS!$C$11)),
      IF(LEFT(D206,2)="13",EOMONTH(RESULTADOS!$C$11,0),IF(MONTH(D206)=12,"13º "&amp;YEAR(D206),EOMONTH(D206,1))),
      IF(LEFT(D206,2)="13",DATE(RIGHT(D206,4)-1,1,31),IF(MONTH(D206)=12,"13º "&amp;YEAR(D206),EOMONTH(D206,1)))))))</f>
        <v>39355</v>
      </c>
      <c r="E207" s="342"/>
      <c r="F207" s="257"/>
      <c r="G207" s="251"/>
      <c r="I207" s="262">
        <f ca="1">RESULTADOS!O205</f>
        <v>43251</v>
      </c>
      <c r="J207" s="261">
        <f t="shared" ca="1" si="6"/>
        <v>0</v>
      </c>
      <c r="K207" s="333"/>
      <c r="L207" s="336">
        <f t="shared" si="7"/>
        <v>20000</v>
      </c>
      <c r="M207" s="336">
        <f ca="1">IFERROR(L207/VLOOKUP(D207,IPCA!$A$3:$D$340,4,FALSE),M206)</f>
        <v>8390.744998442904</v>
      </c>
      <c r="N207" s="333"/>
    </row>
    <row r="208" spans="2:14" ht="15" x14ac:dyDescent="0.25">
      <c r="B208" s="251"/>
      <c r="C208" s="251"/>
      <c r="D208" s="258">
        <f ca="1">IF(D207="","",
IF(D207="13º "&amp;YEAR(RESULTADOS!$C$11),"",
IF(IFERROR(EOMONTH(D207,1)&gt;PREMISSAS!$C$3,"FALSO"),
   DATE(YEAR(D207)-1,1,31),
   IF(IF(ISTEXT(D207),RIGHT(D207,4)-1=YEAR(RESULTADOS!$C$11),YEAR(D207)-1=YEAR(RESULTADOS!$C$11)),
      IF(LEFT(D207,2)="13",EOMONTH(RESULTADOS!$C$11,0),IF(MONTH(D207)=12,"13º "&amp;YEAR(D207),EOMONTH(D207,1))),
      IF(LEFT(D207,2)="13",DATE(RIGHT(D207,4)-1,1,31),IF(MONTH(D207)=12,"13º "&amp;YEAR(D207),EOMONTH(D207,1)))))))</f>
        <v>39386</v>
      </c>
      <c r="E208" s="342"/>
      <c r="F208" s="257"/>
      <c r="G208" s="251"/>
      <c r="I208" s="262">
        <f ca="1">RESULTADOS!O206</f>
        <v>43281</v>
      </c>
      <c r="J208" s="261">
        <f t="shared" ca="1" si="6"/>
        <v>0</v>
      </c>
      <c r="K208" s="333"/>
      <c r="L208" s="336">
        <f t="shared" si="7"/>
        <v>20000</v>
      </c>
      <c r="M208" s="336">
        <f ca="1">IFERROR(L208/VLOOKUP(D208,IPCA!$A$3:$D$340,4,FALSE),M207)</f>
        <v>8405.8483394401028</v>
      </c>
      <c r="N208" s="333"/>
    </row>
    <row r="209" spans="2:14" ht="15" x14ac:dyDescent="0.25">
      <c r="B209" s="251"/>
      <c r="C209" s="251"/>
      <c r="D209" s="258">
        <f ca="1">IF(D208="","",
IF(D208="13º "&amp;YEAR(RESULTADOS!$C$11),"",
IF(IFERROR(EOMONTH(D208,1)&gt;PREMISSAS!$C$3,"FALSO"),
   DATE(YEAR(D208)-1,1,31),
   IF(IF(ISTEXT(D208),RIGHT(D208,4)-1=YEAR(RESULTADOS!$C$11),YEAR(D208)-1=YEAR(RESULTADOS!$C$11)),
      IF(LEFT(D208,2)="13",EOMONTH(RESULTADOS!$C$11,0),IF(MONTH(D208)=12,"13º "&amp;YEAR(D208),EOMONTH(D208,1))),
      IF(LEFT(D208,2)="13",DATE(RIGHT(D208,4)-1,1,31),IF(MONTH(D208)=12,"13º "&amp;YEAR(D208),EOMONTH(D208,1)))))))</f>
        <v>39416</v>
      </c>
      <c r="E209" s="342"/>
      <c r="F209" s="257"/>
      <c r="G209" s="251"/>
      <c r="I209" s="262">
        <f ca="1">RESULTADOS!O207</f>
        <v>43312</v>
      </c>
      <c r="J209" s="261">
        <f t="shared" ca="1" si="6"/>
        <v>0</v>
      </c>
      <c r="K209" s="333"/>
      <c r="L209" s="336">
        <f t="shared" si="7"/>
        <v>20000</v>
      </c>
      <c r="M209" s="336">
        <f ca="1">IFERROR(L209/VLOOKUP(D209,IPCA!$A$3:$D$340,4,FALSE),M208)</f>
        <v>8431.0658844584286</v>
      </c>
      <c r="N209" s="333"/>
    </row>
    <row r="210" spans="2:14" ht="15" x14ac:dyDescent="0.25">
      <c r="B210" s="251"/>
      <c r="C210" s="251"/>
      <c r="D210" s="258">
        <f ca="1">IF(D209="","",
IF(D209="13º "&amp;YEAR(RESULTADOS!$C$11),"",
IF(IFERROR(EOMONTH(D209,1)&gt;PREMISSAS!$C$3,"FALSO"),
   DATE(YEAR(D209)-1,1,31),
   IF(IF(ISTEXT(D209),RIGHT(D209,4)-1=YEAR(RESULTADOS!$C$11),YEAR(D209)-1=YEAR(RESULTADOS!$C$11)),
      IF(LEFT(D209,2)="13",EOMONTH(RESULTADOS!$C$11,0),IF(MONTH(D209)=12,"13º "&amp;YEAR(D209),EOMONTH(D209,1))),
      IF(LEFT(D209,2)="13",DATE(RIGHT(D209,4)-1,1,31),IF(MONTH(D209)=12,"13º "&amp;YEAR(D209),EOMONTH(D209,1)))))))</f>
        <v>39447</v>
      </c>
      <c r="E210" s="342"/>
      <c r="F210" s="257"/>
      <c r="G210" s="251"/>
      <c r="I210" s="262">
        <f ca="1">RESULTADOS!O208</f>
        <v>43343</v>
      </c>
      <c r="J210" s="261">
        <f t="shared" ca="1" si="6"/>
        <v>0</v>
      </c>
      <c r="K210" s="333"/>
      <c r="L210" s="336">
        <f t="shared" si="7"/>
        <v>20000</v>
      </c>
      <c r="M210" s="336">
        <f ca="1">IFERROR(L210/VLOOKUP(D210,IPCA!$A$3:$D$340,4,FALSE),M209)</f>
        <v>8463.1039348193608</v>
      </c>
      <c r="N210" s="333"/>
    </row>
    <row r="211" spans="2:14" ht="15" x14ac:dyDescent="0.25">
      <c r="B211" s="251"/>
      <c r="C211" s="251"/>
      <c r="D211" s="258" t="str">
        <f ca="1">IF(D210="","",
IF(D210="13º "&amp;YEAR(RESULTADOS!$C$11),"",
IF(IFERROR(EOMONTH(D210,1)&gt;PREMISSAS!$C$3,"FALSO"),
   DATE(YEAR(D210)-1,1,31),
   IF(IF(ISTEXT(D210),RIGHT(D210,4)-1=YEAR(RESULTADOS!$C$11),YEAR(D210)-1=YEAR(RESULTADOS!$C$11)),
      IF(LEFT(D210,2)="13",EOMONTH(RESULTADOS!$C$11,0),IF(MONTH(D210)=12,"13º "&amp;YEAR(D210),EOMONTH(D210,1))),
      IF(LEFT(D210,2)="13",DATE(RIGHT(D210,4)-1,1,31),IF(MONTH(D210)=12,"13º "&amp;YEAR(D210),EOMONTH(D210,1)))))))</f>
        <v>13º 2007</v>
      </c>
      <c r="E211" s="342"/>
      <c r="F211" s="257"/>
      <c r="G211" s="251"/>
      <c r="I211" s="262">
        <f ca="1">RESULTADOS!O209</f>
        <v>43373</v>
      </c>
      <c r="J211" s="261">
        <f t="shared" ca="1" si="6"/>
        <v>0</v>
      </c>
      <c r="K211" s="333"/>
      <c r="L211" s="336">
        <f t="shared" si="7"/>
        <v>20000</v>
      </c>
      <c r="M211" s="336">
        <f ca="1">IFERROR(L211/VLOOKUP(D211,IPCA!$A$3:$D$340,4,FALSE),M210)</f>
        <v>8463.1039348193608</v>
      </c>
      <c r="N211" s="333"/>
    </row>
    <row r="212" spans="2:14" ht="15" x14ac:dyDescent="0.25">
      <c r="B212" s="251"/>
      <c r="C212" s="251"/>
      <c r="D212" s="258">
        <f ca="1">IF(D211="","",
IF(D211="13º "&amp;YEAR(RESULTADOS!$C$11),"",
IF(IFERROR(EOMONTH(D211,1)&gt;PREMISSAS!$C$3,"FALSO"),
   DATE(YEAR(D211)-1,1,31),
   IF(IF(ISTEXT(D211),RIGHT(D211,4)-1=YEAR(RESULTADOS!$C$11),YEAR(D211)-1=YEAR(RESULTADOS!$C$11)),
      IF(LEFT(D211,2)="13",EOMONTH(RESULTADOS!$C$11,0),IF(MONTH(D211)=12,"13º "&amp;YEAR(D211),EOMONTH(D211,1))),
      IF(LEFT(D211,2)="13",DATE(RIGHT(D211,4)-1,1,31),IF(MONTH(D211)=12,"13º "&amp;YEAR(D211),EOMONTH(D211,1)))))))</f>
        <v>38748</v>
      </c>
      <c r="E212" s="342"/>
      <c r="F212" s="257"/>
      <c r="G212" s="251"/>
      <c r="I212" s="262">
        <f ca="1">RESULTADOS!O210</f>
        <v>43404</v>
      </c>
      <c r="J212" s="261">
        <f t="shared" ca="1" si="6"/>
        <v>0</v>
      </c>
      <c r="K212" s="333"/>
      <c r="L212" s="336">
        <f t="shared" si="7"/>
        <v>20000</v>
      </c>
      <c r="M212" s="336">
        <f ca="1">IFERROR(L212/VLOOKUP(D212,IPCA!$A$3:$D$340,4,FALSE),M211)</f>
        <v>7913.3085084379663</v>
      </c>
      <c r="N212" s="333"/>
    </row>
    <row r="213" spans="2:14" ht="15" x14ac:dyDescent="0.25">
      <c r="B213" s="251"/>
      <c r="C213" s="251"/>
      <c r="D213" s="258">
        <f ca="1">IF(D212="","",
IF(D212="13º "&amp;YEAR(RESULTADOS!$C$11),"",
IF(IFERROR(EOMONTH(D212,1)&gt;PREMISSAS!$C$3,"FALSO"),
   DATE(YEAR(D212)-1,1,31),
   IF(IF(ISTEXT(D212),RIGHT(D212,4)-1=YEAR(RESULTADOS!$C$11),YEAR(D212)-1=YEAR(RESULTADOS!$C$11)),
      IF(LEFT(D212,2)="13",EOMONTH(RESULTADOS!$C$11,0),IF(MONTH(D212)=12,"13º "&amp;YEAR(D212),EOMONTH(D212,1))),
      IF(LEFT(D212,2)="13",DATE(RIGHT(D212,4)-1,1,31),IF(MONTH(D212)=12,"13º "&amp;YEAR(D212),EOMONTH(D212,1)))))))</f>
        <v>38776</v>
      </c>
      <c r="E213" s="342"/>
      <c r="F213" s="257"/>
      <c r="G213" s="251"/>
      <c r="I213" s="262">
        <f ca="1">RESULTADOS!O211</f>
        <v>43434</v>
      </c>
      <c r="J213" s="261">
        <f t="shared" ca="1" si="6"/>
        <v>0</v>
      </c>
      <c r="K213" s="333"/>
      <c r="L213" s="336">
        <f t="shared" si="7"/>
        <v>20000</v>
      </c>
      <c r="M213" s="336">
        <f ca="1">IFERROR(L213/VLOOKUP(D213,IPCA!$A$3:$D$340,4,FALSE),M212)</f>
        <v>7959.9970286377602</v>
      </c>
      <c r="N213" s="333"/>
    </row>
    <row r="214" spans="2:14" ht="15" x14ac:dyDescent="0.25">
      <c r="B214" s="251"/>
      <c r="C214" s="251"/>
      <c r="D214" s="258">
        <f ca="1">IF(D213="","",
IF(D213="13º "&amp;YEAR(RESULTADOS!$C$11),"",
IF(IFERROR(EOMONTH(D213,1)&gt;PREMISSAS!$C$3,"FALSO"),
   DATE(YEAR(D213)-1,1,31),
   IF(IF(ISTEXT(D213),RIGHT(D213,4)-1=YEAR(RESULTADOS!$C$11),YEAR(D213)-1=YEAR(RESULTADOS!$C$11)),
      IF(LEFT(D213,2)="13",EOMONTH(RESULTADOS!$C$11,0),IF(MONTH(D213)=12,"13º "&amp;YEAR(D213),EOMONTH(D213,1))),
      IF(LEFT(D213,2)="13",DATE(RIGHT(D213,4)-1,1,31),IF(MONTH(D213)=12,"13º "&amp;YEAR(D213),EOMONTH(D213,1)))))))</f>
        <v>38807</v>
      </c>
      <c r="E214" s="342"/>
      <c r="F214" s="257"/>
      <c r="G214" s="251"/>
      <c r="I214" s="262" t="str">
        <f ca="1">RESULTADOS!O212</f>
        <v>13º 2018</v>
      </c>
      <c r="J214" s="261">
        <f t="shared" ca="1" si="6"/>
        <v>0</v>
      </c>
      <c r="K214" s="333"/>
      <c r="L214" s="336">
        <f t="shared" si="7"/>
        <v>20000</v>
      </c>
      <c r="M214" s="336">
        <f ca="1">IFERROR(L214/VLOOKUP(D214,IPCA!$A$3:$D$340,4,FALSE),M213)</f>
        <v>7992.6330164551828</v>
      </c>
      <c r="N214" s="333"/>
    </row>
    <row r="215" spans="2:14" ht="15" x14ac:dyDescent="0.25">
      <c r="B215" s="251"/>
      <c r="C215" s="251"/>
      <c r="D215" s="258">
        <f ca="1">IF(D214="","",
IF(D214="13º "&amp;YEAR(RESULTADOS!$C$11),"",
IF(IFERROR(EOMONTH(D214,1)&gt;PREMISSAS!$C$3,"FALSO"),
   DATE(YEAR(D214)-1,1,31),
   IF(IF(ISTEXT(D214),RIGHT(D214,4)-1=YEAR(RESULTADOS!$C$11),YEAR(D214)-1=YEAR(RESULTADOS!$C$11)),
      IF(LEFT(D214,2)="13",EOMONTH(RESULTADOS!$C$11,0),IF(MONTH(D214)=12,"13º "&amp;YEAR(D214),EOMONTH(D214,1))),
      IF(LEFT(D214,2)="13",DATE(RIGHT(D214,4)-1,1,31),IF(MONTH(D214)=12,"13º "&amp;YEAR(D214),EOMONTH(D214,1)))))))</f>
        <v>38837</v>
      </c>
      <c r="E215" s="342"/>
      <c r="F215" s="257"/>
      <c r="G215" s="251"/>
      <c r="I215" s="262">
        <f ca="1">RESULTADOS!O213</f>
        <v>43465</v>
      </c>
      <c r="J215" s="261">
        <f t="shared" ca="1" si="6"/>
        <v>0</v>
      </c>
      <c r="K215" s="333"/>
      <c r="L215" s="336">
        <f t="shared" si="7"/>
        <v>20000</v>
      </c>
      <c r="M215" s="336">
        <f ca="1">IFERROR(L215/VLOOKUP(D215,IPCA!$A$3:$D$340,4,FALSE),M214)</f>
        <v>8027.001338425931</v>
      </c>
      <c r="N215" s="333"/>
    </row>
    <row r="216" spans="2:14" ht="15" x14ac:dyDescent="0.25">
      <c r="B216" s="251"/>
      <c r="C216" s="251"/>
      <c r="D216" s="258">
        <f ca="1">IF(D215="","",
IF(D215="13º "&amp;YEAR(RESULTADOS!$C$11),"",
IF(IFERROR(EOMONTH(D215,1)&gt;PREMISSAS!$C$3,"FALSO"),
   DATE(YEAR(D215)-1,1,31),
   IF(IF(ISTEXT(D215),RIGHT(D215,4)-1=YEAR(RESULTADOS!$C$11),YEAR(D215)-1=YEAR(RESULTADOS!$C$11)),
      IF(LEFT(D215,2)="13",EOMONTH(RESULTADOS!$C$11,0),IF(MONTH(D215)=12,"13º "&amp;YEAR(D215),EOMONTH(D215,1))),
      IF(LEFT(D215,2)="13",DATE(RIGHT(D215,4)-1,1,31),IF(MONTH(D215)=12,"13º "&amp;YEAR(D215),EOMONTH(D215,1)))))))</f>
        <v>38868</v>
      </c>
      <c r="E216" s="342"/>
      <c r="F216" s="257"/>
      <c r="G216" s="251"/>
      <c r="I216" s="262">
        <f ca="1">RESULTADOS!O214</f>
        <v>43496</v>
      </c>
      <c r="J216" s="261">
        <f t="shared" ca="1" si="6"/>
        <v>0</v>
      </c>
      <c r="K216" s="333"/>
      <c r="L216" s="336">
        <f t="shared" si="7"/>
        <v>20000</v>
      </c>
      <c r="M216" s="336">
        <f ca="1">IFERROR(L216/VLOOKUP(D216,IPCA!$A$3:$D$340,4,FALSE),M215)</f>
        <v>8043.8580412366218</v>
      </c>
      <c r="N216" s="333"/>
    </row>
    <row r="217" spans="2:14" ht="15" x14ac:dyDescent="0.25">
      <c r="B217" s="251"/>
      <c r="C217" s="251"/>
      <c r="D217" s="258">
        <f ca="1">IF(D216="","",
IF(D216="13º "&amp;YEAR(RESULTADOS!$C$11),"",
IF(IFERROR(EOMONTH(D216,1)&gt;PREMISSAS!$C$3,"FALSO"),
   DATE(YEAR(D216)-1,1,31),
   IF(IF(ISTEXT(D216),RIGHT(D216,4)-1=YEAR(RESULTADOS!$C$11),YEAR(D216)-1=YEAR(RESULTADOS!$C$11)),
      IF(LEFT(D216,2)="13",EOMONTH(RESULTADOS!$C$11,0),IF(MONTH(D216)=12,"13º "&amp;YEAR(D216),EOMONTH(D216,1))),
      IF(LEFT(D216,2)="13",DATE(RIGHT(D216,4)-1,1,31),IF(MONTH(D216)=12,"13º "&amp;YEAR(D216),EOMONTH(D216,1)))))))</f>
        <v>38898</v>
      </c>
      <c r="E217" s="342"/>
      <c r="F217" s="257"/>
      <c r="G217" s="251"/>
      <c r="I217" s="262">
        <f ca="1">RESULTADOS!O215</f>
        <v>43524</v>
      </c>
      <c r="J217" s="261">
        <f t="shared" ca="1" si="6"/>
        <v>0</v>
      </c>
      <c r="K217" s="333"/>
      <c r="L217" s="336">
        <f t="shared" si="7"/>
        <v>20000</v>
      </c>
      <c r="M217" s="336">
        <f ca="1">IFERROR(L217/VLOOKUP(D217,IPCA!$A$3:$D$340,4,FALSE),M216)</f>
        <v>8051.9018992778647</v>
      </c>
      <c r="N217" s="333"/>
    </row>
    <row r="218" spans="2:14" ht="15" x14ac:dyDescent="0.25">
      <c r="B218" s="251"/>
      <c r="C218" s="251"/>
      <c r="D218" s="258">
        <f ca="1">IF(D217="","",
IF(D217="13º "&amp;YEAR(RESULTADOS!$C$11),"",
IF(IFERROR(EOMONTH(D217,1)&gt;PREMISSAS!$C$3,"FALSO"),
   DATE(YEAR(D217)-1,1,31),
   IF(IF(ISTEXT(D217),RIGHT(D217,4)-1=YEAR(RESULTADOS!$C$11),YEAR(D217)-1=YEAR(RESULTADOS!$C$11)),
      IF(LEFT(D217,2)="13",EOMONTH(RESULTADOS!$C$11,0),IF(MONTH(D217)=12,"13º "&amp;YEAR(D217),EOMONTH(D217,1))),
      IF(LEFT(D217,2)="13",DATE(RIGHT(D217,4)-1,1,31),IF(MONTH(D217)=12,"13º "&amp;YEAR(D217),EOMONTH(D217,1)))))))</f>
        <v>38929</v>
      </c>
      <c r="E218" s="342"/>
      <c r="F218" s="257"/>
      <c r="G218" s="251"/>
      <c r="I218" s="262">
        <f ca="1">RESULTADOS!O216</f>
        <v>43555</v>
      </c>
      <c r="J218" s="261">
        <f t="shared" ca="1" si="6"/>
        <v>0</v>
      </c>
      <c r="K218" s="333"/>
      <c r="L218" s="336">
        <f t="shared" si="7"/>
        <v>20000</v>
      </c>
      <c r="M218" s="336">
        <f ca="1">IFERROR(L218/VLOOKUP(D218,IPCA!$A$3:$D$340,4,FALSE),M217)</f>
        <v>8034.9929052893622</v>
      </c>
      <c r="N218" s="333"/>
    </row>
    <row r="219" spans="2:14" ht="15" x14ac:dyDescent="0.25">
      <c r="B219" s="251"/>
      <c r="C219" s="251"/>
      <c r="D219" s="258">
        <f ca="1">IF(D218="","",
IF(D218="13º "&amp;YEAR(RESULTADOS!$C$11),"",
IF(IFERROR(EOMONTH(D218,1)&gt;PREMISSAS!$C$3,"FALSO"),
   DATE(YEAR(D218)-1,1,31),
   IF(IF(ISTEXT(D218),RIGHT(D218,4)-1=YEAR(RESULTADOS!$C$11),YEAR(D218)-1=YEAR(RESULTADOS!$C$11)),
      IF(LEFT(D218,2)="13",EOMONTH(RESULTADOS!$C$11,0),IF(MONTH(D218)=12,"13º "&amp;YEAR(D218),EOMONTH(D218,1))),
      IF(LEFT(D218,2)="13",DATE(RIGHT(D218,4)-1,1,31),IF(MONTH(D218)=12,"13º "&amp;YEAR(D218),EOMONTH(D218,1)))))))</f>
        <v>38960</v>
      </c>
      <c r="E219" s="342"/>
      <c r="F219" s="257"/>
      <c r="G219" s="251"/>
      <c r="I219" s="262">
        <f ca="1">RESULTADOS!O217</f>
        <v>43585</v>
      </c>
      <c r="J219" s="261">
        <f t="shared" ca="1" si="6"/>
        <v>0</v>
      </c>
      <c r="K219" s="333"/>
      <c r="L219" s="336">
        <f t="shared" si="7"/>
        <v>20000</v>
      </c>
      <c r="M219" s="336">
        <f ca="1">IFERROR(L219/VLOOKUP(D219,IPCA!$A$3:$D$340,4,FALSE),M218)</f>
        <v>8050.2593918094144</v>
      </c>
      <c r="N219" s="333"/>
    </row>
    <row r="220" spans="2:14" ht="15" x14ac:dyDescent="0.25">
      <c r="B220" s="251"/>
      <c r="C220" s="251"/>
      <c r="D220" s="258">
        <f ca="1">IF(D219="","",
IF(D219="13º "&amp;YEAR(RESULTADOS!$C$11),"",
IF(IFERROR(EOMONTH(D219,1)&gt;PREMISSAS!$C$3,"FALSO"),
   DATE(YEAR(D219)-1,1,31),
   IF(IF(ISTEXT(D219),RIGHT(D219,4)-1=YEAR(RESULTADOS!$C$11),YEAR(D219)-1=YEAR(RESULTADOS!$C$11)),
      IF(LEFT(D219,2)="13",EOMONTH(RESULTADOS!$C$11,0),IF(MONTH(D219)=12,"13º "&amp;YEAR(D219),EOMONTH(D219,1))),
      IF(LEFT(D219,2)="13",DATE(RIGHT(D219,4)-1,1,31),IF(MONTH(D219)=12,"13º "&amp;YEAR(D219),EOMONTH(D219,1)))))))</f>
        <v>38990</v>
      </c>
      <c r="E220" s="342"/>
      <c r="F220" s="257"/>
      <c r="G220" s="251"/>
      <c r="I220" s="262">
        <f ca="1">RESULTADOS!O218</f>
        <v>43616</v>
      </c>
      <c r="J220" s="261">
        <f t="shared" ca="1" si="6"/>
        <v>0</v>
      </c>
      <c r="K220" s="333"/>
      <c r="L220" s="336">
        <f t="shared" si="7"/>
        <v>20000</v>
      </c>
      <c r="M220" s="336">
        <f ca="1">IFERROR(L220/VLOOKUP(D220,IPCA!$A$3:$D$340,4,FALSE),M219)</f>
        <v>8054.2845215053248</v>
      </c>
      <c r="N220" s="333"/>
    </row>
    <row r="221" spans="2:14" ht="15" x14ac:dyDescent="0.25">
      <c r="B221" s="251"/>
      <c r="C221" s="251"/>
      <c r="D221" s="258">
        <f ca="1">IF(D220="","",
IF(D220="13º "&amp;YEAR(RESULTADOS!$C$11),"",
IF(IFERROR(EOMONTH(D220,1)&gt;PREMISSAS!$C$3,"FALSO"),
   DATE(YEAR(D220)-1,1,31),
   IF(IF(ISTEXT(D220),RIGHT(D220,4)-1=YEAR(RESULTADOS!$C$11),YEAR(D220)-1=YEAR(RESULTADOS!$C$11)),
      IF(LEFT(D220,2)="13",EOMONTH(RESULTADOS!$C$11,0),IF(MONTH(D220)=12,"13º "&amp;YEAR(D220),EOMONTH(D220,1))),
      IF(LEFT(D220,2)="13",DATE(RIGHT(D220,4)-1,1,31),IF(MONTH(D220)=12,"13º "&amp;YEAR(D220),EOMONTH(D220,1)))))))</f>
        <v>39021</v>
      </c>
      <c r="E221" s="342"/>
      <c r="F221" s="257"/>
      <c r="G221" s="251"/>
      <c r="I221" s="262">
        <f ca="1">RESULTADOS!O219</f>
        <v>43646</v>
      </c>
      <c r="J221" s="261">
        <f t="shared" ca="1" si="6"/>
        <v>0</v>
      </c>
      <c r="K221" s="333"/>
      <c r="L221" s="336">
        <f t="shared" si="7"/>
        <v>20000</v>
      </c>
      <c r="M221" s="336">
        <f ca="1">IFERROR(L221/VLOOKUP(D221,IPCA!$A$3:$D$340,4,FALSE),M220)</f>
        <v>8071.1985190004816</v>
      </c>
      <c r="N221" s="333"/>
    </row>
    <row r="222" spans="2:14" ht="15" x14ac:dyDescent="0.25">
      <c r="B222" s="251"/>
      <c r="C222" s="251"/>
      <c r="D222" s="258">
        <f ca="1">IF(D221="","",
IF(D221="13º "&amp;YEAR(RESULTADOS!$C$11),"",
IF(IFERROR(EOMONTH(D221,1)&gt;PREMISSAS!$C$3,"FALSO"),
   DATE(YEAR(D221)-1,1,31),
   IF(IF(ISTEXT(D221),RIGHT(D221,4)-1=YEAR(RESULTADOS!$C$11),YEAR(D221)-1=YEAR(RESULTADOS!$C$11)),
      IF(LEFT(D221,2)="13",EOMONTH(RESULTADOS!$C$11,0),IF(MONTH(D221)=12,"13º "&amp;YEAR(D221),EOMONTH(D221,1))),
      IF(LEFT(D221,2)="13",DATE(RIGHT(D221,4)-1,1,31),IF(MONTH(D221)=12,"13º "&amp;YEAR(D221),EOMONTH(D221,1)))))))</f>
        <v>39051</v>
      </c>
      <c r="E222" s="342"/>
      <c r="F222" s="257"/>
      <c r="G222" s="251"/>
      <c r="I222" s="262">
        <f ca="1">RESULTADOS!O220</f>
        <v>43677</v>
      </c>
      <c r="J222" s="261">
        <f t="shared" ca="1" si="6"/>
        <v>0</v>
      </c>
      <c r="K222" s="333"/>
      <c r="L222" s="336">
        <f t="shared" si="7"/>
        <v>20000</v>
      </c>
      <c r="M222" s="336">
        <f ca="1">IFERROR(L222/VLOOKUP(D222,IPCA!$A$3:$D$340,4,FALSE),M221)</f>
        <v>8097.8334741131985</v>
      </c>
      <c r="N222" s="333"/>
    </row>
    <row r="223" spans="2:14" ht="15" x14ac:dyDescent="0.25">
      <c r="B223" s="251"/>
      <c r="C223" s="251"/>
      <c r="D223" s="258">
        <f ca="1">IF(D222="","",
IF(D222="13º "&amp;YEAR(RESULTADOS!$C$11),"",
IF(IFERROR(EOMONTH(D222,1)&gt;PREMISSAS!$C$3,"FALSO"),
   DATE(YEAR(D222)-1,1,31),
   IF(IF(ISTEXT(D222),RIGHT(D222,4)-1=YEAR(RESULTADOS!$C$11),YEAR(D222)-1=YEAR(RESULTADOS!$C$11)),
      IF(LEFT(D222,2)="13",EOMONTH(RESULTADOS!$C$11,0),IF(MONTH(D222)=12,"13º "&amp;YEAR(D222),EOMONTH(D222,1))),
      IF(LEFT(D222,2)="13",DATE(RIGHT(D222,4)-1,1,31),IF(MONTH(D222)=12,"13º "&amp;YEAR(D222),EOMONTH(D222,1)))))))</f>
        <v>39082</v>
      </c>
      <c r="E223" s="342"/>
      <c r="F223" s="257"/>
      <c r="G223" s="251"/>
      <c r="I223" s="262">
        <f ca="1">RESULTADOS!O221</f>
        <v>43708</v>
      </c>
      <c r="J223" s="261">
        <f t="shared" ca="1" si="6"/>
        <v>0</v>
      </c>
      <c r="K223" s="333"/>
      <c r="L223" s="336">
        <f t="shared" si="7"/>
        <v>20000</v>
      </c>
      <c r="M223" s="336">
        <f ca="1">IFERROR(L223/VLOOKUP(D223,IPCA!$A$3:$D$340,4,FALSE),M222)</f>
        <v>8122.9367578829406</v>
      </c>
      <c r="N223" s="333"/>
    </row>
    <row r="224" spans="2:14" ht="15" x14ac:dyDescent="0.25">
      <c r="B224" s="251"/>
      <c r="C224" s="251"/>
      <c r="D224" s="258" t="str">
        <f ca="1">IF(D223="","",
IF(D223="13º "&amp;YEAR(RESULTADOS!$C$11),"",
IF(IFERROR(EOMONTH(D223,1)&gt;PREMISSAS!$C$3,"FALSO"),
   DATE(YEAR(D223)-1,1,31),
   IF(IF(ISTEXT(D223),RIGHT(D223,4)-1=YEAR(RESULTADOS!$C$11),YEAR(D223)-1=YEAR(RESULTADOS!$C$11)),
      IF(LEFT(D223,2)="13",EOMONTH(RESULTADOS!$C$11,0),IF(MONTH(D223)=12,"13º "&amp;YEAR(D223),EOMONTH(D223,1))),
      IF(LEFT(D223,2)="13",DATE(RIGHT(D223,4)-1,1,31),IF(MONTH(D223)=12,"13º "&amp;YEAR(D223),EOMONTH(D223,1)))))))</f>
        <v>13º 2006</v>
      </c>
      <c r="E224" s="342"/>
      <c r="F224" s="257"/>
      <c r="G224" s="251"/>
      <c r="I224" s="262">
        <f ca="1">RESULTADOS!O222</f>
        <v>43738</v>
      </c>
      <c r="J224" s="261">
        <f t="shared" ca="1" si="6"/>
        <v>0</v>
      </c>
      <c r="K224" s="333"/>
      <c r="L224" s="336">
        <f t="shared" si="7"/>
        <v>20000</v>
      </c>
      <c r="M224" s="336">
        <f ca="1">IFERROR(L224/VLOOKUP(D224,IPCA!$A$3:$D$340,4,FALSE),M223)</f>
        <v>8122.9367578829406</v>
      </c>
      <c r="N224" s="333"/>
    </row>
    <row r="225" spans="2:14" ht="15" x14ac:dyDescent="0.25">
      <c r="B225" s="251"/>
      <c r="C225" s="251"/>
      <c r="D225" s="258">
        <f ca="1">IF(D224="","",
IF(D224="13º "&amp;YEAR(RESULTADOS!$C$11),"",
IF(IFERROR(EOMONTH(D224,1)&gt;PREMISSAS!$C$3,"FALSO"),
   DATE(YEAR(D224)-1,1,31),
   IF(IF(ISTEXT(D224),RIGHT(D224,4)-1=YEAR(RESULTADOS!$C$11),YEAR(D224)-1=YEAR(RESULTADOS!$C$11)),
      IF(LEFT(D224,2)="13",EOMONTH(RESULTADOS!$C$11,0),IF(MONTH(D224)=12,"13º "&amp;YEAR(D224),EOMONTH(D224,1))),
      IF(LEFT(D224,2)="13",DATE(RIGHT(D224,4)-1,1,31),IF(MONTH(D224)=12,"13º "&amp;YEAR(D224),EOMONTH(D224,1)))))))</f>
        <v>38383</v>
      </c>
      <c r="E225" s="342"/>
      <c r="F225" s="257"/>
      <c r="G225" s="251"/>
      <c r="I225" s="262">
        <f ca="1">RESULTADOS!O223</f>
        <v>43769</v>
      </c>
      <c r="J225" s="261">
        <f t="shared" ca="1" si="6"/>
        <v>0</v>
      </c>
      <c r="K225" s="333"/>
      <c r="L225" s="336">
        <f t="shared" si="7"/>
        <v>20000</v>
      </c>
      <c r="M225" s="336">
        <f ca="1">IFERROR(L225/VLOOKUP(D225,IPCA!$A$3:$D$340,4,FALSE),M224)</f>
        <v>7487.3010442201467</v>
      </c>
      <c r="N225" s="333"/>
    </row>
    <row r="226" spans="2:14" ht="15" x14ac:dyDescent="0.25">
      <c r="B226" s="251"/>
      <c r="C226" s="251"/>
      <c r="D226" s="258">
        <f ca="1">IF(D225="","",
IF(D225="13º "&amp;YEAR(RESULTADOS!$C$11),"",
IF(IFERROR(EOMONTH(D225,1)&gt;PREMISSAS!$C$3,"FALSO"),
   DATE(YEAR(D225)-1,1,31),
   IF(IF(ISTEXT(D225),RIGHT(D225,4)-1=YEAR(RESULTADOS!$C$11),YEAR(D225)-1=YEAR(RESULTADOS!$C$11)),
      IF(LEFT(D225,2)="13",EOMONTH(RESULTADOS!$C$11,0),IF(MONTH(D225)=12,"13º "&amp;YEAR(D225),EOMONTH(D225,1))),
      IF(LEFT(D225,2)="13",DATE(RIGHT(D225,4)-1,1,31),IF(MONTH(D225)=12,"13º "&amp;YEAR(D225),EOMONTH(D225,1)))))))</f>
        <v>38411</v>
      </c>
      <c r="E226" s="342"/>
      <c r="F226" s="257"/>
      <c r="G226" s="251"/>
      <c r="I226" s="262">
        <f ca="1">RESULTADOS!O224</f>
        <v>43799</v>
      </c>
      <c r="J226" s="261">
        <f t="shared" ca="1" si="6"/>
        <v>0</v>
      </c>
      <c r="K226" s="333"/>
      <c r="L226" s="336">
        <f t="shared" si="7"/>
        <v>20000</v>
      </c>
      <c r="M226" s="336">
        <f ca="1">IFERROR(L226/VLOOKUP(D226,IPCA!$A$3:$D$340,4,FALSE),M225)</f>
        <v>7530.7273902766365</v>
      </c>
      <c r="N226" s="333"/>
    </row>
    <row r="227" spans="2:14" ht="15" x14ac:dyDescent="0.25">
      <c r="B227" s="251"/>
      <c r="C227" s="251"/>
      <c r="D227" s="258">
        <f ca="1">IF(D226="","",
IF(D226="13º "&amp;YEAR(RESULTADOS!$C$11),"",
IF(IFERROR(EOMONTH(D226,1)&gt;PREMISSAS!$C$3,"FALSO"),
   DATE(YEAR(D226)-1,1,31),
   IF(IF(ISTEXT(D226),RIGHT(D226,4)-1=YEAR(RESULTADOS!$C$11),YEAR(D226)-1=YEAR(RESULTADOS!$C$11)),
      IF(LEFT(D226,2)="13",EOMONTH(RESULTADOS!$C$11,0),IF(MONTH(D226)=12,"13º "&amp;YEAR(D226),EOMONTH(D226,1))),
      IF(LEFT(D226,2)="13",DATE(RIGHT(D226,4)-1,1,31),IF(MONTH(D226)=12,"13º "&amp;YEAR(D226),EOMONTH(D226,1)))))))</f>
        <v>38442</v>
      </c>
      <c r="E227" s="342"/>
      <c r="F227" s="257"/>
      <c r="G227" s="251"/>
      <c r="I227" s="262" t="str">
        <f ca="1">RESULTADOS!O225</f>
        <v>13º 2019</v>
      </c>
      <c r="J227" s="261">
        <f t="shared" ca="1" si="6"/>
        <v>0</v>
      </c>
      <c r="K227" s="333"/>
      <c r="L227" s="336">
        <f t="shared" si="7"/>
        <v>20000</v>
      </c>
      <c r="M227" s="336">
        <f ca="1">IFERROR(L227/VLOOKUP(D227,IPCA!$A$3:$D$340,4,FALSE),M226)</f>
        <v>7575.1586818792548</v>
      </c>
      <c r="N227" s="333"/>
    </row>
    <row r="228" spans="2:14" ht="15" x14ac:dyDescent="0.25">
      <c r="B228" s="251"/>
      <c r="C228" s="251"/>
      <c r="D228" s="258">
        <f ca="1">IF(D227="","",
IF(D227="13º "&amp;YEAR(RESULTADOS!$C$11),"",
IF(IFERROR(EOMONTH(D227,1)&gt;PREMISSAS!$C$3,"FALSO"),
   DATE(YEAR(D227)-1,1,31),
   IF(IF(ISTEXT(D227),RIGHT(D227,4)-1=YEAR(RESULTADOS!$C$11),YEAR(D227)-1=YEAR(RESULTADOS!$C$11)),
      IF(LEFT(D227,2)="13",EOMONTH(RESULTADOS!$C$11,0),IF(MONTH(D227)=12,"13º "&amp;YEAR(D227),EOMONTH(D227,1))),
      IF(LEFT(D227,2)="13",DATE(RIGHT(D227,4)-1,1,31),IF(MONTH(D227)=12,"13º "&amp;YEAR(D227),EOMONTH(D227,1)))))))</f>
        <v>38472</v>
      </c>
      <c r="E228" s="342"/>
      <c r="F228" s="257"/>
      <c r="G228" s="251"/>
      <c r="I228" s="262">
        <f ca="1">RESULTADOS!O226</f>
        <v>43830</v>
      </c>
      <c r="J228" s="261">
        <f t="shared" ca="1" si="6"/>
        <v>0</v>
      </c>
      <c r="K228" s="333"/>
      <c r="L228" s="336">
        <f t="shared" si="7"/>
        <v>20000</v>
      </c>
      <c r="M228" s="336">
        <f ca="1">IFERROR(L228/VLOOKUP(D228,IPCA!$A$3:$D$340,4,FALSE),M227)</f>
        <v>7621.3671498387212</v>
      </c>
      <c r="N228" s="333"/>
    </row>
    <row r="229" spans="2:14" ht="15" x14ac:dyDescent="0.25">
      <c r="B229" s="251"/>
      <c r="C229" s="251"/>
      <c r="D229" s="258">
        <f ca="1">IF(D228="","",
IF(D228="13º "&amp;YEAR(RESULTADOS!$C$11),"",
IF(IFERROR(EOMONTH(D228,1)&gt;PREMISSAS!$C$3,"FALSO"),
   DATE(YEAR(D228)-1,1,31),
   IF(IF(ISTEXT(D228),RIGHT(D228,4)-1=YEAR(RESULTADOS!$C$11),YEAR(D228)-1=YEAR(RESULTADOS!$C$11)),
      IF(LEFT(D228,2)="13",EOMONTH(RESULTADOS!$C$11,0),IF(MONTH(D228)=12,"13º "&amp;YEAR(D228),EOMONTH(D228,1))),
      IF(LEFT(D228,2)="13",DATE(RIGHT(D228,4)-1,1,31),IF(MONTH(D228)=12,"13º "&amp;YEAR(D228),EOMONTH(D228,1)))))))</f>
        <v>38503</v>
      </c>
      <c r="E229" s="342"/>
      <c r="F229" s="257"/>
      <c r="G229" s="251"/>
      <c r="I229" s="262">
        <f ca="1">RESULTADOS!O227</f>
        <v>43861</v>
      </c>
      <c r="J229" s="261">
        <f t="shared" ca="1" si="6"/>
        <v>0</v>
      </c>
      <c r="K229" s="333"/>
      <c r="L229" s="336">
        <f t="shared" si="7"/>
        <v>20000</v>
      </c>
      <c r="M229" s="336">
        <f ca="1">IFERROR(L229/VLOOKUP(D229,IPCA!$A$3:$D$340,4,FALSE),M228)</f>
        <v>7687.6730440423271</v>
      </c>
      <c r="N229" s="333"/>
    </row>
    <row r="230" spans="2:14" ht="15" x14ac:dyDescent="0.25">
      <c r="B230" s="251"/>
      <c r="C230" s="251"/>
      <c r="D230" s="258">
        <f ca="1">IF(D229="","",
IF(D229="13º "&amp;YEAR(RESULTADOS!$C$11),"",
IF(IFERROR(EOMONTH(D229,1)&gt;PREMISSAS!$C$3,"FALSO"),
   DATE(YEAR(D229)-1,1,31),
   IF(IF(ISTEXT(D229),RIGHT(D229,4)-1=YEAR(RESULTADOS!$C$11),YEAR(D229)-1=YEAR(RESULTADOS!$C$11)),
      IF(LEFT(D229,2)="13",EOMONTH(RESULTADOS!$C$11,0),IF(MONTH(D229)=12,"13º "&amp;YEAR(D229),EOMONTH(D229,1))),
      IF(LEFT(D229,2)="13",DATE(RIGHT(D229,4)-1,1,31),IF(MONTH(D229)=12,"13º "&amp;YEAR(D229),EOMONTH(D229,1)))))))</f>
        <v>38533</v>
      </c>
      <c r="E230" s="342"/>
      <c r="F230" s="257"/>
      <c r="G230" s="251"/>
      <c r="I230" s="262">
        <f ca="1">RESULTADOS!O228</f>
        <v>43890</v>
      </c>
      <c r="J230" s="261">
        <f t="shared" ca="1" si="6"/>
        <v>0</v>
      </c>
      <c r="K230" s="333"/>
      <c r="L230" s="336">
        <f t="shared" si="7"/>
        <v>20000</v>
      </c>
      <c r="M230" s="336">
        <f ca="1">IFERROR(L230/VLOOKUP(D230,IPCA!$A$3:$D$340,4,FALSE),M229)</f>
        <v>7725.3426419581383</v>
      </c>
      <c r="N230" s="333"/>
    </row>
    <row r="231" spans="2:14" ht="15" x14ac:dyDescent="0.25">
      <c r="B231" s="251"/>
      <c r="C231" s="251"/>
      <c r="D231" s="258">
        <f ca="1">IF(D230="","",
IF(D230="13º "&amp;YEAR(RESULTADOS!$C$11),"",
IF(IFERROR(EOMONTH(D230,1)&gt;PREMISSAS!$C$3,"FALSO"),
   DATE(YEAR(D230)-1,1,31),
   IF(IF(ISTEXT(D230),RIGHT(D230,4)-1=YEAR(RESULTADOS!$C$11),YEAR(D230)-1=YEAR(RESULTADOS!$C$11)),
      IF(LEFT(D230,2)="13",EOMONTH(RESULTADOS!$C$11,0),IF(MONTH(D230)=12,"13º "&amp;YEAR(D230),EOMONTH(D230,1))),
      IF(LEFT(D230,2)="13",DATE(RIGHT(D230,4)-1,1,31),IF(MONTH(D230)=12,"13º "&amp;YEAR(D230),EOMONTH(D230,1)))))))</f>
        <v>38564</v>
      </c>
      <c r="E231" s="342"/>
      <c r="F231" s="257"/>
      <c r="G231" s="251"/>
      <c r="I231" s="262">
        <f ca="1">RESULTADOS!O229</f>
        <v>43921</v>
      </c>
      <c r="J231" s="261">
        <f t="shared" ca="1" si="6"/>
        <v>0</v>
      </c>
      <c r="K231" s="333"/>
      <c r="L231" s="336">
        <f t="shared" si="7"/>
        <v>20000</v>
      </c>
      <c r="M231" s="336">
        <f ca="1">IFERROR(L231/VLOOKUP(D231,IPCA!$A$3:$D$340,4,FALSE),M230)</f>
        <v>7723.797573429737</v>
      </c>
      <c r="N231" s="333"/>
    </row>
    <row r="232" spans="2:14" ht="15" x14ac:dyDescent="0.25">
      <c r="B232" s="251"/>
      <c r="C232" s="251"/>
      <c r="D232" s="258">
        <f ca="1">IF(D231="","",
IF(D231="13º "&amp;YEAR(RESULTADOS!$C$11),"",
IF(IFERROR(EOMONTH(D231,1)&gt;PREMISSAS!$C$3,"FALSO"),
   DATE(YEAR(D231)-1,1,31),
   IF(IF(ISTEXT(D231),RIGHT(D231,4)-1=YEAR(RESULTADOS!$C$11),YEAR(D231)-1=YEAR(RESULTADOS!$C$11)),
      IF(LEFT(D231,2)="13",EOMONTH(RESULTADOS!$C$11,0),IF(MONTH(D231)=12,"13º "&amp;YEAR(D231),EOMONTH(D231,1))),
      IF(LEFT(D231,2)="13",DATE(RIGHT(D231,4)-1,1,31),IF(MONTH(D231)=12,"13º "&amp;YEAR(D231),EOMONTH(D231,1)))))))</f>
        <v>38595</v>
      </c>
      <c r="E232" s="342"/>
      <c r="F232" s="257"/>
      <c r="G232" s="251"/>
      <c r="I232" s="262">
        <f ca="1">RESULTADOS!O230</f>
        <v>43951</v>
      </c>
      <c r="J232" s="261">
        <f t="shared" ca="1" si="6"/>
        <v>0</v>
      </c>
      <c r="K232" s="333"/>
      <c r="L232" s="336">
        <f t="shared" si="7"/>
        <v>20000</v>
      </c>
      <c r="M232" s="336">
        <f ca="1">IFERROR(L232/VLOOKUP(D232,IPCA!$A$3:$D$340,4,FALSE),M231)</f>
        <v>7743.1070673633103</v>
      </c>
      <c r="N232" s="333"/>
    </row>
    <row r="233" spans="2:14" ht="15" x14ac:dyDescent="0.25">
      <c r="B233" s="251"/>
      <c r="C233" s="251"/>
      <c r="D233" s="258">
        <f ca="1">IF(D232="","",
IF(D232="13º "&amp;YEAR(RESULTADOS!$C$11),"",
IF(IFERROR(EOMONTH(D232,1)&gt;PREMISSAS!$C$3,"FALSO"),
   DATE(YEAR(D232)-1,1,31),
   IF(IF(ISTEXT(D232),RIGHT(D232,4)-1=YEAR(RESULTADOS!$C$11),YEAR(D232)-1=YEAR(RESULTADOS!$C$11)),
      IF(LEFT(D232,2)="13",EOMONTH(RESULTADOS!$C$11,0),IF(MONTH(D232)=12,"13º "&amp;YEAR(D232),EOMONTH(D232,1))),
      IF(LEFT(D232,2)="13",DATE(RIGHT(D232,4)-1,1,31),IF(MONTH(D232)=12,"13º "&amp;YEAR(D232),EOMONTH(D232,1)))))))</f>
        <v>38625</v>
      </c>
      <c r="E233" s="342"/>
      <c r="F233" s="257"/>
      <c r="G233" s="251"/>
      <c r="I233" s="262">
        <f ca="1">RESULTADOS!O231</f>
        <v>43982</v>
      </c>
      <c r="J233" s="261">
        <f t="shared" ca="1" si="6"/>
        <v>0</v>
      </c>
      <c r="K233" s="333"/>
      <c r="L233" s="336">
        <f t="shared" si="7"/>
        <v>20000</v>
      </c>
      <c r="M233" s="336">
        <f ca="1">IFERROR(L233/VLOOKUP(D233,IPCA!$A$3:$D$340,4,FALSE),M232)</f>
        <v>7756.2703493778445</v>
      </c>
      <c r="N233" s="333"/>
    </row>
    <row r="234" spans="2:14" ht="15" x14ac:dyDescent="0.25">
      <c r="B234" s="251"/>
      <c r="C234" s="251"/>
      <c r="D234" s="258">
        <f ca="1">IF(D233="","",
IF(D233="13º "&amp;YEAR(RESULTADOS!$C$11),"",
IF(IFERROR(EOMONTH(D233,1)&gt;PREMISSAS!$C$3,"FALSO"),
   DATE(YEAR(D233)-1,1,31),
   IF(IF(ISTEXT(D233),RIGHT(D233,4)-1=YEAR(RESULTADOS!$C$11),YEAR(D233)-1=YEAR(RESULTADOS!$C$11)),
      IF(LEFT(D233,2)="13",EOMONTH(RESULTADOS!$C$11,0),IF(MONTH(D233)=12,"13º "&amp;YEAR(D233),EOMONTH(D233,1))),
      IF(LEFT(D233,2)="13",DATE(RIGHT(D233,4)-1,1,31),IF(MONTH(D233)=12,"13º "&amp;YEAR(D233),EOMONTH(D233,1)))))))</f>
        <v>38656</v>
      </c>
      <c r="E234" s="342"/>
      <c r="F234" s="257"/>
      <c r="G234" s="251"/>
      <c r="I234" s="262">
        <f ca="1">RESULTADOS!O232</f>
        <v>44012</v>
      </c>
      <c r="J234" s="261">
        <f t="shared" ca="1" si="6"/>
        <v>0</v>
      </c>
      <c r="K234" s="333"/>
      <c r="L234" s="336">
        <f t="shared" si="7"/>
        <v>20000</v>
      </c>
      <c r="M234" s="336">
        <f ca="1">IFERROR(L234/VLOOKUP(D234,IPCA!$A$3:$D$340,4,FALSE),M233)</f>
        <v>7783.4172956006405</v>
      </c>
      <c r="N234" s="333"/>
    </row>
    <row r="235" spans="2:14" ht="15" x14ac:dyDescent="0.25">
      <c r="B235" s="251"/>
      <c r="C235" s="251"/>
      <c r="D235" s="258">
        <f ca="1">IF(D234="","",
IF(D234="13º "&amp;YEAR(RESULTADOS!$C$11),"",
IF(IFERROR(EOMONTH(D234,1)&gt;PREMISSAS!$C$3,"FALSO"),
   DATE(YEAR(D234)-1,1,31),
   IF(IF(ISTEXT(D234),RIGHT(D234,4)-1=YEAR(RESULTADOS!$C$11),YEAR(D234)-1=YEAR(RESULTADOS!$C$11)),
      IF(LEFT(D234,2)="13",EOMONTH(RESULTADOS!$C$11,0),IF(MONTH(D234)=12,"13º "&amp;YEAR(D234),EOMONTH(D234,1))),
      IF(LEFT(D234,2)="13",DATE(RIGHT(D234,4)-1,1,31),IF(MONTH(D234)=12,"13º "&amp;YEAR(D234),EOMONTH(D234,1)))))))</f>
        <v>38686</v>
      </c>
      <c r="E235" s="342"/>
      <c r="F235" s="257"/>
      <c r="G235" s="251"/>
      <c r="I235" s="262">
        <f ca="1">RESULTADOS!O233</f>
        <v>44043</v>
      </c>
      <c r="J235" s="261">
        <f t="shared" ca="1" si="6"/>
        <v>0</v>
      </c>
      <c r="K235" s="333"/>
      <c r="L235" s="336">
        <f t="shared" si="7"/>
        <v>20000</v>
      </c>
      <c r="M235" s="336">
        <f ca="1">IFERROR(L235/VLOOKUP(D235,IPCA!$A$3:$D$340,4,FALSE),M234)</f>
        <v>7841.7929253176562</v>
      </c>
      <c r="N235" s="333"/>
    </row>
    <row r="236" spans="2:14" ht="15" x14ac:dyDescent="0.25">
      <c r="B236" s="251"/>
      <c r="C236" s="251"/>
      <c r="D236" s="258">
        <f ca="1">IF(D235="","",
IF(D235="13º "&amp;YEAR(RESULTADOS!$C$11),"",
IF(IFERROR(EOMONTH(D235,1)&gt;PREMISSAS!$C$3,"FALSO"),
   DATE(YEAR(D235)-1,1,31),
   IF(IF(ISTEXT(D235),RIGHT(D235,4)-1=YEAR(RESULTADOS!$C$11),YEAR(D235)-1=YEAR(RESULTADOS!$C$11)),
      IF(LEFT(D235,2)="13",EOMONTH(RESULTADOS!$C$11,0),IF(MONTH(D235)=12,"13º "&amp;YEAR(D235),EOMONTH(D235,1))),
      IF(LEFT(D235,2)="13",DATE(RIGHT(D235,4)-1,1,31),IF(MONTH(D235)=12,"13º "&amp;YEAR(D235),EOMONTH(D235,1)))))))</f>
        <v>38717</v>
      </c>
      <c r="E236" s="342"/>
      <c r="F236" s="257"/>
      <c r="G236" s="251"/>
      <c r="I236" s="262">
        <f ca="1">RESULTADOS!O234</f>
        <v>44074</v>
      </c>
      <c r="J236" s="261">
        <f t="shared" ca="1" si="6"/>
        <v>0</v>
      </c>
      <c r="K236" s="333"/>
      <c r="L236" s="336">
        <f t="shared" si="7"/>
        <v>20000</v>
      </c>
      <c r="M236" s="336">
        <f ca="1">IFERROR(L236/VLOOKUP(D236,IPCA!$A$3:$D$340,4,FALSE),M235)</f>
        <v>7884.9227864069089</v>
      </c>
      <c r="N236" s="333"/>
    </row>
    <row r="237" spans="2:14" ht="15" x14ac:dyDescent="0.25">
      <c r="B237" s="251"/>
      <c r="C237" s="251"/>
      <c r="D237" s="258" t="str">
        <f ca="1">IF(D236="","",
IF(D236="13º "&amp;YEAR(RESULTADOS!$C$11),"",
IF(IFERROR(EOMONTH(D236,1)&gt;PREMISSAS!$C$3,"FALSO"),
   DATE(YEAR(D236)-1,1,31),
   IF(IF(ISTEXT(D236),RIGHT(D236,4)-1=YEAR(RESULTADOS!$C$11),YEAR(D236)-1=YEAR(RESULTADOS!$C$11)),
      IF(LEFT(D236,2)="13",EOMONTH(RESULTADOS!$C$11,0),IF(MONTH(D236)=12,"13º "&amp;YEAR(D236),EOMONTH(D236,1))),
      IF(LEFT(D236,2)="13",DATE(RIGHT(D236,4)-1,1,31),IF(MONTH(D236)=12,"13º "&amp;YEAR(D236),EOMONTH(D236,1)))))))</f>
        <v>13º 2005</v>
      </c>
      <c r="E237" s="342"/>
      <c r="F237" s="257"/>
      <c r="G237" s="251"/>
      <c r="I237" s="262">
        <f ca="1">RESULTADOS!O235</f>
        <v>44104</v>
      </c>
      <c r="J237" s="261">
        <f t="shared" ca="1" si="6"/>
        <v>0</v>
      </c>
      <c r="K237" s="333"/>
      <c r="L237" s="336">
        <f t="shared" si="7"/>
        <v>20000</v>
      </c>
      <c r="M237" s="336">
        <f ca="1">IFERROR(L237/VLOOKUP(D237,IPCA!$A$3:$D$340,4,FALSE),M236)</f>
        <v>7884.9227864069089</v>
      </c>
      <c r="N237" s="333"/>
    </row>
    <row r="238" spans="2:14" ht="15" x14ac:dyDescent="0.25">
      <c r="B238" s="251"/>
      <c r="C238" s="251"/>
      <c r="D238" s="258">
        <f ca="1">IF(D237="","",
IF(D237="13º "&amp;YEAR(RESULTADOS!$C$11),"",
IF(IFERROR(EOMONTH(D237,1)&gt;PREMISSAS!$C$3,"FALSO"),
   DATE(YEAR(D237)-1,1,31),
   IF(IF(ISTEXT(D237),RIGHT(D237,4)-1=YEAR(RESULTADOS!$C$11),YEAR(D237)-1=YEAR(RESULTADOS!$C$11)),
      IF(LEFT(D237,2)="13",EOMONTH(RESULTADOS!$C$11,0),IF(MONTH(D237)=12,"13º "&amp;YEAR(D237),EOMONTH(D237,1))),
      IF(LEFT(D237,2)="13",DATE(RIGHT(D237,4)-1,1,31),IF(MONTH(D237)=12,"13º "&amp;YEAR(D237),EOMONTH(D237,1)))))))</f>
        <v>38017</v>
      </c>
      <c r="E238" s="342"/>
      <c r="F238" s="257"/>
      <c r="G238" s="251"/>
      <c r="I238" s="262">
        <f ca="1">RESULTADOS!O236</f>
        <v>44135</v>
      </c>
      <c r="J238" s="261">
        <f t="shared" ca="1" si="6"/>
        <v>0</v>
      </c>
      <c r="K238" s="333"/>
      <c r="L238" s="336">
        <f t="shared" si="7"/>
        <v>20000</v>
      </c>
      <c r="M238" s="336">
        <f ca="1">IFERROR(L238/VLOOKUP(D238,IPCA!$A$3:$D$340,4,FALSE),M237)</f>
        <v>6958.4165635786903</v>
      </c>
      <c r="N238" s="333"/>
    </row>
    <row r="239" spans="2:14" ht="15" x14ac:dyDescent="0.25">
      <c r="B239" s="251"/>
      <c r="C239" s="251"/>
      <c r="D239" s="258">
        <f ca="1">IF(D238="","",
IF(D238="13º "&amp;YEAR(RESULTADOS!$C$11),"",
IF(IFERROR(EOMONTH(D238,1)&gt;PREMISSAS!$C$3,"FALSO"),
   DATE(YEAR(D238)-1,1,31),
   IF(IF(ISTEXT(D238),RIGHT(D238,4)-1=YEAR(RESULTADOS!$C$11),YEAR(D238)-1=YEAR(RESULTADOS!$C$11)),
      IF(LEFT(D238,2)="13",EOMONTH(RESULTADOS!$C$11,0),IF(MONTH(D238)=12,"13º "&amp;YEAR(D238),EOMONTH(D238,1))),
      IF(LEFT(D238,2)="13",DATE(RIGHT(D238,4)-1,1,31),IF(MONTH(D238)=12,"13º "&amp;YEAR(D238),EOMONTH(D238,1)))))))</f>
        <v>38046</v>
      </c>
      <c r="E239" s="342"/>
      <c r="F239" s="257"/>
      <c r="G239" s="251"/>
      <c r="I239" s="262">
        <f ca="1">RESULTADOS!O237</f>
        <v>44165</v>
      </c>
      <c r="J239" s="261">
        <f t="shared" ca="1" si="6"/>
        <v>0</v>
      </c>
      <c r="K239" s="333"/>
      <c r="L239" s="336">
        <f t="shared" si="7"/>
        <v>20000</v>
      </c>
      <c r="M239" s="336">
        <f ca="1">IFERROR(L239/VLOOKUP(D239,IPCA!$A$3:$D$340,4,FALSE),M238)</f>
        <v>7011.3005294618843</v>
      </c>
      <c r="N239" s="333"/>
    </row>
    <row r="240" spans="2:14" ht="15" x14ac:dyDescent="0.25">
      <c r="B240" s="251"/>
      <c r="C240" s="251"/>
      <c r="D240" s="258">
        <f ca="1">IF(D239="","",
IF(D239="13º "&amp;YEAR(RESULTADOS!$C$11),"",
IF(IFERROR(EOMONTH(D239,1)&gt;PREMISSAS!$C$3,"FALSO"),
   DATE(YEAR(D239)-1,1,31),
   IF(IF(ISTEXT(D239),RIGHT(D239,4)-1=YEAR(RESULTADOS!$C$11),YEAR(D239)-1=YEAR(RESULTADOS!$C$11)),
      IF(LEFT(D239,2)="13",EOMONTH(RESULTADOS!$C$11,0),IF(MONTH(D239)=12,"13º "&amp;YEAR(D239),EOMONTH(D239,1))),
      IF(LEFT(D239,2)="13",DATE(RIGHT(D239,4)-1,1,31),IF(MONTH(D239)=12,"13º "&amp;YEAR(D239),EOMONTH(D239,1)))))))</f>
        <v>38077</v>
      </c>
      <c r="E240" s="342"/>
      <c r="F240" s="257"/>
      <c r="G240" s="251"/>
      <c r="I240" s="262" t="str">
        <f ca="1">RESULTADOS!O238</f>
        <v>13º 2020</v>
      </c>
      <c r="J240" s="261">
        <f t="shared" ca="1" si="6"/>
        <v>0</v>
      </c>
      <c r="K240" s="333"/>
      <c r="L240" s="336">
        <f t="shared" si="7"/>
        <v>20000</v>
      </c>
      <c r="M240" s="336">
        <f ca="1">IFERROR(L240/VLOOKUP(D240,IPCA!$A$3:$D$340,4,FALSE),M239)</f>
        <v>7054.0694626915938</v>
      </c>
      <c r="N240" s="333"/>
    </row>
    <row r="241" spans="2:14" ht="15" x14ac:dyDescent="0.25">
      <c r="B241" s="251"/>
      <c r="C241" s="251"/>
      <c r="D241" s="258">
        <f ca="1">IF(D240="","",
IF(D240="13º "&amp;YEAR(RESULTADOS!$C$11),"",
IF(IFERROR(EOMONTH(D240,1)&gt;PREMISSAS!$C$3,"FALSO"),
   DATE(YEAR(D240)-1,1,31),
   IF(IF(ISTEXT(D240),RIGHT(D240,4)-1=YEAR(RESULTADOS!$C$11),YEAR(D240)-1=YEAR(RESULTADOS!$C$11)),
      IF(LEFT(D240,2)="13",EOMONTH(RESULTADOS!$C$11,0),IF(MONTH(D240)=12,"13º "&amp;YEAR(D240),EOMONTH(D240,1))),
      IF(LEFT(D240,2)="13",DATE(RIGHT(D240,4)-1,1,31),IF(MONTH(D240)=12,"13º "&amp;YEAR(D240),EOMONTH(D240,1)))))))</f>
        <v>38107</v>
      </c>
      <c r="E241" s="342"/>
      <c r="F241" s="257"/>
      <c r="G241" s="251"/>
      <c r="I241" s="262">
        <f ca="1">RESULTADOS!O239</f>
        <v>44196</v>
      </c>
      <c r="J241" s="261">
        <f t="shared" ca="1" si="6"/>
        <v>0</v>
      </c>
      <c r="K241" s="333"/>
      <c r="L241" s="336">
        <f t="shared" si="7"/>
        <v>20000</v>
      </c>
      <c r="M241" s="336">
        <f ca="1">IFERROR(L241/VLOOKUP(D241,IPCA!$A$3:$D$340,4,FALSE),M240)</f>
        <v>7087.2235891662567</v>
      </c>
      <c r="N241" s="333"/>
    </row>
    <row r="242" spans="2:14" ht="15" x14ac:dyDescent="0.25">
      <c r="B242" s="251"/>
      <c r="C242" s="251"/>
      <c r="D242" s="258">
        <f ca="1">IF(D241="","",
IF(D241="13º "&amp;YEAR(RESULTADOS!$C$11),"",
IF(IFERROR(EOMONTH(D241,1)&gt;PREMISSAS!$C$3,"FALSO"),
   DATE(YEAR(D241)-1,1,31),
   IF(IF(ISTEXT(D241),RIGHT(D241,4)-1=YEAR(RESULTADOS!$C$11),YEAR(D241)-1=YEAR(RESULTADOS!$C$11)),
      IF(LEFT(D241,2)="13",EOMONTH(RESULTADOS!$C$11,0),IF(MONTH(D241)=12,"13º "&amp;YEAR(D241),EOMONTH(D241,1))),
      IF(LEFT(D241,2)="13",DATE(RIGHT(D241,4)-1,1,31),IF(MONTH(D241)=12,"13º "&amp;YEAR(D241),EOMONTH(D241,1)))))))</f>
        <v>38138</v>
      </c>
      <c r="E242" s="342"/>
      <c r="F242" s="257"/>
      <c r="G242" s="251"/>
      <c r="I242" s="262">
        <f ca="1">RESULTADOS!O240</f>
        <v>44227</v>
      </c>
      <c r="J242" s="261">
        <f t="shared" ca="1" si="6"/>
        <v>0</v>
      </c>
      <c r="K242" s="333"/>
      <c r="L242" s="336">
        <f t="shared" si="7"/>
        <v>20000</v>
      </c>
      <c r="M242" s="336">
        <f ca="1">IFERROR(L242/VLOOKUP(D242,IPCA!$A$3:$D$340,4,FALSE),M241)</f>
        <v>7113.4463164461677</v>
      </c>
      <c r="N242" s="333"/>
    </row>
    <row r="243" spans="2:14" ht="15" x14ac:dyDescent="0.25">
      <c r="B243" s="251"/>
      <c r="C243" s="251"/>
      <c r="D243" s="258">
        <f ca="1">IF(D242="","",
IF(D242="13º "&amp;YEAR(RESULTADOS!$C$11),"",
IF(IFERROR(EOMONTH(D242,1)&gt;PREMISSAS!$C$3,"FALSO"),
   DATE(YEAR(D242)-1,1,31),
   IF(IF(ISTEXT(D242),RIGHT(D242,4)-1=YEAR(RESULTADOS!$C$11),YEAR(D242)-1=YEAR(RESULTADOS!$C$11)),
      IF(LEFT(D242,2)="13",EOMONTH(RESULTADOS!$C$11,0),IF(MONTH(D242)=12,"13º "&amp;YEAR(D242),EOMONTH(D242,1))),
      IF(LEFT(D242,2)="13",DATE(RIGHT(D242,4)-1,1,31),IF(MONTH(D242)=12,"13º "&amp;YEAR(D242),EOMONTH(D242,1)))))))</f>
        <v>38168</v>
      </c>
      <c r="E243" s="342"/>
      <c r="F243" s="257"/>
      <c r="G243" s="251"/>
      <c r="I243" s="262">
        <f ca="1">RESULTADOS!O241</f>
        <v>44255</v>
      </c>
      <c r="J243" s="261">
        <f t="shared" ca="1" si="6"/>
        <v>0</v>
      </c>
      <c r="K243" s="333"/>
      <c r="L243" s="336">
        <f t="shared" si="7"/>
        <v>20000</v>
      </c>
      <c r="M243" s="336">
        <f ca="1">IFERROR(L243/VLOOKUP(D243,IPCA!$A$3:$D$340,4,FALSE),M242)</f>
        <v>7149.7248926600405</v>
      </c>
      <c r="N243" s="333"/>
    </row>
    <row r="244" spans="2:14" ht="15" x14ac:dyDescent="0.25">
      <c r="B244" s="251"/>
      <c r="C244" s="251"/>
      <c r="D244" s="258">
        <f ca="1">IF(D243="","",
IF(D243="13º "&amp;YEAR(RESULTADOS!$C$11),"",
IF(IFERROR(EOMONTH(D243,1)&gt;PREMISSAS!$C$3,"FALSO"),
   DATE(YEAR(D243)-1,1,31),
   IF(IF(ISTEXT(D243),RIGHT(D243,4)-1=YEAR(RESULTADOS!$C$11),YEAR(D243)-1=YEAR(RESULTADOS!$C$11)),
      IF(LEFT(D243,2)="13",EOMONTH(RESULTADOS!$C$11,0),IF(MONTH(D243)=12,"13º "&amp;YEAR(D243),EOMONTH(D243,1))),
      IF(LEFT(D243,2)="13",DATE(RIGHT(D243,4)-1,1,31),IF(MONTH(D243)=12,"13º "&amp;YEAR(D243),EOMONTH(D243,1)))))))</f>
        <v>38199</v>
      </c>
      <c r="E244" s="342"/>
      <c r="F244" s="257"/>
      <c r="G244" s="251"/>
      <c r="I244" s="262">
        <f ca="1">RESULTADOS!O242</f>
        <v>44286</v>
      </c>
      <c r="J244" s="261">
        <f t="shared" ca="1" si="6"/>
        <v>0</v>
      </c>
      <c r="K244" s="333"/>
      <c r="L244" s="336">
        <f t="shared" si="7"/>
        <v>20000</v>
      </c>
      <c r="M244" s="336">
        <f ca="1">IFERROR(L244/VLOOKUP(D244,IPCA!$A$3:$D$340,4,FALSE),M243)</f>
        <v>7200.4879393979281</v>
      </c>
      <c r="N244" s="333"/>
    </row>
    <row r="245" spans="2:14" ht="15" x14ac:dyDescent="0.25">
      <c r="B245" s="251"/>
      <c r="C245" s="251"/>
      <c r="D245" s="258">
        <f ca="1">IF(D244="","",
IF(D244="13º "&amp;YEAR(RESULTADOS!$C$11),"",
IF(IFERROR(EOMONTH(D244,1)&gt;PREMISSAS!$C$3,"FALSO"),
   DATE(YEAR(D244)-1,1,31),
   IF(IF(ISTEXT(D244),RIGHT(D244,4)-1=YEAR(RESULTADOS!$C$11),YEAR(D244)-1=YEAR(RESULTADOS!$C$11)),
      IF(LEFT(D244,2)="13",EOMONTH(RESULTADOS!$C$11,0),IF(MONTH(D244)=12,"13º "&amp;YEAR(D244),EOMONTH(D244,1))),
      IF(LEFT(D244,2)="13",DATE(RIGHT(D244,4)-1,1,31),IF(MONTH(D244)=12,"13º "&amp;YEAR(D244),EOMONTH(D244,1)))))))</f>
        <v>38230</v>
      </c>
      <c r="E245" s="342"/>
      <c r="F245" s="257"/>
      <c r="G245" s="251"/>
      <c r="I245" s="262">
        <f ca="1">RESULTADOS!O243</f>
        <v>44316</v>
      </c>
      <c r="J245" s="261">
        <f t="shared" ca="1" si="6"/>
        <v>0</v>
      </c>
      <c r="K245" s="333"/>
      <c r="L245" s="336">
        <f t="shared" si="7"/>
        <v>20000</v>
      </c>
      <c r="M245" s="336">
        <f ca="1">IFERROR(L245/VLOOKUP(D245,IPCA!$A$3:$D$340,4,FALSE),M244)</f>
        <v>7266.0123796464513</v>
      </c>
      <c r="N245" s="333"/>
    </row>
    <row r="246" spans="2:14" ht="15" x14ac:dyDescent="0.25">
      <c r="B246" s="251"/>
      <c r="C246" s="251"/>
      <c r="D246" s="258">
        <f ca="1">IF(D245="","",
IF(D245="13º "&amp;YEAR(RESULTADOS!$C$11),"",
IF(IFERROR(EOMONTH(D245,1)&gt;PREMISSAS!$C$3,"FALSO"),
   DATE(YEAR(D245)-1,1,31),
   IF(IF(ISTEXT(D245),RIGHT(D245,4)-1=YEAR(RESULTADOS!$C$11),YEAR(D245)-1=YEAR(RESULTADOS!$C$11)),
      IF(LEFT(D245,2)="13",EOMONTH(RESULTADOS!$C$11,0),IF(MONTH(D245)=12,"13º "&amp;YEAR(D245),EOMONTH(D245,1))),
      IF(LEFT(D245,2)="13",DATE(RIGHT(D245,4)-1,1,31),IF(MONTH(D245)=12,"13º "&amp;YEAR(D245),EOMONTH(D245,1)))))))</f>
        <v>38260</v>
      </c>
      <c r="E246" s="342"/>
      <c r="F246" s="257"/>
      <c r="G246" s="251"/>
      <c r="I246" s="262">
        <f ca="1">RESULTADOS!O244</f>
        <v>44347</v>
      </c>
      <c r="J246" s="261">
        <f t="shared" ca="1" si="6"/>
        <v>0</v>
      </c>
      <c r="K246" s="333"/>
      <c r="L246" s="336">
        <f t="shared" si="7"/>
        <v>20000</v>
      </c>
      <c r="M246" s="336">
        <f ca="1">IFERROR(L246/VLOOKUP(D246,IPCA!$A$3:$D$340,4,FALSE),M245)</f>
        <v>7316.1478650660101</v>
      </c>
      <c r="N246" s="333"/>
    </row>
    <row r="247" spans="2:14" ht="15" x14ac:dyDescent="0.25">
      <c r="B247" s="251"/>
      <c r="C247" s="251"/>
      <c r="D247" s="258">
        <f ca="1">IF(D246="","",
IF(D246="13º "&amp;YEAR(RESULTADOS!$C$11),"",
IF(IFERROR(EOMONTH(D246,1)&gt;PREMISSAS!$C$3,"FALSO"),
   DATE(YEAR(D246)-1,1,31),
   IF(IF(ISTEXT(D246),RIGHT(D246,4)-1=YEAR(RESULTADOS!$C$11),YEAR(D246)-1=YEAR(RESULTADOS!$C$11)),
      IF(LEFT(D246,2)="13",EOMONTH(RESULTADOS!$C$11,0),IF(MONTH(D246)=12,"13º "&amp;YEAR(D246),EOMONTH(D246,1))),
      IF(LEFT(D246,2)="13",DATE(RIGHT(D246,4)-1,1,31),IF(MONTH(D246)=12,"13º "&amp;YEAR(D246),EOMONTH(D246,1)))))))</f>
        <v>38291</v>
      </c>
      <c r="E247" s="342"/>
      <c r="F247" s="257"/>
      <c r="G247" s="251"/>
      <c r="I247" s="262">
        <f ca="1">RESULTADOS!O245</f>
        <v>44377</v>
      </c>
      <c r="J247" s="261">
        <f t="shared" ca="1" si="6"/>
        <v>0</v>
      </c>
      <c r="K247" s="333"/>
      <c r="L247" s="336">
        <f t="shared" si="7"/>
        <v>20000</v>
      </c>
      <c r="M247" s="336">
        <f ca="1">IFERROR(L247/VLOOKUP(D247,IPCA!$A$3:$D$340,4,FALSE),M246)</f>
        <v>7340.2911530207239</v>
      </c>
      <c r="N247" s="333"/>
    </row>
    <row r="248" spans="2:14" ht="15" x14ac:dyDescent="0.25">
      <c r="B248" s="251"/>
      <c r="C248" s="251"/>
      <c r="D248" s="258">
        <f ca="1">IF(D247="","",
IF(D247="13º "&amp;YEAR(RESULTADOS!$C$11),"",
IF(IFERROR(EOMONTH(D247,1)&gt;PREMISSAS!$C$3,"FALSO"),
   DATE(YEAR(D247)-1,1,31),
   IF(IF(ISTEXT(D247),RIGHT(D247,4)-1=YEAR(RESULTADOS!$C$11),YEAR(D247)-1=YEAR(RESULTADOS!$C$11)),
      IF(LEFT(D247,2)="13",EOMONTH(RESULTADOS!$C$11,0),IF(MONTH(D247)=12,"13º "&amp;YEAR(D247),EOMONTH(D247,1))),
      IF(LEFT(D247,2)="13",DATE(RIGHT(D247,4)-1,1,31),IF(MONTH(D247)=12,"13º "&amp;YEAR(D247),EOMONTH(D247,1)))))))</f>
        <v>38321</v>
      </c>
      <c r="E248" s="342"/>
      <c r="F248" s="257"/>
      <c r="G248" s="251"/>
      <c r="I248" s="262">
        <f ca="1">RESULTADOS!O246</f>
        <v>44408</v>
      </c>
      <c r="J248" s="261">
        <f t="shared" ca="1" si="6"/>
        <v>0</v>
      </c>
      <c r="K248" s="333"/>
      <c r="L248" s="336">
        <f t="shared" si="7"/>
        <v>20000</v>
      </c>
      <c r="M248" s="336">
        <f ca="1">IFERROR(L248/VLOOKUP(D248,IPCA!$A$3:$D$340,4,FALSE),M247)</f>
        <v>7372.5884340940165</v>
      </c>
      <c r="N248" s="333"/>
    </row>
    <row r="249" spans="2:14" ht="15" x14ac:dyDescent="0.25">
      <c r="B249" s="251"/>
      <c r="C249" s="251"/>
      <c r="D249" s="258">
        <f ca="1">IF(D248="","",
IF(D248="13º "&amp;YEAR(RESULTADOS!$C$11),"",
IF(IFERROR(EOMONTH(D248,1)&gt;PREMISSAS!$C$3,"FALSO"),
   DATE(YEAR(D248)-1,1,31),
   IF(IF(ISTEXT(D248),RIGHT(D248,4)-1=YEAR(RESULTADOS!$C$11),YEAR(D248)-1=YEAR(RESULTADOS!$C$11)),
      IF(LEFT(D248,2)="13",EOMONTH(RESULTADOS!$C$11,0),IF(MONTH(D248)=12,"13º "&amp;YEAR(D248),EOMONTH(D248,1))),
      IF(LEFT(D248,2)="13",DATE(RIGHT(D248,4)-1,1,31),IF(MONTH(D248)=12,"13º "&amp;YEAR(D248),EOMONTH(D248,1)))))))</f>
        <v>38352</v>
      </c>
      <c r="E249" s="342"/>
      <c r="F249" s="257"/>
      <c r="G249" s="251"/>
      <c r="I249" s="262">
        <f ca="1">RESULTADOS!O247</f>
        <v>44439</v>
      </c>
      <c r="J249" s="261">
        <f t="shared" ca="1" si="6"/>
        <v>0</v>
      </c>
      <c r="K249" s="333"/>
      <c r="L249" s="336">
        <f t="shared" si="7"/>
        <v>20000</v>
      </c>
      <c r="M249" s="336">
        <f ca="1">IFERROR(L249/VLOOKUP(D249,IPCA!$A$3:$D$340,4,FALSE),M248)</f>
        <v>7423.4592942892723</v>
      </c>
      <c r="N249" s="333"/>
    </row>
    <row r="250" spans="2:14" ht="15" x14ac:dyDescent="0.25">
      <c r="B250" s="251"/>
      <c r="C250" s="251"/>
      <c r="D250" s="258" t="str">
        <f ca="1">IF(D249="","",
IF(D249="13º "&amp;YEAR(RESULTADOS!$C$11),"",
IF(IFERROR(EOMONTH(D249,1)&gt;PREMISSAS!$C$3,"FALSO"),
   DATE(YEAR(D249)-1,1,31),
   IF(IF(ISTEXT(D249),RIGHT(D249,4)-1=YEAR(RESULTADOS!$C$11),YEAR(D249)-1=YEAR(RESULTADOS!$C$11)),
      IF(LEFT(D249,2)="13",EOMONTH(RESULTADOS!$C$11,0),IF(MONTH(D249)=12,"13º "&amp;YEAR(D249),EOMONTH(D249,1))),
      IF(LEFT(D249,2)="13",DATE(RIGHT(D249,4)-1,1,31),IF(MONTH(D249)=12,"13º "&amp;YEAR(D249),EOMONTH(D249,1)))))))</f>
        <v>13º 2004</v>
      </c>
      <c r="E250" s="342"/>
      <c r="F250" s="257"/>
      <c r="G250" s="251"/>
      <c r="I250" s="262">
        <f ca="1">RESULTADOS!O248</f>
        <v>44469</v>
      </c>
      <c r="J250" s="261">
        <f t="shared" ca="1" si="6"/>
        <v>0</v>
      </c>
      <c r="K250" s="333"/>
      <c r="L250" s="336">
        <f t="shared" si="7"/>
        <v>20000</v>
      </c>
      <c r="M250" s="336">
        <f ca="1">IFERROR(L250/VLOOKUP(D250,IPCA!$A$3:$D$340,4,FALSE),M249)</f>
        <v>7423.4592942892723</v>
      </c>
      <c r="N250" s="333"/>
    </row>
    <row r="251" spans="2:14" ht="15" x14ac:dyDescent="0.25">
      <c r="B251" s="251"/>
      <c r="C251" s="251"/>
      <c r="D251" s="258">
        <f ca="1">IF(D250="","",
IF(D250="13º "&amp;YEAR(RESULTADOS!$C$11),"",
IF(IFERROR(EOMONTH(D250,1)&gt;PREMISSAS!$C$3,"FALSO"),
   DATE(YEAR(D250)-1,1,31),
   IF(IF(ISTEXT(D250),RIGHT(D250,4)-1=YEAR(RESULTADOS!$C$11),YEAR(D250)-1=YEAR(RESULTADOS!$C$11)),
      IF(LEFT(D250,2)="13",EOMONTH(RESULTADOS!$C$11,0),IF(MONTH(D250)=12,"13º "&amp;YEAR(D250),EOMONTH(D250,1))),
      IF(LEFT(D250,2)="13",DATE(RIGHT(D250,4)-1,1,31),IF(MONTH(D250)=12,"13º "&amp;YEAR(D250),EOMONTH(D250,1)))))))</f>
        <v>37652</v>
      </c>
      <c r="E251" s="342"/>
      <c r="F251" s="257"/>
      <c r="G251" s="251"/>
      <c r="I251" s="262">
        <f ca="1">RESULTADOS!O249</f>
        <v>44500</v>
      </c>
      <c r="J251" s="261">
        <f t="shared" ca="1" si="6"/>
        <v>0</v>
      </c>
      <c r="K251" s="333"/>
      <c r="L251" s="336">
        <f t="shared" si="7"/>
        <v>20000</v>
      </c>
      <c r="M251" s="336">
        <f ca="1">IFERROR(L251/VLOOKUP(D251,IPCA!$A$3:$D$340,4,FALSE),M250)</f>
        <v>6366.3493041688625</v>
      </c>
      <c r="N251" s="333"/>
    </row>
    <row r="252" spans="2:14" ht="15" x14ac:dyDescent="0.25">
      <c r="B252" s="251"/>
      <c r="C252" s="251"/>
      <c r="D252" s="258">
        <f ca="1">IF(D251="","",
IF(D251="13º "&amp;YEAR(RESULTADOS!$C$11),"",
IF(IFERROR(EOMONTH(D251,1)&gt;PREMISSAS!$C$3,"FALSO"),
   DATE(YEAR(D251)-1,1,31),
   IF(IF(ISTEXT(D251),RIGHT(D251,4)-1=YEAR(RESULTADOS!$C$11),YEAR(D251)-1=YEAR(RESULTADOS!$C$11)),
      IF(LEFT(D251,2)="13",EOMONTH(RESULTADOS!$C$11,0),IF(MONTH(D251)=12,"13º "&amp;YEAR(D251),EOMONTH(D251,1))),
      IF(LEFT(D251,2)="13",DATE(RIGHT(D251,4)-1,1,31),IF(MONTH(D251)=12,"13º "&amp;YEAR(D251),EOMONTH(D251,1)))))))</f>
        <v>37680</v>
      </c>
      <c r="E252" s="342"/>
      <c r="F252" s="257"/>
      <c r="G252" s="251"/>
      <c r="I252" s="262">
        <f ca="1">RESULTADOS!O250</f>
        <v>44530</v>
      </c>
      <c r="J252" s="261">
        <f t="shared" ca="1" si="6"/>
        <v>0</v>
      </c>
      <c r="K252" s="333"/>
      <c r="L252" s="336">
        <f t="shared" si="7"/>
        <v>20000</v>
      </c>
      <c r="M252" s="336">
        <f ca="1">IFERROR(L252/VLOOKUP(D252,IPCA!$A$3:$D$340,4,FALSE),M251)</f>
        <v>6509.5921635126679</v>
      </c>
      <c r="N252" s="333"/>
    </row>
    <row r="253" spans="2:14" ht="15" x14ac:dyDescent="0.25">
      <c r="B253" s="251"/>
      <c r="C253" s="251"/>
      <c r="D253" s="258">
        <f ca="1">IF(D252="","",
IF(D252="13º "&amp;YEAR(RESULTADOS!$C$11),"",
IF(IFERROR(EOMONTH(D252,1)&gt;PREMISSAS!$C$3,"FALSO"),
   DATE(YEAR(D252)-1,1,31),
   IF(IF(ISTEXT(D252),RIGHT(D252,4)-1=YEAR(RESULTADOS!$C$11),YEAR(D252)-1=YEAR(RESULTADOS!$C$11)),
      IF(LEFT(D252,2)="13",EOMONTH(RESULTADOS!$C$11,0),IF(MONTH(D252)=12,"13º "&amp;YEAR(D252),EOMONTH(D252,1))),
      IF(LEFT(D252,2)="13",DATE(RIGHT(D252,4)-1,1,31),IF(MONTH(D252)=12,"13º "&amp;YEAR(D252),EOMONTH(D252,1)))))))</f>
        <v>37711</v>
      </c>
      <c r="E253" s="342"/>
      <c r="F253" s="257"/>
      <c r="G253" s="251"/>
      <c r="I253" s="262" t="str">
        <f ca="1">RESULTADOS!O251</f>
        <v>13º 2021</v>
      </c>
      <c r="J253" s="261">
        <f t="shared" ca="1" si="6"/>
        <v>0</v>
      </c>
      <c r="K253" s="333"/>
      <c r="L253" s="336">
        <f t="shared" si="7"/>
        <v>20000</v>
      </c>
      <c r="M253" s="336">
        <f ca="1">IFERROR(L253/VLOOKUP(D253,IPCA!$A$3:$D$340,4,FALSE),M252)</f>
        <v>6611.7927604798042</v>
      </c>
      <c r="N253" s="333"/>
    </row>
    <row r="254" spans="2:14" ht="15" x14ac:dyDescent="0.25">
      <c r="B254" s="251"/>
      <c r="C254" s="251"/>
      <c r="D254" s="258">
        <f ca="1">IF(D253="","",
IF(D253="13º "&amp;YEAR(RESULTADOS!$C$11),"",
IF(IFERROR(EOMONTH(D253,1)&gt;PREMISSAS!$C$3,"FALSO"),
   DATE(YEAR(D253)-1,1,31),
   IF(IF(ISTEXT(D253),RIGHT(D253,4)-1=YEAR(RESULTADOS!$C$11),YEAR(D253)-1=YEAR(RESULTADOS!$C$11)),
      IF(LEFT(D253,2)="13",EOMONTH(RESULTADOS!$C$11,0),IF(MONTH(D253)=12,"13º "&amp;YEAR(D253),EOMONTH(D253,1))),
      IF(LEFT(D253,2)="13",DATE(RIGHT(D253,4)-1,1,31),IF(MONTH(D253)=12,"13º "&amp;YEAR(D253),EOMONTH(D253,1)))))))</f>
        <v>37741</v>
      </c>
      <c r="E254" s="342"/>
      <c r="F254" s="257"/>
      <c r="G254" s="251"/>
      <c r="I254" s="262">
        <f ca="1">RESULTADOS!O252</f>
        <v>44561</v>
      </c>
      <c r="J254" s="261">
        <f t="shared" ca="1" si="6"/>
        <v>0</v>
      </c>
      <c r="K254" s="333"/>
      <c r="L254" s="336">
        <f t="shared" si="7"/>
        <v>20000</v>
      </c>
      <c r="M254" s="336">
        <f ca="1">IFERROR(L254/VLOOKUP(D254,IPCA!$A$3:$D$340,4,FALSE),M253)</f>
        <v>6693.1178114336972</v>
      </c>
      <c r="N254" s="333"/>
    </row>
    <row r="255" spans="2:14" ht="15" x14ac:dyDescent="0.25">
      <c r="B255" s="251"/>
      <c r="C255" s="251"/>
      <c r="D255" s="258">
        <f ca="1">IF(D254="","",
IF(D254="13º "&amp;YEAR(RESULTADOS!$C$11),"",
IF(IFERROR(EOMONTH(D254,1)&gt;PREMISSAS!$C$3,"FALSO"),
   DATE(YEAR(D254)-1,1,31),
   IF(IF(ISTEXT(D254),RIGHT(D254,4)-1=YEAR(RESULTADOS!$C$11),YEAR(D254)-1=YEAR(RESULTADOS!$C$11)),
      IF(LEFT(D254,2)="13",EOMONTH(RESULTADOS!$C$11,0),IF(MONTH(D254)=12,"13º "&amp;YEAR(D254),EOMONTH(D254,1))),
      IF(LEFT(D254,2)="13",DATE(RIGHT(D254,4)-1,1,31),IF(MONTH(D254)=12,"13º "&amp;YEAR(D254),EOMONTH(D254,1)))))))</f>
        <v>37772</v>
      </c>
      <c r="E255" s="342"/>
      <c r="F255" s="257"/>
      <c r="G255" s="251"/>
      <c r="I255" s="262">
        <f ca="1">RESULTADOS!O253</f>
        <v>44592</v>
      </c>
      <c r="J255" s="261">
        <f t="shared" ca="1" si="6"/>
        <v>0</v>
      </c>
      <c r="K255" s="333"/>
      <c r="L255" s="336">
        <f t="shared" si="7"/>
        <v>20000</v>
      </c>
      <c r="M255" s="336">
        <f ca="1">IFERROR(L255/VLOOKUP(D255,IPCA!$A$3:$D$340,4,FALSE),M254)</f>
        <v>6758.0410542046329</v>
      </c>
      <c r="N255" s="333"/>
    </row>
    <row r="256" spans="2:14" ht="15" x14ac:dyDescent="0.25">
      <c r="B256" s="251"/>
      <c r="C256" s="251"/>
      <c r="D256" s="258">
        <f ca="1">IF(D255="","",
IF(D255="13º "&amp;YEAR(RESULTADOS!$C$11),"",
IF(IFERROR(EOMONTH(D255,1)&gt;PREMISSAS!$C$3,"FALSO"),
   DATE(YEAR(D255)-1,1,31),
   IF(IF(ISTEXT(D255),RIGHT(D255,4)-1=YEAR(RESULTADOS!$C$11),YEAR(D255)-1=YEAR(RESULTADOS!$C$11)),
      IF(LEFT(D255,2)="13",EOMONTH(RESULTADOS!$C$11,0),IF(MONTH(D255)=12,"13º "&amp;YEAR(D255),EOMONTH(D255,1))),
      IF(LEFT(D255,2)="13",DATE(RIGHT(D255,4)-1,1,31),IF(MONTH(D255)=12,"13º "&amp;YEAR(D255),EOMONTH(D255,1)))))))</f>
        <v>37802</v>
      </c>
      <c r="E256" s="342"/>
      <c r="F256" s="257"/>
      <c r="G256" s="251"/>
      <c r="I256" s="262">
        <f ca="1">RESULTADOS!O254</f>
        <v>44620</v>
      </c>
      <c r="J256" s="261">
        <f t="shared" ca="1" si="6"/>
        <v>0</v>
      </c>
      <c r="K256" s="333"/>
      <c r="L256" s="336">
        <f t="shared" si="7"/>
        <v>20000</v>
      </c>
      <c r="M256" s="336">
        <f ca="1">IFERROR(L256/VLOOKUP(D256,IPCA!$A$3:$D$340,4,FALSE),M255)</f>
        <v>6799.2651046352776</v>
      </c>
      <c r="N256" s="333"/>
    </row>
    <row r="257" spans="2:14" ht="15" x14ac:dyDescent="0.25">
      <c r="B257" s="251"/>
      <c r="C257" s="251"/>
      <c r="D257" s="258">
        <f ca="1">IF(D256="","",
IF(D256="13º "&amp;YEAR(RESULTADOS!$C$11),"",
IF(IFERROR(EOMONTH(D256,1)&gt;PREMISSAS!$C$3,"FALSO"),
   DATE(YEAR(D256)-1,1,31),
   IF(IF(ISTEXT(D256),RIGHT(D256,4)-1=YEAR(RESULTADOS!$C$11),YEAR(D256)-1=YEAR(RESULTADOS!$C$11)),
      IF(LEFT(D256,2)="13",EOMONTH(RESULTADOS!$C$11,0),IF(MONTH(D256)=12,"13º "&amp;YEAR(D256),EOMONTH(D256,1))),
      IF(LEFT(D256,2)="13",DATE(RIGHT(D256,4)-1,1,31),IF(MONTH(D256)=12,"13º "&amp;YEAR(D256),EOMONTH(D256,1)))))))</f>
        <v>37833</v>
      </c>
      <c r="E257" s="342"/>
      <c r="F257" s="257"/>
      <c r="G257" s="251"/>
      <c r="I257" s="262">
        <f ca="1">RESULTADOS!O255</f>
        <v>44651</v>
      </c>
      <c r="J257" s="261">
        <f t="shared" ca="1" si="6"/>
        <v>0</v>
      </c>
      <c r="K257" s="333"/>
      <c r="L257" s="336">
        <f t="shared" si="7"/>
        <v>20000</v>
      </c>
      <c r="M257" s="336">
        <f ca="1">IFERROR(L257/VLOOKUP(D257,IPCA!$A$3:$D$340,4,FALSE),M256)</f>
        <v>6789.0662069783175</v>
      </c>
      <c r="N257" s="333"/>
    </row>
    <row r="258" spans="2:14" ht="15" x14ac:dyDescent="0.25">
      <c r="B258" s="251"/>
      <c r="C258" s="251"/>
      <c r="D258" s="258">
        <f ca="1">IF(D257="","",
IF(D257="13º "&amp;YEAR(RESULTADOS!$C$11),"",
IF(IFERROR(EOMONTH(D257,1)&gt;PREMISSAS!$C$3,"FALSO"),
   DATE(YEAR(D257)-1,1,31),
   IF(IF(ISTEXT(D257),RIGHT(D257,4)-1=YEAR(RESULTADOS!$C$11),YEAR(D257)-1=YEAR(RESULTADOS!$C$11)),
      IF(LEFT(D257,2)="13",EOMONTH(RESULTADOS!$C$11,0),IF(MONTH(D257)=12,"13º "&amp;YEAR(D257),EOMONTH(D257,1))),
      IF(LEFT(D257,2)="13",DATE(RIGHT(D257,4)-1,1,31),IF(MONTH(D257)=12,"13º "&amp;YEAR(D257),EOMONTH(D257,1)))))))</f>
        <v>37864</v>
      </c>
      <c r="E258" s="342"/>
      <c r="F258" s="257"/>
      <c r="G258" s="251"/>
      <c r="I258" s="262">
        <f ca="1">RESULTADOS!O256</f>
        <v>44681</v>
      </c>
      <c r="J258" s="261">
        <f t="shared" ca="1" si="6"/>
        <v>0</v>
      </c>
      <c r="K258" s="333"/>
      <c r="L258" s="336">
        <f t="shared" si="7"/>
        <v>20000</v>
      </c>
      <c r="M258" s="336">
        <f ca="1">IFERROR(L258/VLOOKUP(D258,IPCA!$A$3:$D$340,4,FALSE),M257)</f>
        <v>6802.6443393922746</v>
      </c>
      <c r="N258" s="333"/>
    </row>
    <row r="259" spans="2:14" ht="15" x14ac:dyDescent="0.25">
      <c r="B259" s="251"/>
      <c r="C259" s="251"/>
      <c r="D259" s="258">
        <f ca="1">IF(D258="","",
IF(D258="13º "&amp;YEAR(RESULTADOS!$C$11),"",
IF(IFERROR(EOMONTH(D258,1)&gt;PREMISSAS!$C$3,"FALSO"),
   DATE(YEAR(D258)-1,1,31),
   IF(IF(ISTEXT(D258),RIGHT(D258,4)-1=YEAR(RESULTADOS!$C$11),YEAR(D258)-1=YEAR(RESULTADOS!$C$11)),
      IF(LEFT(D258,2)="13",EOMONTH(RESULTADOS!$C$11,0),IF(MONTH(D258)=12,"13º "&amp;YEAR(D258),EOMONTH(D258,1))),
      IF(LEFT(D258,2)="13",DATE(RIGHT(D258,4)-1,1,31),IF(MONTH(D258)=12,"13º "&amp;YEAR(D258),EOMONTH(D258,1)))))))</f>
        <v>37894</v>
      </c>
      <c r="E259" s="342"/>
      <c r="F259" s="257"/>
      <c r="G259" s="251"/>
      <c r="I259" s="262">
        <f ca="1">RESULTADOS!O257</f>
        <v>44712</v>
      </c>
      <c r="J259" s="261">
        <f t="shared" ca="1" si="6"/>
        <v>0</v>
      </c>
      <c r="K259" s="333"/>
      <c r="L259" s="336">
        <f t="shared" si="7"/>
        <v>20000</v>
      </c>
      <c r="M259" s="336">
        <f ca="1">IFERROR(L259/VLOOKUP(D259,IPCA!$A$3:$D$340,4,FALSE),M258)</f>
        <v>6825.7733301462049</v>
      </c>
      <c r="N259" s="333"/>
    </row>
    <row r="260" spans="2:14" ht="15" x14ac:dyDescent="0.25">
      <c r="B260" s="251"/>
      <c r="C260" s="251"/>
      <c r="D260" s="258">
        <f ca="1">IF(D259="","",
IF(D259="13º "&amp;YEAR(RESULTADOS!$C$11),"",
IF(IFERROR(EOMONTH(D259,1)&gt;PREMISSAS!$C$3,"FALSO"),
   DATE(YEAR(D259)-1,1,31),
   IF(IF(ISTEXT(D259),RIGHT(D259,4)-1=YEAR(RESULTADOS!$C$11),YEAR(D259)-1=YEAR(RESULTADOS!$C$11)),
      IF(LEFT(D259,2)="13",EOMONTH(RESULTADOS!$C$11,0),IF(MONTH(D259)=12,"13º "&amp;YEAR(D259),EOMONTH(D259,1))),
      IF(LEFT(D259,2)="13",DATE(RIGHT(D259,4)-1,1,31),IF(MONTH(D259)=12,"13º "&amp;YEAR(D259),EOMONTH(D259,1)))))))</f>
        <v>37925</v>
      </c>
      <c r="E260" s="342"/>
      <c r="F260" s="257"/>
      <c r="G260" s="251"/>
      <c r="I260" s="262">
        <f ca="1">RESULTADOS!O258</f>
        <v>44742</v>
      </c>
      <c r="J260" s="261">
        <f t="shared" ca="1" si="6"/>
        <v>0</v>
      </c>
      <c r="K260" s="333"/>
      <c r="L260" s="336">
        <f t="shared" si="7"/>
        <v>20000</v>
      </c>
      <c r="M260" s="336">
        <f ca="1">IFERROR(L260/VLOOKUP(D260,IPCA!$A$3:$D$340,4,FALSE),M259)</f>
        <v>6879.014362121341</v>
      </c>
      <c r="N260" s="333"/>
    </row>
    <row r="261" spans="2:14" ht="15" x14ac:dyDescent="0.25">
      <c r="B261" s="251"/>
      <c r="C261" s="251"/>
      <c r="D261" s="258">
        <f ca="1">IF(D260="","",
IF(D260="13º "&amp;YEAR(RESULTADOS!$C$11),"",
IF(IFERROR(EOMONTH(D260,1)&gt;PREMISSAS!$C$3,"FALSO"),
   DATE(YEAR(D260)-1,1,31),
   IF(IF(ISTEXT(D260),RIGHT(D260,4)-1=YEAR(RESULTADOS!$C$11),YEAR(D260)-1=YEAR(RESULTADOS!$C$11)),
      IF(LEFT(D260,2)="13",EOMONTH(RESULTADOS!$C$11,0),IF(MONTH(D260)=12,"13º "&amp;YEAR(D260),EOMONTH(D260,1))),
      IF(LEFT(D260,2)="13",DATE(RIGHT(D260,4)-1,1,31),IF(MONTH(D260)=12,"13º "&amp;YEAR(D260),EOMONTH(D260,1)))))))</f>
        <v>37955</v>
      </c>
      <c r="E261" s="342"/>
      <c r="F261" s="257"/>
      <c r="G261" s="251"/>
      <c r="I261" s="262">
        <f ca="1">RESULTADOS!O259</f>
        <v>44773</v>
      </c>
      <c r="J261" s="261">
        <f t="shared" ca="1" si="6"/>
        <v>0</v>
      </c>
      <c r="K261" s="333"/>
      <c r="L261" s="336">
        <f t="shared" si="7"/>
        <v>20000</v>
      </c>
      <c r="M261" s="336">
        <f ca="1">IFERROR(L261/VLOOKUP(D261,IPCA!$A$3:$D$340,4,FALSE),M260)</f>
        <v>6898.9635037715061</v>
      </c>
      <c r="N261" s="333"/>
    </row>
    <row r="262" spans="2:14" ht="15" x14ac:dyDescent="0.25">
      <c r="B262" s="251"/>
      <c r="C262" s="251"/>
      <c r="D262" s="258">
        <f ca="1">IF(D261="","",
IF(D261="13º "&amp;YEAR(RESULTADOS!$C$11),"",
IF(IFERROR(EOMONTH(D261,1)&gt;PREMISSAS!$C$3,"FALSO"),
   DATE(YEAR(D261)-1,1,31),
   IF(IF(ISTEXT(D261),RIGHT(D261,4)-1=YEAR(RESULTADOS!$C$11),YEAR(D261)-1=YEAR(RESULTADOS!$C$11)),
      IF(LEFT(D261,2)="13",EOMONTH(RESULTADOS!$C$11,0),IF(MONTH(D261)=12,"13º "&amp;YEAR(D261),EOMONTH(D261,1))),
      IF(LEFT(D261,2)="13",DATE(RIGHT(D261,4)-1,1,31),IF(MONTH(D261)=12,"13º "&amp;YEAR(D261),EOMONTH(D261,1)))))))</f>
        <v>37986</v>
      </c>
      <c r="E262" s="342"/>
      <c r="F262" s="257"/>
      <c r="G262" s="251"/>
      <c r="I262" s="262">
        <f ca="1">RESULTADOS!O260</f>
        <v>44804</v>
      </c>
      <c r="J262" s="261">
        <f t="shared" ca="1" si="6"/>
        <v>0</v>
      </c>
      <c r="K262" s="333"/>
      <c r="L262" s="336">
        <f t="shared" si="7"/>
        <v>20000</v>
      </c>
      <c r="M262" s="336">
        <f ca="1">IFERROR(L262/VLOOKUP(D262,IPCA!$A$3:$D$340,4,FALSE),M261)</f>
        <v>6922.4199796843241</v>
      </c>
      <c r="N262" s="333"/>
    </row>
    <row r="263" spans="2:14" ht="15" x14ac:dyDescent="0.25">
      <c r="B263" s="251"/>
      <c r="C263" s="251"/>
      <c r="D263" s="258" t="str">
        <f ca="1">IF(D262="","",
IF(D262="13º "&amp;YEAR(RESULTADOS!$C$11),"",
IF(IFERROR(EOMONTH(D262,1)&gt;PREMISSAS!$C$3,"FALSO"),
   DATE(YEAR(D262)-1,1,31),
   IF(IF(ISTEXT(D262),RIGHT(D262,4)-1=YEAR(RESULTADOS!$C$11),YEAR(D262)-1=YEAR(RESULTADOS!$C$11)),
      IF(LEFT(D262,2)="13",EOMONTH(RESULTADOS!$C$11,0),IF(MONTH(D262)=12,"13º "&amp;YEAR(D262),EOMONTH(D262,1))),
      IF(LEFT(D262,2)="13",DATE(RIGHT(D262,4)-1,1,31),IF(MONTH(D262)=12,"13º "&amp;YEAR(D262),EOMONTH(D262,1)))))))</f>
        <v>13º 2003</v>
      </c>
      <c r="E263" s="342"/>
      <c r="F263" s="257"/>
      <c r="G263" s="251"/>
      <c r="I263" s="262">
        <f ca="1">RESULTADOS!O261</f>
        <v>44834</v>
      </c>
      <c r="J263" s="261">
        <f t="shared" ca="1" si="6"/>
        <v>0</v>
      </c>
      <c r="K263" s="333"/>
      <c r="L263" s="336">
        <f t="shared" si="7"/>
        <v>20000</v>
      </c>
      <c r="M263" s="336">
        <f ca="1">IFERROR(L263/VLOOKUP(D263,IPCA!$A$3:$D$340,4,FALSE),M262)</f>
        <v>6922.4199796843241</v>
      </c>
      <c r="N263" s="333"/>
    </row>
    <row r="264" spans="2:14" ht="15" x14ac:dyDescent="0.25">
      <c r="B264" s="251"/>
      <c r="C264" s="251"/>
      <c r="D264" s="258">
        <f ca="1">IF(D263="","",
IF(D263="13º "&amp;YEAR(RESULTADOS!$C$11),"",
IF(IFERROR(EOMONTH(D263,1)&gt;PREMISSAS!$C$3,"FALSO"),
   DATE(YEAR(D263)-1,1,31),
   IF(IF(ISTEXT(D263),RIGHT(D263,4)-1=YEAR(RESULTADOS!$C$11),YEAR(D263)-1=YEAR(RESULTADOS!$C$11)),
      IF(LEFT(D263,2)="13",EOMONTH(RESULTADOS!$C$11,0),IF(MONTH(D263)=12,"13º "&amp;YEAR(D263),EOMONTH(D263,1))),
      IF(LEFT(D263,2)="13",DATE(RIGHT(D263,4)-1,1,31),IF(MONTH(D263)=12,"13º "&amp;YEAR(D263),EOMONTH(D263,1)))))))</f>
        <v>37621</v>
      </c>
      <c r="E264" s="342"/>
      <c r="F264" s="257"/>
      <c r="G264" s="251"/>
      <c r="I264" s="262">
        <f ca="1">RESULTADOS!O262</f>
        <v>44865</v>
      </c>
      <c r="J264" s="261">
        <f t="shared" ref="J264:J327" ca="1" si="8">IF(I264="","",IFERROR(VLOOKUP(I264,$D$6:$E$656,2,0),""))</f>
        <v>0</v>
      </c>
      <c r="K264" s="333"/>
      <c r="L264" s="336">
        <f t="shared" si="7"/>
        <v>20000</v>
      </c>
      <c r="M264" s="336">
        <f ca="1">IFERROR(L264/VLOOKUP(D264,IPCA!$A$3:$D$340,4,FALSE),M263)</f>
        <v>6235.4057827315073</v>
      </c>
      <c r="N264" s="333"/>
    </row>
    <row r="265" spans="2:14" ht="15" x14ac:dyDescent="0.25">
      <c r="B265" s="251"/>
      <c r="C265" s="251"/>
      <c r="D265" s="258" t="str">
        <f ca="1">IF(D264="","",
IF(D264="13º "&amp;YEAR(RESULTADOS!$C$11),"",
IF(IFERROR(EOMONTH(D264,1)&gt;PREMISSAS!$C$3,"FALSO"),
   DATE(YEAR(D264)-1,1,31),
   IF(IF(ISTEXT(D264),RIGHT(D264,4)-1=YEAR(RESULTADOS!$C$11),YEAR(D264)-1=YEAR(RESULTADOS!$C$11)),
      IF(LEFT(D264,2)="13",EOMONTH(RESULTADOS!$C$11,0),IF(MONTH(D264)=12,"13º "&amp;YEAR(D264),EOMONTH(D264,1))),
      IF(LEFT(D264,2)="13",DATE(RIGHT(D264,4)-1,1,31),IF(MONTH(D264)=12,"13º "&amp;YEAR(D264),EOMONTH(D264,1)))))))</f>
        <v>13º 2002</v>
      </c>
      <c r="E265" s="342"/>
      <c r="F265" s="257"/>
      <c r="G265" s="251"/>
      <c r="I265" s="262" t="str">
        <f ca="1">RESULTADOS!O263</f>
        <v/>
      </c>
      <c r="J265" s="261" t="str">
        <f t="shared" ca="1" si="8"/>
        <v/>
      </c>
      <c r="K265" s="333"/>
      <c r="L265" s="336">
        <f t="shared" ref="L265:L293" si="9">L264</f>
        <v>20000</v>
      </c>
      <c r="M265" s="336">
        <f ca="1">IFERROR(L265/VLOOKUP(D265,IPCA!$A$3:$D$340,4,FALSE),M264)</f>
        <v>6235.4057827315073</v>
      </c>
      <c r="N265" s="333"/>
    </row>
    <row r="266" spans="2:14" ht="15" x14ac:dyDescent="0.25">
      <c r="B266" s="251"/>
      <c r="C266" s="251"/>
      <c r="D266" s="258" t="str">
        <f ca="1">IF(D265="","",
IF(D265="13º "&amp;YEAR(RESULTADOS!$C$11),"",
IF(IFERROR(EOMONTH(D265,1)&gt;PREMISSAS!$C$3,"FALSO"),
   DATE(YEAR(D265)-1,1,31),
   IF(IF(ISTEXT(D265),RIGHT(D265,4)-1=YEAR(RESULTADOS!$C$11),YEAR(D265)-1=YEAR(RESULTADOS!$C$11)),
      IF(LEFT(D265,2)="13",EOMONTH(RESULTADOS!$C$11,0),IF(MONTH(D265)=12,"13º "&amp;YEAR(D265),EOMONTH(D265,1))),
      IF(LEFT(D265,2)="13",DATE(RIGHT(D265,4)-1,1,31),IF(MONTH(D265)=12,"13º "&amp;YEAR(D265),EOMONTH(D265,1)))))))</f>
        <v/>
      </c>
      <c r="E266" s="342"/>
      <c r="F266" s="257"/>
      <c r="G266" s="251"/>
      <c r="I266" s="262" t="str">
        <f ca="1">RESULTADOS!O264</f>
        <v/>
      </c>
      <c r="J266" s="261" t="str">
        <f t="shared" ca="1" si="8"/>
        <v/>
      </c>
      <c r="K266" s="333"/>
      <c r="L266" s="336">
        <f t="shared" si="9"/>
        <v>20000</v>
      </c>
      <c r="M266" s="336">
        <f ca="1">IFERROR(L266/VLOOKUP(D266,IPCA!$A$3:$D$340,4,FALSE),M265)</f>
        <v>6235.4057827315073</v>
      </c>
      <c r="N266" s="333"/>
    </row>
    <row r="267" spans="2:14" ht="15" x14ac:dyDescent="0.25">
      <c r="B267" s="251"/>
      <c r="C267" s="251"/>
      <c r="D267" s="258" t="str">
        <f ca="1">IF(D266="","",
IF(D266="13º "&amp;YEAR(RESULTADOS!$C$11),"",
IF(IFERROR(EOMONTH(D266,1)&gt;PREMISSAS!$C$3,"FALSO"),
   DATE(YEAR(D266)-1,1,31),
   IF(IF(ISTEXT(D266),RIGHT(D266,4)-1=YEAR(RESULTADOS!$C$11),YEAR(D266)-1=YEAR(RESULTADOS!$C$11)),
      IF(LEFT(D266,2)="13",EOMONTH(RESULTADOS!$C$11,0),IF(MONTH(D266)=12,"13º "&amp;YEAR(D266),EOMONTH(D266,1))),
      IF(LEFT(D266,2)="13",DATE(RIGHT(D266,4)-1,1,31),IF(MONTH(D266)=12,"13º "&amp;YEAR(D266),EOMONTH(D266,1)))))))</f>
        <v/>
      </c>
      <c r="E267" s="342"/>
      <c r="F267" s="257"/>
      <c r="G267" s="251"/>
      <c r="I267" s="262" t="str">
        <f ca="1">RESULTADOS!O265</f>
        <v/>
      </c>
      <c r="J267" s="261" t="str">
        <f t="shared" ca="1" si="8"/>
        <v/>
      </c>
      <c r="K267" s="333"/>
      <c r="L267" s="336">
        <f t="shared" si="9"/>
        <v>20000</v>
      </c>
      <c r="M267" s="336">
        <f ca="1">IFERROR(L267/VLOOKUP(D267,IPCA!$A$3:$D$340,4,FALSE),M266)</f>
        <v>6235.4057827315073</v>
      </c>
      <c r="N267" s="333"/>
    </row>
    <row r="268" spans="2:14" ht="15" x14ac:dyDescent="0.25">
      <c r="B268" s="251"/>
      <c r="C268" s="251"/>
      <c r="D268" s="258" t="str">
        <f ca="1">IF(D267="","",
IF(D267="13º "&amp;YEAR(RESULTADOS!$C$11),"",
IF(IFERROR(EOMONTH(D267,1)&gt;PREMISSAS!$C$3,"FALSO"),
   DATE(YEAR(D267)-1,1,31),
   IF(IF(ISTEXT(D267),RIGHT(D267,4)-1=YEAR(RESULTADOS!$C$11),YEAR(D267)-1=YEAR(RESULTADOS!$C$11)),
      IF(LEFT(D267,2)="13",EOMONTH(RESULTADOS!$C$11,0),IF(MONTH(D267)=12,"13º "&amp;YEAR(D267),EOMONTH(D267,1))),
      IF(LEFT(D267,2)="13",DATE(RIGHT(D267,4)-1,1,31),IF(MONTH(D267)=12,"13º "&amp;YEAR(D267),EOMONTH(D267,1)))))))</f>
        <v/>
      </c>
      <c r="E268" s="342"/>
      <c r="F268" s="257"/>
      <c r="G268" s="251"/>
      <c r="I268" s="262" t="str">
        <f ca="1">RESULTADOS!O266</f>
        <v/>
      </c>
      <c r="J268" s="261" t="str">
        <f t="shared" ca="1" si="8"/>
        <v/>
      </c>
      <c r="K268" s="333"/>
      <c r="L268" s="336">
        <f t="shared" si="9"/>
        <v>20000</v>
      </c>
      <c r="M268" s="336">
        <f ca="1">IFERROR(L268/VLOOKUP(D268,IPCA!$A$3:$D$340,4,FALSE),M267)</f>
        <v>6235.4057827315073</v>
      </c>
      <c r="N268" s="333"/>
    </row>
    <row r="269" spans="2:14" ht="15" x14ac:dyDescent="0.25">
      <c r="B269" s="251"/>
      <c r="C269" s="251"/>
      <c r="D269" s="258" t="str">
        <f ca="1">IF(D268="","",
IF(D268="13º "&amp;YEAR(RESULTADOS!$C$11),"",
IF(IFERROR(EOMONTH(D268,1)&gt;PREMISSAS!$C$3,"FALSO"),
   DATE(YEAR(D268)-1,1,31),
   IF(IF(ISTEXT(D268),RIGHT(D268,4)-1=YEAR(RESULTADOS!$C$11),YEAR(D268)-1=YEAR(RESULTADOS!$C$11)),
      IF(LEFT(D268,2)="13",EOMONTH(RESULTADOS!$C$11,0),IF(MONTH(D268)=12,"13º "&amp;YEAR(D268),EOMONTH(D268,1))),
      IF(LEFT(D268,2)="13",DATE(RIGHT(D268,4)-1,1,31),IF(MONTH(D268)=12,"13º "&amp;YEAR(D268),EOMONTH(D268,1)))))))</f>
        <v/>
      </c>
      <c r="E269" s="342"/>
      <c r="F269" s="257"/>
      <c r="G269" s="251"/>
      <c r="I269" s="262" t="str">
        <f ca="1">RESULTADOS!O267</f>
        <v/>
      </c>
      <c r="J269" s="261" t="str">
        <f t="shared" ca="1" si="8"/>
        <v/>
      </c>
      <c r="K269" s="333"/>
      <c r="L269" s="336">
        <f t="shared" si="9"/>
        <v>20000</v>
      </c>
      <c r="M269" s="336">
        <f ca="1">IFERROR(L269/VLOOKUP(D269,IPCA!$A$3:$D$340,4,FALSE),M268)</f>
        <v>6235.4057827315073</v>
      </c>
      <c r="N269" s="333"/>
    </row>
    <row r="270" spans="2:14" ht="15" x14ac:dyDescent="0.25">
      <c r="B270" s="251"/>
      <c r="C270" s="251"/>
      <c r="D270" s="258" t="str">
        <f ca="1">IF(D269="","",
IF(D269="13º "&amp;YEAR(RESULTADOS!$C$11),"",
IF(IFERROR(EOMONTH(D269,1)&gt;PREMISSAS!$C$3,"FALSO"),
   DATE(YEAR(D269)-1,1,31),
   IF(IF(ISTEXT(D269),RIGHT(D269,4)-1=YEAR(RESULTADOS!$C$11),YEAR(D269)-1=YEAR(RESULTADOS!$C$11)),
      IF(LEFT(D269,2)="13",EOMONTH(RESULTADOS!$C$11,0),IF(MONTH(D269)=12,"13º "&amp;YEAR(D269),EOMONTH(D269,1))),
      IF(LEFT(D269,2)="13",DATE(RIGHT(D269,4)-1,1,31),IF(MONTH(D269)=12,"13º "&amp;YEAR(D269),EOMONTH(D269,1)))))))</f>
        <v/>
      </c>
      <c r="E270" s="342"/>
      <c r="F270" s="257"/>
      <c r="G270" s="251"/>
      <c r="I270" s="262" t="str">
        <f ca="1">RESULTADOS!O268</f>
        <v/>
      </c>
      <c r="J270" s="261" t="str">
        <f t="shared" ca="1" si="8"/>
        <v/>
      </c>
      <c r="K270" s="333"/>
      <c r="L270" s="336">
        <f t="shared" si="9"/>
        <v>20000</v>
      </c>
      <c r="M270" s="336">
        <f ca="1">IFERROR(L270/VLOOKUP(D270,IPCA!$A$3:$D$340,4,FALSE),M269)</f>
        <v>6235.4057827315073</v>
      </c>
      <c r="N270" s="333"/>
    </row>
    <row r="271" spans="2:14" ht="15" x14ac:dyDescent="0.25">
      <c r="B271" s="251"/>
      <c r="C271" s="251"/>
      <c r="D271" s="258" t="str">
        <f ca="1">IF(D270="","",
IF(D270="13º "&amp;YEAR(RESULTADOS!$C$11),"",
IF(IFERROR(EOMONTH(D270,1)&gt;PREMISSAS!$C$3,"FALSO"),
   DATE(YEAR(D270)-1,1,31),
   IF(IF(ISTEXT(D270),RIGHT(D270,4)-1=YEAR(RESULTADOS!$C$11),YEAR(D270)-1=YEAR(RESULTADOS!$C$11)),
      IF(LEFT(D270,2)="13",EOMONTH(RESULTADOS!$C$11,0),IF(MONTH(D270)=12,"13º "&amp;YEAR(D270),EOMONTH(D270,1))),
      IF(LEFT(D270,2)="13",DATE(RIGHT(D270,4)-1,1,31),IF(MONTH(D270)=12,"13º "&amp;YEAR(D270),EOMONTH(D270,1)))))))</f>
        <v/>
      </c>
      <c r="E271" s="342"/>
      <c r="F271" s="257"/>
      <c r="G271" s="251"/>
      <c r="I271" s="262" t="str">
        <f ca="1">RESULTADOS!O269</f>
        <v/>
      </c>
      <c r="J271" s="261" t="str">
        <f t="shared" ca="1" si="8"/>
        <v/>
      </c>
      <c r="K271" s="333"/>
      <c r="L271" s="336">
        <f t="shared" si="9"/>
        <v>20000</v>
      </c>
      <c r="M271" s="336">
        <f ca="1">IFERROR(L271/VLOOKUP(D271,IPCA!$A$3:$D$340,4,FALSE),M270)</f>
        <v>6235.4057827315073</v>
      </c>
      <c r="N271" s="333"/>
    </row>
    <row r="272" spans="2:14" ht="15" x14ac:dyDescent="0.25">
      <c r="B272" s="251"/>
      <c r="C272" s="251"/>
      <c r="D272" s="258" t="str">
        <f ca="1">IF(D271="","",
IF(D271="13º "&amp;YEAR(RESULTADOS!$C$11),"",
IF(IFERROR(EOMONTH(D271,1)&gt;PREMISSAS!$C$3,"FALSO"),
   DATE(YEAR(D271)-1,1,31),
   IF(IF(ISTEXT(D271),RIGHT(D271,4)-1=YEAR(RESULTADOS!$C$11),YEAR(D271)-1=YEAR(RESULTADOS!$C$11)),
      IF(LEFT(D271,2)="13",EOMONTH(RESULTADOS!$C$11,0),IF(MONTH(D271)=12,"13º "&amp;YEAR(D271),EOMONTH(D271,1))),
      IF(LEFT(D271,2)="13",DATE(RIGHT(D271,4)-1,1,31),IF(MONTH(D271)=12,"13º "&amp;YEAR(D271),EOMONTH(D271,1)))))))</f>
        <v/>
      </c>
      <c r="E272" s="342"/>
      <c r="F272" s="257"/>
      <c r="G272" s="251"/>
      <c r="I272" s="262" t="str">
        <f ca="1">RESULTADOS!O270</f>
        <v/>
      </c>
      <c r="J272" s="261" t="str">
        <f t="shared" ca="1" si="8"/>
        <v/>
      </c>
      <c r="K272" s="333"/>
      <c r="L272" s="336">
        <f t="shared" si="9"/>
        <v>20000</v>
      </c>
      <c r="M272" s="336">
        <f ca="1">IFERROR(L272/VLOOKUP(D272,IPCA!$A$3:$D$340,4,FALSE),M271)</f>
        <v>6235.4057827315073</v>
      </c>
      <c r="N272" s="333"/>
    </row>
    <row r="273" spans="2:14" ht="15" x14ac:dyDescent="0.25">
      <c r="B273" s="251"/>
      <c r="C273" s="251"/>
      <c r="D273" s="258" t="str">
        <f ca="1">IF(D272="","",
IF(D272="13º "&amp;YEAR(RESULTADOS!$C$11),"",
IF(IFERROR(EOMONTH(D272,1)&gt;PREMISSAS!$C$3,"FALSO"),
   DATE(YEAR(D272)-1,1,31),
   IF(IF(ISTEXT(D272),RIGHT(D272,4)-1=YEAR(RESULTADOS!$C$11),YEAR(D272)-1=YEAR(RESULTADOS!$C$11)),
      IF(LEFT(D272,2)="13",EOMONTH(RESULTADOS!$C$11,0),IF(MONTH(D272)=12,"13º "&amp;YEAR(D272),EOMONTH(D272,1))),
      IF(LEFT(D272,2)="13",DATE(RIGHT(D272,4)-1,1,31),IF(MONTH(D272)=12,"13º "&amp;YEAR(D272),EOMONTH(D272,1)))))))</f>
        <v/>
      </c>
      <c r="E273" s="342"/>
      <c r="F273" s="257"/>
      <c r="G273" s="251"/>
      <c r="I273" s="262" t="str">
        <f ca="1">RESULTADOS!O271</f>
        <v/>
      </c>
      <c r="J273" s="261" t="str">
        <f t="shared" ca="1" si="8"/>
        <v/>
      </c>
      <c r="K273" s="333"/>
      <c r="L273" s="336">
        <f t="shared" si="9"/>
        <v>20000</v>
      </c>
      <c r="M273" s="336">
        <f ca="1">IFERROR(L273/VLOOKUP(D273,IPCA!$A$3:$D$340,4,FALSE),M272)</f>
        <v>6235.4057827315073</v>
      </c>
      <c r="N273" s="333"/>
    </row>
    <row r="274" spans="2:14" ht="15" x14ac:dyDescent="0.25">
      <c r="B274" s="251"/>
      <c r="C274" s="251"/>
      <c r="D274" s="258" t="str">
        <f ca="1">IF(D273="","",
IF(D273="13º "&amp;YEAR(RESULTADOS!$C$11),"",
IF(IFERROR(EOMONTH(D273,1)&gt;PREMISSAS!$C$3,"FALSO"),
   DATE(YEAR(D273)-1,1,31),
   IF(IF(ISTEXT(D273),RIGHT(D273,4)-1=YEAR(RESULTADOS!$C$11),YEAR(D273)-1=YEAR(RESULTADOS!$C$11)),
      IF(LEFT(D273,2)="13",EOMONTH(RESULTADOS!$C$11,0),IF(MONTH(D273)=12,"13º "&amp;YEAR(D273),EOMONTH(D273,1))),
      IF(LEFT(D273,2)="13",DATE(RIGHT(D273,4)-1,1,31),IF(MONTH(D273)=12,"13º "&amp;YEAR(D273),EOMONTH(D273,1)))))))</f>
        <v/>
      </c>
      <c r="E274" s="342"/>
      <c r="F274" s="257"/>
      <c r="G274" s="251"/>
      <c r="I274" s="262" t="str">
        <f ca="1">RESULTADOS!O272</f>
        <v/>
      </c>
      <c r="J274" s="261" t="str">
        <f t="shared" ca="1" si="8"/>
        <v/>
      </c>
      <c r="K274" s="333"/>
      <c r="L274" s="336">
        <f t="shared" si="9"/>
        <v>20000</v>
      </c>
      <c r="M274" s="336">
        <f ca="1">IFERROR(L274/VLOOKUP(D274,IPCA!$A$3:$D$340,4,FALSE),M273)</f>
        <v>6235.4057827315073</v>
      </c>
      <c r="N274" s="333"/>
    </row>
    <row r="275" spans="2:14" ht="15" x14ac:dyDescent="0.25">
      <c r="B275" s="251"/>
      <c r="C275" s="251"/>
      <c r="D275" s="258" t="str">
        <f ca="1">IF(D274="","",
IF(D274="13º "&amp;YEAR(RESULTADOS!$C$11),"",
IF(IFERROR(EOMONTH(D274,1)&gt;PREMISSAS!$C$3,"FALSO"),
   DATE(YEAR(D274)-1,1,31),
   IF(IF(ISTEXT(D274),RIGHT(D274,4)-1=YEAR(RESULTADOS!$C$11),YEAR(D274)-1=YEAR(RESULTADOS!$C$11)),
      IF(LEFT(D274,2)="13",EOMONTH(RESULTADOS!$C$11,0),IF(MONTH(D274)=12,"13º "&amp;YEAR(D274),EOMONTH(D274,1))),
      IF(LEFT(D274,2)="13",DATE(RIGHT(D274,4)-1,1,31),IF(MONTH(D274)=12,"13º "&amp;YEAR(D274),EOMONTH(D274,1)))))))</f>
        <v/>
      </c>
      <c r="E275" s="342"/>
      <c r="F275" s="257"/>
      <c r="G275" s="251"/>
      <c r="I275" s="262" t="str">
        <f ca="1">RESULTADOS!O273</f>
        <v/>
      </c>
      <c r="J275" s="261" t="str">
        <f t="shared" ca="1" si="8"/>
        <v/>
      </c>
      <c r="K275" s="333"/>
      <c r="L275" s="336">
        <f t="shared" si="9"/>
        <v>20000</v>
      </c>
      <c r="M275" s="336">
        <f ca="1">IFERROR(L275/VLOOKUP(D275,IPCA!$A$3:$D$340,4,FALSE),M274)</f>
        <v>6235.4057827315073</v>
      </c>
      <c r="N275" s="333"/>
    </row>
    <row r="276" spans="2:14" ht="15" x14ac:dyDescent="0.25">
      <c r="B276" s="251"/>
      <c r="C276" s="251"/>
      <c r="D276" s="258" t="str">
        <f ca="1">IF(D275="","",
IF(D275="13º "&amp;YEAR(RESULTADOS!$C$11),"",
IF(IFERROR(EOMONTH(D275,1)&gt;PREMISSAS!$C$3,"FALSO"),
   DATE(YEAR(D275)-1,1,31),
   IF(IF(ISTEXT(D275),RIGHT(D275,4)-1=YEAR(RESULTADOS!$C$11),YEAR(D275)-1=YEAR(RESULTADOS!$C$11)),
      IF(LEFT(D275,2)="13",EOMONTH(RESULTADOS!$C$11,0),IF(MONTH(D275)=12,"13º "&amp;YEAR(D275),EOMONTH(D275,1))),
      IF(LEFT(D275,2)="13",DATE(RIGHT(D275,4)-1,1,31),IF(MONTH(D275)=12,"13º "&amp;YEAR(D275),EOMONTH(D275,1)))))))</f>
        <v/>
      </c>
      <c r="E276" s="342"/>
      <c r="F276" s="257"/>
      <c r="G276" s="251"/>
      <c r="I276" s="262" t="str">
        <f ca="1">RESULTADOS!O274</f>
        <v/>
      </c>
      <c r="J276" s="261" t="str">
        <f t="shared" ca="1" si="8"/>
        <v/>
      </c>
      <c r="K276" s="333"/>
      <c r="L276" s="336">
        <f t="shared" si="9"/>
        <v>20000</v>
      </c>
      <c r="M276" s="336">
        <f ca="1">IFERROR(L276/VLOOKUP(D276,IPCA!$A$3:$D$340,4,FALSE),M275)</f>
        <v>6235.4057827315073</v>
      </c>
      <c r="N276" s="333"/>
    </row>
    <row r="277" spans="2:14" ht="15" x14ac:dyDescent="0.25">
      <c r="B277" s="251"/>
      <c r="C277" s="251"/>
      <c r="D277" s="258" t="str">
        <f ca="1">IF(D276="","",
IF(D276="13º "&amp;YEAR(RESULTADOS!$C$11),"",
IF(IFERROR(EOMONTH(D276,1)&gt;PREMISSAS!$C$3,"FALSO"),
   DATE(YEAR(D276)-1,1,31),
   IF(IF(ISTEXT(D276),RIGHT(D276,4)-1=YEAR(RESULTADOS!$C$11),YEAR(D276)-1=YEAR(RESULTADOS!$C$11)),
      IF(LEFT(D276,2)="13",EOMONTH(RESULTADOS!$C$11,0),IF(MONTH(D276)=12,"13º "&amp;YEAR(D276),EOMONTH(D276,1))),
      IF(LEFT(D276,2)="13",DATE(RIGHT(D276,4)-1,1,31),IF(MONTH(D276)=12,"13º "&amp;YEAR(D276),EOMONTH(D276,1)))))))</f>
        <v/>
      </c>
      <c r="E277" s="342"/>
      <c r="F277" s="257"/>
      <c r="G277" s="251"/>
      <c r="I277" s="262" t="str">
        <f ca="1">RESULTADOS!O275</f>
        <v/>
      </c>
      <c r="J277" s="261" t="str">
        <f t="shared" ca="1" si="8"/>
        <v/>
      </c>
      <c r="K277" s="333"/>
      <c r="L277" s="336">
        <f t="shared" si="9"/>
        <v>20000</v>
      </c>
      <c r="M277" s="336">
        <f ca="1">IFERROR(L277/VLOOKUP(D277,IPCA!$A$3:$D$340,4,FALSE),M276)</f>
        <v>6235.4057827315073</v>
      </c>
      <c r="N277" s="333"/>
    </row>
    <row r="278" spans="2:14" ht="15" x14ac:dyDescent="0.25">
      <c r="B278" s="251"/>
      <c r="C278" s="251"/>
      <c r="D278" s="258" t="str">
        <f ca="1">IF(D277="","",
IF(D277="13º "&amp;YEAR(RESULTADOS!$C$11),"",
IF(IFERROR(EOMONTH(D277,1)&gt;PREMISSAS!$C$3,"FALSO"),
   DATE(YEAR(D277)-1,1,31),
   IF(IF(ISTEXT(D277),RIGHT(D277,4)-1=YEAR(RESULTADOS!$C$11),YEAR(D277)-1=YEAR(RESULTADOS!$C$11)),
      IF(LEFT(D277,2)="13",EOMONTH(RESULTADOS!$C$11,0),IF(MONTH(D277)=12,"13º "&amp;YEAR(D277),EOMONTH(D277,1))),
      IF(LEFT(D277,2)="13",DATE(RIGHT(D277,4)-1,1,31),IF(MONTH(D277)=12,"13º "&amp;YEAR(D277),EOMONTH(D277,1)))))))</f>
        <v/>
      </c>
      <c r="E278" s="342"/>
      <c r="F278" s="257"/>
      <c r="G278" s="251"/>
      <c r="I278" s="262" t="str">
        <f ca="1">RESULTADOS!O276</f>
        <v/>
      </c>
      <c r="J278" s="261" t="str">
        <f t="shared" ca="1" si="8"/>
        <v/>
      </c>
      <c r="K278" s="333"/>
      <c r="L278" s="336">
        <f t="shared" si="9"/>
        <v>20000</v>
      </c>
      <c r="M278" s="336">
        <f ca="1">IFERROR(L278/VLOOKUP(D278,IPCA!$A$3:$D$340,4,FALSE),M277)</f>
        <v>6235.4057827315073</v>
      </c>
      <c r="N278" s="333"/>
    </row>
    <row r="279" spans="2:14" ht="15" x14ac:dyDescent="0.25">
      <c r="B279" s="251"/>
      <c r="C279" s="251"/>
      <c r="D279" s="258" t="str">
        <f ca="1">IF(D278="","",
IF(D278="13º "&amp;YEAR(RESULTADOS!$C$11),"",
IF(IFERROR(EOMONTH(D278,1)&gt;PREMISSAS!$C$3,"FALSO"),
   DATE(YEAR(D278)-1,1,31),
   IF(IF(ISTEXT(D278),RIGHT(D278,4)-1=YEAR(RESULTADOS!$C$11),YEAR(D278)-1=YEAR(RESULTADOS!$C$11)),
      IF(LEFT(D278,2)="13",EOMONTH(RESULTADOS!$C$11,0),IF(MONTH(D278)=12,"13º "&amp;YEAR(D278),EOMONTH(D278,1))),
      IF(LEFT(D278,2)="13",DATE(RIGHT(D278,4)-1,1,31),IF(MONTH(D278)=12,"13º "&amp;YEAR(D278),EOMONTH(D278,1)))))))</f>
        <v/>
      </c>
      <c r="E279" s="342"/>
      <c r="F279" s="257"/>
      <c r="G279" s="251"/>
      <c r="I279" s="262" t="str">
        <f ca="1">RESULTADOS!O277</f>
        <v/>
      </c>
      <c r="J279" s="261" t="str">
        <f t="shared" ca="1" si="8"/>
        <v/>
      </c>
      <c r="K279" s="333"/>
      <c r="L279" s="336">
        <f t="shared" si="9"/>
        <v>20000</v>
      </c>
      <c r="M279" s="336">
        <f ca="1">IFERROR(L279/VLOOKUP(D279,IPCA!$A$3:$D$340,4,FALSE),M278)</f>
        <v>6235.4057827315073</v>
      </c>
      <c r="N279" s="333"/>
    </row>
    <row r="280" spans="2:14" ht="15" x14ac:dyDescent="0.25">
      <c r="B280" s="251"/>
      <c r="C280" s="251"/>
      <c r="D280" s="258" t="str">
        <f ca="1">IF(D279="","",
IF(D279="13º "&amp;YEAR(RESULTADOS!$C$11),"",
IF(IFERROR(EOMONTH(D279,1)&gt;PREMISSAS!$C$3,"FALSO"),
   DATE(YEAR(D279)-1,1,31),
   IF(IF(ISTEXT(D279),RIGHT(D279,4)-1=YEAR(RESULTADOS!$C$11),YEAR(D279)-1=YEAR(RESULTADOS!$C$11)),
      IF(LEFT(D279,2)="13",EOMONTH(RESULTADOS!$C$11,0),IF(MONTH(D279)=12,"13º "&amp;YEAR(D279),EOMONTH(D279,1))),
      IF(LEFT(D279,2)="13",DATE(RIGHT(D279,4)-1,1,31),IF(MONTH(D279)=12,"13º "&amp;YEAR(D279),EOMONTH(D279,1)))))))</f>
        <v/>
      </c>
      <c r="E280" s="342"/>
      <c r="F280" s="257"/>
      <c r="G280" s="251"/>
      <c r="I280" s="262" t="str">
        <f ca="1">RESULTADOS!O278</f>
        <v/>
      </c>
      <c r="J280" s="261" t="str">
        <f t="shared" ca="1" si="8"/>
        <v/>
      </c>
      <c r="K280" s="333"/>
      <c r="L280" s="336">
        <f t="shared" si="9"/>
        <v>20000</v>
      </c>
      <c r="M280" s="336">
        <f ca="1">IFERROR(L280/VLOOKUP(D280,IPCA!$A$3:$D$340,4,FALSE),M279)</f>
        <v>6235.4057827315073</v>
      </c>
      <c r="N280" s="333"/>
    </row>
    <row r="281" spans="2:14" ht="15" x14ac:dyDescent="0.25">
      <c r="B281" s="251"/>
      <c r="C281" s="251"/>
      <c r="D281" s="258" t="str">
        <f ca="1">IF(D280="","",
IF(D280="13º "&amp;YEAR(RESULTADOS!$C$11),"",
IF(IFERROR(EOMONTH(D280,1)&gt;PREMISSAS!$C$3,"FALSO"),
   DATE(YEAR(D280)-1,1,31),
   IF(IF(ISTEXT(D280),RIGHT(D280,4)-1=YEAR(RESULTADOS!$C$11),YEAR(D280)-1=YEAR(RESULTADOS!$C$11)),
      IF(LEFT(D280,2)="13",EOMONTH(RESULTADOS!$C$11,0),IF(MONTH(D280)=12,"13º "&amp;YEAR(D280),EOMONTH(D280,1))),
      IF(LEFT(D280,2)="13",DATE(RIGHT(D280,4)-1,1,31),IF(MONTH(D280)=12,"13º "&amp;YEAR(D280),EOMONTH(D280,1)))))))</f>
        <v/>
      </c>
      <c r="E281" s="342"/>
      <c r="F281" s="257"/>
      <c r="G281" s="251"/>
      <c r="I281" s="262" t="str">
        <f ca="1">RESULTADOS!O279</f>
        <v/>
      </c>
      <c r="J281" s="261" t="str">
        <f t="shared" ca="1" si="8"/>
        <v/>
      </c>
      <c r="K281" s="333"/>
      <c r="L281" s="336">
        <f t="shared" si="9"/>
        <v>20000</v>
      </c>
      <c r="M281" s="336">
        <f ca="1">IFERROR(L281/VLOOKUP(D281,IPCA!$A$3:$D$340,4,FALSE),M280)</f>
        <v>6235.4057827315073</v>
      </c>
      <c r="N281" s="333"/>
    </row>
    <row r="282" spans="2:14" ht="15" x14ac:dyDescent="0.25">
      <c r="B282" s="251"/>
      <c r="C282" s="251"/>
      <c r="D282" s="258" t="str">
        <f ca="1">IF(D281="","",
IF(D281="13º "&amp;YEAR(RESULTADOS!$C$11),"",
IF(IFERROR(EOMONTH(D281,1)&gt;PREMISSAS!$C$3,"FALSO"),
   DATE(YEAR(D281)-1,1,31),
   IF(IF(ISTEXT(D281),RIGHT(D281,4)-1=YEAR(RESULTADOS!$C$11),YEAR(D281)-1=YEAR(RESULTADOS!$C$11)),
      IF(LEFT(D281,2)="13",EOMONTH(RESULTADOS!$C$11,0),IF(MONTH(D281)=12,"13º "&amp;YEAR(D281),EOMONTH(D281,1))),
      IF(LEFT(D281,2)="13",DATE(RIGHT(D281,4)-1,1,31),IF(MONTH(D281)=12,"13º "&amp;YEAR(D281),EOMONTH(D281,1)))))))</f>
        <v/>
      </c>
      <c r="E282" s="342"/>
      <c r="F282" s="257"/>
      <c r="G282" s="251"/>
      <c r="I282" s="262" t="str">
        <f ca="1">RESULTADOS!O280</f>
        <v/>
      </c>
      <c r="J282" s="261" t="str">
        <f t="shared" ca="1" si="8"/>
        <v/>
      </c>
      <c r="K282" s="333"/>
      <c r="L282" s="336">
        <f t="shared" si="9"/>
        <v>20000</v>
      </c>
      <c r="M282" s="336">
        <f ca="1">IFERROR(L282/VLOOKUP(D282,IPCA!$A$3:$D$340,4,FALSE),M281)</f>
        <v>6235.4057827315073</v>
      </c>
      <c r="N282" s="333"/>
    </row>
    <row r="283" spans="2:14" ht="15" x14ac:dyDescent="0.25">
      <c r="B283" s="251"/>
      <c r="C283" s="251"/>
      <c r="D283" s="258" t="str">
        <f ca="1">IF(D282="","",
IF(D282="13º "&amp;YEAR(RESULTADOS!$C$11),"",
IF(IFERROR(EOMONTH(D282,1)&gt;PREMISSAS!$C$3,"FALSO"),
   DATE(YEAR(D282)-1,1,31),
   IF(IF(ISTEXT(D282),RIGHT(D282,4)-1=YEAR(RESULTADOS!$C$11),YEAR(D282)-1=YEAR(RESULTADOS!$C$11)),
      IF(LEFT(D282,2)="13",EOMONTH(RESULTADOS!$C$11,0),IF(MONTH(D282)=12,"13º "&amp;YEAR(D282),EOMONTH(D282,1))),
      IF(LEFT(D282,2)="13",DATE(RIGHT(D282,4)-1,1,31),IF(MONTH(D282)=12,"13º "&amp;YEAR(D282),EOMONTH(D282,1)))))))</f>
        <v/>
      </c>
      <c r="E283" s="342"/>
      <c r="F283" s="257"/>
      <c r="G283" s="251"/>
      <c r="I283" s="262" t="str">
        <f ca="1">RESULTADOS!O281</f>
        <v/>
      </c>
      <c r="J283" s="261" t="str">
        <f t="shared" ca="1" si="8"/>
        <v/>
      </c>
      <c r="K283" s="333"/>
      <c r="L283" s="336">
        <f t="shared" si="9"/>
        <v>20000</v>
      </c>
      <c r="M283" s="336">
        <f ca="1">IFERROR(L283/VLOOKUP(D283,IPCA!$A$3:$D$340,4,FALSE),M282)</f>
        <v>6235.4057827315073</v>
      </c>
      <c r="N283" s="333"/>
    </row>
    <row r="284" spans="2:14" ht="15" x14ac:dyDescent="0.25">
      <c r="B284" s="251"/>
      <c r="C284" s="251"/>
      <c r="D284" s="258" t="str">
        <f ca="1">IF(D283="","",
IF(D283="13º "&amp;YEAR(RESULTADOS!$C$11),"",
IF(IFERROR(EOMONTH(D283,1)&gt;PREMISSAS!$C$3,"FALSO"),
   DATE(YEAR(D283)-1,1,31),
   IF(IF(ISTEXT(D283),RIGHT(D283,4)-1=YEAR(RESULTADOS!$C$11),YEAR(D283)-1=YEAR(RESULTADOS!$C$11)),
      IF(LEFT(D283,2)="13",EOMONTH(RESULTADOS!$C$11,0),IF(MONTH(D283)=12,"13º "&amp;YEAR(D283),EOMONTH(D283,1))),
      IF(LEFT(D283,2)="13",DATE(RIGHT(D283,4)-1,1,31),IF(MONTH(D283)=12,"13º "&amp;YEAR(D283),EOMONTH(D283,1)))))))</f>
        <v/>
      </c>
      <c r="E284" s="342"/>
      <c r="F284" s="257"/>
      <c r="G284" s="251"/>
      <c r="I284" s="262" t="str">
        <f ca="1">RESULTADOS!O282</f>
        <v/>
      </c>
      <c r="J284" s="261" t="str">
        <f t="shared" ca="1" si="8"/>
        <v/>
      </c>
      <c r="K284" s="333"/>
      <c r="L284" s="336">
        <f t="shared" si="9"/>
        <v>20000</v>
      </c>
      <c r="M284" s="336">
        <f ca="1">IFERROR(L284/VLOOKUP(D284,IPCA!$A$3:$D$340,4,FALSE),M283)</f>
        <v>6235.4057827315073</v>
      </c>
      <c r="N284" s="333"/>
    </row>
    <row r="285" spans="2:14" ht="15" x14ac:dyDescent="0.25">
      <c r="B285" s="251"/>
      <c r="C285" s="251"/>
      <c r="D285" s="258" t="str">
        <f ca="1">IF(D284="","",
IF(D284="13º "&amp;YEAR(RESULTADOS!$C$11),"",
IF(IFERROR(EOMONTH(D284,1)&gt;PREMISSAS!$C$3,"FALSO"),
   DATE(YEAR(D284)-1,1,31),
   IF(IF(ISTEXT(D284),RIGHT(D284,4)-1=YEAR(RESULTADOS!$C$11),YEAR(D284)-1=YEAR(RESULTADOS!$C$11)),
      IF(LEFT(D284,2)="13",EOMONTH(RESULTADOS!$C$11,0),IF(MONTH(D284)=12,"13º "&amp;YEAR(D284),EOMONTH(D284,1))),
      IF(LEFT(D284,2)="13",DATE(RIGHT(D284,4)-1,1,31),IF(MONTH(D284)=12,"13º "&amp;YEAR(D284),EOMONTH(D284,1)))))))</f>
        <v/>
      </c>
      <c r="E285" s="342"/>
      <c r="F285" s="257"/>
      <c r="G285" s="251"/>
      <c r="I285" s="262" t="str">
        <f ca="1">RESULTADOS!O283</f>
        <v/>
      </c>
      <c r="J285" s="261" t="str">
        <f t="shared" ca="1" si="8"/>
        <v/>
      </c>
      <c r="K285" s="333"/>
      <c r="L285" s="336">
        <f t="shared" si="9"/>
        <v>20000</v>
      </c>
      <c r="M285" s="336">
        <f ca="1">IFERROR(L285/VLOOKUP(D285,IPCA!$A$3:$D$340,4,FALSE),M284)</f>
        <v>6235.4057827315073</v>
      </c>
      <c r="N285" s="333"/>
    </row>
    <row r="286" spans="2:14" ht="15" x14ac:dyDescent="0.25">
      <c r="B286" s="251"/>
      <c r="C286" s="251"/>
      <c r="D286" s="258" t="str">
        <f ca="1">IF(D285="","",
IF(D285="13º "&amp;YEAR(RESULTADOS!$C$11),"",
IF(IFERROR(EOMONTH(D285,1)&gt;PREMISSAS!$C$3,"FALSO"),
   DATE(YEAR(D285)-1,1,31),
   IF(IF(ISTEXT(D285),RIGHT(D285,4)-1=YEAR(RESULTADOS!$C$11),YEAR(D285)-1=YEAR(RESULTADOS!$C$11)),
      IF(LEFT(D285,2)="13",EOMONTH(RESULTADOS!$C$11,0),IF(MONTH(D285)=12,"13º "&amp;YEAR(D285),EOMONTH(D285,1))),
      IF(LEFT(D285,2)="13",DATE(RIGHT(D285,4)-1,1,31),IF(MONTH(D285)=12,"13º "&amp;YEAR(D285),EOMONTH(D285,1)))))))</f>
        <v/>
      </c>
      <c r="E286" s="342"/>
      <c r="F286" s="257"/>
      <c r="G286" s="251"/>
      <c r="I286" s="262" t="str">
        <f ca="1">RESULTADOS!O284</f>
        <v/>
      </c>
      <c r="J286" s="261" t="str">
        <f t="shared" ca="1" si="8"/>
        <v/>
      </c>
      <c r="K286" s="333"/>
      <c r="L286" s="336">
        <f t="shared" si="9"/>
        <v>20000</v>
      </c>
      <c r="M286" s="336">
        <f ca="1">IFERROR(L286/VLOOKUP(D286,IPCA!$A$3:$D$340,4,FALSE),M285)</f>
        <v>6235.4057827315073</v>
      </c>
      <c r="N286" s="333"/>
    </row>
    <row r="287" spans="2:14" ht="15" x14ac:dyDescent="0.25">
      <c r="B287" s="251"/>
      <c r="C287" s="251"/>
      <c r="D287" s="258" t="str">
        <f ca="1">IF(D286="","",
IF(D286="13º "&amp;YEAR(RESULTADOS!$C$11),"",
IF(IFERROR(EOMONTH(D286,1)&gt;PREMISSAS!$C$3,"FALSO"),
   DATE(YEAR(D286)-1,1,31),
   IF(IF(ISTEXT(D286),RIGHT(D286,4)-1=YEAR(RESULTADOS!$C$11),YEAR(D286)-1=YEAR(RESULTADOS!$C$11)),
      IF(LEFT(D286,2)="13",EOMONTH(RESULTADOS!$C$11,0),IF(MONTH(D286)=12,"13º "&amp;YEAR(D286),EOMONTH(D286,1))),
      IF(LEFT(D286,2)="13",DATE(RIGHT(D286,4)-1,1,31),IF(MONTH(D286)=12,"13º "&amp;YEAR(D286),EOMONTH(D286,1)))))))</f>
        <v/>
      </c>
      <c r="E287" s="342"/>
      <c r="F287" s="257"/>
      <c r="G287" s="251"/>
      <c r="I287" s="262" t="str">
        <f ca="1">RESULTADOS!O285</f>
        <v/>
      </c>
      <c r="J287" s="261" t="str">
        <f t="shared" ca="1" si="8"/>
        <v/>
      </c>
      <c r="K287" s="333"/>
      <c r="L287" s="336">
        <f t="shared" si="9"/>
        <v>20000</v>
      </c>
      <c r="M287" s="336">
        <f ca="1">IFERROR(L287/VLOOKUP(D287,IPCA!$A$3:$D$340,4,FALSE),M286)</f>
        <v>6235.4057827315073</v>
      </c>
      <c r="N287" s="333"/>
    </row>
    <row r="288" spans="2:14" ht="15" x14ac:dyDescent="0.25">
      <c r="B288" s="251"/>
      <c r="C288" s="251"/>
      <c r="D288" s="258" t="str">
        <f ca="1">IF(D287="","",
IF(D287="13º "&amp;YEAR(RESULTADOS!$C$11),"",
IF(IFERROR(EOMONTH(D287,1)&gt;PREMISSAS!$C$3,"FALSO"),
   DATE(YEAR(D287)-1,1,31),
   IF(IF(ISTEXT(D287),RIGHT(D287,4)-1=YEAR(RESULTADOS!$C$11),YEAR(D287)-1=YEAR(RESULTADOS!$C$11)),
      IF(LEFT(D287,2)="13",EOMONTH(RESULTADOS!$C$11,0),IF(MONTH(D287)=12,"13º "&amp;YEAR(D287),EOMONTH(D287,1))),
      IF(LEFT(D287,2)="13",DATE(RIGHT(D287,4)-1,1,31),IF(MONTH(D287)=12,"13º "&amp;YEAR(D287),EOMONTH(D287,1)))))))</f>
        <v/>
      </c>
      <c r="E288" s="342"/>
      <c r="F288" s="257"/>
      <c r="G288" s="251"/>
      <c r="I288" s="262" t="str">
        <f ca="1">RESULTADOS!O286</f>
        <v/>
      </c>
      <c r="J288" s="261" t="str">
        <f t="shared" ca="1" si="8"/>
        <v/>
      </c>
      <c r="K288" s="333"/>
      <c r="L288" s="336">
        <f t="shared" si="9"/>
        <v>20000</v>
      </c>
      <c r="M288" s="336">
        <f ca="1">IFERROR(L288/VLOOKUP(D288,IPCA!$A$3:$D$340,4,FALSE),M287)</f>
        <v>6235.4057827315073</v>
      </c>
      <c r="N288" s="333"/>
    </row>
    <row r="289" spans="2:14" ht="15" x14ac:dyDescent="0.25">
      <c r="B289" s="251"/>
      <c r="C289" s="251"/>
      <c r="D289" s="258" t="str">
        <f ca="1">IF(D288="","",
IF(D288="13º "&amp;YEAR(RESULTADOS!$C$11),"",
IF(IFERROR(EOMONTH(D288,1)&gt;PREMISSAS!$C$3,"FALSO"),
   DATE(YEAR(D288)-1,1,31),
   IF(IF(ISTEXT(D288),RIGHT(D288,4)-1=YEAR(RESULTADOS!$C$11),YEAR(D288)-1=YEAR(RESULTADOS!$C$11)),
      IF(LEFT(D288,2)="13",EOMONTH(RESULTADOS!$C$11,0),IF(MONTH(D288)=12,"13º "&amp;YEAR(D288),EOMONTH(D288,1))),
      IF(LEFT(D288,2)="13",DATE(RIGHT(D288,4)-1,1,31),IF(MONTH(D288)=12,"13º "&amp;YEAR(D288),EOMONTH(D288,1)))))))</f>
        <v/>
      </c>
      <c r="E289" s="342"/>
      <c r="F289" s="257"/>
      <c r="G289" s="251"/>
      <c r="I289" s="262" t="str">
        <f ca="1">RESULTADOS!O287</f>
        <v/>
      </c>
      <c r="J289" s="261" t="str">
        <f t="shared" ca="1" si="8"/>
        <v/>
      </c>
      <c r="K289" s="333"/>
      <c r="L289" s="336">
        <f t="shared" si="9"/>
        <v>20000</v>
      </c>
      <c r="M289" s="336">
        <f ca="1">IFERROR(L289/VLOOKUP(D289,IPCA!$A$3:$D$340,4,FALSE),M288)</f>
        <v>6235.4057827315073</v>
      </c>
      <c r="N289" s="333"/>
    </row>
    <row r="290" spans="2:14" ht="15" x14ac:dyDescent="0.25">
      <c r="B290" s="251"/>
      <c r="C290" s="251"/>
      <c r="D290" s="258" t="str">
        <f ca="1">IF(D289="","",
IF(D289="13º "&amp;YEAR(RESULTADOS!$C$11),"",
IF(IFERROR(EOMONTH(D289,1)&gt;PREMISSAS!$C$3,"FALSO"),
   DATE(YEAR(D289)-1,1,31),
   IF(IF(ISTEXT(D289),RIGHT(D289,4)-1=YEAR(RESULTADOS!$C$11),YEAR(D289)-1=YEAR(RESULTADOS!$C$11)),
      IF(LEFT(D289,2)="13",EOMONTH(RESULTADOS!$C$11,0),IF(MONTH(D289)=12,"13º "&amp;YEAR(D289),EOMONTH(D289,1))),
      IF(LEFT(D289,2)="13",DATE(RIGHT(D289,4)-1,1,31),IF(MONTH(D289)=12,"13º "&amp;YEAR(D289),EOMONTH(D289,1)))))))</f>
        <v/>
      </c>
      <c r="E290" s="342"/>
      <c r="F290" s="257"/>
      <c r="G290" s="251"/>
      <c r="I290" s="262" t="str">
        <f ca="1">RESULTADOS!O288</f>
        <v/>
      </c>
      <c r="J290" s="261" t="str">
        <f t="shared" ca="1" si="8"/>
        <v/>
      </c>
      <c r="K290" s="333"/>
      <c r="L290" s="336">
        <f t="shared" si="9"/>
        <v>20000</v>
      </c>
      <c r="M290" s="336">
        <f ca="1">IFERROR(L290/VLOOKUP(D290,IPCA!$A$3:$D$340,4,FALSE),M289)</f>
        <v>6235.4057827315073</v>
      </c>
      <c r="N290" s="333"/>
    </row>
    <row r="291" spans="2:14" ht="15" x14ac:dyDescent="0.25">
      <c r="B291" s="251"/>
      <c r="C291" s="251"/>
      <c r="D291" s="258" t="str">
        <f ca="1">IF(D290="","",
IF(D290="13º "&amp;YEAR(RESULTADOS!$C$11),"",
IF(IFERROR(EOMONTH(D290,1)&gt;PREMISSAS!$C$3,"FALSO"),
   DATE(YEAR(D290)-1,1,31),
   IF(IF(ISTEXT(D290),RIGHT(D290,4)-1=YEAR(RESULTADOS!$C$11),YEAR(D290)-1=YEAR(RESULTADOS!$C$11)),
      IF(LEFT(D290,2)="13",EOMONTH(RESULTADOS!$C$11,0),IF(MONTH(D290)=12,"13º "&amp;YEAR(D290),EOMONTH(D290,1))),
      IF(LEFT(D290,2)="13",DATE(RIGHT(D290,4)-1,1,31),IF(MONTH(D290)=12,"13º "&amp;YEAR(D290),EOMONTH(D290,1)))))))</f>
        <v/>
      </c>
      <c r="E291" s="342"/>
      <c r="F291" s="257"/>
      <c r="G291" s="251"/>
      <c r="I291" s="262" t="str">
        <f ca="1">RESULTADOS!O289</f>
        <v/>
      </c>
      <c r="J291" s="261" t="str">
        <f t="shared" ca="1" si="8"/>
        <v/>
      </c>
      <c r="K291" s="333"/>
      <c r="L291" s="336">
        <f t="shared" si="9"/>
        <v>20000</v>
      </c>
      <c r="M291" s="336">
        <f ca="1">IFERROR(L291/VLOOKUP(D291,IPCA!$A$3:$D$340,4,FALSE),M290)</f>
        <v>6235.4057827315073</v>
      </c>
      <c r="N291" s="333"/>
    </row>
    <row r="292" spans="2:14" ht="15" x14ac:dyDescent="0.25">
      <c r="B292" s="251"/>
      <c r="C292" s="251"/>
      <c r="D292" s="258" t="str">
        <f ca="1">IF(D291="","",
IF(D291="13º "&amp;YEAR(RESULTADOS!$C$11),"",
IF(IFERROR(EOMONTH(D291,1)&gt;PREMISSAS!$C$3,"FALSO"),
   DATE(YEAR(D291)-1,1,31),
   IF(IF(ISTEXT(D291),RIGHT(D291,4)-1=YEAR(RESULTADOS!$C$11),YEAR(D291)-1=YEAR(RESULTADOS!$C$11)),
      IF(LEFT(D291,2)="13",EOMONTH(RESULTADOS!$C$11,0),IF(MONTH(D291)=12,"13º "&amp;YEAR(D291),EOMONTH(D291,1))),
      IF(LEFT(D291,2)="13",DATE(RIGHT(D291,4)-1,1,31),IF(MONTH(D291)=12,"13º "&amp;YEAR(D291),EOMONTH(D291,1)))))))</f>
        <v/>
      </c>
      <c r="E292" s="342"/>
      <c r="F292" s="257"/>
      <c r="G292" s="251"/>
      <c r="I292" s="262" t="str">
        <f ca="1">RESULTADOS!O290</f>
        <v/>
      </c>
      <c r="J292" s="261" t="str">
        <f t="shared" ca="1" si="8"/>
        <v/>
      </c>
      <c r="K292" s="333"/>
      <c r="L292" s="336">
        <f t="shared" si="9"/>
        <v>20000</v>
      </c>
      <c r="M292" s="336">
        <f ca="1">IFERROR(L292/VLOOKUP(D292,IPCA!$A$3:$D$340,4,FALSE),M291)</f>
        <v>6235.4057827315073</v>
      </c>
      <c r="N292" s="333"/>
    </row>
    <row r="293" spans="2:14" ht="15" x14ac:dyDescent="0.25">
      <c r="B293" s="251"/>
      <c r="C293" s="251"/>
      <c r="D293" s="258" t="str">
        <f ca="1">IF(D292="","",
IF(D292="13º "&amp;YEAR(RESULTADOS!$C$11),"",
IF(IFERROR(EOMONTH(D292,1)&gt;PREMISSAS!$C$3,"FALSO"),
   DATE(YEAR(D292)-1,1,31),
   IF(IF(ISTEXT(D292),RIGHT(D292,4)-1=YEAR(RESULTADOS!$C$11),YEAR(D292)-1=YEAR(RESULTADOS!$C$11)),
      IF(LEFT(D292,2)="13",EOMONTH(RESULTADOS!$C$11,0),IF(MONTH(D292)=12,"13º "&amp;YEAR(D292),EOMONTH(D292,1))),
      IF(LEFT(D292,2)="13",DATE(RIGHT(D292,4)-1,1,31),IF(MONTH(D292)=12,"13º "&amp;YEAR(D292),EOMONTH(D292,1)))))))</f>
        <v/>
      </c>
      <c r="E293" s="342"/>
      <c r="F293" s="257"/>
      <c r="G293" s="251"/>
      <c r="I293" s="262" t="str">
        <f ca="1">RESULTADOS!O291</f>
        <v/>
      </c>
      <c r="J293" s="261" t="str">
        <f t="shared" ca="1" si="8"/>
        <v/>
      </c>
      <c r="K293" s="333"/>
      <c r="L293" s="336">
        <f t="shared" si="9"/>
        <v>20000</v>
      </c>
      <c r="M293" s="336">
        <f ca="1">IFERROR(L293/VLOOKUP(D293,IPCA!$A$3:$D$340,4,FALSE),M292)</f>
        <v>6235.4057827315073</v>
      </c>
      <c r="N293" s="333"/>
    </row>
    <row r="294" spans="2:14" ht="15.6" x14ac:dyDescent="0.3">
      <c r="B294" s="251"/>
      <c r="C294" s="251"/>
      <c r="D294" s="258" t="str">
        <f ca="1">IF(D293="","",
IF(D293="13º "&amp;YEAR(RESULTADOS!$C$11),"",
IF(IFERROR(EOMONTH(D293,1)&gt;PREMISSAS!$C$3,"FALSO"),
   DATE(YEAR(D293)-1,1,31),
   IF(IF(ISTEXT(D293),RIGHT(D293,4)-1=YEAR(RESULTADOS!$C$11),YEAR(D293)-1=YEAR(RESULTADOS!$C$11)),
      IF(LEFT(D293,2)="13",EOMONTH(RESULTADOS!$C$11,0),IF(MONTH(D293)=12,"13º "&amp;YEAR(D293),EOMONTH(D293,1))),
      IF(LEFT(D293,2)="13",DATE(RIGHT(D293,4)-1,1,31),IF(MONTH(D293)=12,"13º "&amp;YEAR(D293),EOMONTH(D293,1)))))))</f>
        <v/>
      </c>
      <c r="E294" s="342"/>
      <c r="F294" s="257"/>
      <c r="G294" s="251"/>
      <c r="I294" s="262" t="str">
        <f ca="1">RESULTADOS!O292</f>
        <v/>
      </c>
      <c r="J294" s="261" t="str">
        <f t="shared" ca="1" si="8"/>
        <v/>
      </c>
      <c r="K294" s="333"/>
      <c r="L294" s="336"/>
      <c r="N294" s="333"/>
    </row>
    <row r="295" spans="2:14" ht="15.6" x14ac:dyDescent="0.3">
      <c r="B295" s="251"/>
      <c r="C295" s="251"/>
      <c r="D295" s="258" t="str">
        <f ca="1">IF(D294="","",
IF(D294="13º "&amp;YEAR(RESULTADOS!$C$11),"",
IF(IFERROR(EOMONTH(D294,1)&gt;PREMISSAS!$C$3,"FALSO"),
   DATE(YEAR(D294)-1,1,31),
   IF(IF(ISTEXT(D294),RIGHT(D294,4)-1=YEAR(RESULTADOS!$C$11),YEAR(D294)-1=YEAR(RESULTADOS!$C$11)),
      IF(LEFT(D294,2)="13",EOMONTH(RESULTADOS!$C$11,0),IF(MONTH(D294)=12,"13º "&amp;YEAR(D294),EOMONTH(D294,1))),
      IF(LEFT(D294,2)="13",DATE(RIGHT(D294,4)-1,1,31),IF(MONTH(D294)=12,"13º "&amp;YEAR(D294),EOMONTH(D294,1)))))))</f>
        <v/>
      </c>
      <c r="E295" s="342"/>
      <c r="F295" s="257"/>
      <c r="G295" s="251"/>
      <c r="I295" s="262" t="str">
        <f ca="1">RESULTADOS!O293</f>
        <v/>
      </c>
      <c r="J295" s="261" t="str">
        <f t="shared" ca="1" si="8"/>
        <v/>
      </c>
      <c r="K295" s="333"/>
      <c r="L295" s="336"/>
      <c r="N295" s="333"/>
    </row>
    <row r="296" spans="2:14" ht="15.6" x14ac:dyDescent="0.3">
      <c r="B296" s="251"/>
      <c r="C296" s="251"/>
      <c r="D296" s="258" t="str">
        <f ca="1">IF(D295="","",
IF(D295="13º "&amp;YEAR(RESULTADOS!$C$11),"",
IF(IFERROR(EOMONTH(D295,1)&gt;PREMISSAS!$C$3,"FALSO"),
   DATE(YEAR(D295)-1,1,31),
   IF(IF(ISTEXT(D295),RIGHT(D295,4)-1=YEAR(RESULTADOS!$C$11),YEAR(D295)-1=YEAR(RESULTADOS!$C$11)),
      IF(LEFT(D295,2)="13",EOMONTH(RESULTADOS!$C$11,0),IF(MONTH(D295)=12,"13º "&amp;YEAR(D295),EOMONTH(D295,1))),
      IF(LEFT(D295,2)="13",DATE(RIGHT(D295,4)-1,1,31),IF(MONTH(D295)=12,"13º "&amp;YEAR(D295),EOMONTH(D295,1)))))))</f>
        <v/>
      </c>
      <c r="E296" s="342"/>
      <c r="F296" s="257"/>
      <c r="G296" s="251"/>
      <c r="I296" s="262" t="str">
        <f ca="1">RESULTADOS!O294</f>
        <v/>
      </c>
      <c r="J296" s="261" t="str">
        <f t="shared" ca="1" si="8"/>
        <v/>
      </c>
      <c r="K296" s="333"/>
      <c r="L296" s="336"/>
      <c r="N296" s="333"/>
    </row>
    <row r="297" spans="2:14" ht="15.6" x14ac:dyDescent="0.3">
      <c r="B297" s="251"/>
      <c r="C297" s="251"/>
      <c r="D297" s="258" t="str">
        <f ca="1">IF(D296="","",
IF(D296="13º "&amp;YEAR(RESULTADOS!$C$11),"",
IF(IFERROR(EOMONTH(D296,1)&gt;PREMISSAS!$C$3,"FALSO"),
   DATE(YEAR(D296)-1,1,31),
   IF(IF(ISTEXT(D296),RIGHT(D296,4)-1=YEAR(RESULTADOS!$C$11),YEAR(D296)-1=YEAR(RESULTADOS!$C$11)),
      IF(LEFT(D296,2)="13",EOMONTH(RESULTADOS!$C$11,0),IF(MONTH(D296)=12,"13º "&amp;YEAR(D296),EOMONTH(D296,1))),
      IF(LEFT(D296,2)="13",DATE(RIGHT(D296,4)-1,1,31),IF(MONTH(D296)=12,"13º "&amp;YEAR(D296),EOMONTH(D296,1)))))))</f>
        <v/>
      </c>
      <c r="E297" s="342"/>
      <c r="F297" s="257"/>
      <c r="G297" s="251"/>
      <c r="I297" s="262" t="str">
        <f ca="1">RESULTADOS!O295</f>
        <v/>
      </c>
      <c r="J297" s="261" t="str">
        <f t="shared" ca="1" si="8"/>
        <v/>
      </c>
      <c r="K297" s="333"/>
      <c r="L297" s="336"/>
      <c r="N297" s="333"/>
    </row>
    <row r="298" spans="2:14" ht="15.6" x14ac:dyDescent="0.3">
      <c r="B298" s="251"/>
      <c r="C298" s="251"/>
      <c r="D298" s="258" t="str">
        <f ca="1">IF(D297="","",
IF(D297="13º "&amp;YEAR(RESULTADOS!$C$11),"",
IF(IFERROR(EOMONTH(D297,1)&gt;PREMISSAS!$C$3,"FALSO"),
   DATE(YEAR(D297)-1,1,31),
   IF(IF(ISTEXT(D297),RIGHT(D297,4)-1=YEAR(RESULTADOS!$C$11),YEAR(D297)-1=YEAR(RESULTADOS!$C$11)),
      IF(LEFT(D297,2)="13",EOMONTH(RESULTADOS!$C$11,0),IF(MONTH(D297)=12,"13º "&amp;YEAR(D297),EOMONTH(D297,1))),
      IF(LEFT(D297,2)="13",DATE(RIGHT(D297,4)-1,1,31),IF(MONTH(D297)=12,"13º "&amp;YEAR(D297),EOMONTH(D297,1)))))))</f>
        <v/>
      </c>
      <c r="E298" s="342"/>
      <c r="F298" s="257"/>
      <c r="G298" s="251"/>
      <c r="I298" s="262" t="str">
        <f ca="1">RESULTADOS!O296</f>
        <v/>
      </c>
      <c r="J298" s="261" t="str">
        <f t="shared" ca="1" si="8"/>
        <v/>
      </c>
      <c r="K298" s="333"/>
      <c r="L298" s="336"/>
      <c r="N298" s="333"/>
    </row>
    <row r="299" spans="2:14" ht="15.6" x14ac:dyDescent="0.3">
      <c r="B299" s="251"/>
      <c r="C299" s="251"/>
      <c r="D299" s="258" t="str">
        <f ca="1">IF(D298="","",
IF(D298="13º "&amp;YEAR(RESULTADOS!$C$11),"",
IF(IFERROR(EOMONTH(D298,1)&gt;PREMISSAS!$C$3,"FALSO"),
   DATE(YEAR(D298)-1,1,31),
   IF(IF(ISTEXT(D298),RIGHT(D298,4)-1=YEAR(RESULTADOS!$C$11),YEAR(D298)-1=YEAR(RESULTADOS!$C$11)),
      IF(LEFT(D298,2)="13",EOMONTH(RESULTADOS!$C$11,0),IF(MONTH(D298)=12,"13º "&amp;YEAR(D298),EOMONTH(D298,1))),
      IF(LEFT(D298,2)="13",DATE(RIGHT(D298,4)-1,1,31),IF(MONTH(D298)=12,"13º "&amp;YEAR(D298),EOMONTH(D298,1)))))))</f>
        <v/>
      </c>
      <c r="E299" s="342"/>
      <c r="F299" s="257"/>
      <c r="G299" s="251"/>
      <c r="I299" s="262" t="str">
        <f ca="1">RESULTADOS!O297</f>
        <v/>
      </c>
      <c r="J299" s="261" t="str">
        <f t="shared" ca="1" si="8"/>
        <v/>
      </c>
      <c r="K299" s="333"/>
      <c r="L299" s="336"/>
      <c r="N299" s="333"/>
    </row>
    <row r="300" spans="2:14" ht="15.6" x14ac:dyDescent="0.3">
      <c r="B300" s="251"/>
      <c r="C300" s="251"/>
      <c r="D300" s="258" t="str">
        <f ca="1">IF(D299="","",
IF(D299="13º "&amp;YEAR(RESULTADOS!$C$11),"",
IF(IFERROR(EOMONTH(D299,1)&gt;PREMISSAS!$C$3,"FALSO"),
   DATE(YEAR(D299)-1,1,31),
   IF(IF(ISTEXT(D299),RIGHT(D299,4)-1=YEAR(RESULTADOS!$C$11),YEAR(D299)-1=YEAR(RESULTADOS!$C$11)),
      IF(LEFT(D299,2)="13",EOMONTH(RESULTADOS!$C$11,0),IF(MONTH(D299)=12,"13º "&amp;YEAR(D299),EOMONTH(D299,1))),
      IF(LEFT(D299,2)="13",DATE(RIGHT(D299,4)-1,1,31),IF(MONTH(D299)=12,"13º "&amp;YEAR(D299),EOMONTH(D299,1)))))))</f>
        <v/>
      </c>
      <c r="E300" s="342"/>
      <c r="F300" s="257"/>
      <c r="G300" s="251"/>
      <c r="I300" s="262" t="str">
        <f ca="1">RESULTADOS!O298</f>
        <v/>
      </c>
      <c r="J300" s="261" t="str">
        <f t="shared" ca="1" si="8"/>
        <v/>
      </c>
      <c r="K300" s="333"/>
      <c r="L300" s="336"/>
      <c r="N300" s="333"/>
    </row>
    <row r="301" spans="2:14" ht="15.6" x14ac:dyDescent="0.3">
      <c r="B301" s="251"/>
      <c r="C301" s="251"/>
      <c r="D301" s="258" t="str">
        <f ca="1">IF(D300="","",
IF(D300="13º "&amp;YEAR(RESULTADOS!$C$11),"",
IF(IFERROR(EOMONTH(D300,1)&gt;PREMISSAS!$C$3,"FALSO"),
   DATE(YEAR(D300)-1,1,31),
   IF(IF(ISTEXT(D300),RIGHT(D300,4)-1=YEAR(RESULTADOS!$C$11),YEAR(D300)-1=YEAR(RESULTADOS!$C$11)),
      IF(LEFT(D300,2)="13",EOMONTH(RESULTADOS!$C$11,0),IF(MONTH(D300)=12,"13º "&amp;YEAR(D300),EOMONTH(D300,1))),
      IF(LEFT(D300,2)="13",DATE(RIGHT(D300,4)-1,1,31),IF(MONTH(D300)=12,"13º "&amp;YEAR(D300),EOMONTH(D300,1)))))))</f>
        <v/>
      </c>
      <c r="E301" s="342"/>
      <c r="F301" s="257"/>
      <c r="G301" s="251"/>
      <c r="I301" s="262" t="str">
        <f ca="1">RESULTADOS!O299</f>
        <v/>
      </c>
      <c r="J301" s="261" t="str">
        <f t="shared" ca="1" si="8"/>
        <v/>
      </c>
      <c r="K301" s="333"/>
      <c r="L301" s="336"/>
      <c r="N301" s="333"/>
    </row>
    <row r="302" spans="2:14" ht="15.6" x14ac:dyDescent="0.3">
      <c r="B302" s="251"/>
      <c r="C302" s="251"/>
      <c r="D302" s="258" t="str">
        <f ca="1">IF(D301="","",
IF(D301="13º "&amp;YEAR(RESULTADOS!$C$11),"",
IF(IFERROR(EOMONTH(D301,1)&gt;PREMISSAS!$C$3,"FALSO"),
   DATE(YEAR(D301)-1,1,31),
   IF(IF(ISTEXT(D301),RIGHT(D301,4)-1=YEAR(RESULTADOS!$C$11),YEAR(D301)-1=YEAR(RESULTADOS!$C$11)),
      IF(LEFT(D301,2)="13",EOMONTH(RESULTADOS!$C$11,0),IF(MONTH(D301)=12,"13º "&amp;YEAR(D301),EOMONTH(D301,1))),
      IF(LEFT(D301,2)="13",DATE(RIGHT(D301,4)-1,1,31),IF(MONTH(D301)=12,"13º "&amp;YEAR(D301),EOMONTH(D301,1)))))))</f>
        <v/>
      </c>
      <c r="E302" s="342"/>
      <c r="F302" s="257"/>
      <c r="G302" s="251"/>
      <c r="I302" s="262" t="str">
        <f ca="1">RESULTADOS!O300</f>
        <v/>
      </c>
      <c r="J302" s="261" t="str">
        <f t="shared" ca="1" si="8"/>
        <v/>
      </c>
      <c r="K302" s="333"/>
      <c r="L302" s="336"/>
      <c r="N302" s="333"/>
    </row>
    <row r="303" spans="2:14" ht="15.6" x14ac:dyDescent="0.3">
      <c r="B303" s="251"/>
      <c r="C303" s="251"/>
      <c r="D303" s="258" t="str">
        <f ca="1">IF(D302="","",
IF(D302="13º "&amp;YEAR(RESULTADOS!$C$11),"",
IF(IFERROR(EOMONTH(D302,1)&gt;PREMISSAS!$C$3,"FALSO"),
   DATE(YEAR(D302)-1,1,31),
   IF(IF(ISTEXT(D302),RIGHT(D302,4)-1=YEAR(RESULTADOS!$C$11),YEAR(D302)-1=YEAR(RESULTADOS!$C$11)),
      IF(LEFT(D302,2)="13",EOMONTH(RESULTADOS!$C$11,0),IF(MONTH(D302)=12,"13º "&amp;YEAR(D302),EOMONTH(D302,1))),
      IF(LEFT(D302,2)="13",DATE(RIGHT(D302,4)-1,1,31),IF(MONTH(D302)=12,"13º "&amp;YEAR(D302),EOMONTH(D302,1)))))))</f>
        <v/>
      </c>
      <c r="E303" s="342"/>
      <c r="F303" s="257"/>
      <c r="G303" s="251"/>
      <c r="I303" s="262" t="str">
        <f ca="1">RESULTADOS!O301</f>
        <v/>
      </c>
      <c r="J303" s="261" t="str">
        <f t="shared" ca="1" si="8"/>
        <v/>
      </c>
      <c r="K303" s="333"/>
      <c r="L303" s="336"/>
      <c r="N303" s="333"/>
    </row>
    <row r="304" spans="2:14" ht="15.6" x14ac:dyDescent="0.3">
      <c r="B304" s="251"/>
      <c r="C304" s="251"/>
      <c r="D304" s="258" t="str">
        <f ca="1">IF(D303="","",
IF(D303="13º "&amp;YEAR(RESULTADOS!$C$11),"",
IF(IFERROR(EOMONTH(D303,1)&gt;PREMISSAS!$C$3,"FALSO"),
   DATE(YEAR(D303)-1,1,31),
   IF(IF(ISTEXT(D303),RIGHT(D303,4)-1=YEAR(RESULTADOS!$C$11),YEAR(D303)-1=YEAR(RESULTADOS!$C$11)),
      IF(LEFT(D303,2)="13",EOMONTH(RESULTADOS!$C$11,0),IF(MONTH(D303)=12,"13º "&amp;YEAR(D303),EOMONTH(D303,1))),
      IF(LEFT(D303,2)="13",DATE(RIGHT(D303,4)-1,1,31),IF(MONTH(D303)=12,"13º "&amp;YEAR(D303),EOMONTH(D303,1)))))))</f>
        <v/>
      </c>
      <c r="E304" s="342"/>
      <c r="F304" s="257"/>
      <c r="G304" s="251"/>
      <c r="I304" s="262" t="str">
        <f ca="1">RESULTADOS!O302</f>
        <v/>
      </c>
      <c r="J304" s="261" t="str">
        <f t="shared" ca="1" si="8"/>
        <v/>
      </c>
      <c r="K304" s="333"/>
      <c r="L304" s="336"/>
      <c r="N304" s="333"/>
    </row>
    <row r="305" spans="2:14" ht="15.6" x14ac:dyDescent="0.3">
      <c r="B305" s="251"/>
      <c r="C305" s="251"/>
      <c r="D305" s="258" t="str">
        <f ca="1">IF(D304="","",
IF(D304="13º "&amp;YEAR(RESULTADOS!$C$11),"",
IF(IFERROR(EOMONTH(D304,1)&gt;PREMISSAS!$C$3,"FALSO"),
   DATE(YEAR(D304)-1,1,31),
   IF(IF(ISTEXT(D304),RIGHT(D304,4)-1=YEAR(RESULTADOS!$C$11),YEAR(D304)-1=YEAR(RESULTADOS!$C$11)),
      IF(LEFT(D304,2)="13",EOMONTH(RESULTADOS!$C$11,0),IF(MONTH(D304)=12,"13º "&amp;YEAR(D304),EOMONTH(D304,1))),
      IF(LEFT(D304,2)="13",DATE(RIGHT(D304,4)-1,1,31),IF(MONTH(D304)=12,"13º "&amp;YEAR(D304),EOMONTH(D304,1)))))))</f>
        <v/>
      </c>
      <c r="E305" s="342"/>
      <c r="F305" s="257"/>
      <c r="G305" s="251"/>
      <c r="I305" s="262" t="str">
        <f ca="1">RESULTADOS!O303</f>
        <v/>
      </c>
      <c r="J305" s="261" t="str">
        <f t="shared" ca="1" si="8"/>
        <v/>
      </c>
      <c r="K305" s="333"/>
      <c r="L305" s="336"/>
      <c r="N305" s="333"/>
    </row>
    <row r="306" spans="2:14" ht="15.6" x14ac:dyDescent="0.3">
      <c r="B306" s="251"/>
      <c r="C306" s="251"/>
      <c r="D306" s="258" t="str">
        <f ca="1">IF(D305="","",
IF(D305="13º "&amp;YEAR(RESULTADOS!$C$11),"",
IF(IFERROR(EOMONTH(D305,1)&gt;PREMISSAS!$C$3,"FALSO"),
   DATE(YEAR(D305)-1,1,31),
   IF(IF(ISTEXT(D305),RIGHT(D305,4)-1=YEAR(RESULTADOS!$C$11),YEAR(D305)-1=YEAR(RESULTADOS!$C$11)),
      IF(LEFT(D305,2)="13",EOMONTH(RESULTADOS!$C$11,0),IF(MONTH(D305)=12,"13º "&amp;YEAR(D305),EOMONTH(D305,1))),
      IF(LEFT(D305,2)="13",DATE(RIGHT(D305,4)-1,1,31),IF(MONTH(D305)=12,"13º "&amp;YEAR(D305),EOMONTH(D305,1)))))))</f>
        <v/>
      </c>
      <c r="E306" s="342"/>
      <c r="F306" s="257"/>
      <c r="G306" s="251"/>
      <c r="I306" s="262" t="str">
        <f ca="1">RESULTADOS!O304</f>
        <v/>
      </c>
      <c r="J306" s="261" t="str">
        <f t="shared" ca="1" si="8"/>
        <v/>
      </c>
      <c r="K306" s="333"/>
      <c r="L306" s="336"/>
      <c r="N306" s="333"/>
    </row>
    <row r="307" spans="2:14" ht="15.6" x14ac:dyDescent="0.3">
      <c r="B307" s="251"/>
      <c r="C307" s="251"/>
      <c r="D307" s="258" t="str">
        <f ca="1">IF(D306="","",
IF(D306="13º "&amp;YEAR(RESULTADOS!$C$11),"",
IF(IFERROR(EOMONTH(D306,1)&gt;PREMISSAS!$C$3,"FALSO"),
   DATE(YEAR(D306)-1,1,31),
   IF(IF(ISTEXT(D306),RIGHT(D306,4)-1=YEAR(RESULTADOS!$C$11),YEAR(D306)-1=YEAR(RESULTADOS!$C$11)),
      IF(LEFT(D306,2)="13",EOMONTH(RESULTADOS!$C$11,0),IF(MONTH(D306)=12,"13º "&amp;YEAR(D306),EOMONTH(D306,1))),
      IF(LEFT(D306,2)="13",DATE(RIGHT(D306,4)-1,1,31),IF(MONTH(D306)=12,"13º "&amp;YEAR(D306),EOMONTH(D306,1)))))))</f>
        <v/>
      </c>
      <c r="E307" s="342"/>
      <c r="F307" s="257"/>
      <c r="G307" s="251"/>
      <c r="I307" s="262" t="str">
        <f ca="1">RESULTADOS!O305</f>
        <v/>
      </c>
      <c r="J307" s="261" t="str">
        <f t="shared" ca="1" si="8"/>
        <v/>
      </c>
      <c r="K307" s="333"/>
      <c r="L307" s="336"/>
      <c r="N307" s="333"/>
    </row>
    <row r="308" spans="2:14" ht="15.6" x14ac:dyDescent="0.3">
      <c r="B308" s="251"/>
      <c r="C308" s="251"/>
      <c r="D308" s="258" t="str">
        <f ca="1">IF(D307="","",
IF(D307="13º "&amp;YEAR(RESULTADOS!$C$11),"",
IF(IFERROR(EOMONTH(D307,1)&gt;PREMISSAS!$C$3,"FALSO"),
   DATE(YEAR(D307)-1,1,31),
   IF(IF(ISTEXT(D307),RIGHT(D307,4)-1=YEAR(RESULTADOS!$C$11),YEAR(D307)-1=YEAR(RESULTADOS!$C$11)),
      IF(LEFT(D307,2)="13",EOMONTH(RESULTADOS!$C$11,0),IF(MONTH(D307)=12,"13º "&amp;YEAR(D307),EOMONTH(D307,1))),
      IF(LEFT(D307,2)="13",DATE(RIGHT(D307,4)-1,1,31),IF(MONTH(D307)=12,"13º "&amp;YEAR(D307),EOMONTH(D307,1)))))))</f>
        <v/>
      </c>
      <c r="E308" s="342"/>
      <c r="F308" s="257"/>
      <c r="G308" s="251"/>
      <c r="I308" s="262" t="str">
        <f ca="1">RESULTADOS!O306</f>
        <v/>
      </c>
      <c r="J308" s="261" t="str">
        <f t="shared" ca="1" si="8"/>
        <v/>
      </c>
      <c r="K308" s="333"/>
      <c r="L308" s="336"/>
      <c r="N308" s="333"/>
    </row>
    <row r="309" spans="2:14" ht="15.6" x14ac:dyDescent="0.3">
      <c r="B309" s="251"/>
      <c r="C309" s="251"/>
      <c r="D309" s="258" t="str">
        <f ca="1">IF(D308="","",
IF(D308="13º "&amp;YEAR(RESULTADOS!$C$11),"",
IF(IFERROR(EOMONTH(D308,1)&gt;PREMISSAS!$C$3,"FALSO"),
   DATE(YEAR(D308)-1,1,31),
   IF(IF(ISTEXT(D308),RIGHT(D308,4)-1=YEAR(RESULTADOS!$C$11),YEAR(D308)-1=YEAR(RESULTADOS!$C$11)),
      IF(LEFT(D308,2)="13",EOMONTH(RESULTADOS!$C$11,0),IF(MONTH(D308)=12,"13º "&amp;YEAR(D308),EOMONTH(D308,1))),
      IF(LEFT(D308,2)="13",DATE(RIGHT(D308,4)-1,1,31),IF(MONTH(D308)=12,"13º "&amp;YEAR(D308),EOMONTH(D308,1)))))))</f>
        <v/>
      </c>
      <c r="E309" s="342"/>
      <c r="F309" s="257"/>
      <c r="G309" s="251"/>
      <c r="I309" s="262" t="str">
        <f ca="1">RESULTADOS!O307</f>
        <v/>
      </c>
      <c r="J309" s="261" t="str">
        <f t="shared" ca="1" si="8"/>
        <v/>
      </c>
      <c r="K309" s="333"/>
      <c r="L309" s="336"/>
      <c r="N309" s="333"/>
    </row>
    <row r="310" spans="2:14" ht="15.6" x14ac:dyDescent="0.3">
      <c r="B310" s="251"/>
      <c r="C310" s="251"/>
      <c r="D310" s="258" t="str">
        <f ca="1">IF(D309="","",
IF(D309="13º "&amp;YEAR(RESULTADOS!$C$11),"",
IF(IFERROR(EOMONTH(D309,1)&gt;PREMISSAS!$C$3,"FALSO"),
   DATE(YEAR(D309)-1,1,31),
   IF(IF(ISTEXT(D309),RIGHT(D309,4)-1=YEAR(RESULTADOS!$C$11),YEAR(D309)-1=YEAR(RESULTADOS!$C$11)),
      IF(LEFT(D309,2)="13",EOMONTH(RESULTADOS!$C$11,0),IF(MONTH(D309)=12,"13º "&amp;YEAR(D309),EOMONTH(D309,1))),
      IF(LEFT(D309,2)="13",DATE(RIGHT(D309,4)-1,1,31),IF(MONTH(D309)=12,"13º "&amp;YEAR(D309),EOMONTH(D309,1)))))))</f>
        <v/>
      </c>
      <c r="E310" s="342"/>
      <c r="F310" s="257"/>
      <c r="G310" s="251"/>
      <c r="I310" s="262" t="str">
        <f ca="1">RESULTADOS!O308</f>
        <v/>
      </c>
      <c r="J310" s="261" t="str">
        <f t="shared" ca="1" si="8"/>
        <v/>
      </c>
      <c r="K310" s="333"/>
      <c r="L310" s="336"/>
      <c r="N310" s="333"/>
    </row>
    <row r="311" spans="2:14" ht="15.6" x14ac:dyDescent="0.3">
      <c r="B311" s="251"/>
      <c r="C311" s="251"/>
      <c r="D311" s="258" t="str">
        <f ca="1">IF(D310="","",
IF(D310="13º "&amp;YEAR(RESULTADOS!$C$11),"",
IF(IFERROR(EOMONTH(D310,1)&gt;PREMISSAS!$C$3,"FALSO"),
   DATE(YEAR(D310)-1,1,31),
   IF(IF(ISTEXT(D310),RIGHT(D310,4)-1=YEAR(RESULTADOS!$C$11),YEAR(D310)-1=YEAR(RESULTADOS!$C$11)),
      IF(LEFT(D310,2)="13",EOMONTH(RESULTADOS!$C$11,0),IF(MONTH(D310)=12,"13º "&amp;YEAR(D310),EOMONTH(D310,1))),
      IF(LEFT(D310,2)="13",DATE(RIGHT(D310,4)-1,1,31),IF(MONTH(D310)=12,"13º "&amp;YEAR(D310),EOMONTH(D310,1)))))))</f>
        <v/>
      </c>
      <c r="E311" s="342"/>
      <c r="F311" s="257"/>
      <c r="G311" s="251"/>
      <c r="I311" s="262" t="str">
        <f ca="1">RESULTADOS!O309</f>
        <v/>
      </c>
      <c r="J311" s="261" t="str">
        <f t="shared" ca="1" si="8"/>
        <v/>
      </c>
      <c r="K311" s="333"/>
      <c r="L311" s="336"/>
      <c r="N311" s="333"/>
    </row>
    <row r="312" spans="2:14" ht="15.6" x14ac:dyDescent="0.3">
      <c r="B312" s="251"/>
      <c r="C312" s="251"/>
      <c r="D312" s="258" t="str">
        <f ca="1">IF(D311="","",
IF(D311="13º "&amp;YEAR(RESULTADOS!$C$11),"",
IF(IFERROR(EOMONTH(D311,1)&gt;PREMISSAS!$C$3,"FALSO"),
   DATE(YEAR(D311)-1,1,31),
   IF(IF(ISTEXT(D311),RIGHT(D311,4)-1=YEAR(RESULTADOS!$C$11),YEAR(D311)-1=YEAR(RESULTADOS!$C$11)),
      IF(LEFT(D311,2)="13",EOMONTH(RESULTADOS!$C$11,0),IF(MONTH(D311)=12,"13º "&amp;YEAR(D311),EOMONTH(D311,1))),
      IF(LEFT(D311,2)="13",DATE(RIGHT(D311,4)-1,1,31),IF(MONTH(D311)=12,"13º "&amp;YEAR(D311),EOMONTH(D311,1)))))))</f>
        <v/>
      </c>
      <c r="E312" s="342"/>
      <c r="F312" s="257"/>
      <c r="G312" s="251"/>
      <c r="I312" s="262" t="str">
        <f ca="1">RESULTADOS!O310</f>
        <v/>
      </c>
      <c r="J312" s="261" t="str">
        <f t="shared" ca="1" si="8"/>
        <v/>
      </c>
      <c r="K312" s="333"/>
      <c r="L312" s="336"/>
      <c r="N312" s="333"/>
    </row>
    <row r="313" spans="2:14" ht="15.6" x14ac:dyDescent="0.3">
      <c r="B313" s="251"/>
      <c r="C313" s="251"/>
      <c r="D313" s="258" t="str">
        <f ca="1">IF(D312="","",
IF(D312="13º "&amp;YEAR(RESULTADOS!$C$11),"",
IF(IFERROR(EOMONTH(D312,1)&gt;PREMISSAS!$C$3,"FALSO"),
   DATE(YEAR(D312)-1,1,31),
   IF(IF(ISTEXT(D312),RIGHT(D312,4)-1=YEAR(RESULTADOS!$C$11),YEAR(D312)-1=YEAR(RESULTADOS!$C$11)),
      IF(LEFT(D312,2)="13",EOMONTH(RESULTADOS!$C$11,0),IF(MONTH(D312)=12,"13º "&amp;YEAR(D312),EOMONTH(D312,1))),
      IF(LEFT(D312,2)="13",DATE(RIGHT(D312,4)-1,1,31),IF(MONTH(D312)=12,"13º "&amp;YEAR(D312),EOMONTH(D312,1)))))))</f>
        <v/>
      </c>
      <c r="E313" s="342"/>
      <c r="F313" s="257"/>
      <c r="G313" s="251"/>
      <c r="I313" s="262" t="str">
        <f ca="1">RESULTADOS!O311</f>
        <v/>
      </c>
      <c r="J313" s="261" t="str">
        <f t="shared" ca="1" si="8"/>
        <v/>
      </c>
      <c r="K313" s="333"/>
      <c r="L313" s="336"/>
      <c r="N313" s="333"/>
    </row>
    <row r="314" spans="2:14" ht="15.6" x14ac:dyDescent="0.3">
      <c r="B314" s="251"/>
      <c r="C314" s="251"/>
      <c r="D314" s="258" t="str">
        <f ca="1">IF(D313="","",
IF(D313="13º "&amp;YEAR(RESULTADOS!$C$11),"",
IF(IFERROR(EOMONTH(D313,1)&gt;PREMISSAS!$C$3,"FALSO"),
   DATE(YEAR(D313)-1,1,31),
   IF(IF(ISTEXT(D313),RIGHT(D313,4)-1=YEAR(RESULTADOS!$C$11),YEAR(D313)-1=YEAR(RESULTADOS!$C$11)),
      IF(LEFT(D313,2)="13",EOMONTH(RESULTADOS!$C$11,0),IF(MONTH(D313)=12,"13º "&amp;YEAR(D313),EOMONTH(D313,1))),
      IF(LEFT(D313,2)="13",DATE(RIGHT(D313,4)-1,1,31),IF(MONTH(D313)=12,"13º "&amp;YEAR(D313),EOMONTH(D313,1)))))))</f>
        <v/>
      </c>
      <c r="E314" s="342"/>
      <c r="F314" s="257"/>
      <c r="G314" s="251"/>
      <c r="I314" s="262" t="str">
        <f ca="1">RESULTADOS!O312</f>
        <v/>
      </c>
      <c r="J314" s="261" t="str">
        <f t="shared" ca="1" si="8"/>
        <v/>
      </c>
      <c r="K314" s="333"/>
      <c r="L314" s="336"/>
      <c r="N314" s="333"/>
    </row>
    <row r="315" spans="2:14" ht="15.6" x14ac:dyDescent="0.3">
      <c r="B315" s="251"/>
      <c r="C315" s="251"/>
      <c r="D315" s="258" t="str">
        <f ca="1">IF(D314="","",
IF(D314="13º "&amp;YEAR(RESULTADOS!$C$11),"",
IF(IFERROR(EOMONTH(D314,1)&gt;PREMISSAS!$C$3,"FALSO"),
   DATE(YEAR(D314)-1,1,31),
   IF(IF(ISTEXT(D314),RIGHT(D314,4)-1=YEAR(RESULTADOS!$C$11),YEAR(D314)-1=YEAR(RESULTADOS!$C$11)),
      IF(LEFT(D314,2)="13",EOMONTH(RESULTADOS!$C$11,0),IF(MONTH(D314)=12,"13º "&amp;YEAR(D314),EOMONTH(D314,1))),
      IF(LEFT(D314,2)="13",DATE(RIGHT(D314,4)-1,1,31),IF(MONTH(D314)=12,"13º "&amp;YEAR(D314),EOMONTH(D314,1)))))))</f>
        <v/>
      </c>
      <c r="E315" s="342"/>
      <c r="F315" s="257"/>
      <c r="G315" s="251"/>
      <c r="I315" s="262" t="str">
        <f ca="1">RESULTADOS!O313</f>
        <v/>
      </c>
      <c r="J315" s="261" t="str">
        <f t="shared" ca="1" si="8"/>
        <v/>
      </c>
      <c r="K315" s="333"/>
      <c r="L315" s="336"/>
      <c r="N315" s="333"/>
    </row>
    <row r="316" spans="2:14" ht="15.6" x14ac:dyDescent="0.3">
      <c r="B316" s="251"/>
      <c r="C316" s="251"/>
      <c r="D316" s="258" t="str">
        <f ca="1">IF(D315="","",
IF(D315="13º "&amp;YEAR(RESULTADOS!$C$11),"",
IF(IFERROR(EOMONTH(D315,1)&gt;PREMISSAS!$C$3,"FALSO"),
   DATE(YEAR(D315)-1,1,31),
   IF(IF(ISTEXT(D315),RIGHT(D315,4)-1=YEAR(RESULTADOS!$C$11),YEAR(D315)-1=YEAR(RESULTADOS!$C$11)),
      IF(LEFT(D315,2)="13",EOMONTH(RESULTADOS!$C$11,0),IF(MONTH(D315)=12,"13º "&amp;YEAR(D315),EOMONTH(D315,1))),
      IF(LEFT(D315,2)="13",DATE(RIGHT(D315,4)-1,1,31),IF(MONTH(D315)=12,"13º "&amp;YEAR(D315),EOMONTH(D315,1)))))))</f>
        <v/>
      </c>
      <c r="E316" s="342"/>
      <c r="F316" s="257"/>
      <c r="G316" s="251"/>
      <c r="I316" s="262" t="str">
        <f ca="1">RESULTADOS!O314</f>
        <v/>
      </c>
      <c r="J316" s="261" t="str">
        <f t="shared" ca="1" si="8"/>
        <v/>
      </c>
      <c r="K316" s="333"/>
      <c r="L316" s="336"/>
      <c r="N316" s="333"/>
    </row>
    <row r="317" spans="2:14" ht="15.6" x14ac:dyDescent="0.3">
      <c r="B317" s="251"/>
      <c r="C317" s="251"/>
      <c r="D317" s="258" t="str">
        <f ca="1">IF(D316="","",
IF(D316="13º "&amp;YEAR(RESULTADOS!$C$11),"",
IF(IFERROR(EOMONTH(D316,1)&gt;PREMISSAS!$C$3,"FALSO"),
   DATE(YEAR(D316)-1,1,31),
   IF(IF(ISTEXT(D316),RIGHT(D316,4)-1=YEAR(RESULTADOS!$C$11),YEAR(D316)-1=YEAR(RESULTADOS!$C$11)),
      IF(LEFT(D316,2)="13",EOMONTH(RESULTADOS!$C$11,0),IF(MONTH(D316)=12,"13º "&amp;YEAR(D316),EOMONTH(D316,1))),
      IF(LEFT(D316,2)="13",DATE(RIGHT(D316,4)-1,1,31),IF(MONTH(D316)=12,"13º "&amp;YEAR(D316),EOMONTH(D316,1)))))))</f>
        <v/>
      </c>
      <c r="E317" s="342"/>
      <c r="F317" s="257"/>
      <c r="G317" s="251"/>
      <c r="I317" s="262" t="str">
        <f ca="1">RESULTADOS!O315</f>
        <v/>
      </c>
      <c r="J317" s="261" t="str">
        <f t="shared" ca="1" si="8"/>
        <v/>
      </c>
      <c r="K317" s="333"/>
      <c r="L317" s="336"/>
      <c r="N317" s="333"/>
    </row>
    <row r="318" spans="2:14" ht="15.6" x14ac:dyDescent="0.3">
      <c r="B318" s="251"/>
      <c r="C318" s="251"/>
      <c r="D318" s="258" t="str">
        <f ca="1">IF(D317="","",
IF(D317="13º "&amp;YEAR(RESULTADOS!$C$11),"",
IF(IFERROR(EOMONTH(D317,1)&gt;PREMISSAS!$C$3,"FALSO"),
   DATE(YEAR(D317)-1,1,31),
   IF(IF(ISTEXT(D317),RIGHT(D317,4)-1=YEAR(RESULTADOS!$C$11),YEAR(D317)-1=YEAR(RESULTADOS!$C$11)),
      IF(LEFT(D317,2)="13",EOMONTH(RESULTADOS!$C$11,0),IF(MONTH(D317)=12,"13º "&amp;YEAR(D317),EOMONTH(D317,1))),
      IF(LEFT(D317,2)="13",DATE(RIGHT(D317,4)-1,1,31),IF(MONTH(D317)=12,"13º "&amp;YEAR(D317),EOMONTH(D317,1)))))))</f>
        <v/>
      </c>
      <c r="E318" s="342"/>
      <c r="F318" s="257"/>
      <c r="G318" s="251"/>
      <c r="I318" s="262" t="str">
        <f ca="1">RESULTADOS!O316</f>
        <v/>
      </c>
      <c r="J318" s="261" t="str">
        <f t="shared" ca="1" si="8"/>
        <v/>
      </c>
      <c r="K318" s="333"/>
      <c r="L318" s="336"/>
      <c r="N318" s="333"/>
    </row>
    <row r="319" spans="2:14" ht="15.6" x14ac:dyDescent="0.3">
      <c r="B319" s="251"/>
      <c r="C319" s="251"/>
      <c r="D319" s="258" t="str">
        <f ca="1">IF(D318="","",
IF(D318="13º "&amp;YEAR(RESULTADOS!$C$11),"",
IF(IFERROR(EOMONTH(D318,1)&gt;PREMISSAS!$C$3,"FALSO"),
   DATE(YEAR(D318)-1,1,31),
   IF(IF(ISTEXT(D318),RIGHT(D318,4)-1=YEAR(RESULTADOS!$C$11),YEAR(D318)-1=YEAR(RESULTADOS!$C$11)),
      IF(LEFT(D318,2)="13",EOMONTH(RESULTADOS!$C$11,0),IF(MONTH(D318)=12,"13º "&amp;YEAR(D318),EOMONTH(D318,1))),
      IF(LEFT(D318,2)="13",DATE(RIGHT(D318,4)-1,1,31),IF(MONTH(D318)=12,"13º "&amp;YEAR(D318),EOMONTH(D318,1)))))))</f>
        <v/>
      </c>
      <c r="E319" s="342"/>
      <c r="F319" s="257"/>
      <c r="G319" s="251"/>
      <c r="I319" s="262" t="str">
        <f ca="1">RESULTADOS!O317</f>
        <v/>
      </c>
      <c r="J319" s="261" t="str">
        <f t="shared" ca="1" si="8"/>
        <v/>
      </c>
      <c r="K319" s="333"/>
      <c r="L319" s="336"/>
      <c r="N319" s="333"/>
    </row>
    <row r="320" spans="2:14" ht="15.6" x14ac:dyDescent="0.3">
      <c r="B320" s="251"/>
      <c r="C320" s="251"/>
      <c r="D320" s="258" t="str">
        <f ca="1">IF(D319="","",
IF(D319="13º "&amp;YEAR(RESULTADOS!$C$11),"",
IF(IFERROR(EOMONTH(D319,1)&gt;PREMISSAS!$C$3,"FALSO"),
   DATE(YEAR(D319)-1,1,31),
   IF(IF(ISTEXT(D319),RIGHT(D319,4)-1=YEAR(RESULTADOS!$C$11),YEAR(D319)-1=YEAR(RESULTADOS!$C$11)),
      IF(LEFT(D319,2)="13",EOMONTH(RESULTADOS!$C$11,0),IF(MONTH(D319)=12,"13º "&amp;YEAR(D319),EOMONTH(D319,1))),
      IF(LEFT(D319,2)="13",DATE(RIGHT(D319,4)-1,1,31),IF(MONTH(D319)=12,"13º "&amp;YEAR(D319),EOMONTH(D319,1)))))))</f>
        <v/>
      </c>
      <c r="E320" s="342"/>
      <c r="F320" s="257"/>
      <c r="G320" s="251"/>
      <c r="I320" s="262" t="str">
        <f ca="1">RESULTADOS!O318</f>
        <v/>
      </c>
      <c r="J320" s="261" t="str">
        <f t="shared" ca="1" si="8"/>
        <v/>
      </c>
      <c r="K320" s="333"/>
      <c r="L320" s="336"/>
      <c r="N320" s="333"/>
    </row>
    <row r="321" spans="2:14" ht="15.6" x14ac:dyDescent="0.3">
      <c r="B321" s="251"/>
      <c r="C321" s="251"/>
      <c r="D321" s="258" t="str">
        <f ca="1">IF(D320="","",
IF(D320="13º "&amp;YEAR(RESULTADOS!$C$11),"",
IF(IFERROR(EOMONTH(D320,1)&gt;PREMISSAS!$C$3,"FALSO"),
   DATE(YEAR(D320)-1,1,31),
   IF(IF(ISTEXT(D320),RIGHT(D320,4)-1=YEAR(RESULTADOS!$C$11),YEAR(D320)-1=YEAR(RESULTADOS!$C$11)),
      IF(LEFT(D320,2)="13",EOMONTH(RESULTADOS!$C$11,0),IF(MONTH(D320)=12,"13º "&amp;YEAR(D320),EOMONTH(D320,1))),
      IF(LEFT(D320,2)="13",DATE(RIGHT(D320,4)-1,1,31),IF(MONTH(D320)=12,"13º "&amp;YEAR(D320),EOMONTH(D320,1)))))))</f>
        <v/>
      </c>
      <c r="E321" s="342"/>
      <c r="F321" s="257"/>
      <c r="G321" s="251"/>
      <c r="I321" s="262" t="str">
        <f ca="1">RESULTADOS!O319</f>
        <v/>
      </c>
      <c r="J321" s="261" t="str">
        <f t="shared" ca="1" si="8"/>
        <v/>
      </c>
      <c r="K321" s="333"/>
      <c r="L321" s="336"/>
      <c r="N321" s="333"/>
    </row>
    <row r="322" spans="2:14" ht="15.6" x14ac:dyDescent="0.3">
      <c r="B322" s="251"/>
      <c r="C322" s="251"/>
      <c r="D322" s="258" t="str">
        <f ca="1">IF(D321="","",
IF(D321="13º "&amp;YEAR(RESULTADOS!$C$11),"",
IF(IFERROR(EOMONTH(D321,1)&gt;PREMISSAS!$C$3,"FALSO"),
   DATE(YEAR(D321)-1,1,31),
   IF(IF(ISTEXT(D321),RIGHT(D321,4)-1=YEAR(RESULTADOS!$C$11),YEAR(D321)-1=YEAR(RESULTADOS!$C$11)),
      IF(LEFT(D321,2)="13",EOMONTH(RESULTADOS!$C$11,0),IF(MONTH(D321)=12,"13º "&amp;YEAR(D321),EOMONTH(D321,1))),
      IF(LEFT(D321,2)="13",DATE(RIGHT(D321,4)-1,1,31),IF(MONTH(D321)=12,"13º "&amp;YEAR(D321),EOMONTH(D321,1)))))))</f>
        <v/>
      </c>
      <c r="E322" s="342"/>
      <c r="F322" s="257"/>
      <c r="G322" s="251"/>
      <c r="I322" s="262" t="str">
        <f ca="1">RESULTADOS!O320</f>
        <v/>
      </c>
      <c r="J322" s="261" t="str">
        <f t="shared" ca="1" si="8"/>
        <v/>
      </c>
      <c r="K322" s="333"/>
      <c r="L322" s="336"/>
      <c r="N322" s="333"/>
    </row>
    <row r="323" spans="2:14" ht="15.6" x14ac:dyDescent="0.3">
      <c r="B323" s="251"/>
      <c r="C323" s="251"/>
      <c r="D323" s="258" t="str">
        <f ca="1">IF(D322="","",
IF(D322="13º "&amp;YEAR(RESULTADOS!$C$11),"",
IF(IFERROR(EOMONTH(D322,1)&gt;PREMISSAS!$C$3,"FALSO"),
   DATE(YEAR(D322)-1,1,31),
   IF(IF(ISTEXT(D322),RIGHT(D322,4)-1=YEAR(RESULTADOS!$C$11),YEAR(D322)-1=YEAR(RESULTADOS!$C$11)),
      IF(LEFT(D322,2)="13",EOMONTH(RESULTADOS!$C$11,0),IF(MONTH(D322)=12,"13º "&amp;YEAR(D322),EOMONTH(D322,1))),
      IF(LEFT(D322,2)="13",DATE(RIGHT(D322,4)-1,1,31),IF(MONTH(D322)=12,"13º "&amp;YEAR(D322),EOMONTH(D322,1)))))))</f>
        <v/>
      </c>
      <c r="E323" s="342"/>
      <c r="F323" s="257"/>
      <c r="G323" s="251"/>
      <c r="I323" s="262" t="str">
        <f ca="1">RESULTADOS!O321</f>
        <v/>
      </c>
      <c r="J323" s="261" t="str">
        <f t="shared" ca="1" si="8"/>
        <v/>
      </c>
      <c r="K323" s="333"/>
      <c r="L323" s="336"/>
      <c r="N323" s="333"/>
    </row>
    <row r="324" spans="2:14" ht="15.6" x14ac:dyDescent="0.3">
      <c r="B324" s="251"/>
      <c r="C324" s="251"/>
      <c r="D324" s="258" t="str">
        <f ca="1">IF(D323="","",
IF(D323="13º "&amp;YEAR(RESULTADOS!$C$11),"",
IF(IFERROR(EOMONTH(D323,1)&gt;PREMISSAS!$C$3,"FALSO"),
   DATE(YEAR(D323)-1,1,31),
   IF(IF(ISTEXT(D323),RIGHT(D323,4)-1=YEAR(RESULTADOS!$C$11),YEAR(D323)-1=YEAR(RESULTADOS!$C$11)),
      IF(LEFT(D323,2)="13",EOMONTH(RESULTADOS!$C$11,0),IF(MONTH(D323)=12,"13º "&amp;YEAR(D323),EOMONTH(D323,1))),
      IF(LEFT(D323,2)="13",DATE(RIGHT(D323,4)-1,1,31),IF(MONTH(D323)=12,"13º "&amp;YEAR(D323),EOMONTH(D323,1)))))))</f>
        <v/>
      </c>
      <c r="E324" s="342"/>
      <c r="F324" s="257"/>
      <c r="G324" s="251"/>
      <c r="I324" s="262" t="str">
        <f ca="1">RESULTADOS!O322</f>
        <v/>
      </c>
      <c r="J324" s="261" t="str">
        <f t="shared" ca="1" si="8"/>
        <v/>
      </c>
      <c r="K324" s="333"/>
      <c r="L324" s="336"/>
      <c r="N324" s="333"/>
    </row>
    <row r="325" spans="2:14" ht="15.6" x14ac:dyDescent="0.3">
      <c r="B325" s="251"/>
      <c r="C325" s="251"/>
      <c r="D325" s="258" t="str">
        <f ca="1">IF(D324="","",
IF(D324="13º "&amp;YEAR(RESULTADOS!$C$11),"",
IF(IFERROR(EOMONTH(D324,1)&gt;PREMISSAS!$C$3,"FALSO"),
   DATE(YEAR(D324)-1,1,31),
   IF(IF(ISTEXT(D324),RIGHT(D324,4)-1=YEAR(RESULTADOS!$C$11),YEAR(D324)-1=YEAR(RESULTADOS!$C$11)),
      IF(LEFT(D324,2)="13",EOMONTH(RESULTADOS!$C$11,0),IF(MONTH(D324)=12,"13º "&amp;YEAR(D324),EOMONTH(D324,1))),
      IF(LEFT(D324,2)="13",DATE(RIGHT(D324,4)-1,1,31),IF(MONTH(D324)=12,"13º "&amp;YEAR(D324),EOMONTH(D324,1)))))))</f>
        <v/>
      </c>
      <c r="E325" s="342"/>
      <c r="F325" s="257"/>
      <c r="G325" s="251"/>
      <c r="I325" s="262" t="str">
        <f ca="1">RESULTADOS!O323</f>
        <v/>
      </c>
      <c r="J325" s="261" t="str">
        <f t="shared" ca="1" si="8"/>
        <v/>
      </c>
      <c r="K325" s="333"/>
      <c r="L325" s="336"/>
      <c r="N325" s="333"/>
    </row>
    <row r="326" spans="2:14" ht="15.6" x14ac:dyDescent="0.3">
      <c r="B326" s="251"/>
      <c r="C326" s="251"/>
      <c r="D326" s="258" t="str">
        <f ca="1">IF(D325="","",
IF(D325="13º "&amp;YEAR(RESULTADOS!$C$11),"",
IF(IFERROR(EOMONTH(D325,1)&gt;PREMISSAS!$C$3,"FALSO"),
   DATE(YEAR(D325)-1,1,31),
   IF(IF(ISTEXT(D325),RIGHT(D325,4)-1=YEAR(RESULTADOS!$C$11),YEAR(D325)-1=YEAR(RESULTADOS!$C$11)),
      IF(LEFT(D325,2)="13",EOMONTH(RESULTADOS!$C$11,0),IF(MONTH(D325)=12,"13º "&amp;YEAR(D325),EOMONTH(D325,1))),
      IF(LEFT(D325,2)="13",DATE(RIGHT(D325,4)-1,1,31),IF(MONTH(D325)=12,"13º "&amp;YEAR(D325),EOMONTH(D325,1)))))))</f>
        <v/>
      </c>
      <c r="E326" s="342"/>
      <c r="F326" s="257"/>
      <c r="G326" s="251"/>
      <c r="I326" s="262" t="str">
        <f ca="1">RESULTADOS!O324</f>
        <v/>
      </c>
      <c r="J326" s="261" t="str">
        <f t="shared" ca="1" si="8"/>
        <v/>
      </c>
      <c r="K326" s="333"/>
      <c r="L326" s="336"/>
      <c r="N326" s="333"/>
    </row>
    <row r="327" spans="2:14" ht="15.6" x14ac:dyDescent="0.3">
      <c r="B327" s="251"/>
      <c r="C327" s="251"/>
      <c r="D327" s="258" t="str">
        <f ca="1">IF(D326="","",
IF(D326="13º "&amp;YEAR(RESULTADOS!$C$11),"",
IF(IFERROR(EOMONTH(D326,1)&gt;PREMISSAS!$C$3,"FALSO"),
   DATE(YEAR(D326)-1,1,31),
   IF(IF(ISTEXT(D326),RIGHT(D326,4)-1=YEAR(RESULTADOS!$C$11),YEAR(D326)-1=YEAR(RESULTADOS!$C$11)),
      IF(LEFT(D326,2)="13",EOMONTH(RESULTADOS!$C$11,0),IF(MONTH(D326)=12,"13º "&amp;YEAR(D326),EOMONTH(D326,1))),
      IF(LEFT(D326,2)="13",DATE(RIGHT(D326,4)-1,1,31),IF(MONTH(D326)=12,"13º "&amp;YEAR(D326),EOMONTH(D326,1)))))))</f>
        <v/>
      </c>
      <c r="E327" s="342"/>
      <c r="F327" s="257"/>
      <c r="G327" s="251"/>
      <c r="I327" s="262" t="str">
        <f ca="1">RESULTADOS!O325</f>
        <v/>
      </c>
      <c r="J327" s="261" t="str">
        <f t="shared" ca="1" si="8"/>
        <v/>
      </c>
      <c r="K327" s="333"/>
      <c r="L327" s="336"/>
      <c r="N327" s="333"/>
    </row>
    <row r="328" spans="2:14" ht="15.6" x14ac:dyDescent="0.3">
      <c r="B328" s="251"/>
      <c r="C328" s="251"/>
      <c r="D328" s="258" t="str">
        <f ca="1">IF(D327="","",
IF(D327="13º "&amp;YEAR(RESULTADOS!$C$11),"",
IF(IFERROR(EOMONTH(D327,1)&gt;PREMISSAS!$C$3,"FALSO"),
   DATE(YEAR(D327)-1,1,31),
   IF(IF(ISTEXT(D327),RIGHT(D327,4)-1=YEAR(RESULTADOS!$C$11),YEAR(D327)-1=YEAR(RESULTADOS!$C$11)),
      IF(LEFT(D327,2)="13",EOMONTH(RESULTADOS!$C$11,0),IF(MONTH(D327)=12,"13º "&amp;YEAR(D327),EOMONTH(D327,1))),
      IF(LEFT(D327,2)="13",DATE(RIGHT(D327,4)-1,1,31),IF(MONTH(D327)=12,"13º "&amp;YEAR(D327),EOMONTH(D327,1)))))))</f>
        <v/>
      </c>
      <c r="E328" s="342"/>
      <c r="F328" s="257"/>
      <c r="G328" s="251"/>
      <c r="I328" s="262" t="str">
        <f ca="1">RESULTADOS!O326</f>
        <v/>
      </c>
      <c r="J328" s="261" t="str">
        <f t="shared" ref="J328:J391" ca="1" si="10">IF(I328="","",IFERROR(VLOOKUP(I328,$D$6:$E$656,2,0),""))</f>
        <v/>
      </c>
      <c r="K328" s="333"/>
      <c r="L328" s="336"/>
      <c r="N328" s="333"/>
    </row>
    <row r="329" spans="2:14" ht="15.6" x14ac:dyDescent="0.3">
      <c r="B329" s="251"/>
      <c r="C329" s="251"/>
      <c r="D329" s="258" t="str">
        <f ca="1">IF(D328="","",
IF(D328="13º "&amp;YEAR(RESULTADOS!$C$11),"",
IF(IFERROR(EOMONTH(D328,1)&gt;PREMISSAS!$C$3,"FALSO"),
   DATE(YEAR(D328)-1,1,31),
   IF(IF(ISTEXT(D328),RIGHT(D328,4)-1=YEAR(RESULTADOS!$C$11),YEAR(D328)-1=YEAR(RESULTADOS!$C$11)),
      IF(LEFT(D328,2)="13",EOMONTH(RESULTADOS!$C$11,0),IF(MONTH(D328)=12,"13º "&amp;YEAR(D328),EOMONTH(D328,1))),
      IF(LEFT(D328,2)="13",DATE(RIGHT(D328,4)-1,1,31),IF(MONTH(D328)=12,"13º "&amp;YEAR(D328),EOMONTH(D328,1)))))))</f>
        <v/>
      </c>
      <c r="E329" s="342"/>
      <c r="F329" s="257"/>
      <c r="G329" s="251"/>
      <c r="I329" s="262" t="str">
        <f ca="1">RESULTADOS!O327</f>
        <v/>
      </c>
      <c r="J329" s="261" t="str">
        <f t="shared" ca="1" si="10"/>
        <v/>
      </c>
      <c r="K329" s="333"/>
      <c r="L329" s="336"/>
      <c r="N329" s="333"/>
    </row>
    <row r="330" spans="2:14" ht="15.6" x14ac:dyDescent="0.3">
      <c r="B330" s="251"/>
      <c r="C330" s="251"/>
      <c r="D330" s="258" t="str">
        <f ca="1">IF(D329="","",
IF(D329="13º "&amp;YEAR(RESULTADOS!$C$11),"",
IF(IFERROR(EOMONTH(D329,1)&gt;PREMISSAS!$C$3,"FALSO"),
   DATE(YEAR(D329)-1,1,31),
   IF(IF(ISTEXT(D329),RIGHT(D329,4)-1=YEAR(RESULTADOS!$C$11),YEAR(D329)-1=YEAR(RESULTADOS!$C$11)),
      IF(LEFT(D329,2)="13",EOMONTH(RESULTADOS!$C$11,0),IF(MONTH(D329)=12,"13º "&amp;YEAR(D329),EOMONTH(D329,1))),
      IF(LEFT(D329,2)="13",DATE(RIGHT(D329,4)-1,1,31),IF(MONTH(D329)=12,"13º "&amp;YEAR(D329),EOMONTH(D329,1)))))))</f>
        <v/>
      </c>
      <c r="E330" s="342"/>
      <c r="F330" s="257"/>
      <c r="G330" s="251"/>
      <c r="I330" s="262" t="str">
        <f ca="1">RESULTADOS!O328</f>
        <v/>
      </c>
      <c r="J330" s="261" t="str">
        <f t="shared" ca="1" si="10"/>
        <v/>
      </c>
      <c r="K330" s="333"/>
      <c r="L330" s="336"/>
      <c r="N330" s="333"/>
    </row>
    <row r="331" spans="2:14" ht="15.6" x14ac:dyDescent="0.3">
      <c r="B331" s="251"/>
      <c r="C331" s="251"/>
      <c r="D331" s="258" t="str">
        <f ca="1">IF(D330="","",
IF(D330="13º "&amp;YEAR(RESULTADOS!$C$11),"",
IF(IFERROR(EOMONTH(D330,1)&gt;PREMISSAS!$C$3,"FALSO"),
   DATE(YEAR(D330)-1,1,31),
   IF(IF(ISTEXT(D330),RIGHT(D330,4)-1=YEAR(RESULTADOS!$C$11),YEAR(D330)-1=YEAR(RESULTADOS!$C$11)),
      IF(LEFT(D330,2)="13",EOMONTH(RESULTADOS!$C$11,0),IF(MONTH(D330)=12,"13º "&amp;YEAR(D330),EOMONTH(D330,1))),
      IF(LEFT(D330,2)="13",DATE(RIGHT(D330,4)-1,1,31),IF(MONTH(D330)=12,"13º "&amp;YEAR(D330),EOMONTH(D330,1)))))))</f>
        <v/>
      </c>
      <c r="E331" s="342"/>
      <c r="F331" s="257"/>
      <c r="G331" s="251"/>
      <c r="I331" s="262" t="str">
        <f ca="1">RESULTADOS!O329</f>
        <v/>
      </c>
      <c r="J331" s="261" t="str">
        <f t="shared" ca="1" si="10"/>
        <v/>
      </c>
      <c r="K331" s="333"/>
      <c r="L331" s="336"/>
      <c r="N331" s="333"/>
    </row>
    <row r="332" spans="2:14" ht="15.6" x14ac:dyDescent="0.3">
      <c r="B332" s="251"/>
      <c r="C332" s="251"/>
      <c r="D332" s="258" t="str">
        <f ca="1">IF(D331="","",
IF(D331="13º "&amp;YEAR(RESULTADOS!$C$11),"",
IF(IFERROR(EOMONTH(D331,1)&gt;PREMISSAS!$C$3,"FALSO"),
   DATE(YEAR(D331)-1,1,31),
   IF(IF(ISTEXT(D331),RIGHT(D331,4)-1=YEAR(RESULTADOS!$C$11),YEAR(D331)-1=YEAR(RESULTADOS!$C$11)),
      IF(LEFT(D331,2)="13",EOMONTH(RESULTADOS!$C$11,0),IF(MONTH(D331)=12,"13º "&amp;YEAR(D331),EOMONTH(D331,1))),
      IF(LEFT(D331,2)="13",DATE(RIGHT(D331,4)-1,1,31),IF(MONTH(D331)=12,"13º "&amp;YEAR(D331),EOMONTH(D331,1)))))))</f>
        <v/>
      </c>
      <c r="E332" s="342"/>
      <c r="F332" s="257"/>
      <c r="G332" s="251"/>
      <c r="I332" s="262" t="str">
        <f ca="1">RESULTADOS!O330</f>
        <v/>
      </c>
      <c r="J332" s="261" t="str">
        <f t="shared" ca="1" si="10"/>
        <v/>
      </c>
      <c r="K332" s="333"/>
      <c r="L332" s="336"/>
      <c r="N332" s="333"/>
    </row>
    <row r="333" spans="2:14" ht="15.6" x14ac:dyDescent="0.3">
      <c r="B333" s="251"/>
      <c r="C333" s="251"/>
      <c r="D333" s="258" t="str">
        <f ca="1">IF(D332="","",
IF(D332="13º "&amp;YEAR(RESULTADOS!$C$11),"",
IF(IFERROR(EOMONTH(D332,1)&gt;PREMISSAS!$C$3,"FALSO"),
   DATE(YEAR(D332)-1,1,31),
   IF(IF(ISTEXT(D332),RIGHT(D332,4)-1=YEAR(RESULTADOS!$C$11),YEAR(D332)-1=YEAR(RESULTADOS!$C$11)),
      IF(LEFT(D332,2)="13",EOMONTH(RESULTADOS!$C$11,0),IF(MONTH(D332)=12,"13º "&amp;YEAR(D332),EOMONTH(D332,1))),
      IF(LEFT(D332,2)="13",DATE(RIGHT(D332,4)-1,1,31),IF(MONTH(D332)=12,"13º "&amp;YEAR(D332),EOMONTH(D332,1)))))))</f>
        <v/>
      </c>
      <c r="E333" s="342"/>
      <c r="F333" s="257"/>
      <c r="G333" s="251"/>
      <c r="I333" s="262" t="str">
        <f ca="1">RESULTADOS!O331</f>
        <v/>
      </c>
      <c r="J333" s="261" t="str">
        <f t="shared" ca="1" si="10"/>
        <v/>
      </c>
      <c r="K333" s="333"/>
      <c r="L333" s="336"/>
      <c r="N333" s="333"/>
    </row>
    <row r="334" spans="2:14" ht="15.6" x14ac:dyDescent="0.3">
      <c r="B334" s="251"/>
      <c r="C334" s="251"/>
      <c r="D334" s="258" t="str">
        <f ca="1">IF(D333="","",
IF(D333="13º "&amp;YEAR(RESULTADOS!$C$11),"",
IF(IFERROR(EOMONTH(D333,1)&gt;PREMISSAS!$C$3,"FALSO"),
   DATE(YEAR(D333)-1,1,31),
   IF(IF(ISTEXT(D333),RIGHT(D333,4)-1=YEAR(RESULTADOS!$C$11),YEAR(D333)-1=YEAR(RESULTADOS!$C$11)),
      IF(LEFT(D333,2)="13",EOMONTH(RESULTADOS!$C$11,0),IF(MONTH(D333)=12,"13º "&amp;YEAR(D333),EOMONTH(D333,1))),
      IF(LEFT(D333,2)="13",DATE(RIGHT(D333,4)-1,1,31),IF(MONTH(D333)=12,"13º "&amp;YEAR(D333),EOMONTH(D333,1)))))))</f>
        <v/>
      </c>
      <c r="E334" s="342"/>
      <c r="F334" s="257"/>
      <c r="G334" s="251"/>
      <c r="I334" s="262" t="str">
        <f ca="1">RESULTADOS!O332</f>
        <v/>
      </c>
      <c r="J334" s="261" t="str">
        <f t="shared" ca="1" si="10"/>
        <v/>
      </c>
      <c r="K334" s="333"/>
      <c r="L334" s="336"/>
      <c r="N334" s="333"/>
    </row>
    <row r="335" spans="2:14" ht="15.6" x14ac:dyDescent="0.3">
      <c r="B335" s="251"/>
      <c r="C335" s="251"/>
      <c r="D335" s="258" t="str">
        <f ca="1">IF(D334="","",
IF(D334="13º "&amp;YEAR(RESULTADOS!$C$11),"",
IF(IFERROR(EOMONTH(D334,1)&gt;PREMISSAS!$C$3,"FALSO"),
   DATE(YEAR(D334)-1,1,31),
   IF(IF(ISTEXT(D334),RIGHT(D334,4)-1=YEAR(RESULTADOS!$C$11),YEAR(D334)-1=YEAR(RESULTADOS!$C$11)),
      IF(LEFT(D334,2)="13",EOMONTH(RESULTADOS!$C$11,0),IF(MONTH(D334)=12,"13º "&amp;YEAR(D334),EOMONTH(D334,1))),
      IF(LEFT(D334,2)="13",DATE(RIGHT(D334,4)-1,1,31),IF(MONTH(D334)=12,"13º "&amp;YEAR(D334),EOMONTH(D334,1)))))))</f>
        <v/>
      </c>
      <c r="E335" s="342"/>
      <c r="F335" s="257"/>
      <c r="G335" s="251"/>
      <c r="I335" s="262" t="str">
        <f ca="1">RESULTADOS!O333</f>
        <v/>
      </c>
      <c r="J335" s="261" t="str">
        <f t="shared" ca="1" si="10"/>
        <v/>
      </c>
      <c r="K335" s="333"/>
      <c r="L335" s="336"/>
      <c r="N335" s="333"/>
    </row>
    <row r="336" spans="2:14" ht="15.6" x14ac:dyDescent="0.3">
      <c r="B336" s="251"/>
      <c r="C336" s="251"/>
      <c r="D336" s="258" t="str">
        <f ca="1">IF(D335="","",
IF(D335="13º "&amp;YEAR(RESULTADOS!$C$11),"",
IF(IFERROR(EOMONTH(D335,1)&gt;PREMISSAS!$C$3,"FALSO"),
   DATE(YEAR(D335)-1,1,31),
   IF(IF(ISTEXT(D335),RIGHT(D335,4)-1=YEAR(RESULTADOS!$C$11),YEAR(D335)-1=YEAR(RESULTADOS!$C$11)),
      IF(LEFT(D335,2)="13",EOMONTH(RESULTADOS!$C$11,0),IF(MONTH(D335)=12,"13º "&amp;YEAR(D335),EOMONTH(D335,1))),
      IF(LEFT(D335,2)="13",DATE(RIGHT(D335,4)-1,1,31),IF(MONTH(D335)=12,"13º "&amp;YEAR(D335),EOMONTH(D335,1)))))))</f>
        <v/>
      </c>
      <c r="E336" s="342"/>
      <c r="F336" s="257"/>
      <c r="G336" s="251"/>
      <c r="I336" s="262" t="str">
        <f ca="1">RESULTADOS!O334</f>
        <v/>
      </c>
      <c r="J336" s="261" t="str">
        <f t="shared" ca="1" si="10"/>
        <v/>
      </c>
      <c r="K336" s="333"/>
      <c r="L336" s="336"/>
      <c r="N336" s="333"/>
    </row>
    <row r="337" spans="2:14" ht="15.6" x14ac:dyDescent="0.3">
      <c r="B337" s="251"/>
      <c r="C337" s="251"/>
      <c r="D337" s="258" t="str">
        <f ca="1">IF(D336="","",
IF(D336="13º "&amp;YEAR(RESULTADOS!$C$11),"",
IF(IFERROR(EOMONTH(D336,1)&gt;PREMISSAS!$C$3,"FALSO"),
   DATE(YEAR(D336)-1,1,31),
   IF(IF(ISTEXT(D336),RIGHT(D336,4)-1=YEAR(RESULTADOS!$C$11),YEAR(D336)-1=YEAR(RESULTADOS!$C$11)),
      IF(LEFT(D336,2)="13",EOMONTH(RESULTADOS!$C$11,0),IF(MONTH(D336)=12,"13º "&amp;YEAR(D336),EOMONTH(D336,1))),
      IF(LEFT(D336,2)="13",DATE(RIGHT(D336,4)-1,1,31),IF(MONTH(D336)=12,"13º "&amp;YEAR(D336),EOMONTH(D336,1)))))))</f>
        <v/>
      </c>
      <c r="E337" s="342"/>
      <c r="F337" s="257"/>
      <c r="G337" s="251"/>
      <c r="I337" s="262" t="str">
        <f ca="1">RESULTADOS!O335</f>
        <v/>
      </c>
      <c r="J337" s="261" t="str">
        <f t="shared" ca="1" si="10"/>
        <v/>
      </c>
      <c r="K337" s="333"/>
      <c r="L337" s="336"/>
      <c r="N337" s="333"/>
    </row>
    <row r="338" spans="2:14" ht="15.6" x14ac:dyDescent="0.3">
      <c r="B338" s="251"/>
      <c r="C338" s="251"/>
      <c r="D338" s="258" t="str">
        <f ca="1">IF(D337="","",
IF(D337="13º "&amp;YEAR(RESULTADOS!$C$11),"",
IF(IFERROR(EOMONTH(D337,1)&gt;PREMISSAS!$C$3,"FALSO"),
   DATE(YEAR(D337)-1,1,31),
   IF(IF(ISTEXT(D337),RIGHT(D337,4)-1=YEAR(RESULTADOS!$C$11),YEAR(D337)-1=YEAR(RESULTADOS!$C$11)),
      IF(LEFT(D337,2)="13",EOMONTH(RESULTADOS!$C$11,0),IF(MONTH(D337)=12,"13º "&amp;YEAR(D337),EOMONTH(D337,1))),
      IF(LEFT(D337,2)="13",DATE(RIGHT(D337,4)-1,1,31),IF(MONTH(D337)=12,"13º "&amp;YEAR(D337),EOMONTH(D337,1)))))))</f>
        <v/>
      </c>
      <c r="E338" s="342"/>
      <c r="F338" s="257"/>
      <c r="G338" s="251"/>
      <c r="I338" s="262" t="str">
        <f ca="1">RESULTADOS!O336</f>
        <v/>
      </c>
      <c r="J338" s="261" t="str">
        <f t="shared" ca="1" si="10"/>
        <v/>
      </c>
      <c r="K338" s="333"/>
      <c r="L338" s="336"/>
      <c r="N338" s="333"/>
    </row>
    <row r="339" spans="2:14" ht="15.6" x14ac:dyDescent="0.3">
      <c r="B339" s="251"/>
      <c r="C339" s="251"/>
      <c r="D339" s="258" t="str">
        <f ca="1">IF(D338="","",
IF(D338="13º "&amp;YEAR(RESULTADOS!$C$11),"",
IF(IFERROR(EOMONTH(D338,1)&gt;PREMISSAS!$C$3,"FALSO"),
   DATE(YEAR(D338)-1,1,31),
   IF(IF(ISTEXT(D338),RIGHT(D338,4)-1=YEAR(RESULTADOS!$C$11),YEAR(D338)-1=YEAR(RESULTADOS!$C$11)),
      IF(LEFT(D338,2)="13",EOMONTH(RESULTADOS!$C$11,0),IF(MONTH(D338)=12,"13º "&amp;YEAR(D338),EOMONTH(D338,1))),
      IF(LEFT(D338,2)="13",DATE(RIGHT(D338,4)-1,1,31),IF(MONTH(D338)=12,"13º "&amp;YEAR(D338),EOMONTH(D338,1)))))))</f>
        <v/>
      </c>
      <c r="E339" s="342"/>
      <c r="F339" s="257"/>
      <c r="G339" s="251"/>
      <c r="I339" s="262" t="str">
        <f ca="1">RESULTADOS!O337</f>
        <v/>
      </c>
      <c r="J339" s="261" t="str">
        <f t="shared" ca="1" si="10"/>
        <v/>
      </c>
      <c r="K339" s="333"/>
      <c r="L339" s="336"/>
      <c r="N339" s="333"/>
    </row>
    <row r="340" spans="2:14" ht="15.6" x14ac:dyDescent="0.3">
      <c r="B340" s="251"/>
      <c r="C340" s="251"/>
      <c r="D340" s="258" t="str">
        <f ca="1">IF(D339="","",
IF(D339="13º "&amp;YEAR(RESULTADOS!$C$11),"",
IF(IFERROR(EOMONTH(D339,1)&gt;PREMISSAS!$C$3,"FALSO"),
   DATE(YEAR(D339)-1,1,31),
   IF(IF(ISTEXT(D339),RIGHT(D339,4)-1=YEAR(RESULTADOS!$C$11),YEAR(D339)-1=YEAR(RESULTADOS!$C$11)),
      IF(LEFT(D339,2)="13",EOMONTH(RESULTADOS!$C$11,0),IF(MONTH(D339)=12,"13º "&amp;YEAR(D339),EOMONTH(D339,1))),
      IF(LEFT(D339,2)="13",DATE(RIGHT(D339,4)-1,1,31),IF(MONTH(D339)=12,"13º "&amp;YEAR(D339),EOMONTH(D339,1)))))))</f>
        <v/>
      </c>
      <c r="E340" s="342"/>
      <c r="F340" s="257"/>
      <c r="G340" s="251"/>
      <c r="I340" s="262" t="str">
        <f ca="1">RESULTADOS!O338</f>
        <v/>
      </c>
      <c r="J340" s="261" t="str">
        <f t="shared" ca="1" si="10"/>
        <v/>
      </c>
      <c r="K340" s="333"/>
      <c r="L340" s="336"/>
      <c r="N340" s="333"/>
    </row>
    <row r="341" spans="2:14" ht="15.6" x14ac:dyDescent="0.3">
      <c r="B341" s="251"/>
      <c r="C341" s="251"/>
      <c r="D341" s="258" t="str">
        <f ca="1">IF(D340="","",
IF(D340="13º "&amp;YEAR(RESULTADOS!$C$11),"",
IF(IFERROR(EOMONTH(D340,1)&gt;PREMISSAS!$C$3,"FALSO"),
   DATE(YEAR(D340)-1,1,31),
   IF(IF(ISTEXT(D340),RIGHT(D340,4)-1=YEAR(RESULTADOS!$C$11),YEAR(D340)-1=YEAR(RESULTADOS!$C$11)),
      IF(LEFT(D340,2)="13",EOMONTH(RESULTADOS!$C$11,0),IF(MONTH(D340)=12,"13º "&amp;YEAR(D340),EOMONTH(D340,1))),
      IF(LEFT(D340,2)="13",DATE(RIGHT(D340,4)-1,1,31),IF(MONTH(D340)=12,"13º "&amp;YEAR(D340),EOMONTH(D340,1)))))))</f>
        <v/>
      </c>
      <c r="E341" s="342"/>
      <c r="F341" s="257"/>
      <c r="G341" s="251"/>
      <c r="I341" s="262" t="str">
        <f ca="1">RESULTADOS!O339</f>
        <v/>
      </c>
      <c r="J341" s="261" t="str">
        <f t="shared" ca="1" si="10"/>
        <v/>
      </c>
      <c r="K341" s="333"/>
      <c r="L341" s="336"/>
      <c r="N341" s="333"/>
    </row>
    <row r="342" spans="2:14" ht="15.6" x14ac:dyDescent="0.3">
      <c r="B342" s="251"/>
      <c r="C342" s="251"/>
      <c r="D342" s="258" t="str">
        <f ca="1">IF(D341="","",
IF(D341="13º "&amp;YEAR(RESULTADOS!$C$11),"",
IF(IFERROR(EOMONTH(D341,1)&gt;PREMISSAS!$C$3,"FALSO"),
   DATE(YEAR(D341)-1,1,31),
   IF(IF(ISTEXT(D341),RIGHT(D341,4)-1=YEAR(RESULTADOS!$C$11),YEAR(D341)-1=YEAR(RESULTADOS!$C$11)),
      IF(LEFT(D341,2)="13",EOMONTH(RESULTADOS!$C$11,0),IF(MONTH(D341)=12,"13º "&amp;YEAR(D341),EOMONTH(D341,1))),
      IF(LEFT(D341,2)="13",DATE(RIGHT(D341,4)-1,1,31),IF(MONTH(D341)=12,"13º "&amp;YEAR(D341),EOMONTH(D341,1)))))))</f>
        <v/>
      </c>
      <c r="E342" s="342"/>
      <c r="F342" s="257"/>
      <c r="G342" s="251"/>
      <c r="I342" s="262" t="str">
        <f ca="1">RESULTADOS!O340</f>
        <v/>
      </c>
      <c r="J342" s="261" t="str">
        <f t="shared" ca="1" si="10"/>
        <v/>
      </c>
      <c r="K342" s="333"/>
      <c r="L342" s="336"/>
      <c r="N342" s="333"/>
    </row>
    <row r="343" spans="2:14" ht="15.6" x14ac:dyDescent="0.3">
      <c r="B343" s="251"/>
      <c r="C343" s="251"/>
      <c r="D343" s="258" t="str">
        <f ca="1">IF(D342="","",
IF(D342="13º "&amp;YEAR(RESULTADOS!$C$11),"",
IF(IFERROR(EOMONTH(D342,1)&gt;PREMISSAS!$C$3,"FALSO"),
   DATE(YEAR(D342)-1,1,31),
   IF(IF(ISTEXT(D342),RIGHT(D342,4)-1=YEAR(RESULTADOS!$C$11),YEAR(D342)-1=YEAR(RESULTADOS!$C$11)),
      IF(LEFT(D342,2)="13",EOMONTH(RESULTADOS!$C$11,0),IF(MONTH(D342)=12,"13º "&amp;YEAR(D342),EOMONTH(D342,1))),
      IF(LEFT(D342,2)="13",DATE(RIGHT(D342,4)-1,1,31),IF(MONTH(D342)=12,"13º "&amp;YEAR(D342),EOMONTH(D342,1)))))))</f>
        <v/>
      </c>
      <c r="E343" s="342"/>
      <c r="F343" s="257"/>
      <c r="G343" s="251"/>
      <c r="I343" s="262" t="str">
        <f ca="1">RESULTADOS!O341</f>
        <v/>
      </c>
      <c r="J343" s="261" t="str">
        <f t="shared" ca="1" si="10"/>
        <v/>
      </c>
      <c r="K343" s="333"/>
      <c r="L343" s="336"/>
      <c r="N343" s="333"/>
    </row>
    <row r="344" spans="2:14" ht="15.6" x14ac:dyDescent="0.3">
      <c r="B344" s="251"/>
      <c r="C344" s="251"/>
      <c r="D344" s="258" t="str">
        <f ca="1">IF(D343="","",
IF(D343="13º "&amp;YEAR(RESULTADOS!$C$11),"",
IF(IFERROR(EOMONTH(D343,1)&gt;PREMISSAS!$C$3,"FALSO"),
   DATE(YEAR(D343)-1,1,31),
   IF(IF(ISTEXT(D343),RIGHT(D343,4)-1=YEAR(RESULTADOS!$C$11),YEAR(D343)-1=YEAR(RESULTADOS!$C$11)),
      IF(LEFT(D343,2)="13",EOMONTH(RESULTADOS!$C$11,0),IF(MONTH(D343)=12,"13º "&amp;YEAR(D343),EOMONTH(D343,1))),
      IF(LEFT(D343,2)="13",DATE(RIGHT(D343,4)-1,1,31),IF(MONTH(D343)=12,"13º "&amp;YEAR(D343),EOMONTH(D343,1)))))))</f>
        <v/>
      </c>
      <c r="E344" s="342"/>
      <c r="F344" s="257"/>
      <c r="G344" s="251"/>
      <c r="I344" s="262" t="str">
        <f ca="1">RESULTADOS!O342</f>
        <v/>
      </c>
      <c r="J344" s="261" t="str">
        <f t="shared" ca="1" si="10"/>
        <v/>
      </c>
      <c r="K344" s="333"/>
      <c r="L344" s="336"/>
      <c r="N344" s="333"/>
    </row>
    <row r="345" spans="2:14" ht="15.6" x14ac:dyDescent="0.3">
      <c r="B345" s="251"/>
      <c r="C345" s="251"/>
      <c r="D345" s="258" t="str">
        <f ca="1">IF(D344="","",
IF(D344="13º "&amp;YEAR(RESULTADOS!$C$11),"",
IF(IFERROR(EOMONTH(D344,1)&gt;PREMISSAS!$C$3,"FALSO"),
   DATE(YEAR(D344)-1,1,31),
   IF(IF(ISTEXT(D344),RIGHT(D344,4)-1=YEAR(RESULTADOS!$C$11),YEAR(D344)-1=YEAR(RESULTADOS!$C$11)),
      IF(LEFT(D344,2)="13",EOMONTH(RESULTADOS!$C$11,0),IF(MONTH(D344)=12,"13º "&amp;YEAR(D344),EOMONTH(D344,1))),
      IF(LEFT(D344,2)="13",DATE(RIGHT(D344,4)-1,1,31),IF(MONTH(D344)=12,"13º "&amp;YEAR(D344),EOMONTH(D344,1)))))))</f>
        <v/>
      </c>
      <c r="E345" s="342"/>
      <c r="F345" s="257"/>
      <c r="G345" s="251"/>
      <c r="I345" s="262" t="str">
        <f ca="1">RESULTADOS!O343</f>
        <v/>
      </c>
      <c r="J345" s="261" t="str">
        <f t="shared" ca="1" si="10"/>
        <v/>
      </c>
      <c r="K345" s="333"/>
      <c r="L345" s="336"/>
      <c r="N345" s="333"/>
    </row>
    <row r="346" spans="2:14" ht="15.6" x14ac:dyDescent="0.3">
      <c r="B346" s="251"/>
      <c r="C346" s="251"/>
      <c r="D346" s="258" t="str">
        <f ca="1">IF(D345="","",
IF(D345="13º "&amp;YEAR(RESULTADOS!$C$11),"",
IF(IFERROR(EOMONTH(D345,1)&gt;PREMISSAS!$C$3,"FALSO"),
   DATE(YEAR(D345)-1,1,31),
   IF(IF(ISTEXT(D345),RIGHT(D345,4)-1=YEAR(RESULTADOS!$C$11),YEAR(D345)-1=YEAR(RESULTADOS!$C$11)),
      IF(LEFT(D345,2)="13",EOMONTH(RESULTADOS!$C$11,0),IF(MONTH(D345)=12,"13º "&amp;YEAR(D345),EOMONTH(D345,1))),
      IF(LEFT(D345,2)="13",DATE(RIGHT(D345,4)-1,1,31),IF(MONTH(D345)=12,"13º "&amp;YEAR(D345),EOMONTH(D345,1)))))))</f>
        <v/>
      </c>
      <c r="E346" s="342"/>
      <c r="F346" s="257"/>
      <c r="G346" s="251"/>
      <c r="I346" s="262" t="str">
        <f ca="1">RESULTADOS!O344</f>
        <v/>
      </c>
      <c r="J346" s="261" t="str">
        <f t="shared" ca="1" si="10"/>
        <v/>
      </c>
      <c r="K346" s="333"/>
      <c r="L346" s="336"/>
      <c r="N346" s="333"/>
    </row>
    <row r="347" spans="2:14" ht="15.6" x14ac:dyDescent="0.3">
      <c r="B347" s="251"/>
      <c r="C347" s="251"/>
      <c r="D347" s="258" t="str">
        <f ca="1">IF(D346="","",
IF(D346="13º "&amp;YEAR(RESULTADOS!$C$11),"",
IF(IFERROR(EOMONTH(D346,1)&gt;PREMISSAS!$C$3,"FALSO"),
   DATE(YEAR(D346)-1,1,31),
   IF(IF(ISTEXT(D346),RIGHT(D346,4)-1=YEAR(RESULTADOS!$C$11),YEAR(D346)-1=YEAR(RESULTADOS!$C$11)),
      IF(LEFT(D346,2)="13",EOMONTH(RESULTADOS!$C$11,0),IF(MONTH(D346)=12,"13º "&amp;YEAR(D346),EOMONTH(D346,1))),
      IF(LEFT(D346,2)="13",DATE(RIGHT(D346,4)-1,1,31),IF(MONTH(D346)=12,"13º "&amp;YEAR(D346),EOMONTH(D346,1)))))))</f>
        <v/>
      </c>
      <c r="E347" s="342"/>
      <c r="F347" s="257"/>
      <c r="G347" s="251"/>
      <c r="I347" s="262" t="str">
        <f ca="1">RESULTADOS!O345</f>
        <v/>
      </c>
      <c r="J347" s="261" t="str">
        <f t="shared" ca="1" si="10"/>
        <v/>
      </c>
      <c r="K347" s="333"/>
      <c r="L347" s="336"/>
      <c r="N347" s="333"/>
    </row>
    <row r="348" spans="2:14" ht="15.6" x14ac:dyDescent="0.3">
      <c r="B348" s="251"/>
      <c r="C348" s="251"/>
      <c r="D348" s="258" t="str">
        <f ca="1">IF(D347="","",
IF(D347="13º "&amp;YEAR(RESULTADOS!$C$11),"",
IF(IFERROR(EOMONTH(D347,1)&gt;PREMISSAS!$C$3,"FALSO"),
   DATE(YEAR(D347)-1,1,31),
   IF(IF(ISTEXT(D347),RIGHT(D347,4)-1=YEAR(RESULTADOS!$C$11),YEAR(D347)-1=YEAR(RESULTADOS!$C$11)),
      IF(LEFT(D347,2)="13",EOMONTH(RESULTADOS!$C$11,0),IF(MONTH(D347)=12,"13º "&amp;YEAR(D347),EOMONTH(D347,1))),
      IF(LEFT(D347,2)="13",DATE(RIGHT(D347,4)-1,1,31),IF(MONTH(D347)=12,"13º "&amp;YEAR(D347),EOMONTH(D347,1)))))))</f>
        <v/>
      </c>
      <c r="E348" s="342"/>
      <c r="F348" s="257"/>
      <c r="G348" s="251"/>
      <c r="I348" s="262" t="str">
        <f ca="1">RESULTADOS!O346</f>
        <v/>
      </c>
      <c r="J348" s="261" t="str">
        <f t="shared" ca="1" si="10"/>
        <v/>
      </c>
      <c r="K348" s="333"/>
      <c r="L348" s="336"/>
      <c r="N348" s="333"/>
    </row>
    <row r="349" spans="2:14" ht="15.6" x14ac:dyDescent="0.3">
      <c r="B349" s="251"/>
      <c r="C349" s="251"/>
      <c r="D349" s="258" t="str">
        <f ca="1">IF(D348="","",
IF(D348="13º "&amp;YEAR(RESULTADOS!$C$11),"",
IF(IFERROR(EOMONTH(D348,1)&gt;PREMISSAS!$C$3,"FALSO"),
   DATE(YEAR(D348)-1,1,31),
   IF(IF(ISTEXT(D348),RIGHT(D348,4)-1=YEAR(RESULTADOS!$C$11),YEAR(D348)-1=YEAR(RESULTADOS!$C$11)),
      IF(LEFT(D348,2)="13",EOMONTH(RESULTADOS!$C$11,0),IF(MONTH(D348)=12,"13º "&amp;YEAR(D348),EOMONTH(D348,1))),
      IF(LEFT(D348,2)="13",DATE(RIGHT(D348,4)-1,1,31),IF(MONTH(D348)=12,"13º "&amp;YEAR(D348),EOMONTH(D348,1)))))))</f>
        <v/>
      </c>
      <c r="E349" s="342"/>
      <c r="F349" s="257"/>
      <c r="G349" s="251"/>
      <c r="I349" s="262" t="str">
        <f ca="1">RESULTADOS!O347</f>
        <v/>
      </c>
      <c r="J349" s="261" t="str">
        <f t="shared" ca="1" si="10"/>
        <v/>
      </c>
      <c r="K349" s="333"/>
      <c r="L349" s="336"/>
      <c r="N349" s="333"/>
    </row>
    <row r="350" spans="2:14" ht="15.6" x14ac:dyDescent="0.3">
      <c r="B350" s="251"/>
      <c r="C350" s="251"/>
      <c r="D350" s="258" t="str">
        <f ca="1">IF(D349="","",
IF(D349="13º "&amp;YEAR(RESULTADOS!$C$11),"",
IF(IFERROR(EOMONTH(D349,1)&gt;PREMISSAS!$C$3,"FALSO"),
   DATE(YEAR(D349)-1,1,31),
   IF(IF(ISTEXT(D349),RIGHT(D349,4)-1=YEAR(RESULTADOS!$C$11),YEAR(D349)-1=YEAR(RESULTADOS!$C$11)),
      IF(LEFT(D349,2)="13",EOMONTH(RESULTADOS!$C$11,0),IF(MONTH(D349)=12,"13º "&amp;YEAR(D349),EOMONTH(D349,1))),
      IF(LEFT(D349,2)="13",DATE(RIGHT(D349,4)-1,1,31),IF(MONTH(D349)=12,"13º "&amp;YEAR(D349),EOMONTH(D349,1)))))))</f>
        <v/>
      </c>
      <c r="E350" s="342"/>
      <c r="F350" s="257"/>
      <c r="G350" s="251"/>
      <c r="I350" s="262" t="str">
        <f ca="1">RESULTADOS!O348</f>
        <v/>
      </c>
      <c r="J350" s="261" t="str">
        <f t="shared" ca="1" si="10"/>
        <v/>
      </c>
      <c r="K350" s="333"/>
      <c r="L350" s="336"/>
      <c r="N350" s="333"/>
    </row>
    <row r="351" spans="2:14" ht="15.6" x14ac:dyDescent="0.3">
      <c r="B351" s="251"/>
      <c r="C351" s="251"/>
      <c r="D351" s="258" t="str">
        <f ca="1">IF(D350="","",
IF(D350="13º "&amp;YEAR(RESULTADOS!$C$11),"",
IF(IFERROR(EOMONTH(D350,1)&gt;PREMISSAS!$C$3,"FALSO"),
   DATE(YEAR(D350)-1,1,31),
   IF(IF(ISTEXT(D350),RIGHT(D350,4)-1=YEAR(RESULTADOS!$C$11),YEAR(D350)-1=YEAR(RESULTADOS!$C$11)),
      IF(LEFT(D350,2)="13",EOMONTH(RESULTADOS!$C$11,0),IF(MONTH(D350)=12,"13º "&amp;YEAR(D350),EOMONTH(D350,1))),
      IF(LEFT(D350,2)="13",DATE(RIGHT(D350,4)-1,1,31),IF(MONTH(D350)=12,"13º "&amp;YEAR(D350),EOMONTH(D350,1)))))))</f>
        <v/>
      </c>
      <c r="E351" s="342"/>
      <c r="F351" s="257"/>
      <c r="G351" s="251"/>
      <c r="I351" s="262" t="str">
        <f ca="1">RESULTADOS!O349</f>
        <v/>
      </c>
      <c r="J351" s="261" t="str">
        <f t="shared" ca="1" si="10"/>
        <v/>
      </c>
      <c r="K351" s="333"/>
      <c r="L351" s="336"/>
      <c r="N351" s="333"/>
    </row>
    <row r="352" spans="2:14" ht="15.6" x14ac:dyDescent="0.3">
      <c r="B352" s="251"/>
      <c r="C352" s="251"/>
      <c r="D352" s="258" t="str">
        <f ca="1">IF(D351="","",
IF(D351="13º "&amp;YEAR(RESULTADOS!$C$11),"",
IF(IFERROR(EOMONTH(D351,1)&gt;PREMISSAS!$C$3,"FALSO"),
   DATE(YEAR(D351)-1,1,31),
   IF(IF(ISTEXT(D351),RIGHT(D351,4)-1=YEAR(RESULTADOS!$C$11),YEAR(D351)-1=YEAR(RESULTADOS!$C$11)),
      IF(LEFT(D351,2)="13",EOMONTH(RESULTADOS!$C$11,0),IF(MONTH(D351)=12,"13º "&amp;YEAR(D351),EOMONTH(D351,1))),
      IF(LEFT(D351,2)="13",DATE(RIGHT(D351,4)-1,1,31),IF(MONTH(D351)=12,"13º "&amp;YEAR(D351),EOMONTH(D351,1)))))))</f>
        <v/>
      </c>
      <c r="E352" s="342"/>
      <c r="F352" s="257"/>
      <c r="G352" s="251"/>
      <c r="I352" s="262" t="str">
        <f ca="1">RESULTADOS!O350</f>
        <v/>
      </c>
      <c r="J352" s="261" t="str">
        <f t="shared" ca="1" si="10"/>
        <v/>
      </c>
      <c r="K352" s="333"/>
      <c r="L352" s="336"/>
      <c r="N352" s="333"/>
    </row>
    <row r="353" spans="2:14" ht="15.6" x14ac:dyDescent="0.3">
      <c r="B353" s="251"/>
      <c r="C353" s="251"/>
      <c r="D353" s="258" t="str">
        <f ca="1">IF(D352="","",
IF(D352="13º "&amp;YEAR(RESULTADOS!$C$11),"",
IF(IFERROR(EOMONTH(D352,1)&gt;PREMISSAS!$C$3,"FALSO"),
   DATE(YEAR(D352)-1,1,31),
   IF(IF(ISTEXT(D352),RIGHT(D352,4)-1=YEAR(RESULTADOS!$C$11),YEAR(D352)-1=YEAR(RESULTADOS!$C$11)),
      IF(LEFT(D352,2)="13",EOMONTH(RESULTADOS!$C$11,0),IF(MONTH(D352)=12,"13º "&amp;YEAR(D352),EOMONTH(D352,1))),
      IF(LEFT(D352,2)="13",DATE(RIGHT(D352,4)-1,1,31),IF(MONTH(D352)=12,"13º "&amp;YEAR(D352),EOMONTH(D352,1)))))))</f>
        <v/>
      </c>
      <c r="E353" s="342"/>
      <c r="F353" s="257"/>
      <c r="G353" s="251"/>
      <c r="I353" s="262" t="str">
        <f ca="1">RESULTADOS!O351</f>
        <v/>
      </c>
      <c r="J353" s="261" t="str">
        <f t="shared" ca="1" si="10"/>
        <v/>
      </c>
      <c r="K353" s="333"/>
      <c r="L353" s="336"/>
      <c r="N353" s="333"/>
    </row>
    <row r="354" spans="2:14" ht="15.6" x14ac:dyDescent="0.3">
      <c r="B354" s="251"/>
      <c r="C354" s="251"/>
      <c r="D354" s="258" t="str">
        <f ca="1">IF(D353="","",
IF(D353="13º "&amp;YEAR(RESULTADOS!$C$11),"",
IF(IFERROR(EOMONTH(D353,1)&gt;PREMISSAS!$C$3,"FALSO"),
   DATE(YEAR(D353)-1,1,31),
   IF(IF(ISTEXT(D353),RIGHT(D353,4)-1=YEAR(RESULTADOS!$C$11),YEAR(D353)-1=YEAR(RESULTADOS!$C$11)),
      IF(LEFT(D353,2)="13",EOMONTH(RESULTADOS!$C$11,0),IF(MONTH(D353)=12,"13º "&amp;YEAR(D353),EOMONTH(D353,1))),
      IF(LEFT(D353,2)="13",DATE(RIGHT(D353,4)-1,1,31),IF(MONTH(D353)=12,"13º "&amp;YEAR(D353),EOMONTH(D353,1)))))))</f>
        <v/>
      </c>
      <c r="E354" s="342"/>
      <c r="F354" s="257"/>
      <c r="G354" s="251"/>
      <c r="I354" s="262" t="str">
        <f ca="1">RESULTADOS!O352</f>
        <v/>
      </c>
      <c r="J354" s="261" t="str">
        <f t="shared" ca="1" si="10"/>
        <v/>
      </c>
      <c r="K354" s="333"/>
      <c r="L354" s="336"/>
      <c r="N354" s="333"/>
    </row>
    <row r="355" spans="2:14" ht="15.6" x14ac:dyDescent="0.3">
      <c r="B355" s="251"/>
      <c r="C355" s="251"/>
      <c r="D355" s="258" t="str">
        <f ca="1">IF(D354="","",
IF(D354="13º "&amp;YEAR(RESULTADOS!$C$11),"",
IF(IFERROR(EOMONTH(D354,1)&gt;PREMISSAS!$C$3,"FALSO"),
   DATE(YEAR(D354)-1,1,31),
   IF(IF(ISTEXT(D354),RIGHT(D354,4)-1=YEAR(RESULTADOS!$C$11),YEAR(D354)-1=YEAR(RESULTADOS!$C$11)),
      IF(LEFT(D354,2)="13",EOMONTH(RESULTADOS!$C$11,0),IF(MONTH(D354)=12,"13º "&amp;YEAR(D354),EOMONTH(D354,1))),
      IF(LEFT(D354,2)="13",DATE(RIGHT(D354,4)-1,1,31),IF(MONTH(D354)=12,"13º "&amp;YEAR(D354),EOMONTH(D354,1)))))))</f>
        <v/>
      </c>
      <c r="E355" s="342"/>
      <c r="F355" s="257"/>
      <c r="G355" s="251"/>
      <c r="I355" s="262" t="str">
        <f ca="1">RESULTADOS!O353</f>
        <v/>
      </c>
      <c r="J355" s="261" t="str">
        <f t="shared" ca="1" si="10"/>
        <v/>
      </c>
      <c r="K355" s="333"/>
      <c r="L355" s="336"/>
      <c r="N355" s="333"/>
    </row>
    <row r="356" spans="2:14" ht="15.6" x14ac:dyDescent="0.3">
      <c r="B356" s="251"/>
      <c r="C356" s="251"/>
      <c r="D356" s="258" t="str">
        <f ca="1">IF(D355="","",
IF(D355="13º "&amp;YEAR(RESULTADOS!$C$11),"",
IF(IFERROR(EOMONTH(D355,1)&gt;PREMISSAS!$C$3,"FALSO"),
   DATE(YEAR(D355)-1,1,31),
   IF(IF(ISTEXT(D355),RIGHT(D355,4)-1=YEAR(RESULTADOS!$C$11),YEAR(D355)-1=YEAR(RESULTADOS!$C$11)),
      IF(LEFT(D355,2)="13",EOMONTH(RESULTADOS!$C$11,0),IF(MONTH(D355)=12,"13º "&amp;YEAR(D355),EOMONTH(D355,1))),
      IF(LEFT(D355,2)="13",DATE(RIGHT(D355,4)-1,1,31),IF(MONTH(D355)=12,"13º "&amp;YEAR(D355),EOMONTH(D355,1)))))))</f>
        <v/>
      </c>
      <c r="E356" s="342"/>
      <c r="F356" s="257"/>
      <c r="G356" s="251"/>
      <c r="I356" s="262" t="str">
        <f ca="1">RESULTADOS!O354</f>
        <v/>
      </c>
      <c r="J356" s="261" t="str">
        <f t="shared" ca="1" si="10"/>
        <v/>
      </c>
      <c r="K356" s="333"/>
      <c r="L356" s="336"/>
      <c r="N356" s="333"/>
    </row>
    <row r="357" spans="2:14" ht="15.6" x14ac:dyDescent="0.3">
      <c r="B357" s="251"/>
      <c r="C357" s="251"/>
      <c r="D357" s="258" t="str">
        <f ca="1">IF(D356="","",
IF(D356="13º "&amp;YEAR(RESULTADOS!$C$11),"",
IF(IFERROR(EOMONTH(D356,1)&gt;PREMISSAS!$C$3,"FALSO"),
   DATE(YEAR(D356)-1,1,31),
   IF(IF(ISTEXT(D356),RIGHT(D356,4)-1=YEAR(RESULTADOS!$C$11),YEAR(D356)-1=YEAR(RESULTADOS!$C$11)),
      IF(LEFT(D356,2)="13",EOMONTH(RESULTADOS!$C$11,0),IF(MONTH(D356)=12,"13º "&amp;YEAR(D356),EOMONTH(D356,1))),
      IF(LEFT(D356,2)="13",DATE(RIGHT(D356,4)-1,1,31),IF(MONTH(D356)=12,"13º "&amp;YEAR(D356),EOMONTH(D356,1)))))))</f>
        <v/>
      </c>
      <c r="E357" s="342"/>
      <c r="F357" s="257"/>
      <c r="G357" s="251"/>
      <c r="I357" s="262" t="str">
        <f ca="1">RESULTADOS!O355</f>
        <v/>
      </c>
      <c r="J357" s="261" t="str">
        <f t="shared" ca="1" si="10"/>
        <v/>
      </c>
      <c r="K357" s="333"/>
      <c r="L357" s="336"/>
      <c r="N357" s="333"/>
    </row>
    <row r="358" spans="2:14" ht="15.6" x14ac:dyDescent="0.3">
      <c r="B358" s="251"/>
      <c r="C358" s="251"/>
      <c r="D358" s="258" t="str">
        <f ca="1">IF(D357="","",
IF(D357="13º "&amp;YEAR(RESULTADOS!$C$11),"",
IF(IFERROR(EOMONTH(D357,1)&gt;PREMISSAS!$C$3,"FALSO"),
   DATE(YEAR(D357)-1,1,31),
   IF(IF(ISTEXT(D357),RIGHT(D357,4)-1=YEAR(RESULTADOS!$C$11),YEAR(D357)-1=YEAR(RESULTADOS!$C$11)),
      IF(LEFT(D357,2)="13",EOMONTH(RESULTADOS!$C$11,0),IF(MONTH(D357)=12,"13º "&amp;YEAR(D357),EOMONTH(D357,1))),
      IF(LEFT(D357,2)="13",DATE(RIGHT(D357,4)-1,1,31),IF(MONTH(D357)=12,"13º "&amp;YEAR(D357),EOMONTH(D357,1)))))))</f>
        <v/>
      </c>
      <c r="E358" s="342"/>
      <c r="F358" s="257"/>
      <c r="G358" s="251"/>
      <c r="I358" s="262" t="str">
        <f ca="1">RESULTADOS!O356</f>
        <v/>
      </c>
      <c r="J358" s="261" t="str">
        <f t="shared" ca="1" si="10"/>
        <v/>
      </c>
      <c r="K358" s="333"/>
      <c r="L358" s="336"/>
      <c r="N358" s="333"/>
    </row>
    <row r="359" spans="2:14" ht="15.6" x14ac:dyDescent="0.3">
      <c r="B359" s="251"/>
      <c r="C359" s="251"/>
      <c r="D359" s="258" t="str">
        <f ca="1">IF(D358="","",
IF(D358="13º "&amp;YEAR(RESULTADOS!$C$11),"",
IF(IFERROR(EOMONTH(D358,1)&gt;PREMISSAS!$C$3,"FALSO"),
   DATE(YEAR(D358)-1,1,31),
   IF(IF(ISTEXT(D358),RIGHT(D358,4)-1=YEAR(RESULTADOS!$C$11),YEAR(D358)-1=YEAR(RESULTADOS!$C$11)),
      IF(LEFT(D358,2)="13",EOMONTH(RESULTADOS!$C$11,0),IF(MONTH(D358)=12,"13º "&amp;YEAR(D358),EOMONTH(D358,1))),
      IF(LEFT(D358,2)="13",DATE(RIGHT(D358,4)-1,1,31),IF(MONTH(D358)=12,"13º "&amp;YEAR(D358),EOMONTH(D358,1)))))))</f>
        <v/>
      </c>
      <c r="E359" s="342"/>
      <c r="F359" s="257"/>
      <c r="G359" s="251"/>
      <c r="I359" s="262" t="str">
        <f ca="1">RESULTADOS!O357</f>
        <v/>
      </c>
      <c r="J359" s="261" t="str">
        <f t="shared" ca="1" si="10"/>
        <v/>
      </c>
      <c r="K359" s="333"/>
      <c r="L359" s="336"/>
      <c r="N359" s="333"/>
    </row>
    <row r="360" spans="2:14" ht="15.6" x14ac:dyDescent="0.3">
      <c r="B360" s="251"/>
      <c r="C360" s="251"/>
      <c r="D360" s="258" t="str">
        <f ca="1">IF(D359="","",
IF(D359="13º "&amp;YEAR(RESULTADOS!$C$11),"",
IF(IFERROR(EOMONTH(D359,1)&gt;PREMISSAS!$C$3,"FALSO"),
   DATE(YEAR(D359)-1,1,31),
   IF(IF(ISTEXT(D359),RIGHT(D359,4)-1=YEAR(RESULTADOS!$C$11),YEAR(D359)-1=YEAR(RESULTADOS!$C$11)),
      IF(LEFT(D359,2)="13",EOMONTH(RESULTADOS!$C$11,0),IF(MONTH(D359)=12,"13º "&amp;YEAR(D359),EOMONTH(D359,1))),
      IF(LEFT(D359,2)="13",DATE(RIGHT(D359,4)-1,1,31),IF(MONTH(D359)=12,"13º "&amp;YEAR(D359),EOMONTH(D359,1)))))))</f>
        <v/>
      </c>
      <c r="E360" s="342"/>
      <c r="F360" s="257"/>
      <c r="G360" s="251"/>
      <c r="I360" s="262" t="str">
        <f ca="1">RESULTADOS!O358</f>
        <v/>
      </c>
      <c r="J360" s="261" t="str">
        <f t="shared" ca="1" si="10"/>
        <v/>
      </c>
      <c r="K360" s="333"/>
      <c r="L360" s="336"/>
      <c r="N360" s="333"/>
    </row>
    <row r="361" spans="2:14" ht="15.6" x14ac:dyDescent="0.3">
      <c r="B361" s="251"/>
      <c r="C361" s="251"/>
      <c r="D361" s="258" t="str">
        <f ca="1">IF(D360="","",
IF(D360="13º "&amp;YEAR(RESULTADOS!$C$11),"",
IF(IFERROR(EOMONTH(D360,1)&gt;PREMISSAS!$C$3,"FALSO"),
   DATE(YEAR(D360)-1,1,31),
   IF(IF(ISTEXT(D360),RIGHT(D360,4)-1=YEAR(RESULTADOS!$C$11),YEAR(D360)-1=YEAR(RESULTADOS!$C$11)),
      IF(LEFT(D360,2)="13",EOMONTH(RESULTADOS!$C$11,0),IF(MONTH(D360)=12,"13º "&amp;YEAR(D360),EOMONTH(D360,1))),
      IF(LEFT(D360,2)="13",DATE(RIGHT(D360,4)-1,1,31),IF(MONTH(D360)=12,"13º "&amp;YEAR(D360),EOMONTH(D360,1)))))))</f>
        <v/>
      </c>
      <c r="E361" s="342"/>
      <c r="F361" s="257"/>
      <c r="G361" s="251"/>
      <c r="I361" s="262" t="str">
        <f ca="1">RESULTADOS!O359</f>
        <v/>
      </c>
      <c r="J361" s="261" t="str">
        <f t="shared" ca="1" si="10"/>
        <v/>
      </c>
      <c r="K361" s="333"/>
      <c r="L361" s="336"/>
      <c r="N361" s="333"/>
    </row>
    <row r="362" spans="2:14" ht="15.6" x14ac:dyDescent="0.3">
      <c r="B362" s="251"/>
      <c r="C362" s="251"/>
      <c r="D362" s="258" t="str">
        <f ca="1">IF(D361="","",
IF(D361="13º "&amp;YEAR(RESULTADOS!$C$11),"",
IF(IFERROR(EOMONTH(D361,1)&gt;PREMISSAS!$C$3,"FALSO"),
   DATE(YEAR(D361)-1,1,31),
   IF(IF(ISTEXT(D361),RIGHT(D361,4)-1=YEAR(RESULTADOS!$C$11),YEAR(D361)-1=YEAR(RESULTADOS!$C$11)),
      IF(LEFT(D361,2)="13",EOMONTH(RESULTADOS!$C$11,0),IF(MONTH(D361)=12,"13º "&amp;YEAR(D361),EOMONTH(D361,1))),
      IF(LEFT(D361,2)="13",DATE(RIGHT(D361,4)-1,1,31),IF(MONTH(D361)=12,"13º "&amp;YEAR(D361),EOMONTH(D361,1)))))))</f>
        <v/>
      </c>
      <c r="E362" s="342"/>
      <c r="F362" s="257"/>
      <c r="G362" s="251"/>
      <c r="I362" s="262" t="str">
        <f ca="1">RESULTADOS!O360</f>
        <v/>
      </c>
      <c r="J362" s="261" t="str">
        <f t="shared" ca="1" si="10"/>
        <v/>
      </c>
      <c r="K362" s="333"/>
      <c r="L362" s="336"/>
      <c r="N362" s="333"/>
    </row>
    <row r="363" spans="2:14" ht="15.6" x14ac:dyDescent="0.3">
      <c r="B363" s="251"/>
      <c r="C363" s="251"/>
      <c r="D363" s="258" t="str">
        <f ca="1">IF(D362="","",
IF(D362="13º "&amp;YEAR(RESULTADOS!$C$11),"",
IF(IFERROR(EOMONTH(D362,1)&gt;PREMISSAS!$C$3,"FALSO"),
   DATE(YEAR(D362)-1,1,31),
   IF(IF(ISTEXT(D362),RIGHT(D362,4)-1=YEAR(RESULTADOS!$C$11),YEAR(D362)-1=YEAR(RESULTADOS!$C$11)),
      IF(LEFT(D362,2)="13",EOMONTH(RESULTADOS!$C$11,0),IF(MONTH(D362)=12,"13º "&amp;YEAR(D362),EOMONTH(D362,1))),
      IF(LEFT(D362,2)="13",DATE(RIGHT(D362,4)-1,1,31),IF(MONTH(D362)=12,"13º "&amp;YEAR(D362),EOMONTH(D362,1)))))))</f>
        <v/>
      </c>
      <c r="E363" s="342"/>
      <c r="F363" s="257"/>
      <c r="G363" s="251"/>
      <c r="I363" s="262" t="str">
        <f ca="1">RESULTADOS!O361</f>
        <v/>
      </c>
      <c r="J363" s="261" t="str">
        <f t="shared" ca="1" si="10"/>
        <v/>
      </c>
      <c r="K363" s="333"/>
      <c r="L363" s="336"/>
      <c r="N363" s="333"/>
    </row>
    <row r="364" spans="2:14" ht="15.6" x14ac:dyDescent="0.3">
      <c r="B364" s="251"/>
      <c r="C364" s="251"/>
      <c r="D364" s="258" t="str">
        <f ca="1">IF(D363="","",
IF(D363="13º "&amp;YEAR(RESULTADOS!$C$11),"",
IF(IFERROR(EOMONTH(D363,1)&gt;PREMISSAS!$C$3,"FALSO"),
   DATE(YEAR(D363)-1,1,31),
   IF(IF(ISTEXT(D363),RIGHT(D363,4)-1=YEAR(RESULTADOS!$C$11),YEAR(D363)-1=YEAR(RESULTADOS!$C$11)),
      IF(LEFT(D363,2)="13",EOMONTH(RESULTADOS!$C$11,0),IF(MONTH(D363)=12,"13º "&amp;YEAR(D363),EOMONTH(D363,1))),
      IF(LEFT(D363,2)="13",DATE(RIGHT(D363,4)-1,1,31),IF(MONTH(D363)=12,"13º "&amp;YEAR(D363),EOMONTH(D363,1)))))))</f>
        <v/>
      </c>
      <c r="E364" s="342"/>
      <c r="F364" s="257"/>
      <c r="G364" s="251"/>
      <c r="I364" s="262" t="str">
        <f ca="1">RESULTADOS!O362</f>
        <v/>
      </c>
      <c r="J364" s="261" t="str">
        <f t="shared" ca="1" si="10"/>
        <v/>
      </c>
      <c r="K364" s="333"/>
      <c r="L364" s="336"/>
      <c r="N364" s="333"/>
    </row>
    <row r="365" spans="2:14" ht="15.6" x14ac:dyDescent="0.3">
      <c r="B365" s="251"/>
      <c r="C365" s="251"/>
      <c r="D365" s="258" t="str">
        <f ca="1">IF(D364="","",
IF(D364="13º "&amp;YEAR(RESULTADOS!$C$11),"",
IF(IFERROR(EOMONTH(D364,1)&gt;PREMISSAS!$C$3,"FALSO"),
   DATE(YEAR(D364)-1,1,31),
   IF(IF(ISTEXT(D364),RIGHT(D364,4)-1=YEAR(RESULTADOS!$C$11),YEAR(D364)-1=YEAR(RESULTADOS!$C$11)),
      IF(LEFT(D364,2)="13",EOMONTH(RESULTADOS!$C$11,0),IF(MONTH(D364)=12,"13º "&amp;YEAR(D364),EOMONTH(D364,1))),
      IF(LEFT(D364,2)="13",DATE(RIGHT(D364,4)-1,1,31),IF(MONTH(D364)=12,"13º "&amp;YEAR(D364),EOMONTH(D364,1)))))))</f>
        <v/>
      </c>
      <c r="E365" s="342"/>
      <c r="F365" s="257"/>
      <c r="G365" s="251"/>
      <c r="I365" s="262" t="str">
        <f ca="1">RESULTADOS!O363</f>
        <v/>
      </c>
      <c r="J365" s="261" t="str">
        <f t="shared" ca="1" si="10"/>
        <v/>
      </c>
      <c r="K365" s="333"/>
      <c r="L365" s="336"/>
      <c r="N365" s="333"/>
    </row>
    <row r="366" spans="2:14" ht="15.6" x14ac:dyDescent="0.3">
      <c r="B366" s="251"/>
      <c r="C366" s="251"/>
      <c r="D366" s="258" t="str">
        <f ca="1">IF(D365="","",
IF(D365="13º "&amp;YEAR(RESULTADOS!$C$11),"",
IF(IFERROR(EOMONTH(D365,1)&gt;PREMISSAS!$C$3,"FALSO"),
   DATE(YEAR(D365)-1,1,31),
   IF(IF(ISTEXT(D365),RIGHT(D365,4)-1=YEAR(RESULTADOS!$C$11),YEAR(D365)-1=YEAR(RESULTADOS!$C$11)),
      IF(LEFT(D365,2)="13",EOMONTH(RESULTADOS!$C$11,0),IF(MONTH(D365)=12,"13º "&amp;YEAR(D365),EOMONTH(D365,1))),
      IF(LEFT(D365,2)="13",DATE(RIGHT(D365,4)-1,1,31),IF(MONTH(D365)=12,"13º "&amp;YEAR(D365),EOMONTH(D365,1)))))))</f>
        <v/>
      </c>
      <c r="E366" s="342"/>
      <c r="F366" s="257"/>
      <c r="G366" s="251"/>
      <c r="I366" s="262" t="str">
        <f ca="1">RESULTADOS!O364</f>
        <v/>
      </c>
      <c r="J366" s="261" t="str">
        <f t="shared" ca="1" si="10"/>
        <v/>
      </c>
      <c r="K366" s="333"/>
      <c r="L366" s="336"/>
      <c r="N366" s="333"/>
    </row>
    <row r="367" spans="2:14" ht="15.6" x14ac:dyDescent="0.3">
      <c r="B367" s="251"/>
      <c r="C367" s="251"/>
      <c r="D367" s="258" t="str">
        <f ca="1">IF(D366="","",
IF(D366="13º "&amp;YEAR(RESULTADOS!$C$11),"",
IF(IFERROR(EOMONTH(D366,1)&gt;PREMISSAS!$C$3,"FALSO"),
   DATE(YEAR(D366)-1,1,31),
   IF(IF(ISTEXT(D366),RIGHT(D366,4)-1=YEAR(RESULTADOS!$C$11),YEAR(D366)-1=YEAR(RESULTADOS!$C$11)),
      IF(LEFT(D366,2)="13",EOMONTH(RESULTADOS!$C$11,0),IF(MONTH(D366)=12,"13º "&amp;YEAR(D366),EOMONTH(D366,1))),
      IF(LEFT(D366,2)="13",DATE(RIGHT(D366,4)-1,1,31),IF(MONTH(D366)=12,"13º "&amp;YEAR(D366),EOMONTH(D366,1)))))))</f>
        <v/>
      </c>
      <c r="E367" s="342"/>
      <c r="F367" s="257"/>
      <c r="G367" s="251"/>
      <c r="I367" s="262" t="str">
        <f ca="1">RESULTADOS!O365</f>
        <v/>
      </c>
      <c r="J367" s="261" t="str">
        <f t="shared" ca="1" si="10"/>
        <v/>
      </c>
      <c r="K367" s="333"/>
      <c r="L367" s="336"/>
      <c r="N367" s="333"/>
    </row>
    <row r="368" spans="2:14" ht="15.6" x14ac:dyDescent="0.3">
      <c r="B368" s="251"/>
      <c r="C368" s="251"/>
      <c r="D368" s="258" t="str">
        <f ca="1">IF(D367="","",
IF(D367="13º "&amp;YEAR(RESULTADOS!$C$11),"",
IF(IFERROR(EOMONTH(D367,1)&gt;PREMISSAS!$C$3,"FALSO"),
   DATE(YEAR(D367)-1,1,31),
   IF(IF(ISTEXT(D367),RIGHT(D367,4)-1=YEAR(RESULTADOS!$C$11),YEAR(D367)-1=YEAR(RESULTADOS!$C$11)),
      IF(LEFT(D367,2)="13",EOMONTH(RESULTADOS!$C$11,0),IF(MONTH(D367)=12,"13º "&amp;YEAR(D367),EOMONTH(D367,1))),
      IF(LEFT(D367,2)="13",DATE(RIGHT(D367,4)-1,1,31),IF(MONTH(D367)=12,"13º "&amp;YEAR(D367),EOMONTH(D367,1)))))))</f>
        <v/>
      </c>
      <c r="E368" s="342"/>
      <c r="F368" s="257"/>
      <c r="G368" s="251"/>
      <c r="I368" s="262" t="str">
        <f ca="1">RESULTADOS!O366</f>
        <v/>
      </c>
      <c r="J368" s="261" t="str">
        <f t="shared" ca="1" si="10"/>
        <v/>
      </c>
      <c r="K368" s="333"/>
      <c r="L368" s="336"/>
      <c r="N368" s="333"/>
    </row>
    <row r="369" spans="2:14" ht="15.6" x14ac:dyDescent="0.3">
      <c r="B369" s="251"/>
      <c r="C369" s="251"/>
      <c r="D369" s="258" t="str">
        <f ca="1">IF(D368="","",
IF(D368="13º "&amp;YEAR(RESULTADOS!$C$11),"",
IF(IFERROR(EOMONTH(D368,1)&gt;PREMISSAS!$C$3,"FALSO"),
   DATE(YEAR(D368)-1,1,31),
   IF(IF(ISTEXT(D368),RIGHT(D368,4)-1=YEAR(RESULTADOS!$C$11),YEAR(D368)-1=YEAR(RESULTADOS!$C$11)),
      IF(LEFT(D368,2)="13",EOMONTH(RESULTADOS!$C$11,0),IF(MONTH(D368)=12,"13º "&amp;YEAR(D368),EOMONTH(D368,1))),
      IF(LEFT(D368,2)="13",DATE(RIGHT(D368,4)-1,1,31),IF(MONTH(D368)=12,"13º "&amp;YEAR(D368),EOMONTH(D368,1)))))))</f>
        <v/>
      </c>
      <c r="E369" s="342"/>
      <c r="F369" s="257"/>
      <c r="G369" s="251"/>
      <c r="I369" s="262" t="str">
        <f ca="1">RESULTADOS!O367</f>
        <v/>
      </c>
      <c r="J369" s="261" t="str">
        <f t="shared" ca="1" si="10"/>
        <v/>
      </c>
      <c r="K369" s="333"/>
      <c r="L369" s="336"/>
      <c r="N369" s="333"/>
    </row>
    <row r="370" spans="2:14" ht="15.6" x14ac:dyDescent="0.3">
      <c r="B370" s="251"/>
      <c r="C370" s="251"/>
      <c r="D370" s="258" t="str">
        <f ca="1">IF(D369="","",
IF(D369="13º "&amp;YEAR(RESULTADOS!$C$11),"",
IF(IFERROR(EOMONTH(D369,1)&gt;PREMISSAS!$C$3,"FALSO"),
   DATE(YEAR(D369)-1,1,31),
   IF(IF(ISTEXT(D369),RIGHT(D369,4)-1=YEAR(RESULTADOS!$C$11),YEAR(D369)-1=YEAR(RESULTADOS!$C$11)),
      IF(LEFT(D369,2)="13",EOMONTH(RESULTADOS!$C$11,0),IF(MONTH(D369)=12,"13º "&amp;YEAR(D369),EOMONTH(D369,1))),
      IF(LEFT(D369,2)="13",DATE(RIGHT(D369,4)-1,1,31),IF(MONTH(D369)=12,"13º "&amp;YEAR(D369),EOMONTH(D369,1)))))))</f>
        <v/>
      </c>
      <c r="E370" s="342"/>
      <c r="F370" s="257"/>
      <c r="G370" s="251"/>
      <c r="I370" s="262" t="str">
        <f ca="1">RESULTADOS!O368</f>
        <v/>
      </c>
      <c r="J370" s="261" t="str">
        <f t="shared" ca="1" si="10"/>
        <v/>
      </c>
      <c r="K370" s="333"/>
      <c r="L370" s="336"/>
      <c r="N370" s="333"/>
    </row>
    <row r="371" spans="2:14" ht="15.6" x14ac:dyDescent="0.3">
      <c r="B371" s="251"/>
      <c r="C371" s="251"/>
      <c r="D371" s="258" t="str">
        <f ca="1">IF(D370="","",
IF(D370="13º "&amp;YEAR(RESULTADOS!$C$11),"",
IF(IFERROR(EOMONTH(D370,1)&gt;PREMISSAS!$C$3,"FALSO"),
   DATE(YEAR(D370)-1,1,31),
   IF(IF(ISTEXT(D370),RIGHT(D370,4)-1=YEAR(RESULTADOS!$C$11),YEAR(D370)-1=YEAR(RESULTADOS!$C$11)),
      IF(LEFT(D370,2)="13",EOMONTH(RESULTADOS!$C$11,0),IF(MONTH(D370)=12,"13º "&amp;YEAR(D370),EOMONTH(D370,1))),
      IF(LEFT(D370,2)="13",DATE(RIGHT(D370,4)-1,1,31),IF(MONTH(D370)=12,"13º "&amp;YEAR(D370),EOMONTH(D370,1)))))))</f>
        <v/>
      </c>
      <c r="E371" s="342"/>
      <c r="F371" s="257"/>
      <c r="G371" s="251"/>
      <c r="I371" s="262" t="str">
        <f ca="1">RESULTADOS!O369</f>
        <v/>
      </c>
      <c r="J371" s="261" t="str">
        <f t="shared" ca="1" si="10"/>
        <v/>
      </c>
      <c r="K371" s="333"/>
      <c r="L371" s="336"/>
      <c r="N371" s="333"/>
    </row>
    <row r="372" spans="2:14" ht="15.6" x14ac:dyDescent="0.3">
      <c r="B372" s="251"/>
      <c r="C372" s="251"/>
      <c r="D372" s="258" t="str">
        <f ca="1">IF(D371="","",
IF(D371="13º "&amp;YEAR(RESULTADOS!$C$11),"",
IF(IFERROR(EOMONTH(D371,1)&gt;PREMISSAS!$C$3,"FALSO"),
   DATE(YEAR(D371)-1,1,31),
   IF(IF(ISTEXT(D371),RIGHT(D371,4)-1=YEAR(RESULTADOS!$C$11),YEAR(D371)-1=YEAR(RESULTADOS!$C$11)),
      IF(LEFT(D371,2)="13",EOMONTH(RESULTADOS!$C$11,0),IF(MONTH(D371)=12,"13º "&amp;YEAR(D371),EOMONTH(D371,1))),
      IF(LEFT(D371,2)="13",DATE(RIGHT(D371,4)-1,1,31),IF(MONTH(D371)=12,"13º "&amp;YEAR(D371),EOMONTH(D371,1)))))))</f>
        <v/>
      </c>
      <c r="E372" s="342"/>
      <c r="F372" s="257"/>
      <c r="G372" s="251"/>
      <c r="I372" s="262" t="str">
        <f ca="1">RESULTADOS!O370</f>
        <v/>
      </c>
      <c r="J372" s="261" t="str">
        <f t="shared" ca="1" si="10"/>
        <v/>
      </c>
      <c r="K372" s="333"/>
      <c r="L372" s="336"/>
      <c r="N372" s="333"/>
    </row>
    <row r="373" spans="2:14" ht="15.6" x14ac:dyDescent="0.3">
      <c r="B373" s="251"/>
      <c r="C373" s="251"/>
      <c r="D373" s="258" t="str">
        <f ca="1">IF(D372="","",
IF(D372="13º "&amp;YEAR(RESULTADOS!$C$11),"",
IF(IFERROR(EOMONTH(D372,1)&gt;PREMISSAS!$C$3,"FALSO"),
   DATE(YEAR(D372)-1,1,31),
   IF(IF(ISTEXT(D372),RIGHT(D372,4)-1=YEAR(RESULTADOS!$C$11),YEAR(D372)-1=YEAR(RESULTADOS!$C$11)),
      IF(LEFT(D372,2)="13",EOMONTH(RESULTADOS!$C$11,0),IF(MONTH(D372)=12,"13º "&amp;YEAR(D372),EOMONTH(D372,1))),
      IF(LEFT(D372,2)="13",DATE(RIGHT(D372,4)-1,1,31),IF(MONTH(D372)=12,"13º "&amp;YEAR(D372),EOMONTH(D372,1)))))))</f>
        <v/>
      </c>
      <c r="E373" s="342"/>
      <c r="F373" s="257"/>
      <c r="G373" s="251"/>
      <c r="I373" s="262" t="str">
        <f ca="1">RESULTADOS!O371</f>
        <v/>
      </c>
      <c r="J373" s="261" t="str">
        <f t="shared" ca="1" si="10"/>
        <v/>
      </c>
      <c r="K373" s="333"/>
      <c r="L373" s="336"/>
      <c r="N373" s="333"/>
    </row>
    <row r="374" spans="2:14" ht="15.6" x14ac:dyDescent="0.3">
      <c r="B374" s="251"/>
      <c r="C374" s="251"/>
      <c r="D374" s="258" t="str">
        <f ca="1">IF(D373="","",
IF(D373="13º "&amp;YEAR(RESULTADOS!$C$11),"",
IF(IFERROR(EOMONTH(D373,1)&gt;PREMISSAS!$C$3,"FALSO"),
   DATE(YEAR(D373)-1,1,31),
   IF(IF(ISTEXT(D373),RIGHT(D373,4)-1=YEAR(RESULTADOS!$C$11),YEAR(D373)-1=YEAR(RESULTADOS!$C$11)),
      IF(LEFT(D373,2)="13",EOMONTH(RESULTADOS!$C$11,0),IF(MONTH(D373)=12,"13º "&amp;YEAR(D373),EOMONTH(D373,1))),
      IF(LEFT(D373,2)="13",DATE(RIGHT(D373,4)-1,1,31),IF(MONTH(D373)=12,"13º "&amp;YEAR(D373),EOMONTH(D373,1)))))))</f>
        <v/>
      </c>
      <c r="E374" s="342"/>
      <c r="F374" s="257"/>
      <c r="G374" s="251"/>
      <c r="I374" s="262" t="str">
        <f ca="1">RESULTADOS!O372</f>
        <v/>
      </c>
      <c r="J374" s="261" t="str">
        <f t="shared" ca="1" si="10"/>
        <v/>
      </c>
      <c r="K374" s="333"/>
      <c r="L374" s="336"/>
      <c r="N374" s="333"/>
    </row>
    <row r="375" spans="2:14" ht="15.6" x14ac:dyDescent="0.3">
      <c r="B375" s="251"/>
      <c r="C375" s="251"/>
      <c r="D375" s="258" t="str">
        <f ca="1">IF(D374="","",
IF(D374="13º "&amp;YEAR(RESULTADOS!$C$11),"",
IF(IFERROR(EOMONTH(D374,1)&gt;PREMISSAS!$C$3,"FALSO"),
   DATE(YEAR(D374)-1,1,31),
   IF(IF(ISTEXT(D374),RIGHT(D374,4)-1=YEAR(RESULTADOS!$C$11),YEAR(D374)-1=YEAR(RESULTADOS!$C$11)),
      IF(LEFT(D374,2)="13",EOMONTH(RESULTADOS!$C$11,0),IF(MONTH(D374)=12,"13º "&amp;YEAR(D374),EOMONTH(D374,1))),
      IF(LEFT(D374,2)="13",DATE(RIGHT(D374,4)-1,1,31),IF(MONTH(D374)=12,"13º "&amp;YEAR(D374),EOMONTH(D374,1)))))))</f>
        <v/>
      </c>
      <c r="E375" s="342"/>
      <c r="F375" s="257"/>
      <c r="G375" s="251"/>
      <c r="I375" s="262" t="str">
        <f ca="1">RESULTADOS!O373</f>
        <v/>
      </c>
      <c r="J375" s="261" t="str">
        <f t="shared" ca="1" si="10"/>
        <v/>
      </c>
      <c r="K375" s="333"/>
      <c r="L375" s="336"/>
      <c r="N375" s="333"/>
    </row>
    <row r="376" spans="2:14" ht="15.6" x14ac:dyDescent="0.3">
      <c r="B376" s="251"/>
      <c r="C376" s="251"/>
      <c r="D376" s="258" t="str">
        <f ca="1">IF(D375="","",
IF(D375="13º "&amp;YEAR(RESULTADOS!$C$11),"",
IF(IFERROR(EOMONTH(D375,1)&gt;PREMISSAS!$C$3,"FALSO"),
   DATE(YEAR(D375)-1,1,31),
   IF(IF(ISTEXT(D375),RIGHT(D375,4)-1=YEAR(RESULTADOS!$C$11),YEAR(D375)-1=YEAR(RESULTADOS!$C$11)),
      IF(LEFT(D375,2)="13",EOMONTH(RESULTADOS!$C$11,0),IF(MONTH(D375)=12,"13º "&amp;YEAR(D375),EOMONTH(D375,1))),
      IF(LEFT(D375,2)="13",DATE(RIGHT(D375,4)-1,1,31),IF(MONTH(D375)=12,"13º "&amp;YEAR(D375),EOMONTH(D375,1)))))))</f>
        <v/>
      </c>
      <c r="E376" s="342"/>
      <c r="F376" s="257"/>
      <c r="G376" s="251"/>
      <c r="I376" s="262" t="str">
        <f ca="1">RESULTADOS!O374</f>
        <v/>
      </c>
      <c r="J376" s="261" t="str">
        <f t="shared" ca="1" si="10"/>
        <v/>
      </c>
      <c r="K376" s="333"/>
      <c r="L376" s="336"/>
      <c r="N376" s="333"/>
    </row>
    <row r="377" spans="2:14" ht="15.6" x14ac:dyDescent="0.3">
      <c r="B377" s="251"/>
      <c r="C377" s="251"/>
      <c r="D377" s="258" t="str">
        <f ca="1">IF(D376="","",
IF(D376="13º "&amp;YEAR(RESULTADOS!$C$11),"",
IF(IFERROR(EOMONTH(D376,1)&gt;PREMISSAS!$C$3,"FALSO"),
   DATE(YEAR(D376)-1,1,31),
   IF(IF(ISTEXT(D376),RIGHT(D376,4)-1=YEAR(RESULTADOS!$C$11),YEAR(D376)-1=YEAR(RESULTADOS!$C$11)),
      IF(LEFT(D376,2)="13",EOMONTH(RESULTADOS!$C$11,0),IF(MONTH(D376)=12,"13º "&amp;YEAR(D376),EOMONTH(D376,1))),
      IF(LEFT(D376,2)="13",DATE(RIGHT(D376,4)-1,1,31),IF(MONTH(D376)=12,"13º "&amp;YEAR(D376),EOMONTH(D376,1)))))))</f>
        <v/>
      </c>
      <c r="E377" s="342"/>
      <c r="F377" s="257"/>
      <c r="G377" s="251"/>
      <c r="I377" s="262" t="str">
        <f ca="1">RESULTADOS!O375</f>
        <v/>
      </c>
      <c r="J377" s="261" t="str">
        <f t="shared" ca="1" si="10"/>
        <v/>
      </c>
      <c r="K377" s="333"/>
      <c r="L377" s="336"/>
      <c r="N377" s="333"/>
    </row>
    <row r="378" spans="2:14" ht="15.6" x14ac:dyDescent="0.3">
      <c r="B378" s="251"/>
      <c r="C378" s="251"/>
      <c r="D378" s="258" t="str">
        <f ca="1">IF(D377="","",
IF(D377="13º "&amp;YEAR(RESULTADOS!$C$11),"",
IF(IFERROR(EOMONTH(D377,1)&gt;PREMISSAS!$C$3,"FALSO"),
   DATE(YEAR(D377)-1,1,31),
   IF(IF(ISTEXT(D377),RIGHT(D377,4)-1=YEAR(RESULTADOS!$C$11),YEAR(D377)-1=YEAR(RESULTADOS!$C$11)),
      IF(LEFT(D377,2)="13",EOMONTH(RESULTADOS!$C$11,0),IF(MONTH(D377)=12,"13º "&amp;YEAR(D377),EOMONTH(D377,1))),
      IF(LEFT(D377,2)="13",DATE(RIGHT(D377,4)-1,1,31),IF(MONTH(D377)=12,"13º "&amp;YEAR(D377),EOMONTH(D377,1)))))))</f>
        <v/>
      </c>
      <c r="E378" s="342"/>
      <c r="F378" s="257"/>
      <c r="G378" s="251"/>
      <c r="I378" s="262" t="str">
        <f ca="1">RESULTADOS!O376</f>
        <v/>
      </c>
      <c r="J378" s="261" t="str">
        <f t="shared" ca="1" si="10"/>
        <v/>
      </c>
      <c r="K378" s="333"/>
      <c r="L378" s="336"/>
      <c r="N378" s="333"/>
    </row>
    <row r="379" spans="2:14" ht="15.6" x14ac:dyDescent="0.3">
      <c r="B379" s="251"/>
      <c r="C379" s="251"/>
      <c r="D379" s="258" t="str">
        <f ca="1">IF(D378="","",
IF(D378="13º "&amp;YEAR(RESULTADOS!$C$11),"",
IF(IFERROR(EOMONTH(D378,1)&gt;PREMISSAS!$C$3,"FALSO"),
   DATE(YEAR(D378)-1,1,31),
   IF(IF(ISTEXT(D378),RIGHT(D378,4)-1=YEAR(RESULTADOS!$C$11),YEAR(D378)-1=YEAR(RESULTADOS!$C$11)),
      IF(LEFT(D378,2)="13",EOMONTH(RESULTADOS!$C$11,0),IF(MONTH(D378)=12,"13º "&amp;YEAR(D378),EOMONTH(D378,1))),
      IF(LEFT(D378,2)="13",DATE(RIGHT(D378,4)-1,1,31),IF(MONTH(D378)=12,"13º "&amp;YEAR(D378),EOMONTH(D378,1)))))))</f>
        <v/>
      </c>
      <c r="E379" s="342"/>
      <c r="F379" s="257"/>
      <c r="G379" s="251"/>
      <c r="I379" s="262" t="str">
        <f ca="1">RESULTADOS!O377</f>
        <v/>
      </c>
      <c r="J379" s="261" t="str">
        <f t="shared" ca="1" si="10"/>
        <v/>
      </c>
      <c r="K379" s="333"/>
      <c r="L379" s="336"/>
      <c r="N379" s="333"/>
    </row>
    <row r="380" spans="2:14" ht="15.6" x14ac:dyDescent="0.3">
      <c r="B380" s="251"/>
      <c r="C380" s="251"/>
      <c r="D380" s="258" t="str">
        <f ca="1">IF(D379="","",
IF(D379="13º "&amp;YEAR(RESULTADOS!$C$11),"",
IF(IFERROR(EOMONTH(D379,1)&gt;PREMISSAS!$C$3,"FALSO"),
   DATE(YEAR(D379)-1,1,31),
   IF(IF(ISTEXT(D379),RIGHT(D379,4)-1=YEAR(RESULTADOS!$C$11),YEAR(D379)-1=YEAR(RESULTADOS!$C$11)),
      IF(LEFT(D379,2)="13",EOMONTH(RESULTADOS!$C$11,0),IF(MONTH(D379)=12,"13º "&amp;YEAR(D379),EOMONTH(D379,1))),
      IF(LEFT(D379,2)="13",DATE(RIGHT(D379,4)-1,1,31),IF(MONTH(D379)=12,"13º "&amp;YEAR(D379),EOMONTH(D379,1)))))))</f>
        <v/>
      </c>
      <c r="E380" s="342"/>
      <c r="F380" s="257"/>
      <c r="G380" s="251"/>
      <c r="I380" s="262" t="str">
        <f ca="1">RESULTADOS!O378</f>
        <v/>
      </c>
      <c r="J380" s="261" t="str">
        <f t="shared" ca="1" si="10"/>
        <v/>
      </c>
      <c r="K380" s="333"/>
      <c r="L380" s="336"/>
      <c r="N380" s="333"/>
    </row>
    <row r="381" spans="2:14" ht="15.6" x14ac:dyDescent="0.3">
      <c r="B381" s="251"/>
      <c r="C381" s="251"/>
      <c r="D381" s="258" t="str">
        <f ca="1">IF(D380="","",
IF(D380="13º "&amp;YEAR(RESULTADOS!$C$11),"",
IF(IFERROR(EOMONTH(D380,1)&gt;PREMISSAS!$C$3,"FALSO"),
   DATE(YEAR(D380)-1,1,31),
   IF(IF(ISTEXT(D380),RIGHT(D380,4)-1=YEAR(RESULTADOS!$C$11),YEAR(D380)-1=YEAR(RESULTADOS!$C$11)),
      IF(LEFT(D380,2)="13",EOMONTH(RESULTADOS!$C$11,0),IF(MONTH(D380)=12,"13º "&amp;YEAR(D380),EOMONTH(D380,1))),
      IF(LEFT(D380,2)="13",DATE(RIGHT(D380,4)-1,1,31),IF(MONTH(D380)=12,"13º "&amp;YEAR(D380),EOMONTH(D380,1)))))))</f>
        <v/>
      </c>
      <c r="E381" s="342"/>
      <c r="F381" s="257"/>
      <c r="G381" s="251"/>
      <c r="I381" s="262" t="str">
        <f ca="1">RESULTADOS!O379</f>
        <v/>
      </c>
      <c r="J381" s="261" t="str">
        <f t="shared" ca="1" si="10"/>
        <v/>
      </c>
      <c r="K381" s="333"/>
      <c r="L381" s="336"/>
      <c r="N381" s="333"/>
    </row>
    <row r="382" spans="2:14" ht="15.6" x14ac:dyDescent="0.3">
      <c r="B382" s="251"/>
      <c r="C382" s="251"/>
      <c r="D382" s="258" t="str">
        <f ca="1">IF(D381="","",
IF(D381="13º "&amp;YEAR(RESULTADOS!$C$11),"",
IF(IFERROR(EOMONTH(D381,1)&gt;PREMISSAS!$C$3,"FALSO"),
   DATE(YEAR(D381)-1,1,31),
   IF(IF(ISTEXT(D381),RIGHT(D381,4)-1=YEAR(RESULTADOS!$C$11),YEAR(D381)-1=YEAR(RESULTADOS!$C$11)),
      IF(LEFT(D381,2)="13",EOMONTH(RESULTADOS!$C$11,0),IF(MONTH(D381)=12,"13º "&amp;YEAR(D381),EOMONTH(D381,1))),
      IF(LEFT(D381,2)="13",DATE(RIGHT(D381,4)-1,1,31),IF(MONTH(D381)=12,"13º "&amp;YEAR(D381),EOMONTH(D381,1)))))))</f>
        <v/>
      </c>
      <c r="E382" s="342"/>
      <c r="F382" s="257"/>
      <c r="G382" s="251"/>
      <c r="I382" s="262" t="str">
        <f ca="1">RESULTADOS!O380</f>
        <v/>
      </c>
      <c r="J382" s="261" t="str">
        <f t="shared" ca="1" si="10"/>
        <v/>
      </c>
      <c r="K382" s="333"/>
      <c r="L382" s="336"/>
      <c r="N382" s="333"/>
    </row>
    <row r="383" spans="2:14" ht="15.6" x14ac:dyDescent="0.3">
      <c r="B383" s="251"/>
      <c r="C383" s="251"/>
      <c r="D383" s="258" t="str">
        <f ca="1">IF(D382="","",
IF(D382="13º "&amp;YEAR(RESULTADOS!$C$11),"",
IF(IFERROR(EOMONTH(D382,1)&gt;PREMISSAS!$C$3,"FALSO"),
   DATE(YEAR(D382)-1,1,31),
   IF(IF(ISTEXT(D382),RIGHT(D382,4)-1=YEAR(RESULTADOS!$C$11),YEAR(D382)-1=YEAR(RESULTADOS!$C$11)),
      IF(LEFT(D382,2)="13",EOMONTH(RESULTADOS!$C$11,0),IF(MONTH(D382)=12,"13º "&amp;YEAR(D382),EOMONTH(D382,1))),
      IF(LEFT(D382,2)="13",DATE(RIGHT(D382,4)-1,1,31),IF(MONTH(D382)=12,"13º "&amp;YEAR(D382),EOMONTH(D382,1)))))))</f>
        <v/>
      </c>
      <c r="E383" s="342"/>
      <c r="F383" s="257"/>
      <c r="G383" s="251"/>
      <c r="I383" s="262" t="str">
        <f ca="1">RESULTADOS!O381</f>
        <v/>
      </c>
      <c r="J383" s="261" t="str">
        <f t="shared" ca="1" si="10"/>
        <v/>
      </c>
      <c r="K383" s="333"/>
      <c r="L383" s="336"/>
      <c r="N383" s="333"/>
    </row>
    <row r="384" spans="2:14" ht="15.6" x14ac:dyDescent="0.3">
      <c r="B384" s="251"/>
      <c r="C384" s="251"/>
      <c r="D384" s="258" t="str">
        <f ca="1">IF(D383="","",
IF(D383="13º "&amp;YEAR(RESULTADOS!$C$11),"",
IF(IFERROR(EOMONTH(D383,1)&gt;PREMISSAS!$C$3,"FALSO"),
   DATE(YEAR(D383)-1,1,31),
   IF(IF(ISTEXT(D383),RIGHT(D383,4)-1=YEAR(RESULTADOS!$C$11),YEAR(D383)-1=YEAR(RESULTADOS!$C$11)),
      IF(LEFT(D383,2)="13",EOMONTH(RESULTADOS!$C$11,0),IF(MONTH(D383)=12,"13º "&amp;YEAR(D383),EOMONTH(D383,1))),
      IF(LEFT(D383,2)="13",DATE(RIGHT(D383,4)-1,1,31),IF(MONTH(D383)=12,"13º "&amp;YEAR(D383),EOMONTH(D383,1)))))))</f>
        <v/>
      </c>
      <c r="E384" s="342"/>
      <c r="F384" s="257"/>
      <c r="G384" s="251"/>
      <c r="I384" s="262" t="str">
        <f ca="1">RESULTADOS!O382</f>
        <v/>
      </c>
      <c r="J384" s="261" t="str">
        <f t="shared" ca="1" si="10"/>
        <v/>
      </c>
      <c r="K384" s="333"/>
      <c r="L384" s="336"/>
      <c r="N384" s="333"/>
    </row>
    <row r="385" spans="2:14" ht="15.6" x14ac:dyDescent="0.3">
      <c r="B385" s="251"/>
      <c r="C385" s="251"/>
      <c r="D385" s="258" t="str">
        <f ca="1">IF(D384="","",
IF(D384="13º "&amp;YEAR(RESULTADOS!$C$11),"",
IF(IFERROR(EOMONTH(D384,1)&gt;PREMISSAS!$C$3,"FALSO"),
   DATE(YEAR(D384)-1,1,31),
   IF(IF(ISTEXT(D384),RIGHT(D384,4)-1=YEAR(RESULTADOS!$C$11),YEAR(D384)-1=YEAR(RESULTADOS!$C$11)),
      IF(LEFT(D384,2)="13",EOMONTH(RESULTADOS!$C$11,0),IF(MONTH(D384)=12,"13º "&amp;YEAR(D384),EOMONTH(D384,1))),
      IF(LEFT(D384,2)="13",DATE(RIGHT(D384,4)-1,1,31),IF(MONTH(D384)=12,"13º "&amp;YEAR(D384),EOMONTH(D384,1)))))))</f>
        <v/>
      </c>
      <c r="E385" s="342"/>
      <c r="F385" s="257"/>
      <c r="G385" s="251"/>
      <c r="I385" s="262" t="str">
        <f ca="1">RESULTADOS!O383</f>
        <v/>
      </c>
      <c r="J385" s="261" t="str">
        <f t="shared" ca="1" si="10"/>
        <v/>
      </c>
      <c r="K385" s="333"/>
      <c r="L385" s="336"/>
      <c r="N385" s="333"/>
    </row>
    <row r="386" spans="2:14" ht="15.6" x14ac:dyDescent="0.3">
      <c r="B386" s="251"/>
      <c r="C386" s="251"/>
      <c r="D386" s="258" t="str">
        <f ca="1">IF(D385="","",
IF(D385="13º "&amp;YEAR(RESULTADOS!$C$11),"",
IF(IFERROR(EOMONTH(D385,1)&gt;PREMISSAS!$C$3,"FALSO"),
   DATE(YEAR(D385)-1,1,31),
   IF(IF(ISTEXT(D385),RIGHT(D385,4)-1=YEAR(RESULTADOS!$C$11),YEAR(D385)-1=YEAR(RESULTADOS!$C$11)),
      IF(LEFT(D385,2)="13",EOMONTH(RESULTADOS!$C$11,0),IF(MONTH(D385)=12,"13º "&amp;YEAR(D385),EOMONTH(D385,1))),
      IF(LEFT(D385,2)="13",DATE(RIGHT(D385,4)-1,1,31),IF(MONTH(D385)=12,"13º "&amp;YEAR(D385),EOMONTH(D385,1)))))))</f>
        <v/>
      </c>
      <c r="E386" s="342"/>
      <c r="F386" s="257"/>
      <c r="G386" s="251"/>
      <c r="I386" s="262" t="str">
        <f ca="1">RESULTADOS!O384</f>
        <v/>
      </c>
      <c r="J386" s="261" t="str">
        <f t="shared" ca="1" si="10"/>
        <v/>
      </c>
      <c r="K386" s="333"/>
      <c r="L386" s="336"/>
      <c r="N386" s="333"/>
    </row>
    <row r="387" spans="2:14" ht="15.6" x14ac:dyDescent="0.3">
      <c r="B387" s="251"/>
      <c r="C387" s="251"/>
      <c r="D387" s="258" t="str">
        <f ca="1">IF(D386="","",
IF(D386="13º "&amp;YEAR(RESULTADOS!$C$11),"",
IF(IFERROR(EOMONTH(D386,1)&gt;PREMISSAS!$C$3,"FALSO"),
   DATE(YEAR(D386)-1,1,31),
   IF(IF(ISTEXT(D386),RIGHT(D386,4)-1=YEAR(RESULTADOS!$C$11),YEAR(D386)-1=YEAR(RESULTADOS!$C$11)),
      IF(LEFT(D386,2)="13",EOMONTH(RESULTADOS!$C$11,0),IF(MONTH(D386)=12,"13º "&amp;YEAR(D386),EOMONTH(D386,1))),
      IF(LEFT(D386,2)="13",DATE(RIGHT(D386,4)-1,1,31),IF(MONTH(D386)=12,"13º "&amp;YEAR(D386),EOMONTH(D386,1)))))))</f>
        <v/>
      </c>
      <c r="E387" s="342"/>
      <c r="F387" s="257"/>
      <c r="G387" s="251"/>
      <c r="I387" s="262" t="str">
        <f ca="1">RESULTADOS!O385</f>
        <v/>
      </c>
      <c r="J387" s="261" t="str">
        <f t="shared" ca="1" si="10"/>
        <v/>
      </c>
      <c r="K387" s="333"/>
      <c r="L387" s="336"/>
      <c r="N387" s="333"/>
    </row>
    <row r="388" spans="2:14" ht="15.6" x14ac:dyDescent="0.3">
      <c r="B388" s="251"/>
      <c r="C388" s="251"/>
      <c r="D388" s="258" t="str">
        <f ca="1">IF(D387="","",
IF(D387="13º "&amp;YEAR(RESULTADOS!$C$11),"",
IF(IFERROR(EOMONTH(D387,1)&gt;PREMISSAS!$C$3,"FALSO"),
   DATE(YEAR(D387)-1,1,31),
   IF(IF(ISTEXT(D387),RIGHT(D387,4)-1=YEAR(RESULTADOS!$C$11),YEAR(D387)-1=YEAR(RESULTADOS!$C$11)),
      IF(LEFT(D387,2)="13",EOMONTH(RESULTADOS!$C$11,0),IF(MONTH(D387)=12,"13º "&amp;YEAR(D387),EOMONTH(D387,1))),
      IF(LEFT(D387,2)="13",DATE(RIGHT(D387,4)-1,1,31),IF(MONTH(D387)=12,"13º "&amp;YEAR(D387),EOMONTH(D387,1)))))))</f>
        <v/>
      </c>
      <c r="E388" s="342"/>
      <c r="F388" s="257"/>
      <c r="G388" s="251"/>
      <c r="I388" s="262" t="str">
        <f ca="1">RESULTADOS!O386</f>
        <v/>
      </c>
      <c r="J388" s="261" t="str">
        <f t="shared" ca="1" si="10"/>
        <v/>
      </c>
      <c r="K388" s="333"/>
      <c r="L388" s="336"/>
      <c r="N388" s="333"/>
    </row>
    <row r="389" spans="2:14" ht="15.6" x14ac:dyDescent="0.3">
      <c r="B389" s="251"/>
      <c r="C389" s="251"/>
      <c r="D389" s="258" t="str">
        <f ca="1">IF(D388="","",
IF(D388="13º "&amp;YEAR(RESULTADOS!$C$11),"",
IF(IFERROR(EOMONTH(D388,1)&gt;PREMISSAS!$C$3,"FALSO"),
   DATE(YEAR(D388)-1,1,31),
   IF(IF(ISTEXT(D388),RIGHT(D388,4)-1=YEAR(RESULTADOS!$C$11),YEAR(D388)-1=YEAR(RESULTADOS!$C$11)),
      IF(LEFT(D388,2)="13",EOMONTH(RESULTADOS!$C$11,0),IF(MONTH(D388)=12,"13º "&amp;YEAR(D388),EOMONTH(D388,1))),
      IF(LEFT(D388,2)="13",DATE(RIGHT(D388,4)-1,1,31),IF(MONTH(D388)=12,"13º "&amp;YEAR(D388),EOMONTH(D388,1)))))))</f>
        <v/>
      </c>
      <c r="E389" s="342"/>
      <c r="F389" s="257"/>
      <c r="G389" s="251"/>
      <c r="I389" s="262" t="str">
        <f ca="1">RESULTADOS!O387</f>
        <v/>
      </c>
      <c r="J389" s="261" t="str">
        <f t="shared" ca="1" si="10"/>
        <v/>
      </c>
      <c r="K389" s="333"/>
      <c r="L389" s="336"/>
      <c r="N389" s="333"/>
    </row>
    <row r="390" spans="2:14" ht="15.6" x14ac:dyDescent="0.3">
      <c r="B390" s="251"/>
      <c r="C390" s="251"/>
      <c r="D390" s="258" t="str">
        <f ca="1">IF(D389="","",
IF(D389="13º "&amp;YEAR(RESULTADOS!$C$11),"",
IF(IFERROR(EOMONTH(D389,1)&gt;PREMISSAS!$C$3,"FALSO"),
   DATE(YEAR(D389)-1,1,31),
   IF(IF(ISTEXT(D389),RIGHT(D389,4)-1=YEAR(RESULTADOS!$C$11),YEAR(D389)-1=YEAR(RESULTADOS!$C$11)),
      IF(LEFT(D389,2)="13",EOMONTH(RESULTADOS!$C$11,0),IF(MONTH(D389)=12,"13º "&amp;YEAR(D389),EOMONTH(D389,1))),
      IF(LEFT(D389,2)="13",DATE(RIGHT(D389,4)-1,1,31),IF(MONTH(D389)=12,"13º "&amp;YEAR(D389),EOMONTH(D389,1)))))))</f>
        <v/>
      </c>
      <c r="E390" s="342"/>
      <c r="F390" s="257"/>
      <c r="G390" s="251"/>
      <c r="I390" s="262" t="str">
        <f ca="1">RESULTADOS!O388</f>
        <v/>
      </c>
      <c r="J390" s="261" t="str">
        <f t="shared" ca="1" si="10"/>
        <v/>
      </c>
      <c r="K390" s="333"/>
      <c r="L390" s="336"/>
      <c r="N390" s="333"/>
    </row>
    <row r="391" spans="2:14" ht="15.6" x14ac:dyDescent="0.3">
      <c r="B391" s="251"/>
      <c r="C391" s="251"/>
      <c r="D391" s="258" t="str">
        <f ca="1">IF(D390="","",
IF(D390="13º "&amp;YEAR(RESULTADOS!$C$11),"",
IF(IFERROR(EOMONTH(D390,1)&gt;PREMISSAS!$C$3,"FALSO"),
   DATE(YEAR(D390)-1,1,31),
   IF(IF(ISTEXT(D390),RIGHT(D390,4)-1=YEAR(RESULTADOS!$C$11),YEAR(D390)-1=YEAR(RESULTADOS!$C$11)),
      IF(LEFT(D390,2)="13",EOMONTH(RESULTADOS!$C$11,0),IF(MONTH(D390)=12,"13º "&amp;YEAR(D390),EOMONTH(D390,1))),
      IF(LEFT(D390,2)="13",DATE(RIGHT(D390,4)-1,1,31),IF(MONTH(D390)=12,"13º "&amp;YEAR(D390),EOMONTH(D390,1)))))))</f>
        <v/>
      </c>
      <c r="E391" s="342"/>
      <c r="F391" s="257"/>
      <c r="G391" s="251"/>
      <c r="I391" s="262" t="str">
        <f ca="1">RESULTADOS!O389</f>
        <v/>
      </c>
      <c r="J391" s="261" t="str">
        <f t="shared" ca="1" si="10"/>
        <v/>
      </c>
      <c r="K391" s="333"/>
      <c r="L391" s="336"/>
      <c r="N391" s="333"/>
    </row>
    <row r="392" spans="2:14" ht="15.6" x14ac:dyDescent="0.3">
      <c r="B392" s="251"/>
      <c r="C392" s="251"/>
      <c r="D392" s="258" t="str">
        <f ca="1">IF(D391="","",
IF(D391="13º "&amp;YEAR(RESULTADOS!$C$11),"",
IF(IFERROR(EOMONTH(D391,1)&gt;PREMISSAS!$C$3,"FALSO"),
   DATE(YEAR(D391)-1,1,31),
   IF(IF(ISTEXT(D391),RIGHT(D391,4)-1=YEAR(RESULTADOS!$C$11),YEAR(D391)-1=YEAR(RESULTADOS!$C$11)),
      IF(LEFT(D391,2)="13",EOMONTH(RESULTADOS!$C$11,0),IF(MONTH(D391)=12,"13º "&amp;YEAR(D391),EOMONTH(D391,1))),
      IF(LEFT(D391,2)="13",DATE(RIGHT(D391,4)-1,1,31),IF(MONTH(D391)=12,"13º "&amp;YEAR(D391),EOMONTH(D391,1)))))))</f>
        <v/>
      </c>
      <c r="E392" s="342"/>
      <c r="F392" s="257"/>
      <c r="G392" s="251"/>
      <c r="I392" s="262" t="str">
        <f ca="1">RESULTADOS!O390</f>
        <v/>
      </c>
      <c r="J392" s="261" t="str">
        <f t="shared" ref="J392:J455" ca="1" si="11">IF(I392="","",IFERROR(VLOOKUP(I392,$D$6:$E$656,2,0),""))</f>
        <v/>
      </c>
      <c r="K392" s="333"/>
      <c r="L392" s="336"/>
      <c r="N392" s="333"/>
    </row>
    <row r="393" spans="2:14" ht="15.6" x14ac:dyDescent="0.3">
      <c r="B393" s="251"/>
      <c r="C393" s="251"/>
      <c r="D393" s="258" t="str">
        <f ca="1">IF(D392="","",
IF(D392="13º "&amp;YEAR(RESULTADOS!$C$11),"",
IF(IFERROR(EOMONTH(D392,1)&gt;PREMISSAS!$C$3,"FALSO"),
   DATE(YEAR(D392)-1,1,31),
   IF(IF(ISTEXT(D392),RIGHT(D392,4)-1=YEAR(RESULTADOS!$C$11),YEAR(D392)-1=YEAR(RESULTADOS!$C$11)),
      IF(LEFT(D392,2)="13",EOMONTH(RESULTADOS!$C$11,0),IF(MONTH(D392)=12,"13º "&amp;YEAR(D392),EOMONTH(D392,1))),
      IF(LEFT(D392,2)="13",DATE(RIGHT(D392,4)-1,1,31),IF(MONTH(D392)=12,"13º "&amp;YEAR(D392),EOMONTH(D392,1)))))))</f>
        <v/>
      </c>
      <c r="E393" s="342"/>
      <c r="F393" s="257"/>
      <c r="G393" s="251"/>
      <c r="I393" s="262" t="str">
        <f ca="1">RESULTADOS!O391</f>
        <v/>
      </c>
      <c r="J393" s="261" t="str">
        <f t="shared" ca="1" si="11"/>
        <v/>
      </c>
      <c r="K393" s="333"/>
      <c r="L393" s="336"/>
      <c r="N393" s="333"/>
    </row>
    <row r="394" spans="2:14" ht="15.6" x14ac:dyDescent="0.3">
      <c r="B394" s="251"/>
      <c r="C394" s="251"/>
      <c r="D394" s="258" t="str">
        <f ca="1">IF(D393="","",
IF(D393="13º "&amp;YEAR(RESULTADOS!$C$11),"",
IF(IFERROR(EOMONTH(D393,1)&gt;PREMISSAS!$C$3,"FALSO"),
   DATE(YEAR(D393)-1,1,31),
   IF(IF(ISTEXT(D393),RIGHT(D393,4)-1=YEAR(RESULTADOS!$C$11),YEAR(D393)-1=YEAR(RESULTADOS!$C$11)),
      IF(LEFT(D393,2)="13",EOMONTH(RESULTADOS!$C$11,0),IF(MONTH(D393)=12,"13º "&amp;YEAR(D393),EOMONTH(D393,1))),
      IF(LEFT(D393,2)="13",DATE(RIGHT(D393,4)-1,1,31),IF(MONTH(D393)=12,"13º "&amp;YEAR(D393),EOMONTH(D393,1)))))))</f>
        <v/>
      </c>
      <c r="E394" s="342"/>
      <c r="F394" s="257"/>
      <c r="G394" s="251"/>
      <c r="I394" s="262" t="str">
        <f ca="1">RESULTADOS!O392</f>
        <v/>
      </c>
      <c r="J394" s="261" t="str">
        <f t="shared" ca="1" si="11"/>
        <v/>
      </c>
      <c r="K394" s="333"/>
      <c r="L394" s="336"/>
      <c r="N394" s="333"/>
    </row>
    <row r="395" spans="2:14" ht="15.6" x14ac:dyDescent="0.3">
      <c r="B395" s="251"/>
      <c r="C395" s="251"/>
      <c r="D395" s="258" t="str">
        <f ca="1">IF(D394="","",
IF(D394="13º "&amp;YEAR(RESULTADOS!$C$11),"",
IF(IFERROR(EOMONTH(D394,1)&gt;PREMISSAS!$C$3,"FALSO"),
   DATE(YEAR(D394)-1,1,31),
   IF(IF(ISTEXT(D394),RIGHT(D394,4)-1=YEAR(RESULTADOS!$C$11),YEAR(D394)-1=YEAR(RESULTADOS!$C$11)),
      IF(LEFT(D394,2)="13",EOMONTH(RESULTADOS!$C$11,0),IF(MONTH(D394)=12,"13º "&amp;YEAR(D394),EOMONTH(D394,1))),
      IF(LEFT(D394,2)="13",DATE(RIGHT(D394,4)-1,1,31),IF(MONTH(D394)=12,"13º "&amp;YEAR(D394),EOMONTH(D394,1)))))))</f>
        <v/>
      </c>
      <c r="E395" s="342"/>
      <c r="F395" s="257"/>
      <c r="G395" s="251"/>
      <c r="I395" s="262" t="str">
        <f ca="1">RESULTADOS!O393</f>
        <v/>
      </c>
      <c r="J395" s="261" t="str">
        <f t="shared" ca="1" si="11"/>
        <v/>
      </c>
      <c r="K395" s="333"/>
      <c r="L395" s="336"/>
      <c r="N395" s="333"/>
    </row>
    <row r="396" spans="2:14" ht="15.6" x14ac:dyDescent="0.3">
      <c r="B396" s="251"/>
      <c r="C396" s="251"/>
      <c r="D396" s="258" t="str">
        <f ca="1">IF(D395="","",
IF(D395="13º "&amp;YEAR(RESULTADOS!$C$11),"",
IF(IFERROR(EOMONTH(D395,1)&gt;PREMISSAS!$C$3,"FALSO"),
   DATE(YEAR(D395)-1,1,31),
   IF(IF(ISTEXT(D395),RIGHT(D395,4)-1=YEAR(RESULTADOS!$C$11),YEAR(D395)-1=YEAR(RESULTADOS!$C$11)),
      IF(LEFT(D395,2)="13",EOMONTH(RESULTADOS!$C$11,0),IF(MONTH(D395)=12,"13º "&amp;YEAR(D395),EOMONTH(D395,1))),
      IF(LEFT(D395,2)="13",DATE(RIGHT(D395,4)-1,1,31),IF(MONTH(D395)=12,"13º "&amp;YEAR(D395),EOMONTH(D395,1)))))))</f>
        <v/>
      </c>
      <c r="E396" s="342"/>
      <c r="F396" s="257"/>
      <c r="G396" s="251"/>
      <c r="I396" s="262" t="str">
        <f ca="1">RESULTADOS!O394</f>
        <v/>
      </c>
      <c r="J396" s="261" t="str">
        <f t="shared" ca="1" si="11"/>
        <v/>
      </c>
      <c r="K396" s="333"/>
      <c r="L396" s="336"/>
      <c r="N396" s="333"/>
    </row>
    <row r="397" spans="2:14" ht="15.6" x14ac:dyDescent="0.3">
      <c r="B397" s="251"/>
      <c r="C397" s="251"/>
      <c r="D397" s="258" t="str">
        <f ca="1">IF(D396="","",
IF(D396="13º "&amp;YEAR(RESULTADOS!$C$11),"",
IF(IFERROR(EOMONTH(D396,1)&gt;PREMISSAS!$C$3,"FALSO"),
   DATE(YEAR(D396)-1,1,31),
   IF(IF(ISTEXT(D396),RIGHT(D396,4)-1=YEAR(RESULTADOS!$C$11),YEAR(D396)-1=YEAR(RESULTADOS!$C$11)),
      IF(LEFT(D396,2)="13",EOMONTH(RESULTADOS!$C$11,0),IF(MONTH(D396)=12,"13º "&amp;YEAR(D396),EOMONTH(D396,1))),
      IF(LEFT(D396,2)="13",DATE(RIGHT(D396,4)-1,1,31),IF(MONTH(D396)=12,"13º "&amp;YEAR(D396),EOMONTH(D396,1)))))))</f>
        <v/>
      </c>
      <c r="E397" s="342"/>
      <c r="F397" s="257"/>
      <c r="G397" s="251"/>
      <c r="I397" s="262" t="str">
        <f ca="1">RESULTADOS!O395</f>
        <v/>
      </c>
      <c r="J397" s="261" t="str">
        <f t="shared" ca="1" si="11"/>
        <v/>
      </c>
      <c r="K397" s="333"/>
      <c r="L397" s="336"/>
      <c r="N397" s="333"/>
    </row>
    <row r="398" spans="2:14" ht="15.6" x14ac:dyDescent="0.3">
      <c r="B398" s="251"/>
      <c r="C398" s="251"/>
      <c r="D398" s="258" t="str">
        <f ca="1">IF(D397="","",
IF(D397="13º "&amp;YEAR(RESULTADOS!$C$11),"",
IF(IFERROR(EOMONTH(D397,1)&gt;PREMISSAS!$C$3,"FALSO"),
   DATE(YEAR(D397)-1,1,31),
   IF(IF(ISTEXT(D397),RIGHT(D397,4)-1=YEAR(RESULTADOS!$C$11),YEAR(D397)-1=YEAR(RESULTADOS!$C$11)),
      IF(LEFT(D397,2)="13",EOMONTH(RESULTADOS!$C$11,0),IF(MONTH(D397)=12,"13º "&amp;YEAR(D397),EOMONTH(D397,1))),
      IF(LEFT(D397,2)="13",DATE(RIGHT(D397,4)-1,1,31),IF(MONTH(D397)=12,"13º "&amp;YEAR(D397),EOMONTH(D397,1)))))))</f>
        <v/>
      </c>
      <c r="E398" s="342"/>
      <c r="F398" s="257"/>
      <c r="G398" s="251"/>
      <c r="I398" s="262" t="str">
        <f ca="1">RESULTADOS!O396</f>
        <v/>
      </c>
      <c r="J398" s="261" t="str">
        <f t="shared" ca="1" si="11"/>
        <v/>
      </c>
      <c r="K398" s="333"/>
      <c r="L398" s="336"/>
      <c r="N398" s="333"/>
    </row>
    <row r="399" spans="2:14" ht="15.6" x14ac:dyDescent="0.3">
      <c r="B399" s="251"/>
      <c r="C399" s="251"/>
      <c r="D399" s="258" t="str">
        <f ca="1">IF(D398="","",
IF(D398="13º "&amp;YEAR(RESULTADOS!$C$11),"",
IF(IFERROR(EOMONTH(D398,1)&gt;PREMISSAS!$C$3,"FALSO"),
   DATE(YEAR(D398)-1,1,31),
   IF(IF(ISTEXT(D398),RIGHT(D398,4)-1=YEAR(RESULTADOS!$C$11),YEAR(D398)-1=YEAR(RESULTADOS!$C$11)),
      IF(LEFT(D398,2)="13",EOMONTH(RESULTADOS!$C$11,0),IF(MONTH(D398)=12,"13º "&amp;YEAR(D398),EOMONTH(D398,1))),
      IF(LEFT(D398,2)="13",DATE(RIGHT(D398,4)-1,1,31),IF(MONTH(D398)=12,"13º "&amp;YEAR(D398),EOMONTH(D398,1)))))))</f>
        <v/>
      </c>
      <c r="E399" s="342"/>
      <c r="F399" s="257"/>
      <c r="G399" s="251"/>
      <c r="I399" s="262" t="str">
        <f ca="1">RESULTADOS!O397</f>
        <v/>
      </c>
      <c r="J399" s="261" t="str">
        <f t="shared" ca="1" si="11"/>
        <v/>
      </c>
      <c r="K399" s="333"/>
      <c r="L399" s="336"/>
      <c r="N399" s="333"/>
    </row>
    <row r="400" spans="2:14" ht="15.6" x14ac:dyDescent="0.3">
      <c r="B400" s="251"/>
      <c r="C400" s="251"/>
      <c r="D400" s="258" t="str">
        <f ca="1">IF(D399="","",
IF(D399="13º "&amp;YEAR(RESULTADOS!$C$11),"",
IF(IFERROR(EOMONTH(D399,1)&gt;PREMISSAS!$C$3,"FALSO"),
   DATE(YEAR(D399)-1,1,31),
   IF(IF(ISTEXT(D399),RIGHT(D399,4)-1=YEAR(RESULTADOS!$C$11),YEAR(D399)-1=YEAR(RESULTADOS!$C$11)),
      IF(LEFT(D399,2)="13",EOMONTH(RESULTADOS!$C$11,0),IF(MONTH(D399)=12,"13º "&amp;YEAR(D399),EOMONTH(D399,1))),
      IF(LEFT(D399,2)="13",DATE(RIGHT(D399,4)-1,1,31),IF(MONTH(D399)=12,"13º "&amp;YEAR(D399),EOMONTH(D399,1)))))))</f>
        <v/>
      </c>
      <c r="E400" s="342"/>
      <c r="F400" s="257"/>
      <c r="G400" s="251"/>
      <c r="I400" s="262" t="str">
        <f ca="1">RESULTADOS!O398</f>
        <v/>
      </c>
      <c r="J400" s="261" t="str">
        <f t="shared" ca="1" si="11"/>
        <v/>
      </c>
      <c r="K400" s="333"/>
      <c r="L400" s="336"/>
      <c r="N400" s="333"/>
    </row>
    <row r="401" spans="2:14" ht="15.6" x14ac:dyDescent="0.3">
      <c r="B401" s="251"/>
      <c r="C401" s="251"/>
      <c r="D401" s="258" t="str">
        <f ca="1">IF(D400="","",
IF(D400="13º "&amp;YEAR(RESULTADOS!$C$11),"",
IF(IFERROR(EOMONTH(D400,1)&gt;PREMISSAS!$C$3,"FALSO"),
   DATE(YEAR(D400)-1,1,31),
   IF(IF(ISTEXT(D400),RIGHT(D400,4)-1=YEAR(RESULTADOS!$C$11),YEAR(D400)-1=YEAR(RESULTADOS!$C$11)),
      IF(LEFT(D400,2)="13",EOMONTH(RESULTADOS!$C$11,0),IF(MONTH(D400)=12,"13º "&amp;YEAR(D400),EOMONTH(D400,1))),
      IF(LEFT(D400,2)="13",DATE(RIGHT(D400,4)-1,1,31),IF(MONTH(D400)=12,"13º "&amp;YEAR(D400),EOMONTH(D400,1)))))))</f>
        <v/>
      </c>
      <c r="E401" s="342"/>
      <c r="F401" s="257"/>
      <c r="G401" s="251"/>
      <c r="I401" s="262" t="str">
        <f ca="1">RESULTADOS!O399</f>
        <v/>
      </c>
      <c r="J401" s="261" t="str">
        <f t="shared" ca="1" si="11"/>
        <v/>
      </c>
      <c r="K401" s="333"/>
      <c r="L401" s="336"/>
      <c r="N401" s="333"/>
    </row>
    <row r="402" spans="2:14" ht="15.6" x14ac:dyDescent="0.3">
      <c r="B402" s="251"/>
      <c r="C402" s="251"/>
      <c r="D402" s="258" t="str">
        <f ca="1">IF(D401="","",
IF(D401="13º "&amp;YEAR(RESULTADOS!$C$11),"",
IF(IFERROR(EOMONTH(D401,1)&gt;PREMISSAS!$C$3,"FALSO"),
   DATE(YEAR(D401)-1,1,31),
   IF(IF(ISTEXT(D401),RIGHT(D401,4)-1=YEAR(RESULTADOS!$C$11),YEAR(D401)-1=YEAR(RESULTADOS!$C$11)),
      IF(LEFT(D401,2)="13",EOMONTH(RESULTADOS!$C$11,0),IF(MONTH(D401)=12,"13º "&amp;YEAR(D401),EOMONTH(D401,1))),
      IF(LEFT(D401,2)="13",DATE(RIGHT(D401,4)-1,1,31),IF(MONTH(D401)=12,"13º "&amp;YEAR(D401),EOMONTH(D401,1)))))))</f>
        <v/>
      </c>
      <c r="E402" s="342"/>
      <c r="F402" s="257"/>
      <c r="G402" s="251"/>
      <c r="I402" s="262" t="str">
        <f ca="1">RESULTADOS!O400</f>
        <v/>
      </c>
      <c r="J402" s="261" t="str">
        <f t="shared" ca="1" si="11"/>
        <v/>
      </c>
      <c r="K402" s="333"/>
      <c r="L402" s="336"/>
      <c r="N402" s="333"/>
    </row>
    <row r="403" spans="2:14" ht="15.6" x14ac:dyDescent="0.3">
      <c r="B403" s="251"/>
      <c r="C403" s="251"/>
      <c r="D403" s="258" t="str">
        <f ca="1">IF(D402="","",
IF(D402="13º "&amp;YEAR(RESULTADOS!$C$11),"",
IF(IFERROR(EOMONTH(D402,1)&gt;PREMISSAS!$C$3,"FALSO"),
   DATE(YEAR(D402)-1,1,31),
   IF(IF(ISTEXT(D402),RIGHT(D402,4)-1=YEAR(RESULTADOS!$C$11),YEAR(D402)-1=YEAR(RESULTADOS!$C$11)),
      IF(LEFT(D402,2)="13",EOMONTH(RESULTADOS!$C$11,0),IF(MONTH(D402)=12,"13º "&amp;YEAR(D402),EOMONTH(D402,1))),
      IF(LEFT(D402,2)="13",DATE(RIGHT(D402,4)-1,1,31),IF(MONTH(D402)=12,"13º "&amp;YEAR(D402),EOMONTH(D402,1)))))))</f>
        <v/>
      </c>
      <c r="E403" s="342"/>
      <c r="F403" s="257"/>
      <c r="G403" s="251"/>
      <c r="I403" s="262" t="str">
        <f ca="1">RESULTADOS!O401</f>
        <v/>
      </c>
      <c r="J403" s="261" t="str">
        <f t="shared" ca="1" si="11"/>
        <v/>
      </c>
      <c r="K403" s="333"/>
      <c r="L403" s="336"/>
      <c r="N403" s="333"/>
    </row>
    <row r="404" spans="2:14" ht="15.6" x14ac:dyDescent="0.3">
      <c r="B404" s="251"/>
      <c r="C404" s="251"/>
      <c r="D404" s="258" t="str">
        <f ca="1">IF(D403="","",
IF(D403="13º "&amp;YEAR(RESULTADOS!$C$11),"",
IF(IFERROR(EOMONTH(D403,1)&gt;PREMISSAS!$C$3,"FALSO"),
   DATE(YEAR(D403)-1,1,31),
   IF(IF(ISTEXT(D403),RIGHT(D403,4)-1=YEAR(RESULTADOS!$C$11),YEAR(D403)-1=YEAR(RESULTADOS!$C$11)),
      IF(LEFT(D403,2)="13",EOMONTH(RESULTADOS!$C$11,0),IF(MONTH(D403)=12,"13º "&amp;YEAR(D403),EOMONTH(D403,1))),
      IF(LEFT(D403,2)="13",DATE(RIGHT(D403,4)-1,1,31),IF(MONTH(D403)=12,"13º "&amp;YEAR(D403),EOMONTH(D403,1)))))))</f>
        <v/>
      </c>
      <c r="E404" s="342"/>
      <c r="F404" s="257"/>
      <c r="G404" s="251"/>
      <c r="I404" s="262" t="str">
        <f ca="1">RESULTADOS!O402</f>
        <v/>
      </c>
      <c r="J404" s="261" t="str">
        <f t="shared" ca="1" si="11"/>
        <v/>
      </c>
      <c r="K404" s="333"/>
      <c r="L404" s="336"/>
      <c r="N404" s="333"/>
    </row>
    <row r="405" spans="2:14" ht="15.6" x14ac:dyDescent="0.3">
      <c r="B405" s="251"/>
      <c r="C405" s="251"/>
      <c r="D405" s="258" t="str">
        <f ca="1">IF(D404="","",
IF(D404="13º "&amp;YEAR(RESULTADOS!$C$11),"",
IF(IFERROR(EOMONTH(D404,1)&gt;PREMISSAS!$C$3,"FALSO"),
   DATE(YEAR(D404)-1,1,31),
   IF(IF(ISTEXT(D404),RIGHT(D404,4)-1=YEAR(RESULTADOS!$C$11),YEAR(D404)-1=YEAR(RESULTADOS!$C$11)),
      IF(LEFT(D404,2)="13",EOMONTH(RESULTADOS!$C$11,0),IF(MONTH(D404)=12,"13º "&amp;YEAR(D404),EOMONTH(D404,1))),
      IF(LEFT(D404,2)="13",DATE(RIGHT(D404,4)-1,1,31),IF(MONTH(D404)=12,"13º "&amp;YEAR(D404),EOMONTH(D404,1)))))))</f>
        <v/>
      </c>
      <c r="E405" s="342"/>
      <c r="F405" s="257"/>
      <c r="G405" s="251"/>
      <c r="I405" s="262" t="str">
        <f ca="1">RESULTADOS!O403</f>
        <v/>
      </c>
      <c r="J405" s="261" t="str">
        <f t="shared" ca="1" si="11"/>
        <v/>
      </c>
      <c r="K405" s="333"/>
      <c r="L405" s="336"/>
      <c r="N405" s="333"/>
    </row>
    <row r="406" spans="2:14" ht="15.6" x14ac:dyDescent="0.3">
      <c r="B406" s="251"/>
      <c r="C406" s="251"/>
      <c r="D406" s="258" t="str">
        <f ca="1">IF(D405="","",
IF(D405="13º "&amp;YEAR(RESULTADOS!$C$11),"",
IF(IFERROR(EOMONTH(D405,1)&gt;PREMISSAS!$C$3,"FALSO"),
   DATE(YEAR(D405)-1,1,31),
   IF(IF(ISTEXT(D405),RIGHT(D405,4)-1=YEAR(RESULTADOS!$C$11),YEAR(D405)-1=YEAR(RESULTADOS!$C$11)),
      IF(LEFT(D405,2)="13",EOMONTH(RESULTADOS!$C$11,0),IF(MONTH(D405)=12,"13º "&amp;YEAR(D405),EOMONTH(D405,1))),
      IF(LEFT(D405,2)="13",DATE(RIGHT(D405,4)-1,1,31),IF(MONTH(D405)=12,"13º "&amp;YEAR(D405),EOMONTH(D405,1)))))))</f>
        <v/>
      </c>
      <c r="E406" s="342"/>
      <c r="F406" s="257"/>
      <c r="G406" s="251"/>
      <c r="I406" s="262" t="str">
        <f ca="1">RESULTADOS!O404</f>
        <v/>
      </c>
      <c r="J406" s="261" t="str">
        <f t="shared" ca="1" si="11"/>
        <v/>
      </c>
      <c r="K406" s="333"/>
      <c r="L406" s="336"/>
      <c r="N406" s="333"/>
    </row>
    <row r="407" spans="2:14" ht="15.6" x14ac:dyDescent="0.3">
      <c r="B407" s="251"/>
      <c r="C407" s="251"/>
      <c r="D407" s="258" t="str">
        <f ca="1">IF(D406="","",
IF(D406="13º "&amp;YEAR(RESULTADOS!$C$11),"",
IF(IFERROR(EOMONTH(D406,1)&gt;PREMISSAS!$C$3,"FALSO"),
   DATE(YEAR(D406)-1,1,31),
   IF(IF(ISTEXT(D406),RIGHT(D406,4)-1=YEAR(RESULTADOS!$C$11),YEAR(D406)-1=YEAR(RESULTADOS!$C$11)),
      IF(LEFT(D406,2)="13",EOMONTH(RESULTADOS!$C$11,0),IF(MONTH(D406)=12,"13º "&amp;YEAR(D406),EOMONTH(D406,1))),
      IF(LEFT(D406,2)="13",DATE(RIGHT(D406,4)-1,1,31),IF(MONTH(D406)=12,"13º "&amp;YEAR(D406),EOMONTH(D406,1)))))))</f>
        <v/>
      </c>
      <c r="E407" s="342"/>
      <c r="F407" s="257"/>
      <c r="G407" s="251"/>
      <c r="I407" s="262" t="str">
        <f ca="1">RESULTADOS!O405</f>
        <v/>
      </c>
      <c r="J407" s="261" t="str">
        <f t="shared" ca="1" si="11"/>
        <v/>
      </c>
      <c r="K407" s="333"/>
      <c r="L407" s="336"/>
      <c r="N407" s="333"/>
    </row>
    <row r="408" spans="2:14" ht="15.6" x14ac:dyDescent="0.3">
      <c r="B408" s="251"/>
      <c r="C408" s="251"/>
      <c r="D408" s="258" t="str">
        <f ca="1">IF(D407="","",
IF(D407="13º "&amp;YEAR(RESULTADOS!$C$11),"",
IF(IFERROR(EOMONTH(D407,1)&gt;PREMISSAS!$C$3,"FALSO"),
   DATE(YEAR(D407)-1,1,31),
   IF(IF(ISTEXT(D407),RIGHT(D407,4)-1=YEAR(RESULTADOS!$C$11),YEAR(D407)-1=YEAR(RESULTADOS!$C$11)),
      IF(LEFT(D407,2)="13",EOMONTH(RESULTADOS!$C$11,0),IF(MONTH(D407)=12,"13º "&amp;YEAR(D407),EOMONTH(D407,1))),
      IF(LEFT(D407,2)="13",DATE(RIGHT(D407,4)-1,1,31),IF(MONTH(D407)=12,"13º "&amp;YEAR(D407),EOMONTH(D407,1)))))))</f>
        <v/>
      </c>
      <c r="E408" s="342"/>
      <c r="F408" s="257"/>
      <c r="G408" s="251"/>
      <c r="I408" s="262" t="str">
        <f ca="1">RESULTADOS!O406</f>
        <v/>
      </c>
      <c r="J408" s="261" t="str">
        <f t="shared" ca="1" si="11"/>
        <v/>
      </c>
      <c r="K408" s="333"/>
      <c r="L408" s="336"/>
      <c r="N408" s="333"/>
    </row>
    <row r="409" spans="2:14" ht="15.6" x14ac:dyDescent="0.3">
      <c r="B409" s="251"/>
      <c r="C409" s="251"/>
      <c r="D409" s="258" t="str">
        <f ca="1">IF(D408="","",
IF(D408="13º "&amp;YEAR(RESULTADOS!$C$11),"",
IF(IFERROR(EOMONTH(D408,1)&gt;PREMISSAS!$C$3,"FALSO"),
   DATE(YEAR(D408)-1,1,31),
   IF(IF(ISTEXT(D408),RIGHT(D408,4)-1=YEAR(RESULTADOS!$C$11),YEAR(D408)-1=YEAR(RESULTADOS!$C$11)),
      IF(LEFT(D408,2)="13",EOMONTH(RESULTADOS!$C$11,0),IF(MONTH(D408)=12,"13º "&amp;YEAR(D408),EOMONTH(D408,1))),
      IF(LEFT(D408,2)="13",DATE(RIGHT(D408,4)-1,1,31),IF(MONTH(D408)=12,"13º "&amp;YEAR(D408),EOMONTH(D408,1)))))))</f>
        <v/>
      </c>
      <c r="E409" s="342"/>
      <c r="F409" s="257"/>
      <c r="G409" s="251"/>
      <c r="I409" s="262" t="str">
        <f ca="1">RESULTADOS!O407</f>
        <v/>
      </c>
      <c r="J409" s="261" t="str">
        <f t="shared" ca="1" si="11"/>
        <v/>
      </c>
      <c r="K409" s="333"/>
      <c r="L409" s="336"/>
      <c r="N409" s="333"/>
    </row>
    <row r="410" spans="2:14" ht="15.6" x14ac:dyDescent="0.3">
      <c r="B410" s="251"/>
      <c r="C410" s="251"/>
      <c r="D410" s="258" t="str">
        <f ca="1">IF(D409="","",
IF(D409="13º "&amp;YEAR(RESULTADOS!$C$11),"",
IF(IFERROR(EOMONTH(D409,1)&gt;PREMISSAS!$C$3,"FALSO"),
   DATE(YEAR(D409)-1,1,31),
   IF(IF(ISTEXT(D409),RIGHT(D409,4)-1=YEAR(RESULTADOS!$C$11),YEAR(D409)-1=YEAR(RESULTADOS!$C$11)),
      IF(LEFT(D409,2)="13",EOMONTH(RESULTADOS!$C$11,0),IF(MONTH(D409)=12,"13º "&amp;YEAR(D409),EOMONTH(D409,1))),
      IF(LEFT(D409,2)="13",DATE(RIGHT(D409,4)-1,1,31),IF(MONTH(D409)=12,"13º "&amp;YEAR(D409),EOMONTH(D409,1)))))))</f>
        <v/>
      </c>
      <c r="E410" s="342"/>
      <c r="F410" s="257"/>
      <c r="G410" s="251"/>
      <c r="I410" s="262" t="str">
        <f ca="1">RESULTADOS!O408</f>
        <v/>
      </c>
      <c r="J410" s="261" t="str">
        <f t="shared" ca="1" si="11"/>
        <v/>
      </c>
      <c r="K410" s="333"/>
      <c r="L410" s="336"/>
      <c r="N410" s="333"/>
    </row>
    <row r="411" spans="2:14" ht="15.6" x14ac:dyDescent="0.3">
      <c r="B411" s="251"/>
      <c r="C411" s="251"/>
      <c r="D411" s="258" t="str">
        <f ca="1">IF(D410="","",
IF(D410="13º "&amp;YEAR(RESULTADOS!$C$11),"",
IF(IFERROR(EOMONTH(D410,1)&gt;PREMISSAS!$C$3,"FALSO"),
   DATE(YEAR(D410)-1,1,31),
   IF(IF(ISTEXT(D410),RIGHT(D410,4)-1=YEAR(RESULTADOS!$C$11),YEAR(D410)-1=YEAR(RESULTADOS!$C$11)),
      IF(LEFT(D410,2)="13",EOMONTH(RESULTADOS!$C$11,0),IF(MONTH(D410)=12,"13º "&amp;YEAR(D410),EOMONTH(D410,1))),
      IF(LEFT(D410,2)="13",DATE(RIGHT(D410,4)-1,1,31),IF(MONTH(D410)=12,"13º "&amp;YEAR(D410),EOMONTH(D410,1)))))))</f>
        <v/>
      </c>
      <c r="E411" s="342"/>
      <c r="F411" s="257"/>
      <c r="G411" s="251"/>
      <c r="I411" s="262" t="str">
        <f ca="1">RESULTADOS!O409</f>
        <v/>
      </c>
      <c r="J411" s="261" t="str">
        <f t="shared" ca="1" si="11"/>
        <v/>
      </c>
      <c r="K411" s="333"/>
      <c r="L411" s="336"/>
      <c r="N411" s="333"/>
    </row>
    <row r="412" spans="2:14" ht="15.6" x14ac:dyDescent="0.3">
      <c r="B412" s="251"/>
      <c r="C412" s="251"/>
      <c r="D412" s="258" t="str">
        <f ca="1">IF(D411="","",
IF(D411="13º "&amp;YEAR(RESULTADOS!$C$11),"",
IF(IFERROR(EOMONTH(D411,1)&gt;PREMISSAS!$C$3,"FALSO"),
   DATE(YEAR(D411)-1,1,31),
   IF(IF(ISTEXT(D411),RIGHT(D411,4)-1=YEAR(RESULTADOS!$C$11),YEAR(D411)-1=YEAR(RESULTADOS!$C$11)),
      IF(LEFT(D411,2)="13",EOMONTH(RESULTADOS!$C$11,0),IF(MONTH(D411)=12,"13º "&amp;YEAR(D411),EOMONTH(D411,1))),
      IF(LEFT(D411,2)="13",DATE(RIGHT(D411,4)-1,1,31),IF(MONTH(D411)=12,"13º "&amp;YEAR(D411),EOMONTH(D411,1)))))))</f>
        <v/>
      </c>
      <c r="E412" s="342"/>
      <c r="F412" s="257"/>
      <c r="G412" s="251"/>
      <c r="I412" s="262" t="str">
        <f ca="1">RESULTADOS!O410</f>
        <v/>
      </c>
      <c r="J412" s="261" t="str">
        <f t="shared" ca="1" si="11"/>
        <v/>
      </c>
      <c r="K412" s="333"/>
      <c r="L412" s="336"/>
      <c r="N412" s="333"/>
    </row>
    <row r="413" spans="2:14" ht="15.6" x14ac:dyDescent="0.3">
      <c r="B413" s="251"/>
      <c r="C413" s="251"/>
      <c r="D413" s="258" t="str">
        <f ca="1">IF(D412="","",
IF(D412="13º "&amp;YEAR(RESULTADOS!$C$11),"",
IF(IFERROR(EOMONTH(D412,1)&gt;PREMISSAS!$C$3,"FALSO"),
   DATE(YEAR(D412)-1,1,31),
   IF(IF(ISTEXT(D412),RIGHT(D412,4)-1=YEAR(RESULTADOS!$C$11),YEAR(D412)-1=YEAR(RESULTADOS!$C$11)),
      IF(LEFT(D412,2)="13",EOMONTH(RESULTADOS!$C$11,0),IF(MONTH(D412)=12,"13º "&amp;YEAR(D412),EOMONTH(D412,1))),
      IF(LEFT(D412,2)="13",DATE(RIGHT(D412,4)-1,1,31),IF(MONTH(D412)=12,"13º "&amp;YEAR(D412),EOMONTH(D412,1)))))))</f>
        <v/>
      </c>
      <c r="E413" s="342"/>
      <c r="F413" s="257"/>
      <c r="G413" s="251"/>
      <c r="I413" s="262" t="str">
        <f ca="1">RESULTADOS!O411</f>
        <v/>
      </c>
      <c r="J413" s="261" t="str">
        <f t="shared" ca="1" si="11"/>
        <v/>
      </c>
      <c r="K413" s="333"/>
      <c r="L413" s="336"/>
      <c r="N413" s="333"/>
    </row>
    <row r="414" spans="2:14" ht="15.6" x14ac:dyDescent="0.3">
      <c r="B414" s="251"/>
      <c r="C414" s="251"/>
      <c r="D414" s="258" t="str">
        <f ca="1">IF(D413="","",
IF(D413="13º "&amp;YEAR(RESULTADOS!$C$11),"",
IF(IFERROR(EOMONTH(D413,1)&gt;PREMISSAS!$C$3,"FALSO"),
   DATE(YEAR(D413)-1,1,31),
   IF(IF(ISTEXT(D413),RIGHT(D413,4)-1=YEAR(RESULTADOS!$C$11),YEAR(D413)-1=YEAR(RESULTADOS!$C$11)),
      IF(LEFT(D413,2)="13",EOMONTH(RESULTADOS!$C$11,0),IF(MONTH(D413)=12,"13º "&amp;YEAR(D413),EOMONTH(D413,1))),
      IF(LEFT(D413,2)="13",DATE(RIGHT(D413,4)-1,1,31),IF(MONTH(D413)=12,"13º "&amp;YEAR(D413),EOMONTH(D413,1)))))))</f>
        <v/>
      </c>
      <c r="E414" s="342"/>
      <c r="F414" s="257"/>
      <c r="G414" s="251"/>
      <c r="I414" s="262" t="str">
        <f ca="1">RESULTADOS!O412</f>
        <v/>
      </c>
      <c r="J414" s="261" t="str">
        <f t="shared" ca="1" si="11"/>
        <v/>
      </c>
      <c r="K414" s="333"/>
      <c r="L414" s="336"/>
      <c r="N414" s="333"/>
    </row>
    <row r="415" spans="2:14" ht="15.6" x14ac:dyDescent="0.3">
      <c r="B415" s="251"/>
      <c r="C415" s="251"/>
      <c r="D415" s="258" t="str">
        <f ca="1">IF(D414="","",
IF(D414="13º "&amp;YEAR(RESULTADOS!$C$11),"",
IF(IFERROR(EOMONTH(D414,1)&gt;PREMISSAS!$C$3,"FALSO"),
   DATE(YEAR(D414)-1,1,31),
   IF(IF(ISTEXT(D414),RIGHT(D414,4)-1=YEAR(RESULTADOS!$C$11),YEAR(D414)-1=YEAR(RESULTADOS!$C$11)),
      IF(LEFT(D414,2)="13",EOMONTH(RESULTADOS!$C$11,0),IF(MONTH(D414)=12,"13º "&amp;YEAR(D414),EOMONTH(D414,1))),
      IF(LEFT(D414,2)="13",DATE(RIGHT(D414,4)-1,1,31),IF(MONTH(D414)=12,"13º "&amp;YEAR(D414),EOMONTH(D414,1)))))))</f>
        <v/>
      </c>
      <c r="E415" s="342"/>
      <c r="F415" s="257"/>
      <c r="G415" s="251"/>
      <c r="I415" s="262" t="str">
        <f ca="1">RESULTADOS!O413</f>
        <v/>
      </c>
      <c r="J415" s="261" t="str">
        <f t="shared" ca="1" si="11"/>
        <v/>
      </c>
      <c r="K415" s="333"/>
      <c r="L415" s="336"/>
      <c r="N415" s="333"/>
    </row>
    <row r="416" spans="2:14" ht="15.6" x14ac:dyDescent="0.3">
      <c r="B416" s="251"/>
      <c r="C416" s="251"/>
      <c r="D416" s="258" t="str">
        <f ca="1">IF(D415="","",
IF(D415="13º "&amp;YEAR(RESULTADOS!$C$11),"",
IF(IFERROR(EOMONTH(D415,1)&gt;PREMISSAS!$C$3,"FALSO"),
   DATE(YEAR(D415)-1,1,31),
   IF(IF(ISTEXT(D415),RIGHT(D415,4)-1=YEAR(RESULTADOS!$C$11),YEAR(D415)-1=YEAR(RESULTADOS!$C$11)),
      IF(LEFT(D415,2)="13",EOMONTH(RESULTADOS!$C$11,0),IF(MONTH(D415)=12,"13º "&amp;YEAR(D415),EOMONTH(D415,1))),
      IF(LEFT(D415,2)="13",DATE(RIGHT(D415,4)-1,1,31),IF(MONTH(D415)=12,"13º "&amp;YEAR(D415),EOMONTH(D415,1)))))))</f>
        <v/>
      </c>
      <c r="E416" s="342"/>
      <c r="F416" s="257"/>
      <c r="G416" s="251"/>
      <c r="I416" s="262" t="str">
        <f ca="1">RESULTADOS!O414</f>
        <v/>
      </c>
      <c r="J416" s="261" t="str">
        <f t="shared" ca="1" si="11"/>
        <v/>
      </c>
      <c r="K416" s="333"/>
      <c r="L416" s="336"/>
      <c r="N416" s="333"/>
    </row>
    <row r="417" spans="2:14" ht="15.6" x14ac:dyDescent="0.3">
      <c r="B417" s="251"/>
      <c r="C417" s="251"/>
      <c r="D417" s="258" t="str">
        <f ca="1">IF(D416="","",
IF(D416="13º "&amp;YEAR(RESULTADOS!$C$11),"",
IF(IFERROR(EOMONTH(D416,1)&gt;PREMISSAS!$C$3,"FALSO"),
   DATE(YEAR(D416)-1,1,31),
   IF(IF(ISTEXT(D416),RIGHT(D416,4)-1=YEAR(RESULTADOS!$C$11),YEAR(D416)-1=YEAR(RESULTADOS!$C$11)),
      IF(LEFT(D416,2)="13",EOMONTH(RESULTADOS!$C$11,0),IF(MONTH(D416)=12,"13º "&amp;YEAR(D416),EOMONTH(D416,1))),
      IF(LEFT(D416,2)="13",DATE(RIGHT(D416,4)-1,1,31),IF(MONTH(D416)=12,"13º "&amp;YEAR(D416),EOMONTH(D416,1)))))))</f>
        <v/>
      </c>
      <c r="E417" s="342"/>
      <c r="F417" s="257"/>
      <c r="G417" s="251"/>
      <c r="I417" s="262" t="str">
        <f ca="1">RESULTADOS!O415</f>
        <v/>
      </c>
      <c r="J417" s="261" t="str">
        <f t="shared" ca="1" si="11"/>
        <v/>
      </c>
      <c r="K417" s="333"/>
      <c r="L417" s="336"/>
      <c r="N417" s="333"/>
    </row>
    <row r="418" spans="2:14" ht="15.6" x14ac:dyDescent="0.3">
      <c r="B418" s="251"/>
      <c r="C418" s="251"/>
      <c r="D418" s="258" t="str">
        <f ca="1">IF(D417="","",
IF(D417="13º "&amp;YEAR(RESULTADOS!$C$11),"",
IF(IFERROR(EOMONTH(D417,1)&gt;PREMISSAS!$C$3,"FALSO"),
   DATE(YEAR(D417)-1,1,31),
   IF(IF(ISTEXT(D417),RIGHT(D417,4)-1=YEAR(RESULTADOS!$C$11),YEAR(D417)-1=YEAR(RESULTADOS!$C$11)),
      IF(LEFT(D417,2)="13",EOMONTH(RESULTADOS!$C$11,0),IF(MONTH(D417)=12,"13º "&amp;YEAR(D417),EOMONTH(D417,1))),
      IF(LEFT(D417,2)="13",DATE(RIGHT(D417,4)-1,1,31),IF(MONTH(D417)=12,"13º "&amp;YEAR(D417),EOMONTH(D417,1)))))))</f>
        <v/>
      </c>
      <c r="E418" s="342"/>
      <c r="F418" s="257"/>
      <c r="G418" s="251"/>
      <c r="I418" s="262" t="str">
        <f ca="1">RESULTADOS!O416</f>
        <v/>
      </c>
      <c r="J418" s="261" t="str">
        <f t="shared" ca="1" si="11"/>
        <v/>
      </c>
      <c r="K418" s="333"/>
      <c r="L418" s="336"/>
      <c r="N418" s="333"/>
    </row>
    <row r="419" spans="2:14" ht="15.6" x14ac:dyDescent="0.3">
      <c r="B419" s="251"/>
      <c r="C419" s="251"/>
      <c r="D419" s="258" t="str">
        <f ca="1">IF(D418="","",
IF(D418="13º "&amp;YEAR(RESULTADOS!$C$11),"",
IF(IFERROR(EOMONTH(D418,1)&gt;PREMISSAS!$C$3,"FALSO"),
   DATE(YEAR(D418)-1,1,31),
   IF(IF(ISTEXT(D418),RIGHT(D418,4)-1=YEAR(RESULTADOS!$C$11),YEAR(D418)-1=YEAR(RESULTADOS!$C$11)),
      IF(LEFT(D418,2)="13",EOMONTH(RESULTADOS!$C$11,0),IF(MONTH(D418)=12,"13º "&amp;YEAR(D418),EOMONTH(D418,1))),
      IF(LEFT(D418,2)="13",DATE(RIGHT(D418,4)-1,1,31),IF(MONTH(D418)=12,"13º "&amp;YEAR(D418),EOMONTH(D418,1)))))))</f>
        <v/>
      </c>
      <c r="E419" s="342"/>
      <c r="F419" s="257"/>
      <c r="G419" s="251"/>
      <c r="I419" s="262" t="str">
        <f ca="1">RESULTADOS!O417</f>
        <v/>
      </c>
      <c r="J419" s="261" t="str">
        <f t="shared" ca="1" si="11"/>
        <v/>
      </c>
      <c r="K419" s="333"/>
      <c r="L419" s="336"/>
      <c r="N419" s="333"/>
    </row>
    <row r="420" spans="2:14" ht="15.6" x14ac:dyDescent="0.3">
      <c r="B420" s="251"/>
      <c r="C420" s="251"/>
      <c r="D420" s="258" t="str">
        <f ca="1">IF(D419="","",
IF(D419="13º "&amp;YEAR(RESULTADOS!$C$11),"",
IF(IFERROR(EOMONTH(D419,1)&gt;PREMISSAS!$C$3,"FALSO"),
   DATE(YEAR(D419)-1,1,31),
   IF(IF(ISTEXT(D419),RIGHT(D419,4)-1=YEAR(RESULTADOS!$C$11),YEAR(D419)-1=YEAR(RESULTADOS!$C$11)),
      IF(LEFT(D419,2)="13",EOMONTH(RESULTADOS!$C$11,0),IF(MONTH(D419)=12,"13º "&amp;YEAR(D419),EOMONTH(D419,1))),
      IF(LEFT(D419,2)="13",DATE(RIGHT(D419,4)-1,1,31),IF(MONTH(D419)=12,"13º "&amp;YEAR(D419),EOMONTH(D419,1)))))))</f>
        <v/>
      </c>
      <c r="E420" s="342"/>
      <c r="F420" s="257"/>
      <c r="G420" s="251"/>
      <c r="I420" s="262" t="str">
        <f ca="1">RESULTADOS!O418</f>
        <v/>
      </c>
      <c r="J420" s="261" t="str">
        <f t="shared" ca="1" si="11"/>
        <v/>
      </c>
      <c r="K420" s="333"/>
      <c r="L420" s="336"/>
      <c r="N420" s="333"/>
    </row>
    <row r="421" spans="2:14" ht="15.6" x14ac:dyDescent="0.3">
      <c r="B421" s="251"/>
      <c r="C421" s="251"/>
      <c r="D421" s="258" t="str">
        <f ca="1">IF(D420="","",
IF(D420="13º "&amp;YEAR(RESULTADOS!$C$11),"",
IF(IFERROR(EOMONTH(D420,1)&gt;PREMISSAS!$C$3,"FALSO"),
   DATE(YEAR(D420)-1,1,31),
   IF(IF(ISTEXT(D420),RIGHT(D420,4)-1=YEAR(RESULTADOS!$C$11),YEAR(D420)-1=YEAR(RESULTADOS!$C$11)),
      IF(LEFT(D420,2)="13",EOMONTH(RESULTADOS!$C$11,0),IF(MONTH(D420)=12,"13º "&amp;YEAR(D420),EOMONTH(D420,1))),
      IF(LEFT(D420,2)="13",DATE(RIGHT(D420,4)-1,1,31),IF(MONTH(D420)=12,"13º "&amp;YEAR(D420),EOMONTH(D420,1)))))))</f>
        <v/>
      </c>
      <c r="E421" s="342"/>
      <c r="F421" s="257"/>
      <c r="G421" s="251"/>
      <c r="I421" s="262" t="str">
        <f ca="1">RESULTADOS!O419</f>
        <v/>
      </c>
      <c r="J421" s="261" t="str">
        <f t="shared" ca="1" si="11"/>
        <v/>
      </c>
      <c r="K421" s="333"/>
      <c r="L421" s="336"/>
      <c r="N421" s="333"/>
    </row>
    <row r="422" spans="2:14" ht="15.6" x14ac:dyDescent="0.3">
      <c r="B422" s="251"/>
      <c r="C422" s="251"/>
      <c r="D422" s="258" t="str">
        <f ca="1">IF(D421="","",
IF(D421="13º "&amp;YEAR(RESULTADOS!$C$11),"",
IF(IFERROR(EOMONTH(D421,1)&gt;PREMISSAS!$C$3,"FALSO"),
   DATE(YEAR(D421)-1,1,31),
   IF(IF(ISTEXT(D421),RIGHT(D421,4)-1=YEAR(RESULTADOS!$C$11),YEAR(D421)-1=YEAR(RESULTADOS!$C$11)),
      IF(LEFT(D421,2)="13",EOMONTH(RESULTADOS!$C$11,0),IF(MONTH(D421)=12,"13º "&amp;YEAR(D421),EOMONTH(D421,1))),
      IF(LEFT(D421,2)="13",DATE(RIGHT(D421,4)-1,1,31),IF(MONTH(D421)=12,"13º "&amp;YEAR(D421),EOMONTH(D421,1)))))))</f>
        <v/>
      </c>
      <c r="E422" s="342"/>
      <c r="F422" s="257"/>
      <c r="G422" s="251"/>
      <c r="I422" s="262" t="str">
        <f ca="1">RESULTADOS!O420</f>
        <v/>
      </c>
      <c r="J422" s="261" t="str">
        <f t="shared" ca="1" si="11"/>
        <v/>
      </c>
      <c r="K422" s="333"/>
      <c r="L422" s="336"/>
      <c r="N422" s="333"/>
    </row>
    <row r="423" spans="2:14" ht="15.6" x14ac:dyDescent="0.3">
      <c r="B423" s="251"/>
      <c r="C423" s="251"/>
      <c r="D423" s="258" t="str">
        <f ca="1">IF(D422="","",
IF(D422="13º "&amp;YEAR(RESULTADOS!$C$11),"",
IF(IFERROR(EOMONTH(D422,1)&gt;PREMISSAS!$C$3,"FALSO"),
   DATE(YEAR(D422)-1,1,31),
   IF(IF(ISTEXT(D422),RIGHT(D422,4)-1=YEAR(RESULTADOS!$C$11),YEAR(D422)-1=YEAR(RESULTADOS!$C$11)),
      IF(LEFT(D422,2)="13",EOMONTH(RESULTADOS!$C$11,0),IF(MONTH(D422)=12,"13º "&amp;YEAR(D422),EOMONTH(D422,1))),
      IF(LEFT(D422,2)="13",DATE(RIGHT(D422,4)-1,1,31),IF(MONTH(D422)=12,"13º "&amp;YEAR(D422),EOMONTH(D422,1)))))))</f>
        <v/>
      </c>
      <c r="E423" s="342"/>
      <c r="F423" s="257"/>
      <c r="G423" s="251"/>
      <c r="I423" s="262" t="str">
        <f ca="1">RESULTADOS!O421</f>
        <v/>
      </c>
      <c r="J423" s="261" t="str">
        <f t="shared" ca="1" si="11"/>
        <v/>
      </c>
      <c r="K423" s="333"/>
      <c r="L423" s="336"/>
      <c r="N423" s="333"/>
    </row>
    <row r="424" spans="2:14" ht="15.6" x14ac:dyDescent="0.3">
      <c r="B424" s="251"/>
      <c r="C424" s="251"/>
      <c r="D424" s="258" t="str">
        <f ca="1">IF(D423="","",
IF(D423="13º "&amp;YEAR(RESULTADOS!$C$11),"",
IF(IFERROR(EOMONTH(D423,1)&gt;PREMISSAS!$C$3,"FALSO"),
   DATE(YEAR(D423)-1,1,31),
   IF(IF(ISTEXT(D423),RIGHT(D423,4)-1=YEAR(RESULTADOS!$C$11),YEAR(D423)-1=YEAR(RESULTADOS!$C$11)),
      IF(LEFT(D423,2)="13",EOMONTH(RESULTADOS!$C$11,0),IF(MONTH(D423)=12,"13º "&amp;YEAR(D423),EOMONTH(D423,1))),
      IF(LEFT(D423,2)="13",DATE(RIGHT(D423,4)-1,1,31),IF(MONTH(D423)=12,"13º "&amp;YEAR(D423),EOMONTH(D423,1)))))))</f>
        <v/>
      </c>
      <c r="E424" s="342"/>
      <c r="F424" s="257"/>
      <c r="G424" s="251"/>
      <c r="I424" s="262" t="str">
        <f ca="1">RESULTADOS!O422</f>
        <v/>
      </c>
      <c r="J424" s="261" t="str">
        <f t="shared" ca="1" si="11"/>
        <v/>
      </c>
      <c r="K424" s="333"/>
      <c r="L424" s="336"/>
      <c r="N424" s="333"/>
    </row>
    <row r="425" spans="2:14" ht="15.6" x14ac:dyDescent="0.3">
      <c r="B425" s="251"/>
      <c r="C425" s="251"/>
      <c r="D425" s="258" t="str">
        <f ca="1">IF(D424="","",
IF(D424="13º "&amp;YEAR(RESULTADOS!$C$11),"",
IF(IFERROR(EOMONTH(D424,1)&gt;PREMISSAS!$C$3,"FALSO"),
   DATE(YEAR(D424)-1,1,31),
   IF(IF(ISTEXT(D424),RIGHT(D424,4)-1=YEAR(RESULTADOS!$C$11),YEAR(D424)-1=YEAR(RESULTADOS!$C$11)),
      IF(LEFT(D424,2)="13",EOMONTH(RESULTADOS!$C$11,0),IF(MONTH(D424)=12,"13º "&amp;YEAR(D424),EOMONTH(D424,1))),
      IF(LEFT(D424,2)="13",DATE(RIGHT(D424,4)-1,1,31),IF(MONTH(D424)=12,"13º "&amp;YEAR(D424),EOMONTH(D424,1)))))))</f>
        <v/>
      </c>
      <c r="E425" s="342"/>
      <c r="F425" s="257"/>
      <c r="G425" s="251"/>
      <c r="I425" s="262" t="str">
        <f ca="1">RESULTADOS!O423</f>
        <v/>
      </c>
      <c r="J425" s="261" t="str">
        <f t="shared" ca="1" si="11"/>
        <v/>
      </c>
      <c r="K425" s="333"/>
      <c r="L425" s="336"/>
      <c r="N425" s="333"/>
    </row>
    <row r="426" spans="2:14" ht="15.6" x14ac:dyDescent="0.3">
      <c r="B426" s="251"/>
      <c r="C426" s="251"/>
      <c r="D426" s="258" t="str">
        <f ca="1">IF(D425="","",
IF(D425="13º "&amp;YEAR(RESULTADOS!$C$11),"",
IF(IFERROR(EOMONTH(D425,1)&gt;PREMISSAS!$C$3,"FALSO"),
   DATE(YEAR(D425)-1,1,31),
   IF(IF(ISTEXT(D425),RIGHT(D425,4)-1=YEAR(RESULTADOS!$C$11),YEAR(D425)-1=YEAR(RESULTADOS!$C$11)),
      IF(LEFT(D425,2)="13",EOMONTH(RESULTADOS!$C$11,0),IF(MONTH(D425)=12,"13º "&amp;YEAR(D425),EOMONTH(D425,1))),
      IF(LEFT(D425,2)="13",DATE(RIGHT(D425,4)-1,1,31),IF(MONTH(D425)=12,"13º "&amp;YEAR(D425),EOMONTH(D425,1)))))))</f>
        <v/>
      </c>
      <c r="E426" s="342"/>
      <c r="F426" s="257"/>
      <c r="G426" s="251"/>
      <c r="I426" s="262" t="str">
        <f ca="1">RESULTADOS!O424</f>
        <v/>
      </c>
      <c r="J426" s="261" t="str">
        <f t="shared" ca="1" si="11"/>
        <v/>
      </c>
      <c r="K426" s="333"/>
      <c r="L426" s="336"/>
      <c r="N426" s="333"/>
    </row>
    <row r="427" spans="2:14" ht="15.6" x14ac:dyDescent="0.3">
      <c r="B427" s="251"/>
      <c r="C427" s="251"/>
      <c r="D427" s="258" t="str">
        <f ca="1">IF(D426="","",
IF(D426="13º "&amp;YEAR(RESULTADOS!$C$11),"",
IF(IFERROR(EOMONTH(D426,1)&gt;PREMISSAS!$C$3,"FALSO"),
   DATE(YEAR(D426)-1,1,31),
   IF(IF(ISTEXT(D426),RIGHT(D426,4)-1=YEAR(RESULTADOS!$C$11),YEAR(D426)-1=YEAR(RESULTADOS!$C$11)),
      IF(LEFT(D426,2)="13",EOMONTH(RESULTADOS!$C$11,0),IF(MONTH(D426)=12,"13º "&amp;YEAR(D426),EOMONTH(D426,1))),
      IF(LEFT(D426,2)="13",DATE(RIGHT(D426,4)-1,1,31),IF(MONTH(D426)=12,"13º "&amp;YEAR(D426),EOMONTH(D426,1)))))))</f>
        <v/>
      </c>
      <c r="E427" s="342"/>
      <c r="F427" s="257"/>
      <c r="G427" s="251"/>
      <c r="I427" s="262" t="str">
        <f ca="1">RESULTADOS!O425</f>
        <v/>
      </c>
      <c r="J427" s="261" t="str">
        <f t="shared" ca="1" si="11"/>
        <v/>
      </c>
      <c r="K427" s="333"/>
      <c r="L427" s="336"/>
      <c r="N427" s="333"/>
    </row>
    <row r="428" spans="2:14" ht="15.6" x14ac:dyDescent="0.3">
      <c r="B428" s="251"/>
      <c r="C428" s="251"/>
      <c r="D428" s="258" t="str">
        <f ca="1">IF(D427="","",
IF(D427="13º "&amp;YEAR(RESULTADOS!$C$11),"",
IF(IFERROR(EOMONTH(D427,1)&gt;PREMISSAS!$C$3,"FALSO"),
   DATE(YEAR(D427)-1,1,31),
   IF(IF(ISTEXT(D427),RIGHT(D427,4)-1=YEAR(RESULTADOS!$C$11),YEAR(D427)-1=YEAR(RESULTADOS!$C$11)),
      IF(LEFT(D427,2)="13",EOMONTH(RESULTADOS!$C$11,0),IF(MONTH(D427)=12,"13º "&amp;YEAR(D427),EOMONTH(D427,1))),
      IF(LEFT(D427,2)="13",DATE(RIGHT(D427,4)-1,1,31),IF(MONTH(D427)=12,"13º "&amp;YEAR(D427),EOMONTH(D427,1)))))))</f>
        <v/>
      </c>
      <c r="E428" s="342"/>
      <c r="F428" s="257"/>
      <c r="G428" s="251"/>
      <c r="I428" s="262" t="str">
        <f ca="1">RESULTADOS!O426</f>
        <v/>
      </c>
      <c r="J428" s="261" t="str">
        <f t="shared" ca="1" si="11"/>
        <v/>
      </c>
      <c r="K428" s="333"/>
      <c r="L428" s="336"/>
      <c r="N428" s="333"/>
    </row>
    <row r="429" spans="2:14" ht="15.6" x14ac:dyDescent="0.3">
      <c r="B429" s="251"/>
      <c r="C429" s="251"/>
      <c r="D429" s="258" t="str">
        <f ca="1">IF(D428="","",
IF(D428="13º "&amp;YEAR(RESULTADOS!$C$11),"",
IF(IFERROR(EOMONTH(D428,1)&gt;PREMISSAS!$C$3,"FALSO"),
   DATE(YEAR(D428)-1,1,31),
   IF(IF(ISTEXT(D428),RIGHT(D428,4)-1=YEAR(RESULTADOS!$C$11),YEAR(D428)-1=YEAR(RESULTADOS!$C$11)),
      IF(LEFT(D428,2)="13",EOMONTH(RESULTADOS!$C$11,0),IF(MONTH(D428)=12,"13º "&amp;YEAR(D428),EOMONTH(D428,1))),
      IF(LEFT(D428,2)="13",DATE(RIGHT(D428,4)-1,1,31),IF(MONTH(D428)=12,"13º "&amp;YEAR(D428),EOMONTH(D428,1)))))))</f>
        <v/>
      </c>
      <c r="E429" s="342"/>
      <c r="F429" s="257"/>
      <c r="G429" s="251"/>
      <c r="I429" s="262" t="str">
        <f ca="1">RESULTADOS!O427</f>
        <v/>
      </c>
      <c r="J429" s="261" t="str">
        <f t="shared" ca="1" si="11"/>
        <v/>
      </c>
      <c r="K429" s="333"/>
      <c r="L429" s="336"/>
      <c r="N429" s="333"/>
    </row>
    <row r="430" spans="2:14" ht="15.6" x14ac:dyDescent="0.3">
      <c r="B430" s="251"/>
      <c r="C430" s="251"/>
      <c r="D430" s="258" t="str">
        <f ca="1">IF(D429="","",
IF(D429="13º "&amp;YEAR(RESULTADOS!$C$11),"",
IF(IFERROR(EOMONTH(D429,1)&gt;PREMISSAS!$C$3,"FALSO"),
   DATE(YEAR(D429)-1,1,31),
   IF(IF(ISTEXT(D429),RIGHT(D429,4)-1=YEAR(RESULTADOS!$C$11),YEAR(D429)-1=YEAR(RESULTADOS!$C$11)),
      IF(LEFT(D429,2)="13",EOMONTH(RESULTADOS!$C$11,0),IF(MONTH(D429)=12,"13º "&amp;YEAR(D429),EOMONTH(D429,1))),
      IF(LEFT(D429,2)="13",DATE(RIGHT(D429,4)-1,1,31),IF(MONTH(D429)=12,"13º "&amp;YEAR(D429),EOMONTH(D429,1)))))))</f>
        <v/>
      </c>
      <c r="E430" s="342"/>
      <c r="F430" s="257"/>
      <c r="G430" s="251"/>
      <c r="I430" s="262" t="str">
        <f ca="1">RESULTADOS!O428</f>
        <v/>
      </c>
      <c r="J430" s="261" t="str">
        <f t="shared" ca="1" si="11"/>
        <v/>
      </c>
      <c r="K430" s="333"/>
      <c r="L430" s="336"/>
      <c r="N430" s="333"/>
    </row>
    <row r="431" spans="2:14" ht="15.6" x14ac:dyDescent="0.3">
      <c r="B431" s="251"/>
      <c r="C431" s="251"/>
      <c r="D431" s="258" t="str">
        <f ca="1">IF(D430="","",
IF(D430="13º "&amp;YEAR(RESULTADOS!$C$11),"",
IF(IFERROR(EOMONTH(D430,1)&gt;PREMISSAS!$C$3,"FALSO"),
   DATE(YEAR(D430)-1,1,31),
   IF(IF(ISTEXT(D430),RIGHT(D430,4)-1=YEAR(RESULTADOS!$C$11),YEAR(D430)-1=YEAR(RESULTADOS!$C$11)),
      IF(LEFT(D430,2)="13",EOMONTH(RESULTADOS!$C$11,0),IF(MONTH(D430)=12,"13º "&amp;YEAR(D430),EOMONTH(D430,1))),
      IF(LEFT(D430,2)="13",DATE(RIGHT(D430,4)-1,1,31),IF(MONTH(D430)=12,"13º "&amp;YEAR(D430),EOMONTH(D430,1)))))))</f>
        <v/>
      </c>
      <c r="E431" s="342"/>
      <c r="F431" s="257"/>
      <c r="G431" s="251"/>
      <c r="I431" s="262" t="str">
        <f ca="1">RESULTADOS!O429</f>
        <v/>
      </c>
      <c r="J431" s="261" t="str">
        <f t="shared" ca="1" si="11"/>
        <v/>
      </c>
      <c r="K431" s="333"/>
      <c r="L431" s="336"/>
      <c r="N431" s="333"/>
    </row>
    <row r="432" spans="2:14" ht="15.6" x14ac:dyDescent="0.3">
      <c r="B432" s="251"/>
      <c r="C432" s="251"/>
      <c r="D432" s="258" t="str">
        <f ca="1">IF(D431="","",
IF(D431="13º "&amp;YEAR(RESULTADOS!$C$11),"",
IF(IFERROR(EOMONTH(D431,1)&gt;PREMISSAS!$C$3,"FALSO"),
   DATE(YEAR(D431)-1,1,31),
   IF(IF(ISTEXT(D431),RIGHT(D431,4)-1=YEAR(RESULTADOS!$C$11),YEAR(D431)-1=YEAR(RESULTADOS!$C$11)),
      IF(LEFT(D431,2)="13",EOMONTH(RESULTADOS!$C$11,0),IF(MONTH(D431)=12,"13º "&amp;YEAR(D431),EOMONTH(D431,1))),
      IF(LEFT(D431,2)="13",DATE(RIGHT(D431,4)-1,1,31),IF(MONTH(D431)=12,"13º "&amp;YEAR(D431),EOMONTH(D431,1)))))))</f>
        <v/>
      </c>
      <c r="E432" s="342"/>
      <c r="F432" s="257"/>
      <c r="G432" s="251"/>
      <c r="I432" s="262" t="str">
        <f ca="1">RESULTADOS!O430</f>
        <v/>
      </c>
      <c r="J432" s="261" t="str">
        <f t="shared" ca="1" si="11"/>
        <v/>
      </c>
      <c r="K432" s="333"/>
      <c r="L432" s="336"/>
      <c r="N432" s="333"/>
    </row>
    <row r="433" spans="2:14" ht="15.6" x14ac:dyDescent="0.3">
      <c r="B433" s="251"/>
      <c r="C433" s="251"/>
      <c r="D433" s="258" t="str">
        <f ca="1">IF(D432="","",
IF(D432="13º "&amp;YEAR(RESULTADOS!$C$11),"",
IF(IFERROR(EOMONTH(D432,1)&gt;PREMISSAS!$C$3,"FALSO"),
   DATE(YEAR(D432)-1,1,31),
   IF(IF(ISTEXT(D432),RIGHT(D432,4)-1=YEAR(RESULTADOS!$C$11),YEAR(D432)-1=YEAR(RESULTADOS!$C$11)),
      IF(LEFT(D432,2)="13",EOMONTH(RESULTADOS!$C$11,0),IF(MONTH(D432)=12,"13º "&amp;YEAR(D432),EOMONTH(D432,1))),
      IF(LEFT(D432,2)="13",DATE(RIGHT(D432,4)-1,1,31),IF(MONTH(D432)=12,"13º "&amp;YEAR(D432),EOMONTH(D432,1)))))))</f>
        <v/>
      </c>
      <c r="E433" s="342"/>
      <c r="F433" s="257"/>
      <c r="G433" s="251"/>
      <c r="I433" s="262" t="str">
        <f ca="1">RESULTADOS!O431</f>
        <v/>
      </c>
      <c r="J433" s="261" t="str">
        <f t="shared" ca="1" si="11"/>
        <v/>
      </c>
      <c r="K433" s="333"/>
      <c r="L433" s="336"/>
      <c r="N433" s="333"/>
    </row>
    <row r="434" spans="2:14" ht="15.6" x14ac:dyDescent="0.3">
      <c r="B434" s="251"/>
      <c r="C434" s="251"/>
      <c r="D434" s="258" t="str">
        <f ca="1">IF(D433="","",
IF(D433="13º "&amp;YEAR(RESULTADOS!$C$11),"",
IF(IFERROR(EOMONTH(D433,1)&gt;PREMISSAS!$C$3,"FALSO"),
   DATE(YEAR(D433)-1,1,31),
   IF(IF(ISTEXT(D433),RIGHT(D433,4)-1=YEAR(RESULTADOS!$C$11),YEAR(D433)-1=YEAR(RESULTADOS!$C$11)),
      IF(LEFT(D433,2)="13",EOMONTH(RESULTADOS!$C$11,0),IF(MONTH(D433)=12,"13º "&amp;YEAR(D433),EOMONTH(D433,1))),
      IF(LEFT(D433,2)="13",DATE(RIGHT(D433,4)-1,1,31),IF(MONTH(D433)=12,"13º "&amp;YEAR(D433),EOMONTH(D433,1)))))))</f>
        <v/>
      </c>
      <c r="E434" s="342"/>
      <c r="F434" s="257"/>
      <c r="G434" s="251"/>
      <c r="I434" s="262" t="str">
        <f ca="1">RESULTADOS!O432</f>
        <v/>
      </c>
      <c r="J434" s="261" t="str">
        <f t="shared" ca="1" si="11"/>
        <v/>
      </c>
      <c r="K434" s="333"/>
      <c r="L434" s="336"/>
      <c r="N434" s="333"/>
    </row>
    <row r="435" spans="2:14" ht="15.6" x14ac:dyDescent="0.3">
      <c r="B435" s="251"/>
      <c r="C435" s="251"/>
      <c r="D435" s="258" t="str">
        <f ca="1">IF(D434="","",
IF(D434="13º "&amp;YEAR(RESULTADOS!$C$11),"",
IF(IFERROR(EOMONTH(D434,1)&gt;PREMISSAS!$C$3,"FALSO"),
   DATE(YEAR(D434)-1,1,31),
   IF(IF(ISTEXT(D434),RIGHT(D434,4)-1=YEAR(RESULTADOS!$C$11),YEAR(D434)-1=YEAR(RESULTADOS!$C$11)),
      IF(LEFT(D434,2)="13",EOMONTH(RESULTADOS!$C$11,0),IF(MONTH(D434)=12,"13º "&amp;YEAR(D434),EOMONTH(D434,1))),
      IF(LEFT(D434,2)="13",DATE(RIGHT(D434,4)-1,1,31),IF(MONTH(D434)=12,"13º "&amp;YEAR(D434),EOMONTH(D434,1)))))))</f>
        <v/>
      </c>
      <c r="E435" s="342"/>
      <c r="F435" s="257"/>
      <c r="G435" s="251"/>
      <c r="I435" s="262" t="str">
        <f ca="1">RESULTADOS!O433</f>
        <v/>
      </c>
      <c r="J435" s="261" t="str">
        <f t="shared" ca="1" si="11"/>
        <v/>
      </c>
      <c r="K435" s="333"/>
      <c r="L435" s="336"/>
      <c r="N435" s="333"/>
    </row>
    <row r="436" spans="2:14" ht="15.6" x14ac:dyDescent="0.3">
      <c r="B436" s="251"/>
      <c r="C436" s="251"/>
      <c r="D436" s="258" t="str">
        <f ca="1">IF(D435="","",
IF(D435="13º "&amp;YEAR(RESULTADOS!$C$11),"",
IF(IFERROR(EOMONTH(D435,1)&gt;PREMISSAS!$C$3,"FALSO"),
   DATE(YEAR(D435)-1,1,31),
   IF(IF(ISTEXT(D435),RIGHT(D435,4)-1=YEAR(RESULTADOS!$C$11),YEAR(D435)-1=YEAR(RESULTADOS!$C$11)),
      IF(LEFT(D435,2)="13",EOMONTH(RESULTADOS!$C$11,0),IF(MONTH(D435)=12,"13º "&amp;YEAR(D435),EOMONTH(D435,1))),
      IF(LEFT(D435,2)="13",DATE(RIGHT(D435,4)-1,1,31),IF(MONTH(D435)=12,"13º "&amp;YEAR(D435),EOMONTH(D435,1)))))))</f>
        <v/>
      </c>
      <c r="E436" s="342"/>
      <c r="F436" s="257"/>
      <c r="G436" s="251"/>
      <c r="I436" s="262" t="str">
        <f ca="1">RESULTADOS!O434</f>
        <v/>
      </c>
      <c r="J436" s="261" t="str">
        <f t="shared" ca="1" si="11"/>
        <v/>
      </c>
      <c r="K436" s="333"/>
      <c r="L436" s="336"/>
      <c r="N436" s="333"/>
    </row>
    <row r="437" spans="2:14" ht="15.6" x14ac:dyDescent="0.3">
      <c r="B437" s="251"/>
      <c r="C437" s="251"/>
      <c r="D437" s="258" t="str">
        <f ca="1">IF(D436="","",
IF(D436="13º "&amp;YEAR(RESULTADOS!$C$11),"",
IF(IFERROR(EOMONTH(D436,1)&gt;PREMISSAS!$C$3,"FALSO"),
   DATE(YEAR(D436)-1,1,31),
   IF(IF(ISTEXT(D436),RIGHT(D436,4)-1=YEAR(RESULTADOS!$C$11),YEAR(D436)-1=YEAR(RESULTADOS!$C$11)),
      IF(LEFT(D436,2)="13",EOMONTH(RESULTADOS!$C$11,0),IF(MONTH(D436)=12,"13º "&amp;YEAR(D436),EOMONTH(D436,1))),
      IF(LEFT(D436,2)="13",DATE(RIGHT(D436,4)-1,1,31),IF(MONTH(D436)=12,"13º "&amp;YEAR(D436),EOMONTH(D436,1)))))))</f>
        <v/>
      </c>
      <c r="E437" s="342"/>
      <c r="F437" s="257"/>
      <c r="G437" s="251"/>
      <c r="I437" s="262" t="str">
        <f ca="1">RESULTADOS!O435</f>
        <v/>
      </c>
      <c r="J437" s="261" t="str">
        <f t="shared" ca="1" si="11"/>
        <v/>
      </c>
      <c r="L437" s="345"/>
    </row>
    <row r="438" spans="2:14" ht="15.6" x14ac:dyDescent="0.3">
      <c r="B438" s="251"/>
      <c r="C438" s="251"/>
      <c r="D438" s="258" t="str">
        <f ca="1">IF(D437="","",
IF(D437="13º "&amp;YEAR(RESULTADOS!$C$11),"",
IF(IFERROR(EOMONTH(D437,1)&gt;PREMISSAS!$C$3,"FALSO"),
   DATE(YEAR(D437)-1,1,31),
   IF(IF(ISTEXT(D437),RIGHT(D437,4)-1=YEAR(RESULTADOS!$C$11),YEAR(D437)-1=YEAR(RESULTADOS!$C$11)),
      IF(LEFT(D437,2)="13",EOMONTH(RESULTADOS!$C$11,0),IF(MONTH(D437)=12,"13º "&amp;YEAR(D437),EOMONTH(D437,1))),
      IF(LEFT(D437,2)="13",DATE(RIGHT(D437,4)-1,1,31),IF(MONTH(D437)=12,"13º "&amp;YEAR(D437),EOMONTH(D437,1)))))))</f>
        <v/>
      </c>
      <c r="E438" s="342"/>
      <c r="F438" s="257"/>
      <c r="G438" s="251"/>
      <c r="I438" s="262" t="str">
        <f ca="1">RESULTADOS!O436</f>
        <v/>
      </c>
      <c r="J438" s="261" t="str">
        <f t="shared" ca="1" si="11"/>
        <v/>
      </c>
      <c r="L438" s="345"/>
    </row>
    <row r="439" spans="2:14" ht="15.6" x14ac:dyDescent="0.3">
      <c r="B439" s="251"/>
      <c r="C439" s="251"/>
      <c r="D439" s="258" t="str">
        <f ca="1">IF(D438="","",
IF(D438="13º "&amp;YEAR(RESULTADOS!$C$11),"",
IF(IFERROR(EOMONTH(D438,1)&gt;PREMISSAS!$C$3,"FALSO"),
   DATE(YEAR(D438)-1,1,31),
   IF(IF(ISTEXT(D438),RIGHT(D438,4)-1=YEAR(RESULTADOS!$C$11),YEAR(D438)-1=YEAR(RESULTADOS!$C$11)),
      IF(LEFT(D438,2)="13",EOMONTH(RESULTADOS!$C$11,0),IF(MONTH(D438)=12,"13º "&amp;YEAR(D438),EOMONTH(D438,1))),
      IF(LEFT(D438,2)="13",DATE(RIGHT(D438,4)-1,1,31),IF(MONTH(D438)=12,"13º "&amp;YEAR(D438),EOMONTH(D438,1)))))))</f>
        <v/>
      </c>
      <c r="E439" s="342"/>
      <c r="F439" s="257"/>
      <c r="G439" s="251"/>
      <c r="I439" s="262" t="str">
        <f ca="1">RESULTADOS!O437</f>
        <v/>
      </c>
      <c r="J439" s="261" t="str">
        <f t="shared" ca="1" si="11"/>
        <v/>
      </c>
      <c r="L439" s="345"/>
    </row>
    <row r="440" spans="2:14" ht="15.6" x14ac:dyDescent="0.3">
      <c r="B440" s="251"/>
      <c r="C440" s="251"/>
      <c r="D440" s="258" t="str">
        <f ca="1">IF(D439="","",
IF(D439="13º "&amp;YEAR(RESULTADOS!$C$11),"",
IF(IFERROR(EOMONTH(D439,1)&gt;PREMISSAS!$C$3,"FALSO"),
   DATE(YEAR(D439)-1,1,31),
   IF(IF(ISTEXT(D439),RIGHT(D439,4)-1=YEAR(RESULTADOS!$C$11),YEAR(D439)-1=YEAR(RESULTADOS!$C$11)),
      IF(LEFT(D439,2)="13",EOMONTH(RESULTADOS!$C$11,0),IF(MONTH(D439)=12,"13º "&amp;YEAR(D439),EOMONTH(D439,1))),
      IF(LEFT(D439,2)="13",DATE(RIGHT(D439,4)-1,1,31),IF(MONTH(D439)=12,"13º "&amp;YEAR(D439),EOMONTH(D439,1)))))))</f>
        <v/>
      </c>
      <c r="E440" s="342"/>
      <c r="F440" s="257"/>
      <c r="G440" s="251"/>
      <c r="I440" s="262" t="str">
        <f ca="1">RESULTADOS!O438</f>
        <v/>
      </c>
      <c r="J440" s="261" t="str">
        <f t="shared" ca="1" si="11"/>
        <v/>
      </c>
      <c r="L440" s="345"/>
    </row>
    <row r="441" spans="2:14" ht="15.6" x14ac:dyDescent="0.3">
      <c r="B441" s="251"/>
      <c r="C441" s="251"/>
      <c r="D441" s="258" t="str">
        <f ca="1">IF(D440="","",
IF(D440="13º "&amp;YEAR(RESULTADOS!$C$11),"",
IF(IFERROR(EOMONTH(D440,1)&gt;PREMISSAS!$C$3,"FALSO"),
   DATE(YEAR(D440)-1,1,31),
   IF(IF(ISTEXT(D440),RIGHT(D440,4)-1=YEAR(RESULTADOS!$C$11),YEAR(D440)-1=YEAR(RESULTADOS!$C$11)),
      IF(LEFT(D440,2)="13",EOMONTH(RESULTADOS!$C$11,0),IF(MONTH(D440)=12,"13º "&amp;YEAR(D440),EOMONTH(D440,1))),
      IF(LEFT(D440,2)="13",DATE(RIGHT(D440,4)-1,1,31),IF(MONTH(D440)=12,"13º "&amp;YEAR(D440),EOMONTH(D440,1)))))))</f>
        <v/>
      </c>
      <c r="E441" s="342"/>
      <c r="F441" s="257"/>
      <c r="G441" s="251"/>
      <c r="I441" s="262" t="str">
        <f ca="1">RESULTADOS!O439</f>
        <v/>
      </c>
      <c r="J441" s="261" t="str">
        <f t="shared" ca="1" si="11"/>
        <v/>
      </c>
      <c r="L441" s="345"/>
    </row>
    <row r="442" spans="2:14" ht="15.6" x14ac:dyDescent="0.3">
      <c r="B442" s="251"/>
      <c r="C442" s="251"/>
      <c r="D442" s="258" t="str">
        <f ca="1">IF(D441="","",
IF(D441="13º "&amp;YEAR(RESULTADOS!$C$11),"",
IF(IFERROR(EOMONTH(D441,1)&gt;PREMISSAS!$C$3,"FALSO"),
   DATE(YEAR(D441)-1,1,31),
   IF(IF(ISTEXT(D441),RIGHT(D441,4)-1=YEAR(RESULTADOS!$C$11),YEAR(D441)-1=YEAR(RESULTADOS!$C$11)),
      IF(LEFT(D441,2)="13",EOMONTH(RESULTADOS!$C$11,0),IF(MONTH(D441)=12,"13º "&amp;YEAR(D441),EOMONTH(D441,1))),
      IF(LEFT(D441,2)="13",DATE(RIGHT(D441,4)-1,1,31),IF(MONTH(D441)=12,"13º "&amp;YEAR(D441),EOMONTH(D441,1)))))))</f>
        <v/>
      </c>
      <c r="E442" s="342"/>
      <c r="F442" s="257"/>
      <c r="G442" s="251"/>
      <c r="I442" s="262" t="str">
        <f ca="1">RESULTADOS!O440</f>
        <v/>
      </c>
      <c r="J442" s="261" t="str">
        <f t="shared" ca="1" si="11"/>
        <v/>
      </c>
      <c r="L442" s="345"/>
    </row>
    <row r="443" spans="2:14" ht="15.6" x14ac:dyDescent="0.3">
      <c r="B443" s="251"/>
      <c r="C443" s="251"/>
      <c r="D443" s="258" t="str">
        <f ca="1">IF(D442="","",
IF(D442="13º "&amp;YEAR(RESULTADOS!$C$11),"",
IF(IFERROR(EOMONTH(D442,1)&gt;PREMISSAS!$C$3,"FALSO"),
   DATE(YEAR(D442)-1,1,31),
   IF(IF(ISTEXT(D442),RIGHT(D442,4)-1=YEAR(RESULTADOS!$C$11),YEAR(D442)-1=YEAR(RESULTADOS!$C$11)),
      IF(LEFT(D442,2)="13",EOMONTH(RESULTADOS!$C$11,0),IF(MONTH(D442)=12,"13º "&amp;YEAR(D442),EOMONTH(D442,1))),
      IF(LEFT(D442,2)="13",DATE(RIGHT(D442,4)-1,1,31),IF(MONTH(D442)=12,"13º "&amp;YEAR(D442),EOMONTH(D442,1)))))))</f>
        <v/>
      </c>
      <c r="E443" s="342"/>
      <c r="F443" s="257"/>
      <c r="G443" s="251"/>
      <c r="I443" s="262" t="str">
        <f ca="1">RESULTADOS!O441</f>
        <v/>
      </c>
      <c r="J443" s="261" t="str">
        <f t="shared" ca="1" si="11"/>
        <v/>
      </c>
      <c r="L443" s="345"/>
    </row>
    <row r="444" spans="2:14" ht="15.6" x14ac:dyDescent="0.3">
      <c r="B444" s="251"/>
      <c r="C444" s="251"/>
      <c r="D444" s="258" t="str">
        <f ca="1">IF(D443="","",
IF(D443="13º "&amp;YEAR(RESULTADOS!$C$11),"",
IF(IFERROR(EOMONTH(D443,1)&gt;PREMISSAS!$C$3,"FALSO"),
   DATE(YEAR(D443)-1,1,31),
   IF(IF(ISTEXT(D443),RIGHT(D443,4)-1=YEAR(RESULTADOS!$C$11),YEAR(D443)-1=YEAR(RESULTADOS!$C$11)),
      IF(LEFT(D443,2)="13",EOMONTH(RESULTADOS!$C$11,0),IF(MONTH(D443)=12,"13º "&amp;YEAR(D443),EOMONTH(D443,1))),
      IF(LEFT(D443,2)="13",DATE(RIGHT(D443,4)-1,1,31),IF(MONTH(D443)=12,"13º "&amp;YEAR(D443),EOMONTH(D443,1)))))))</f>
        <v/>
      </c>
      <c r="E444" s="342"/>
      <c r="F444" s="257"/>
      <c r="G444" s="251"/>
      <c r="I444" s="262" t="str">
        <f ca="1">RESULTADOS!O442</f>
        <v/>
      </c>
      <c r="J444" s="261" t="str">
        <f t="shared" ca="1" si="11"/>
        <v/>
      </c>
      <c r="L444" s="345"/>
    </row>
    <row r="445" spans="2:14" ht="15.6" x14ac:dyDescent="0.3">
      <c r="B445" s="251"/>
      <c r="C445" s="251"/>
      <c r="D445" s="258" t="str">
        <f ca="1">IF(D444="","",
IF(D444="13º "&amp;YEAR(RESULTADOS!$C$11),"",
IF(IFERROR(EOMONTH(D444,1)&gt;PREMISSAS!$C$3,"FALSO"),
   DATE(YEAR(D444)-1,1,31),
   IF(IF(ISTEXT(D444),RIGHT(D444,4)-1=YEAR(RESULTADOS!$C$11),YEAR(D444)-1=YEAR(RESULTADOS!$C$11)),
      IF(LEFT(D444,2)="13",EOMONTH(RESULTADOS!$C$11,0),IF(MONTH(D444)=12,"13º "&amp;YEAR(D444),EOMONTH(D444,1))),
      IF(LEFT(D444,2)="13",DATE(RIGHT(D444,4)-1,1,31),IF(MONTH(D444)=12,"13º "&amp;YEAR(D444),EOMONTH(D444,1)))))))</f>
        <v/>
      </c>
      <c r="E445" s="342"/>
      <c r="F445" s="257"/>
      <c r="G445" s="251"/>
      <c r="I445" s="262" t="str">
        <f ca="1">RESULTADOS!O443</f>
        <v/>
      </c>
      <c r="J445" s="261" t="str">
        <f t="shared" ca="1" si="11"/>
        <v/>
      </c>
      <c r="L445" s="345"/>
    </row>
    <row r="446" spans="2:14" ht="15.6" x14ac:dyDescent="0.3">
      <c r="B446" s="251"/>
      <c r="C446" s="251"/>
      <c r="D446" s="258" t="str">
        <f ca="1">IF(D445="","",
IF(D445="13º "&amp;YEAR(RESULTADOS!$C$11),"",
IF(IFERROR(EOMONTH(D445,1)&gt;PREMISSAS!$C$3,"FALSO"),
   DATE(YEAR(D445)-1,1,31),
   IF(IF(ISTEXT(D445),RIGHT(D445,4)-1=YEAR(RESULTADOS!$C$11),YEAR(D445)-1=YEAR(RESULTADOS!$C$11)),
      IF(LEFT(D445,2)="13",EOMONTH(RESULTADOS!$C$11,0),IF(MONTH(D445)=12,"13º "&amp;YEAR(D445),EOMONTH(D445,1))),
      IF(LEFT(D445,2)="13",DATE(RIGHT(D445,4)-1,1,31),IF(MONTH(D445)=12,"13º "&amp;YEAR(D445),EOMONTH(D445,1)))))))</f>
        <v/>
      </c>
      <c r="E446" s="342"/>
      <c r="F446" s="257"/>
      <c r="G446" s="251"/>
      <c r="I446" s="262" t="str">
        <f ca="1">RESULTADOS!O444</f>
        <v/>
      </c>
      <c r="J446" s="261" t="str">
        <f t="shared" ca="1" si="11"/>
        <v/>
      </c>
      <c r="L446" s="345"/>
    </row>
    <row r="447" spans="2:14" ht="15.6" x14ac:dyDescent="0.3">
      <c r="B447" s="251"/>
      <c r="C447" s="251"/>
      <c r="D447" s="258" t="str">
        <f ca="1">IF(D446="","",
IF(D446="13º "&amp;YEAR(RESULTADOS!$C$11),"",
IF(IFERROR(EOMONTH(D446,1)&gt;PREMISSAS!$C$3,"FALSO"),
   DATE(YEAR(D446)-1,1,31),
   IF(IF(ISTEXT(D446),RIGHT(D446,4)-1=YEAR(RESULTADOS!$C$11),YEAR(D446)-1=YEAR(RESULTADOS!$C$11)),
      IF(LEFT(D446,2)="13",EOMONTH(RESULTADOS!$C$11,0),IF(MONTH(D446)=12,"13º "&amp;YEAR(D446),EOMONTH(D446,1))),
      IF(LEFT(D446,2)="13",DATE(RIGHT(D446,4)-1,1,31),IF(MONTH(D446)=12,"13º "&amp;YEAR(D446),EOMONTH(D446,1)))))))</f>
        <v/>
      </c>
      <c r="E447" s="342"/>
      <c r="F447" s="257"/>
      <c r="G447" s="251"/>
      <c r="I447" s="262" t="str">
        <f ca="1">RESULTADOS!O445</f>
        <v/>
      </c>
      <c r="J447" s="261" t="str">
        <f t="shared" ca="1" si="11"/>
        <v/>
      </c>
      <c r="L447" s="345"/>
    </row>
    <row r="448" spans="2:14" ht="15.6" x14ac:dyDescent="0.3">
      <c r="B448" s="251"/>
      <c r="C448" s="251"/>
      <c r="D448" s="258" t="str">
        <f ca="1">IF(D447="","",
IF(D447="13º "&amp;YEAR(RESULTADOS!$C$11),"",
IF(IFERROR(EOMONTH(D447,1)&gt;PREMISSAS!$C$3,"FALSO"),
   DATE(YEAR(D447)-1,1,31),
   IF(IF(ISTEXT(D447),RIGHT(D447,4)-1=YEAR(RESULTADOS!$C$11),YEAR(D447)-1=YEAR(RESULTADOS!$C$11)),
      IF(LEFT(D447,2)="13",EOMONTH(RESULTADOS!$C$11,0),IF(MONTH(D447)=12,"13º "&amp;YEAR(D447),EOMONTH(D447,1))),
      IF(LEFT(D447,2)="13",DATE(RIGHT(D447,4)-1,1,31),IF(MONTH(D447)=12,"13º "&amp;YEAR(D447),EOMONTH(D447,1)))))))</f>
        <v/>
      </c>
      <c r="E448" s="342"/>
      <c r="F448" s="257"/>
      <c r="G448" s="251"/>
      <c r="I448" s="262" t="str">
        <f ca="1">RESULTADOS!O446</f>
        <v/>
      </c>
      <c r="J448" s="261" t="str">
        <f t="shared" ca="1" si="11"/>
        <v/>
      </c>
      <c r="L448" s="345"/>
    </row>
    <row r="449" spans="2:12" ht="15.6" x14ac:dyDescent="0.3">
      <c r="B449" s="251"/>
      <c r="C449" s="251"/>
      <c r="D449" s="258" t="str">
        <f ca="1">IF(D448="","",
IF(D448="13º "&amp;YEAR(RESULTADOS!$C$11),"",
IF(IFERROR(EOMONTH(D448,1)&gt;PREMISSAS!$C$3,"FALSO"),
   DATE(YEAR(D448)-1,1,31),
   IF(IF(ISTEXT(D448),RIGHT(D448,4)-1=YEAR(RESULTADOS!$C$11),YEAR(D448)-1=YEAR(RESULTADOS!$C$11)),
      IF(LEFT(D448,2)="13",EOMONTH(RESULTADOS!$C$11,0),IF(MONTH(D448)=12,"13º "&amp;YEAR(D448),EOMONTH(D448,1))),
      IF(LEFT(D448,2)="13",DATE(RIGHT(D448,4)-1,1,31),IF(MONTH(D448)=12,"13º "&amp;YEAR(D448),EOMONTH(D448,1)))))))</f>
        <v/>
      </c>
      <c r="E449" s="342"/>
      <c r="F449" s="257"/>
      <c r="G449" s="251"/>
      <c r="I449" s="262" t="str">
        <f ca="1">RESULTADOS!O447</f>
        <v/>
      </c>
      <c r="J449" s="261" t="str">
        <f t="shared" ca="1" si="11"/>
        <v/>
      </c>
      <c r="L449" s="345"/>
    </row>
    <row r="450" spans="2:12" ht="15.6" x14ac:dyDescent="0.3">
      <c r="B450" s="251"/>
      <c r="C450" s="251"/>
      <c r="D450" s="258" t="str">
        <f ca="1">IF(D449="","",
IF(D449="13º "&amp;YEAR(RESULTADOS!$C$11),"",
IF(IFERROR(EOMONTH(D449,1)&gt;PREMISSAS!$C$3,"FALSO"),
   DATE(YEAR(D449)-1,1,31),
   IF(IF(ISTEXT(D449),RIGHT(D449,4)-1=YEAR(RESULTADOS!$C$11),YEAR(D449)-1=YEAR(RESULTADOS!$C$11)),
      IF(LEFT(D449,2)="13",EOMONTH(RESULTADOS!$C$11,0),IF(MONTH(D449)=12,"13º "&amp;YEAR(D449),EOMONTH(D449,1))),
      IF(LEFT(D449,2)="13",DATE(RIGHT(D449,4)-1,1,31),IF(MONTH(D449)=12,"13º "&amp;YEAR(D449),EOMONTH(D449,1)))))))</f>
        <v/>
      </c>
      <c r="E450" s="342"/>
      <c r="F450" s="257"/>
      <c r="G450" s="251"/>
      <c r="I450" s="262" t="str">
        <f ca="1">RESULTADOS!O448</f>
        <v/>
      </c>
      <c r="J450" s="261" t="str">
        <f t="shared" ca="1" si="11"/>
        <v/>
      </c>
      <c r="L450" s="345"/>
    </row>
    <row r="451" spans="2:12" ht="15.6" x14ac:dyDescent="0.3">
      <c r="B451" s="251"/>
      <c r="C451" s="251"/>
      <c r="D451" s="258" t="str">
        <f ca="1">IF(D450="","",
IF(D450="13º "&amp;YEAR(RESULTADOS!$C$11),"",
IF(IFERROR(EOMONTH(D450,1)&gt;PREMISSAS!$C$3,"FALSO"),
   DATE(YEAR(D450)-1,1,31),
   IF(IF(ISTEXT(D450),RIGHT(D450,4)-1=YEAR(RESULTADOS!$C$11),YEAR(D450)-1=YEAR(RESULTADOS!$C$11)),
      IF(LEFT(D450,2)="13",EOMONTH(RESULTADOS!$C$11,0),IF(MONTH(D450)=12,"13º "&amp;YEAR(D450),EOMONTH(D450,1))),
      IF(LEFT(D450,2)="13",DATE(RIGHT(D450,4)-1,1,31),IF(MONTH(D450)=12,"13º "&amp;YEAR(D450),EOMONTH(D450,1)))))))</f>
        <v/>
      </c>
      <c r="E451" s="342"/>
      <c r="F451" s="257"/>
      <c r="G451" s="251"/>
      <c r="I451" s="262" t="str">
        <f ca="1">RESULTADOS!O449</f>
        <v/>
      </c>
      <c r="J451" s="261" t="str">
        <f t="shared" ca="1" si="11"/>
        <v/>
      </c>
      <c r="L451" s="345"/>
    </row>
    <row r="452" spans="2:12" ht="15.6" x14ac:dyDescent="0.3">
      <c r="B452" s="251"/>
      <c r="C452" s="251"/>
      <c r="D452" s="258" t="str">
        <f ca="1">IF(D451="","",
IF(D451="13º "&amp;YEAR(RESULTADOS!$C$11),"",
IF(IFERROR(EOMONTH(D451,1)&gt;PREMISSAS!$C$3,"FALSO"),
   DATE(YEAR(D451)-1,1,31),
   IF(IF(ISTEXT(D451),RIGHT(D451,4)-1=YEAR(RESULTADOS!$C$11),YEAR(D451)-1=YEAR(RESULTADOS!$C$11)),
      IF(LEFT(D451,2)="13",EOMONTH(RESULTADOS!$C$11,0),IF(MONTH(D451)=12,"13º "&amp;YEAR(D451),EOMONTH(D451,1))),
      IF(LEFT(D451,2)="13",DATE(RIGHT(D451,4)-1,1,31),IF(MONTH(D451)=12,"13º "&amp;YEAR(D451),EOMONTH(D451,1)))))))</f>
        <v/>
      </c>
      <c r="E452" s="342"/>
      <c r="F452" s="257"/>
      <c r="G452" s="251"/>
      <c r="I452" s="262" t="str">
        <f ca="1">RESULTADOS!O450</f>
        <v/>
      </c>
      <c r="J452" s="261" t="str">
        <f t="shared" ca="1" si="11"/>
        <v/>
      </c>
      <c r="L452" s="345"/>
    </row>
    <row r="453" spans="2:12" ht="15.6" x14ac:dyDescent="0.3">
      <c r="B453" s="251"/>
      <c r="C453" s="251"/>
      <c r="D453" s="258" t="str">
        <f ca="1">IF(D452="","",
IF(D452="13º "&amp;YEAR(RESULTADOS!$C$11),"",
IF(IFERROR(EOMONTH(D452,1)&gt;PREMISSAS!$C$3,"FALSO"),
   DATE(YEAR(D452)-1,1,31),
   IF(IF(ISTEXT(D452),RIGHT(D452,4)-1=YEAR(RESULTADOS!$C$11),YEAR(D452)-1=YEAR(RESULTADOS!$C$11)),
      IF(LEFT(D452,2)="13",EOMONTH(RESULTADOS!$C$11,0),IF(MONTH(D452)=12,"13º "&amp;YEAR(D452),EOMONTH(D452,1))),
      IF(LEFT(D452,2)="13",DATE(RIGHT(D452,4)-1,1,31),IF(MONTH(D452)=12,"13º "&amp;YEAR(D452),EOMONTH(D452,1)))))))</f>
        <v/>
      </c>
      <c r="E453" s="342"/>
      <c r="F453" s="257"/>
      <c r="G453" s="251"/>
      <c r="I453" s="262" t="str">
        <f ca="1">RESULTADOS!O451</f>
        <v/>
      </c>
      <c r="J453" s="261" t="str">
        <f t="shared" ca="1" si="11"/>
        <v/>
      </c>
      <c r="L453" s="345"/>
    </row>
    <row r="454" spans="2:12" ht="15.6" x14ac:dyDescent="0.3">
      <c r="B454" s="251"/>
      <c r="C454" s="251"/>
      <c r="D454" s="258" t="str">
        <f ca="1">IF(D453="","",
IF(D453="13º "&amp;YEAR(RESULTADOS!$C$11),"",
IF(IFERROR(EOMONTH(D453,1)&gt;PREMISSAS!$C$3,"FALSO"),
   DATE(YEAR(D453)-1,1,31),
   IF(IF(ISTEXT(D453),RIGHT(D453,4)-1=YEAR(RESULTADOS!$C$11),YEAR(D453)-1=YEAR(RESULTADOS!$C$11)),
      IF(LEFT(D453,2)="13",EOMONTH(RESULTADOS!$C$11,0),IF(MONTH(D453)=12,"13º "&amp;YEAR(D453),EOMONTH(D453,1))),
      IF(LEFT(D453,2)="13",DATE(RIGHT(D453,4)-1,1,31),IF(MONTH(D453)=12,"13º "&amp;YEAR(D453),EOMONTH(D453,1)))))))</f>
        <v/>
      </c>
      <c r="E454" s="342"/>
      <c r="F454" s="257"/>
      <c r="G454" s="251"/>
      <c r="I454" s="262" t="str">
        <f ca="1">RESULTADOS!O452</f>
        <v/>
      </c>
      <c r="J454" s="261" t="str">
        <f t="shared" ca="1" si="11"/>
        <v/>
      </c>
      <c r="L454" s="345"/>
    </row>
    <row r="455" spans="2:12" ht="15.6" x14ac:dyDescent="0.3">
      <c r="B455" s="251"/>
      <c r="C455" s="251"/>
      <c r="D455" s="258" t="str">
        <f ca="1">IF(D454="","",
IF(D454="13º "&amp;YEAR(RESULTADOS!$C$11),"",
IF(IFERROR(EOMONTH(D454,1)&gt;PREMISSAS!$C$3,"FALSO"),
   DATE(YEAR(D454)-1,1,31),
   IF(IF(ISTEXT(D454),RIGHT(D454,4)-1=YEAR(RESULTADOS!$C$11),YEAR(D454)-1=YEAR(RESULTADOS!$C$11)),
      IF(LEFT(D454,2)="13",EOMONTH(RESULTADOS!$C$11,0),IF(MONTH(D454)=12,"13º "&amp;YEAR(D454),EOMONTH(D454,1))),
      IF(LEFT(D454,2)="13",DATE(RIGHT(D454,4)-1,1,31),IF(MONTH(D454)=12,"13º "&amp;YEAR(D454),EOMONTH(D454,1)))))))</f>
        <v/>
      </c>
      <c r="E455" s="342"/>
      <c r="F455" s="257"/>
      <c r="G455" s="251"/>
      <c r="I455" s="262" t="str">
        <f ca="1">RESULTADOS!O453</f>
        <v/>
      </c>
      <c r="J455" s="261" t="str">
        <f t="shared" ca="1" si="11"/>
        <v/>
      </c>
      <c r="L455" s="345"/>
    </row>
    <row r="456" spans="2:12" ht="15.6" x14ac:dyDescent="0.3">
      <c r="B456" s="251"/>
      <c r="C456" s="251"/>
      <c r="D456" s="258" t="str">
        <f ca="1">IF(D455="","",
IF(D455="13º "&amp;YEAR(RESULTADOS!$C$11),"",
IF(IFERROR(EOMONTH(D455,1)&gt;PREMISSAS!$C$3,"FALSO"),
   DATE(YEAR(D455)-1,1,31),
   IF(IF(ISTEXT(D455),RIGHT(D455,4)-1=YEAR(RESULTADOS!$C$11),YEAR(D455)-1=YEAR(RESULTADOS!$C$11)),
      IF(LEFT(D455,2)="13",EOMONTH(RESULTADOS!$C$11,0),IF(MONTH(D455)=12,"13º "&amp;YEAR(D455),EOMONTH(D455,1))),
      IF(LEFT(D455,2)="13",DATE(RIGHT(D455,4)-1,1,31),IF(MONTH(D455)=12,"13º "&amp;YEAR(D455),EOMONTH(D455,1)))))))</f>
        <v/>
      </c>
      <c r="E456" s="342"/>
      <c r="F456" s="257"/>
      <c r="G456" s="251"/>
      <c r="I456" s="262" t="str">
        <f ca="1">RESULTADOS!O454</f>
        <v/>
      </c>
      <c r="J456" s="261" t="str">
        <f t="shared" ref="J456:J519" ca="1" si="12">IF(I456="","",IFERROR(VLOOKUP(I456,$D$6:$E$656,2,0),""))</f>
        <v/>
      </c>
      <c r="L456" s="345"/>
    </row>
    <row r="457" spans="2:12" ht="15.6" x14ac:dyDescent="0.3">
      <c r="B457" s="251"/>
      <c r="C457" s="251"/>
      <c r="D457" s="258" t="str">
        <f ca="1">IF(D456="","",
IF(D456="13º "&amp;YEAR(RESULTADOS!$C$11),"",
IF(IFERROR(EOMONTH(D456,1)&gt;PREMISSAS!$C$3,"FALSO"),
   DATE(YEAR(D456)-1,1,31),
   IF(IF(ISTEXT(D456),RIGHT(D456,4)-1=YEAR(RESULTADOS!$C$11),YEAR(D456)-1=YEAR(RESULTADOS!$C$11)),
      IF(LEFT(D456,2)="13",EOMONTH(RESULTADOS!$C$11,0),IF(MONTH(D456)=12,"13º "&amp;YEAR(D456),EOMONTH(D456,1))),
      IF(LEFT(D456,2)="13",DATE(RIGHT(D456,4)-1,1,31),IF(MONTH(D456)=12,"13º "&amp;YEAR(D456),EOMONTH(D456,1)))))))</f>
        <v/>
      </c>
      <c r="E457" s="342"/>
      <c r="F457" s="257"/>
      <c r="G457" s="251"/>
      <c r="I457" s="262" t="str">
        <f ca="1">RESULTADOS!O455</f>
        <v/>
      </c>
      <c r="J457" s="261" t="str">
        <f t="shared" ca="1" si="12"/>
        <v/>
      </c>
      <c r="L457" s="345"/>
    </row>
    <row r="458" spans="2:12" ht="15.6" x14ac:dyDescent="0.3">
      <c r="B458" s="251"/>
      <c r="C458" s="251"/>
      <c r="D458" s="258" t="str">
        <f ca="1">IF(D457="","",
IF(D457="13º "&amp;YEAR(RESULTADOS!$C$11),"",
IF(IFERROR(EOMONTH(D457,1)&gt;PREMISSAS!$C$3,"FALSO"),
   DATE(YEAR(D457)-1,1,31),
   IF(IF(ISTEXT(D457),RIGHT(D457,4)-1=YEAR(RESULTADOS!$C$11),YEAR(D457)-1=YEAR(RESULTADOS!$C$11)),
      IF(LEFT(D457,2)="13",EOMONTH(RESULTADOS!$C$11,0),IF(MONTH(D457)=12,"13º "&amp;YEAR(D457),EOMONTH(D457,1))),
      IF(LEFT(D457,2)="13",DATE(RIGHT(D457,4)-1,1,31),IF(MONTH(D457)=12,"13º "&amp;YEAR(D457),EOMONTH(D457,1)))))))</f>
        <v/>
      </c>
      <c r="E458" s="342"/>
      <c r="F458" s="257"/>
      <c r="G458" s="251"/>
      <c r="I458" s="262" t="str">
        <f ca="1">RESULTADOS!O456</f>
        <v/>
      </c>
      <c r="J458" s="261" t="str">
        <f t="shared" ca="1" si="12"/>
        <v/>
      </c>
      <c r="L458" s="345"/>
    </row>
    <row r="459" spans="2:12" ht="15.6" x14ac:dyDescent="0.3">
      <c r="B459" s="251"/>
      <c r="C459" s="251"/>
      <c r="D459" s="258" t="str">
        <f ca="1">IF(D458="","",
IF(D458="13º "&amp;YEAR(RESULTADOS!$C$11),"",
IF(IFERROR(EOMONTH(D458,1)&gt;PREMISSAS!$C$3,"FALSO"),
   DATE(YEAR(D458)-1,1,31),
   IF(IF(ISTEXT(D458),RIGHT(D458,4)-1=YEAR(RESULTADOS!$C$11),YEAR(D458)-1=YEAR(RESULTADOS!$C$11)),
      IF(LEFT(D458,2)="13",EOMONTH(RESULTADOS!$C$11,0),IF(MONTH(D458)=12,"13º "&amp;YEAR(D458),EOMONTH(D458,1))),
      IF(LEFT(D458,2)="13",DATE(RIGHT(D458,4)-1,1,31),IF(MONTH(D458)=12,"13º "&amp;YEAR(D458),EOMONTH(D458,1)))))))</f>
        <v/>
      </c>
      <c r="E459" s="342"/>
      <c r="F459" s="257"/>
      <c r="G459" s="251"/>
      <c r="I459" s="262" t="str">
        <f ca="1">RESULTADOS!O457</f>
        <v/>
      </c>
      <c r="J459" s="261" t="str">
        <f t="shared" ca="1" si="12"/>
        <v/>
      </c>
      <c r="L459" s="345"/>
    </row>
    <row r="460" spans="2:12" ht="15.6" x14ac:dyDescent="0.3">
      <c r="B460" s="251"/>
      <c r="C460" s="251"/>
      <c r="D460" s="258" t="str">
        <f ca="1">IF(D459="","",
IF(D459="13º "&amp;YEAR(RESULTADOS!$C$11),"",
IF(IFERROR(EOMONTH(D459,1)&gt;PREMISSAS!$C$3,"FALSO"),
   DATE(YEAR(D459)-1,1,31),
   IF(IF(ISTEXT(D459),RIGHT(D459,4)-1=YEAR(RESULTADOS!$C$11),YEAR(D459)-1=YEAR(RESULTADOS!$C$11)),
      IF(LEFT(D459,2)="13",EOMONTH(RESULTADOS!$C$11,0),IF(MONTH(D459)=12,"13º "&amp;YEAR(D459),EOMONTH(D459,1))),
      IF(LEFT(D459,2)="13",DATE(RIGHT(D459,4)-1,1,31),IF(MONTH(D459)=12,"13º "&amp;YEAR(D459),EOMONTH(D459,1)))))))</f>
        <v/>
      </c>
      <c r="E460" s="342"/>
      <c r="F460" s="257"/>
      <c r="G460" s="251"/>
      <c r="I460" s="262" t="str">
        <f ca="1">RESULTADOS!O458</f>
        <v/>
      </c>
      <c r="J460" s="261" t="str">
        <f t="shared" ca="1" si="12"/>
        <v/>
      </c>
      <c r="L460" s="345"/>
    </row>
    <row r="461" spans="2:12" ht="15.6" x14ac:dyDescent="0.3">
      <c r="B461" s="251"/>
      <c r="C461" s="251"/>
      <c r="D461" s="258" t="str">
        <f ca="1">IF(D460="","",
IF(D460="13º "&amp;YEAR(RESULTADOS!$C$11),"",
IF(IFERROR(EOMONTH(D460,1)&gt;PREMISSAS!$C$3,"FALSO"),
   DATE(YEAR(D460)-1,1,31),
   IF(IF(ISTEXT(D460),RIGHT(D460,4)-1=YEAR(RESULTADOS!$C$11),YEAR(D460)-1=YEAR(RESULTADOS!$C$11)),
      IF(LEFT(D460,2)="13",EOMONTH(RESULTADOS!$C$11,0),IF(MONTH(D460)=12,"13º "&amp;YEAR(D460),EOMONTH(D460,1))),
      IF(LEFT(D460,2)="13",DATE(RIGHT(D460,4)-1,1,31),IF(MONTH(D460)=12,"13º "&amp;YEAR(D460),EOMONTH(D460,1)))))))</f>
        <v/>
      </c>
      <c r="E461" s="342"/>
      <c r="F461" s="257"/>
      <c r="G461" s="251"/>
      <c r="I461" s="262" t="str">
        <f ca="1">RESULTADOS!O459</f>
        <v/>
      </c>
      <c r="J461" s="261" t="str">
        <f t="shared" ca="1" si="12"/>
        <v/>
      </c>
      <c r="L461" s="345"/>
    </row>
    <row r="462" spans="2:12" ht="15.6" x14ac:dyDescent="0.3">
      <c r="B462" s="251"/>
      <c r="C462" s="251"/>
      <c r="D462" s="258" t="str">
        <f ca="1">IF(D461="","",
IF(D461="13º "&amp;YEAR(RESULTADOS!$C$11),"",
IF(IFERROR(EOMONTH(D461,1)&gt;PREMISSAS!$C$3,"FALSO"),
   DATE(YEAR(D461)-1,1,31),
   IF(IF(ISTEXT(D461),RIGHT(D461,4)-1=YEAR(RESULTADOS!$C$11),YEAR(D461)-1=YEAR(RESULTADOS!$C$11)),
      IF(LEFT(D461,2)="13",EOMONTH(RESULTADOS!$C$11,0),IF(MONTH(D461)=12,"13º "&amp;YEAR(D461),EOMONTH(D461,1))),
      IF(LEFT(D461,2)="13",DATE(RIGHT(D461,4)-1,1,31),IF(MONTH(D461)=12,"13º "&amp;YEAR(D461),EOMONTH(D461,1)))))))</f>
        <v/>
      </c>
      <c r="E462" s="342"/>
      <c r="F462" s="257"/>
      <c r="G462" s="251"/>
      <c r="I462" s="262" t="str">
        <f ca="1">RESULTADOS!O460</f>
        <v/>
      </c>
      <c r="J462" s="261" t="str">
        <f t="shared" ca="1" si="12"/>
        <v/>
      </c>
      <c r="L462" s="345"/>
    </row>
    <row r="463" spans="2:12" ht="15.6" x14ac:dyDescent="0.3">
      <c r="B463" s="251"/>
      <c r="C463" s="251"/>
      <c r="D463" s="258" t="str">
        <f ca="1">IF(D462="","",
IF(D462="13º "&amp;YEAR(RESULTADOS!$C$11),"",
IF(IFERROR(EOMONTH(D462,1)&gt;PREMISSAS!$C$3,"FALSO"),
   DATE(YEAR(D462)-1,1,31),
   IF(IF(ISTEXT(D462),RIGHT(D462,4)-1=YEAR(RESULTADOS!$C$11),YEAR(D462)-1=YEAR(RESULTADOS!$C$11)),
      IF(LEFT(D462,2)="13",EOMONTH(RESULTADOS!$C$11,0),IF(MONTH(D462)=12,"13º "&amp;YEAR(D462),EOMONTH(D462,1))),
      IF(LEFT(D462,2)="13",DATE(RIGHT(D462,4)-1,1,31),IF(MONTH(D462)=12,"13º "&amp;YEAR(D462),EOMONTH(D462,1)))))))</f>
        <v/>
      </c>
      <c r="E463" s="342"/>
      <c r="F463" s="257"/>
      <c r="G463" s="251"/>
      <c r="I463" s="262" t="str">
        <f ca="1">RESULTADOS!O461</f>
        <v/>
      </c>
      <c r="J463" s="261" t="str">
        <f t="shared" ca="1" si="12"/>
        <v/>
      </c>
      <c r="L463" s="345"/>
    </row>
    <row r="464" spans="2:12" ht="15.6" x14ac:dyDescent="0.3">
      <c r="B464" s="251"/>
      <c r="C464" s="251"/>
      <c r="D464" s="258" t="str">
        <f ca="1">IF(D463="","",
IF(D463="13º "&amp;YEAR(RESULTADOS!$C$11),"",
IF(IFERROR(EOMONTH(D463,1)&gt;PREMISSAS!$C$3,"FALSO"),
   DATE(YEAR(D463)-1,1,31),
   IF(IF(ISTEXT(D463),RIGHT(D463,4)-1=YEAR(RESULTADOS!$C$11),YEAR(D463)-1=YEAR(RESULTADOS!$C$11)),
      IF(LEFT(D463,2)="13",EOMONTH(RESULTADOS!$C$11,0),IF(MONTH(D463)=12,"13º "&amp;YEAR(D463),EOMONTH(D463,1))),
      IF(LEFT(D463,2)="13",DATE(RIGHT(D463,4)-1,1,31),IF(MONTH(D463)=12,"13º "&amp;YEAR(D463),EOMONTH(D463,1)))))))</f>
        <v/>
      </c>
      <c r="E464" s="342"/>
      <c r="F464" s="257"/>
      <c r="G464" s="251"/>
      <c r="I464" s="262" t="str">
        <f ca="1">RESULTADOS!O462</f>
        <v/>
      </c>
      <c r="J464" s="261" t="str">
        <f t="shared" ca="1" si="12"/>
        <v/>
      </c>
      <c r="L464" s="345"/>
    </row>
    <row r="465" spans="2:12" ht="15.6" x14ac:dyDescent="0.3">
      <c r="B465" s="251"/>
      <c r="C465" s="251"/>
      <c r="D465" s="258" t="str">
        <f ca="1">IF(D464="","",
IF(D464="13º "&amp;YEAR(RESULTADOS!$C$11),"",
IF(IFERROR(EOMONTH(D464,1)&gt;PREMISSAS!$C$3,"FALSO"),
   DATE(YEAR(D464)-1,1,31),
   IF(IF(ISTEXT(D464),RIGHT(D464,4)-1=YEAR(RESULTADOS!$C$11),YEAR(D464)-1=YEAR(RESULTADOS!$C$11)),
      IF(LEFT(D464,2)="13",EOMONTH(RESULTADOS!$C$11,0),IF(MONTH(D464)=12,"13º "&amp;YEAR(D464),EOMONTH(D464,1))),
      IF(LEFT(D464,2)="13",DATE(RIGHT(D464,4)-1,1,31),IF(MONTH(D464)=12,"13º "&amp;YEAR(D464),EOMONTH(D464,1)))))))</f>
        <v/>
      </c>
      <c r="E465" s="342"/>
      <c r="F465" s="257"/>
      <c r="G465" s="251"/>
      <c r="I465" s="262" t="str">
        <f ca="1">RESULTADOS!O463</f>
        <v/>
      </c>
      <c r="J465" s="261" t="str">
        <f t="shared" ca="1" si="12"/>
        <v/>
      </c>
      <c r="L465" s="345"/>
    </row>
    <row r="466" spans="2:12" ht="15.6" x14ac:dyDescent="0.3">
      <c r="B466" s="251"/>
      <c r="C466" s="251"/>
      <c r="D466" s="258" t="str">
        <f ca="1">IF(D465="","",
IF(D465="13º "&amp;YEAR(RESULTADOS!$C$11),"",
IF(IFERROR(EOMONTH(D465,1)&gt;PREMISSAS!$C$3,"FALSO"),
   DATE(YEAR(D465)-1,1,31),
   IF(IF(ISTEXT(D465),RIGHT(D465,4)-1=YEAR(RESULTADOS!$C$11),YEAR(D465)-1=YEAR(RESULTADOS!$C$11)),
      IF(LEFT(D465,2)="13",EOMONTH(RESULTADOS!$C$11,0),IF(MONTH(D465)=12,"13º "&amp;YEAR(D465),EOMONTH(D465,1))),
      IF(LEFT(D465,2)="13",DATE(RIGHT(D465,4)-1,1,31),IF(MONTH(D465)=12,"13º "&amp;YEAR(D465),EOMONTH(D465,1)))))))</f>
        <v/>
      </c>
      <c r="E466" s="342"/>
      <c r="F466" s="257"/>
      <c r="G466" s="251"/>
      <c r="I466" s="262" t="str">
        <f ca="1">RESULTADOS!O464</f>
        <v/>
      </c>
      <c r="J466" s="261" t="str">
        <f t="shared" ca="1" si="12"/>
        <v/>
      </c>
      <c r="L466" s="345"/>
    </row>
    <row r="467" spans="2:12" ht="15.6" x14ac:dyDescent="0.3">
      <c r="B467" s="251"/>
      <c r="C467" s="251"/>
      <c r="D467" s="258" t="str">
        <f ca="1">IF(D466="","",
IF(D466="13º "&amp;YEAR(RESULTADOS!$C$11),"",
IF(IFERROR(EOMONTH(D466,1)&gt;PREMISSAS!$C$3,"FALSO"),
   DATE(YEAR(D466)-1,1,31),
   IF(IF(ISTEXT(D466),RIGHT(D466,4)-1=YEAR(RESULTADOS!$C$11),YEAR(D466)-1=YEAR(RESULTADOS!$C$11)),
      IF(LEFT(D466,2)="13",EOMONTH(RESULTADOS!$C$11,0),IF(MONTH(D466)=12,"13º "&amp;YEAR(D466),EOMONTH(D466,1))),
      IF(LEFT(D466,2)="13",DATE(RIGHT(D466,4)-1,1,31),IF(MONTH(D466)=12,"13º "&amp;YEAR(D466),EOMONTH(D466,1)))))))</f>
        <v/>
      </c>
      <c r="E467" s="342"/>
      <c r="F467" s="257"/>
      <c r="G467" s="251"/>
      <c r="I467" s="262" t="str">
        <f ca="1">RESULTADOS!O465</f>
        <v/>
      </c>
      <c r="J467" s="261" t="str">
        <f t="shared" ca="1" si="12"/>
        <v/>
      </c>
      <c r="L467" s="345"/>
    </row>
    <row r="468" spans="2:12" ht="15.6" x14ac:dyDescent="0.3">
      <c r="B468" s="251"/>
      <c r="C468" s="251"/>
      <c r="D468" s="258" t="str">
        <f ca="1">IF(D467="","",
IF(D467="13º "&amp;YEAR(RESULTADOS!$C$11),"",
IF(IFERROR(EOMONTH(D467,1)&gt;PREMISSAS!$C$3,"FALSO"),
   DATE(YEAR(D467)-1,1,31),
   IF(IF(ISTEXT(D467),RIGHT(D467,4)-1=YEAR(RESULTADOS!$C$11),YEAR(D467)-1=YEAR(RESULTADOS!$C$11)),
      IF(LEFT(D467,2)="13",EOMONTH(RESULTADOS!$C$11,0),IF(MONTH(D467)=12,"13º "&amp;YEAR(D467),EOMONTH(D467,1))),
      IF(LEFT(D467,2)="13",DATE(RIGHT(D467,4)-1,1,31),IF(MONTH(D467)=12,"13º "&amp;YEAR(D467),EOMONTH(D467,1)))))))</f>
        <v/>
      </c>
      <c r="E468" s="342"/>
      <c r="F468" s="257"/>
      <c r="G468" s="251"/>
      <c r="I468" s="262" t="str">
        <f ca="1">RESULTADOS!O466</f>
        <v/>
      </c>
      <c r="J468" s="261" t="str">
        <f t="shared" ca="1" si="12"/>
        <v/>
      </c>
      <c r="L468" s="345"/>
    </row>
    <row r="469" spans="2:12" ht="15.6" x14ac:dyDescent="0.3">
      <c r="B469" s="251"/>
      <c r="C469" s="251"/>
      <c r="D469" s="258" t="str">
        <f ca="1">IF(D468="","",
IF(D468="13º "&amp;YEAR(RESULTADOS!$C$11),"",
IF(IFERROR(EOMONTH(D468,1)&gt;PREMISSAS!$C$3,"FALSO"),
   DATE(YEAR(D468)-1,1,31),
   IF(IF(ISTEXT(D468),RIGHT(D468,4)-1=YEAR(RESULTADOS!$C$11),YEAR(D468)-1=YEAR(RESULTADOS!$C$11)),
      IF(LEFT(D468,2)="13",EOMONTH(RESULTADOS!$C$11,0),IF(MONTH(D468)=12,"13º "&amp;YEAR(D468),EOMONTH(D468,1))),
      IF(LEFT(D468,2)="13",DATE(RIGHT(D468,4)-1,1,31),IF(MONTH(D468)=12,"13º "&amp;YEAR(D468),EOMONTH(D468,1)))))))</f>
        <v/>
      </c>
      <c r="E469" s="342"/>
      <c r="F469" s="257"/>
      <c r="G469" s="251"/>
      <c r="I469" s="262" t="str">
        <f ca="1">RESULTADOS!O467</f>
        <v/>
      </c>
      <c r="J469" s="261" t="str">
        <f t="shared" ca="1" si="12"/>
        <v/>
      </c>
      <c r="L469" s="345"/>
    </row>
    <row r="470" spans="2:12" ht="15.6" x14ac:dyDescent="0.3">
      <c r="B470" s="251"/>
      <c r="C470" s="251"/>
      <c r="D470" s="258" t="str">
        <f ca="1">IF(D469="","",
IF(D469="13º "&amp;YEAR(RESULTADOS!$C$11),"",
IF(IFERROR(EOMONTH(D469,1)&gt;PREMISSAS!$C$3,"FALSO"),
   DATE(YEAR(D469)-1,1,31),
   IF(IF(ISTEXT(D469),RIGHT(D469,4)-1=YEAR(RESULTADOS!$C$11),YEAR(D469)-1=YEAR(RESULTADOS!$C$11)),
      IF(LEFT(D469,2)="13",EOMONTH(RESULTADOS!$C$11,0),IF(MONTH(D469)=12,"13º "&amp;YEAR(D469),EOMONTH(D469,1))),
      IF(LEFT(D469,2)="13",DATE(RIGHT(D469,4)-1,1,31),IF(MONTH(D469)=12,"13º "&amp;YEAR(D469),EOMONTH(D469,1)))))))</f>
        <v/>
      </c>
      <c r="E470" s="342"/>
      <c r="F470" s="257"/>
      <c r="G470" s="251"/>
      <c r="I470" s="262" t="str">
        <f ca="1">RESULTADOS!O468</f>
        <v/>
      </c>
      <c r="J470" s="261" t="str">
        <f t="shared" ca="1" si="12"/>
        <v/>
      </c>
      <c r="L470" s="345"/>
    </row>
    <row r="471" spans="2:12" ht="15.6" x14ac:dyDescent="0.3">
      <c r="B471" s="251"/>
      <c r="C471" s="251"/>
      <c r="D471" s="258" t="str">
        <f ca="1">IF(D470="","",
IF(D470="13º "&amp;YEAR(RESULTADOS!$C$11),"",
IF(IFERROR(EOMONTH(D470,1)&gt;PREMISSAS!$C$3,"FALSO"),
   DATE(YEAR(D470)-1,1,31),
   IF(IF(ISTEXT(D470),RIGHT(D470,4)-1=YEAR(RESULTADOS!$C$11),YEAR(D470)-1=YEAR(RESULTADOS!$C$11)),
      IF(LEFT(D470,2)="13",EOMONTH(RESULTADOS!$C$11,0),IF(MONTH(D470)=12,"13º "&amp;YEAR(D470),EOMONTH(D470,1))),
      IF(LEFT(D470,2)="13",DATE(RIGHT(D470,4)-1,1,31),IF(MONTH(D470)=12,"13º "&amp;YEAR(D470),EOMONTH(D470,1)))))))</f>
        <v/>
      </c>
      <c r="E471" s="342"/>
      <c r="F471" s="257"/>
      <c r="G471" s="251"/>
      <c r="I471" s="262" t="str">
        <f ca="1">RESULTADOS!O469</f>
        <v/>
      </c>
      <c r="J471" s="261" t="str">
        <f t="shared" ca="1" si="12"/>
        <v/>
      </c>
      <c r="L471" s="345"/>
    </row>
    <row r="472" spans="2:12" ht="15.6" x14ac:dyDescent="0.3">
      <c r="B472" s="251"/>
      <c r="C472" s="251"/>
      <c r="D472" s="258" t="str">
        <f ca="1">IF(D471="","",
IF(D471="13º "&amp;YEAR(RESULTADOS!$C$11),"",
IF(IFERROR(EOMONTH(D471,1)&gt;PREMISSAS!$C$3,"FALSO"),
   DATE(YEAR(D471)-1,1,31),
   IF(IF(ISTEXT(D471),RIGHT(D471,4)-1=YEAR(RESULTADOS!$C$11),YEAR(D471)-1=YEAR(RESULTADOS!$C$11)),
      IF(LEFT(D471,2)="13",EOMONTH(RESULTADOS!$C$11,0),IF(MONTH(D471)=12,"13º "&amp;YEAR(D471),EOMONTH(D471,1))),
      IF(LEFT(D471,2)="13",DATE(RIGHT(D471,4)-1,1,31),IF(MONTH(D471)=12,"13º "&amp;YEAR(D471),EOMONTH(D471,1)))))))</f>
        <v/>
      </c>
      <c r="E472" s="342"/>
      <c r="F472" s="257"/>
      <c r="G472" s="251"/>
      <c r="I472" s="262" t="str">
        <f ca="1">RESULTADOS!O470</f>
        <v/>
      </c>
      <c r="J472" s="261" t="str">
        <f t="shared" ca="1" si="12"/>
        <v/>
      </c>
      <c r="L472" s="345"/>
    </row>
    <row r="473" spans="2:12" ht="15.6" x14ac:dyDescent="0.3">
      <c r="B473" s="251"/>
      <c r="C473" s="251"/>
      <c r="D473" s="258" t="str">
        <f ca="1">IF(D472="","",
IF(D472="13º "&amp;YEAR(RESULTADOS!$C$11),"",
IF(IFERROR(EOMONTH(D472,1)&gt;PREMISSAS!$C$3,"FALSO"),
   DATE(YEAR(D472)-1,1,31),
   IF(IF(ISTEXT(D472),RIGHT(D472,4)-1=YEAR(RESULTADOS!$C$11),YEAR(D472)-1=YEAR(RESULTADOS!$C$11)),
      IF(LEFT(D472,2)="13",EOMONTH(RESULTADOS!$C$11,0),IF(MONTH(D472)=12,"13º "&amp;YEAR(D472),EOMONTH(D472,1))),
      IF(LEFT(D472,2)="13",DATE(RIGHT(D472,4)-1,1,31),IF(MONTH(D472)=12,"13º "&amp;YEAR(D472),EOMONTH(D472,1)))))))</f>
        <v/>
      </c>
      <c r="E473" s="342"/>
      <c r="F473" s="257"/>
      <c r="G473" s="251"/>
      <c r="I473" s="262" t="str">
        <f ca="1">RESULTADOS!O471</f>
        <v/>
      </c>
      <c r="J473" s="261" t="str">
        <f t="shared" ca="1" si="12"/>
        <v/>
      </c>
      <c r="L473" s="345"/>
    </row>
    <row r="474" spans="2:12" ht="15.6" x14ac:dyDescent="0.3">
      <c r="B474" s="251"/>
      <c r="C474" s="251"/>
      <c r="D474" s="258" t="str">
        <f ca="1">IF(D473="","",
IF(D473="13º "&amp;YEAR(RESULTADOS!$C$11),"",
IF(IFERROR(EOMONTH(D473,1)&gt;PREMISSAS!$C$3,"FALSO"),
   DATE(YEAR(D473)-1,1,31),
   IF(IF(ISTEXT(D473),RIGHT(D473,4)-1=YEAR(RESULTADOS!$C$11),YEAR(D473)-1=YEAR(RESULTADOS!$C$11)),
      IF(LEFT(D473,2)="13",EOMONTH(RESULTADOS!$C$11,0),IF(MONTH(D473)=12,"13º "&amp;YEAR(D473),EOMONTH(D473,1))),
      IF(LEFT(D473,2)="13",DATE(RIGHT(D473,4)-1,1,31),IF(MONTH(D473)=12,"13º "&amp;YEAR(D473),EOMONTH(D473,1)))))))</f>
        <v/>
      </c>
      <c r="E474" s="342"/>
      <c r="F474" s="257"/>
      <c r="G474" s="251"/>
      <c r="I474" s="262" t="str">
        <f ca="1">RESULTADOS!O472</f>
        <v/>
      </c>
      <c r="J474" s="261" t="str">
        <f t="shared" ca="1" si="12"/>
        <v/>
      </c>
      <c r="L474" s="345"/>
    </row>
    <row r="475" spans="2:12" ht="15.6" x14ac:dyDescent="0.3">
      <c r="B475" s="251"/>
      <c r="C475" s="251"/>
      <c r="D475" s="258" t="str">
        <f ca="1">IF(D474="","",
IF(D474="13º "&amp;YEAR(RESULTADOS!$C$11),"",
IF(IFERROR(EOMONTH(D474,1)&gt;PREMISSAS!$C$3,"FALSO"),
   DATE(YEAR(D474)-1,1,31),
   IF(IF(ISTEXT(D474),RIGHT(D474,4)-1=YEAR(RESULTADOS!$C$11),YEAR(D474)-1=YEAR(RESULTADOS!$C$11)),
      IF(LEFT(D474,2)="13",EOMONTH(RESULTADOS!$C$11,0),IF(MONTH(D474)=12,"13º "&amp;YEAR(D474),EOMONTH(D474,1))),
      IF(LEFT(D474,2)="13",DATE(RIGHT(D474,4)-1,1,31),IF(MONTH(D474)=12,"13º "&amp;YEAR(D474),EOMONTH(D474,1)))))))</f>
        <v/>
      </c>
      <c r="E475" s="342"/>
      <c r="F475" s="257"/>
      <c r="G475" s="251"/>
      <c r="I475" s="262" t="str">
        <f ca="1">RESULTADOS!O473</f>
        <v/>
      </c>
      <c r="J475" s="261" t="str">
        <f t="shared" ca="1" si="12"/>
        <v/>
      </c>
      <c r="L475" s="345"/>
    </row>
    <row r="476" spans="2:12" ht="15.6" x14ac:dyDescent="0.3">
      <c r="B476" s="251"/>
      <c r="C476" s="251"/>
      <c r="D476" s="258" t="str">
        <f ca="1">IF(D475="","",
IF(D475="13º "&amp;YEAR(RESULTADOS!$C$11),"",
IF(IFERROR(EOMONTH(D475,1)&gt;PREMISSAS!$C$3,"FALSO"),
   DATE(YEAR(D475)-1,1,31),
   IF(IF(ISTEXT(D475),RIGHT(D475,4)-1=YEAR(RESULTADOS!$C$11),YEAR(D475)-1=YEAR(RESULTADOS!$C$11)),
      IF(LEFT(D475,2)="13",EOMONTH(RESULTADOS!$C$11,0),IF(MONTH(D475)=12,"13º "&amp;YEAR(D475),EOMONTH(D475,1))),
      IF(LEFT(D475,2)="13",DATE(RIGHT(D475,4)-1,1,31),IF(MONTH(D475)=12,"13º "&amp;YEAR(D475),EOMONTH(D475,1)))))))</f>
        <v/>
      </c>
      <c r="E476" s="342"/>
      <c r="F476" s="257"/>
      <c r="G476" s="251"/>
      <c r="I476" s="262" t="str">
        <f ca="1">RESULTADOS!O474</f>
        <v/>
      </c>
      <c r="J476" s="261" t="str">
        <f t="shared" ca="1" si="12"/>
        <v/>
      </c>
      <c r="L476" s="345"/>
    </row>
    <row r="477" spans="2:12" ht="15.6" x14ac:dyDescent="0.3">
      <c r="B477" s="251"/>
      <c r="C477" s="251"/>
      <c r="D477" s="258" t="str">
        <f ca="1">IF(D476="","",
IF(D476="13º "&amp;YEAR(RESULTADOS!$C$11),"",
IF(IFERROR(EOMONTH(D476,1)&gt;PREMISSAS!$C$3,"FALSO"),
   DATE(YEAR(D476)-1,1,31),
   IF(IF(ISTEXT(D476),RIGHT(D476,4)-1=YEAR(RESULTADOS!$C$11),YEAR(D476)-1=YEAR(RESULTADOS!$C$11)),
      IF(LEFT(D476,2)="13",EOMONTH(RESULTADOS!$C$11,0),IF(MONTH(D476)=12,"13º "&amp;YEAR(D476),EOMONTH(D476,1))),
      IF(LEFT(D476,2)="13",DATE(RIGHT(D476,4)-1,1,31),IF(MONTH(D476)=12,"13º "&amp;YEAR(D476),EOMONTH(D476,1)))))))</f>
        <v/>
      </c>
      <c r="E477" s="342"/>
      <c r="F477" s="257"/>
      <c r="G477" s="251"/>
      <c r="I477" s="262" t="str">
        <f ca="1">RESULTADOS!O475</f>
        <v/>
      </c>
      <c r="J477" s="261" t="str">
        <f t="shared" ca="1" si="12"/>
        <v/>
      </c>
      <c r="L477" s="345"/>
    </row>
    <row r="478" spans="2:12" ht="15.6" x14ac:dyDescent="0.3">
      <c r="B478" s="251"/>
      <c r="C478" s="251"/>
      <c r="D478" s="258" t="str">
        <f ca="1">IF(D477="","",
IF(D477="13º "&amp;YEAR(RESULTADOS!$C$11),"",
IF(IFERROR(EOMONTH(D477,1)&gt;PREMISSAS!$C$3,"FALSO"),
   DATE(YEAR(D477)-1,1,31),
   IF(IF(ISTEXT(D477),RIGHT(D477,4)-1=YEAR(RESULTADOS!$C$11),YEAR(D477)-1=YEAR(RESULTADOS!$C$11)),
      IF(LEFT(D477,2)="13",EOMONTH(RESULTADOS!$C$11,0),IF(MONTH(D477)=12,"13º "&amp;YEAR(D477),EOMONTH(D477,1))),
      IF(LEFT(D477,2)="13",DATE(RIGHT(D477,4)-1,1,31),IF(MONTH(D477)=12,"13º "&amp;YEAR(D477),EOMONTH(D477,1)))))))</f>
        <v/>
      </c>
      <c r="E478" s="342"/>
      <c r="F478" s="257"/>
      <c r="G478" s="251"/>
      <c r="I478" s="262" t="str">
        <f ca="1">RESULTADOS!O476</f>
        <v/>
      </c>
      <c r="J478" s="261" t="str">
        <f t="shared" ca="1" si="12"/>
        <v/>
      </c>
      <c r="L478" s="345"/>
    </row>
    <row r="479" spans="2:12" ht="15.6" x14ac:dyDescent="0.3">
      <c r="B479" s="251"/>
      <c r="C479" s="251"/>
      <c r="D479" s="258" t="str">
        <f ca="1">IF(D478="","",
IF(D478="13º "&amp;YEAR(RESULTADOS!$C$11),"",
IF(IFERROR(EOMONTH(D478,1)&gt;PREMISSAS!$C$3,"FALSO"),
   DATE(YEAR(D478)-1,1,31),
   IF(IF(ISTEXT(D478),RIGHT(D478,4)-1=YEAR(RESULTADOS!$C$11),YEAR(D478)-1=YEAR(RESULTADOS!$C$11)),
      IF(LEFT(D478,2)="13",EOMONTH(RESULTADOS!$C$11,0),IF(MONTH(D478)=12,"13º "&amp;YEAR(D478),EOMONTH(D478,1))),
      IF(LEFT(D478,2)="13",DATE(RIGHT(D478,4)-1,1,31),IF(MONTH(D478)=12,"13º "&amp;YEAR(D478),EOMONTH(D478,1)))))))</f>
        <v/>
      </c>
      <c r="E479" s="342"/>
      <c r="F479" s="257"/>
      <c r="G479" s="251"/>
      <c r="I479" s="262" t="str">
        <f ca="1">RESULTADOS!O477</f>
        <v/>
      </c>
      <c r="J479" s="261" t="str">
        <f t="shared" ca="1" si="12"/>
        <v/>
      </c>
      <c r="L479" s="345"/>
    </row>
    <row r="480" spans="2:12" ht="15.6" x14ac:dyDescent="0.3">
      <c r="B480" s="251"/>
      <c r="C480" s="251"/>
      <c r="D480" s="258" t="str">
        <f ca="1">IF(D479="","",
IF(D479="13º "&amp;YEAR(RESULTADOS!$C$11),"",
IF(IFERROR(EOMONTH(D479,1)&gt;PREMISSAS!$C$3,"FALSO"),
   DATE(YEAR(D479)-1,1,31),
   IF(IF(ISTEXT(D479),RIGHT(D479,4)-1=YEAR(RESULTADOS!$C$11),YEAR(D479)-1=YEAR(RESULTADOS!$C$11)),
      IF(LEFT(D479,2)="13",EOMONTH(RESULTADOS!$C$11,0),IF(MONTH(D479)=12,"13º "&amp;YEAR(D479),EOMONTH(D479,1))),
      IF(LEFT(D479,2)="13",DATE(RIGHT(D479,4)-1,1,31),IF(MONTH(D479)=12,"13º "&amp;YEAR(D479),EOMONTH(D479,1)))))))</f>
        <v/>
      </c>
      <c r="E480" s="342"/>
      <c r="F480" s="257"/>
      <c r="G480" s="251"/>
      <c r="I480" s="262" t="str">
        <f ca="1">RESULTADOS!O478</f>
        <v/>
      </c>
      <c r="J480" s="261" t="str">
        <f t="shared" ca="1" si="12"/>
        <v/>
      </c>
      <c r="L480" s="345"/>
    </row>
    <row r="481" spans="2:12" ht="15.6" x14ac:dyDescent="0.3">
      <c r="B481" s="251"/>
      <c r="C481" s="251"/>
      <c r="D481" s="258" t="str">
        <f ca="1">IF(D480="","",
IF(D480="13º "&amp;YEAR(RESULTADOS!$C$11),"",
IF(IFERROR(EOMONTH(D480,1)&gt;PREMISSAS!$C$3,"FALSO"),
   DATE(YEAR(D480)-1,1,31),
   IF(IF(ISTEXT(D480),RIGHT(D480,4)-1=YEAR(RESULTADOS!$C$11),YEAR(D480)-1=YEAR(RESULTADOS!$C$11)),
      IF(LEFT(D480,2)="13",EOMONTH(RESULTADOS!$C$11,0),IF(MONTH(D480)=12,"13º "&amp;YEAR(D480),EOMONTH(D480,1))),
      IF(LEFT(D480,2)="13",DATE(RIGHT(D480,4)-1,1,31),IF(MONTH(D480)=12,"13º "&amp;YEAR(D480),EOMONTH(D480,1)))))))</f>
        <v/>
      </c>
      <c r="E481" s="342"/>
      <c r="F481" s="257"/>
      <c r="G481" s="251"/>
      <c r="I481" s="262" t="str">
        <f ca="1">RESULTADOS!O479</f>
        <v/>
      </c>
      <c r="J481" s="261" t="str">
        <f t="shared" ca="1" si="12"/>
        <v/>
      </c>
      <c r="L481" s="345"/>
    </row>
    <row r="482" spans="2:12" ht="15.6" x14ac:dyDescent="0.3">
      <c r="B482" s="251"/>
      <c r="C482" s="251"/>
      <c r="D482" s="258" t="str">
        <f ca="1">IF(D481="","",
IF(D481="13º "&amp;YEAR(RESULTADOS!$C$11),"",
IF(IFERROR(EOMONTH(D481,1)&gt;PREMISSAS!$C$3,"FALSO"),
   DATE(YEAR(D481)-1,1,31),
   IF(IF(ISTEXT(D481),RIGHT(D481,4)-1=YEAR(RESULTADOS!$C$11),YEAR(D481)-1=YEAR(RESULTADOS!$C$11)),
      IF(LEFT(D481,2)="13",EOMONTH(RESULTADOS!$C$11,0),IF(MONTH(D481)=12,"13º "&amp;YEAR(D481),EOMONTH(D481,1))),
      IF(LEFT(D481,2)="13",DATE(RIGHT(D481,4)-1,1,31),IF(MONTH(D481)=12,"13º "&amp;YEAR(D481),EOMONTH(D481,1)))))))</f>
        <v/>
      </c>
      <c r="E482" s="342"/>
      <c r="F482" s="257"/>
      <c r="G482" s="251"/>
      <c r="I482" s="262" t="str">
        <f ca="1">RESULTADOS!O480</f>
        <v/>
      </c>
      <c r="J482" s="261" t="str">
        <f t="shared" ca="1" si="12"/>
        <v/>
      </c>
      <c r="L482" s="345"/>
    </row>
    <row r="483" spans="2:12" ht="15.6" x14ac:dyDescent="0.3">
      <c r="B483" s="251"/>
      <c r="C483" s="251"/>
      <c r="D483" s="258" t="str">
        <f ca="1">IF(D482="","",
IF(D482="13º "&amp;YEAR(RESULTADOS!$C$11),"",
IF(IFERROR(EOMONTH(D482,1)&gt;PREMISSAS!$C$3,"FALSO"),
   DATE(YEAR(D482)-1,1,31),
   IF(IF(ISTEXT(D482),RIGHT(D482,4)-1=YEAR(RESULTADOS!$C$11),YEAR(D482)-1=YEAR(RESULTADOS!$C$11)),
      IF(LEFT(D482,2)="13",EOMONTH(RESULTADOS!$C$11,0),IF(MONTH(D482)=12,"13º "&amp;YEAR(D482),EOMONTH(D482,1))),
      IF(LEFT(D482,2)="13",DATE(RIGHT(D482,4)-1,1,31),IF(MONTH(D482)=12,"13º "&amp;YEAR(D482),EOMONTH(D482,1)))))))</f>
        <v/>
      </c>
      <c r="E483" s="342"/>
      <c r="F483" s="257"/>
      <c r="G483" s="251"/>
      <c r="I483" s="262" t="str">
        <f ca="1">RESULTADOS!O481</f>
        <v/>
      </c>
      <c r="J483" s="261" t="str">
        <f t="shared" ca="1" si="12"/>
        <v/>
      </c>
      <c r="L483" s="345"/>
    </row>
    <row r="484" spans="2:12" ht="15.6" x14ac:dyDescent="0.3">
      <c r="B484" s="251"/>
      <c r="C484" s="251"/>
      <c r="D484" s="258" t="str">
        <f ca="1">IF(D483="","",
IF(D483="13º "&amp;YEAR(RESULTADOS!$C$11),"",
IF(IFERROR(EOMONTH(D483,1)&gt;PREMISSAS!$C$3,"FALSO"),
   DATE(YEAR(D483)-1,1,31),
   IF(IF(ISTEXT(D483),RIGHT(D483,4)-1=YEAR(RESULTADOS!$C$11),YEAR(D483)-1=YEAR(RESULTADOS!$C$11)),
      IF(LEFT(D483,2)="13",EOMONTH(RESULTADOS!$C$11,0),IF(MONTH(D483)=12,"13º "&amp;YEAR(D483),EOMONTH(D483,1))),
      IF(LEFT(D483,2)="13",DATE(RIGHT(D483,4)-1,1,31),IF(MONTH(D483)=12,"13º "&amp;YEAR(D483),EOMONTH(D483,1)))))))</f>
        <v/>
      </c>
      <c r="E484" s="342"/>
      <c r="F484" s="257"/>
      <c r="G484" s="251"/>
      <c r="I484" s="262" t="str">
        <f ca="1">RESULTADOS!O482</f>
        <v/>
      </c>
      <c r="J484" s="261" t="str">
        <f t="shared" ca="1" si="12"/>
        <v/>
      </c>
      <c r="L484" s="345"/>
    </row>
    <row r="485" spans="2:12" ht="15.6" x14ac:dyDescent="0.3">
      <c r="B485" s="251"/>
      <c r="C485" s="251"/>
      <c r="D485" s="258" t="str">
        <f ca="1">IF(D484="","",
IF(D484="13º "&amp;YEAR(RESULTADOS!$C$11),"",
IF(IFERROR(EOMONTH(D484,1)&gt;PREMISSAS!$C$3,"FALSO"),
   DATE(YEAR(D484)-1,1,31),
   IF(IF(ISTEXT(D484),RIGHT(D484,4)-1=YEAR(RESULTADOS!$C$11),YEAR(D484)-1=YEAR(RESULTADOS!$C$11)),
      IF(LEFT(D484,2)="13",EOMONTH(RESULTADOS!$C$11,0),IF(MONTH(D484)=12,"13º "&amp;YEAR(D484),EOMONTH(D484,1))),
      IF(LEFT(D484,2)="13",DATE(RIGHT(D484,4)-1,1,31),IF(MONTH(D484)=12,"13º "&amp;YEAR(D484),EOMONTH(D484,1)))))))</f>
        <v/>
      </c>
      <c r="E485" s="342"/>
      <c r="F485" s="257"/>
      <c r="G485" s="251"/>
      <c r="I485" s="262" t="str">
        <f ca="1">RESULTADOS!O483</f>
        <v/>
      </c>
      <c r="J485" s="261" t="str">
        <f t="shared" ca="1" si="12"/>
        <v/>
      </c>
      <c r="L485" s="345"/>
    </row>
    <row r="486" spans="2:12" ht="15.6" x14ac:dyDescent="0.3">
      <c r="B486" s="251"/>
      <c r="C486" s="251"/>
      <c r="D486" s="258" t="str">
        <f ca="1">IF(D485="","",
IF(D485="13º "&amp;YEAR(RESULTADOS!$C$11),"",
IF(IFERROR(EOMONTH(D485,1)&gt;PREMISSAS!$C$3,"FALSO"),
   DATE(YEAR(D485)-1,1,31),
   IF(IF(ISTEXT(D485),RIGHT(D485,4)-1=YEAR(RESULTADOS!$C$11),YEAR(D485)-1=YEAR(RESULTADOS!$C$11)),
      IF(LEFT(D485,2)="13",EOMONTH(RESULTADOS!$C$11,0),IF(MONTH(D485)=12,"13º "&amp;YEAR(D485),EOMONTH(D485,1))),
      IF(LEFT(D485,2)="13",DATE(RIGHT(D485,4)-1,1,31),IF(MONTH(D485)=12,"13º "&amp;YEAR(D485),EOMONTH(D485,1)))))))</f>
        <v/>
      </c>
      <c r="E486" s="342"/>
      <c r="F486" s="257"/>
      <c r="G486" s="251"/>
      <c r="I486" s="262" t="str">
        <f ca="1">RESULTADOS!O484</f>
        <v/>
      </c>
      <c r="J486" s="261" t="str">
        <f t="shared" ca="1" si="12"/>
        <v/>
      </c>
      <c r="L486" s="345"/>
    </row>
    <row r="487" spans="2:12" ht="15.6" x14ac:dyDescent="0.3">
      <c r="B487" s="251"/>
      <c r="C487" s="251"/>
      <c r="D487" s="258" t="str">
        <f ca="1">IF(D486="","",
IF(D486="13º "&amp;YEAR(RESULTADOS!$C$11),"",
IF(IFERROR(EOMONTH(D486,1)&gt;PREMISSAS!$C$3,"FALSO"),
   DATE(YEAR(D486)-1,1,31),
   IF(IF(ISTEXT(D486),RIGHT(D486,4)-1=YEAR(RESULTADOS!$C$11),YEAR(D486)-1=YEAR(RESULTADOS!$C$11)),
      IF(LEFT(D486,2)="13",EOMONTH(RESULTADOS!$C$11,0),IF(MONTH(D486)=12,"13º "&amp;YEAR(D486),EOMONTH(D486,1))),
      IF(LEFT(D486,2)="13",DATE(RIGHT(D486,4)-1,1,31),IF(MONTH(D486)=12,"13º "&amp;YEAR(D486),EOMONTH(D486,1)))))))</f>
        <v/>
      </c>
      <c r="E487" s="342"/>
      <c r="F487" s="257"/>
      <c r="G487" s="251"/>
      <c r="I487" s="262" t="str">
        <f ca="1">RESULTADOS!O485</f>
        <v/>
      </c>
      <c r="J487" s="261" t="str">
        <f t="shared" ca="1" si="12"/>
        <v/>
      </c>
      <c r="L487" s="345"/>
    </row>
    <row r="488" spans="2:12" ht="15.6" x14ac:dyDescent="0.3">
      <c r="B488" s="251"/>
      <c r="C488" s="251"/>
      <c r="D488" s="258" t="str">
        <f ca="1">IF(D487="","",
IF(D487="13º "&amp;YEAR(RESULTADOS!$C$11),"",
IF(IFERROR(EOMONTH(D487,1)&gt;PREMISSAS!$C$3,"FALSO"),
   DATE(YEAR(D487)-1,1,31),
   IF(IF(ISTEXT(D487),RIGHT(D487,4)-1=YEAR(RESULTADOS!$C$11),YEAR(D487)-1=YEAR(RESULTADOS!$C$11)),
      IF(LEFT(D487,2)="13",EOMONTH(RESULTADOS!$C$11,0),IF(MONTH(D487)=12,"13º "&amp;YEAR(D487),EOMONTH(D487,1))),
      IF(LEFT(D487,2)="13",DATE(RIGHT(D487,4)-1,1,31),IF(MONTH(D487)=12,"13º "&amp;YEAR(D487),EOMONTH(D487,1)))))))</f>
        <v/>
      </c>
      <c r="E488" s="342"/>
      <c r="F488" s="257"/>
      <c r="G488" s="251"/>
      <c r="I488" s="262" t="str">
        <f ca="1">RESULTADOS!O486</f>
        <v/>
      </c>
      <c r="J488" s="261" t="str">
        <f t="shared" ca="1" si="12"/>
        <v/>
      </c>
      <c r="L488" s="345"/>
    </row>
    <row r="489" spans="2:12" ht="15.6" x14ac:dyDescent="0.3">
      <c r="B489" s="251"/>
      <c r="C489" s="251"/>
      <c r="D489" s="258" t="str">
        <f ca="1">IF(D488="","",
IF(D488="13º "&amp;YEAR(RESULTADOS!$C$11),"",
IF(IFERROR(EOMONTH(D488,1)&gt;PREMISSAS!$C$3,"FALSO"),
   DATE(YEAR(D488)-1,1,31),
   IF(IF(ISTEXT(D488),RIGHT(D488,4)-1=YEAR(RESULTADOS!$C$11),YEAR(D488)-1=YEAR(RESULTADOS!$C$11)),
      IF(LEFT(D488,2)="13",EOMONTH(RESULTADOS!$C$11,0),IF(MONTH(D488)=12,"13º "&amp;YEAR(D488),EOMONTH(D488,1))),
      IF(LEFT(D488,2)="13",DATE(RIGHT(D488,4)-1,1,31),IF(MONTH(D488)=12,"13º "&amp;YEAR(D488),EOMONTH(D488,1)))))))</f>
        <v/>
      </c>
      <c r="E489" s="342"/>
      <c r="F489" s="257"/>
      <c r="G489" s="251"/>
      <c r="I489" s="262" t="str">
        <f ca="1">RESULTADOS!O487</f>
        <v/>
      </c>
      <c r="J489" s="261" t="str">
        <f t="shared" ca="1" si="12"/>
        <v/>
      </c>
      <c r="L489" s="345"/>
    </row>
    <row r="490" spans="2:12" ht="15.6" x14ac:dyDescent="0.3">
      <c r="B490" s="251"/>
      <c r="C490" s="251"/>
      <c r="D490" s="258" t="str">
        <f ca="1">IF(D489="","",
IF(D489="13º "&amp;YEAR(RESULTADOS!$C$11),"",
IF(IFERROR(EOMONTH(D489,1)&gt;PREMISSAS!$C$3,"FALSO"),
   DATE(YEAR(D489)-1,1,31),
   IF(IF(ISTEXT(D489),RIGHT(D489,4)-1=YEAR(RESULTADOS!$C$11),YEAR(D489)-1=YEAR(RESULTADOS!$C$11)),
      IF(LEFT(D489,2)="13",EOMONTH(RESULTADOS!$C$11,0),IF(MONTH(D489)=12,"13º "&amp;YEAR(D489),EOMONTH(D489,1))),
      IF(LEFT(D489,2)="13",DATE(RIGHT(D489,4)-1,1,31),IF(MONTH(D489)=12,"13º "&amp;YEAR(D489),EOMONTH(D489,1)))))))</f>
        <v/>
      </c>
      <c r="E490" s="342"/>
      <c r="F490" s="257"/>
      <c r="G490" s="251"/>
      <c r="I490" s="262" t="str">
        <f ca="1">RESULTADOS!O488</f>
        <v/>
      </c>
      <c r="J490" s="261" t="str">
        <f t="shared" ca="1" si="12"/>
        <v/>
      </c>
      <c r="L490" s="345"/>
    </row>
    <row r="491" spans="2:12" ht="15.6" x14ac:dyDescent="0.3">
      <c r="B491" s="251"/>
      <c r="C491" s="251"/>
      <c r="D491" s="258" t="str">
        <f ca="1">IF(D490="","",
IF(D490="13º "&amp;YEAR(RESULTADOS!$C$11),"",
IF(IFERROR(EOMONTH(D490,1)&gt;PREMISSAS!$C$3,"FALSO"),
   DATE(YEAR(D490)-1,1,31),
   IF(IF(ISTEXT(D490),RIGHT(D490,4)-1=YEAR(RESULTADOS!$C$11),YEAR(D490)-1=YEAR(RESULTADOS!$C$11)),
      IF(LEFT(D490,2)="13",EOMONTH(RESULTADOS!$C$11,0),IF(MONTH(D490)=12,"13º "&amp;YEAR(D490),EOMONTH(D490,1))),
      IF(LEFT(D490,2)="13",DATE(RIGHT(D490,4)-1,1,31),IF(MONTH(D490)=12,"13º "&amp;YEAR(D490),EOMONTH(D490,1)))))))</f>
        <v/>
      </c>
      <c r="E491" s="342"/>
      <c r="F491" s="257"/>
      <c r="G491" s="251"/>
      <c r="I491" s="262" t="str">
        <f ca="1">RESULTADOS!O489</f>
        <v/>
      </c>
      <c r="J491" s="261" t="str">
        <f t="shared" ca="1" si="12"/>
        <v/>
      </c>
      <c r="L491" s="345"/>
    </row>
    <row r="492" spans="2:12" ht="15.6" x14ac:dyDescent="0.3">
      <c r="B492" s="251"/>
      <c r="C492" s="251"/>
      <c r="D492" s="258" t="str">
        <f ca="1">IF(D491="","",
IF(D491="13º "&amp;YEAR(RESULTADOS!$C$11),"",
IF(IFERROR(EOMONTH(D491,1)&gt;PREMISSAS!$C$3,"FALSO"),
   DATE(YEAR(D491)-1,1,31),
   IF(IF(ISTEXT(D491),RIGHT(D491,4)-1=YEAR(RESULTADOS!$C$11),YEAR(D491)-1=YEAR(RESULTADOS!$C$11)),
      IF(LEFT(D491,2)="13",EOMONTH(RESULTADOS!$C$11,0),IF(MONTH(D491)=12,"13º "&amp;YEAR(D491),EOMONTH(D491,1))),
      IF(LEFT(D491,2)="13",DATE(RIGHT(D491,4)-1,1,31),IF(MONTH(D491)=12,"13º "&amp;YEAR(D491),EOMONTH(D491,1)))))))</f>
        <v/>
      </c>
      <c r="E492" s="342"/>
      <c r="F492" s="257"/>
      <c r="G492" s="251"/>
      <c r="I492" s="262" t="str">
        <f ca="1">RESULTADOS!O490</f>
        <v/>
      </c>
      <c r="J492" s="261" t="str">
        <f t="shared" ca="1" si="12"/>
        <v/>
      </c>
      <c r="L492" s="345"/>
    </row>
    <row r="493" spans="2:12" ht="15.6" x14ac:dyDescent="0.3">
      <c r="B493" s="251"/>
      <c r="C493" s="251"/>
      <c r="D493" s="258" t="str">
        <f ca="1">IF(D492="","",
IF(D492="13º "&amp;YEAR(RESULTADOS!$C$11),"",
IF(IFERROR(EOMONTH(D492,1)&gt;PREMISSAS!$C$3,"FALSO"),
   DATE(YEAR(D492)-1,1,31),
   IF(IF(ISTEXT(D492),RIGHT(D492,4)-1=YEAR(RESULTADOS!$C$11),YEAR(D492)-1=YEAR(RESULTADOS!$C$11)),
      IF(LEFT(D492,2)="13",EOMONTH(RESULTADOS!$C$11,0),IF(MONTH(D492)=12,"13º "&amp;YEAR(D492),EOMONTH(D492,1))),
      IF(LEFT(D492,2)="13",DATE(RIGHT(D492,4)-1,1,31),IF(MONTH(D492)=12,"13º "&amp;YEAR(D492),EOMONTH(D492,1)))))))</f>
        <v/>
      </c>
      <c r="E493" s="342"/>
      <c r="F493" s="257"/>
      <c r="G493" s="251"/>
      <c r="I493" s="262" t="str">
        <f ca="1">RESULTADOS!O491</f>
        <v/>
      </c>
      <c r="J493" s="261" t="str">
        <f t="shared" ca="1" si="12"/>
        <v/>
      </c>
      <c r="L493" s="345"/>
    </row>
    <row r="494" spans="2:12" ht="15.6" x14ac:dyDescent="0.3">
      <c r="B494" s="251"/>
      <c r="C494" s="251"/>
      <c r="D494" s="258" t="str">
        <f ca="1">IF(D493="","",
IF(D493="13º "&amp;YEAR(RESULTADOS!$C$11),"",
IF(IFERROR(EOMONTH(D493,1)&gt;PREMISSAS!$C$3,"FALSO"),
   DATE(YEAR(D493)-1,1,31),
   IF(IF(ISTEXT(D493),RIGHT(D493,4)-1=YEAR(RESULTADOS!$C$11),YEAR(D493)-1=YEAR(RESULTADOS!$C$11)),
      IF(LEFT(D493,2)="13",EOMONTH(RESULTADOS!$C$11,0),IF(MONTH(D493)=12,"13º "&amp;YEAR(D493),EOMONTH(D493,1))),
      IF(LEFT(D493,2)="13",DATE(RIGHT(D493,4)-1,1,31),IF(MONTH(D493)=12,"13º "&amp;YEAR(D493),EOMONTH(D493,1)))))))</f>
        <v/>
      </c>
      <c r="E494" s="342"/>
      <c r="F494" s="257"/>
      <c r="G494" s="251"/>
      <c r="I494" s="262" t="str">
        <f ca="1">RESULTADOS!O492</f>
        <v/>
      </c>
      <c r="J494" s="261" t="str">
        <f t="shared" ca="1" si="12"/>
        <v/>
      </c>
      <c r="L494" s="345"/>
    </row>
    <row r="495" spans="2:12" ht="15.6" x14ac:dyDescent="0.3">
      <c r="B495" s="251"/>
      <c r="C495" s="251"/>
      <c r="D495" s="258" t="str">
        <f ca="1">IF(D494="","",
IF(D494="13º "&amp;YEAR(RESULTADOS!$C$11),"",
IF(IFERROR(EOMONTH(D494,1)&gt;PREMISSAS!$C$3,"FALSO"),
   DATE(YEAR(D494)-1,1,31),
   IF(IF(ISTEXT(D494),RIGHT(D494,4)-1=YEAR(RESULTADOS!$C$11),YEAR(D494)-1=YEAR(RESULTADOS!$C$11)),
      IF(LEFT(D494,2)="13",EOMONTH(RESULTADOS!$C$11,0),IF(MONTH(D494)=12,"13º "&amp;YEAR(D494),EOMONTH(D494,1))),
      IF(LEFT(D494,2)="13",DATE(RIGHT(D494,4)-1,1,31),IF(MONTH(D494)=12,"13º "&amp;YEAR(D494),EOMONTH(D494,1)))))))</f>
        <v/>
      </c>
      <c r="E495" s="342"/>
      <c r="F495" s="257"/>
      <c r="G495" s="251"/>
      <c r="I495" s="262" t="str">
        <f ca="1">RESULTADOS!O493</f>
        <v/>
      </c>
      <c r="J495" s="261" t="str">
        <f t="shared" ca="1" si="12"/>
        <v/>
      </c>
      <c r="L495" s="345"/>
    </row>
    <row r="496" spans="2:12" ht="15.6" x14ac:dyDescent="0.3">
      <c r="B496" s="251"/>
      <c r="C496" s="251"/>
      <c r="D496" s="258" t="str">
        <f ca="1">IF(D495="","",
IF(D495="13º "&amp;YEAR(RESULTADOS!$C$11),"",
IF(IFERROR(EOMONTH(D495,1)&gt;PREMISSAS!$C$3,"FALSO"),
   DATE(YEAR(D495)-1,1,31),
   IF(IF(ISTEXT(D495),RIGHT(D495,4)-1=YEAR(RESULTADOS!$C$11),YEAR(D495)-1=YEAR(RESULTADOS!$C$11)),
      IF(LEFT(D495,2)="13",EOMONTH(RESULTADOS!$C$11,0),IF(MONTH(D495)=12,"13º "&amp;YEAR(D495),EOMONTH(D495,1))),
      IF(LEFT(D495,2)="13",DATE(RIGHT(D495,4)-1,1,31),IF(MONTH(D495)=12,"13º "&amp;YEAR(D495),EOMONTH(D495,1)))))))</f>
        <v/>
      </c>
      <c r="E496" s="342"/>
      <c r="F496" s="257"/>
      <c r="G496" s="251"/>
      <c r="I496" s="262" t="str">
        <f ca="1">RESULTADOS!O494</f>
        <v/>
      </c>
      <c r="J496" s="261" t="str">
        <f t="shared" ca="1" si="12"/>
        <v/>
      </c>
      <c r="L496" s="345"/>
    </row>
    <row r="497" spans="2:12" ht="15.6" x14ac:dyDescent="0.3">
      <c r="B497" s="251"/>
      <c r="C497" s="251"/>
      <c r="D497" s="258" t="str">
        <f ca="1">IF(D496="","",
IF(D496="13º "&amp;YEAR(RESULTADOS!$C$11),"",
IF(IFERROR(EOMONTH(D496,1)&gt;PREMISSAS!$C$3,"FALSO"),
   DATE(YEAR(D496)-1,1,31),
   IF(IF(ISTEXT(D496),RIGHT(D496,4)-1=YEAR(RESULTADOS!$C$11),YEAR(D496)-1=YEAR(RESULTADOS!$C$11)),
      IF(LEFT(D496,2)="13",EOMONTH(RESULTADOS!$C$11,0),IF(MONTH(D496)=12,"13º "&amp;YEAR(D496),EOMONTH(D496,1))),
      IF(LEFT(D496,2)="13",DATE(RIGHT(D496,4)-1,1,31),IF(MONTH(D496)=12,"13º "&amp;YEAR(D496),EOMONTH(D496,1)))))))</f>
        <v/>
      </c>
      <c r="E497" s="342"/>
      <c r="F497" s="257"/>
      <c r="G497" s="251"/>
      <c r="I497" s="262" t="str">
        <f ca="1">RESULTADOS!O495</f>
        <v/>
      </c>
      <c r="J497" s="261" t="str">
        <f t="shared" ca="1" si="12"/>
        <v/>
      </c>
      <c r="L497" s="345"/>
    </row>
    <row r="498" spans="2:12" ht="15.6" x14ac:dyDescent="0.3">
      <c r="B498" s="251"/>
      <c r="C498" s="251"/>
      <c r="D498" s="258" t="str">
        <f ca="1">IF(D497="","",
IF(D497="13º "&amp;YEAR(RESULTADOS!$C$11),"",
IF(IFERROR(EOMONTH(D497,1)&gt;PREMISSAS!$C$3,"FALSO"),
   DATE(YEAR(D497)-1,1,31),
   IF(IF(ISTEXT(D497),RIGHT(D497,4)-1=YEAR(RESULTADOS!$C$11),YEAR(D497)-1=YEAR(RESULTADOS!$C$11)),
      IF(LEFT(D497,2)="13",EOMONTH(RESULTADOS!$C$11,0),IF(MONTH(D497)=12,"13º "&amp;YEAR(D497),EOMONTH(D497,1))),
      IF(LEFT(D497,2)="13",DATE(RIGHT(D497,4)-1,1,31),IF(MONTH(D497)=12,"13º "&amp;YEAR(D497),EOMONTH(D497,1)))))))</f>
        <v/>
      </c>
      <c r="E498" s="342"/>
      <c r="F498" s="257"/>
      <c r="G498" s="251"/>
      <c r="I498" s="262" t="str">
        <f ca="1">RESULTADOS!O496</f>
        <v/>
      </c>
      <c r="J498" s="261" t="str">
        <f t="shared" ca="1" si="12"/>
        <v/>
      </c>
      <c r="L498" s="345"/>
    </row>
    <row r="499" spans="2:12" ht="15.6" x14ac:dyDescent="0.3">
      <c r="B499" s="251"/>
      <c r="C499" s="251"/>
      <c r="D499" s="258" t="str">
        <f ca="1">IF(D498="","",
IF(D498="13º "&amp;YEAR(RESULTADOS!$C$11),"",
IF(IFERROR(EOMONTH(D498,1)&gt;PREMISSAS!$C$3,"FALSO"),
   DATE(YEAR(D498)-1,1,31),
   IF(IF(ISTEXT(D498),RIGHT(D498,4)-1=YEAR(RESULTADOS!$C$11),YEAR(D498)-1=YEAR(RESULTADOS!$C$11)),
      IF(LEFT(D498,2)="13",EOMONTH(RESULTADOS!$C$11,0),IF(MONTH(D498)=12,"13º "&amp;YEAR(D498),EOMONTH(D498,1))),
      IF(LEFT(D498,2)="13",DATE(RIGHT(D498,4)-1,1,31),IF(MONTH(D498)=12,"13º "&amp;YEAR(D498),EOMONTH(D498,1)))))))</f>
        <v/>
      </c>
      <c r="E499" s="342"/>
      <c r="F499" s="257"/>
      <c r="G499" s="251"/>
      <c r="I499" s="262" t="str">
        <f ca="1">RESULTADOS!O497</f>
        <v/>
      </c>
      <c r="J499" s="261" t="str">
        <f t="shared" ca="1" si="12"/>
        <v/>
      </c>
      <c r="L499" s="345"/>
    </row>
    <row r="500" spans="2:12" ht="15.6" x14ac:dyDescent="0.3">
      <c r="B500" s="251"/>
      <c r="C500" s="251"/>
      <c r="D500" s="258" t="str">
        <f ca="1">IF(D499="","",
IF(D499="13º "&amp;YEAR(RESULTADOS!$C$11),"",
IF(IFERROR(EOMONTH(D499,1)&gt;PREMISSAS!$C$3,"FALSO"),
   DATE(YEAR(D499)-1,1,31),
   IF(IF(ISTEXT(D499),RIGHT(D499,4)-1=YEAR(RESULTADOS!$C$11),YEAR(D499)-1=YEAR(RESULTADOS!$C$11)),
      IF(LEFT(D499,2)="13",EOMONTH(RESULTADOS!$C$11,0),IF(MONTH(D499)=12,"13º "&amp;YEAR(D499),EOMONTH(D499,1))),
      IF(LEFT(D499,2)="13",DATE(RIGHT(D499,4)-1,1,31),IF(MONTH(D499)=12,"13º "&amp;YEAR(D499),EOMONTH(D499,1)))))))</f>
        <v/>
      </c>
      <c r="E500" s="342"/>
      <c r="F500" s="257"/>
      <c r="G500" s="251"/>
      <c r="I500" s="262" t="str">
        <f ca="1">RESULTADOS!O498</f>
        <v/>
      </c>
      <c r="J500" s="261" t="str">
        <f t="shared" ca="1" si="12"/>
        <v/>
      </c>
      <c r="L500" s="345"/>
    </row>
    <row r="501" spans="2:12" ht="15.6" x14ac:dyDescent="0.3">
      <c r="B501" s="251"/>
      <c r="C501" s="251"/>
      <c r="D501" s="258" t="str">
        <f ca="1">IF(D500="","",
IF(D500="13º "&amp;YEAR(RESULTADOS!$C$11),"",
IF(IFERROR(EOMONTH(D500,1)&gt;PREMISSAS!$C$3,"FALSO"),
   DATE(YEAR(D500)-1,1,31),
   IF(IF(ISTEXT(D500),RIGHT(D500,4)-1=YEAR(RESULTADOS!$C$11),YEAR(D500)-1=YEAR(RESULTADOS!$C$11)),
      IF(LEFT(D500,2)="13",EOMONTH(RESULTADOS!$C$11,0),IF(MONTH(D500)=12,"13º "&amp;YEAR(D500),EOMONTH(D500,1))),
      IF(LEFT(D500,2)="13",DATE(RIGHT(D500,4)-1,1,31),IF(MONTH(D500)=12,"13º "&amp;YEAR(D500),EOMONTH(D500,1)))))))</f>
        <v/>
      </c>
      <c r="E501" s="342"/>
      <c r="F501" s="257"/>
      <c r="G501" s="251"/>
      <c r="I501" s="262" t="str">
        <f ca="1">RESULTADOS!O499</f>
        <v/>
      </c>
      <c r="J501" s="261" t="str">
        <f t="shared" ca="1" si="12"/>
        <v/>
      </c>
      <c r="L501" s="345"/>
    </row>
    <row r="502" spans="2:12" ht="15.6" x14ac:dyDescent="0.3">
      <c r="B502" s="251"/>
      <c r="C502" s="251"/>
      <c r="D502" s="258" t="str">
        <f ca="1">IF(D501="","",
IF(D501="13º "&amp;YEAR(RESULTADOS!$C$11),"",
IF(IFERROR(EOMONTH(D501,1)&gt;PREMISSAS!$C$3,"FALSO"),
   DATE(YEAR(D501)-1,1,31),
   IF(IF(ISTEXT(D501),RIGHT(D501,4)-1=YEAR(RESULTADOS!$C$11),YEAR(D501)-1=YEAR(RESULTADOS!$C$11)),
      IF(LEFT(D501,2)="13",EOMONTH(RESULTADOS!$C$11,0),IF(MONTH(D501)=12,"13º "&amp;YEAR(D501),EOMONTH(D501,1))),
      IF(LEFT(D501,2)="13",DATE(RIGHT(D501,4)-1,1,31),IF(MONTH(D501)=12,"13º "&amp;YEAR(D501),EOMONTH(D501,1)))))))</f>
        <v/>
      </c>
      <c r="E502" s="342"/>
      <c r="F502" s="257"/>
      <c r="G502" s="251"/>
      <c r="I502" s="262" t="str">
        <f ca="1">RESULTADOS!O500</f>
        <v/>
      </c>
      <c r="J502" s="261" t="str">
        <f t="shared" ca="1" si="12"/>
        <v/>
      </c>
      <c r="L502" s="345"/>
    </row>
    <row r="503" spans="2:12" ht="15.6" x14ac:dyDescent="0.3">
      <c r="B503" s="251"/>
      <c r="C503" s="251"/>
      <c r="D503" s="258" t="str">
        <f ca="1">IF(D502="","",
IF(D502="13º "&amp;YEAR(RESULTADOS!$C$11),"",
IF(IFERROR(EOMONTH(D502,1)&gt;PREMISSAS!$C$3,"FALSO"),
   DATE(YEAR(D502)-1,1,31),
   IF(IF(ISTEXT(D502),RIGHT(D502,4)-1=YEAR(RESULTADOS!$C$11),YEAR(D502)-1=YEAR(RESULTADOS!$C$11)),
      IF(LEFT(D502,2)="13",EOMONTH(RESULTADOS!$C$11,0),IF(MONTH(D502)=12,"13º "&amp;YEAR(D502),EOMONTH(D502,1))),
      IF(LEFT(D502,2)="13",DATE(RIGHT(D502,4)-1,1,31),IF(MONTH(D502)=12,"13º "&amp;YEAR(D502),EOMONTH(D502,1)))))))</f>
        <v/>
      </c>
      <c r="E503" s="342"/>
      <c r="F503" s="257"/>
      <c r="G503" s="251"/>
      <c r="I503" s="262" t="str">
        <f ca="1">RESULTADOS!O501</f>
        <v/>
      </c>
      <c r="J503" s="261" t="str">
        <f t="shared" ca="1" si="12"/>
        <v/>
      </c>
      <c r="L503" s="345"/>
    </row>
    <row r="504" spans="2:12" ht="15.6" x14ac:dyDescent="0.3">
      <c r="B504" s="251"/>
      <c r="C504" s="251"/>
      <c r="D504" s="258" t="str">
        <f ca="1">IF(D503="","",
IF(D503="13º "&amp;YEAR(RESULTADOS!$C$11),"",
IF(IFERROR(EOMONTH(D503,1)&gt;PREMISSAS!$C$3,"FALSO"),
   DATE(YEAR(D503)-1,1,31),
   IF(IF(ISTEXT(D503),RIGHT(D503,4)-1=YEAR(RESULTADOS!$C$11),YEAR(D503)-1=YEAR(RESULTADOS!$C$11)),
      IF(LEFT(D503,2)="13",EOMONTH(RESULTADOS!$C$11,0),IF(MONTH(D503)=12,"13º "&amp;YEAR(D503),EOMONTH(D503,1))),
      IF(LEFT(D503,2)="13",DATE(RIGHT(D503,4)-1,1,31),IF(MONTH(D503)=12,"13º "&amp;YEAR(D503),EOMONTH(D503,1)))))))</f>
        <v/>
      </c>
      <c r="E504" s="342"/>
      <c r="F504" s="257"/>
      <c r="G504" s="251"/>
      <c r="I504" s="262" t="str">
        <f ca="1">RESULTADOS!O502</f>
        <v/>
      </c>
      <c r="J504" s="261" t="str">
        <f t="shared" ca="1" si="12"/>
        <v/>
      </c>
      <c r="L504" s="345"/>
    </row>
    <row r="505" spans="2:12" ht="15.6" x14ac:dyDescent="0.3">
      <c r="B505" s="251"/>
      <c r="C505" s="251"/>
      <c r="D505" s="258" t="str">
        <f ca="1">IF(D504="","",
IF(D504="13º "&amp;YEAR(RESULTADOS!$C$11),"",
IF(IFERROR(EOMONTH(D504,1)&gt;PREMISSAS!$C$3,"FALSO"),
   DATE(YEAR(D504)-1,1,31),
   IF(IF(ISTEXT(D504),RIGHT(D504,4)-1=YEAR(RESULTADOS!$C$11),YEAR(D504)-1=YEAR(RESULTADOS!$C$11)),
      IF(LEFT(D504,2)="13",EOMONTH(RESULTADOS!$C$11,0),IF(MONTH(D504)=12,"13º "&amp;YEAR(D504),EOMONTH(D504,1))),
      IF(LEFT(D504,2)="13",DATE(RIGHT(D504,4)-1,1,31),IF(MONTH(D504)=12,"13º "&amp;YEAR(D504),EOMONTH(D504,1)))))))</f>
        <v/>
      </c>
      <c r="E505" s="342"/>
      <c r="F505" s="257"/>
      <c r="G505" s="251"/>
      <c r="I505" s="262" t="str">
        <f ca="1">RESULTADOS!O503</f>
        <v/>
      </c>
      <c r="J505" s="261" t="str">
        <f t="shared" ca="1" si="12"/>
        <v/>
      </c>
      <c r="L505" s="345"/>
    </row>
    <row r="506" spans="2:12" ht="15.6" x14ac:dyDescent="0.3">
      <c r="B506" s="251"/>
      <c r="C506" s="251"/>
      <c r="D506" s="258" t="str">
        <f ca="1">IF(D505="","",
IF(D505="13º "&amp;YEAR(RESULTADOS!$C$11),"",
IF(IFERROR(EOMONTH(D505,1)&gt;PREMISSAS!$C$3,"FALSO"),
   DATE(YEAR(D505)-1,1,31),
   IF(IF(ISTEXT(D505),RIGHT(D505,4)-1=YEAR(RESULTADOS!$C$11),YEAR(D505)-1=YEAR(RESULTADOS!$C$11)),
      IF(LEFT(D505,2)="13",EOMONTH(RESULTADOS!$C$11,0),IF(MONTH(D505)=12,"13º "&amp;YEAR(D505),EOMONTH(D505,1))),
      IF(LEFT(D505,2)="13",DATE(RIGHT(D505,4)-1,1,31),IF(MONTH(D505)=12,"13º "&amp;YEAR(D505),EOMONTH(D505,1)))))))</f>
        <v/>
      </c>
      <c r="E506" s="342"/>
      <c r="F506" s="257"/>
      <c r="G506" s="251"/>
      <c r="I506" s="262" t="str">
        <f ca="1">RESULTADOS!O504</f>
        <v/>
      </c>
      <c r="J506" s="261" t="str">
        <f t="shared" ca="1" si="12"/>
        <v/>
      </c>
      <c r="L506" s="345"/>
    </row>
    <row r="507" spans="2:12" ht="15.6" x14ac:dyDescent="0.3">
      <c r="B507" s="251"/>
      <c r="C507" s="251"/>
      <c r="D507" s="258" t="str">
        <f ca="1">IF(D506="","",
IF(D506="13º "&amp;YEAR(RESULTADOS!$C$11),"",
IF(IFERROR(EOMONTH(D506,1)&gt;PREMISSAS!$C$3,"FALSO"),
   DATE(YEAR(D506)-1,1,31),
   IF(IF(ISTEXT(D506),RIGHT(D506,4)-1=YEAR(RESULTADOS!$C$11),YEAR(D506)-1=YEAR(RESULTADOS!$C$11)),
      IF(LEFT(D506,2)="13",EOMONTH(RESULTADOS!$C$11,0),IF(MONTH(D506)=12,"13º "&amp;YEAR(D506),EOMONTH(D506,1))),
      IF(LEFT(D506,2)="13",DATE(RIGHT(D506,4)-1,1,31),IF(MONTH(D506)=12,"13º "&amp;YEAR(D506),EOMONTH(D506,1)))))))</f>
        <v/>
      </c>
      <c r="E507" s="342"/>
      <c r="F507" s="257"/>
      <c r="G507" s="251"/>
      <c r="I507" s="262" t="str">
        <f ca="1">RESULTADOS!O505</f>
        <v/>
      </c>
      <c r="J507" s="261" t="str">
        <f t="shared" ca="1" si="12"/>
        <v/>
      </c>
      <c r="L507" s="345"/>
    </row>
    <row r="508" spans="2:12" ht="15.6" x14ac:dyDescent="0.3">
      <c r="B508" s="251"/>
      <c r="C508" s="251"/>
      <c r="D508" s="258" t="str">
        <f ca="1">IF(D507="","",
IF(D507="13º "&amp;YEAR(RESULTADOS!$C$11),"",
IF(IFERROR(EOMONTH(D507,1)&gt;PREMISSAS!$C$3,"FALSO"),
   DATE(YEAR(D507)-1,1,31),
   IF(IF(ISTEXT(D507),RIGHT(D507,4)-1=YEAR(RESULTADOS!$C$11),YEAR(D507)-1=YEAR(RESULTADOS!$C$11)),
      IF(LEFT(D507,2)="13",EOMONTH(RESULTADOS!$C$11,0),IF(MONTH(D507)=12,"13º "&amp;YEAR(D507),EOMONTH(D507,1))),
      IF(LEFT(D507,2)="13",DATE(RIGHT(D507,4)-1,1,31),IF(MONTH(D507)=12,"13º "&amp;YEAR(D507),EOMONTH(D507,1)))))))</f>
        <v/>
      </c>
      <c r="E508" s="342"/>
      <c r="F508" s="257"/>
      <c r="G508" s="251"/>
      <c r="I508" s="262" t="str">
        <f ca="1">RESULTADOS!O506</f>
        <v/>
      </c>
      <c r="J508" s="261" t="str">
        <f t="shared" ca="1" si="12"/>
        <v/>
      </c>
      <c r="L508" s="345"/>
    </row>
    <row r="509" spans="2:12" ht="15.6" x14ac:dyDescent="0.3">
      <c r="B509" s="251"/>
      <c r="C509" s="251"/>
      <c r="D509" s="258" t="str">
        <f ca="1">IF(D508="","",
IF(D508="13º "&amp;YEAR(RESULTADOS!$C$11),"",
IF(IFERROR(EOMONTH(D508,1)&gt;PREMISSAS!$C$3,"FALSO"),
   DATE(YEAR(D508)-1,1,31),
   IF(IF(ISTEXT(D508),RIGHT(D508,4)-1=YEAR(RESULTADOS!$C$11),YEAR(D508)-1=YEAR(RESULTADOS!$C$11)),
      IF(LEFT(D508,2)="13",EOMONTH(RESULTADOS!$C$11,0),IF(MONTH(D508)=12,"13º "&amp;YEAR(D508),EOMONTH(D508,1))),
      IF(LEFT(D508,2)="13",DATE(RIGHT(D508,4)-1,1,31),IF(MONTH(D508)=12,"13º "&amp;YEAR(D508),EOMONTH(D508,1)))))))</f>
        <v/>
      </c>
      <c r="E509" s="342"/>
      <c r="F509" s="257"/>
      <c r="G509" s="251"/>
      <c r="I509" s="262" t="str">
        <f ca="1">RESULTADOS!O507</f>
        <v/>
      </c>
      <c r="J509" s="261" t="str">
        <f t="shared" ca="1" si="12"/>
        <v/>
      </c>
      <c r="L509" s="345"/>
    </row>
    <row r="510" spans="2:12" ht="15.6" x14ac:dyDescent="0.3">
      <c r="B510" s="251"/>
      <c r="C510" s="251"/>
      <c r="D510" s="258" t="str">
        <f ca="1">IF(D509="","",
IF(D509="13º "&amp;YEAR(RESULTADOS!$C$11),"",
IF(IFERROR(EOMONTH(D509,1)&gt;PREMISSAS!$C$3,"FALSO"),
   DATE(YEAR(D509)-1,1,31),
   IF(IF(ISTEXT(D509),RIGHT(D509,4)-1=YEAR(RESULTADOS!$C$11),YEAR(D509)-1=YEAR(RESULTADOS!$C$11)),
      IF(LEFT(D509,2)="13",EOMONTH(RESULTADOS!$C$11,0),IF(MONTH(D509)=12,"13º "&amp;YEAR(D509),EOMONTH(D509,1))),
      IF(LEFT(D509,2)="13",DATE(RIGHT(D509,4)-1,1,31),IF(MONTH(D509)=12,"13º "&amp;YEAR(D509),EOMONTH(D509,1)))))))</f>
        <v/>
      </c>
      <c r="E510" s="342"/>
      <c r="F510" s="257"/>
      <c r="G510" s="251"/>
      <c r="I510" s="262" t="str">
        <f ca="1">RESULTADOS!O508</f>
        <v/>
      </c>
      <c r="J510" s="261" t="str">
        <f t="shared" ca="1" si="12"/>
        <v/>
      </c>
      <c r="L510" s="345"/>
    </row>
    <row r="511" spans="2:12" ht="15.6" x14ac:dyDescent="0.3">
      <c r="B511" s="251"/>
      <c r="C511" s="251"/>
      <c r="D511" s="258" t="str">
        <f ca="1">IF(D510="","",
IF(D510="13º "&amp;YEAR(RESULTADOS!$C$11),"",
IF(IFERROR(EOMONTH(D510,1)&gt;PREMISSAS!$C$3,"FALSO"),
   DATE(YEAR(D510)-1,1,31),
   IF(IF(ISTEXT(D510),RIGHT(D510,4)-1=YEAR(RESULTADOS!$C$11),YEAR(D510)-1=YEAR(RESULTADOS!$C$11)),
      IF(LEFT(D510,2)="13",EOMONTH(RESULTADOS!$C$11,0),IF(MONTH(D510)=12,"13º "&amp;YEAR(D510),EOMONTH(D510,1))),
      IF(LEFT(D510,2)="13",DATE(RIGHT(D510,4)-1,1,31),IF(MONTH(D510)=12,"13º "&amp;YEAR(D510),EOMONTH(D510,1)))))))</f>
        <v/>
      </c>
      <c r="E511" s="342"/>
      <c r="F511" s="257"/>
      <c r="G511" s="251"/>
      <c r="I511" s="262" t="str">
        <f ca="1">RESULTADOS!O509</f>
        <v/>
      </c>
      <c r="J511" s="261" t="str">
        <f t="shared" ca="1" si="12"/>
        <v/>
      </c>
      <c r="L511" s="345"/>
    </row>
    <row r="512" spans="2:12" ht="15.6" x14ac:dyDescent="0.3">
      <c r="B512" s="251"/>
      <c r="C512" s="251"/>
      <c r="D512" s="258" t="str">
        <f ca="1">IF(D511="","",
IF(D511="13º "&amp;YEAR(RESULTADOS!$C$11),"",
IF(IFERROR(EOMONTH(D511,1)&gt;PREMISSAS!$C$3,"FALSO"),
   DATE(YEAR(D511)-1,1,31),
   IF(IF(ISTEXT(D511),RIGHT(D511,4)-1=YEAR(RESULTADOS!$C$11),YEAR(D511)-1=YEAR(RESULTADOS!$C$11)),
      IF(LEFT(D511,2)="13",EOMONTH(RESULTADOS!$C$11,0),IF(MONTH(D511)=12,"13º "&amp;YEAR(D511),EOMONTH(D511,1))),
      IF(LEFT(D511,2)="13",DATE(RIGHT(D511,4)-1,1,31),IF(MONTH(D511)=12,"13º "&amp;YEAR(D511),EOMONTH(D511,1)))))))</f>
        <v/>
      </c>
      <c r="E512" s="342"/>
      <c r="F512" s="257"/>
      <c r="G512" s="251"/>
      <c r="I512" s="262" t="str">
        <f ca="1">RESULTADOS!O510</f>
        <v/>
      </c>
      <c r="J512" s="261" t="str">
        <f t="shared" ca="1" si="12"/>
        <v/>
      </c>
      <c r="L512" s="345"/>
    </row>
    <row r="513" spans="2:12" ht="15.6" x14ac:dyDescent="0.3">
      <c r="B513" s="251"/>
      <c r="C513" s="251"/>
      <c r="D513" s="258" t="str">
        <f ca="1">IF(D512="","",
IF(D512="13º "&amp;YEAR(RESULTADOS!$C$11),"",
IF(IFERROR(EOMONTH(D512,1)&gt;PREMISSAS!$C$3,"FALSO"),
   DATE(YEAR(D512)-1,1,31),
   IF(IF(ISTEXT(D512),RIGHT(D512,4)-1=YEAR(RESULTADOS!$C$11),YEAR(D512)-1=YEAR(RESULTADOS!$C$11)),
      IF(LEFT(D512,2)="13",EOMONTH(RESULTADOS!$C$11,0),IF(MONTH(D512)=12,"13º "&amp;YEAR(D512),EOMONTH(D512,1))),
      IF(LEFT(D512,2)="13",DATE(RIGHT(D512,4)-1,1,31),IF(MONTH(D512)=12,"13º "&amp;YEAR(D512),EOMONTH(D512,1)))))))</f>
        <v/>
      </c>
      <c r="E513" s="342"/>
      <c r="F513" s="257"/>
      <c r="G513" s="251"/>
      <c r="I513" s="262" t="str">
        <f ca="1">RESULTADOS!O511</f>
        <v/>
      </c>
      <c r="J513" s="261" t="str">
        <f t="shared" ca="1" si="12"/>
        <v/>
      </c>
      <c r="L513" s="345"/>
    </row>
    <row r="514" spans="2:12" ht="15.6" x14ac:dyDescent="0.3">
      <c r="B514" s="251"/>
      <c r="C514" s="251"/>
      <c r="D514" s="258" t="str">
        <f ca="1">IF(D513="","",
IF(D513="13º "&amp;YEAR(RESULTADOS!$C$11),"",
IF(IFERROR(EOMONTH(D513,1)&gt;PREMISSAS!$C$3,"FALSO"),
   DATE(YEAR(D513)-1,1,31),
   IF(IF(ISTEXT(D513),RIGHT(D513,4)-1=YEAR(RESULTADOS!$C$11),YEAR(D513)-1=YEAR(RESULTADOS!$C$11)),
      IF(LEFT(D513,2)="13",EOMONTH(RESULTADOS!$C$11,0),IF(MONTH(D513)=12,"13º "&amp;YEAR(D513),EOMONTH(D513,1))),
      IF(LEFT(D513,2)="13",DATE(RIGHT(D513,4)-1,1,31),IF(MONTH(D513)=12,"13º "&amp;YEAR(D513),EOMONTH(D513,1)))))))</f>
        <v/>
      </c>
      <c r="E514" s="342"/>
      <c r="F514" s="257"/>
      <c r="G514" s="251"/>
      <c r="I514" s="262" t="str">
        <f ca="1">RESULTADOS!O512</f>
        <v/>
      </c>
      <c r="J514" s="261" t="str">
        <f t="shared" ca="1" si="12"/>
        <v/>
      </c>
      <c r="L514" s="345"/>
    </row>
    <row r="515" spans="2:12" ht="15.6" x14ac:dyDescent="0.3">
      <c r="B515" s="251"/>
      <c r="C515" s="251"/>
      <c r="D515" s="258" t="str">
        <f ca="1">IF(D514="","",
IF(D514="13º "&amp;YEAR(RESULTADOS!$C$11),"",
IF(IFERROR(EOMONTH(D514,1)&gt;PREMISSAS!$C$3,"FALSO"),
   DATE(YEAR(D514)-1,1,31),
   IF(IF(ISTEXT(D514),RIGHT(D514,4)-1=YEAR(RESULTADOS!$C$11),YEAR(D514)-1=YEAR(RESULTADOS!$C$11)),
      IF(LEFT(D514,2)="13",EOMONTH(RESULTADOS!$C$11,0),IF(MONTH(D514)=12,"13º "&amp;YEAR(D514),EOMONTH(D514,1))),
      IF(LEFT(D514,2)="13",DATE(RIGHT(D514,4)-1,1,31),IF(MONTH(D514)=12,"13º "&amp;YEAR(D514),EOMONTH(D514,1)))))))</f>
        <v/>
      </c>
      <c r="E515" s="342"/>
      <c r="F515" s="257"/>
      <c r="G515" s="251"/>
      <c r="I515" s="262" t="str">
        <f ca="1">RESULTADOS!O513</f>
        <v/>
      </c>
      <c r="J515" s="261" t="str">
        <f t="shared" ca="1" si="12"/>
        <v/>
      </c>
      <c r="L515" s="345"/>
    </row>
    <row r="516" spans="2:12" ht="15.6" x14ac:dyDescent="0.3">
      <c r="B516" s="251"/>
      <c r="C516" s="251"/>
      <c r="D516" s="258" t="str">
        <f ca="1">IF(D515="","",
IF(D515="13º "&amp;YEAR(RESULTADOS!$C$11),"",
IF(IFERROR(EOMONTH(D515,1)&gt;PREMISSAS!$C$3,"FALSO"),
   DATE(YEAR(D515)-1,1,31),
   IF(IF(ISTEXT(D515),RIGHT(D515,4)-1=YEAR(RESULTADOS!$C$11),YEAR(D515)-1=YEAR(RESULTADOS!$C$11)),
      IF(LEFT(D515,2)="13",EOMONTH(RESULTADOS!$C$11,0),IF(MONTH(D515)=12,"13º "&amp;YEAR(D515),EOMONTH(D515,1))),
      IF(LEFT(D515,2)="13",DATE(RIGHT(D515,4)-1,1,31),IF(MONTH(D515)=12,"13º "&amp;YEAR(D515),EOMONTH(D515,1)))))))</f>
        <v/>
      </c>
      <c r="E516" s="342"/>
      <c r="F516" s="257"/>
      <c r="G516" s="251"/>
      <c r="I516" s="262" t="str">
        <f ca="1">RESULTADOS!O514</f>
        <v/>
      </c>
      <c r="J516" s="261" t="str">
        <f t="shared" ca="1" si="12"/>
        <v/>
      </c>
      <c r="L516" s="345"/>
    </row>
    <row r="517" spans="2:12" ht="15.6" x14ac:dyDescent="0.3">
      <c r="B517" s="251"/>
      <c r="C517" s="251"/>
      <c r="D517" s="258" t="str">
        <f ca="1">IF(D516="","",
IF(D516="13º "&amp;YEAR(RESULTADOS!$C$11),"",
IF(IFERROR(EOMONTH(D516,1)&gt;PREMISSAS!$C$3,"FALSO"),
   DATE(YEAR(D516)-1,1,31),
   IF(IF(ISTEXT(D516),RIGHT(D516,4)-1=YEAR(RESULTADOS!$C$11),YEAR(D516)-1=YEAR(RESULTADOS!$C$11)),
      IF(LEFT(D516,2)="13",EOMONTH(RESULTADOS!$C$11,0),IF(MONTH(D516)=12,"13º "&amp;YEAR(D516),EOMONTH(D516,1))),
      IF(LEFT(D516,2)="13",DATE(RIGHT(D516,4)-1,1,31),IF(MONTH(D516)=12,"13º "&amp;YEAR(D516),EOMONTH(D516,1)))))))</f>
        <v/>
      </c>
      <c r="E517" s="342"/>
      <c r="F517" s="257"/>
      <c r="G517" s="251"/>
      <c r="I517" s="262" t="str">
        <f ca="1">RESULTADOS!O515</f>
        <v/>
      </c>
      <c r="J517" s="261" t="str">
        <f t="shared" ca="1" si="12"/>
        <v/>
      </c>
      <c r="L517" s="345"/>
    </row>
    <row r="518" spans="2:12" ht="15.6" x14ac:dyDescent="0.3">
      <c r="B518" s="251"/>
      <c r="C518" s="251"/>
      <c r="D518" s="258" t="str">
        <f ca="1">IF(D517="","",
IF(D517="13º "&amp;YEAR(RESULTADOS!$C$11),"",
IF(IFERROR(EOMONTH(D517,1)&gt;PREMISSAS!$C$3,"FALSO"),
   DATE(YEAR(D517)-1,1,31),
   IF(IF(ISTEXT(D517),RIGHT(D517,4)-1=YEAR(RESULTADOS!$C$11),YEAR(D517)-1=YEAR(RESULTADOS!$C$11)),
      IF(LEFT(D517,2)="13",EOMONTH(RESULTADOS!$C$11,0),IF(MONTH(D517)=12,"13º "&amp;YEAR(D517),EOMONTH(D517,1))),
      IF(LEFT(D517,2)="13",DATE(RIGHT(D517,4)-1,1,31),IF(MONTH(D517)=12,"13º "&amp;YEAR(D517),EOMONTH(D517,1)))))))</f>
        <v/>
      </c>
      <c r="E518" s="342"/>
      <c r="F518" s="257"/>
      <c r="G518" s="251"/>
      <c r="I518" s="262" t="str">
        <f ca="1">RESULTADOS!O516</f>
        <v/>
      </c>
      <c r="J518" s="261" t="str">
        <f t="shared" ca="1" si="12"/>
        <v/>
      </c>
      <c r="L518" s="345"/>
    </row>
    <row r="519" spans="2:12" ht="15.6" x14ac:dyDescent="0.3">
      <c r="B519" s="251"/>
      <c r="C519" s="251"/>
      <c r="D519" s="258" t="str">
        <f ca="1">IF(D518="","",
IF(D518="13º "&amp;YEAR(RESULTADOS!$C$11),"",
IF(IFERROR(EOMONTH(D518,1)&gt;PREMISSAS!$C$3,"FALSO"),
   DATE(YEAR(D518)-1,1,31),
   IF(IF(ISTEXT(D518),RIGHT(D518,4)-1=YEAR(RESULTADOS!$C$11),YEAR(D518)-1=YEAR(RESULTADOS!$C$11)),
      IF(LEFT(D518,2)="13",EOMONTH(RESULTADOS!$C$11,0),IF(MONTH(D518)=12,"13º "&amp;YEAR(D518),EOMONTH(D518,1))),
      IF(LEFT(D518,2)="13",DATE(RIGHT(D518,4)-1,1,31),IF(MONTH(D518)=12,"13º "&amp;YEAR(D518),EOMONTH(D518,1)))))))</f>
        <v/>
      </c>
      <c r="E519" s="342"/>
      <c r="F519" s="257"/>
      <c r="G519" s="251"/>
      <c r="I519" s="262" t="str">
        <f ca="1">RESULTADOS!O517</f>
        <v/>
      </c>
      <c r="J519" s="261" t="str">
        <f t="shared" ca="1" si="12"/>
        <v/>
      </c>
      <c r="L519" s="345"/>
    </row>
    <row r="520" spans="2:12" ht="15.6" x14ac:dyDescent="0.3">
      <c r="B520" s="251"/>
      <c r="C520" s="251"/>
      <c r="D520" s="258" t="str">
        <f ca="1">IF(D519="","",
IF(D519="13º "&amp;YEAR(RESULTADOS!$C$11),"",
IF(IFERROR(EOMONTH(D519,1)&gt;PREMISSAS!$C$3,"FALSO"),
   DATE(YEAR(D519)-1,1,31),
   IF(IF(ISTEXT(D519),RIGHT(D519,4)-1=YEAR(RESULTADOS!$C$11),YEAR(D519)-1=YEAR(RESULTADOS!$C$11)),
      IF(LEFT(D519,2)="13",EOMONTH(RESULTADOS!$C$11,0),IF(MONTH(D519)=12,"13º "&amp;YEAR(D519),EOMONTH(D519,1))),
      IF(LEFT(D519,2)="13",DATE(RIGHT(D519,4)-1,1,31),IF(MONTH(D519)=12,"13º "&amp;YEAR(D519),EOMONTH(D519,1)))))))</f>
        <v/>
      </c>
      <c r="E520" s="342"/>
      <c r="F520" s="257"/>
      <c r="G520" s="251"/>
      <c r="I520" s="262" t="str">
        <f ca="1">RESULTADOS!O518</f>
        <v/>
      </c>
      <c r="J520" s="261" t="str">
        <f t="shared" ref="J520:J583" ca="1" si="13">IF(I520="","",IFERROR(VLOOKUP(I520,$D$6:$E$656,2,0),""))</f>
        <v/>
      </c>
      <c r="L520" s="345"/>
    </row>
    <row r="521" spans="2:12" ht="15.6" x14ac:dyDescent="0.3">
      <c r="B521" s="251"/>
      <c r="C521" s="251"/>
      <c r="D521" s="258" t="str">
        <f ca="1">IF(D520="","",
IF(D520="13º "&amp;YEAR(RESULTADOS!$C$11),"",
IF(IFERROR(EOMONTH(D520,1)&gt;PREMISSAS!$C$3,"FALSO"),
   DATE(YEAR(D520)-1,1,31),
   IF(IF(ISTEXT(D520),RIGHT(D520,4)-1=YEAR(RESULTADOS!$C$11),YEAR(D520)-1=YEAR(RESULTADOS!$C$11)),
      IF(LEFT(D520,2)="13",EOMONTH(RESULTADOS!$C$11,0),IF(MONTH(D520)=12,"13º "&amp;YEAR(D520),EOMONTH(D520,1))),
      IF(LEFT(D520,2)="13",DATE(RIGHT(D520,4)-1,1,31),IF(MONTH(D520)=12,"13º "&amp;YEAR(D520),EOMONTH(D520,1)))))))</f>
        <v/>
      </c>
      <c r="E521" s="342"/>
      <c r="F521" s="257"/>
      <c r="G521" s="251"/>
      <c r="I521" s="262" t="str">
        <f ca="1">RESULTADOS!O519</f>
        <v/>
      </c>
      <c r="J521" s="261" t="str">
        <f t="shared" ca="1" si="13"/>
        <v/>
      </c>
      <c r="L521" s="345"/>
    </row>
    <row r="522" spans="2:12" ht="15.6" x14ac:dyDescent="0.3">
      <c r="B522" s="251"/>
      <c r="C522" s="251"/>
      <c r="D522" s="258" t="str">
        <f ca="1">IF(D521="","",
IF(D521="13º "&amp;YEAR(RESULTADOS!$C$11),"",
IF(IFERROR(EOMONTH(D521,1)&gt;PREMISSAS!$C$3,"FALSO"),
   DATE(YEAR(D521)-1,1,31),
   IF(IF(ISTEXT(D521),RIGHT(D521,4)-1=YEAR(RESULTADOS!$C$11),YEAR(D521)-1=YEAR(RESULTADOS!$C$11)),
      IF(LEFT(D521,2)="13",EOMONTH(RESULTADOS!$C$11,0),IF(MONTH(D521)=12,"13º "&amp;YEAR(D521),EOMONTH(D521,1))),
      IF(LEFT(D521,2)="13",DATE(RIGHT(D521,4)-1,1,31),IF(MONTH(D521)=12,"13º "&amp;YEAR(D521),EOMONTH(D521,1)))))))</f>
        <v/>
      </c>
      <c r="E522" s="342"/>
      <c r="F522" s="257"/>
      <c r="G522" s="251"/>
      <c r="I522" s="262" t="str">
        <f ca="1">RESULTADOS!O520</f>
        <v/>
      </c>
      <c r="J522" s="261" t="str">
        <f t="shared" ca="1" si="13"/>
        <v/>
      </c>
      <c r="L522" s="345"/>
    </row>
    <row r="523" spans="2:12" ht="15.6" x14ac:dyDescent="0.3">
      <c r="B523" s="251"/>
      <c r="C523" s="251"/>
      <c r="D523" s="258" t="str">
        <f ca="1">IF(D522="","",
IF(D522="13º "&amp;YEAR(RESULTADOS!$C$11),"",
IF(IFERROR(EOMONTH(D522,1)&gt;PREMISSAS!$C$3,"FALSO"),
   DATE(YEAR(D522)-1,1,31),
   IF(IF(ISTEXT(D522),RIGHT(D522,4)-1=YEAR(RESULTADOS!$C$11),YEAR(D522)-1=YEAR(RESULTADOS!$C$11)),
      IF(LEFT(D522,2)="13",EOMONTH(RESULTADOS!$C$11,0),IF(MONTH(D522)=12,"13º "&amp;YEAR(D522),EOMONTH(D522,1))),
      IF(LEFT(D522,2)="13",DATE(RIGHT(D522,4)-1,1,31),IF(MONTH(D522)=12,"13º "&amp;YEAR(D522),EOMONTH(D522,1)))))))</f>
        <v/>
      </c>
      <c r="E523" s="342"/>
      <c r="F523" s="257"/>
      <c r="G523" s="251"/>
      <c r="I523" s="262" t="str">
        <f ca="1">RESULTADOS!O521</f>
        <v/>
      </c>
      <c r="J523" s="261" t="str">
        <f t="shared" ca="1" si="13"/>
        <v/>
      </c>
      <c r="L523" s="345"/>
    </row>
    <row r="524" spans="2:12" ht="15.6" x14ac:dyDescent="0.3">
      <c r="B524" s="251"/>
      <c r="C524" s="251"/>
      <c r="D524" s="258" t="str">
        <f ca="1">IF(D523="","",
IF(D523="13º "&amp;YEAR(RESULTADOS!$C$11),"",
IF(IFERROR(EOMONTH(D523,1)&gt;PREMISSAS!$C$3,"FALSO"),
   DATE(YEAR(D523)-1,1,31),
   IF(IF(ISTEXT(D523),RIGHT(D523,4)-1=YEAR(RESULTADOS!$C$11),YEAR(D523)-1=YEAR(RESULTADOS!$C$11)),
      IF(LEFT(D523,2)="13",EOMONTH(RESULTADOS!$C$11,0),IF(MONTH(D523)=12,"13º "&amp;YEAR(D523),EOMONTH(D523,1))),
      IF(LEFT(D523,2)="13",DATE(RIGHT(D523,4)-1,1,31),IF(MONTH(D523)=12,"13º "&amp;YEAR(D523),EOMONTH(D523,1)))))))</f>
        <v/>
      </c>
      <c r="E524" s="342"/>
      <c r="F524" s="257"/>
      <c r="G524" s="251"/>
      <c r="I524" s="262" t="str">
        <f ca="1">RESULTADOS!O522</f>
        <v/>
      </c>
      <c r="J524" s="261" t="str">
        <f t="shared" ca="1" si="13"/>
        <v/>
      </c>
      <c r="L524" s="345"/>
    </row>
    <row r="525" spans="2:12" ht="15.6" x14ac:dyDescent="0.3">
      <c r="B525" s="251"/>
      <c r="C525" s="251"/>
      <c r="D525" s="258" t="str">
        <f ca="1">IF(D524="","",
IF(D524="13º "&amp;YEAR(RESULTADOS!$C$11),"",
IF(IFERROR(EOMONTH(D524,1)&gt;PREMISSAS!$C$3,"FALSO"),
   DATE(YEAR(D524)-1,1,31),
   IF(IF(ISTEXT(D524),RIGHT(D524,4)-1=YEAR(RESULTADOS!$C$11),YEAR(D524)-1=YEAR(RESULTADOS!$C$11)),
      IF(LEFT(D524,2)="13",EOMONTH(RESULTADOS!$C$11,0),IF(MONTH(D524)=12,"13º "&amp;YEAR(D524),EOMONTH(D524,1))),
      IF(LEFT(D524,2)="13",DATE(RIGHT(D524,4)-1,1,31),IF(MONTH(D524)=12,"13º "&amp;YEAR(D524),EOMONTH(D524,1)))))))</f>
        <v/>
      </c>
      <c r="E525" s="342"/>
      <c r="F525" s="257"/>
      <c r="G525" s="251"/>
      <c r="I525" s="262" t="str">
        <f ca="1">RESULTADOS!O523</f>
        <v/>
      </c>
      <c r="J525" s="261" t="str">
        <f t="shared" ca="1" si="13"/>
        <v/>
      </c>
      <c r="L525" s="345"/>
    </row>
    <row r="526" spans="2:12" ht="15.6" x14ac:dyDescent="0.3">
      <c r="B526" s="251"/>
      <c r="C526" s="251"/>
      <c r="D526" s="258" t="str">
        <f ca="1">IF(D525="","",
IF(D525="13º "&amp;YEAR(RESULTADOS!$C$11),"",
IF(IFERROR(EOMONTH(D525,1)&gt;PREMISSAS!$C$3,"FALSO"),
   DATE(YEAR(D525)-1,1,31),
   IF(IF(ISTEXT(D525),RIGHT(D525,4)-1=YEAR(RESULTADOS!$C$11),YEAR(D525)-1=YEAR(RESULTADOS!$C$11)),
      IF(LEFT(D525,2)="13",EOMONTH(RESULTADOS!$C$11,0),IF(MONTH(D525)=12,"13º "&amp;YEAR(D525),EOMONTH(D525,1))),
      IF(LEFT(D525,2)="13",DATE(RIGHT(D525,4)-1,1,31),IF(MONTH(D525)=12,"13º "&amp;YEAR(D525),EOMONTH(D525,1)))))))</f>
        <v/>
      </c>
      <c r="E526" s="342"/>
      <c r="F526" s="257"/>
      <c r="G526" s="251"/>
      <c r="I526" s="262" t="str">
        <f ca="1">RESULTADOS!O524</f>
        <v/>
      </c>
      <c r="J526" s="261" t="str">
        <f t="shared" ca="1" si="13"/>
        <v/>
      </c>
      <c r="L526" s="345"/>
    </row>
    <row r="527" spans="2:12" ht="15.6" x14ac:dyDescent="0.3">
      <c r="B527" s="251"/>
      <c r="C527" s="251"/>
      <c r="D527" s="258" t="str">
        <f ca="1">IF(D526="","",
IF(D526="13º "&amp;YEAR(RESULTADOS!$C$11),"",
IF(IFERROR(EOMONTH(D526,1)&gt;PREMISSAS!$C$3,"FALSO"),
   DATE(YEAR(D526)-1,1,31),
   IF(IF(ISTEXT(D526),RIGHT(D526,4)-1=YEAR(RESULTADOS!$C$11),YEAR(D526)-1=YEAR(RESULTADOS!$C$11)),
      IF(LEFT(D526,2)="13",EOMONTH(RESULTADOS!$C$11,0),IF(MONTH(D526)=12,"13º "&amp;YEAR(D526),EOMONTH(D526,1))),
      IF(LEFT(D526,2)="13",DATE(RIGHT(D526,4)-1,1,31),IF(MONTH(D526)=12,"13º "&amp;YEAR(D526),EOMONTH(D526,1)))))))</f>
        <v/>
      </c>
      <c r="E527" s="342"/>
      <c r="F527" s="257"/>
      <c r="G527" s="251"/>
      <c r="I527" s="262" t="str">
        <f ca="1">RESULTADOS!O525</f>
        <v/>
      </c>
      <c r="J527" s="261" t="str">
        <f t="shared" ca="1" si="13"/>
        <v/>
      </c>
      <c r="L527" s="345"/>
    </row>
    <row r="528" spans="2:12" ht="15.6" x14ac:dyDescent="0.3">
      <c r="B528" s="251"/>
      <c r="C528" s="251"/>
      <c r="D528" s="258" t="str">
        <f ca="1">IF(D527="","",
IF(D527="13º "&amp;YEAR(RESULTADOS!$C$11),"",
IF(IFERROR(EOMONTH(D527,1)&gt;PREMISSAS!$C$3,"FALSO"),
   DATE(YEAR(D527)-1,1,31),
   IF(IF(ISTEXT(D527),RIGHT(D527,4)-1=YEAR(RESULTADOS!$C$11),YEAR(D527)-1=YEAR(RESULTADOS!$C$11)),
      IF(LEFT(D527,2)="13",EOMONTH(RESULTADOS!$C$11,0),IF(MONTH(D527)=12,"13º "&amp;YEAR(D527),EOMONTH(D527,1))),
      IF(LEFT(D527,2)="13",DATE(RIGHT(D527,4)-1,1,31),IF(MONTH(D527)=12,"13º "&amp;YEAR(D527),EOMONTH(D527,1)))))))</f>
        <v/>
      </c>
      <c r="E528" s="342"/>
      <c r="F528" s="257"/>
      <c r="G528" s="251"/>
      <c r="I528" s="262" t="str">
        <f ca="1">RESULTADOS!O526</f>
        <v/>
      </c>
      <c r="J528" s="261" t="str">
        <f t="shared" ca="1" si="13"/>
        <v/>
      </c>
      <c r="L528" s="345"/>
    </row>
    <row r="529" spans="2:12" ht="15.6" x14ac:dyDescent="0.3">
      <c r="B529" s="251"/>
      <c r="C529" s="251"/>
      <c r="D529" s="258" t="str">
        <f ca="1">IF(D528="","",
IF(D528="13º "&amp;YEAR(RESULTADOS!$C$11),"",
IF(IFERROR(EOMONTH(D528,1)&gt;PREMISSAS!$C$3,"FALSO"),
   DATE(YEAR(D528)-1,1,31),
   IF(IF(ISTEXT(D528),RIGHT(D528,4)-1=YEAR(RESULTADOS!$C$11),YEAR(D528)-1=YEAR(RESULTADOS!$C$11)),
      IF(LEFT(D528,2)="13",EOMONTH(RESULTADOS!$C$11,0),IF(MONTH(D528)=12,"13º "&amp;YEAR(D528),EOMONTH(D528,1))),
      IF(LEFT(D528,2)="13",DATE(RIGHT(D528,4)-1,1,31),IF(MONTH(D528)=12,"13º "&amp;YEAR(D528),EOMONTH(D528,1)))))))</f>
        <v/>
      </c>
      <c r="E529" s="342"/>
      <c r="F529" s="257"/>
      <c r="G529" s="251"/>
      <c r="I529" s="262" t="str">
        <f ca="1">RESULTADOS!O527</f>
        <v/>
      </c>
      <c r="J529" s="261" t="str">
        <f t="shared" ca="1" si="13"/>
        <v/>
      </c>
      <c r="L529" s="345"/>
    </row>
    <row r="530" spans="2:12" ht="15.6" x14ac:dyDescent="0.3">
      <c r="B530" s="251"/>
      <c r="C530" s="251"/>
      <c r="D530" s="258" t="str">
        <f ca="1">IF(D529="","",
IF(D529="13º "&amp;YEAR(RESULTADOS!$C$11),"",
IF(IFERROR(EOMONTH(D529,1)&gt;PREMISSAS!$C$3,"FALSO"),
   DATE(YEAR(D529)-1,1,31),
   IF(IF(ISTEXT(D529),RIGHT(D529,4)-1=YEAR(RESULTADOS!$C$11),YEAR(D529)-1=YEAR(RESULTADOS!$C$11)),
      IF(LEFT(D529,2)="13",EOMONTH(RESULTADOS!$C$11,0),IF(MONTH(D529)=12,"13º "&amp;YEAR(D529),EOMONTH(D529,1))),
      IF(LEFT(D529,2)="13",DATE(RIGHT(D529,4)-1,1,31),IF(MONTH(D529)=12,"13º "&amp;YEAR(D529),EOMONTH(D529,1)))))))</f>
        <v/>
      </c>
      <c r="E530" s="342"/>
      <c r="F530" s="257"/>
      <c r="G530" s="251"/>
      <c r="I530" s="262" t="str">
        <f ca="1">RESULTADOS!O528</f>
        <v/>
      </c>
      <c r="J530" s="261" t="str">
        <f t="shared" ca="1" si="13"/>
        <v/>
      </c>
      <c r="L530" s="345"/>
    </row>
    <row r="531" spans="2:12" ht="15.6" x14ac:dyDescent="0.3">
      <c r="B531" s="251"/>
      <c r="C531" s="251"/>
      <c r="D531" s="258" t="str">
        <f ca="1">IF(D530="","",
IF(D530="13º "&amp;YEAR(RESULTADOS!$C$11),"",
IF(IFERROR(EOMONTH(D530,1)&gt;PREMISSAS!$C$3,"FALSO"),
   DATE(YEAR(D530)-1,1,31),
   IF(IF(ISTEXT(D530),RIGHT(D530,4)-1=YEAR(RESULTADOS!$C$11),YEAR(D530)-1=YEAR(RESULTADOS!$C$11)),
      IF(LEFT(D530,2)="13",EOMONTH(RESULTADOS!$C$11,0),IF(MONTH(D530)=12,"13º "&amp;YEAR(D530),EOMONTH(D530,1))),
      IF(LEFT(D530,2)="13",DATE(RIGHT(D530,4)-1,1,31),IF(MONTH(D530)=12,"13º "&amp;YEAR(D530),EOMONTH(D530,1)))))))</f>
        <v/>
      </c>
      <c r="E531" s="342"/>
      <c r="F531" s="257"/>
      <c r="G531" s="251"/>
      <c r="I531" s="262" t="str">
        <f ca="1">RESULTADOS!O529</f>
        <v/>
      </c>
      <c r="J531" s="261" t="str">
        <f t="shared" ca="1" si="13"/>
        <v/>
      </c>
      <c r="L531" s="345"/>
    </row>
    <row r="532" spans="2:12" ht="15.6" x14ac:dyDescent="0.3">
      <c r="B532" s="251"/>
      <c r="C532" s="251"/>
      <c r="D532" s="258" t="str">
        <f ca="1">IF(D531="","",
IF(D531="13º "&amp;YEAR(RESULTADOS!$C$11),"",
IF(IFERROR(EOMONTH(D531,1)&gt;PREMISSAS!$C$3,"FALSO"),
   DATE(YEAR(D531)-1,1,31),
   IF(IF(ISTEXT(D531),RIGHT(D531,4)-1=YEAR(RESULTADOS!$C$11),YEAR(D531)-1=YEAR(RESULTADOS!$C$11)),
      IF(LEFT(D531,2)="13",EOMONTH(RESULTADOS!$C$11,0),IF(MONTH(D531)=12,"13º "&amp;YEAR(D531),EOMONTH(D531,1))),
      IF(LEFT(D531,2)="13",DATE(RIGHT(D531,4)-1,1,31),IF(MONTH(D531)=12,"13º "&amp;YEAR(D531),EOMONTH(D531,1)))))))</f>
        <v/>
      </c>
      <c r="E532" s="342"/>
      <c r="F532" s="257"/>
      <c r="G532" s="251"/>
      <c r="I532" s="262" t="str">
        <f ca="1">RESULTADOS!O530</f>
        <v/>
      </c>
      <c r="J532" s="261" t="str">
        <f t="shared" ca="1" si="13"/>
        <v/>
      </c>
      <c r="L532" s="345"/>
    </row>
    <row r="533" spans="2:12" ht="15.6" x14ac:dyDescent="0.3">
      <c r="B533" s="251"/>
      <c r="C533" s="251"/>
      <c r="D533" s="258" t="str">
        <f ca="1">IF(D532="","",
IF(D532="13º "&amp;YEAR(RESULTADOS!$C$11),"",
IF(IFERROR(EOMONTH(D532,1)&gt;PREMISSAS!$C$3,"FALSO"),
   DATE(YEAR(D532)-1,1,31),
   IF(IF(ISTEXT(D532),RIGHT(D532,4)-1=YEAR(RESULTADOS!$C$11),YEAR(D532)-1=YEAR(RESULTADOS!$C$11)),
      IF(LEFT(D532,2)="13",EOMONTH(RESULTADOS!$C$11,0),IF(MONTH(D532)=12,"13º "&amp;YEAR(D532),EOMONTH(D532,1))),
      IF(LEFT(D532,2)="13",DATE(RIGHT(D532,4)-1,1,31),IF(MONTH(D532)=12,"13º "&amp;YEAR(D532),EOMONTH(D532,1)))))))</f>
        <v/>
      </c>
      <c r="E533" s="342"/>
      <c r="F533" s="257"/>
      <c r="G533" s="251"/>
      <c r="I533" s="262" t="str">
        <f ca="1">RESULTADOS!O531</f>
        <v/>
      </c>
      <c r="J533" s="261" t="str">
        <f t="shared" ca="1" si="13"/>
        <v/>
      </c>
      <c r="L533" s="345"/>
    </row>
    <row r="534" spans="2:12" ht="15.6" x14ac:dyDescent="0.3">
      <c r="B534" s="251"/>
      <c r="C534" s="251"/>
      <c r="D534" s="258" t="str">
        <f ca="1">IF(D533="","",
IF(D533="13º "&amp;YEAR(RESULTADOS!$C$11),"",
IF(IFERROR(EOMONTH(D533,1)&gt;PREMISSAS!$C$3,"FALSO"),
   DATE(YEAR(D533)-1,1,31),
   IF(IF(ISTEXT(D533),RIGHT(D533,4)-1=YEAR(RESULTADOS!$C$11),YEAR(D533)-1=YEAR(RESULTADOS!$C$11)),
      IF(LEFT(D533,2)="13",EOMONTH(RESULTADOS!$C$11,0),IF(MONTH(D533)=12,"13º "&amp;YEAR(D533),EOMONTH(D533,1))),
      IF(LEFT(D533,2)="13",DATE(RIGHT(D533,4)-1,1,31),IF(MONTH(D533)=12,"13º "&amp;YEAR(D533),EOMONTH(D533,1)))))))</f>
        <v/>
      </c>
      <c r="E534" s="342"/>
      <c r="F534" s="257"/>
      <c r="G534" s="251"/>
      <c r="I534" s="262" t="str">
        <f ca="1">RESULTADOS!O532</f>
        <v/>
      </c>
      <c r="J534" s="261" t="str">
        <f t="shared" ca="1" si="13"/>
        <v/>
      </c>
      <c r="L534" s="345"/>
    </row>
    <row r="535" spans="2:12" ht="15.6" x14ac:dyDescent="0.3">
      <c r="B535" s="251"/>
      <c r="C535" s="251"/>
      <c r="D535" s="258" t="str">
        <f ca="1">IF(D534="","",
IF(D534="13º "&amp;YEAR(RESULTADOS!$C$11),"",
IF(IFERROR(EOMONTH(D534,1)&gt;PREMISSAS!$C$3,"FALSO"),
   DATE(YEAR(D534)-1,1,31),
   IF(IF(ISTEXT(D534),RIGHT(D534,4)-1=YEAR(RESULTADOS!$C$11),YEAR(D534)-1=YEAR(RESULTADOS!$C$11)),
      IF(LEFT(D534,2)="13",EOMONTH(RESULTADOS!$C$11,0),IF(MONTH(D534)=12,"13º "&amp;YEAR(D534),EOMONTH(D534,1))),
      IF(LEFT(D534,2)="13",DATE(RIGHT(D534,4)-1,1,31),IF(MONTH(D534)=12,"13º "&amp;YEAR(D534),EOMONTH(D534,1)))))))</f>
        <v/>
      </c>
      <c r="E535" s="342"/>
      <c r="F535" s="257"/>
      <c r="G535" s="251"/>
      <c r="I535" s="262" t="str">
        <f ca="1">RESULTADOS!O533</f>
        <v/>
      </c>
      <c r="J535" s="261" t="str">
        <f t="shared" ca="1" si="13"/>
        <v/>
      </c>
      <c r="L535" s="345"/>
    </row>
    <row r="536" spans="2:12" ht="15.6" x14ac:dyDescent="0.3">
      <c r="B536" s="251"/>
      <c r="C536" s="251"/>
      <c r="D536" s="258" t="str">
        <f ca="1">IF(D535="","",
IF(D535="13º "&amp;YEAR(RESULTADOS!$C$11),"",
IF(IFERROR(EOMONTH(D535,1)&gt;PREMISSAS!$C$3,"FALSO"),
   DATE(YEAR(D535)-1,1,31),
   IF(IF(ISTEXT(D535),RIGHT(D535,4)-1=YEAR(RESULTADOS!$C$11),YEAR(D535)-1=YEAR(RESULTADOS!$C$11)),
      IF(LEFT(D535,2)="13",EOMONTH(RESULTADOS!$C$11,0),IF(MONTH(D535)=12,"13º "&amp;YEAR(D535),EOMONTH(D535,1))),
      IF(LEFT(D535,2)="13",DATE(RIGHT(D535,4)-1,1,31),IF(MONTH(D535)=12,"13º "&amp;YEAR(D535),EOMONTH(D535,1)))))))</f>
        <v/>
      </c>
      <c r="E536" s="342"/>
      <c r="F536" s="257"/>
      <c r="G536" s="251"/>
      <c r="I536" s="262" t="str">
        <f ca="1">RESULTADOS!O534</f>
        <v/>
      </c>
      <c r="J536" s="261" t="str">
        <f t="shared" ca="1" si="13"/>
        <v/>
      </c>
      <c r="L536" s="345"/>
    </row>
    <row r="537" spans="2:12" ht="15.6" x14ac:dyDescent="0.3">
      <c r="B537" s="251"/>
      <c r="C537" s="251"/>
      <c r="D537" s="258" t="str">
        <f ca="1">IF(D536="","",
IF(D536="13º "&amp;YEAR(RESULTADOS!$C$11),"",
IF(IFERROR(EOMONTH(D536,1)&gt;PREMISSAS!$C$3,"FALSO"),
   DATE(YEAR(D536)-1,1,31),
   IF(IF(ISTEXT(D536),RIGHT(D536,4)-1=YEAR(RESULTADOS!$C$11),YEAR(D536)-1=YEAR(RESULTADOS!$C$11)),
      IF(LEFT(D536,2)="13",EOMONTH(RESULTADOS!$C$11,0),IF(MONTH(D536)=12,"13º "&amp;YEAR(D536),EOMONTH(D536,1))),
      IF(LEFT(D536,2)="13",DATE(RIGHT(D536,4)-1,1,31),IF(MONTH(D536)=12,"13º "&amp;YEAR(D536),EOMONTH(D536,1)))))))</f>
        <v/>
      </c>
      <c r="E537" s="342"/>
      <c r="F537" s="257"/>
      <c r="G537" s="251"/>
      <c r="I537" s="262" t="str">
        <f ca="1">RESULTADOS!O535</f>
        <v/>
      </c>
      <c r="J537" s="261" t="str">
        <f t="shared" ca="1" si="13"/>
        <v/>
      </c>
      <c r="L537" s="345"/>
    </row>
    <row r="538" spans="2:12" ht="15.6" x14ac:dyDescent="0.3">
      <c r="B538" s="251"/>
      <c r="C538" s="251"/>
      <c r="D538" s="258" t="str">
        <f ca="1">IF(D537="","",
IF(D537="13º "&amp;YEAR(RESULTADOS!$C$11),"",
IF(IFERROR(EOMONTH(D537,1)&gt;PREMISSAS!$C$3,"FALSO"),
   DATE(YEAR(D537)-1,1,31),
   IF(IF(ISTEXT(D537),RIGHT(D537,4)-1=YEAR(RESULTADOS!$C$11),YEAR(D537)-1=YEAR(RESULTADOS!$C$11)),
      IF(LEFT(D537,2)="13",EOMONTH(RESULTADOS!$C$11,0),IF(MONTH(D537)=12,"13º "&amp;YEAR(D537),EOMONTH(D537,1))),
      IF(LEFT(D537,2)="13",DATE(RIGHT(D537,4)-1,1,31),IF(MONTH(D537)=12,"13º "&amp;YEAR(D537),EOMONTH(D537,1)))))))</f>
        <v/>
      </c>
      <c r="E538" s="342"/>
      <c r="F538" s="257"/>
      <c r="G538" s="251"/>
      <c r="I538" s="262" t="str">
        <f ca="1">RESULTADOS!O536</f>
        <v/>
      </c>
      <c r="J538" s="261" t="str">
        <f t="shared" ca="1" si="13"/>
        <v/>
      </c>
      <c r="L538" s="345"/>
    </row>
    <row r="539" spans="2:12" ht="15.6" x14ac:dyDescent="0.3">
      <c r="B539" s="251"/>
      <c r="C539" s="251"/>
      <c r="D539" s="258" t="str">
        <f ca="1">IF(D538="","",
IF(D538="13º "&amp;YEAR(RESULTADOS!$C$11),"",
IF(IFERROR(EOMONTH(D538,1)&gt;PREMISSAS!$C$3,"FALSO"),
   DATE(YEAR(D538)-1,1,31),
   IF(IF(ISTEXT(D538),RIGHT(D538,4)-1=YEAR(RESULTADOS!$C$11),YEAR(D538)-1=YEAR(RESULTADOS!$C$11)),
      IF(LEFT(D538,2)="13",EOMONTH(RESULTADOS!$C$11,0),IF(MONTH(D538)=12,"13º "&amp;YEAR(D538),EOMONTH(D538,1))),
      IF(LEFT(D538,2)="13",DATE(RIGHT(D538,4)-1,1,31),IF(MONTH(D538)=12,"13º "&amp;YEAR(D538),EOMONTH(D538,1)))))))</f>
        <v/>
      </c>
      <c r="E539" s="342"/>
      <c r="F539" s="257"/>
      <c r="G539" s="251"/>
      <c r="I539" s="262" t="str">
        <f ca="1">RESULTADOS!O537</f>
        <v/>
      </c>
      <c r="J539" s="261" t="str">
        <f t="shared" ca="1" si="13"/>
        <v/>
      </c>
      <c r="L539" s="345"/>
    </row>
    <row r="540" spans="2:12" ht="15.6" x14ac:dyDescent="0.3">
      <c r="B540" s="251"/>
      <c r="C540" s="251"/>
      <c r="D540" s="258" t="str">
        <f ca="1">IF(D539="","",
IF(D539="13º "&amp;YEAR(RESULTADOS!$C$11),"",
IF(IFERROR(EOMONTH(D539,1)&gt;PREMISSAS!$C$3,"FALSO"),
   DATE(YEAR(D539)-1,1,31),
   IF(IF(ISTEXT(D539),RIGHT(D539,4)-1=YEAR(RESULTADOS!$C$11),YEAR(D539)-1=YEAR(RESULTADOS!$C$11)),
      IF(LEFT(D539,2)="13",EOMONTH(RESULTADOS!$C$11,0),IF(MONTH(D539)=12,"13º "&amp;YEAR(D539),EOMONTH(D539,1))),
      IF(LEFT(D539,2)="13",DATE(RIGHT(D539,4)-1,1,31),IF(MONTH(D539)=12,"13º "&amp;YEAR(D539),EOMONTH(D539,1)))))))</f>
        <v/>
      </c>
      <c r="E540" s="342"/>
      <c r="F540" s="257"/>
      <c r="G540" s="251"/>
      <c r="I540" s="262" t="str">
        <f ca="1">RESULTADOS!O538</f>
        <v/>
      </c>
      <c r="J540" s="261" t="str">
        <f t="shared" ca="1" si="13"/>
        <v/>
      </c>
      <c r="L540" s="345"/>
    </row>
    <row r="541" spans="2:12" ht="15.6" x14ac:dyDescent="0.3">
      <c r="B541" s="251"/>
      <c r="C541" s="251"/>
      <c r="D541" s="258" t="str">
        <f ca="1">IF(D540="","",
IF(D540="13º "&amp;YEAR(RESULTADOS!$C$11),"",
IF(IFERROR(EOMONTH(D540,1)&gt;PREMISSAS!$C$3,"FALSO"),
   DATE(YEAR(D540)-1,1,31),
   IF(IF(ISTEXT(D540),RIGHT(D540,4)-1=YEAR(RESULTADOS!$C$11),YEAR(D540)-1=YEAR(RESULTADOS!$C$11)),
      IF(LEFT(D540,2)="13",EOMONTH(RESULTADOS!$C$11,0),IF(MONTH(D540)=12,"13º "&amp;YEAR(D540),EOMONTH(D540,1))),
      IF(LEFT(D540,2)="13",DATE(RIGHT(D540,4)-1,1,31),IF(MONTH(D540)=12,"13º "&amp;YEAR(D540),EOMONTH(D540,1)))))))</f>
        <v/>
      </c>
      <c r="E541" s="342"/>
      <c r="F541" s="257"/>
      <c r="G541" s="251"/>
      <c r="I541" s="262" t="str">
        <f ca="1">RESULTADOS!O539</f>
        <v/>
      </c>
      <c r="J541" s="261" t="str">
        <f t="shared" ca="1" si="13"/>
        <v/>
      </c>
      <c r="L541" s="345"/>
    </row>
    <row r="542" spans="2:12" ht="15.6" x14ac:dyDescent="0.3">
      <c r="B542" s="251"/>
      <c r="C542" s="251"/>
      <c r="D542" s="258" t="str">
        <f ca="1">IF(D541="","",
IF(D541="13º "&amp;YEAR(RESULTADOS!$C$11),"",
IF(IFERROR(EOMONTH(D541,1)&gt;PREMISSAS!$C$3,"FALSO"),
   DATE(YEAR(D541)-1,1,31),
   IF(IF(ISTEXT(D541),RIGHT(D541,4)-1=YEAR(RESULTADOS!$C$11),YEAR(D541)-1=YEAR(RESULTADOS!$C$11)),
      IF(LEFT(D541,2)="13",EOMONTH(RESULTADOS!$C$11,0),IF(MONTH(D541)=12,"13º "&amp;YEAR(D541),EOMONTH(D541,1))),
      IF(LEFT(D541,2)="13",DATE(RIGHT(D541,4)-1,1,31),IF(MONTH(D541)=12,"13º "&amp;YEAR(D541),EOMONTH(D541,1)))))))</f>
        <v/>
      </c>
      <c r="E542" s="342"/>
      <c r="F542" s="257"/>
      <c r="G542" s="251"/>
      <c r="I542" s="262" t="str">
        <f ca="1">RESULTADOS!O540</f>
        <v/>
      </c>
      <c r="J542" s="261" t="str">
        <f t="shared" ca="1" si="13"/>
        <v/>
      </c>
      <c r="L542" s="345"/>
    </row>
    <row r="543" spans="2:12" ht="15.6" x14ac:dyDescent="0.3">
      <c r="B543" s="251"/>
      <c r="C543" s="251"/>
      <c r="D543" s="258" t="str">
        <f ca="1">IF(D542="","",
IF(D542="13º "&amp;YEAR(RESULTADOS!$C$11),"",
IF(IFERROR(EOMONTH(D542,1)&gt;PREMISSAS!$C$3,"FALSO"),
   DATE(YEAR(D542)-1,1,31),
   IF(IF(ISTEXT(D542),RIGHT(D542,4)-1=YEAR(RESULTADOS!$C$11),YEAR(D542)-1=YEAR(RESULTADOS!$C$11)),
      IF(LEFT(D542,2)="13",EOMONTH(RESULTADOS!$C$11,0),IF(MONTH(D542)=12,"13º "&amp;YEAR(D542),EOMONTH(D542,1))),
      IF(LEFT(D542,2)="13",DATE(RIGHT(D542,4)-1,1,31),IF(MONTH(D542)=12,"13º "&amp;YEAR(D542),EOMONTH(D542,1)))))))</f>
        <v/>
      </c>
      <c r="E543" s="342"/>
      <c r="F543" s="257"/>
      <c r="G543" s="251"/>
      <c r="I543" s="262" t="str">
        <f ca="1">RESULTADOS!O541</f>
        <v/>
      </c>
      <c r="J543" s="261" t="str">
        <f t="shared" ca="1" si="13"/>
        <v/>
      </c>
      <c r="L543" s="345"/>
    </row>
    <row r="544" spans="2:12" ht="15.6" x14ac:dyDescent="0.3">
      <c r="B544" s="251"/>
      <c r="C544" s="251"/>
      <c r="D544" s="258" t="str">
        <f ca="1">IF(D543="","",
IF(D543="13º "&amp;YEAR(RESULTADOS!$C$11),"",
IF(IFERROR(EOMONTH(D543,1)&gt;PREMISSAS!$C$3,"FALSO"),
   DATE(YEAR(D543)-1,1,31),
   IF(IF(ISTEXT(D543),RIGHT(D543,4)-1=YEAR(RESULTADOS!$C$11),YEAR(D543)-1=YEAR(RESULTADOS!$C$11)),
      IF(LEFT(D543,2)="13",EOMONTH(RESULTADOS!$C$11,0),IF(MONTH(D543)=12,"13º "&amp;YEAR(D543),EOMONTH(D543,1))),
      IF(LEFT(D543,2)="13",DATE(RIGHT(D543,4)-1,1,31),IF(MONTH(D543)=12,"13º "&amp;YEAR(D543),EOMONTH(D543,1)))))))</f>
        <v/>
      </c>
      <c r="E544" s="342"/>
      <c r="F544" s="257"/>
      <c r="G544" s="251"/>
      <c r="I544" s="262" t="str">
        <f ca="1">RESULTADOS!O542</f>
        <v/>
      </c>
      <c r="J544" s="261" t="str">
        <f t="shared" ca="1" si="13"/>
        <v/>
      </c>
      <c r="L544" s="345"/>
    </row>
    <row r="545" spans="2:12" ht="15.6" x14ac:dyDescent="0.3">
      <c r="B545" s="251"/>
      <c r="C545" s="251"/>
      <c r="D545" s="258" t="str">
        <f ca="1">IF(D544="","",
IF(D544="13º "&amp;YEAR(RESULTADOS!$C$11),"",
IF(IFERROR(EOMONTH(D544,1)&gt;PREMISSAS!$C$3,"FALSO"),
   DATE(YEAR(D544)-1,1,31),
   IF(IF(ISTEXT(D544),RIGHT(D544,4)-1=YEAR(RESULTADOS!$C$11),YEAR(D544)-1=YEAR(RESULTADOS!$C$11)),
      IF(LEFT(D544,2)="13",EOMONTH(RESULTADOS!$C$11,0),IF(MONTH(D544)=12,"13º "&amp;YEAR(D544),EOMONTH(D544,1))),
      IF(LEFT(D544,2)="13",DATE(RIGHT(D544,4)-1,1,31),IF(MONTH(D544)=12,"13º "&amp;YEAR(D544),EOMONTH(D544,1)))))))</f>
        <v/>
      </c>
      <c r="E545" s="342"/>
      <c r="F545" s="257"/>
      <c r="G545" s="251"/>
      <c r="I545" s="262" t="str">
        <f ca="1">RESULTADOS!O543</f>
        <v/>
      </c>
      <c r="J545" s="261" t="str">
        <f t="shared" ca="1" si="13"/>
        <v/>
      </c>
      <c r="L545" s="345"/>
    </row>
    <row r="546" spans="2:12" ht="15.6" x14ac:dyDescent="0.3">
      <c r="D546" s="258" t="str">
        <f ca="1">IF(D545="","",
IF(D545="13º "&amp;YEAR(RESULTADOS!$C$11),"",
IF(IFERROR(EOMONTH(D545,1)&gt;PREMISSAS!$C$3,"FALSO"),
   DATE(YEAR(D545)-1,1,31),
   IF(IF(ISTEXT(D545),RIGHT(D545,4)-1=YEAR(RESULTADOS!$C$11),YEAR(D545)-1=YEAR(RESULTADOS!$C$11)),
      IF(LEFT(D545,2)="13",EOMONTH(RESULTADOS!$C$11,0),IF(MONTH(D545)=12,"13º "&amp;YEAR(D545),EOMONTH(D545,1))),
      IF(LEFT(D545,2)="13",DATE(RIGHT(D545,4)-1,1,31),IF(MONTH(D545)=12,"13º "&amp;YEAR(D545),EOMONTH(D545,1)))))))</f>
        <v/>
      </c>
      <c r="E546" s="342"/>
      <c r="F546" s="257"/>
      <c r="I546" s="262" t="str">
        <f ca="1">RESULTADOS!O544</f>
        <v/>
      </c>
      <c r="J546" s="261" t="str">
        <f t="shared" ca="1" si="13"/>
        <v/>
      </c>
      <c r="L546" s="345"/>
    </row>
    <row r="547" spans="2:12" ht="15.6" x14ac:dyDescent="0.3">
      <c r="D547" s="258" t="str">
        <f ca="1">IF(D546="","",
IF(D546="13º "&amp;YEAR(RESULTADOS!$C$11),"",
IF(IFERROR(EOMONTH(D546,1)&gt;PREMISSAS!$C$3,"FALSO"),
   DATE(YEAR(D546)-1,1,31),
   IF(IF(ISTEXT(D546),RIGHT(D546,4)-1=YEAR(RESULTADOS!$C$11),YEAR(D546)-1=YEAR(RESULTADOS!$C$11)),
      IF(LEFT(D546,2)="13",EOMONTH(RESULTADOS!$C$11,0),IF(MONTH(D546)=12,"13º "&amp;YEAR(D546),EOMONTH(D546,1))),
      IF(LEFT(D546,2)="13",DATE(RIGHT(D546,4)-1,1,31),IF(MONTH(D546)=12,"13º "&amp;YEAR(D546),EOMONTH(D546,1)))))))</f>
        <v/>
      </c>
      <c r="E547" s="342"/>
      <c r="F547" s="257"/>
      <c r="I547" s="262" t="str">
        <f ca="1">RESULTADOS!O545</f>
        <v/>
      </c>
      <c r="J547" s="261" t="str">
        <f t="shared" ca="1" si="13"/>
        <v/>
      </c>
      <c r="L547" s="345"/>
    </row>
    <row r="548" spans="2:12" ht="15.6" x14ac:dyDescent="0.3">
      <c r="D548" s="258" t="str">
        <f ca="1">IF(D547="","",
IF(D547="13º "&amp;YEAR(RESULTADOS!$C$11),"",
IF(IFERROR(EOMONTH(D547,1)&gt;PREMISSAS!$C$3,"FALSO"),
   DATE(YEAR(D547)-1,1,31),
   IF(IF(ISTEXT(D547),RIGHT(D547,4)-1=YEAR(RESULTADOS!$C$11),YEAR(D547)-1=YEAR(RESULTADOS!$C$11)),
      IF(LEFT(D547,2)="13",EOMONTH(RESULTADOS!$C$11,0),IF(MONTH(D547)=12,"13º "&amp;YEAR(D547),EOMONTH(D547,1))),
      IF(LEFT(D547,2)="13",DATE(RIGHT(D547,4)-1,1,31),IF(MONTH(D547)=12,"13º "&amp;YEAR(D547),EOMONTH(D547,1)))))))</f>
        <v/>
      </c>
      <c r="E548" s="342"/>
      <c r="F548" s="257"/>
      <c r="I548" s="262" t="str">
        <f ca="1">RESULTADOS!O546</f>
        <v/>
      </c>
      <c r="J548" s="261" t="str">
        <f t="shared" ca="1" si="13"/>
        <v/>
      </c>
      <c r="L548" s="345"/>
    </row>
    <row r="549" spans="2:12" ht="15.6" x14ac:dyDescent="0.3">
      <c r="D549" s="258" t="str">
        <f ca="1">IF(D548="","",
IF(D548="13º "&amp;YEAR(RESULTADOS!$C$11),"",
IF(IFERROR(EOMONTH(D548,1)&gt;PREMISSAS!$C$3,"FALSO"),
   DATE(YEAR(D548)-1,1,31),
   IF(IF(ISTEXT(D548),RIGHT(D548,4)-1=YEAR(RESULTADOS!$C$11),YEAR(D548)-1=YEAR(RESULTADOS!$C$11)),
      IF(LEFT(D548,2)="13",EOMONTH(RESULTADOS!$C$11,0),IF(MONTH(D548)=12,"13º "&amp;YEAR(D548),EOMONTH(D548,1))),
      IF(LEFT(D548,2)="13",DATE(RIGHT(D548,4)-1,1,31),IF(MONTH(D548)=12,"13º "&amp;YEAR(D548),EOMONTH(D548,1)))))))</f>
        <v/>
      </c>
      <c r="E549" s="342"/>
      <c r="F549" s="257"/>
      <c r="I549" s="262" t="str">
        <f ca="1">RESULTADOS!O547</f>
        <v/>
      </c>
      <c r="J549" s="261" t="str">
        <f t="shared" ca="1" si="13"/>
        <v/>
      </c>
      <c r="L549" s="345"/>
    </row>
    <row r="550" spans="2:12" ht="15.6" x14ac:dyDescent="0.3">
      <c r="D550" s="258" t="str">
        <f ca="1">IF(D549="","",
IF(D549="13º "&amp;YEAR(RESULTADOS!$C$11),"",
IF(IFERROR(EOMONTH(D549,1)&gt;PREMISSAS!$C$3,"FALSO"),
   DATE(YEAR(D549)-1,1,31),
   IF(IF(ISTEXT(D549),RIGHT(D549,4)-1=YEAR(RESULTADOS!$C$11),YEAR(D549)-1=YEAR(RESULTADOS!$C$11)),
      IF(LEFT(D549,2)="13",EOMONTH(RESULTADOS!$C$11,0),IF(MONTH(D549)=12,"13º "&amp;YEAR(D549),EOMONTH(D549,1))),
      IF(LEFT(D549,2)="13",DATE(RIGHT(D549,4)-1,1,31),IF(MONTH(D549)=12,"13º "&amp;YEAR(D549),EOMONTH(D549,1)))))))</f>
        <v/>
      </c>
      <c r="E550" s="342"/>
      <c r="F550" s="257"/>
      <c r="I550" s="262" t="str">
        <f ca="1">RESULTADOS!O548</f>
        <v/>
      </c>
      <c r="J550" s="261" t="str">
        <f t="shared" ca="1" si="13"/>
        <v/>
      </c>
      <c r="L550" s="345"/>
    </row>
    <row r="551" spans="2:12" ht="15.6" x14ac:dyDescent="0.3">
      <c r="D551" s="258" t="str">
        <f ca="1">IF(D550="","",
IF(D550="13º "&amp;YEAR(RESULTADOS!$C$11),"",
IF(IFERROR(EOMONTH(D550,1)&gt;PREMISSAS!$C$3,"FALSO"),
   DATE(YEAR(D550)-1,1,31),
   IF(IF(ISTEXT(D550),RIGHT(D550,4)-1=YEAR(RESULTADOS!$C$11),YEAR(D550)-1=YEAR(RESULTADOS!$C$11)),
      IF(LEFT(D550,2)="13",EOMONTH(RESULTADOS!$C$11,0),IF(MONTH(D550)=12,"13º "&amp;YEAR(D550),EOMONTH(D550,1))),
      IF(LEFT(D550,2)="13",DATE(RIGHT(D550,4)-1,1,31),IF(MONTH(D550)=12,"13º "&amp;YEAR(D550),EOMONTH(D550,1)))))))</f>
        <v/>
      </c>
      <c r="E551" s="342"/>
      <c r="F551" s="257"/>
      <c r="I551" s="262" t="str">
        <f ca="1">RESULTADOS!O549</f>
        <v/>
      </c>
      <c r="J551" s="261" t="str">
        <f t="shared" ca="1" si="13"/>
        <v/>
      </c>
      <c r="L551" s="345"/>
    </row>
    <row r="552" spans="2:12" ht="15.6" x14ac:dyDescent="0.3">
      <c r="D552" s="258" t="str">
        <f ca="1">IF(D551="","",
IF(D551="13º "&amp;YEAR(RESULTADOS!$C$11),"",
IF(IFERROR(EOMONTH(D551,1)&gt;PREMISSAS!$C$3,"FALSO"),
   DATE(YEAR(D551)-1,1,31),
   IF(IF(ISTEXT(D551),RIGHT(D551,4)-1=YEAR(RESULTADOS!$C$11),YEAR(D551)-1=YEAR(RESULTADOS!$C$11)),
      IF(LEFT(D551,2)="13",EOMONTH(RESULTADOS!$C$11,0),IF(MONTH(D551)=12,"13º "&amp;YEAR(D551),EOMONTH(D551,1))),
      IF(LEFT(D551,2)="13",DATE(RIGHT(D551,4)-1,1,31),IF(MONTH(D551)=12,"13º "&amp;YEAR(D551),EOMONTH(D551,1)))))))</f>
        <v/>
      </c>
      <c r="E552" s="342"/>
      <c r="F552" s="257"/>
      <c r="I552" s="262" t="str">
        <f ca="1">RESULTADOS!O550</f>
        <v/>
      </c>
      <c r="J552" s="261" t="str">
        <f t="shared" ca="1" si="13"/>
        <v/>
      </c>
      <c r="L552" s="345"/>
    </row>
    <row r="553" spans="2:12" ht="15.6" x14ac:dyDescent="0.3">
      <c r="D553" s="258" t="str">
        <f ca="1">IF(D552="","",
IF(D552="13º "&amp;YEAR(RESULTADOS!$C$11),"",
IF(IFERROR(EOMONTH(D552,1)&gt;PREMISSAS!$C$3,"FALSO"),
   DATE(YEAR(D552)-1,1,31),
   IF(IF(ISTEXT(D552),RIGHT(D552,4)-1=YEAR(RESULTADOS!$C$11),YEAR(D552)-1=YEAR(RESULTADOS!$C$11)),
      IF(LEFT(D552,2)="13",EOMONTH(RESULTADOS!$C$11,0),IF(MONTH(D552)=12,"13º "&amp;YEAR(D552),EOMONTH(D552,1))),
      IF(LEFT(D552,2)="13",DATE(RIGHT(D552,4)-1,1,31),IF(MONTH(D552)=12,"13º "&amp;YEAR(D552),EOMONTH(D552,1)))))))</f>
        <v/>
      </c>
      <c r="E553" s="342"/>
      <c r="F553" s="257"/>
      <c r="I553" s="262" t="str">
        <f ca="1">RESULTADOS!O551</f>
        <v/>
      </c>
      <c r="J553" s="261" t="str">
        <f t="shared" ca="1" si="13"/>
        <v/>
      </c>
      <c r="L553" s="345"/>
    </row>
    <row r="554" spans="2:12" ht="15.6" x14ac:dyDescent="0.3">
      <c r="D554" s="258" t="str">
        <f ca="1">IF(D553="","",
IF(D553="13º "&amp;YEAR(RESULTADOS!$C$11),"",
IF(IFERROR(EOMONTH(D553,1)&gt;PREMISSAS!$C$3,"FALSO"),
   DATE(YEAR(D553)-1,1,31),
   IF(IF(ISTEXT(D553),RIGHT(D553,4)-1=YEAR(RESULTADOS!$C$11),YEAR(D553)-1=YEAR(RESULTADOS!$C$11)),
      IF(LEFT(D553,2)="13",EOMONTH(RESULTADOS!$C$11,0),IF(MONTH(D553)=12,"13º "&amp;YEAR(D553),EOMONTH(D553,1))),
      IF(LEFT(D553,2)="13",DATE(RIGHT(D553,4)-1,1,31),IF(MONTH(D553)=12,"13º "&amp;YEAR(D553),EOMONTH(D553,1)))))))</f>
        <v/>
      </c>
      <c r="E554" s="342"/>
      <c r="F554" s="257"/>
      <c r="I554" s="262" t="str">
        <f ca="1">RESULTADOS!O552</f>
        <v/>
      </c>
      <c r="J554" s="261" t="str">
        <f t="shared" ca="1" si="13"/>
        <v/>
      </c>
      <c r="L554" s="345"/>
    </row>
    <row r="555" spans="2:12" ht="15.6" x14ac:dyDescent="0.3">
      <c r="D555" s="258" t="str">
        <f ca="1">IF(D554="","",
IF(D554="13º "&amp;YEAR(RESULTADOS!$C$11),"",
IF(IFERROR(EOMONTH(D554,1)&gt;PREMISSAS!$C$3,"FALSO"),
   DATE(YEAR(D554)-1,1,31),
   IF(IF(ISTEXT(D554),RIGHT(D554,4)-1=YEAR(RESULTADOS!$C$11),YEAR(D554)-1=YEAR(RESULTADOS!$C$11)),
      IF(LEFT(D554,2)="13",EOMONTH(RESULTADOS!$C$11,0),IF(MONTH(D554)=12,"13º "&amp;YEAR(D554),EOMONTH(D554,1))),
      IF(LEFT(D554,2)="13",DATE(RIGHT(D554,4)-1,1,31),IF(MONTH(D554)=12,"13º "&amp;YEAR(D554),EOMONTH(D554,1)))))))</f>
        <v/>
      </c>
      <c r="E555" s="342"/>
      <c r="F555" s="257"/>
      <c r="I555" s="262" t="str">
        <f ca="1">RESULTADOS!O553</f>
        <v/>
      </c>
      <c r="J555" s="261" t="str">
        <f t="shared" ca="1" si="13"/>
        <v/>
      </c>
      <c r="L555" s="345"/>
    </row>
    <row r="556" spans="2:12" ht="15.6" x14ac:dyDescent="0.3">
      <c r="D556" s="258" t="str">
        <f ca="1">IF(D555="","",
IF(D555="13º "&amp;YEAR(RESULTADOS!$C$11),"",
IF(IFERROR(EOMONTH(D555,1)&gt;PREMISSAS!$C$3,"FALSO"),
   DATE(YEAR(D555)-1,1,31),
   IF(IF(ISTEXT(D555),RIGHT(D555,4)-1=YEAR(RESULTADOS!$C$11),YEAR(D555)-1=YEAR(RESULTADOS!$C$11)),
      IF(LEFT(D555,2)="13",EOMONTH(RESULTADOS!$C$11,0),IF(MONTH(D555)=12,"13º "&amp;YEAR(D555),EOMONTH(D555,1))),
      IF(LEFT(D555,2)="13",DATE(RIGHT(D555,4)-1,1,31),IF(MONTH(D555)=12,"13º "&amp;YEAR(D555),EOMONTH(D555,1)))))))</f>
        <v/>
      </c>
      <c r="E556" s="342"/>
      <c r="F556" s="257"/>
      <c r="I556" s="262" t="str">
        <f ca="1">RESULTADOS!O554</f>
        <v/>
      </c>
      <c r="J556" s="261" t="str">
        <f t="shared" ca="1" si="13"/>
        <v/>
      </c>
      <c r="L556" s="345"/>
    </row>
    <row r="557" spans="2:12" ht="15.6" x14ac:dyDescent="0.3">
      <c r="D557" s="258" t="str">
        <f ca="1">IF(D556="","",
IF(D556="13º "&amp;YEAR(RESULTADOS!$C$11),"",
IF(IFERROR(EOMONTH(D556,1)&gt;PREMISSAS!$C$3,"FALSO"),
   DATE(YEAR(D556)-1,1,31),
   IF(IF(ISTEXT(D556),RIGHT(D556,4)-1=YEAR(RESULTADOS!$C$11),YEAR(D556)-1=YEAR(RESULTADOS!$C$11)),
      IF(LEFT(D556,2)="13",EOMONTH(RESULTADOS!$C$11,0),IF(MONTH(D556)=12,"13º "&amp;YEAR(D556),EOMONTH(D556,1))),
      IF(LEFT(D556,2)="13",DATE(RIGHT(D556,4)-1,1,31),IF(MONTH(D556)=12,"13º "&amp;YEAR(D556),EOMONTH(D556,1)))))))</f>
        <v/>
      </c>
      <c r="E557" s="342"/>
      <c r="F557" s="257"/>
      <c r="I557" s="262" t="str">
        <f ca="1">RESULTADOS!O555</f>
        <v/>
      </c>
      <c r="J557" s="261" t="str">
        <f t="shared" ca="1" si="13"/>
        <v/>
      </c>
      <c r="L557" s="345"/>
    </row>
    <row r="558" spans="2:12" ht="15.6" x14ac:dyDescent="0.3">
      <c r="D558" s="258" t="str">
        <f ca="1">IF(D557="","",
IF(D557="13º "&amp;YEAR(RESULTADOS!$C$11),"",
IF(IFERROR(EOMONTH(D557,1)&gt;PREMISSAS!$C$3,"FALSO"),
   DATE(YEAR(D557)-1,1,31),
   IF(IF(ISTEXT(D557),RIGHT(D557,4)-1=YEAR(RESULTADOS!$C$11),YEAR(D557)-1=YEAR(RESULTADOS!$C$11)),
      IF(LEFT(D557,2)="13",EOMONTH(RESULTADOS!$C$11,0),IF(MONTH(D557)=12,"13º "&amp;YEAR(D557),EOMONTH(D557,1))),
      IF(LEFT(D557,2)="13",DATE(RIGHT(D557,4)-1,1,31),IF(MONTH(D557)=12,"13º "&amp;YEAR(D557),EOMONTH(D557,1)))))))</f>
        <v/>
      </c>
      <c r="E558" s="342"/>
      <c r="F558" s="257"/>
      <c r="I558" s="262" t="str">
        <f ca="1">RESULTADOS!O556</f>
        <v/>
      </c>
      <c r="J558" s="261" t="str">
        <f t="shared" ca="1" si="13"/>
        <v/>
      </c>
      <c r="L558" s="345"/>
    </row>
    <row r="559" spans="2:12" ht="15.6" x14ac:dyDescent="0.3">
      <c r="D559" s="258" t="str">
        <f ca="1">IF(D558="","",
IF(D558="13º "&amp;YEAR(RESULTADOS!$C$11),"",
IF(IFERROR(EOMONTH(D558,1)&gt;PREMISSAS!$C$3,"FALSO"),
   DATE(YEAR(D558)-1,1,31),
   IF(IF(ISTEXT(D558),RIGHT(D558,4)-1=YEAR(RESULTADOS!$C$11),YEAR(D558)-1=YEAR(RESULTADOS!$C$11)),
      IF(LEFT(D558,2)="13",EOMONTH(RESULTADOS!$C$11,0),IF(MONTH(D558)=12,"13º "&amp;YEAR(D558),EOMONTH(D558,1))),
      IF(LEFT(D558,2)="13",DATE(RIGHT(D558,4)-1,1,31),IF(MONTH(D558)=12,"13º "&amp;YEAR(D558),EOMONTH(D558,1)))))))</f>
        <v/>
      </c>
      <c r="E559" s="342"/>
      <c r="F559" s="257"/>
      <c r="I559" s="262" t="str">
        <f ca="1">RESULTADOS!O557</f>
        <v/>
      </c>
      <c r="J559" s="261" t="str">
        <f t="shared" ca="1" si="13"/>
        <v/>
      </c>
      <c r="L559" s="345"/>
    </row>
    <row r="560" spans="2:12" ht="15.6" x14ac:dyDescent="0.3">
      <c r="D560" s="258" t="str">
        <f ca="1">IF(D559="","",
IF(D559="13º "&amp;YEAR(RESULTADOS!$C$11),"",
IF(IFERROR(EOMONTH(D559,1)&gt;PREMISSAS!$C$3,"FALSO"),
   DATE(YEAR(D559)-1,1,31),
   IF(IF(ISTEXT(D559),RIGHT(D559,4)-1=YEAR(RESULTADOS!$C$11),YEAR(D559)-1=YEAR(RESULTADOS!$C$11)),
      IF(LEFT(D559,2)="13",EOMONTH(RESULTADOS!$C$11,0),IF(MONTH(D559)=12,"13º "&amp;YEAR(D559),EOMONTH(D559,1))),
      IF(LEFT(D559,2)="13",DATE(RIGHT(D559,4)-1,1,31),IF(MONTH(D559)=12,"13º "&amp;YEAR(D559),EOMONTH(D559,1)))))))</f>
        <v/>
      </c>
      <c r="E560" s="342"/>
      <c r="F560" s="257"/>
      <c r="I560" s="262" t="str">
        <f ca="1">RESULTADOS!O558</f>
        <v/>
      </c>
      <c r="J560" s="261" t="str">
        <f t="shared" ca="1" si="13"/>
        <v/>
      </c>
      <c r="L560" s="345"/>
    </row>
    <row r="561" spans="4:12" ht="15.6" x14ac:dyDescent="0.3">
      <c r="D561" s="258" t="str">
        <f ca="1">IF(D560="","",
IF(D560="13º "&amp;YEAR(RESULTADOS!$C$11),"",
IF(IFERROR(EOMONTH(D560,1)&gt;PREMISSAS!$C$3,"FALSO"),
   DATE(YEAR(D560)-1,1,31),
   IF(IF(ISTEXT(D560),RIGHT(D560,4)-1=YEAR(RESULTADOS!$C$11),YEAR(D560)-1=YEAR(RESULTADOS!$C$11)),
      IF(LEFT(D560,2)="13",EOMONTH(RESULTADOS!$C$11,0),IF(MONTH(D560)=12,"13º "&amp;YEAR(D560),EOMONTH(D560,1))),
      IF(LEFT(D560,2)="13",DATE(RIGHT(D560,4)-1,1,31),IF(MONTH(D560)=12,"13º "&amp;YEAR(D560),EOMONTH(D560,1)))))))</f>
        <v/>
      </c>
      <c r="E561" s="342"/>
      <c r="F561" s="257"/>
      <c r="I561" s="262" t="str">
        <f ca="1">RESULTADOS!O559</f>
        <v/>
      </c>
      <c r="J561" s="261" t="str">
        <f t="shared" ca="1" si="13"/>
        <v/>
      </c>
      <c r="L561" s="345"/>
    </row>
    <row r="562" spans="4:12" ht="15.6" x14ac:dyDescent="0.3">
      <c r="D562" s="258" t="str">
        <f ca="1">IF(D561="","",
IF(D561="13º "&amp;YEAR(RESULTADOS!$C$11),"",
IF(IFERROR(EOMONTH(D561,1)&gt;PREMISSAS!$C$3,"FALSO"),
   DATE(YEAR(D561)-1,1,31),
   IF(IF(ISTEXT(D561),RIGHT(D561,4)-1=YEAR(RESULTADOS!$C$11),YEAR(D561)-1=YEAR(RESULTADOS!$C$11)),
      IF(LEFT(D561,2)="13",EOMONTH(RESULTADOS!$C$11,0),IF(MONTH(D561)=12,"13º "&amp;YEAR(D561),EOMONTH(D561,1))),
      IF(LEFT(D561,2)="13",DATE(RIGHT(D561,4)-1,1,31),IF(MONTH(D561)=12,"13º "&amp;YEAR(D561),EOMONTH(D561,1)))))))</f>
        <v/>
      </c>
      <c r="E562" s="342"/>
      <c r="F562" s="257"/>
      <c r="I562" s="262" t="str">
        <f ca="1">RESULTADOS!O560</f>
        <v/>
      </c>
      <c r="J562" s="261" t="str">
        <f t="shared" ca="1" si="13"/>
        <v/>
      </c>
      <c r="L562" s="345"/>
    </row>
    <row r="563" spans="4:12" ht="15.6" x14ac:dyDescent="0.3">
      <c r="D563" s="258" t="str">
        <f ca="1">IF(D562="","",
IF(D562="13º "&amp;YEAR(RESULTADOS!$C$11),"",
IF(IFERROR(EOMONTH(D562,1)&gt;PREMISSAS!$C$3,"FALSO"),
   DATE(YEAR(D562)-1,1,31),
   IF(IF(ISTEXT(D562),RIGHT(D562,4)-1=YEAR(RESULTADOS!$C$11),YEAR(D562)-1=YEAR(RESULTADOS!$C$11)),
      IF(LEFT(D562,2)="13",EOMONTH(RESULTADOS!$C$11,0),IF(MONTH(D562)=12,"13º "&amp;YEAR(D562),EOMONTH(D562,1))),
      IF(LEFT(D562,2)="13",DATE(RIGHT(D562,4)-1,1,31),IF(MONTH(D562)=12,"13º "&amp;YEAR(D562),EOMONTH(D562,1)))))))</f>
        <v/>
      </c>
      <c r="E563" s="342"/>
      <c r="F563" s="257"/>
      <c r="I563" s="262" t="str">
        <f ca="1">RESULTADOS!O561</f>
        <v/>
      </c>
      <c r="J563" s="261" t="str">
        <f t="shared" ca="1" si="13"/>
        <v/>
      </c>
      <c r="L563" s="345"/>
    </row>
    <row r="564" spans="4:12" ht="15.6" x14ac:dyDescent="0.3">
      <c r="D564" s="258" t="str">
        <f ca="1">IF(D563="","",
IF(D563="13º "&amp;YEAR(RESULTADOS!$C$11),"",
IF(IFERROR(EOMONTH(D563,1)&gt;PREMISSAS!$C$3,"FALSO"),
   DATE(YEAR(D563)-1,1,31),
   IF(IF(ISTEXT(D563),RIGHT(D563,4)-1=YEAR(RESULTADOS!$C$11),YEAR(D563)-1=YEAR(RESULTADOS!$C$11)),
      IF(LEFT(D563,2)="13",EOMONTH(RESULTADOS!$C$11,0),IF(MONTH(D563)=12,"13º "&amp;YEAR(D563),EOMONTH(D563,1))),
      IF(LEFT(D563,2)="13",DATE(RIGHT(D563,4)-1,1,31),IF(MONTH(D563)=12,"13º "&amp;YEAR(D563),EOMONTH(D563,1)))))))</f>
        <v/>
      </c>
      <c r="E564" s="342"/>
      <c r="F564" s="257"/>
      <c r="I564" s="262" t="str">
        <f ca="1">RESULTADOS!O562</f>
        <v/>
      </c>
      <c r="J564" s="261" t="str">
        <f t="shared" ca="1" si="13"/>
        <v/>
      </c>
      <c r="L564" s="345"/>
    </row>
    <row r="565" spans="4:12" ht="15.6" x14ac:dyDescent="0.3">
      <c r="D565" s="258" t="str">
        <f ca="1">IF(D564="","",
IF(D564="13º "&amp;YEAR(RESULTADOS!$C$11),"",
IF(IFERROR(EOMONTH(D564,1)&gt;PREMISSAS!$C$3,"FALSO"),
   DATE(YEAR(D564)-1,1,31),
   IF(IF(ISTEXT(D564),RIGHT(D564,4)-1=YEAR(RESULTADOS!$C$11),YEAR(D564)-1=YEAR(RESULTADOS!$C$11)),
      IF(LEFT(D564,2)="13",EOMONTH(RESULTADOS!$C$11,0),IF(MONTH(D564)=12,"13º "&amp;YEAR(D564),EOMONTH(D564,1))),
      IF(LEFT(D564,2)="13",DATE(RIGHT(D564,4)-1,1,31),IF(MONTH(D564)=12,"13º "&amp;YEAR(D564),EOMONTH(D564,1)))))))</f>
        <v/>
      </c>
      <c r="E565" s="342"/>
      <c r="F565" s="257"/>
      <c r="I565" s="262" t="str">
        <f ca="1">RESULTADOS!O563</f>
        <v/>
      </c>
      <c r="J565" s="261" t="str">
        <f t="shared" ca="1" si="13"/>
        <v/>
      </c>
      <c r="L565" s="345"/>
    </row>
    <row r="566" spans="4:12" ht="15.6" x14ac:dyDescent="0.3">
      <c r="D566" s="258" t="str">
        <f ca="1">IF(D565="","",
IF(D565="13º "&amp;YEAR(RESULTADOS!$C$11),"",
IF(IFERROR(EOMONTH(D565,1)&gt;PREMISSAS!$C$3,"FALSO"),
   DATE(YEAR(D565)-1,1,31),
   IF(IF(ISTEXT(D565),RIGHT(D565,4)-1=YEAR(RESULTADOS!$C$11),YEAR(D565)-1=YEAR(RESULTADOS!$C$11)),
      IF(LEFT(D565,2)="13",EOMONTH(RESULTADOS!$C$11,0),IF(MONTH(D565)=12,"13º "&amp;YEAR(D565),EOMONTH(D565,1))),
      IF(LEFT(D565,2)="13",DATE(RIGHT(D565,4)-1,1,31),IF(MONTH(D565)=12,"13º "&amp;YEAR(D565),EOMONTH(D565,1)))))))</f>
        <v/>
      </c>
      <c r="E566" s="342"/>
      <c r="F566" s="257"/>
      <c r="I566" s="262" t="str">
        <f ca="1">RESULTADOS!O564</f>
        <v/>
      </c>
      <c r="J566" s="261" t="str">
        <f t="shared" ca="1" si="13"/>
        <v/>
      </c>
      <c r="L566" s="345"/>
    </row>
    <row r="567" spans="4:12" ht="15.6" x14ac:dyDescent="0.3">
      <c r="D567" s="258" t="str">
        <f ca="1">IF(D566="","",
IF(D566="13º "&amp;YEAR(RESULTADOS!$C$11),"",
IF(IFERROR(EOMONTH(D566,1)&gt;PREMISSAS!$C$3,"FALSO"),
   DATE(YEAR(D566)-1,1,31),
   IF(IF(ISTEXT(D566),RIGHT(D566,4)-1=YEAR(RESULTADOS!$C$11),YEAR(D566)-1=YEAR(RESULTADOS!$C$11)),
      IF(LEFT(D566,2)="13",EOMONTH(RESULTADOS!$C$11,0),IF(MONTH(D566)=12,"13º "&amp;YEAR(D566),EOMONTH(D566,1))),
      IF(LEFT(D566,2)="13",DATE(RIGHT(D566,4)-1,1,31),IF(MONTH(D566)=12,"13º "&amp;YEAR(D566),EOMONTH(D566,1)))))))</f>
        <v/>
      </c>
      <c r="E567" s="342"/>
      <c r="F567" s="257"/>
      <c r="I567" s="262" t="str">
        <f ca="1">RESULTADOS!O565</f>
        <v/>
      </c>
      <c r="J567" s="261" t="str">
        <f t="shared" ca="1" si="13"/>
        <v/>
      </c>
      <c r="L567" s="345"/>
    </row>
    <row r="568" spans="4:12" ht="15.6" x14ac:dyDescent="0.3">
      <c r="D568" s="258" t="str">
        <f ca="1">IF(D567="","",
IF(D567="13º "&amp;YEAR(RESULTADOS!$C$11),"",
IF(IFERROR(EOMONTH(D567,1)&gt;PREMISSAS!$C$3,"FALSO"),
   DATE(YEAR(D567)-1,1,31),
   IF(IF(ISTEXT(D567),RIGHT(D567,4)-1=YEAR(RESULTADOS!$C$11),YEAR(D567)-1=YEAR(RESULTADOS!$C$11)),
      IF(LEFT(D567,2)="13",EOMONTH(RESULTADOS!$C$11,0),IF(MONTH(D567)=12,"13º "&amp;YEAR(D567),EOMONTH(D567,1))),
      IF(LEFT(D567,2)="13",DATE(RIGHT(D567,4)-1,1,31),IF(MONTH(D567)=12,"13º "&amp;YEAR(D567),EOMONTH(D567,1)))))))</f>
        <v/>
      </c>
      <c r="E568" s="342"/>
      <c r="F568" s="257"/>
      <c r="I568" s="262" t="str">
        <f ca="1">RESULTADOS!O566</f>
        <v/>
      </c>
      <c r="J568" s="261" t="str">
        <f t="shared" ca="1" si="13"/>
        <v/>
      </c>
      <c r="L568" s="345"/>
    </row>
    <row r="569" spans="4:12" ht="15.6" x14ac:dyDescent="0.3">
      <c r="D569" s="258" t="str">
        <f ca="1">IF(D568="","",
IF(D568="13º "&amp;YEAR(RESULTADOS!$C$11),"",
IF(IFERROR(EOMONTH(D568,1)&gt;PREMISSAS!$C$3,"FALSO"),
   DATE(YEAR(D568)-1,1,31),
   IF(IF(ISTEXT(D568),RIGHT(D568,4)-1=YEAR(RESULTADOS!$C$11),YEAR(D568)-1=YEAR(RESULTADOS!$C$11)),
      IF(LEFT(D568,2)="13",EOMONTH(RESULTADOS!$C$11,0),IF(MONTH(D568)=12,"13º "&amp;YEAR(D568),EOMONTH(D568,1))),
      IF(LEFT(D568,2)="13",DATE(RIGHT(D568,4)-1,1,31),IF(MONTH(D568)=12,"13º "&amp;YEAR(D568),EOMONTH(D568,1)))))))</f>
        <v/>
      </c>
      <c r="E569" s="342"/>
      <c r="F569" s="257"/>
      <c r="I569" s="262" t="str">
        <f ca="1">RESULTADOS!O567</f>
        <v/>
      </c>
      <c r="J569" s="261" t="str">
        <f t="shared" ca="1" si="13"/>
        <v/>
      </c>
      <c r="L569" s="345"/>
    </row>
    <row r="570" spans="4:12" ht="15.6" x14ac:dyDescent="0.3">
      <c r="D570" s="258" t="str">
        <f ca="1">IF(D569="","",
IF(D569="13º "&amp;YEAR(RESULTADOS!$C$11),"",
IF(IFERROR(EOMONTH(D569,1)&gt;PREMISSAS!$C$3,"FALSO"),
   DATE(YEAR(D569)-1,1,31),
   IF(IF(ISTEXT(D569),RIGHT(D569,4)-1=YEAR(RESULTADOS!$C$11),YEAR(D569)-1=YEAR(RESULTADOS!$C$11)),
      IF(LEFT(D569,2)="13",EOMONTH(RESULTADOS!$C$11,0),IF(MONTH(D569)=12,"13º "&amp;YEAR(D569),EOMONTH(D569,1))),
      IF(LEFT(D569,2)="13",DATE(RIGHT(D569,4)-1,1,31),IF(MONTH(D569)=12,"13º "&amp;YEAR(D569),EOMONTH(D569,1)))))))</f>
        <v/>
      </c>
      <c r="E570" s="342"/>
      <c r="F570" s="257"/>
      <c r="I570" s="262" t="str">
        <f ca="1">RESULTADOS!O568</f>
        <v/>
      </c>
      <c r="J570" s="261" t="str">
        <f t="shared" ca="1" si="13"/>
        <v/>
      </c>
      <c r="L570" s="345"/>
    </row>
    <row r="571" spans="4:12" ht="15.6" x14ac:dyDescent="0.3">
      <c r="D571" s="258" t="str">
        <f ca="1">IF(D570="","",
IF(D570="13º "&amp;YEAR(RESULTADOS!$C$11),"",
IF(IFERROR(EOMONTH(D570,1)&gt;PREMISSAS!$C$3,"FALSO"),
   DATE(YEAR(D570)-1,1,31),
   IF(IF(ISTEXT(D570),RIGHT(D570,4)-1=YEAR(RESULTADOS!$C$11),YEAR(D570)-1=YEAR(RESULTADOS!$C$11)),
      IF(LEFT(D570,2)="13",EOMONTH(RESULTADOS!$C$11,0),IF(MONTH(D570)=12,"13º "&amp;YEAR(D570),EOMONTH(D570,1))),
      IF(LEFT(D570,2)="13",DATE(RIGHT(D570,4)-1,1,31),IF(MONTH(D570)=12,"13º "&amp;YEAR(D570),EOMONTH(D570,1)))))))</f>
        <v/>
      </c>
      <c r="E571" s="342"/>
      <c r="F571" s="257"/>
      <c r="I571" s="262" t="str">
        <f ca="1">RESULTADOS!O569</f>
        <v/>
      </c>
      <c r="J571" s="261" t="str">
        <f t="shared" ca="1" si="13"/>
        <v/>
      </c>
      <c r="L571" s="345"/>
    </row>
    <row r="572" spans="4:12" ht="15.6" x14ac:dyDescent="0.3">
      <c r="D572" s="258" t="str">
        <f ca="1">IF(D571="","",
IF(D571="13º "&amp;YEAR(RESULTADOS!$C$11),"",
IF(IFERROR(EOMONTH(D571,1)&gt;PREMISSAS!$C$3,"FALSO"),
   DATE(YEAR(D571)-1,1,31),
   IF(IF(ISTEXT(D571),RIGHT(D571,4)-1=YEAR(RESULTADOS!$C$11),YEAR(D571)-1=YEAR(RESULTADOS!$C$11)),
      IF(LEFT(D571,2)="13",EOMONTH(RESULTADOS!$C$11,0),IF(MONTH(D571)=12,"13º "&amp;YEAR(D571),EOMONTH(D571,1))),
      IF(LEFT(D571,2)="13",DATE(RIGHT(D571,4)-1,1,31),IF(MONTH(D571)=12,"13º "&amp;YEAR(D571),EOMONTH(D571,1)))))))</f>
        <v/>
      </c>
      <c r="E572" s="342"/>
      <c r="F572" s="257"/>
      <c r="I572" s="262" t="str">
        <f ca="1">RESULTADOS!O570</f>
        <v/>
      </c>
      <c r="J572" s="261" t="str">
        <f t="shared" ca="1" si="13"/>
        <v/>
      </c>
      <c r="L572" s="345"/>
    </row>
    <row r="573" spans="4:12" ht="15.6" x14ac:dyDescent="0.3">
      <c r="D573" s="258" t="str">
        <f ca="1">IF(D572="","",
IF(D572="13º "&amp;YEAR(RESULTADOS!$C$11),"",
IF(IFERROR(EOMONTH(D572,1)&gt;PREMISSAS!$C$3,"FALSO"),
   DATE(YEAR(D572)-1,1,31),
   IF(IF(ISTEXT(D572),RIGHT(D572,4)-1=YEAR(RESULTADOS!$C$11),YEAR(D572)-1=YEAR(RESULTADOS!$C$11)),
      IF(LEFT(D572,2)="13",EOMONTH(RESULTADOS!$C$11,0),IF(MONTH(D572)=12,"13º "&amp;YEAR(D572),EOMONTH(D572,1))),
      IF(LEFT(D572,2)="13",DATE(RIGHT(D572,4)-1,1,31),IF(MONTH(D572)=12,"13º "&amp;YEAR(D572),EOMONTH(D572,1)))))))</f>
        <v/>
      </c>
      <c r="E573" s="342"/>
      <c r="F573" s="257"/>
      <c r="I573" s="262" t="str">
        <f ca="1">RESULTADOS!O571</f>
        <v/>
      </c>
      <c r="J573" s="261" t="str">
        <f t="shared" ca="1" si="13"/>
        <v/>
      </c>
      <c r="L573" s="345"/>
    </row>
    <row r="574" spans="4:12" ht="15.6" x14ac:dyDescent="0.3">
      <c r="D574" s="258" t="str">
        <f ca="1">IF(D573="","",
IF(D573="13º "&amp;YEAR(RESULTADOS!$C$11),"",
IF(IFERROR(EOMONTH(D573,1)&gt;PREMISSAS!$C$3,"FALSO"),
   DATE(YEAR(D573)-1,1,31),
   IF(IF(ISTEXT(D573),RIGHT(D573,4)-1=YEAR(RESULTADOS!$C$11),YEAR(D573)-1=YEAR(RESULTADOS!$C$11)),
      IF(LEFT(D573,2)="13",EOMONTH(RESULTADOS!$C$11,0),IF(MONTH(D573)=12,"13º "&amp;YEAR(D573),EOMONTH(D573,1))),
      IF(LEFT(D573,2)="13",DATE(RIGHT(D573,4)-1,1,31),IF(MONTH(D573)=12,"13º "&amp;YEAR(D573),EOMONTH(D573,1)))))))</f>
        <v/>
      </c>
      <c r="E574" s="342"/>
      <c r="F574" s="257"/>
      <c r="I574" s="262" t="str">
        <f ca="1">RESULTADOS!O572</f>
        <v/>
      </c>
      <c r="J574" s="261" t="str">
        <f t="shared" ca="1" si="13"/>
        <v/>
      </c>
      <c r="L574" s="345"/>
    </row>
    <row r="575" spans="4:12" ht="15.6" x14ac:dyDescent="0.3">
      <c r="D575" s="258" t="str">
        <f ca="1">IF(D574="","",
IF(D574="13º "&amp;YEAR(RESULTADOS!$C$11),"",
IF(IFERROR(EOMONTH(D574,1)&gt;PREMISSAS!$C$3,"FALSO"),
   DATE(YEAR(D574)-1,1,31),
   IF(IF(ISTEXT(D574),RIGHT(D574,4)-1=YEAR(RESULTADOS!$C$11),YEAR(D574)-1=YEAR(RESULTADOS!$C$11)),
      IF(LEFT(D574,2)="13",EOMONTH(RESULTADOS!$C$11,0),IF(MONTH(D574)=12,"13º "&amp;YEAR(D574),EOMONTH(D574,1))),
      IF(LEFT(D574,2)="13",DATE(RIGHT(D574,4)-1,1,31),IF(MONTH(D574)=12,"13º "&amp;YEAR(D574),EOMONTH(D574,1)))))))</f>
        <v/>
      </c>
      <c r="E575" s="342"/>
      <c r="F575" s="257"/>
      <c r="I575" s="262" t="str">
        <f ca="1">RESULTADOS!O573</f>
        <v/>
      </c>
      <c r="J575" s="261" t="str">
        <f t="shared" ca="1" si="13"/>
        <v/>
      </c>
      <c r="L575" s="345"/>
    </row>
    <row r="576" spans="4:12" ht="15.6" x14ac:dyDescent="0.3">
      <c r="D576" s="258" t="str">
        <f ca="1">IF(D575="","",
IF(D575="13º "&amp;YEAR(RESULTADOS!$C$11),"",
IF(IFERROR(EOMONTH(D575,1)&gt;PREMISSAS!$C$3,"FALSO"),
   DATE(YEAR(D575)-1,1,31),
   IF(IF(ISTEXT(D575),RIGHT(D575,4)-1=YEAR(RESULTADOS!$C$11),YEAR(D575)-1=YEAR(RESULTADOS!$C$11)),
      IF(LEFT(D575,2)="13",EOMONTH(RESULTADOS!$C$11,0),IF(MONTH(D575)=12,"13º "&amp;YEAR(D575),EOMONTH(D575,1))),
      IF(LEFT(D575,2)="13",DATE(RIGHT(D575,4)-1,1,31),IF(MONTH(D575)=12,"13º "&amp;YEAR(D575),EOMONTH(D575,1)))))))</f>
        <v/>
      </c>
      <c r="E576" s="342"/>
      <c r="F576" s="257"/>
      <c r="I576" s="262" t="str">
        <f ca="1">RESULTADOS!O574</f>
        <v/>
      </c>
      <c r="J576" s="261" t="str">
        <f t="shared" ca="1" si="13"/>
        <v/>
      </c>
      <c r="L576" s="345"/>
    </row>
    <row r="577" spans="4:12" ht="15.6" x14ac:dyDescent="0.3">
      <c r="D577" s="258" t="str">
        <f ca="1">IF(D576="","",
IF(D576="13º "&amp;YEAR(RESULTADOS!$C$11),"",
IF(IFERROR(EOMONTH(D576,1)&gt;PREMISSAS!$C$3,"FALSO"),
   DATE(YEAR(D576)-1,1,31),
   IF(IF(ISTEXT(D576),RIGHT(D576,4)-1=YEAR(RESULTADOS!$C$11),YEAR(D576)-1=YEAR(RESULTADOS!$C$11)),
      IF(LEFT(D576,2)="13",EOMONTH(RESULTADOS!$C$11,0),IF(MONTH(D576)=12,"13º "&amp;YEAR(D576),EOMONTH(D576,1))),
      IF(LEFT(D576,2)="13",DATE(RIGHT(D576,4)-1,1,31),IF(MONTH(D576)=12,"13º "&amp;YEAR(D576),EOMONTH(D576,1)))))))</f>
        <v/>
      </c>
      <c r="E577" s="342"/>
      <c r="F577" s="257"/>
      <c r="I577" s="262" t="str">
        <f ca="1">RESULTADOS!O575</f>
        <v/>
      </c>
      <c r="J577" s="261" t="str">
        <f t="shared" ca="1" si="13"/>
        <v/>
      </c>
      <c r="L577" s="345"/>
    </row>
    <row r="578" spans="4:12" ht="15.6" x14ac:dyDescent="0.3">
      <c r="D578" s="258" t="str">
        <f ca="1">IF(D577="","",
IF(D577="13º "&amp;YEAR(RESULTADOS!$C$11),"",
IF(IFERROR(EOMONTH(D577,1)&gt;PREMISSAS!$C$3,"FALSO"),
   DATE(YEAR(D577)-1,1,31),
   IF(IF(ISTEXT(D577),RIGHT(D577,4)-1=YEAR(RESULTADOS!$C$11),YEAR(D577)-1=YEAR(RESULTADOS!$C$11)),
      IF(LEFT(D577,2)="13",EOMONTH(RESULTADOS!$C$11,0),IF(MONTH(D577)=12,"13º "&amp;YEAR(D577),EOMONTH(D577,1))),
      IF(LEFT(D577,2)="13",DATE(RIGHT(D577,4)-1,1,31),IF(MONTH(D577)=12,"13º "&amp;YEAR(D577),EOMONTH(D577,1)))))))</f>
        <v/>
      </c>
      <c r="E578" s="342"/>
      <c r="F578" s="257"/>
      <c r="I578" s="262" t="str">
        <f ca="1">RESULTADOS!O576</f>
        <v/>
      </c>
      <c r="J578" s="261" t="str">
        <f t="shared" ca="1" si="13"/>
        <v/>
      </c>
      <c r="L578" s="345"/>
    </row>
    <row r="579" spans="4:12" ht="15.6" x14ac:dyDescent="0.3">
      <c r="D579" s="258" t="str">
        <f ca="1">IF(D578="","",
IF(D578="13º "&amp;YEAR(RESULTADOS!$C$11),"",
IF(IFERROR(EOMONTH(D578,1)&gt;PREMISSAS!$C$3,"FALSO"),
   DATE(YEAR(D578)-1,1,31),
   IF(IF(ISTEXT(D578),RIGHT(D578,4)-1=YEAR(RESULTADOS!$C$11),YEAR(D578)-1=YEAR(RESULTADOS!$C$11)),
      IF(LEFT(D578,2)="13",EOMONTH(RESULTADOS!$C$11,0),IF(MONTH(D578)=12,"13º "&amp;YEAR(D578),EOMONTH(D578,1))),
      IF(LEFT(D578,2)="13",DATE(RIGHT(D578,4)-1,1,31),IF(MONTH(D578)=12,"13º "&amp;YEAR(D578),EOMONTH(D578,1)))))))</f>
        <v/>
      </c>
      <c r="E579" s="342"/>
      <c r="F579" s="257"/>
      <c r="I579" s="262" t="str">
        <f ca="1">RESULTADOS!O577</f>
        <v/>
      </c>
      <c r="J579" s="261" t="str">
        <f t="shared" ca="1" si="13"/>
        <v/>
      </c>
      <c r="L579" s="345"/>
    </row>
    <row r="580" spans="4:12" ht="15.6" x14ac:dyDescent="0.3">
      <c r="D580" s="258" t="str">
        <f ca="1">IF(D579="","",
IF(D579="13º "&amp;YEAR(RESULTADOS!$C$11),"",
IF(IFERROR(EOMONTH(D579,1)&gt;PREMISSAS!$C$3,"FALSO"),
   DATE(YEAR(D579)-1,1,31),
   IF(IF(ISTEXT(D579),RIGHT(D579,4)-1=YEAR(RESULTADOS!$C$11),YEAR(D579)-1=YEAR(RESULTADOS!$C$11)),
      IF(LEFT(D579,2)="13",EOMONTH(RESULTADOS!$C$11,0),IF(MONTH(D579)=12,"13º "&amp;YEAR(D579),EOMONTH(D579,1))),
      IF(LEFT(D579,2)="13",DATE(RIGHT(D579,4)-1,1,31),IF(MONTH(D579)=12,"13º "&amp;YEAR(D579),EOMONTH(D579,1)))))))</f>
        <v/>
      </c>
      <c r="E580" s="342"/>
      <c r="F580" s="257"/>
      <c r="I580" s="262" t="str">
        <f ca="1">RESULTADOS!O578</f>
        <v/>
      </c>
      <c r="J580" s="261" t="str">
        <f t="shared" ca="1" si="13"/>
        <v/>
      </c>
      <c r="L580" s="345"/>
    </row>
    <row r="581" spans="4:12" ht="15.6" x14ac:dyDescent="0.3">
      <c r="D581" s="258" t="str">
        <f ca="1">IF(D580="","",
IF(D580="13º "&amp;YEAR(RESULTADOS!$C$11),"",
IF(IFERROR(EOMONTH(D580,1)&gt;PREMISSAS!$C$3,"FALSO"),
   DATE(YEAR(D580)-1,1,31),
   IF(IF(ISTEXT(D580),RIGHT(D580,4)-1=YEAR(RESULTADOS!$C$11),YEAR(D580)-1=YEAR(RESULTADOS!$C$11)),
      IF(LEFT(D580,2)="13",EOMONTH(RESULTADOS!$C$11,0),IF(MONTH(D580)=12,"13º "&amp;YEAR(D580),EOMONTH(D580,1))),
      IF(LEFT(D580,2)="13",DATE(RIGHT(D580,4)-1,1,31),IF(MONTH(D580)=12,"13º "&amp;YEAR(D580),EOMONTH(D580,1)))))))</f>
        <v/>
      </c>
      <c r="E581" s="342"/>
      <c r="F581" s="257"/>
      <c r="I581" s="262" t="str">
        <f ca="1">RESULTADOS!O579</f>
        <v/>
      </c>
      <c r="J581" s="261" t="str">
        <f t="shared" ca="1" si="13"/>
        <v/>
      </c>
      <c r="L581" s="345"/>
    </row>
    <row r="582" spans="4:12" ht="15.6" x14ac:dyDescent="0.3">
      <c r="D582" s="258" t="str">
        <f ca="1">IF(D581="","",
IF(D581="13º "&amp;YEAR(RESULTADOS!$C$11),"",
IF(IFERROR(EOMONTH(D581,1)&gt;PREMISSAS!$C$3,"FALSO"),
   DATE(YEAR(D581)-1,1,31),
   IF(IF(ISTEXT(D581),RIGHT(D581,4)-1=YEAR(RESULTADOS!$C$11),YEAR(D581)-1=YEAR(RESULTADOS!$C$11)),
      IF(LEFT(D581,2)="13",EOMONTH(RESULTADOS!$C$11,0),IF(MONTH(D581)=12,"13º "&amp;YEAR(D581),EOMONTH(D581,1))),
      IF(LEFT(D581,2)="13",DATE(RIGHT(D581,4)-1,1,31),IF(MONTH(D581)=12,"13º "&amp;YEAR(D581),EOMONTH(D581,1)))))))</f>
        <v/>
      </c>
      <c r="E582" s="342"/>
      <c r="F582" s="257"/>
      <c r="I582" s="262" t="str">
        <f ca="1">RESULTADOS!O580</f>
        <v/>
      </c>
      <c r="J582" s="261" t="str">
        <f t="shared" ca="1" si="13"/>
        <v/>
      </c>
      <c r="L582" s="345"/>
    </row>
    <row r="583" spans="4:12" ht="15.6" x14ac:dyDescent="0.3">
      <c r="D583" s="258" t="str">
        <f ca="1">IF(D582="","",
IF(D582="13º "&amp;YEAR(RESULTADOS!$C$11),"",
IF(IFERROR(EOMONTH(D582,1)&gt;PREMISSAS!$C$3,"FALSO"),
   DATE(YEAR(D582)-1,1,31),
   IF(IF(ISTEXT(D582),RIGHT(D582,4)-1=YEAR(RESULTADOS!$C$11),YEAR(D582)-1=YEAR(RESULTADOS!$C$11)),
      IF(LEFT(D582,2)="13",EOMONTH(RESULTADOS!$C$11,0),IF(MONTH(D582)=12,"13º "&amp;YEAR(D582),EOMONTH(D582,1))),
      IF(LEFT(D582,2)="13",DATE(RIGHT(D582,4)-1,1,31),IF(MONTH(D582)=12,"13º "&amp;YEAR(D582),EOMONTH(D582,1)))))))</f>
        <v/>
      </c>
      <c r="E583" s="342"/>
      <c r="F583" s="257"/>
      <c r="I583" s="262" t="str">
        <f ca="1">RESULTADOS!O581</f>
        <v/>
      </c>
      <c r="J583" s="261" t="str">
        <f t="shared" ca="1" si="13"/>
        <v/>
      </c>
      <c r="L583" s="345"/>
    </row>
    <row r="584" spans="4:12" ht="15.6" x14ac:dyDescent="0.3">
      <c r="D584" s="258" t="str">
        <f ca="1">IF(D583="","",
IF(D583="13º "&amp;YEAR(RESULTADOS!$C$11),"",
IF(IFERROR(EOMONTH(D583,1)&gt;PREMISSAS!$C$3,"FALSO"),
   DATE(YEAR(D583)-1,1,31),
   IF(IF(ISTEXT(D583),RIGHT(D583,4)-1=YEAR(RESULTADOS!$C$11),YEAR(D583)-1=YEAR(RESULTADOS!$C$11)),
      IF(LEFT(D583,2)="13",EOMONTH(RESULTADOS!$C$11,0),IF(MONTH(D583)=12,"13º "&amp;YEAR(D583),EOMONTH(D583,1))),
      IF(LEFT(D583,2)="13",DATE(RIGHT(D583,4)-1,1,31),IF(MONTH(D583)=12,"13º "&amp;YEAR(D583),EOMONTH(D583,1)))))))</f>
        <v/>
      </c>
      <c r="E584" s="342"/>
      <c r="F584" s="257"/>
      <c r="I584" s="262" t="str">
        <f ca="1">RESULTADOS!O582</f>
        <v/>
      </c>
      <c r="J584" s="261" t="str">
        <f t="shared" ref="J584:J647" ca="1" si="14">IF(I584="","",IFERROR(VLOOKUP(I584,$D$6:$E$656,2,0),""))</f>
        <v/>
      </c>
      <c r="L584" s="345"/>
    </row>
    <row r="585" spans="4:12" ht="15.6" x14ac:dyDescent="0.3">
      <c r="D585" s="258" t="str">
        <f ca="1">IF(D584="","",
IF(D584="13º "&amp;YEAR(RESULTADOS!$C$11),"",
IF(IFERROR(EOMONTH(D584,1)&gt;PREMISSAS!$C$3,"FALSO"),
   DATE(YEAR(D584)-1,1,31),
   IF(IF(ISTEXT(D584),RIGHT(D584,4)-1=YEAR(RESULTADOS!$C$11),YEAR(D584)-1=YEAR(RESULTADOS!$C$11)),
      IF(LEFT(D584,2)="13",EOMONTH(RESULTADOS!$C$11,0),IF(MONTH(D584)=12,"13º "&amp;YEAR(D584),EOMONTH(D584,1))),
      IF(LEFT(D584,2)="13",DATE(RIGHT(D584,4)-1,1,31),IF(MONTH(D584)=12,"13º "&amp;YEAR(D584),EOMONTH(D584,1)))))))</f>
        <v/>
      </c>
      <c r="E585" s="342"/>
      <c r="F585" s="257"/>
      <c r="I585" s="262" t="str">
        <f ca="1">RESULTADOS!O583</f>
        <v/>
      </c>
      <c r="J585" s="261" t="str">
        <f t="shared" ca="1" si="14"/>
        <v/>
      </c>
      <c r="L585" s="345"/>
    </row>
    <row r="586" spans="4:12" ht="15.6" x14ac:dyDescent="0.3">
      <c r="D586" s="258" t="str">
        <f ca="1">IF(D585="","",
IF(D585="13º "&amp;YEAR(RESULTADOS!$C$11),"",
IF(IFERROR(EOMONTH(D585,1)&gt;PREMISSAS!$C$3,"FALSO"),
   DATE(YEAR(D585)-1,1,31),
   IF(IF(ISTEXT(D585),RIGHT(D585,4)-1=YEAR(RESULTADOS!$C$11),YEAR(D585)-1=YEAR(RESULTADOS!$C$11)),
      IF(LEFT(D585,2)="13",EOMONTH(RESULTADOS!$C$11,0),IF(MONTH(D585)=12,"13º "&amp;YEAR(D585),EOMONTH(D585,1))),
      IF(LEFT(D585,2)="13",DATE(RIGHT(D585,4)-1,1,31),IF(MONTH(D585)=12,"13º "&amp;YEAR(D585),EOMONTH(D585,1)))))))</f>
        <v/>
      </c>
      <c r="E586" s="342"/>
      <c r="F586" s="257"/>
      <c r="I586" s="262" t="str">
        <f ca="1">RESULTADOS!O584</f>
        <v/>
      </c>
      <c r="J586" s="261" t="str">
        <f t="shared" ca="1" si="14"/>
        <v/>
      </c>
      <c r="L586" s="345"/>
    </row>
    <row r="587" spans="4:12" ht="15.6" x14ac:dyDescent="0.3">
      <c r="D587" s="258" t="str">
        <f ca="1">IF(D586="","",
IF(D586="13º "&amp;YEAR(RESULTADOS!$C$11),"",
IF(IFERROR(EOMONTH(D586,1)&gt;PREMISSAS!$C$3,"FALSO"),
   DATE(YEAR(D586)-1,1,31),
   IF(IF(ISTEXT(D586),RIGHT(D586,4)-1=YEAR(RESULTADOS!$C$11),YEAR(D586)-1=YEAR(RESULTADOS!$C$11)),
      IF(LEFT(D586,2)="13",EOMONTH(RESULTADOS!$C$11,0),IF(MONTH(D586)=12,"13º "&amp;YEAR(D586),EOMONTH(D586,1))),
      IF(LEFT(D586,2)="13",DATE(RIGHT(D586,4)-1,1,31),IF(MONTH(D586)=12,"13º "&amp;YEAR(D586),EOMONTH(D586,1)))))))</f>
        <v/>
      </c>
      <c r="E587" s="342"/>
      <c r="F587" s="257"/>
      <c r="I587" s="262" t="str">
        <f ca="1">RESULTADOS!O585</f>
        <v/>
      </c>
      <c r="J587" s="261" t="str">
        <f t="shared" ca="1" si="14"/>
        <v/>
      </c>
      <c r="L587" s="345"/>
    </row>
    <row r="588" spans="4:12" ht="15.6" x14ac:dyDescent="0.3">
      <c r="D588" s="258" t="str">
        <f ca="1">IF(D587="","",
IF(D587="13º "&amp;YEAR(RESULTADOS!$C$11),"",
IF(IFERROR(EOMONTH(D587,1)&gt;PREMISSAS!$C$3,"FALSO"),
   DATE(YEAR(D587)-1,1,31),
   IF(IF(ISTEXT(D587),RIGHT(D587,4)-1=YEAR(RESULTADOS!$C$11),YEAR(D587)-1=YEAR(RESULTADOS!$C$11)),
      IF(LEFT(D587,2)="13",EOMONTH(RESULTADOS!$C$11,0),IF(MONTH(D587)=12,"13º "&amp;YEAR(D587),EOMONTH(D587,1))),
      IF(LEFT(D587,2)="13",DATE(RIGHT(D587,4)-1,1,31),IF(MONTH(D587)=12,"13º "&amp;YEAR(D587),EOMONTH(D587,1)))))))</f>
        <v/>
      </c>
      <c r="E588" s="342"/>
      <c r="F588" s="257"/>
      <c r="I588" s="262" t="str">
        <f ca="1">RESULTADOS!O586</f>
        <v/>
      </c>
      <c r="J588" s="261" t="str">
        <f t="shared" ca="1" si="14"/>
        <v/>
      </c>
      <c r="L588" s="345"/>
    </row>
    <row r="589" spans="4:12" ht="15.6" x14ac:dyDescent="0.3">
      <c r="D589" s="258" t="str">
        <f ca="1">IF(D588="","",
IF(D588="13º "&amp;YEAR(RESULTADOS!$C$11),"",
IF(IFERROR(EOMONTH(D588,1)&gt;PREMISSAS!$C$3,"FALSO"),
   DATE(YEAR(D588)-1,1,31),
   IF(IF(ISTEXT(D588),RIGHT(D588,4)-1=YEAR(RESULTADOS!$C$11),YEAR(D588)-1=YEAR(RESULTADOS!$C$11)),
      IF(LEFT(D588,2)="13",EOMONTH(RESULTADOS!$C$11,0),IF(MONTH(D588)=12,"13º "&amp;YEAR(D588),EOMONTH(D588,1))),
      IF(LEFT(D588,2)="13",DATE(RIGHT(D588,4)-1,1,31),IF(MONTH(D588)=12,"13º "&amp;YEAR(D588),EOMONTH(D588,1)))))))</f>
        <v/>
      </c>
      <c r="E589" s="342"/>
      <c r="F589" s="257"/>
      <c r="I589" s="262" t="str">
        <f ca="1">RESULTADOS!O587</f>
        <v/>
      </c>
      <c r="J589" s="261" t="str">
        <f t="shared" ca="1" si="14"/>
        <v/>
      </c>
      <c r="L589" s="345"/>
    </row>
    <row r="590" spans="4:12" ht="15.6" x14ac:dyDescent="0.3">
      <c r="D590" s="258" t="str">
        <f ca="1">IF(D589="","",
IF(D589="13º "&amp;YEAR(RESULTADOS!$C$11),"",
IF(IFERROR(EOMONTH(D589,1)&gt;PREMISSAS!$C$3,"FALSO"),
   DATE(YEAR(D589)-1,1,31),
   IF(IF(ISTEXT(D589),RIGHT(D589,4)-1=YEAR(RESULTADOS!$C$11),YEAR(D589)-1=YEAR(RESULTADOS!$C$11)),
      IF(LEFT(D589,2)="13",EOMONTH(RESULTADOS!$C$11,0),IF(MONTH(D589)=12,"13º "&amp;YEAR(D589),EOMONTH(D589,1))),
      IF(LEFT(D589,2)="13",DATE(RIGHT(D589,4)-1,1,31),IF(MONTH(D589)=12,"13º "&amp;YEAR(D589),EOMONTH(D589,1)))))))</f>
        <v/>
      </c>
      <c r="E590" s="342"/>
      <c r="F590" s="257"/>
      <c r="I590" s="262" t="str">
        <f ca="1">RESULTADOS!O588</f>
        <v/>
      </c>
      <c r="J590" s="261" t="str">
        <f t="shared" ca="1" si="14"/>
        <v/>
      </c>
      <c r="L590" s="345"/>
    </row>
    <row r="591" spans="4:12" ht="15.6" x14ac:dyDescent="0.3">
      <c r="D591" s="258" t="str">
        <f ca="1">IF(D590="","",
IF(D590="13º "&amp;YEAR(RESULTADOS!$C$11),"",
IF(IFERROR(EOMONTH(D590,1)&gt;PREMISSAS!$C$3,"FALSO"),
   DATE(YEAR(D590)-1,1,31),
   IF(IF(ISTEXT(D590),RIGHT(D590,4)-1=YEAR(RESULTADOS!$C$11),YEAR(D590)-1=YEAR(RESULTADOS!$C$11)),
      IF(LEFT(D590,2)="13",EOMONTH(RESULTADOS!$C$11,0),IF(MONTH(D590)=12,"13º "&amp;YEAR(D590),EOMONTH(D590,1))),
      IF(LEFT(D590,2)="13",DATE(RIGHT(D590,4)-1,1,31),IF(MONTH(D590)=12,"13º "&amp;YEAR(D590),EOMONTH(D590,1)))))))</f>
        <v/>
      </c>
      <c r="E591" s="342"/>
      <c r="F591" s="257"/>
      <c r="I591" s="262" t="str">
        <f ca="1">RESULTADOS!O589</f>
        <v/>
      </c>
      <c r="J591" s="261" t="str">
        <f t="shared" ca="1" si="14"/>
        <v/>
      </c>
      <c r="L591" s="345"/>
    </row>
    <row r="592" spans="4:12" ht="15.6" x14ac:dyDescent="0.3">
      <c r="D592" s="258" t="str">
        <f ca="1">IF(D591="","",
IF(D591="13º "&amp;YEAR(RESULTADOS!$C$11),"",
IF(IFERROR(EOMONTH(D591,1)&gt;PREMISSAS!$C$3,"FALSO"),
   DATE(YEAR(D591)-1,1,31),
   IF(IF(ISTEXT(D591),RIGHT(D591,4)-1=YEAR(RESULTADOS!$C$11),YEAR(D591)-1=YEAR(RESULTADOS!$C$11)),
      IF(LEFT(D591,2)="13",EOMONTH(RESULTADOS!$C$11,0),IF(MONTH(D591)=12,"13º "&amp;YEAR(D591),EOMONTH(D591,1))),
      IF(LEFT(D591,2)="13",DATE(RIGHT(D591,4)-1,1,31),IF(MONTH(D591)=12,"13º "&amp;YEAR(D591),EOMONTH(D591,1)))))))</f>
        <v/>
      </c>
      <c r="E592" s="342"/>
      <c r="F592" s="257"/>
      <c r="I592" s="262" t="str">
        <f ca="1">RESULTADOS!O590</f>
        <v/>
      </c>
      <c r="J592" s="261" t="str">
        <f t="shared" ca="1" si="14"/>
        <v/>
      </c>
      <c r="L592" s="345"/>
    </row>
    <row r="593" spans="4:12" ht="15.6" x14ac:dyDescent="0.3">
      <c r="D593" s="258" t="str">
        <f ca="1">IF(D592="","",
IF(D592="13º "&amp;YEAR(RESULTADOS!$C$11),"",
IF(IFERROR(EOMONTH(D592,1)&gt;PREMISSAS!$C$3,"FALSO"),
   DATE(YEAR(D592)-1,1,31),
   IF(IF(ISTEXT(D592),RIGHT(D592,4)-1=YEAR(RESULTADOS!$C$11),YEAR(D592)-1=YEAR(RESULTADOS!$C$11)),
      IF(LEFT(D592,2)="13",EOMONTH(RESULTADOS!$C$11,0),IF(MONTH(D592)=12,"13º "&amp;YEAR(D592),EOMONTH(D592,1))),
      IF(LEFT(D592,2)="13",DATE(RIGHT(D592,4)-1,1,31),IF(MONTH(D592)=12,"13º "&amp;YEAR(D592),EOMONTH(D592,1)))))))</f>
        <v/>
      </c>
      <c r="E593" s="342"/>
      <c r="F593" s="257"/>
      <c r="I593" s="262" t="str">
        <f ca="1">RESULTADOS!O591</f>
        <v/>
      </c>
      <c r="J593" s="261" t="str">
        <f t="shared" ca="1" si="14"/>
        <v/>
      </c>
      <c r="L593" s="345"/>
    </row>
    <row r="594" spans="4:12" ht="15.6" x14ac:dyDescent="0.3">
      <c r="D594" s="258" t="str">
        <f ca="1">IF(D593="","",
IF(D593="13º "&amp;YEAR(RESULTADOS!$C$11),"",
IF(IFERROR(EOMONTH(D593,1)&gt;PREMISSAS!$C$3,"FALSO"),
   DATE(YEAR(D593)-1,1,31),
   IF(IF(ISTEXT(D593),RIGHT(D593,4)-1=YEAR(RESULTADOS!$C$11),YEAR(D593)-1=YEAR(RESULTADOS!$C$11)),
      IF(LEFT(D593,2)="13",EOMONTH(RESULTADOS!$C$11,0),IF(MONTH(D593)=12,"13º "&amp;YEAR(D593),EOMONTH(D593,1))),
      IF(LEFT(D593,2)="13",DATE(RIGHT(D593,4)-1,1,31),IF(MONTH(D593)=12,"13º "&amp;YEAR(D593),EOMONTH(D593,1)))))))</f>
        <v/>
      </c>
      <c r="E594" s="342"/>
      <c r="F594" s="257"/>
      <c r="I594" s="262" t="str">
        <f ca="1">RESULTADOS!O592</f>
        <v/>
      </c>
      <c r="J594" s="261" t="str">
        <f t="shared" ca="1" si="14"/>
        <v/>
      </c>
      <c r="L594" s="345"/>
    </row>
    <row r="595" spans="4:12" ht="15.6" x14ac:dyDescent="0.3">
      <c r="D595" s="258" t="str">
        <f ca="1">IF(D594="","",
IF(D594="13º "&amp;YEAR(RESULTADOS!$C$11),"",
IF(IFERROR(EOMONTH(D594,1)&gt;PREMISSAS!$C$3,"FALSO"),
   DATE(YEAR(D594)-1,1,31),
   IF(IF(ISTEXT(D594),RIGHT(D594,4)-1=YEAR(RESULTADOS!$C$11),YEAR(D594)-1=YEAR(RESULTADOS!$C$11)),
      IF(LEFT(D594,2)="13",EOMONTH(RESULTADOS!$C$11,0),IF(MONTH(D594)=12,"13º "&amp;YEAR(D594),EOMONTH(D594,1))),
      IF(LEFT(D594,2)="13",DATE(RIGHT(D594,4)-1,1,31),IF(MONTH(D594)=12,"13º "&amp;YEAR(D594),EOMONTH(D594,1)))))))</f>
        <v/>
      </c>
      <c r="E595" s="342"/>
      <c r="F595" s="257"/>
      <c r="I595" s="262" t="str">
        <f ca="1">RESULTADOS!O593</f>
        <v/>
      </c>
      <c r="J595" s="261" t="str">
        <f t="shared" ca="1" si="14"/>
        <v/>
      </c>
      <c r="L595" s="345"/>
    </row>
    <row r="596" spans="4:12" ht="15.6" x14ac:dyDescent="0.3">
      <c r="D596" s="258" t="str">
        <f ca="1">IF(D595="","",
IF(D595="13º "&amp;YEAR(RESULTADOS!$C$11),"",
IF(IFERROR(EOMONTH(D595,1)&gt;PREMISSAS!$C$3,"FALSO"),
   DATE(YEAR(D595)-1,1,31),
   IF(IF(ISTEXT(D595),RIGHT(D595,4)-1=YEAR(RESULTADOS!$C$11),YEAR(D595)-1=YEAR(RESULTADOS!$C$11)),
      IF(LEFT(D595,2)="13",EOMONTH(RESULTADOS!$C$11,0),IF(MONTH(D595)=12,"13º "&amp;YEAR(D595),EOMONTH(D595,1))),
      IF(LEFT(D595,2)="13",DATE(RIGHT(D595,4)-1,1,31),IF(MONTH(D595)=12,"13º "&amp;YEAR(D595),EOMONTH(D595,1)))))))</f>
        <v/>
      </c>
      <c r="E596" s="342"/>
      <c r="F596" s="257"/>
      <c r="I596" s="262" t="str">
        <f ca="1">RESULTADOS!O594</f>
        <v/>
      </c>
      <c r="J596" s="261" t="str">
        <f t="shared" ca="1" si="14"/>
        <v/>
      </c>
      <c r="L596" s="345"/>
    </row>
    <row r="597" spans="4:12" ht="15.6" x14ac:dyDescent="0.3">
      <c r="D597" s="258" t="str">
        <f ca="1">IF(D596="","",
IF(D596="13º "&amp;YEAR(RESULTADOS!$C$11),"",
IF(IFERROR(EOMONTH(D596,1)&gt;PREMISSAS!$C$3,"FALSO"),
   DATE(YEAR(D596)-1,1,31),
   IF(IF(ISTEXT(D596),RIGHT(D596,4)-1=YEAR(RESULTADOS!$C$11),YEAR(D596)-1=YEAR(RESULTADOS!$C$11)),
      IF(LEFT(D596,2)="13",EOMONTH(RESULTADOS!$C$11,0),IF(MONTH(D596)=12,"13º "&amp;YEAR(D596),EOMONTH(D596,1))),
      IF(LEFT(D596,2)="13",DATE(RIGHT(D596,4)-1,1,31),IF(MONTH(D596)=12,"13º "&amp;YEAR(D596),EOMONTH(D596,1)))))))</f>
        <v/>
      </c>
      <c r="E597" s="342"/>
      <c r="F597" s="257"/>
      <c r="I597" s="262" t="str">
        <f ca="1">RESULTADOS!O595</f>
        <v/>
      </c>
      <c r="J597" s="261" t="str">
        <f t="shared" ca="1" si="14"/>
        <v/>
      </c>
      <c r="L597" s="345"/>
    </row>
    <row r="598" spans="4:12" ht="15.6" x14ac:dyDescent="0.3">
      <c r="D598" s="258" t="str">
        <f ca="1">IF(D597="","",
IF(D597="13º "&amp;YEAR(RESULTADOS!$C$11),"",
IF(IFERROR(EOMONTH(D597,1)&gt;PREMISSAS!$C$3,"FALSO"),
   DATE(YEAR(D597)-1,1,31),
   IF(IF(ISTEXT(D597),RIGHT(D597,4)-1=YEAR(RESULTADOS!$C$11),YEAR(D597)-1=YEAR(RESULTADOS!$C$11)),
      IF(LEFT(D597,2)="13",EOMONTH(RESULTADOS!$C$11,0),IF(MONTH(D597)=12,"13º "&amp;YEAR(D597),EOMONTH(D597,1))),
      IF(LEFT(D597,2)="13",DATE(RIGHT(D597,4)-1,1,31),IF(MONTH(D597)=12,"13º "&amp;YEAR(D597),EOMONTH(D597,1)))))))</f>
        <v/>
      </c>
      <c r="E598" s="342"/>
      <c r="F598" s="257"/>
      <c r="I598" s="262" t="str">
        <f ca="1">RESULTADOS!O596</f>
        <v/>
      </c>
      <c r="J598" s="261" t="str">
        <f t="shared" ca="1" si="14"/>
        <v/>
      </c>
      <c r="L598" s="345"/>
    </row>
    <row r="599" spans="4:12" ht="15.6" x14ac:dyDescent="0.3">
      <c r="D599" s="258" t="str">
        <f ca="1">IF(D598="","",
IF(D598="13º "&amp;YEAR(RESULTADOS!$C$11),"",
IF(IFERROR(EOMONTH(D598,1)&gt;PREMISSAS!$C$3,"FALSO"),
   DATE(YEAR(D598)-1,1,31),
   IF(IF(ISTEXT(D598),RIGHT(D598,4)-1=YEAR(RESULTADOS!$C$11),YEAR(D598)-1=YEAR(RESULTADOS!$C$11)),
      IF(LEFT(D598,2)="13",EOMONTH(RESULTADOS!$C$11,0),IF(MONTH(D598)=12,"13º "&amp;YEAR(D598),EOMONTH(D598,1))),
      IF(LEFT(D598,2)="13",DATE(RIGHT(D598,4)-1,1,31),IF(MONTH(D598)=12,"13º "&amp;YEAR(D598),EOMONTH(D598,1)))))))</f>
        <v/>
      </c>
      <c r="E599" s="342"/>
      <c r="F599" s="257"/>
      <c r="I599" s="262" t="str">
        <f ca="1">RESULTADOS!O597</f>
        <v/>
      </c>
      <c r="J599" s="261" t="str">
        <f t="shared" ca="1" si="14"/>
        <v/>
      </c>
      <c r="L599" s="345"/>
    </row>
    <row r="600" spans="4:12" ht="15.6" x14ac:dyDescent="0.3">
      <c r="D600" s="258" t="str">
        <f ca="1">IF(D599="","",
IF(D599="13º "&amp;YEAR(RESULTADOS!$C$11),"",
IF(IFERROR(EOMONTH(D599,1)&gt;PREMISSAS!$C$3,"FALSO"),
   DATE(YEAR(D599)-1,1,31),
   IF(IF(ISTEXT(D599),RIGHT(D599,4)-1=YEAR(RESULTADOS!$C$11),YEAR(D599)-1=YEAR(RESULTADOS!$C$11)),
      IF(LEFT(D599,2)="13",EOMONTH(RESULTADOS!$C$11,0),IF(MONTH(D599)=12,"13º "&amp;YEAR(D599),EOMONTH(D599,1))),
      IF(LEFT(D599,2)="13",DATE(RIGHT(D599,4)-1,1,31),IF(MONTH(D599)=12,"13º "&amp;YEAR(D599),EOMONTH(D599,1)))))))</f>
        <v/>
      </c>
      <c r="E600" s="342"/>
      <c r="F600" s="257"/>
      <c r="I600" s="262" t="str">
        <f ca="1">RESULTADOS!O598</f>
        <v/>
      </c>
      <c r="J600" s="261" t="str">
        <f t="shared" ca="1" si="14"/>
        <v/>
      </c>
      <c r="L600" s="345"/>
    </row>
    <row r="601" spans="4:12" ht="15.6" x14ac:dyDescent="0.3">
      <c r="D601" s="258" t="str">
        <f ca="1">IF(D600="","",
IF(D600="13º "&amp;YEAR(RESULTADOS!$C$11),"",
IF(IFERROR(EOMONTH(D600,1)&gt;PREMISSAS!$C$3,"FALSO"),
   DATE(YEAR(D600)-1,1,31),
   IF(IF(ISTEXT(D600),RIGHT(D600,4)-1=YEAR(RESULTADOS!$C$11),YEAR(D600)-1=YEAR(RESULTADOS!$C$11)),
      IF(LEFT(D600,2)="13",EOMONTH(RESULTADOS!$C$11,0),IF(MONTH(D600)=12,"13º "&amp;YEAR(D600),EOMONTH(D600,1))),
      IF(LEFT(D600,2)="13",DATE(RIGHT(D600,4)-1,1,31),IF(MONTH(D600)=12,"13º "&amp;YEAR(D600),EOMONTH(D600,1)))))))</f>
        <v/>
      </c>
      <c r="E601" s="342"/>
      <c r="F601" s="257"/>
      <c r="I601" s="262" t="str">
        <f ca="1">RESULTADOS!O599</f>
        <v/>
      </c>
      <c r="J601" s="261" t="str">
        <f t="shared" ca="1" si="14"/>
        <v/>
      </c>
      <c r="L601" s="345"/>
    </row>
    <row r="602" spans="4:12" ht="15.6" x14ac:dyDescent="0.3">
      <c r="D602" s="258" t="str">
        <f ca="1">IF(D601="","",
IF(D601="13º "&amp;YEAR(RESULTADOS!$C$11),"",
IF(IFERROR(EOMONTH(D601,1)&gt;PREMISSAS!$C$3,"FALSO"),
   DATE(YEAR(D601)-1,1,31),
   IF(IF(ISTEXT(D601),RIGHT(D601,4)-1=YEAR(RESULTADOS!$C$11),YEAR(D601)-1=YEAR(RESULTADOS!$C$11)),
      IF(LEFT(D601,2)="13",EOMONTH(RESULTADOS!$C$11,0),IF(MONTH(D601)=12,"13º "&amp;YEAR(D601),EOMONTH(D601,1))),
      IF(LEFT(D601,2)="13",DATE(RIGHT(D601,4)-1,1,31),IF(MONTH(D601)=12,"13º "&amp;YEAR(D601),EOMONTH(D601,1)))))))</f>
        <v/>
      </c>
      <c r="E602" s="342"/>
      <c r="F602" s="257"/>
      <c r="I602" s="262" t="str">
        <f ca="1">RESULTADOS!O600</f>
        <v/>
      </c>
      <c r="J602" s="261" t="str">
        <f t="shared" ca="1" si="14"/>
        <v/>
      </c>
      <c r="L602" s="345"/>
    </row>
    <row r="603" spans="4:12" ht="15.6" x14ac:dyDescent="0.3">
      <c r="D603" s="258" t="str">
        <f ca="1">IF(D602="","",
IF(D602="13º "&amp;YEAR(RESULTADOS!$C$11),"",
IF(IFERROR(EOMONTH(D602,1)&gt;PREMISSAS!$C$3,"FALSO"),
   DATE(YEAR(D602)-1,1,31),
   IF(IF(ISTEXT(D602),RIGHT(D602,4)-1=YEAR(RESULTADOS!$C$11),YEAR(D602)-1=YEAR(RESULTADOS!$C$11)),
      IF(LEFT(D602,2)="13",EOMONTH(RESULTADOS!$C$11,0),IF(MONTH(D602)=12,"13º "&amp;YEAR(D602),EOMONTH(D602,1))),
      IF(LEFT(D602,2)="13",DATE(RIGHT(D602,4)-1,1,31),IF(MONTH(D602)=12,"13º "&amp;YEAR(D602),EOMONTH(D602,1)))))))</f>
        <v/>
      </c>
      <c r="E603" s="342"/>
      <c r="F603" s="257"/>
      <c r="I603" s="262" t="str">
        <f ca="1">RESULTADOS!O601</f>
        <v/>
      </c>
      <c r="J603" s="261" t="str">
        <f t="shared" ca="1" si="14"/>
        <v/>
      </c>
      <c r="L603" s="345"/>
    </row>
    <row r="604" spans="4:12" ht="15.6" x14ac:dyDescent="0.3">
      <c r="D604" s="258" t="str">
        <f ca="1">IF(D603="","",
IF(D603="13º "&amp;YEAR(RESULTADOS!$C$11),"",
IF(IFERROR(EOMONTH(D603,1)&gt;PREMISSAS!$C$3,"FALSO"),
   DATE(YEAR(D603)-1,1,31),
   IF(IF(ISTEXT(D603),RIGHT(D603,4)-1=YEAR(RESULTADOS!$C$11),YEAR(D603)-1=YEAR(RESULTADOS!$C$11)),
      IF(LEFT(D603,2)="13",EOMONTH(RESULTADOS!$C$11,0),IF(MONTH(D603)=12,"13º "&amp;YEAR(D603),EOMONTH(D603,1))),
      IF(LEFT(D603,2)="13",DATE(RIGHT(D603,4)-1,1,31),IF(MONTH(D603)=12,"13º "&amp;YEAR(D603),EOMONTH(D603,1)))))))</f>
        <v/>
      </c>
      <c r="E604" s="342"/>
      <c r="F604" s="257"/>
      <c r="I604" s="262" t="str">
        <f ca="1">RESULTADOS!O602</f>
        <v/>
      </c>
      <c r="J604" s="261" t="str">
        <f t="shared" ca="1" si="14"/>
        <v/>
      </c>
      <c r="L604" s="345"/>
    </row>
    <row r="605" spans="4:12" ht="15.6" x14ac:dyDescent="0.3">
      <c r="D605" s="258" t="str">
        <f ca="1">IF(D604="","",
IF(D604="13º "&amp;YEAR(RESULTADOS!$C$11),"",
IF(IFERROR(EOMONTH(D604,1)&gt;PREMISSAS!$C$3,"FALSO"),
   DATE(YEAR(D604)-1,1,31),
   IF(IF(ISTEXT(D604),RIGHT(D604,4)-1=YEAR(RESULTADOS!$C$11),YEAR(D604)-1=YEAR(RESULTADOS!$C$11)),
      IF(LEFT(D604,2)="13",EOMONTH(RESULTADOS!$C$11,0),IF(MONTH(D604)=12,"13º "&amp;YEAR(D604),EOMONTH(D604,1))),
      IF(LEFT(D604,2)="13",DATE(RIGHT(D604,4)-1,1,31),IF(MONTH(D604)=12,"13º "&amp;YEAR(D604),EOMONTH(D604,1)))))))</f>
        <v/>
      </c>
      <c r="E605" s="342"/>
      <c r="F605" s="257"/>
      <c r="I605" s="262" t="str">
        <f ca="1">RESULTADOS!O603</f>
        <v/>
      </c>
      <c r="J605" s="261" t="str">
        <f t="shared" ca="1" si="14"/>
        <v/>
      </c>
      <c r="L605" s="345"/>
    </row>
    <row r="606" spans="4:12" ht="15.6" x14ac:dyDescent="0.3">
      <c r="D606" s="258" t="str">
        <f ca="1">IF(D605="","",
IF(D605="13º "&amp;YEAR(RESULTADOS!$C$11),"",
IF(IFERROR(EOMONTH(D605,1)&gt;PREMISSAS!$C$3,"FALSO"),
   DATE(YEAR(D605)-1,1,31),
   IF(IF(ISTEXT(D605),RIGHT(D605,4)-1=YEAR(RESULTADOS!$C$11),YEAR(D605)-1=YEAR(RESULTADOS!$C$11)),
      IF(LEFT(D605,2)="13",EOMONTH(RESULTADOS!$C$11,0),IF(MONTH(D605)=12,"13º "&amp;YEAR(D605),EOMONTH(D605,1))),
      IF(LEFT(D605,2)="13",DATE(RIGHT(D605,4)-1,1,31),IF(MONTH(D605)=12,"13º "&amp;YEAR(D605),EOMONTH(D605,1)))))))</f>
        <v/>
      </c>
      <c r="E606" s="342"/>
      <c r="F606" s="257"/>
      <c r="I606" s="262" t="str">
        <f ca="1">RESULTADOS!O604</f>
        <v/>
      </c>
      <c r="J606" s="261" t="str">
        <f t="shared" ca="1" si="14"/>
        <v/>
      </c>
      <c r="L606" s="345"/>
    </row>
    <row r="607" spans="4:12" ht="15.6" x14ac:dyDescent="0.3">
      <c r="D607" s="258" t="str">
        <f ca="1">IF(D606="","",
IF(D606="13º "&amp;YEAR(RESULTADOS!$C$11),"",
IF(IFERROR(EOMONTH(D606,1)&gt;PREMISSAS!$C$3,"FALSO"),
   DATE(YEAR(D606)-1,1,31),
   IF(IF(ISTEXT(D606),RIGHT(D606,4)-1=YEAR(RESULTADOS!$C$11),YEAR(D606)-1=YEAR(RESULTADOS!$C$11)),
      IF(LEFT(D606,2)="13",EOMONTH(RESULTADOS!$C$11,0),IF(MONTH(D606)=12,"13º "&amp;YEAR(D606),EOMONTH(D606,1))),
      IF(LEFT(D606,2)="13",DATE(RIGHT(D606,4)-1,1,31),IF(MONTH(D606)=12,"13º "&amp;YEAR(D606),EOMONTH(D606,1)))))))</f>
        <v/>
      </c>
      <c r="E607" s="342"/>
      <c r="F607" s="257"/>
      <c r="I607" s="262" t="str">
        <f ca="1">RESULTADOS!O605</f>
        <v/>
      </c>
      <c r="J607" s="261" t="str">
        <f t="shared" ca="1" si="14"/>
        <v/>
      </c>
      <c r="L607" s="345"/>
    </row>
    <row r="608" spans="4:12" ht="15.6" x14ac:dyDescent="0.3">
      <c r="D608" s="258" t="str">
        <f ca="1">IF(D607="","",
IF(D607="13º "&amp;YEAR(RESULTADOS!$C$11),"",
IF(IFERROR(EOMONTH(D607,1)&gt;PREMISSAS!$C$3,"FALSO"),
   DATE(YEAR(D607)-1,1,31),
   IF(IF(ISTEXT(D607),RIGHT(D607,4)-1=YEAR(RESULTADOS!$C$11),YEAR(D607)-1=YEAR(RESULTADOS!$C$11)),
      IF(LEFT(D607,2)="13",EOMONTH(RESULTADOS!$C$11,0),IF(MONTH(D607)=12,"13º "&amp;YEAR(D607),EOMONTH(D607,1))),
      IF(LEFT(D607,2)="13",DATE(RIGHT(D607,4)-1,1,31),IF(MONTH(D607)=12,"13º "&amp;YEAR(D607),EOMONTH(D607,1)))))))</f>
        <v/>
      </c>
      <c r="E608" s="342"/>
      <c r="F608" s="257"/>
      <c r="I608" s="262" t="str">
        <f ca="1">RESULTADOS!O606</f>
        <v/>
      </c>
      <c r="J608" s="261" t="str">
        <f t="shared" ca="1" si="14"/>
        <v/>
      </c>
      <c r="L608" s="345"/>
    </row>
    <row r="609" spans="4:12" ht="15.6" x14ac:dyDescent="0.3">
      <c r="D609" s="258" t="str">
        <f ca="1">IF(D608="","",
IF(D608="13º "&amp;YEAR(RESULTADOS!$C$11),"",
IF(IFERROR(EOMONTH(D608,1)&gt;PREMISSAS!$C$3,"FALSO"),
   DATE(YEAR(D608)-1,1,31),
   IF(IF(ISTEXT(D608),RIGHT(D608,4)-1=YEAR(RESULTADOS!$C$11),YEAR(D608)-1=YEAR(RESULTADOS!$C$11)),
      IF(LEFT(D608,2)="13",EOMONTH(RESULTADOS!$C$11,0),IF(MONTH(D608)=12,"13º "&amp;YEAR(D608),EOMONTH(D608,1))),
      IF(LEFT(D608,2)="13",DATE(RIGHT(D608,4)-1,1,31),IF(MONTH(D608)=12,"13º "&amp;YEAR(D608),EOMONTH(D608,1)))))))</f>
        <v/>
      </c>
      <c r="E609" s="342"/>
      <c r="F609" s="257"/>
      <c r="I609" s="262" t="str">
        <f ca="1">RESULTADOS!O607</f>
        <v/>
      </c>
      <c r="J609" s="261" t="str">
        <f t="shared" ca="1" si="14"/>
        <v/>
      </c>
      <c r="L609" s="345"/>
    </row>
    <row r="610" spans="4:12" ht="15.6" x14ac:dyDescent="0.3">
      <c r="D610" s="258" t="str">
        <f ca="1">IF(D609="","",
IF(D609="13º "&amp;YEAR(RESULTADOS!$C$11),"",
IF(IFERROR(EOMONTH(D609,1)&gt;PREMISSAS!$C$3,"FALSO"),
   DATE(YEAR(D609)-1,1,31),
   IF(IF(ISTEXT(D609),RIGHT(D609,4)-1=YEAR(RESULTADOS!$C$11),YEAR(D609)-1=YEAR(RESULTADOS!$C$11)),
      IF(LEFT(D609,2)="13",EOMONTH(RESULTADOS!$C$11,0),IF(MONTH(D609)=12,"13º "&amp;YEAR(D609),EOMONTH(D609,1))),
      IF(LEFT(D609,2)="13",DATE(RIGHT(D609,4)-1,1,31),IF(MONTH(D609)=12,"13º "&amp;YEAR(D609),EOMONTH(D609,1)))))))</f>
        <v/>
      </c>
      <c r="E610" s="342"/>
      <c r="F610" s="257"/>
      <c r="I610" s="262" t="str">
        <f ca="1">RESULTADOS!O608</f>
        <v/>
      </c>
      <c r="J610" s="261" t="str">
        <f t="shared" ca="1" si="14"/>
        <v/>
      </c>
      <c r="L610" s="345"/>
    </row>
    <row r="611" spans="4:12" ht="15.6" x14ac:dyDescent="0.3">
      <c r="D611" s="258" t="str">
        <f ca="1">IF(D610="","",
IF(D610="13º "&amp;YEAR(RESULTADOS!$C$11),"",
IF(IFERROR(EOMONTH(D610,1)&gt;PREMISSAS!$C$3,"FALSO"),
   DATE(YEAR(D610)-1,1,31),
   IF(IF(ISTEXT(D610),RIGHT(D610,4)-1=YEAR(RESULTADOS!$C$11),YEAR(D610)-1=YEAR(RESULTADOS!$C$11)),
      IF(LEFT(D610,2)="13",EOMONTH(RESULTADOS!$C$11,0),IF(MONTH(D610)=12,"13º "&amp;YEAR(D610),EOMONTH(D610,1))),
      IF(LEFT(D610,2)="13",DATE(RIGHT(D610,4)-1,1,31),IF(MONTH(D610)=12,"13º "&amp;YEAR(D610),EOMONTH(D610,1)))))))</f>
        <v/>
      </c>
      <c r="E611" s="342"/>
      <c r="F611" s="257"/>
      <c r="I611" s="262" t="str">
        <f ca="1">RESULTADOS!O609</f>
        <v/>
      </c>
      <c r="J611" s="261" t="str">
        <f t="shared" ca="1" si="14"/>
        <v/>
      </c>
      <c r="L611" s="345"/>
    </row>
    <row r="612" spans="4:12" ht="15.6" x14ac:dyDescent="0.3">
      <c r="D612" s="258" t="str">
        <f ca="1">IF(D611="","",
IF(D611="13º "&amp;YEAR(RESULTADOS!$C$11),"",
IF(IFERROR(EOMONTH(D611,1)&gt;PREMISSAS!$C$3,"FALSO"),
   DATE(YEAR(D611)-1,1,31),
   IF(IF(ISTEXT(D611),RIGHT(D611,4)-1=YEAR(RESULTADOS!$C$11),YEAR(D611)-1=YEAR(RESULTADOS!$C$11)),
      IF(LEFT(D611,2)="13",EOMONTH(RESULTADOS!$C$11,0),IF(MONTH(D611)=12,"13º "&amp;YEAR(D611),EOMONTH(D611,1))),
      IF(LEFT(D611,2)="13",DATE(RIGHT(D611,4)-1,1,31),IF(MONTH(D611)=12,"13º "&amp;YEAR(D611),EOMONTH(D611,1)))))))</f>
        <v/>
      </c>
      <c r="E612" s="342"/>
      <c r="F612" s="257"/>
      <c r="I612" s="262" t="str">
        <f ca="1">RESULTADOS!O610</f>
        <v/>
      </c>
      <c r="J612" s="261" t="str">
        <f t="shared" ca="1" si="14"/>
        <v/>
      </c>
      <c r="L612" s="345"/>
    </row>
    <row r="613" spans="4:12" ht="15.6" x14ac:dyDescent="0.3">
      <c r="D613" s="258" t="str">
        <f ca="1">IF(D612="","",
IF(D612="13º "&amp;YEAR(RESULTADOS!$C$11),"",
IF(IFERROR(EOMONTH(D612,1)&gt;PREMISSAS!$C$3,"FALSO"),
   DATE(YEAR(D612)-1,1,31),
   IF(IF(ISTEXT(D612),RIGHT(D612,4)-1=YEAR(RESULTADOS!$C$11),YEAR(D612)-1=YEAR(RESULTADOS!$C$11)),
      IF(LEFT(D612,2)="13",EOMONTH(RESULTADOS!$C$11,0),IF(MONTH(D612)=12,"13º "&amp;YEAR(D612),EOMONTH(D612,1))),
      IF(LEFT(D612,2)="13",DATE(RIGHT(D612,4)-1,1,31),IF(MONTH(D612)=12,"13º "&amp;YEAR(D612),EOMONTH(D612,1)))))))</f>
        <v/>
      </c>
      <c r="E613" s="342"/>
      <c r="F613" s="257"/>
      <c r="I613" s="262" t="str">
        <f ca="1">RESULTADOS!O611</f>
        <v/>
      </c>
      <c r="J613" s="261" t="str">
        <f t="shared" ca="1" si="14"/>
        <v/>
      </c>
      <c r="L613" s="345"/>
    </row>
    <row r="614" spans="4:12" ht="15.6" x14ac:dyDescent="0.3">
      <c r="D614" s="258" t="str">
        <f ca="1">IF(D613="","",
IF(D613="13º "&amp;YEAR(RESULTADOS!$C$11),"",
IF(IFERROR(EOMONTH(D613,1)&gt;PREMISSAS!$C$3,"FALSO"),
   DATE(YEAR(D613)-1,1,31),
   IF(IF(ISTEXT(D613),RIGHT(D613,4)-1=YEAR(RESULTADOS!$C$11),YEAR(D613)-1=YEAR(RESULTADOS!$C$11)),
      IF(LEFT(D613,2)="13",EOMONTH(RESULTADOS!$C$11,0),IF(MONTH(D613)=12,"13º "&amp;YEAR(D613),EOMONTH(D613,1))),
      IF(LEFT(D613,2)="13",DATE(RIGHT(D613,4)-1,1,31),IF(MONTH(D613)=12,"13º "&amp;YEAR(D613),EOMONTH(D613,1)))))))</f>
        <v/>
      </c>
      <c r="E614" s="342"/>
      <c r="F614" s="257"/>
      <c r="I614" s="262" t="str">
        <f ca="1">RESULTADOS!O612</f>
        <v/>
      </c>
      <c r="J614" s="261" t="str">
        <f t="shared" ca="1" si="14"/>
        <v/>
      </c>
      <c r="L614" s="345"/>
    </row>
    <row r="615" spans="4:12" ht="15.6" x14ac:dyDescent="0.3">
      <c r="D615" s="258" t="str">
        <f ca="1">IF(D614="","",
IF(D614="13º "&amp;YEAR(RESULTADOS!$C$11),"",
IF(IFERROR(EOMONTH(D614,1)&gt;PREMISSAS!$C$3,"FALSO"),
   DATE(YEAR(D614)-1,1,31),
   IF(IF(ISTEXT(D614),RIGHT(D614,4)-1=YEAR(RESULTADOS!$C$11),YEAR(D614)-1=YEAR(RESULTADOS!$C$11)),
      IF(LEFT(D614,2)="13",EOMONTH(RESULTADOS!$C$11,0),IF(MONTH(D614)=12,"13º "&amp;YEAR(D614),EOMONTH(D614,1))),
      IF(LEFT(D614,2)="13",DATE(RIGHT(D614,4)-1,1,31),IF(MONTH(D614)=12,"13º "&amp;YEAR(D614),EOMONTH(D614,1)))))))</f>
        <v/>
      </c>
      <c r="E615" s="342"/>
      <c r="F615" s="257"/>
      <c r="I615" s="262" t="str">
        <f ca="1">RESULTADOS!O613</f>
        <v/>
      </c>
      <c r="J615" s="261" t="str">
        <f t="shared" ca="1" si="14"/>
        <v/>
      </c>
      <c r="L615" s="345"/>
    </row>
    <row r="616" spans="4:12" ht="15.6" x14ac:dyDescent="0.3">
      <c r="D616" s="258" t="str">
        <f ca="1">IF(D615="","",
IF(D615="13º "&amp;YEAR(RESULTADOS!$C$11),"",
IF(IFERROR(EOMONTH(D615,1)&gt;PREMISSAS!$C$3,"FALSO"),
   DATE(YEAR(D615)-1,1,31),
   IF(IF(ISTEXT(D615),RIGHT(D615,4)-1=YEAR(RESULTADOS!$C$11),YEAR(D615)-1=YEAR(RESULTADOS!$C$11)),
      IF(LEFT(D615,2)="13",EOMONTH(RESULTADOS!$C$11,0),IF(MONTH(D615)=12,"13º "&amp;YEAR(D615),EOMONTH(D615,1))),
      IF(LEFT(D615,2)="13",DATE(RIGHT(D615,4)-1,1,31),IF(MONTH(D615)=12,"13º "&amp;YEAR(D615),EOMONTH(D615,1)))))))</f>
        <v/>
      </c>
      <c r="E616" s="342"/>
      <c r="F616" s="257"/>
      <c r="I616" s="262" t="str">
        <f ca="1">RESULTADOS!O614</f>
        <v/>
      </c>
      <c r="J616" s="261" t="str">
        <f t="shared" ca="1" si="14"/>
        <v/>
      </c>
      <c r="L616" s="345"/>
    </row>
    <row r="617" spans="4:12" ht="15.6" x14ac:dyDescent="0.3">
      <c r="D617" s="258" t="str">
        <f ca="1">IF(D616="","",
IF(D616="13º "&amp;YEAR(RESULTADOS!$C$11),"",
IF(IFERROR(EOMONTH(D616,1)&gt;PREMISSAS!$C$3,"FALSO"),
   DATE(YEAR(D616)-1,1,31),
   IF(IF(ISTEXT(D616),RIGHT(D616,4)-1=YEAR(RESULTADOS!$C$11),YEAR(D616)-1=YEAR(RESULTADOS!$C$11)),
      IF(LEFT(D616,2)="13",EOMONTH(RESULTADOS!$C$11,0),IF(MONTH(D616)=12,"13º "&amp;YEAR(D616),EOMONTH(D616,1))),
      IF(LEFT(D616,2)="13",DATE(RIGHT(D616,4)-1,1,31),IF(MONTH(D616)=12,"13º "&amp;YEAR(D616),EOMONTH(D616,1)))))))</f>
        <v/>
      </c>
      <c r="E617" s="342"/>
      <c r="F617" s="257"/>
      <c r="I617" s="262" t="str">
        <f ca="1">RESULTADOS!O615</f>
        <v/>
      </c>
      <c r="J617" s="261" t="str">
        <f t="shared" ca="1" si="14"/>
        <v/>
      </c>
      <c r="L617" s="345"/>
    </row>
    <row r="618" spans="4:12" ht="15.6" x14ac:dyDescent="0.3">
      <c r="D618" s="258" t="str">
        <f ca="1">IF(D617="","",
IF(D617="13º "&amp;YEAR(RESULTADOS!$C$11),"",
IF(IFERROR(EOMONTH(D617,1)&gt;PREMISSAS!$C$3,"FALSO"),
   DATE(YEAR(D617)-1,1,31),
   IF(IF(ISTEXT(D617),RIGHT(D617,4)-1=YEAR(RESULTADOS!$C$11),YEAR(D617)-1=YEAR(RESULTADOS!$C$11)),
      IF(LEFT(D617,2)="13",EOMONTH(RESULTADOS!$C$11,0),IF(MONTH(D617)=12,"13º "&amp;YEAR(D617),EOMONTH(D617,1))),
      IF(LEFT(D617,2)="13",DATE(RIGHT(D617,4)-1,1,31),IF(MONTH(D617)=12,"13º "&amp;YEAR(D617),EOMONTH(D617,1)))))))</f>
        <v/>
      </c>
      <c r="E618" s="342"/>
      <c r="F618" s="257"/>
      <c r="I618" s="262" t="str">
        <f ca="1">RESULTADOS!O616</f>
        <v/>
      </c>
      <c r="J618" s="261" t="str">
        <f t="shared" ca="1" si="14"/>
        <v/>
      </c>
      <c r="L618" s="345"/>
    </row>
    <row r="619" spans="4:12" ht="15.6" x14ac:dyDescent="0.3">
      <c r="D619" s="258" t="str">
        <f ca="1">IF(D618="","",
IF(D618="13º "&amp;YEAR(RESULTADOS!$C$11),"",
IF(IFERROR(EOMONTH(D618,1)&gt;PREMISSAS!$C$3,"FALSO"),
   DATE(YEAR(D618)-1,1,31),
   IF(IF(ISTEXT(D618),RIGHT(D618,4)-1=YEAR(RESULTADOS!$C$11),YEAR(D618)-1=YEAR(RESULTADOS!$C$11)),
      IF(LEFT(D618,2)="13",EOMONTH(RESULTADOS!$C$11,0),IF(MONTH(D618)=12,"13º "&amp;YEAR(D618),EOMONTH(D618,1))),
      IF(LEFT(D618,2)="13",DATE(RIGHT(D618,4)-1,1,31),IF(MONTH(D618)=12,"13º "&amp;YEAR(D618),EOMONTH(D618,1)))))))</f>
        <v/>
      </c>
      <c r="E619" s="342"/>
      <c r="F619" s="257"/>
      <c r="I619" s="262" t="str">
        <f ca="1">RESULTADOS!O617</f>
        <v/>
      </c>
      <c r="J619" s="261" t="str">
        <f t="shared" ca="1" si="14"/>
        <v/>
      </c>
      <c r="L619" s="345"/>
    </row>
    <row r="620" spans="4:12" ht="15.6" x14ac:dyDescent="0.3">
      <c r="D620" s="258" t="str">
        <f ca="1">IF(D619="","",
IF(D619="13º "&amp;YEAR(RESULTADOS!$C$11),"",
IF(IFERROR(EOMONTH(D619,1)&gt;PREMISSAS!$C$3,"FALSO"),
   DATE(YEAR(D619)-1,1,31),
   IF(IF(ISTEXT(D619),RIGHT(D619,4)-1=YEAR(RESULTADOS!$C$11),YEAR(D619)-1=YEAR(RESULTADOS!$C$11)),
      IF(LEFT(D619,2)="13",EOMONTH(RESULTADOS!$C$11,0),IF(MONTH(D619)=12,"13º "&amp;YEAR(D619),EOMONTH(D619,1))),
      IF(LEFT(D619,2)="13",DATE(RIGHT(D619,4)-1,1,31),IF(MONTH(D619)=12,"13º "&amp;YEAR(D619),EOMONTH(D619,1)))))))</f>
        <v/>
      </c>
      <c r="E620" s="342"/>
      <c r="F620" s="257"/>
      <c r="I620" s="262" t="str">
        <f ca="1">RESULTADOS!O618</f>
        <v/>
      </c>
      <c r="J620" s="261" t="str">
        <f t="shared" ca="1" si="14"/>
        <v/>
      </c>
      <c r="L620" s="345"/>
    </row>
    <row r="621" spans="4:12" ht="15.6" x14ac:dyDescent="0.3">
      <c r="D621" s="258" t="str">
        <f ca="1">IF(D620="","",
IF(D620="13º "&amp;YEAR(RESULTADOS!$C$11),"",
IF(IFERROR(EOMONTH(D620,1)&gt;PREMISSAS!$C$3,"FALSO"),
   DATE(YEAR(D620)-1,1,31),
   IF(IF(ISTEXT(D620),RIGHT(D620,4)-1=YEAR(RESULTADOS!$C$11),YEAR(D620)-1=YEAR(RESULTADOS!$C$11)),
      IF(LEFT(D620,2)="13",EOMONTH(RESULTADOS!$C$11,0),IF(MONTH(D620)=12,"13º "&amp;YEAR(D620),EOMONTH(D620,1))),
      IF(LEFT(D620,2)="13",DATE(RIGHT(D620,4)-1,1,31),IF(MONTH(D620)=12,"13º "&amp;YEAR(D620),EOMONTH(D620,1)))))))</f>
        <v/>
      </c>
      <c r="E621" s="342"/>
      <c r="F621" s="257"/>
      <c r="I621" s="262" t="str">
        <f ca="1">RESULTADOS!O619</f>
        <v/>
      </c>
      <c r="J621" s="261" t="str">
        <f t="shared" ca="1" si="14"/>
        <v/>
      </c>
      <c r="L621" s="345"/>
    </row>
    <row r="622" spans="4:12" ht="15.6" x14ac:dyDescent="0.3">
      <c r="D622" s="258" t="str">
        <f ca="1">IF(D621="","",
IF(D621="13º "&amp;YEAR(RESULTADOS!$C$11),"",
IF(IFERROR(EOMONTH(D621,1)&gt;PREMISSAS!$C$3,"FALSO"),
   DATE(YEAR(D621)-1,1,31),
   IF(IF(ISTEXT(D621),RIGHT(D621,4)-1=YEAR(RESULTADOS!$C$11),YEAR(D621)-1=YEAR(RESULTADOS!$C$11)),
      IF(LEFT(D621,2)="13",EOMONTH(RESULTADOS!$C$11,0),IF(MONTH(D621)=12,"13º "&amp;YEAR(D621),EOMONTH(D621,1))),
      IF(LEFT(D621,2)="13",DATE(RIGHT(D621,4)-1,1,31),IF(MONTH(D621)=12,"13º "&amp;YEAR(D621),EOMONTH(D621,1)))))))</f>
        <v/>
      </c>
      <c r="E622" s="342"/>
      <c r="F622" s="257"/>
      <c r="I622" s="262" t="str">
        <f ca="1">RESULTADOS!O620</f>
        <v/>
      </c>
      <c r="J622" s="261" t="str">
        <f t="shared" ca="1" si="14"/>
        <v/>
      </c>
      <c r="L622" s="345"/>
    </row>
    <row r="623" spans="4:12" ht="15.6" x14ac:dyDescent="0.3">
      <c r="D623" s="258" t="str">
        <f ca="1">IF(D622="","",
IF(D622="13º "&amp;YEAR(RESULTADOS!$C$11),"",
IF(IFERROR(EOMONTH(D622,1)&gt;PREMISSAS!$C$3,"FALSO"),
   DATE(YEAR(D622)-1,1,31),
   IF(IF(ISTEXT(D622),RIGHT(D622,4)-1=YEAR(RESULTADOS!$C$11),YEAR(D622)-1=YEAR(RESULTADOS!$C$11)),
      IF(LEFT(D622,2)="13",EOMONTH(RESULTADOS!$C$11,0),IF(MONTH(D622)=12,"13º "&amp;YEAR(D622),EOMONTH(D622,1))),
      IF(LEFT(D622,2)="13",DATE(RIGHT(D622,4)-1,1,31),IF(MONTH(D622)=12,"13º "&amp;YEAR(D622),EOMONTH(D622,1)))))))</f>
        <v/>
      </c>
      <c r="E623" s="342"/>
      <c r="F623" s="257"/>
      <c r="I623" s="262" t="str">
        <f ca="1">RESULTADOS!O621</f>
        <v/>
      </c>
      <c r="J623" s="261" t="str">
        <f t="shared" ca="1" si="14"/>
        <v/>
      </c>
      <c r="L623" s="345"/>
    </row>
    <row r="624" spans="4:12" ht="15.6" x14ac:dyDescent="0.3">
      <c r="D624" s="258" t="str">
        <f ca="1">IF(D623="","",
IF(D623="13º "&amp;YEAR(RESULTADOS!$C$11),"",
IF(IFERROR(EOMONTH(D623,1)&gt;PREMISSAS!$C$3,"FALSO"),
   DATE(YEAR(D623)-1,1,31),
   IF(IF(ISTEXT(D623),RIGHT(D623,4)-1=YEAR(RESULTADOS!$C$11),YEAR(D623)-1=YEAR(RESULTADOS!$C$11)),
      IF(LEFT(D623,2)="13",EOMONTH(RESULTADOS!$C$11,0),IF(MONTH(D623)=12,"13º "&amp;YEAR(D623),EOMONTH(D623,1))),
      IF(LEFT(D623,2)="13",DATE(RIGHT(D623,4)-1,1,31),IF(MONTH(D623)=12,"13º "&amp;YEAR(D623),EOMONTH(D623,1)))))))</f>
        <v/>
      </c>
      <c r="E624" s="342"/>
      <c r="F624" s="257"/>
      <c r="I624" s="262" t="str">
        <f ca="1">RESULTADOS!O622</f>
        <v/>
      </c>
      <c r="J624" s="261" t="str">
        <f t="shared" ca="1" si="14"/>
        <v/>
      </c>
      <c r="L624" s="345"/>
    </row>
    <row r="625" spans="4:12" ht="15.6" x14ac:dyDescent="0.3">
      <c r="D625" s="258" t="str">
        <f ca="1">IF(D624="","",
IF(D624="13º "&amp;YEAR(RESULTADOS!$C$11),"",
IF(IFERROR(EOMONTH(D624,1)&gt;PREMISSAS!$C$3,"FALSO"),
   DATE(YEAR(D624)-1,1,31),
   IF(IF(ISTEXT(D624),RIGHT(D624,4)-1=YEAR(RESULTADOS!$C$11),YEAR(D624)-1=YEAR(RESULTADOS!$C$11)),
      IF(LEFT(D624,2)="13",EOMONTH(RESULTADOS!$C$11,0),IF(MONTH(D624)=12,"13º "&amp;YEAR(D624),EOMONTH(D624,1))),
      IF(LEFT(D624,2)="13",DATE(RIGHT(D624,4)-1,1,31),IF(MONTH(D624)=12,"13º "&amp;YEAR(D624),EOMONTH(D624,1)))))))</f>
        <v/>
      </c>
      <c r="E625" s="342"/>
      <c r="F625" s="257"/>
      <c r="I625" s="262" t="str">
        <f ca="1">RESULTADOS!O623</f>
        <v/>
      </c>
      <c r="J625" s="261" t="str">
        <f t="shared" ca="1" si="14"/>
        <v/>
      </c>
      <c r="L625" s="345"/>
    </row>
    <row r="626" spans="4:12" ht="15.6" x14ac:dyDescent="0.3">
      <c r="D626" s="258" t="str">
        <f ca="1">IF(D625="","",
IF(D625="13º "&amp;YEAR(RESULTADOS!$C$11),"",
IF(IFERROR(EOMONTH(D625,1)&gt;PREMISSAS!$C$3,"FALSO"),
   DATE(YEAR(D625)-1,1,31),
   IF(IF(ISTEXT(D625),RIGHT(D625,4)-1=YEAR(RESULTADOS!$C$11),YEAR(D625)-1=YEAR(RESULTADOS!$C$11)),
      IF(LEFT(D625,2)="13",EOMONTH(RESULTADOS!$C$11,0),IF(MONTH(D625)=12,"13º "&amp;YEAR(D625),EOMONTH(D625,1))),
      IF(LEFT(D625,2)="13",DATE(RIGHT(D625,4)-1,1,31),IF(MONTH(D625)=12,"13º "&amp;YEAR(D625),EOMONTH(D625,1)))))))</f>
        <v/>
      </c>
      <c r="E626" s="342"/>
      <c r="F626" s="257"/>
      <c r="I626" s="262" t="str">
        <f ca="1">RESULTADOS!O624</f>
        <v/>
      </c>
      <c r="J626" s="261" t="str">
        <f t="shared" ca="1" si="14"/>
        <v/>
      </c>
      <c r="L626" s="345"/>
    </row>
    <row r="627" spans="4:12" ht="15.6" x14ac:dyDescent="0.3">
      <c r="D627" s="258" t="str">
        <f ca="1">IF(D626="","",
IF(D626="13º "&amp;YEAR(RESULTADOS!$C$11),"",
IF(IFERROR(EOMONTH(D626,1)&gt;PREMISSAS!$C$3,"FALSO"),
   DATE(YEAR(D626)-1,1,31),
   IF(IF(ISTEXT(D626),RIGHT(D626,4)-1=YEAR(RESULTADOS!$C$11),YEAR(D626)-1=YEAR(RESULTADOS!$C$11)),
      IF(LEFT(D626,2)="13",EOMONTH(RESULTADOS!$C$11,0),IF(MONTH(D626)=12,"13º "&amp;YEAR(D626),EOMONTH(D626,1))),
      IF(LEFT(D626,2)="13",DATE(RIGHT(D626,4)-1,1,31),IF(MONTH(D626)=12,"13º "&amp;YEAR(D626),EOMONTH(D626,1)))))))</f>
        <v/>
      </c>
      <c r="E627" s="342"/>
      <c r="F627" s="257"/>
      <c r="I627" s="262" t="str">
        <f ca="1">RESULTADOS!O625</f>
        <v/>
      </c>
      <c r="J627" s="261" t="str">
        <f t="shared" ca="1" si="14"/>
        <v/>
      </c>
      <c r="L627" s="345"/>
    </row>
    <row r="628" spans="4:12" ht="15.6" x14ac:dyDescent="0.3">
      <c r="D628" s="258" t="str">
        <f ca="1">IF(D627="","",
IF(D627="13º "&amp;YEAR(RESULTADOS!$C$11),"",
IF(IFERROR(EOMONTH(D627,1)&gt;PREMISSAS!$C$3,"FALSO"),
   DATE(YEAR(D627)-1,1,31),
   IF(IF(ISTEXT(D627),RIGHT(D627,4)-1=YEAR(RESULTADOS!$C$11),YEAR(D627)-1=YEAR(RESULTADOS!$C$11)),
      IF(LEFT(D627,2)="13",EOMONTH(RESULTADOS!$C$11,0),IF(MONTH(D627)=12,"13º "&amp;YEAR(D627),EOMONTH(D627,1))),
      IF(LEFT(D627,2)="13",DATE(RIGHT(D627,4)-1,1,31),IF(MONTH(D627)=12,"13º "&amp;YEAR(D627),EOMONTH(D627,1)))))))</f>
        <v/>
      </c>
      <c r="E628" s="342"/>
      <c r="F628" s="257"/>
      <c r="I628" s="262" t="str">
        <f ca="1">RESULTADOS!O626</f>
        <v/>
      </c>
      <c r="J628" s="261" t="str">
        <f t="shared" ca="1" si="14"/>
        <v/>
      </c>
      <c r="L628" s="345"/>
    </row>
    <row r="629" spans="4:12" ht="15.6" x14ac:dyDescent="0.3">
      <c r="D629" s="258" t="str">
        <f ca="1">IF(D628="","",
IF(D628="13º "&amp;YEAR(RESULTADOS!$C$11),"",
IF(IFERROR(EOMONTH(D628,1)&gt;PREMISSAS!$C$3,"FALSO"),
   DATE(YEAR(D628)-1,1,31),
   IF(IF(ISTEXT(D628),RIGHT(D628,4)-1=YEAR(RESULTADOS!$C$11),YEAR(D628)-1=YEAR(RESULTADOS!$C$11)),
      IF(LEFT(D628,2)="13",EOMONTH(RESULTADOS!$C$11,0),IF(MONTH(D628)=12,"13º "&amp;YEAR(D628),EOMONTH(D628,1))),
      IF(LEFT(D628,2)="13",DATE(RIGHT(D628,4)-1,1,31),IF(MONTH(D628)=12,"13º "&amp;YEAR(D628),EOMONTH(D628,1)))))))</f>
        <v/>
      </c>
      <c r="E629" s="342"/>
      <c r="F629" s="257"/>
      <c r="I629" s="262" t="str">
        <f ca="1">RESULTADOS!O627</f>
        <v/>
      </c>
      <c r="J629" s="261" t="str">
        <f t="shared" ca="1" si="14"/>
        <v/>
      </c>
      <c r="L629" s="345"/>
    </row>
    <row r="630" spans="4:12" ht="15.6" x14ac:dyDescent="0.3">
      <c r="D630" s="258" t="str">
        <f ca="1">IF(D629="","",
IF(D629="13º "&amp;YEAR(RESULTADOS!$C$11),"",
IF(IFERROR(EOMONTH(D629,1)&gt;PREMISSAS!$C$3,"FALSO"),
   DATE(YEAR(D629)-1,1,31),
   IF(IF(ISTEXT(D629),RIGHT(D629,4)-1=YEAR(RESULTADOS!$C$11),YEAR(D629)-1=YEAR(RESULTADOS!$C$11)),
      IF(LEFT(D629,2)="13",EOMONTH(RESULTADOS!$C$11,0),IF(MONTH(D629)=12,"13º "&amp;YEAR(D629),EOMONTH(D629,1))),
      IF(LEFT(D629,2)="13",DATE(RIGHT(D629,4)-1,1,31),IF(MONTH(D629)=12,"13º "&amp;YEAR(D629),EOMONTH(D629,1)))))))</f>
        <v/>
      </c>
      <c r="E630" s="342"/>
      <c r="F630" s="257"/>
      <c r="I630" s="262" t="str">
        <f ca="1">RESULTADOS!O628</f>
        <v/>
      </c>
      <c r="J630" s="261" t="str">
        <f t="shared" ca="1" si="14"/>
        <v/>
      </c>
      <c r="L630" s="345"/>
    </row>
    <row r="631" spans="4:12" ht="15.6" x14ac:dyDescent="0.3">
      <c r="D631" s="258" t="str">
        <f ca="1">IF(D630="","",
IF(D630="13º "&amp;YEAR(RESULTADOS!$C$11),"",
IF(IFERROR(EOMONTH(D630,1)&gt;PREMISSAS!$C$3,"FALSO"),
   DATE(YEAR(D630)-1,1,31),
   IF(IF(ISTEXT(D630),RIGHT(D630,4)-1=YEAR(RESULTADOS!$C$11),YEAR(D630)-1=YEAR(RESULTADOS!$C$11)),
      IF(LEFT(D630,2)="13",EOMONTH(RESULTADOS!$C$11,0),IF(MONTH(D630)=12,"13º "&amp;YEAR(D630),EOMONTH(D630,1))),
      IF(LEFT(D630,2)="13",DATE(RIGHT(D630,4)-1,1,31),IF(MONTH(D630)=12,"13º "&amp;YEAR(D630),EOMONTH(D630,1)))))))</f>
        <v/>
      </c>
      <c r="E631" s="342"/>
      <c r="F631" s="257"/>
      <c r="I631" s="262" t="str">
        <f ca="1">RESULTADOS!O629</f>
        <v/>
      </c>
      <c r="J631" s="261" t="str">
        <f t="shared" ca="1" si="14"/>
        <v/>
      </c>
      <c r="L631" s="345"/>
    </row>
    <row r="632" spans="4:12" ht="15.6" x14ac:dyDescent="0.3">
      <c r="D632" s="258" t="str">
        <f ca="1">IF(D631="","",
IF(D631="13º "&amp;YEAR(RESULTADOS!$C$11),"",
IF(IFERROR(EOMONTH(D631,1)&gt;PREMISSAS!$C$3,"FALSO"),
   DATE(YEAR(D631)-1,1,31),
   IF(IF(ISTEXT(D631),RIGHT(D631,4)-1=YEAR(RESULTADOS!$C$11),YEAR(D631)-1=YEAR(RESULTADOS!$C$11)),
      IF(LEFT(D631,2)="13",EOMONTH(RESULTADOS!$C$11,0),IF(MONTH(D631)=12,"13º "&amp;YEAR(D631),EOMONTH(D631,1))),
      IF(LEFT(D631,2)="13",DATE(RIGHT(D631,4)-1,1,31),IF(MONTH(D631)=12,"13º "&amp;YEAR(D631),EOMONTH(D631,1)))))))</f>
        <v/>
      </c>
      <c r="E632" s="342"/>
      <c r="F632" s="257"/>
      <c r="I632" s="262" t="str">
        <f ca="1">RESULTADOS!O630</f>
        <v/>
      </c>
      <c r="J632" s="261" t="str">
        <f t="shared" ca="1" si="14"/>
        <v/>
      </c>
      <c r="L632" s="345"/>
    </row>
    <row r="633" spans="4:12" ht="15.6" x14ac:dyDescent="0.3">
      <c r="D633" s="258" t="str">
        <f ca="1">IF(D632="","",
IF(D632="13º "&amp;YEAR(RESULTADOS!$C$11),"",
IF(IFERROR(EOMONTH(D632,1)&gt;PREMISSAS!$C$3,"FALSO"),
   DATE(YEAR(D632)-1,1,31),
   IF(IF(ISTEXT(D632),RIGHT(D632,4)-1=YEAR(RESULTADOS!$C$11),YEAR(D632)-1=YEAR(RESULTADOS!$C$11)),
      IF(LEFT(D632,2)="13",EOMONTH(RESULTADOS!$C$11,0),IF(MONTH(D632)=12,"13º "&amp;YEAR(D632),EOMONTH(D632,1))),
      IF(LEFT(D632,2)="13",DATE(RIGHT(D632,4)-1,1,31),IF(MONTH(D632)=12,"13º "&amp;YEAR(D632),EOMONTH(D632,1)))))))</f>
        <v/>
      </c>
      <c r="E633" s="342"/>
      <c r="F633" s="257"/>
      <c r="I633" s="262" t="str">
        <f ca="1">RESULTADOS!O631</f>
        <v/>
      </c>
      <c r="J633" s="261" t="str">
        <f t="shared" ca="1" si="14"/>
        <v/>
      </c>
      <c r="L633" s="345"/>
    </row>
    <row r="634" spans="4:12" ht="15.6" x14ac:dyDescent="0.3">
      <c r="D634" s="258" t="str">
        <f ca="1">IF(D633="","",
IF(D633="13º "&amp;YEAR(RESULTADOS!$C$11),"",
IF(IFERROR(EOMONTH(D633,1)&gt;PREMISSAS!$C$3,"FALSO"),
   DATE(YEAR(D633)-1,1,31),
   IF(IF(ISTEXT(D633),RIGHT(D633,4)-1=YEAR(RESULTADOS!$C$11),YEAR(D633)-1=YEAR(RESULTADOS!$C$11)),
      IF(LEFT(D633,2)="13",EOMONTH(RESULTADOS!$C$11,0),IF(MONTH(D633)=12,"13º "&amp;YEAR(D633),EOMONTH(D633,1))),
      IF(LEFT(D633,2)="13",DATE(RIGHT(D633,4)-1,1,31),IF(MONTH(D633)=12,"13º "&amp;YEAR(D633),EOMONTH(D633,1)))))))</f>
        <v/>
      </c>
      <c r="E634" s="342"/>
      <c r="F634" s="257"/>
      <c r="I634" s="262" t="str">
        <f ca="1">RESULTADOS!O632</f>
        <v/>
      </c>
      <c r="J634" s="261" t="str">
        <f t="shared" ca="1" si="14"/>
        <v/>
      </c>
      <c r="L634" s="345"/>
    </row>
    <row r="635" spans="4:12" ht="15.6" x14ac:dyDescent="0.3">
      <c r="D635" s="258" t="str">
        <f ca="1">IF(D634="","",
IF(D634="13º "&amp;YEAR(RESULTADOS!$C$11),"",
IF(IFERROR(EOMONTH(D634,1)&gt;PREMISSAS!$C$3,"FALSO"),
   DATE(YEAR(D634)-1,1,31),
   IF(IF(ISTEXT(D634),RIGHT(D634,4)-1=YEAR(RESULTADOS!$C$11),YEAR(D634)-1=YEAR(RESULTADOS!$C$11)),
      IF(LEFT(D634,2)="13",EOMONTH(RESULTADOS!$C$11,0),IF(MONTH(D634)=12,"13º "&amp;YEAR(D634),EOMONTH(D634,1))),
      IF(LEFT(D634,2)="13",DATE(RIGHT(D634,4)-1,1,31),IF(MONTH(D634)=12,"13º "&amp;YEAR(D634),EOMONTH(D634,1)))))))</f>
        <v/>
      </c>
      <c r="E635" s="342"/>
      <c r="F635" s="257"/>
      <c r="I635" s="262" t="str">
        <f ca="1">RESULTADOS!O633</f>
        <v/>
      </c>
      <c r="J635" s="261" t="str">
        <f t="shared" ca="1" si="14"/>
        <v/>
      </c>
      <c r="L635" s="345"/>
    </row>
    <row r="636" spans="4:12" ht="15.6" x14ac:dyDescent="0.3">
      <c r="D636" s="258" t="str">
        <f ca="1">IF(D635="","",
IF(D635="13º "&amp;YEAR(RESULTADOS!$C$11),"",
IF(IFERROR(EOMONTH(D635,1)&gt;PREMISSAS!$C$3,"FALSO"),
   DATE(YEAR(D635)-1,1,31),
   IF(IF(ISTEXT(D635),RIGHT(D635,4)-1=YEAR(RESULTADOS!$C$11),YEAR(D635)-1=YEAR(RESULTADOS!$C$11)),
      IF(LEFT(D635,2)="13",EOMONTH(RESULTADOS!$C$11,0),IF(MONTH(D635)=12,"13º "&amp;YEAR(D635),EOMONTH(D635,1))),
      IF(LEFT(D635,2)="13",DATE(RIGHT(D635,4)-1,1,31),IF(MONTH(D635)=12,"13º "&amp;YEAR(D635),EOMONTH(D635,1)))))))</f>
        <v/>
      </c>
      <c r="E636" s="342"/>
      <c r="F636" s="257"/>
      <c r="I636" s="262" t="str">
        <f ca="1">RESULTADOS!O634</f>
        <v/>
      </c>
      <c r="J636" s="261" t="str">
        <f t="shared" ca="1" si="14"/>
        <v/>
      </c>
      <c r="L636" s="345"/>
    </row>
    <row r="637" spans="4:12" ht="15.6" x14ac:dyDescent="0.3">
      <c r="D637" s="258" t="str">
        <f ca="1">IF(D636="","",
IF(D636="13º "&amp;YEAR(RESULTADOS!$C$11),"",
IF(IFERROR(EOMONTH(D636,1)&gt;PREMISSAS!$C$3,"FALSO"),
   DATE(YEAR(D636)-1,1,31),
   IF(IF(ISTEXT(D636),RIGHT(D636,4)-1=YEAR(RESULTADOS!$C$11),YEAR(D636)-1=YEAR(RESULTADOS!$C$11)),
      IF(LEFT(D636,2)="13",EOMONTH(RESULTADOS!$C$11,0),IF(MONTH(D636)=12,"13º "&amp;YEAR(D636),EOMONTH(D636,1))),
      IF(LEFT(D636,2)="13",DATE(RIGHT(D636,4)-1,1,31),IF(MONTH(D636)=12,"13º "&amp;YEAR(D636),EOMONTH(D636,1)))))))</f>
        <v/>
      </c>
      <c r="E637" s="342"/>
      <c r="F637" s="257"/>
      <c r="I637" s="262" t="str">
        <f ca="1">RESULTADOS!O635</f>
        <v/>
      </c>
      <c r="J637" s="261" t="str">
        <f t="shared" ca="1" si="14"/>
        <v/>
      </c>
      <c r="L637" s="345"/>
    </row>
    <row r="638" spans="4:12" ht="15.6" x14ac:dyDescent="0.3">
      <c r="D638" s="258" t="str">
        <f ca="1">IF(D637="","",
IF(D637="13º "&amp;YEAR(RESULTADOS!$C$11),"",
IF(IFERROR(EOMONTH(D637,1)&gt;PREMISSAS!$C$3,"FALSO"),
   DATE(YEAR(D637)-1,1,31),
   IF(IF(ISTEXT(D637),RIGHT(D637,4)-1=YEAR(RESULTADOS!$C$11),YEAR(D637)-1=YEAR(RESULTADOS!$C$11)),
      IF(LEFT(D637,2)="13",EOMONTH(RESULTADOS!$C$11,0),IF(MONTH(D637)=12,"13º "&amp;YEAR(D637),EOMONTH(D637,1))),
      IF(LEFT(D637,2)="13",DATE(RIGHT(D637,4)-1,1,31),IF(MONTH(D637)=12,"13º "&amp;YEAR(D637),EOMONTH(D637,1)))))))</f>
        <v/>
      </c>
      <c r="E638" s="342"/>
      <c r="F638" s="257"/>
      <c r="I638" s="262" t="str">
        <f ca="1">RESULTADOS!O636</f>
        <v/>
      </c>
      <c r="J638" s="261" t="str">
        <f t="shared" ca="1" si="14"/>
        <v/>
      </c>
      <c r="L638" s="345"/>
    </row>
    <row r="639" spans="4:12" ht="15.6" x14ac:dyDescent="0.3">
      <c r="D639" s="258" t="str">
        <f ca="1">IF(D638="","",
IF(D638="13º "&amp;YEAR(RESULTADOS!$C$11),"",
IF(IFERROR(EOMONTH(D638,1)&gt;PREMISSAS!$C$3,"FALSO"),
   DATE(YEAR(D638)-1,1,31),
   IF(IF(ISTEXT(D638),RIGHT(D638,4)-1=YEAR(RESULTADOS!$C$11),YEAR(D638)-1=YEAR(RESULTADOS!$C$11)),
      IF(LEFT(D638,2)="13",EOMONTH(RESULTADOS!$C$11,0),IF(MONTH(D638)=12,"13º "&amp;YEAR(D638),EOMONTH(D638,1))),
      IF(LEFT(D638,2)="13",DATE(RIGHT(D638,4)-1,1,31),IF(MONTH(D638)=12,"13º "&amp;YEAR(D638),EOMONTH(D638,1)))))))</f>
        <v/>
      </c>
      <c r="E639" s="342"/>
      <c r="F639" s="257"/>
      <c r="I639" s="262" t="str">
        <f ca="1">RESULTADOS!O637</f>
        <v/>
      </c>
      <c r="J639" s="261" t="str">
        <f t="shared" ca="1" si="14"/>
        <v/>
      </c>
      <c r="L639" s="345"/>
    </row>
    <row r="640" spans="4:12" ht="15.6" x14ac:dyDescent="0.3">
      <c r="D640" s="258" t="str">
        <f ca="1">IF(D639="","",
IF(D639="13º "&amp;YEAR(RESULTADOS!$C$11),"",
IF(IFERROR(EOMONTH(D639,1)&gt;PREMISSAS!$C$3,"FALSO"),
   DATE(YEAR(D639)-1,1,31),
   IF(IF(ISTEXT(D639),RIGHT(D639,4)-1=YEAR(RESULTADOS!$C$11),YEAR(D639)-1=YEAR(RESULTADOS!$C$11)),
      IF(LEFT(D639,2)="13",EOMONTH(RESULTADOS!$C$11,0),IF(MONTH(D639)=12,"13º "&amp;YEAR(D639),EOMONTH(D639,1))),
      IF(LEFT(D639,2)="13",DATE(RIGHT(D639,4)-1,1,31),IF(MONTH(D639)=12,"13º "&amp;YEAR(D639),EOMONTH(D639,1)))))))</f>
        <v/>
      </c>
      <c r="E640" s="342"/>
      <c r="F640" s="257"/>
      <c r="I640" s="262" t="str">
        <f ca="1">RESULTADOS!O638</f>
        <v/>
      </c>
      <c r="J640" s="261" t="str">
        <f t="shared" ca="1" si="14"/>
        <v/>
      </c>
      <c r="L640" s="345"/>
    </row>
    <row r="641" spans="4:12" ht="15.6" x14ac:dyDescent="0.3">
      <c r="D641" s="258" t="str">
        <f ca="1">IF(D640="","",
IF(D640="13º "&amp;YEAR(RESULTADOS!$C$11),"",
IF(IFERROR(EOMONTH(D640,1)&gt;PREMISSAS!$C$3,"FALSO"),
   DATE(YEAR(D640)-1,1,31),
   IF(IF(ISTEXT(D640),RIGHT(D640,4)-1=YEAR(RESULTADOS!$C$11),YEAR(D640)-1=YEAR(RESULTADOS!$C$11)),
      IF(LEFT(D640,2)="13",EOMONTH(RESULTADOS!$C$11,0),IF(MONTH(D640)=12,"13º "&amp;YEAR(D640),EOMONTH(D640,1))),
      IF(LEFT(D640,2)="13",DATE(RIGHT(D640,4)-1,1,31),IF(MONTH(D640)=12,"13º "&amp;YEAR(D640),EOMONTH(D640,1)))))))</f>
        <v/>
      </c>
      <c r="E641" s="342"/>
      <c r="F641" s="257"/>
      <c r="I641" s="262" t="str">
        <f ca="1">RESULTADOS!O639</f>
        <v/>
      </c>
      <c r="J641" s="261" t="str">
        <f t="shared" ca="1" si="14"/>
        <v/>
      </c>
      <c r="L641" s="345"/>
    </row>
    <row r="642" spans="4:12" ht="15.6" x14ac:dyDescent="0.3">
      <c r="D642" s="258" t="str">
        <f ca="1">IF(D641="","",
IF(D641="13º "&amp;YEAR(RESULTADOS!$C$11),"",
IF(IFERROR(EOMONTH(D641,1)&gt;PREMISSAS!$C$3,"FALSO"),
   DATE(YEAR(D641)-1,1,31),
   IF(IF(ISTEXT(D641),RIGHT(D641,4)-1=YEAR(RESULTADOS!$C$11),YEAR(D641)-1=YEAR(RESULTADOS!$C$11)),
      IF(LEFT(D641,2)="13",EOMONTH(RESULTADOS!$C$11,0),IF(MONTH(D641)=12,"13º "&amp;YEAR(D641),EOMONTH(D641,1))),
      IF(LEFT(D641,2)="13",DATE(RIGHT(D641,4)-1,1,31),IF(MONTH(D641)=12,"13º "&amp;YEAR(D641),EOMONTH(D641,1)))))))</f>
        <v/>
      </c>
      <c r="E642" s="342"/>
      <c r="F642" s="257"/>
      <c r="I642" s="262" t="str">
        <f ca="1">RESULTADOS!O640</f>
        <v/>
      </c>
      <c r="J642" s="261" t="str">
        <f t="shared" ca="1" si="14"/>
        <v/>
      </c>
      <c r="L642" s="345"/>
    </row>
    <row r="643" spans="4:12" ht="15.6" x14ac:dyDescent="0.3">
      <c r="D643" s="258" t="str">
        <f ca="1">IF(D642="","",
IF(D642="13º "&amp;YEAR(RESULTADOS!$C$11),"",
IF(IFERROR(EOMONTH(D642,1)&gt;PREMISSAS!$C$3,"FALSO"),
   DATE(YEAR(D642)-1,1,31),
   IF(IF(ISTEXT(D642),RIGHT(D642,4)-1=YEAR(RESULTADOS!$C$11),YEAR(D642)-1=YEAR(RESULTADOS!$C$11)),
      IF(LEFT(D642,2)="13",EOMONTH(RESULTADOS!$C$11,0),IF(MONTH(D642)=12,"13º "&amp;YEAR(D642),EOMONTH(D642,1))),
      IF(LEFT(D642,2)="13",DATE(RIGHT(D642,4)-1,1,31),IF(MONTH(D642)=12,"13º "&amp;YEAR(D642),EOMONTH(D642,1)))))))</f>
        <v/>
      </c>
      <c r="E643" s="342"/>
      <c r="F643" s="257"/>
      <c r="I643" s="262" t="str">
        <f ca="1">RESULTADOS!O641</f>
        <v/>
      </c>
      <c r="J643" s="261" t="str">
        <f t="shared" ca="1" si="14"/>
        <v/>
      </c>
      <c r="L643" s="345"/>
    </row>
    <row r="644" spans="4:12" ht="15.6" x14ac:dyDescent="0.3">
      <c r="D644" s="258" t="str">
        <f ca="1">IF(D643="","",
IF(D643="13º "&amp;YEAR(RESULTADOS!$C$11),"",
IF(IFERROR(EOMONTH(D643,1)&gt;PREMISSAS!$C$3,"FALSO"),
   DATE(YEAR(D643)-1,1,31),
   IF(IF(ISTEXT(D643),RIGHT(D643,4)-1=YEAR(RESULTADOS!$C$11),YEAR(D643)-1=YEAR(RESULTADOS!$C$11)),
      IF(LEFT(D643,2)="13",EOMONTH(RESULTADOS!$C$11,0),IF(MONTH(D643)=12,"13º "&amp;YEAR(D643),EOMONTH(D643,1))),
      IF(LEFT(D643,2)="13",DATE(RIGHT(D643,4)-1,1,31),IF(MONTH(D643)=12,"13º "&amp;YEAR(D643),EOMONTH(D643,1)))))))</f>
        <v/>
      </c>
      <c r="E644" s="342"/>
      <c r="F644" s="257"/>
      <c r="I644" s="262" t="str">
        <f ca="1">RESULTADOS!O642</f>
        <v/>
      </c>
      <c r="J644" s="261" t="str">
        <f t="shared" ca="1" si="14"/>
        <v/>
      </c>
      <c r="L644" s="345"/>
    </row>
    <row r="645" spans="4:12" ht="15.6" x14ac:dyDescent="0.3">
      <c r="D645" s="258" t="str">
        <f ca="1">IF(D644="","",
IF(D644="13º "&amp;YEAR(RESULTADOS!$C$11),"",
IF(IFERROR(EOMONTH(D644,1)&gt;PREMISSAS!$C$3,"FALSO"),
   DATE(YEAR(D644)-1,1,31),
   IF(IF(ISTEXT(D644),RIGHT(D644,4)-1=YEAR(RESULTADOS!$C$11),YEAR(D644)-1=YEAR(RESULTADOS!$C$11)),
      IF(LEFT(D644,2)="13",EOMONTH(RESULTADOS!$C$11,0),IF(MONTH(D644)=12,"13º "&amp;YEAR(D644),EOMONTH(D644,1))),
      IF(LEFT(D644,2)="13",DATE(RIGHT(D644,4)-1,1,31),IF(MONTH(D644)=12,"13º "&amp;YEAR(D644),EOMONTH(D644,1)))))))</f>
        <v/>
      </c>
      <c r="E645" s="342"/>
      <c r="F645" s="257"/>
      <c r="I645" s="262" t="str">
        <f ca="1">RESULTADOS!O643</f>
        <v/>
      </c>
      <c r="J645" s="261" t="str">
        <f t="shared" ca="1" si="14"/>
        <v/>
      </c>
      <c r="L645" s="345"/>
    </row>
    <row r="646" spans="4:12" ht="15.6" x14ac:dyDescent="0.3">
      <c r="D646" s="258" t="str">
        <f ca="1">IF(D645="","",
IF(D645="13º "&amp;YEAR(RESULTADOS!$C$11),"",
IF(IFERROR(EOMONTH(D645,1)&gt;PREMISSAS!$C$3,"FALSO"),
   DATE(YEAR(D645)-1,1,31),
   IF(IF(ISTEXT(D645),RIGHT(D645,4)-1=YEAR(RESULTADOS!$C$11),YEAR(D645)-1=YEAR(RESULTADOS!$C$11)),
      IF(LEFT(D645,2)="13",EOMONTH(RESULTADOS!$C$11,0),IF(MONTH(D645)=12,"13º "&amp;YEAR(D645),EOMONTH(D645,1))),
      IF(LEFT(D645,2)="13",DATE(RIGHT(D645,4)-1,1,31),IF(MONTH(D645)=12,"13º "&amp;YEAR(D645),EOMONTH(D645,1)))))))</f>
        <v/>
      </c>
      <c r="E646" s="342"/>
      <c r="F646" s="257"/>
      <c r="I646" s="262" t="str">
        <f ca="1">RESULTADOS!O644</f>
        <v/>
      </c>
      <c r="J646" s="261" t="str">
        <f t="shared" ca="1" si="14"/>
        <v/>
      </c>
      <c r="L646" s="345"/>
    </row>
    <row r="647" spans="4:12" ht="15.6" x14ac:dyDescent="0.3">
      <c r="D647" s="258" t="str">
        <f ca="1">IF(D646="","",
IF(D646="13º "&amp;YEAR(RESULTADOS!$C$11),"",
IF(IFERROR(EOMONTH(D646,1)&gt;PREMISSAS!$C$3,"FALSO"),
   DATE(YEAR(D646)-1,1,31),
   IF(IF(ISTEXT(D646),RIGHT(D646,4)-1=YEAR(RESULTADOS!$C$11),YEAR(D646)-1=YEAR(RESULTADOS!$C$11)),
      IF(LEFT(D646,2)="13",EOMONTH(RESULTADOS!$C$11,0),IF(MONTH(D646)=12,"13º "&amp;YEAR(D646),EOMONTH(D646,1))),
      IF(LEFT(D646,2)="13",DATE(RIGHT(D646,4)-1,1,31),IF(MONTH(D646)=12,"13º "&amp;YEAR(D646),EOMONTH(D646,1)))))))</f>
        <v/>
      </c>
      <c r="E647" s="342"/>
      <c r="F647" s="257"/>
      <c r="I647" s="262" t="str">
        <f ca="1">RESULTADOS!O645</f>
        <v/>
      </c>
      <c r="J647" s="261" t="str">
        <f t="shared" ca="1" si="14"/>
        <v/>
      </c>
      <c r="L647" s="345"/>
    </row>
    <row r="648" spans="4:12" ht="15.6" x14ac:dyDescent="0.3">
      <c r="D648" s="258" t="str">
        <f ca="1">IF(D647="","",
IF(D647="13º "&amp;YEAR(RESULTADOS!$C$11),"",
IF(IFERROR(EOMONTH(D647,1)&gt;PREMISSAS!$C$3,"FALSO"),
   DATE(YEAR(D647)-1,1,31),
   IF(IF(ISTEXT(D647),RIGHT(D647,4)-1=YEAR(RESULTADOS!$C$11),YEAR(D647)-1=YEAR(RESULTADOS!$C$11)),
      IF(LEFT(D647,2)="13",EOMONTH(RESULTADOS!$C$11,0),IF(MONTH(D647)=12,"13º "&amp;YEAR(D647),EOMONTH(D647,1))),
      IF(LEFT(D647,2)="13",DATE(RIGHT(D647,4)-1,1,31),IF(MONTH(D647)=12,"13º "&amp;YEAR(D647),EOMONTH(D647,1)))))))</f>
        <v/>
      </c>
      <c r="E648" s="342"/>
      <c r="F648" s="257"/>
      <c r="I648" s="262" t="str">
        <f ca="1">RESULTADOS!O646</f>
        <v/>
      </c>
      <c r="J648" s="261" t="str">
        <f t="shared" ref="J648:J656" ca="1" si="15">IF(I648="","",IFERROR(VLOOKUP(I648,$D$6:$E$656,2,0),""))</f>
        <v/>
      </c>
      <c r="L648" s="345"/>
    </row>
    <row r="649" spans="4:12" ht="15.6" x14ac:dyDescent="0.3">
      <c r="D649" s="258" t="str">
        <f ca="1">IF(D648="","",
IF(D648="13º "&amp;YEAR(RESULTADOS!$C$11),"",
IF(IFERROR(EOMONTH(D648,1)&gt;PREMISSAS!$C$3,"FALSO"),
   DATE(YEAR(D648)-1,1,31),
   IF(IF(ISTEXT(D648),RIGHT(D648,4)-1=YEAR(RESULTADOS!$C$11),YEAR(D648)-1=YEAR(RESULTADOS!$C$11)),
      IF(LEFT(D648,2)="13",EOMONTH(RESULTADOS!$C$11,0),IF(MONTH(D648)=12,"13º "&amp;YEAR(D648),EOMONTH(D648,1))),
      IF(LEFT(D648,2)="13",DATE(RIGHT(D648,4)-1,1,31),IF(MONTH(D648)=12,"13º "&amp;YEAR(D648),EOMONTH(D648,1)))))))</f>
        <v/>
      </c>
      <c r="E649" s="342"/>
      <c r="F649" s="257"/>
      <c r="I649" s="262" t="str">
        <f ca="1">RESULTADOS!O647</f>
        <v/>
      </c>
      <c r="J649" s="261" t="str">
        <f t="shared" ca="1" si="15"/>
        <v/>
      </c>
      <c r="L649" s="345"/>
    </row>
    <row r="650" spans="4:12" ht="15.6" x14ac:dyDescent="0.3">
      <c r="D650" s="258" t="str">
        <f ca="1">IF(D649="","",
IF(D649="13º "&amp;YEAR(RESULTADOS!$C$11),"",
IF(IFERROR(EOMONTH(D649,1)&gt;PREMISSAS!$C$3,"FALSO"),
   DATE(YEAR(D649)-1,1,31),
   IF(IF(ISTEXT(D649),RIGHT(D649,4)-1=YEAR(RESULTADOS!$C$11),YEAR(D649)-1=YEAR(RESULTADOS!$C$11)),
      IF(LEFT(D649,2)="13",EOMONTH(RESULTADOS!$C$11,0),IF(MONTH(D649)=12,"13º "&amp;YEAR(D649),EOMONTH(D649,1))),
      IF(LEFT(D649,2)="13",DATE(RIGHT(D649,4)-1,1,31),IF(MONTH(D649)=12,"13º "&amp;YEAR(D649),EOMONTH(D649,1)))))))</f>
        <v/>
      </c>
      <c r="E650" s="342"/>
      <c r="F650" s="257"/>
      <c r="I650" s="262" t="str">
        <f ca="1">RESULTADOS!O648</f>
        <v/>
      </c>
      <c r="J650" s="261" t="str">
        <f t="shared" ca="1" si="15"/>
        <v/>
      </c>
      <c r="L650" s="345"/>
    </row>
    <row r="651" spans="4:12" ht="15.6" x14ac:dyDescent="0.3">
      <c r="D651" s="258" t="str">
        <f ca="1">IF(D650="","",
IF(D650="13º "&amp;YEAR(RESULTADOS!$C$11),"",
IF(IFERROR(EOMONTH(D650,1)&gt;PREMISSAS!$C$3,"FALSO"),
   DATE(YEAR(D650)-1,1,31),
   IF(IF(ISTEXT(D650),RIGHT(D650,4)-1=YEAR(RESULTADOS!$C$11),YEAR(D650)-1=YEAR(RESULTADOS!$C$11)),
      IF(LEFT(D650,2)="13",EOMONTH(RESULTADOS!$C$11,0),IF(MONTH(D650)=12,"13º "&amp;YEAR(D650),EOMONTH(D650,1))),
      IF(LEFT(D650,2)="13",DATE(RIGHT(D650,4)-1,1,31),IF(MONTH(D650)=12,"13º "&amp;YEAR(D650),EOMONTH(D650,1)))))))</f>
        <v/>
      </c>
      <c r="E651" s="342"/>
      <c r="F651" s="257"/>
      <c r="I651" s="262" t="str">
        <f ca="1">RESULTADOS!O649</f>
        <v/>
      </c>
      <c r="J651" s="261" t="str">
        <f t="shared" ca="1" si="15"/>
        <v/>
      </c>
      <c r="L651" s="345"/>
    </row>
    <row r="652" spans="4:12" ht="15.6" x14ac:dyDescent="0.3">
      <c r="D652" s="258" t="str">
        <f ca="1">IF(D651="","",
IF(D651="13º "&amp;YEAR(RESULTADOS!$C$11),"",
IF(IFERROR(EOMONTH(D651,1)&gt;PREMISSAS!$C$3,"FALSO"),
   DATE(YEAR(D651)-1,1,31),
   IF(IF(ISTEXT(D651),RIGHT(D651,4)-1=YEAR(RESULTADOS!$C$11),YEAR(D651)-1=YEAR(RESULTADOS!$C$11)),
      IF(LEFT(D651,2)="13",EOMONTH(RESULTADOS!$C$11,0),IF(MONTH(D651)=12,"13º "&amp;YEAR(D651),EOMONTH(D651,1))),
      IF(LEFT(D651,2)="13",DATE(RIGHT(D651,4)-1,1,31),IF(MONTH(D651)=12,"13º "&amp;YEAR(D651),EOMONTH(D651,1)))))))</f>
        <v/>
      </c>
      <c r="E652" s="342"/>
      <c r="F652" s="257"/>
      <c r="I652" s="262" t="str">
        <f ca="1">RESULTADOS!O650</f>
        <v/>
      </c>
      <c r="J652" s="261" t="str">
        <f t="shared" ca="1" si="15"/>
        <v/>
      </c>
      <c r="L652" s="345"/>
    </row>
    <row r="653" spans="4:12" ht="15.6" x14ac:dyDescent="0.3">
      <c r="D653" s="258" t="str">
        <f ca="1">IF(D652="","",
IF(D652="13º "&amp;YEAR(RESULTADOS!$C$11),"",
IF(IFERROR(EOMONTH(D652,1)&gt;PREMISSAS!$C$3,"FALSO"),
   DATE(YEAR(D652)-1,1,31),
   IF(IF(ISTEXT(D652),RIGHT(D652,4)-1=YEAR(RESULTADOS!$C$11),YEAR(D652)-1=YEAR(RESULTADOS!$C$11)),
      IF(LEFT(D652,2)="13",EOMONTH(RESULTADOS!$C$11,0),IF(MONTH(D652)=12,"13º "&amp;YEAR(D652),EOMONTH(D652,1))),
      IF(LEFT(D652,2)="13",DATE(RIGHT(D652,4)-1,1,31),IF(MONTH(D652)=12,"13º "&amp;YEAR(D652),EOMONTH(D652,1)))))))</f>
        <v/>
      </c>
      <c r="E653" s="342"/>
      <c r="F653" s="257"/>
      <c r="I653" s="262" t="str">
        <f ca="1">RESULTADOS!O651</f>
        <v/>
      </c>
      <c r="J653" s="261" t="str">
        <f t="shared" ca="1" si="15"/>
        <v/>
      </c>
      <c r="L653" s="345"/>
    </row>
    <row r="654" spans="4:12" ht="15.6" x14ac:dyDescent="0.3">
      <c r="D654" s="258" t="str">
        <f ca="1">IF(D653="","",
IF(D653="13º "&amp;YEAR(RESULTADOS!$C$11),"",
IF(IFERROR(EOMONTH(D653,1)&gt;PREMISSAS!$C$3,"FALSO"),
   DATE(YEAR(D653)-1,1,31),
   IF(IF(ISTEXT(D653),RIGHT(D653,4)-1=YEAR(RESULTADOS!$C$11),YEAR(D653)-1=YEAR(RESULTADOS!$C$11)),
      IF(LEFT(D653,2)="13",EOMONTH(RESULTADOS!$C$11,0),IF(MONTH(D653)=12,"13º "&amp;YEAR(D653),EOMONTH(D653,1))),
      IF(LEFT(D653,2)="13",DATE(RIGHT(D653,4)-1,1,31),IF(MONTH(D653)=12,"13º "&amp;YEAR(D653),EOMONTH(D653,1)))))))</f>
        <v/>
      </c>
      <c r="E654" s="342"/>
      <c r="F654" s="257"/>
      <c r="I654" s="262" t="str">
        <f ca="1">RESULTADOS!O652</f>
        <v/>
      </c>
      <c r="J654" s="261" t="str">
        <f t="shared" ca="1" si="15"/>
        <v/>
      </c>
      <c r="L654" s="345"/>
    </row>
    <row r="655" spans="4:12" ht="15.6" x14ac:dyDescent="0.3">
      <c r="D655" s="258" t="str">
        <f ca="1">IF(D654="","",
IF(D654="13º "&amp;YEAR(RESULTADOS!$C$11),"",
IF(IFERROR(EOMONTH(D654,1)&gt;PREMISSAS!$C$3,"FALSO"),
   DATE(YEAR(D654)-1,1,31),
   IF(IF(ISTEXT(D654),RIGHT(D654,4)-1=YEAR(RESULTADOS!$C$11),YEAR(D654)-1=YEAR(RESULTADOS!$C$11)),
      IF(LEFT(D654,2)="13",EOMONTH(RESULTADOS!$C$11,0),IF(MONTH(D654)=12,"13º "&amp;YEAR(D654),EOMONTH(D654,1))),
      IF(LEFT(D654,2)="13",DATE(RIGHT(D654,4)-1,1,31),IF(MONTH(D654)=12,"13º "&amp;YEAR(D654),EOMONTH(D654,1)))))))</f>
        <v/>
      </c>
      <c r="E655" s="342"/>
      <c r="F655" s="257"/>
      <c r="I655" s="262" t="str">
        <f ca="1">RESULTADOS!O653</f>
        <v/>
      </c>
      <c r="J655" s="261" t="str">
        <f t="shared" ca="1" si="15"/>
        <v/>
      </c>
      <c r="L655" s="345"/>
    </row>
    <row r="656" spans="4:12" ht="15.6" x14ac:dyDescent="0.3">
      <c r="D656" s="258" t="str">
        <f ca="1">IF(D655="","",
IF(D655="13º "&amp;YEAR(RESULTADOS!$C$11),"",
IF(IFERROR(EOMONTH(D655,1)&gt;PREMISSAS!$C$3,"FALSO"),
   DATE(YEAR(D655)-1,1,31),
   IF(IF(ISTEXT(D655),RIGHT(D655,4)-1=YEAR(RESULTADOS!$C$11),YEAR(D655)-1=YEAR(RESULTADOS!$C$11)),
      IF(LEFT(D655,2)="13",EOMONTH(RESULTADOS!$C$11,0),IF(MONTH(D655)=12,"13º "&amp;YEAR(D655),EOMONTH(D655,1))),
      IF(LEFT(D655,2)="13",DATE(RIGHT(D655,4)-1,1,31),IF(MONTH(D655)=12,"13º "&amp;YEAR(D655),EOMONTH(D655,1)))))))</f>
        <v/>
      </c>
      <c r="E656" s="342"/>
      <c r="F656" s="257"/>
      <c r="I656" s="262" t="str">
        <f ca="1">RESULTADOS!O654</f>
        <v/>
      </c>
      <c r="J656" s="261" t="str">
        <f t="shared" ca="1" si="15"/>
        <v/>
      </c>
      <c r="L656" s="345"/>
    </row>
  </sheetData>
  <sheetProtection algorithmName="SHA-512" hashValue="YnYnvgpe2hDWDjD7ew7i1Z6z1EaBj9nR7h1o1WQ1EwPyz6WqrterZGS+hL1N5rQD5iwfy6g+tW9Ybgjs0rV2JQ==" saltValue="2+19k3CAmPPnROTG+Aqm7w==" spinCount="100000" sheet="1" objects="1" scenarios="1"/>
  <autoFilter ref="D6:E656" xr:uid="{00000000-0009-0000-0000-00000E000000}"/>
  <mergeCells count="2">
    <mergeCell ref="E2:F2"/>
    <mergeCell ref="C3:F3"/>
  </mergeCells>
  <dataValidations count="1">
    <dataValidation type="decimal" allowBlank="1" showInputMessage="1" showErrorMessage="1" sqref="E294:E432" xr:uid="{00000000-0002-0000-0E00-000000000000}">
      <formula1>0</formula1>
      <formula2>99999999</formula2>
    </dataValidation>
  </dataValidations>
  <pageMargins left="0.51181102362204722" right="0.51181102362204722" top="0.78740157480314965" bottom="0.78740157480314965" header="0.31496062992125984" footer="0.31496062992125984"/>
  <pageSetup paperSize="9" scale="14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DC53F"/>
  </sheetPr>
  <dimension ref="A1:N20"/>
  <sheetViews>
    <sheetView showGridLines="0" zoomScaleNormal="100" zoomScaleSheetLayoutView="90" workbookViewId="0">
      <selection activeCell="D14" sqref="D14"/>
    </sheetView>
  </sheetViews>
  <sheetFormatPr defaultRowHeight="14.4" x14ac:dyDescent="0.3"/>
  <cols>
    <col min="1" max="2" width="1.5546875" style="170" customWidth="1"/>
    <col min="3" max="4" width="2.88671875" style="170" customWidth="1"/>
    <col min="5" max="5" width="39" style="170" customWidth="1"/>
    <col min="6" max="6" width="14.33203125" style="170" customWidth="1"/>
    <col min="7" max="7" width="1.33203125" style="170" customWidth="1"/>
    <col min="8" max="8" width="14.33203125" style="170" customWidth="1"/>
    <col min="9" max="9" width="1.33203125" style="170" customWidth="1"/>
    <col min="10" max="10" width="23.5546875" style="170" customWidth="1"/>
    <col min="11" max="11" width="1.33203125" style="170" customWidth="1"/>
    <col min="12" max="12" width="24.5546875" style="170" customWidth="1"/>
    <col min="13" max="13" width="1.5546875" style="170" customWidth="1"/>
  </cols>
  <sheetData>
    <row r="1" spans="1:14" ht="9" customHeight="1" x14ac:dyDescent="0.3">
      <c r="N1" s="170"/>
    </row>
    <row r="2" spans="1:14" x14ac:dyDescent="0.3">
      <c r="A2" s="167"/>
      <c r="B2" s="168"/>
      <c r="C2" s="395"/>
      <c r="D2" s="395"/>
      <c r="E2" s="395"/>
      <c r="F2" s="395"/>
      <c r="G2" s="395"/>
      <c r="H2" s="395"/>
      <c r="I2" s="395"/>
      <c r="J2" s="395"/>
      <c r="K2" s="299"/>
      <c r="L2" s="299"/>
      <c r="M2" s="169"/>
      <c r="N2" s="167"/>
    </row>
    <row r="3" spans="1:14" ht="82.5" customHeight="1" x14ac:dyDescent="0.3">
      <c r="A3" s="167"/>
      <c r="B3" s="171"/>
      <c r="C3" s="396"/>
      <c r="D3" s="396"/>
      <c r="E3" s="396"/>
      <c r="F3" s="396"/>
      <c r="G3" s="396"/>
      <c r="H3" s="396"/>
      <c r="I3" s="396"/>
      <c r="J3" s="396"/>
      <c r="K3" s="300"/>
      <c r="L3" s="300"/>
      <c r="M3" s="172"/>
      <c r="N3" s="167"/>
    </row>
    <row r="4" spans="1:14" x14ac:dyDescent="0.3">
      <c r="A4" s="145"/>
      <c r="B4" s="171"/>
      <c r="C4" s="145"/>
      <c r="D4" s="145"/>
      <c r="E4" s="145"/>
      <c r="F4" s="145"/>
      <c r="G4" s="145"/>
      <c r="H4" s="145"/>
      <c r="I4" s="145"/>
      <c r="J4" s="145"/>
      <c r="K4" s="145"/>
      <c r="L4" s="145"/>
      <c r="M4" s="172"/>
      <c r="N4" s="145"/>
    </row>
    <row r="5" spans="1:14" ht="18" customHeight="1" x14ac:dyDescent="0.3">
      <c r="B5" s="173"/>
      <c r="C5" s="406" t="s">
        <v>300</v>
      </c>
      <c r="D5" s="406"/>
      <c r="E5" s="406"/>
      <c r="F5" s="406"/>
      <c r="G5" s="406"/>
      <c r="H5" s="406"/>
      <c r="I5" s="406"/>
      <c r="J5" s="406"/>
      <c r="K5" s="406"/>
      <c r="L5" s="406"/>
      <c r="M5" s="174"/>
      <c r="N5" s="170"/>
    </row>
    <row r="6" spans="1:14" ht="9" customHeight="1" x14ac:dyDescent="0.3">
      <c r="B6" s="141"/>
      <c r="C6" s="145"/>
      <c r="D6" s="145"/>
      <c r="E6" s="143"/>
      <c r="F6" s="143"/>
      <c r="G6" s="145"/>
      <c r="I6" s="145"/>
      <c r="J6" s="145"/>
      <c r="K6" s="145"/>
      <c r="L6" s="145"/>
      <c r="M6" s="164"/>
      <c r="N6" s="170"/>
    </row>
    <row r="7" spans="1:14" ht="22.5" customHeight="1" x14ac:dyDescent="0.3">
      <c r="B7" s="141"/>
      <c r="C7" s="415" t="s">
        <v>315</v>
      </c>
      <c r="D7" s="415"/>
      <c r="E7" s="415"/>
      <c r="F7" s="417" t="s">
        <v>294</v>
      </c>
      <c r="G7" s="243"/>
      <c r="H7" s="417" t="s">
        <v>295</v>
      </c>
      <c r="I7" s="243"/>
      <c r="J7" s="413" t="s">
        <v>328</v>
      </c>
      <c r="K7" s="243"/>
      <c r="L7" s="413" t="s">
        <v>329</v>
      </c>
      <c r="M7" s="164"/>
      <c r="N7" s="170"/>
    </row>
    <row r="8" spans="1:14" ht="22.5" customHeight="1" x14ac:dyDescent="0.3">
      <c r="B8" s="141"/>
      <c r="C8" s="416"/>
      <c r="D8" s="416"/>
      <c r="E8" s="416"/>
      <c r="F8" s="418"/>
      <c r="G8" s="267"/>
      <c r="H8" s="418"/>
      <c r="I8" s="267"/>
      <c r="J8" s="414"/>
      <c r="K8" s="267"/>
      <c r="L8" s="414"/>
      <c r="M8" s="164"/>
      <c r="N8" s="170"/>
    </row>
    <row r="9" spans="1:14" x14ac:dyDescent="0.3">
      <c r="B9" s="141"/>
      <c r="C9" s="143"/>
      <c r="D9" s="143" t="s">
        <v>182</v>
      </c>
      <c r="F9" s="152">
        <f ca="1">PREMISSAS!H117</f>
        <v>0</v>
      </c>
      <c r="G9" s="145"/>
      <c r="H9" s="285">
        <f ca="1">F9</f>
        <v>0</v>
      </c>
      <c r="J9" s="285">
        <f ca="1">F9</f>
        <v>0</v>
      </c>
      <c r="L9" s="285">
        <f ca="1">J9</f>
        <v>0</v>
      </c>
      <c r="M9" s="164"/>
      <c r="N9" s="170"/>
    </row>
    <row r="10" spans="1:14" x14ac:dyDescent="0.3">
      <c r="B10" s="141"/>
      <c r="C10" s="145"/>
      <c r="D10" s="234" t="s">
        <v>292</v>
      </c>
      <c r="F10" s="316">
        <f ca="1">PREMISSAS!K83</f>
        <v>0</v>
      </c>
      <c r="G10" s="317"/>
      <c r="H10" s="318">
        <f ca="1">PREMISSAS!L83</f>
        <v>0</v>
      </c>
      <c r="I10" s="319"/>
      <c r="J10" s="318">
        <f ca="1">H10</f>
        <v>0</v>
      </c>
      <c r="K10" s="319"/>
      <c r="L10" s="318">
        <f ca="1">J10</f>
        <v>0</v>
      </c>
      <c r="M10" s="164"/>
      <c r="N10" s="170"/>
    </row>
    <row r="11" spans="1:14" x14ac:dyDescent="0.3">
      <c r="B11" s="141"/>
      <c r="C11" s="145"/>
      <c r="D11" s="234" t="str">
        <f ca="1">IF(PREMISSAS!$H$113="Participante Ativo Normal","(-) Contribuição Básica - Funpresp","(-) Contribuição Alternativa - Funpresp")</f>
        <v>(-) Contribuição Alternativa - Funpresp</v>
      </c>
      <c r="F11" s="239"/>
      <c r="G11" s="145"/>
      <c r="H11" s="286"/>
      <c r="J11" s="318">
        <f ca="1">'CÁLCULO FUNPRESP'!E5+'CÁLCULO FUNPRESP'!G5</f>
        <v>0</v>
      </c>
      <c r="K11" s="319"/>
      <c r="L11" s="318">
        <f ca="1">J11</f>
        <v>0</v>
      </c>
      <c r="M11" s="164"/>
      <c r="N11" s="170"/>
    </row>
    <row r="12" spans="1:14" x14ac:dyDescent="0.3">
      <c r="B12" s="141"/>
      <c r="C12" s="145"/>
      <c r="D12" s="234" t="str">
        <f ca="1">IF(PREMISSAS!$H$113="Participante Ativo Normal","(-) Contribuição Facultativa - Funpresp","")</f>
        <v/>
      </c>
      <c r="F12" s="239"/>
      <c r="G12" s="145"/>
      <c r="H12" s="286"/>
      <c r="J12" s="286"/>
      <c r="L12" s="318">
        <f ca="1">'CÁLCULO FUNPRESP'!F5</f>
        <v>0</v>
      </c>
      <c r="M12" s="164"/>
      <c r="N12" s="170"/>
    </row>
    <row r="13" spans="1:14" x14ac:dyDescent="0.3">
      <c r="B13" s="141"/>
      <c r="C13" s="145"/>
      <c r="D13" s="315" t="s">
        <v>341</v>
      </c>
      <c r="F13" s="235">
        <f ca="1">SUM(F10:F12)</f>
        <v>0</v>
      </c>
      <c r="G13" s="145"/>
      <c r="H13" s="283">
        <f ca="1">SUM(H10:H12)</f>
        <v>0</v>
      </c>
      <c r="J13" s="283">
        <f ca="1">SUM(J10:J12)</f>
        <v>0</v>
      </c>
      <c r="L13" s="283">
        <f ca="1">SUM(L10:L12)</f>
        <v>0</v>
      </c>
      <c r="M13" s="164"/>
      <c r="N13" s="170"/>
    </row>
    <row r="14" spans="1:14" x14ac:dyDescent="0.3">
      <c r="B14" s="141"/>
      <c r="C14" s="145"/>
      <c r="D14" s="153" t="s">
        <v>334</v>
      </c>
      <c r="F14" s="154">
        <f ca="1">F9-F13</f>
        <v>0</v>
      </c>
      <c r="G14" s="145"/>
      <c r="H14" s="281">
        <f ca="1">H9-H13</f>
        <v>0</v>
      </c>
      <c r="J14" s="281">
        <f ca="1">J9-J13</f>
        <v>0</v>
      </c>
      <c r="L14" s="298">
        <f ca="1">L9-L13</f>
        <v>0</v>
      </c>
      <c r="M14" s="164"/>
      <c r="N14" s="170"/>
    </row>
    <row r="15" spans="1:14" x14ac:dyDescent="0.3">
      <c r="B15" s="141"/>
      <c r="C15" s="145"/>
      <c r="D15" s="234" t="s">
        <v>172</v>
      </c>
      <c r="F15" s="235">
        <f ca="1">IF(F14&lt;PREMISSAS!$C$43,0,IF(F14&lt;PREMISSAS!$C$44,PREMISSAS!$D$44*F14-PREMISSAS!$E$44,IF(F14&lt;PREMISSAS!$C$45,PREMISSAS!$D$45*F14-PREMISSAS!$E$45,IF(F14&lt;PREMISSAS!$C$46,PREMISSAS!$D$46*F14-PREMISSAS!$E$46,PREMISSAS!$D$47*F14-PREMISSAS!$E$47))))</f>
        <v>0</v>
      </c>
      <c r="G15" s="145"/>
      <c r="H15" s="235">
        <f ca="1">IF(H14&lt;PREMISSAS!$C$43,0,IF(H14&lt;PREMISSAS!$C$44,PREMISSAS!$D$44*H14-PREMISSAS!$E$44,IF(H14&lt;PREMISSAS!$C$45,PREMISSAS!$D$45*H14-PREMISSAS!$E$45,IF(H14&lt;PREMISSAS!$C$46,PREMISSAS!$D$46*H14-PREMISSAS!$E$46,PREMISSAS!$D$47*H14-PREMISSAS!$E$47))))</f>
        <v>0</v>
      </c>
      <c r="J15" s="235">
        <f ca="1">IF(J14&lt;PREMISSAS!$C$43,0,IF(J14&lt;PREMISSAS!$C$44,PREMISSAS!$D$44*J14-PREMISSAS!$E$44,IF(J14&lt;PREMISSAS!$C$45,PREMISSAS!$D$45*J14-PREMISSAS!$E$45,IF(J14&lt;PREMISSAS!$C$46,PREMISSAS!$D$46*J14-PREMISSAS!$E$46,PREMISSAS!$D$47*J14-PREMISSAS!$E$47))))</f>
        <v>0</v>
      </c>
      <c r="L15" s="235">
        <f ca="1">IF(L14&lt;PREMISSAS!$C$43,0,IF(L14&lt;PREMISSAS!$C$44,PREMISSAS!$D$44*L14-PREMISSAS!$E$44,IF(L14&lt;PREMISSAS!$C$45,PREMISSAS!$D$45*L14-PREMISSAS!$E$45,IF(L14&lt;PREMISSAS!$C$46,PREMISSAS!$D$46*L14-PREMISSAS!$E$46,PREMISSAS!$D$47*L14-PREMISSAS!$E$47))))</f>
        <v>0</v>
      </c>
      <c r="M15" s="164"/>
      <c r="N15" s="170"/>
    </row>
    <row r="16" spans="1:14" x14ac:dyDescent="0.3">
      <c r="B16" s="141"/>
      <c r="C16" s="240"/>
      <c r="D16" s="240" t="s">
        <v>335</v>
      </c>
      <c r="E16" s="241"/>
      <c r="F16" s="242">
        <f ca="1">F14-F15</f>
        <v>0</v>
      </c>
      <c r="G16" s="243"/>
      <c r="H16" s="282">
        <f ca="1">H14-H15</f>
        <v>0</v>
      </c>
      <c r="I16" s="241"/>
      <c r="J16" s="282">
        <f ca="1">J14-J15</f>
        <v>0</v>
      </c>
      <c r="K16" s="241"/>
      <c r="L16" s="282">
        <f ca="1">L14-L15</f>
        <v>0</v>
      </c>
      <c r="M16" s="164"/>
      <c r="N16" s="170"/>
    </row>
    <row r="17" spans="2:14" ht="9" customHeight="1" x14ac:dyDescent="0.3">
      <c r="B17" s="141"/>
      <c r="D17" s="145"/>
      <c r="E17" s="143"/>
      <c r="F17" s="143"/>
      <c r="G17" s="145"/>
      <c r="H17" s="145"/>
      <c r="J17" s="145"/>
      <c r="L17" s="145"/>
      <c r="M17" s="164"/>
      <c r="N17" s="170"/>
    </row>
    <row r="18" spans="2:14" x14ac:dyDescent="0.3">
      <c r="B18" s="141"/>
      <c r="C18" s="412" t="str">
        <f ca="1">IF(PREMISSAS!H113="Participante Ativo Normal",
CONCATENATE("O valor de ",TEXT(PREMISSAS!$N$83,"R$ #.##0,00"),", referente à Contribuição Facultativa, equivale à diferença entre a contribuição que o servidor realiza no RPPS sem migrar (",TEXT(PREMISSAS!$K$83,"R$ #.##0,00"),"), e a soma da contribuição RPPS considerando a migração (",TEXT(PREMISSAS!$L$83,"R$ #.##0,00"),") com a contribuição Funpresp (",TEXT(PREMISSAS!$M$83,"R$ #.##0,00"),"). Com esse valor extra de contribuição todos os meses, você estará fazendo o mesmo investimento mensal em previdência, mas com maior destinação à sua conta individual."),
CONCATENATE("O valor de ",TEXT('CÁLCULO FUNPRESP'!G5,"R$ #.##0,00")," equivale à Contribuição Alternativa do participante Ativo Alternativo (aquele que possui remuneração inferior ao teto do RGPS), calculada a partir do Salário de Participação mínimo (R$1.683,30) e o percentual de contribuição igual a 8,5%."))</f>
        <v>O valor de R$ 0,00 equivale à Contribuição Alternativa do participante Ativo Alternativo (aquele que possui remuneração inferior ao teto do RGPS), calculada a partir do Salário de Participação mínimo (R$1.683,30) e o percentual de contribuição igual a 8,5%.</v>
      </c>
      <c r="D18" s="412"/>
      <c r="E18" s="412"/>
      <c r="F18" s="412"/>
      <c r="G18" s="412"/>
      <c r="H18" s="412"/>
      <c r="I18" s="412"/>
      <c r="J18" s="412"/>
      <c r="K18" s="412"/>
      <c r="L18" s="412"/>
      <c r="M18" s="164"/>
      <c r="N18" s="170"/>
    </row>
    <row r="19" spans="2:14" ht="21.75" customHeight="1" x14ac:dyDescent="0.3">
      <c r="B19" s="141"/>
      <c r="C19" s="412"/>
      <c r="D19" s="412"/>
      <c r="E19" s="412"/>
      <c r="F19" s="412"/>
      <c r="G19" s="412"/>
      <c r="H19" s="412"/>
      <c r="I19" s="412"/>
      <c r="J19" s="412"/>
      <c r="K19" s="412"/>
      <c r="L19" s="412"/>
      <c r="M19" s="164"/>
      <c r="N19" s="170"/>
    </row>
    <row r="20" spans="2:14" x14ac:dyDescent="0.3">
      <c r="B20" s="161"/>
      <c r="C20" s="312"/>
      <c r="D20" s="313"/>
      <c r="E20" s="313"/>
      <c r="F20" s="313"/>
      <c r="G20" s="313"/>
      <c r="H20" s="313"/>
      <c r="I20" s="313"/>
      <c r="J20" s="314"/>
      <c r="K20" s="313"/>
      <c r="L20" s="314" t="str">
        <f ca="1">"Data da simulação: "&amp;TEXT(TODAY(),"DD/MM/AAAA")</f>
        <v>Data da simulação: 24/11/2022</v>
      </c>
      <c r="M20" s="166"/>
    </row>
  </sheetData>
  <sheetProtection algorithmName="SHA-512" hashValue="+z09ML5eonZrwoNqSMK3d7MutQ36tULmrWrB49C0LpmxuTrVVepMRqnYd1fOREm5rmhcBju2CChAaLXngOqaIg==" saltValue="5qB0Kkvc+6UXQLRZ7BtBGQ==" spinCount="100000" sheet="1" objects="1" scenarios="1"/>
  <mergeCells count="8">
    <mergeCell ref="C18:L19"/>
    <mergeCell ref="L7:L8"/>
    <mergeCell ref="C5:L5"/>
    <mergeCell ref="C2:J3"/>
    <mergeCell ref="C7:E8"/>
    <mergeCell ref="F7:F8"/>
    <mergeCell ref="H7:H8"/>
    <mergeCell ref="J7:J8"/>
  </mergeCells>
  <conditionalFormatting sqref="H9:H10">
    <cfRule type="expression" dxfId="144" priority="284">
      <formula>#REF!=0</formula>
    </cfRule>
  </conditionalFormatting>
  <conditionalFormatting sqref="F9:F10">
    <cfRule type="expression" dxfId="143" priority="282">
      <formula>#REF!=0</formula>
    </cfRule>
    <cfRule type="expression" dxfId="142" priority="283">
      <formula>#REF!="NÃO"</formula>
    </cfRule>
  </conditionalFormatting>
  <conditionalFormatting sqref="F14">
    <cfRule type="expression" dxfId="141" priority="280">
      <formula>#REF!=0</formula>
    </cfRule>
    <cfRule type="expression" dxfId="140" priority="281">
      <formula>#REF!="NÃO"</formula>
    </cfRule>
  </conditionalFormatting>
  <conditionalFormatting sqref="F15">
    <cfRule type="expression" dxfId="139" priority="278">
      <formula>#REF!=0</formula>
    </cfRule>
    <cfRule type="expression" dxfId="138" priority="279">
      <formula>#REF!="NÃO"</formula>
    </cfRule>
  </conditionalFormatting>
  <conditionalFormatting sqref="F16">
    <cfRule type="expression" dxfId="137" priority="276">
      <formula>#REF!=0</formula>
    </cfRule>
    <cfRule type="expression" dxfId="136" priority="277">
      <formula>#REF!="NÃO"</formula>
    </cfRule>
  </conditionalFormatting>
  <conditionalFormatting sqref="H14">
    <cfRule type="expression" dxfId="135" priority="274">
      <formula>#REF!=0</formula>
    </cfRule>
    <cfRule type="expression" dxfId="134" priority="275">
      <formula>#REF!="NÃO"</formula>
    </cfRule>
  </conditionalFormatting>
  <conditionalFormatting sqref="H16">
    <cfRule type="expression" dxfId="133" priority="270">
      <formula>#REF!=0</formula>
    </cfRule>
    <cfRule type="expression" dxfId="132" priority="271">
      <formula>#REF!="NÃO"</formula>
    </cfRule>
  </conditionalFormatting>
  <conditionalFormatting sqref="J14">
    <cfRule type="expression" dxfId="131" priority="260">
      <formula>#REF!=0</formula>
    </cfRule>
    <cfRule type="expression" dxfId="130" priority="261">
      <formula>#REF!="NÃO"</formula>
    </cfRule>
  </conditionalFormatting>
  <conditionalFormatting sqref="J16">
    <cfRule type="expression" dxfId="129" priority="256">
      <formula>#REF!=0</formula>
    </cfRule>
    <cfRule type="expression" dxfId="128" priority="257">
      <formula>#REF!="NÃO"</formula>
    </cfRule>
  </conditionalFormatting>
  <conditionalFormatting sqref="J9:J10">
    <cfRule type="expression" dxfId="127" priority="262">
      <formula>#REF!=0</formula>
    </cfRule>
  </conditionalFormatting>
  <conditionalFormatting sqref="H11:H12">
    <cfRule type="expression" dxfId="126" priority="255">
      <formula>#REF!=0</formula>
    </cfRule>
  </conditionalFormatting>
  <conditionalFormatting sqref="F11:F12">
    <cfRule type="expression" dxfId="125" priority="253">
      <formula>#REF!=0</formula>
    </cfRule>
    <cfRule type="expression" dxfId="124" priority="254">
      <formula>#REF!="NÃO"</formula>
    </cfRule>
  </conditionalFormatting>
  <conditionalFormatting sqref="J11">
    <cfRule type="expression" dxfId="123" priority="252">
      <formula>#REF!=0</formula>
    </cfRule>
  </conditionalFormatting>
  <conditionalFormatting sqref="H15">
    <cfRule type="expression" dxfId="122" priority="97">
      <formula>#REF!=0</formula>
    </cfRule>
    <cfRule type="expression" dxfId="121" priority="98">
      <formula>#REF!="NÃO"</formula>
    </cfRule>
  </conditionalFormatting>
  <conditionalFormatting sqref="J15">
    <cfRule type="expression" dxfId="120" priority="95">
      <formula>#REF!=0</formula>
    </cfRule>
    <cfRule type="expression" dxfId="119" priority="96">
      <formula>#REF!="NÃO"</formula>
    </cfRule>
  </conditionalFormatting>
  <conditionalFormatting sqref="L14">
    <cfRule type="expression" dxfId="118" priority="44">
      <formula>#REF!=0</formula>
    </cfRule>
    <cfRule type="expression" dxfId="117" priority="45">
      <formula>#REF!="NÃO"</formula>
    </cfRule>
  </conditionalFormatting>
  <conditionalFormatting sqref="L16">
    <cfRule type="expression" dxfId="116" priority="42">
      <formula>#REF!=0</formula>
    </cfRule>
    <cfRule type="expression" dxfId="115" priority="43">
      <formula>#REF!="NÃO"</formula>
    </cfRule>
  </conditionalFormatting>
  <conditionalFormatting sqref="L9:L10">
    <cfRule type="expression" dxfId="114" priority="46">
      <formula>#REF!=0</formula>
    </cfRule>
  </conditionalFormatting>
  <conditionalFormatting sqref="L11:L12">
    <cfRule type="expression" dxfId="113" priority="41">
      <formula>#REF!=0</formula>
    </cfRule>
  </conditionalFormatting>
  <conditionalFormatting sqref="L15">
    <cfRule type="expression" dxfId="112" priority="11">
      <formula>#REF!=0</formula>
    </cfRule>
    <cfRule type="expression" dxfId="111" priority="12">
      <formula>#REF!="NÃO"</formula>
    </cfRule>
  </conditionalFormatting>
  <conditionalFormatting sqref="J12">
    <cfRule type="expression" dxfId="110" priority="8">
      <formula>#REF!=0</formula>
    </cfRule>
  </conditionalFormatting>
  <conditionalFormatting sqref="H13">
    <cfRule type="expression" dxfId="109" priority="5">
      <formula>#REF!=0</formula>
    </cfRule>
  </conditionalFormatting>
  <conditionalFormatting sqref="F13">
    <cfRule type="expression" dxfId="108" priority="3">
      <formula>#REF!=0</formula>
    </cfRule>
    <cfRule type="expression" dxfId="107" priority="4">
      <formula>#REF!="NÃO"</formula>
    </cfRule>
  </conditionalFormatting>
  <conditionalFormatting sqref="J13">
    <cfRule type="expression" dxfId="106" priority="2">
      <formula>#REF!=0</formula>
    </cfRule>
  </conditionalFormatting>
  <conditionalFormatting sqref="L13">
    <cfRule type="expression" dxfId="105" priority="1">
      <formula>#REF!=0</formula>
    </cfRule>
  </conditionalFormatting>
  <pageMargins left="0.511811024" right="0.511811024" top="0.78740157499999996" bottom="0.78740157499999996" header="0.31496062000000002" footer="0.31496062000000002"/>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91" id="{E723B8F7-D32B-42CA-AB01-A2B814FCC853}">
            <xm:f>PREMISSAS!$H$113&lt;&gt;PREMISSAS!$G$115</xm:f>
            <x14:dxf>
              <font>
                <color theme="0"/>
              </font>
              <fill>
                <patternFill>
                  <bgColor theme="0"/>
                </patternFill>
              </fill>
              <border>
                <left/>
                <right/>
                <top/>
                <bottom/>
                <vertical/>
                <horizontal/>
              </border>
            </x14:dxf>
          </x14:cfRule>
          <xm:sqref>L7:L12 L14:L16</xm:sqref>
        </x14:conditionalFormatting>
        <x14:conditionalFormatting xmlns:xm="http://schemas.microsoft.com/office/excel/2006/main">
          <x14:cfRule type="expression" priority="6" id="{4E84784F-0217-4E80-8DC3-0DE771DD9618}">
            <xm:f>PREMISSAS!$H$113&lt;&gt;PREMISSAS!$G$115</xm:f>
            <x14:dxf>
              <font>
                <color theme="0"/>
              </font>
              <fill>
                <patternFill>
                  <bgColor theme="0"/>
                </patternFill>
              </fill>
              <border>
                <left/>
                <right/>
                <top/>
                <bottom/>
                <vertical/>
                <horizontal/>
              </border>
            </x14:dxf>
          </x14:cfRule>
          <xm:sqref>L13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DC53F"/>
  </sheetPr>
  <dimension ref="A1:O20"/>
  <sheetViews>
    <sheetView showGridLines="0" zoomScaleNormal="100" zoomScaleSheetLayoutView="90" workbookViewId="0">
      <selection activeCell="F9" sqref="F9"/>
    </sheetView>
  </sheetViews>
  <sheetFormatPr defaultRowHeight="14.4" x14ac:dyDescent="0.3"/>
  <cols>
    <col min="1" max="2" width="1.5546875" style="170" customWidth="1"/>
    <col min="3" max="4" width="2.88671875" style="170" customWidth="1"/>
    <col min="5" max="5" width="35.33203125" style="170" customWidth="1"/>
    <col min="6" max="6" width="14.33203125" style="170" customWidth="1"/>
    <col min="7" max="7" width="2.6640625" style="170" customWidth="1"/>
    <col min="8" max="8" width="14.33203125" style="170" customWidth="1"/>
    <col min="9" max="9" width="2.6640625" style="170" customWidth="1"/>
    <col min="10" max="10" width="20.33203125" style="170" customWidth="1"/>
    <col min="11" max="11" width="2.6640625" style="170" customWidth="1"/>
    <col min="12" max="12" width="24.5546875" style="170" customWidth="1"/>
    <col min="13" max="13" width="1.5546875" style="170" customWidth="1"/>
    <col min="15" max="15" width="9.5546875" bestFit="1" customWidth="1"/>
  </cols>
  <sheetData>
    <row r="1" spans="1:15" ht="9" customHeight="1" x14ac:dyDescent="0.3">
      <c r="N1" s="170"/>
    </row>
    <row r="2" spans="1:15" x14ac:dyDescent="0.3">
      <c r="A2" s="167"/>
      <c r="B2" s="168"/>
      <c r="C2" s="395"/>
      <c r="D2" s="395"/>
      <c r="E2" s="395"/>
      <c r="F2" s="395"/>
      <c r="G2" s="395"/>
      <c r="H2" s="395"/>
      <c r="I2" s="395"/>
      <c r="J2" s="395"/>
      <c r="K2" s="303"/>
      <c r="L2" s="303"/>
      <c r="M2" s="169"/>
      <c r="N2" s="167"/>
    </row>
    <row r="3" spans="1:15" ht="82.5" customHeight="1" x14ac:dyDescent="0.3">
      <c r="A3" s="167"/>
      <c r="B3" s="171"/>
      <c r="C3" s="396"/>
      <c r="D3" s="396"/>
      <c r="E3" s="396"/>
      <c r="F3" s="396"/>
      <c r="G3" s="396"/>
      <c r="H3" s="396"/>
      <c r="I3" s="396"/>
      <c r="J3" s="396"/>
      <c r="K3" s="304"/>
      <c r="L3" s="304"/>
      <c r="M3" s="172"/>
      <c r="N3" s="167"/>
    </row>
    <row r="4" spans="1:15" x14ac:dyDescent="0.3">
      <c r="A4" s="145"/>
      <c r="B4" s="171"/>
      <c r="C4" s="145"/>
      <c r="D4" s="145"/>
      <c r="E4" s="145"/>
      <c r="F4" s="145"/>
      <c r="G4" s="145"/>
      <c r="H4" s="145"/>
      <c r="I4" s="145"/>
      <c r="J4" s="145"/>
      <c r="K4" s="145"/>
      <c r="L4" s="145"/>
      <c r="M4" s="172"/>
      <c r="N4" s="145"/>
    </row>
    <row r="5" spans="1:15" ht="18" customHeight="1" x14ac:dyDescent="0.3">
      <c r="B5" s="173"/>
      <c r="C5" s="406" t="s">
        <v>300</v>
      </c>
      <c r="D5" s="406"/>
      <c r="E5" s="406"/>
      <c r="F5" s="406"/>
      <c r="G5" s="406"/>
      <c r="H5" s="406"/>
      <c r="I5" s="406"/>
      <c r="J5" s="406"/>
      <c r="K5" s="406"/>
      <c r="L5" s="406"/>
      <c r="M5" s="174"/>
      <c r="N5" s="170"/>
    </row>
    <row r="6" spans="1:15" ht="9" customHeight="1" x14ac:dyDescent="0.3">
      <c r="B6" s="141"/>
      <c r="C6" s="145"/>
      <c r="D6" s="145"/>
      <c r="E6" s="143"/>
      <c r="F6" s="143"/>
      <c r="G6" s="145"/>
      <c r="I6" s="145"/>
      <c r="J6" s="145"/>
      <c r="K6" s="145"/>
      <c r="L6" s="145"/>
      <c r="M6" s="164"/>
      <c r="N6" s="170"/>
    </row>
    <row r="7" spans="1:15" ht="22.5" customHeight="1" x14ac:dyDescent="0.3">
      <c r="B7" s="141"/>
      <c r="C7" s="420" t="s">
        <v>319</v>
      </c>
      <c r="D7" s="420"/>
      <c r="E7" s="420"/>
      <c r="F7" s="422" t="s">
        <v>294</v>
      </c>
      <c r="G7" s="289"/>
      <c r="H7" s="422" t="s">
        <v>295</v>
      </c>
      <c r="I7" s="289"/>
      <c r="J7" s="422" t="str">
        <f ca="1">IF(PREMISSAS!$H$113="Participante Ativo Normal","Com migração e Adesão à Funpresp (Normal)","Com migração e Adesão à Funpresp")</f>
        <v>Com migração e Adesão à Funpresp</v>
      </c>
      <c r="K7" s="289"/>
      <c r="L7" s="422" t="s">
        <v>323</v>
      </c>
      <c r="M7" s="164"/>
      <c r="N7" s="170"/>
    </row>
    <row r="8" spans="1:15" ht="22.5" customHeight="1" x14ac:dyDescent="0.3">
      <c r="B8" s="141"/>
      <c r="C8" s="421"/>
      <c r="D8" s="421"/>
      <c r="E8" s="421"/>
      <c r="F8" s="423"/>
      <c r="G8" s="290"/>
      <c r="H8" s="423"/>
      <c r="I8" s="290"/>
      <c r="J8" s="423"/>
      <c r="K8" s="290"/>
      <c r="L8" s="423"/>
      <c r="M8" s="164"/>
      <c r="N8" s="170"/>
    </row>
    <row r="9" spans="1:15" x14ac:dyDescent="0.3">
      <c r="B9" s="141"/>
      <c r="C9" s="143"/>
      <c r="D9" s="143" t="s">
        <v>186</v>
      </c>
      <c r="F9" s="152">
        <f ca="1">IFERROR(RESULTADOS!C32,"")</f>
        <v>0</v>
      </c>
      <c r="G9" s="145"/>
      <c r="H9" s="285">
        <f ca="1">IFERROR(RESULTADOS!F32,"")</f>
        <v>0</v>
      </c>
      <c r="J9" s="285">
        <f ca="1">H9</f>
        <v>0</v>
      </c>
      <c r="L9" s="285">
        <f ca="1">J9</f>
        <v>0</v>
      </c>
      <c r="M9" s="164"/>
      <c r="N9" s="170"/>
    </row>
    <row r="10" spans="1:15" x14ac:dyDescent="0.3">
      <c r="B10" s="141"/>
      <c r="C10" s="145"/>
      <c r="D10" s="143" t="s">
        <v>291</v>
      </c>
      <c r="F10" s="238"/>
      <c r="G10" s="145"/>
      <c r="H10" s="301">
        <f ca="1">IFERROR(IF(Preencher_Dados!$I$39&gt;0,Preencher_Dados!$I$39,RESULTADOS!I32),"")</f>
        <v>0</v>
      </c>
      <c r="J10" s="301">
        <f ca="1">H10</f>
        <v>0</v>
      </c>
      <c r="L10" s="301">
        <f ca="1">J10</f>
        <v>0</v>
      </c>
      <c r="M10" s="164"/>
      <c r="N10" s="170"/>
    </row>
    <row r="11" spans="1:15" x14ac:dyDescent="0.3">
      <c r="B11" s="141"/>
      <c r="C11" s="145"/>
      <c r="D11" s="143" t="str">
        <f ca="1">IF(PREMISSAS!$H$113="Participante Ativo Normal","Aposentadoria Normal (Funpresp)","Benefício Suplementar (Funpresp)")</f>
        <v>Benefício Suplementar (Funpresp)</v>
      </c>
      <c r="F11" s="238"/>
      <c r="G11" s="145"/>
      <c r="H11" s="284"/>
      <c r="J11" s="301">
        <f ca="1">IF(PREMISSAS!$H$113="Participante Ativo Normal",RESULTADOS!L32,RESULTADOS!L35)</f>
        <v>0</v>
      </c>
      <c r="L11" s="301">
        <f ca="1">J11</f>
        <v>0</v>
      </c>
      <c r="M11" s="164"/>
      <c r="N11" s="170"/>
    </row>
    <row r="12" spans="1:15" x14ac:dyDescent="0.3">
      <c r="B12" s="141"/>
      <c r="C12" s="145"/>
      <c r="D12" s="143" t="str">
        <f ca="1">IF(PREMISSAS!$H$113="Participante Ativo Normal","Benefício Suplementar (Funpresp)","")</f>
        <v/>
      </c>
      <c r="F12" s="238"/>
      <c r="G12" s="145"/>
      <c r="H12" s="284"/>
      <c r="J12" s="284"/>
      <c r="L12" s="301" t="str">
        <f ca="1">IF(PREMISSAS!$H$113="Participante Ativo Normal",RESULTADOS!L35,"")</f>
        <v/>
      </c>
      <c r="M12" s="164"/>
      <c r="N12" s="170"/>
    </row>
    <row r="13" spans="1:15" x14ac:dyDescent="0.3">
      <c r="B13" s="141"/>
      <c r="C13" s="145"/>
      <c r="D13" s="234" t="s">
        <v>262</v>
      </c>
      <c r="F13" s="235">
        <f ca="1">IFERROR(RESULTADOS!C34,"")</f>
        <v>0</v>
      </c>
      <c r="G13" s="145"/>
      <c r="H13" s="283">
        <v>0</v>
      </c>
      <c r="J13" s="283">
        <f>H13</f>
        <v>0</v>
      </c>
      <c r="L13" s="283">
        <f>J13</f>
        <v>0</v>
      </c>
      <c r="M13" s="164"/>
      <c r="N13" s="170"/>
    </row>
    <row r="14" spans="1:15" x14ac:dyDescent="0.3">
      <c r="B14" s="141"/>
      <c r="C14" s="145"/>
      <c r="D14" s="153" t="s">
        <v>173</v>
      </c>
      <c r="F14" s="154">
        <f ca="1">F9+F13</f>
        <v>0</v>
      </c>
      <c r="G14" s="145"/>
      <c r="H14" s="302">
        <f ca="1">SUM(H9:H13)</f>
        <v>0</v>
      </c>
      <c r="J14" s="302">
        <f ca="1">SUM(J9:J13)</f>
        <v>0</v>
      </c>
      <c r="L14" s="302">
        <f ca="1">SUM(L9:L13)</f>
        <v>0</v>
      </c>
      <c r="M14" s="164"/>
      <c r="N14" s="170"/>
    </row>
    <row r="15" spans="1:15" x14ac:dyDescent="0.3">
      <c r="B15" s="141"/>
      <c r="C15" s="145"/>
      <c r="D15" s="234" t="s">
        <v>305</v>
      </c>
      <c r="F15" s="235">
        <f ca="1">IFERROR(RESULTADOS!C36,"")</f>
        <v>0</v>
      </c>
      <c r="G15" s="145"/>
      <c r="H15" s="283">
        <f ca="1">IFERROR(RESULTADOS!F38,"")</f>
        <v>0</v>
      </c>
      <c r="J15" s="283" t="e">
        <f ca="1">H15+IF(Preencher_Dados!$I$27=PREMISSAS!$U$15,RESULTADOS!$L$54,RESULTADOS!$L$45)</f>
        <v>#DIV/0!</v>
      </c>
      <c r="L15" s="283" t="e">
        <f ca="1">J15+IF(Preencher_Dados!$I$27=PREMISSAS!$U$15,RESULTADOS!$L$55,RESULTADOS!$L$46)</f>
        <v>#DIV/0!</v>
      </c>
      <c r="M15" s="164"/>
      <c r="N15" s="170"/>
      <c r="O15" s="311"/>
    </row>
    <row r="16" spans="1:15" x14ac:dyDescent="0.3">
      <c r="B16" s="141"/>
      <c r="C16" s="291"/>
      <c r="D16" s="292" t="s">
        <v>174</v>
      </c>
      <c r="E16" s="293"/>
      <c r="F16" s="294">
        <f ca="1">SUM(F14:F15)</f>
        <v>0</v>
      </c>
      <c r="G16" s="289"/>
      <c r="H16" s="295">
        <f ca="1">SUM(H14:H15)</f>
        <v>0</v>
      </c>
      <c r="I16" s="293"/>
      <c r="J16" s="295" t="e">
        <f ca="1">SUM(J14:J15)</f>
        <v>#DIV/0!</v>
      </c>
      <c r="K16" s="293"/>
      <c r="L16" s="295" t="e">
        <f ca="1">SUM(L14:L15)</f>
        <v>#DIV/0!</v>
      </c>
      <c r="M16" s="164"/>
      <c r="N16" s="170"/>
    </row>
    <row r="17" spans="2:15" ht="9" customHeight="1" x14ac:dyDescent="0.3">
      <c r="B17" s="141"/>
      <c r="C17" s="145"/>
      <c r="D17" s="145"/>
      <c r="E17" s="143"/>
      <c r="F17" s="143"/>
      <c r="G17" s="145"/>
      <c r="H17" s="145"/>
      <c r="J17" s="145"/>
      <c r="L17" s="145"/>
      <c r="M17" s="164"/>
      <c r="N17" s="170"/>
    </row>
    <row r="18" spans="2:15" ht="15" customHeight="1" x14ac:dyDescent="0.3">
      <c r="B18" s="141"/>
      <c r="C18" s="419" t="s">
        <v>333</v>
      </c>
      <c r="D18" s="419"/>
      <c r="E18" s="419"/>
      <c r="F18" s="419"/>
      <c r="G18" s="419"/>
      <c r="H18" s="419"/>
      <c r="I18" s="419"/>
      <c r="J18" s="419"/>
      <c r="K18" s="419"/>
      <c r="L18" s="419"/>
      <c r="M18" s="297"/>
      <c r="N18" s="296"/>
      <c r="O18" s="296"/>
    </row>
    <row r="19" spans="2:15" x14ac:dyDescent="0.3">
      <c r="B19" s="141"/>
      <c r="C19" s="419"/>
      <c r="D19" s="419"/>
      <c r="E19" s="419"/>
      <c r="F19" s="419"/>
      <c r="G19" s="419"/>
      <c r="H19" s="419"/>
      <c r="I19" s="419"/>
      <c r="J19" s="419"/>
      <c r="K19" s="419"/>
      <c r="L19" s="419"/>
      <c r="M19" s="297"/>
      <c r="N19" s="296"/>
      <c r="O19" s="296"/>
    </row>
    <row r="20" spans="2:15" x14ac:dyDescent="0.3">
      <c r="B20" s="161"/>
      <c r="C20" s="312" t="s">
        <v>222</v>
      </c>
      <c r="D20" s="313"/>
      <c r="E20" s="313"/>
      <c r="F20" s="313"/>
      <c r="G20" s="313"/>
      <c r="H20" s="313"/>
      <c r="I20" s="313"/>
      <c r="J20" s="314"/>
      <c r="K20" s="313"/>
      <c r="L20" s="314" t="str">
        <f ca="1">"Data da simulação: "&amp;TEXT(TODAY(),"DD/MM/AAAA")</f>
        <v>Data da simulação: 24/11/2022</v>
      </c>
      <c r="M20" s="166"/>
    </row>
  </sheetData>
  <sheetProtection algorithmName="SHA-512" hashValue="orgRpvCy9u1ber5ekH5O82tS8Lnuef1TIrx0W1mNz5f7uDpvQWPALHnEBwMA9XsXDEOQfLrp4Zq/TOe0Qy756A==" saltValue="cg/e8iTfizzMyyAgBv1VHw==" spinCount="100000" sheet="1" objects="1" scenarios="1"/>
  <mergeCells count="8">
    <mergeCell ref="C2:J3"/>
    <mergeCell ref="C5:L5"/>
    <mergeCell ref="C18:L19"/>
    <mergeCell ref="C7:E8"/>
    <mergeCell ref="F7:F8"/>
    <mergeCell ref="H7:H8"/>
    <mergeCell ref="J7:J8"/>
    <mergeCell ref="L7:L8"/>
  </mergeCells>
  <conditionalFormatting sqref="H9 H13 J13">
    <cfRule type="expression" dxfId="102" priority="64">
      <formula>#REF!=0</formula>
    </cfRule>
  </conditionalFormatting>
  <conditionalFormatting sqref="F13 F9">
    <cfRule type="expression" dxfId="101" priority="62">
      <formula>#REF!=0</formula>
    </cfRule>
    <cfRule type="expression" dxfId="100" priority="63">
      <formula>#REF!="NÃO"</formula>
    </cfRule>
  </conditionalFormatting>
  <conditionalFormatting sqref="F15">
    <cfRule type="expression" dxfId="99" priority="60">
      <formula>#REF!=0</formula>
    </cfRule>
    <cfRule type="expression" dxfId="98" priority="61">
      <formula>#REF!="NÃO"</formula>
    </cfRule>
  </conditionalFormatting>
  <conditionalFormatting sqref="H15">
    <cfRule type="expression" dxfId="97" priority="56">
      <formula>#REF!=0</formula>
    </cfRule>
    <cfRule type="expression" dxfId="96" priority="57">
      <formula>#REF!="NÃO"</formula>
    </cfRule>
  </conditionalFormatting>
  <conditionalFormatting sqref="H10">
    <cfRule type="expression" dxfId="95" priority="58">
      <formula>#REF!=0</formula>
    </cfRule>
    <cfRule type="expression" dxfId="94" priority="59">
      <formula>#REF!="NÃO"</formula>
    </cfRule>
  </conditionalFormatting>
  <conditionalFormatting sqref="H16">
    <cfRule type="expression" dxfId="93" priority="54">
      <formula>#REF!=0</formula>
    </cfRule>
    <cfRule type="expression" dxfId="92" priority="55">
      <formula>#REF!="NÃO"</formula>
    </cfRule>
  </conditionalFormatting>
  <conditionalFormatting sqref="F10">
    <cfRule type="expression" dxfId="91" priority="52">
      <formula>#REF!=0</formula>
    </cfRule>
    <cfRule type="expression" dxfId="90" priority="53">
      <formula>#REF!="NÃO"</formula>
    </cfRule>
  </conditionalFormatting>
  <conditionalFormatting sqref="J9">
    <cfRule type="expression" dxfId="89" priority="51">
      <formula>#REF!=0</formula>
    </cfRule>
  </conditionalFormatting>
  <conditionalFormatting sqref="J10">
    <cfRule type="expression" dxfId="88" priority="49">
      <formula>#REF!=0</formula>
    </cfRule>
    <cfRule type="expression" dxfId="87" priority="50">
      <formula>#REF!="NÃO"</formula>
    </cfRule>
  </conditionalFormatting>
  <conditionalFormatting sqref="J16">
    <cfRule type="expression" dxfId="86" priority="47">
      <formula>#REF!=0</formula>
    </cfRule>
    <cfRule type="expression" dxfId="85" priority="48">
      <formula>#REF!="NÃO"</formula>
    </cfRule>
  </conditionalFormatting>
  <conditionalFormatting sqref="H11:H12">
    <cfRule type="expression" dxfId="84" priority="45">
      <formula>#REF!=0</formula>
    </cfRule>
    <cfRule type="expression" dxfId="83" priority="46">
      <formula>#REF!="NÃO"</formula>
    </cfRule>
  </conditionalFormatting>
  <conditionalFormatting sqref="F11:F12">
    <cfRule type="expression" dxfId="82" priority="43">
      <formula>#REF!=0</formula>
    </cfRule>
    <cfRule type="expression" dxfId="81" priority="44">
      <formula>#REF!="NÃO"</formula>
    </cfRule>
  </conditionalFormatting>
  <conditionalFormatting sqref="J11">
    <cfRule type="expression" dxfId="80" priority="41">
      <formula>#REF!=0</formula>
    </cfRule>
    <cfRule type="expression" dxfId="79" priority="42">
      <formula>#REF!="NÃO"</formula>
    </cfRule>
  </conditionalFormatting>
  <conditionalFormatting sqref="J15">
    <cfRule type="expression" dxfId="78" priority="39">
      <formula>#REF!=0</formula>
    </cfRule>
    <cfRule type="expression" dxfId="77" priority="40">
      <formula>#REF!="NÃO"</formula>
    </cfRule>
  </conditionalFormatting>
  <conditionalFormatting sqref="F14">
    <cfRule type="expression" dxfId="76" priority="37">
      <formula>#REF!=0</formula>
    </cfRule>
    <cfRule type="expression" dxfId="75" priority="38">
      <formula>#REF!="NÃO"</formula>
    </cfRule>
  </conditionalFormatting>
  <conditionalFormatting sqref="F16">
    <cfRule type="expression" dxfId="74" priority="35">
      <formula>#REF!=0</formula>
    </cfRule>
    <cfRule type="expression" dxfId="73" priority="36">
      <formula>#REF!="NÃO"</formula>
    </cfRule>
  </conditionalFormatting>
  <conditionalFormatting sqref="H14">
    <cfRule type="expression" dxfId="72" priority="33">
      <formula>#REF!=0</formula>
    </cfRule>
    <cfRule type="expression" dxfId="71" priority="34">
      <formula>#REF!="NÃO"</formula>
    </cfRule>
  </conditionalFormatting>
  <conditionalFormatting sqref="J14">
    <cfRule type="expression" dxfId="70" priority="31">
      <formula>#REF!=0</formula>
    </cfRule>
    <cfRule type="expression" dxfId="69" priority="32">
      <formula>#REF!="NÃO"</formula>
    </cfRule>
  </conditionalFormatting>
  <conditionalFormatting sqref="J12">
    <cfRule type="expression" dxfId="68" priority="3">
      <formula>#REF!=0</formula>
    </cfRule>
    <cfRule type="expression" dxfId="67" priority="4">
      <formula>#REF!="NÃO"</formula>
    </cfRule>
  </conditionalFormatting>
  <pageMargins left="0.511811024" right="0.511811024" top="0.78740157499999996" bottom="0.78740157499999996" header="0.31496062000000002" footer="0.31496062000000002"/>
  <pageSetup paperSize="9" scale="82" orientation="portrait" r:id="rId1"/>
  <ignoredErrors>
    <ignoredError sqref="L12"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86" id="{32B26546-86AF-4075-B6F5-70932CDDA735}">
            <xm:f>PREMISSAS!$H$113&lt;&gt;PREMISSAS!$G$115</xm:f>
            <x14:dxf>
              <font>
                <color theme="0"/>
              </font>
              <fill>
                <patternFill>
                  <bgColor theme="0"/>
                </patternFill>
              </fill>
              <border>
                <left/>
                <right/>
                <top/>
                <bottom/>
                <vertical/>
                <horizontal/>
              </border>
            </x14:dxf>
          </x14:cfRule>
          <xm:sqref>L7:L16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DC53F"/>
  </sheetPr>
  <dimension ref="A1:M19"/>
  <sheetViews>
    <sheetView showGridLines="0" zoomScaleNormal="100" zoomScaleSheetLayoutView="90" workbookViewId="0">
      <selection activeCell="M11" sqref="M11"/>
    </sheetView>
  </sheetViews>
  <sheetFormatPr defaultRowHeight="14.4" x14ac:dyDescent="0.3"/>
  <cols>
    <col min="1" max="2" width="1.5546875" style="170" customWidth="1"/>
    <col min="3" max="4" width="2.88671875" style="170" customWidth="1"/>
    <col min="5" max="5" width="35.33203125" style="170" customWidth="1"/>
    <col min="6" max="6" width="14.33203125" style="170" customWidth="1"/>
    <col min="7" max="7" width="2.6640625" style="170" customWidth="1"/>
    <col min="8" max="8" width="14.33203125" style="170" customWidth="1"/>
    <col min="9" max="9" width="2.6640625" style="170" customWidth="1"/>
    <col min="10" max="10" width="20.33203125" style="170" customWidth="1"/>
    <col min="11" max="11" width="1.5546875" style="170" customWidth="1"/>
  </cols>
  <sheetData>
    <row r="1" spans="1:12" ht="9" customHeight="1" x14ac:dyDescent="0.3">
      <c r="L1" s="170"/>
    </row>
    <row r="2" spans="1:12" x14ac:dyDescent="0.3">
      <c r="A2" s="167"/>
      <c r="B2" s="168"/>
      <c r="C2" s="395"/>
      <c r="D2" s="395"/>
      <c r="E2" s="395"/>
      <c r="F2" s="395"/>
      <c r="G2" s="395"/>
      <c r="H2" s="395"/>
      <c r="I2" s="395"/>
      <c r="J2" s="395"/>
      <c r="K2" s="169"/>
      <c r="L2" s="167"/>
    </row>
    <row r="3" spans="1:12" ht="82.5" customHeight="1" x14ac:dyDescent="0.3">
      <c r="A3" s="167"/>
      <c r="B3" s="171"/>
      <c r="C3" s="396"/>
      <c r="D3" s="396"/>
      <c r="E3" s="396"/>
      <c r="F3" s="396"/>
      <c r="G3" s="396"/>
      <c r="H3" s="396"/>
      <c r="I3" s="396"/>
      <c r="J3" s="396"/>
      <c r="K3" s="172"/>
      <c r="L3" s="167"/>
    </row>
    <row r="4" spans="1:12" x14ac:dyDescent="0.3">
      <c r="A4" s="145"/>
      <c r="B4" s="171"/>
      <c r="C4" s="145"/>
      <c r="D4" s="145"/>
      <c r="E4" s="145"/>
      <c r="F4" s="145"/>
      <c r="G4" s="145"/>
      <c r="H4" s="145"/>
      <c r="I4" s="145"/>
      <c r="J4" s="145"/>
      <c r="K4" s="172"/>
      <c r="L4" s="145"/>
    </row>
    <row r="5" spans="1:12" ht="18" customHeight="1" x14ac:dyDescent="0.3">
      <c r="B5" s="173"/>
      <c r="C5" s="406" t="s">
        <v>300</v>
      </c>
      <c r="D5" s="406"/>
      <c r="E5" s="406"/>
      <c r="F5" s="406"/>
      <c r="G5" s="406"/>
      <c r="H5" s="406"/>
      <c r="I5" s="406"/>
      <c r="J5" s="406"/>
      <c r="K5" s="174"/>
      <c r="L5" s="170"/>
    </row>
    <row r="6" spans="1:12" ht="9" customHeight="1" x14ac:dyDescent="0.3">
      <c r="B6" s="141"/>
      <c r="C6" s="145"/>
      <c r="D6" s="145"/>
      <c r="E6" s="143"/>
      <c r="F6" s="143"/>
      <c r="G6" s="145"/>
      <c r="I6" s="145"/>
      <c r="J6" s="145"/>
      <c r="K6" s="164"/>
      <c r="L6" s="170"/>
    </row>
    <row r="7" spans="1:12" ht="15" customHeight="1" x14ac:dyDescent="0.3">
      <c r="B7" s="141"/>
      <c r="C7" s="424" t="s">
        <v>312</v>
      </c>
      <c r="D7" s="424"/>
      <c r="E7" s="424"/>
      <c r="F7" s="426" t="s">
        <v>294</v>
      </c>
      <c r="G7" s="270"/>
      <c r="H7" s="426" t="s">
        <v>295</v>
      </c>
      <c r="I7" s="270"/>
      <c r="J7" s="426" t="s">
        <v>296</v>
      </c>
      <c r="K7" s="164"/>
      <c r="L7" s="170"/>
    </row>
    <row r="8" spans="1:12" ht="15" customHeight="1" x14ac:dyDescent="0.3">
      <c r="B8" s="141"/>
      <c r="C8" s="425"/>
      <c r="D8" s="425"/>
      <c r="E8" s="425"/>
      <c r="F8" s="427"/>
      <c r="G8" s="271"/>
      <c r="H8" s="427"/>
      <c r="I8" s="271"/>
      <c r="J8" s="427"/>
      <c r="K8" s="164"/>
      <c r="L8" s="170"/>
    </row>
    <row r="9" spans="1:12" x14ac:dyDescent="0.3">
      <c r="B9" s="141"/>
      <c r="C9" s="143"/>
      <c r="D9" s="143" t="s">
        <v>186</v>
      </c>
      <c r="F9" s="152">
        <f ca="1">PREMISSAS!G87</f>
        <v>0</v>
      </c>
      <c r="G9" s="145"/>
      <c r="H9" s="285">
        <f ca="1">PREMISSAS!J87</f>
        <v>0</v>
      </c>
      <c r="J9" s="285">
        <f ca="1">H9</f>
        <v>0</v>
      </c>
      <c r="K9" s="164"/>
      <c r="L9" s="170"/>
    </row>
    <row r="10" spans="1:12" x14ac:dyDescent="0.3">
      <c r="B10" s="141"/>
      <c r="C10" s="145"/>
      <c r="D10" s="143" t="s">
        <v>291</v>
      </c>
      <c r="F10" s="238"/>
      <c r="G10" s="145"/>
      <c r="H10" s="301">
        <f ca="1">IFERROR(IF(Preencher_Dados!$I$39&gt;0,Preencher_Dados!$I$39,RESULTADOS!I32),"")</f>
        <v>0</v>
      </c>
      <c r="J10" s="301">
        <f ca="1">$H$10</f>
        <v>0</v>
      </c>
      <c r="K10" s="164"/>
      <c r="L10" s="170"/>
    </row>
    <row r="11" spans="1:12" x14ac:dyDescent="0.3">
      <c r="B11" s="141"/>
      <c r="C11" s="145"/>
      <c r="D11" s="143" t="s">
        <v>293</v>
      </c>
      <c r="F11" s="238"/>
      <c r="G11" s="145"/>
      <c r="H11" s="284"/>
      <c r="J11" s="301">
        <f ca="1">PREMISSAS!M87</f>
        <v>331.28</v>
      </c>
      <c r="K11" s="164"/>
      <c r="L11" s="170"/>
    </row>
    <row r="12" spans="1:12" x14ac:dyDescent="0.3">
      <c r="B12" s="141"/>
      <c r="C12" s="145"/>
      <c r="D12" s="234" t="s">
        <v>262</v>
      </c>
      <c r="F12" s="235">
        <f ca="1">-PREMISSAS!H96</f>
        <v>0</v>
      </c>
      <c r="G12" s="145"/>
      <c r="H12" s="283">
        <v>0</v>
      </c>
      <c r="J12" s="283">
        <f>H12</f>
        <v>0</v>
      </c>
      <c r="K12" s="164"/>
      <c r="L12" s="170"/>
    </row>
    <row r="13" spans="1:12" x14ac:dyDescent="0.3">
      <c r="B13" s="141"/>
      <c r="C13" s="145"/>
      <c r="D13" s="153" t="s">
        <v>173</v>
      </c>
      <c r="F13" s="154">
        <f ca="1">F9+F12</f>
        <v>0</v>
      </c>
      <c r="G13" s="145"/>
      <c r="H13" s="302">
        <f ca="1">SUM(H9:H12)</f>
        <v>0</v>
      </c>
      <c r="J13" s="302">
        <f ca="1">SUM(J9:J12)</f>
        <v>331.28</v>
      </c>
      <c r="K13" s="164"/>
      <c r="L13" s="170"/>
    </row>
    <row r="14" spans="1:12" x14ac:dyDescent="0.3">
      <c r="B14" s="141"/>
      <c r="C14" s="145"/>
      <c r="D14" s="234" t="s">
        <v>305</v>
      </c>
      <c r="F14" s="235">
        <f ca="1">-PREMISSAS!J96</f>
        <v>0</v>
      </c>
      <c r="G14" s="145"/>
      <c r="H14" s="283">
        <f ca="1">-PREMISSAS!L88</f>
        <v>0</v>
      </c>
      <c r="J14" s="283">
        <f ca="1">-PREMISSAS!N88</f>
        <v>0</v>
      </c>
      <c r="K14" s="164"/>
      <c r="L14" s="170"/>
    </row>
    <row r="15" spans="1:12" x14ac:dyDescent="0.3">
      <c r="B15" s="141"/>
      <c r="C15" s="269"/>
      <c r="D15" s="279" t="s">
        <v>174</v>
      </c>
      <c r="E15" s="274"/>
      <c r="F15" s="275">
        <f ca="1">SUM(F13:F14)</f>
        <v>0</v>
      </c>
      <c r="G15" s="270"/>
      <c r="H15" s="288">
        <f ca="1">SUM(H13:H14)</f>
        <v>0</v>
      </c>
      <c r="I15" s="274"/>
      <c r="J15" s="288">
        <f ca="1">SUM(J13:J14)</f>
        <v>331.28</v>
      </c>
      <c r="K15" s="164"/>
      <c r="L15" s="170"/>
    </row>
    <row r="16" spans="1:12" ht="9" customHeight="1" x14ac:dyDescent="0.3">
      <c r="B16" s="141"/>
      <c r="C16" s="145"/>
      <c r="D16" s="145"/>
      <c r="E16" s="145"/>
      <c r="F16" s="145"/>
      <c r="G16" s="145"/>
      <c r="H16" s="145"/>
      <c r="I16" s="185"/>
      <c r="J16" s="185"/>
      <c r="K16" s="164"/>
      <c r="L16" s="170"/>
    </row>
    <row r="17" spans="2:13" x14ac:dyDescent="0.3">
      <c r="B17" s="141"/>
      <c r="C17" s="419" t="s">
        <v>333</v>
      </c>
      <c r="D17" s="419"/>
      <c r="E17" s="419"/>
      <c r="F17" s="419"/>
      <c r="G17" s="419"/>
      <c r="H17" s="419"/>
      <c r="I17" s="419"/>
      <c r="J17" s="419"/>
      <c r="K17" s="297"/>
      <c r="L17" s="296"/>
      <c r="M17" s="296"/>
    </row>
    <row r="18" spans="2:13" x14ac:dyDescent="0.3">
      <c r="B18" s="141"/>
      <c r="C18" s="419"/>
      <c r="D18" s="419"/>
      <c r="E18" s="419"/>
      <c r="F18" s="419"/>
      <c r="G18" s="419"/>
      <c r="H18" s="419"/>
      <c r="I18" s="419"/>
      <c r="J18" s="419"/>
      <c r="K18" s="297"/>
      <c r="L18" s="296"/>
      <c r="M18" s="296"/>
    </row>
    <row r="19" spans="2:13" x14ac:dyDescent="0.3">
      <c r="B19" s="161"/>
      <c r="C19" s="312" t="s">
        <v>222</v>
      </c>
      <c r="D19" s="313"/>
      <c r="E19" s="313"/>
      <c r="F19" s="313"/>
      <c r="G19" s="313"/>
      <c r="H19" s="313"/>
      <c r="I19" s="313"/>
      <c r="J19" s="314" t="str">
        <f ca="1">"Data da simulação: "&amp;TEXT(TODAY(),"DD/MM/AAAA")</f>
        <v>Data da simulação: 24/11/2022</v>
      </c>
      <c r="K19" s="166"/>
    </row>
  </sheetData>
  <sheetProtection algorithmName="SHA-512" hashValue="MF4ycbUMdHv5B1WnzjENqxdDScs1F32dCHAEBrhGuN+6mhfbr7e9pAJcvvabjF0Y0oC/qrsCxoQLMtLed80l9w==" saltValue="yJBLhsialXQXa3x4Ns+C3A==" spinCount="100000" sheet="1" objects="1" scenarios="1"/>
  <mergeCells count="7">
    <mergeCell ref="C2:J3"/>
    <mergeCell ref="C5:J5"/>
    <mergeCell ref="C17:J18"/>
    <mergeCell ref="C7:E8"/>
    <mergeCell ref="F7:F8"/>
    <mergeCell ref="H7:H8"/>
    <mergeCell ref="J7:J8"/>
  </mergeCells>
  <conditionalFormatting sqref="H9 H12 J12">
    <cfRule type="expression" dxfId="65" priority="144">
      <formula>#REF!=0</formula>
    </cfRule>
  </conditionalFormatting>
  <conditionalFormatting sqref="F12 F9">
    <cfRule type="expression" dxfId="64" priority="142">
      <formula>#REF!=0</formula>
    </cfRule>
    <cfRule type="expression" dxfId="63" priority="143">
      <formula>#REF!="NÃO"</formula>
    </cfRule>
  </conditionalFormatting>
  <conditionalFormatting sqref="F14">
    <cfRule type="expression" dxfId="62" priority="140">
      <formula>#REF!=0</formula>
    </cfRule>
    <cfRule type="expression" dxfId="61" priority="141">
      <formula>#REF!="NÃO"</formula>
    </cfRule>
  </conditionalFormatting>
  <conditionalFormatting sqref="H14">
    <cfRule type="expression" dxfId="60" priority="136">
      <formula>#REF!=0</formula>
    </cfRule>
    <cfRule type="expression" dxfId="59" priority="137">
      <formula>#REF!="NÃO"</formula>
    </cfRule>
  </conditionalFormatting>
  <conditionalFormatting sqref="H10">
    <cfRule type="expression" dxfId="58" priority="138">
      <formula>#REF!=0</formula>
    </cfRule>
    <cfRule type="expression" dxfId="57" priority="139">
      <formula>#REF!="NÃO"</formula>
    </cfRule>
  </conditionalFormatting>
  <conditionalFormatting sqref="H15">
    <cfRule type="expression" dxfId="56" priority="134">
      <formula>#REF!=0</formula>
    </cfRule>
    <cfRule type="expression" dxfId="55" priority="135">
      <formula>#REF!="NÃO"</formula>
    </cfRule>
  </conditionalFormatting>
  <conditionalFormatting sqref="F10">
    <cfRule type="expression" dxfId="54" priority="132">
      <formula>#REF!=0</formula>
    </cfRule>
    <cfRule type="expression" dxfId="53" priority="133">
      <formula>#REF!="NÃO"</formula>
    </cfRule>
  </conditionalFormatting>
  <conditionalFormatting sqref="J9">
    <cfRule type="expression" dxfId="52" priority="118">
      <formula>#REF!=0</formula>
    </cfRule>
  </conditionalFormatting>
  <conditionalFormatting sqref="J15">
    <cfRule type="expression" dxfId="51" priority="116">
      <formula>#REF!=0</formula>
    </cfRule>
    <cfRule type="expression" dxfId="50" priority="117">
      <formula>#REF!="NÃO"</formula>
    </cfRule>
  </conditionalFormatting>
  <conditionalFormatting sqref="H11">
    <cfRule type="expression" dxfId="49" priority="105">
      <formula>#REF!=0</formula>
    </cfRule>
    <cfRule type="expression" dxfId="48" priority="106">
      <formula>#REF!="NÃO"</formula>
    </cfRule>
  </conditionalFormatting>
  <conditionalFormatting sqref="F11">
    <cfRule type="expression" dxfId="47" priority="103">
      <formula>#REF!=0</formula>
    </cfRule>
    <cfRule type="expression" dxfId="46" priority="104">
      <formula>#REF!="NÃO"</formula>
    </cfRule>
  </conditionalFormatting>
  <conditionalFormatting sqref="J11">
    <cfRule type="expression" dxfId="45" priority="101">
      <formula>#REF!=0</formula>
    </cfRule>
    <cfRule type="expression" dxfId="44" priority="102">
      <formula>#REF!="NÃO"</formula>
    </cfRule>
  </conditionalFormatting>
  <conditionalFormatting sqref="J14">
    <cfRule type="expression" dxfId="43" priority="99">
      <formula>#REF!=0</formula>
    </cfRule>
    <cfRule type="expression" dxfId="42" priority="100">
      <formula>#REF!="NÃO"</formula>
    </cfRule>
  </conditionalFormatting>
  <conditionalFormatting sqref="F13">
    <cfRule type="expression" dxfId="41" priority="67">
      <formula>#REF!=0</formula>
    </cfRule>
    <cfRule type="expression" dxfId="40" priority="68">
      <formula>#REF!="NÃO"</formula>
    </cfRule>
  </conditionalFormatting>
  <conditionalFormatting sqref="F15">
    <cfRule type="expression" dxfId="39" priority="65">
      <formula>#REF!=0</formula>
    </cfRule>
    <cfRule type="expression" dxfId="38" priority="66">
      <formula>#REF!="NÃO"</formula>
    </cfRule>
  </conditionalFormatting>
  <conditionalFormatting sqref="H13">
    <cfRule type="expression" dxfId="37" priority="63">
      <formula>#REF!=0</formula>
    </cfRule>
    <cfRule type="expression" dxfId="36" priority="64">
      <formula>#REF!="NÃO"</formula>
    </cfRule>
  </conditionalFormatting>
  <conditionalFormatting sqref="J13">
    <cfRule type="expression" dxfId="35" priority="61">
      <formula>#REF!=0</formula>
    </cfRule>
    <cfRule type="expression" dxfId="34" priority="62">
      <formula>#REF!="NÃO"</formula>
    </cfRule>
  </conditionalFormatting>
  <conditionalFormatting sqref="J10">
    <cfRule type="expression" dxfId="33" priority="21">
      <formula>#REF!=0</formula>
    </cfRule>
    <cfRule type="expression" dxfId="32" priority="22">
      <formula>#REF!="NÃO"</formula>
    </cfRule>
  </conditionalFormatting>
  <pageMargins left="0.511811024" right="0.511811024" top="0.78740157499999996" bottom="0.78740157499999996" header="0.31496062000000002" footer="0.31496062000000002"/>
  <pageSetup paperSize="9"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DC53F"/>
  </sheetPr>
  <dimension ref="A1:M19"/>
  <sheetViews>
    <sheetView showGridLines="0" zoomScaleNormal="100" zoomScaleSheetLayoutView="90" workbookViewId="0">
      <selection activeCell="O14" sqref="O14"/>
    </sheetView>
  </sheetViews>
  <sheetFormatPr defaultRowHeight="14.4" x14ac:dyDescent="0.3"/>
  <cols>
    <col min="1" max="2" width="1.5546875" style="170" customWidth="1"/>
    <col min="3" max="4" width="2.88671875" style="170" customWidth="1"/>
    <col min="5" max="5" width="35.33203125" style="170" customWidth="1"/>
    <col min="6" max="6" width="14.33203125" style="170" customWidth="1"/>
    <col min="7" max="7" width="2.6640625" style="170" customWidth="1"/>
    <col min="8" max="8" width="14.33203125" style="170" customWidth="1"/>
    <col min="9" max="9" width="2.6640625" style="170" customWidth="1"/>
    <col min="10" max="10" width="20.33203125" style="170" customWidth="1"/>
    <col min="11" max="11" width="1.5546875" style="170" customWidth="1"/>
    <col min="13" max="13" width="10.5546875" bestFit="1" customWidth="1"/>
  </cols>
  <sheetData>
    <row r="1" spans="1:13" ht="9" customHeight="1" x14ac:dyDescent="0.3">
      <c r="L1" s="170"/>
    </row>
    <row r="2" spans="1:13" x14ac:dyDescent="0.3">
      <c r="A2" s="167"/>
      <c r="B2" s="168"/>
      <c r="C2" s="395"/>
      <c r="D2" s="395"/>
      <c r="E2" s="395"/>
      <c r="F2" s="395"/>
      <c r="G2" s="395"/>
      <c r="H2" s="395"/>
      <c r="I2" s="395"/>
      <c r="J2" s="395"/>
      <c r="K2" s="169"/>
      <c r="L2" s="167"/>
    </row>
    <row r="3" spans="1:13" ht="82.5" customHeight="1" x14ac:dyDescent="0.3">
      <c r="A3" s="167"/>
      <c r="B3" s="171"/>
      <c r="C3" s="396"/>
      <c r="D3" s="396"/>
      <c r="E3" s="396"/>
      <c r="F3" s="396"/>
      <c r="G3" s="396"/>
      <c r="H3" s="396"/>
      <c r="I3" s="396"/>
      <c r="J3" s="396"/>
      <c r="K3" s="172"/>
      <c r="L3" s="167"/>
    </row>
    <row r="4" spans="1:13" x14ac:dyDescent="0.3">
      <c r="A4" s="145"/>
      <c r="B4" s="171"/>
      <c r="C4" s="145"/>
      <c r="D4" s="145"/>
      <c r="E4" s="145"/>
      <c r="F4" s="145"/>
      <c r="G4" s="145"/>
      <c r="H4" s="145"/>
      <c r="I4" s="145"/>
      <c r="J4" s="145"/>
      <c r="K4" s="172"/>
      <c r="L4" s="145"/>
    </row>
    <row r="5" spans="1:13" ht="18" customHeight="1" x14ac:dyDescent="0.3">
      <c r="B5" s="173"/>
      <c r="C5" s="406" t="s">
        <v>300</v>
      </c>
      <c r="D5" s="406"/>
      <c r="E5" s="406"/>
      <c r="F5" s="406"/>
      <c r="G5" s="406"/>
      <c r="H5" s="406"/>
      <c r="I5" s="406"/>
      <c r="J5" s="406"/>
      <c r="K5" s="174"/>
      <c r="L5" s="170"/>
    </row>
    <row r="6" spans="1:13" ht="9" customHeight="1" x14ac:dyDescent="0.3">
      <c r="B6" s="141"/>
      <c r="C6" s="145"/>
      <c r="D6" s="145"/>
      <c r="E6" s="143"/>
      <c r="F6" s="143"/>
      <c r="G6" s="145"/>
      <c r="H6" s="145"/>
      <c r="J6" s="145"/>
      <c r="K6" s="164"/>
      <c r="L6" s="170"/>
    </row>
    <row r="7" spans="1:13" ht="15" customHeight="1" x14ac:dyDescent="0.3">
      <c r="B7" s="141"/>
      <c r="C7" s="428" t="s">
        <v>313</v>
      </c>
      <c r="D7" s="428"/>
      <c r="E7" s="428"/>
      <c r="F7" s="430" t="s">
        <v>294</v>
      </c>
      <c r="G7" s="272"/>
      <c r="H7" s="430" t="s">
        <v>295</v>
      </c>
      <c r="I7" s="272"/>
      <c r="J7" s="430" t="s">
        <v>296</v>
      </c>
      <c r="K7" s="164"/>
      <c r="L7" s="170"/>
    </row>
    <row r="8" spans="1:13" ht="15" customHeight="1" x14ac:dyDescent="0.3">
      <c r="B8" s="141"/>
      <c r="C8" s="429"/>
      <c r="D8" s="429"/>
      <c r="E8" s="429"/>
      <c r="F8" s="431"/>
      <c r="G8" s="273"/>
      <c r="H8" s="431"/>
      <c r="I8" s="273"/>
      <c r="J8" s="431"/>
      <c r="K8" s="164"/>
      <c r="L8" s="170"/>
    </row>
    <row r="9" spans="1:13" x14ac:dyDescent="0.3">
      <c r="B9" s="141"/>
      <c r="C9" s="143"/>
      <c r="D9" s="143" t="s">
        <v>186</v>
      </c>
      <c r="F9" s="152">
        <f ca="1">PREMISSAS!G100</f>
        <v>0</v>
      </c>
      <c r="G9" s="145"/>
      <c r="H9" s="285">
        <f ca="1">PREMISSAS!J100</f>
        <v>0</v>
      </c>
      <c r="J9" s="285">
        <f ca="1">H9</f>
        <v>0</v>
      </c>
      <c r="K9" s="164"/>
      <c r="L9" s="170"/>
    </row>
    <row r="10" spans="1:13" x14ac:dyDescent="0.3">
      <c r="B10" s="141"/>
      <c r="C10" s="145"/>
      <c r="D10" s="143" t="s">
        <v>291</v>
      </c>
      <c r="F10" s="238"/>
      <c r="G10" s="145"/>
      <c r="H10" s="301">
        <f ca="1">IFERROR(IF(Preencher_Dados!$I$39&gt;0,Preencher_Dados!$I$39,RESULTADOS!I32),"")</f>
        <v>0</v>
      </c>
      <c r="J10" s="301">
        <f ca="1">$H$10</f>
        <v>0</v>
      </c>
      <c r="K10" s="164"/>
      <c r="L10" s="170"/>
    </row>
    <row r="11" spans="1:13" x14ac:dyDescent="0.3">
      <c r="B11" s="141"/>
      <c r="C11" s="145"/>
      <c r="D11" s="143" t="s">
        <v>293</v>
      </c>
      <c r="F11" s="238"/>
      <c r="G11" s="145"/>
      <c r="H11" s="284"/>
      <c r="J11" s="301">
        <f ca="1">PREMISSAS!M100</f>
        <v>331.28</v>
      </c>
      <c r="K11" s="164"/>
      <c r="L11" s="170"/>
      <c r="M11" s="311"/>
    </row>
    <row r="12" spans="1:13" x14ac:dyDescent="0.3">
      <c r="B12" s="141"/>
      <c r="C12" s="145"/>
      <c r="D12" s="234" t="s">
        <v>262</v>
      </c>
      <c r="F12" s="235">
        <f ca="1">-PREMISSAS!H109</f>
        <v>0</v>
      </c>
      <c r="G12" s="145"/>
      <c r="H12" s="283">
        <v>0</v>
      </c>
      <c r="J12" s="283">
        <f>H12</f>
        <v>0</v>
      </c>
      <c r="K12" s="164"/>
      <c r="L12" s="170"/>
    </row>
    <row r="13" spans="1:13" x14ac:dyDescent="0.3">
      <c r="B13" s="141"/>
      <c r="C13" s="145"/>
      <c r="D13" s="153" t="s">
        <v>173</v>
      </c>
      <c r="F13" s="154">
        <f ca="1">F9+F12</f>
        <v>0</v>
      </c>
      <c r="G13" s="145"/>
      <c r="H13" s="302">
        <f ca="1">SUM(H9:H12)</f>
        <v>0</v>
      </c>
      <c r="J13" s="302">
        <f ca="1">SUM(J9:J12)</f>
        <v>331.28</v>
      </c>
      <c r="K13" s="164"/>
      <c r="L13" s="170"/>
    </row>
    <row r="14" spans="1:13" x14ac:dyDescent="0.3">
      <c r="B14" s="141"/>
      <c r="C14" s="145"/>
      <c r="D14" s="234" t="s">
        <v>305</v>
      </c>
      <c r="F14" s="235">
        <f ca="1">-PREMISSAS!J109</f>
        <v>0</v>
      </c>
      <c r="G14" s="145"/>
      <c r="H14" s="283">
        <f ca="1">-PREMISSAS!L101</f>
        <v>0</v>
      </c>
      <c r="J14" s="283">
        <f ca="1">-PREMISSAS!N101</f>
        <v>0</v>
      </c>
      <c r="K14" s="164"/>
      <c r="L14" s="170"/>
    </row>
    <row r="15" spans="1:13" x14ac:dyDescent="0.3">
      <c r="B15" s="141"/>
      <c r="C15" s="268"/>
      <c r="D15" s="278" t="s">
        <v>174</v>
      </c>
      <c r="E15" s="276"/>
      <c r="F15" s="277">
        <f ca="1">SUM(F13:F14)</f>
        <v>0</v>
      </c>
      <c r="G15" s="272"/>
      <c r="H15" s="287">
        <f ca="1">SUM(H13:H14)</f>
        <v>0</v>
      </c>
      <c r="I15" s="276"/>
      <c r="J15" s="287">
        <f ca="1">SUM(J13:J14)</f>
        <v>331.28</v>
      </c>
      <c r="K15" s="164"/>
      <c r="L15" s="170"/>
    </row>
    <row r="16" spans="1:13" ht="9" customHeight="1" x14ac:dyDescent="0.3">
      <c r="B16" s="141"/>
      <c r="C16" s="145"/>
      <c r="D16" s="145"/>
      <c r="E16" s="145"/>
      <c r="F16" s="145"/>
      <c r="G16" s="145"/>
      <c r="H16" s="145"/>
      <c r="I16" s="185"/>
      <c r="J16" s="185"/>
      <c r="K16" s="164"/>
      <c r="L16" s="170"/>
    </row>
    <row r="17" spans="2:13" x14ac:dyDescent="0.3">
      <c r="B17" s="141"/>
      <c r="C17" s="419" t="s">
        <v>333</v>
      </c>
      <c r="D17" s="419"/>
      <c r="E17" s="419"/>
      <c r="F17" s="419"/>
      <c r="G17" s="419"/>
      <c r="H17" s="419"/>
      <c r="I17" s="419"/>
      <c r="J17" s="419"/>
      <c r="K17" s="297"/>
      <c r="L17" s="296"/>
      <c r="M17" s="296"/>
    </row>
    <row r="18" spans="2:13" x14ac:dyDescent="0.3">
      <c r="B18" s="141"/>
      <c r="C18" s="419"/>
      <c r="D18" s="419"/>
      <c r="E18" s="419"/>
      <c r="F18" s="419"/>
      <c r="G18" s="419"/>
      <c r="H18" s="419"/>
      <c r="I18" s="419"/>
      <c r="J18" s="419"/>
      <c r="K18" s="297"/>
      <c r="L18" s="296"/>
      <c r="M18" s="296"/>
    </row>
    <row r="19" spans="2:13" x14ac:dyDescent="0.3">
      <c r="B19" s="161"/>
      <c r="C19" s="312" t="s">
        <v>222</v>
      </c>
      <c r="D19" s="313"/>
      <c r="E19" s="313"/>
      <c r="F19" s="313"/>
      <c r="G19" s="313"/>
      <c r="H19" s="313"/>
      <c r="I19" s="313"/>
      <c r="J19" s="314" t="str">
        <f ca="1">"Data da simulação: "&amp;TEXT(TODAY(),"DD/MM/AAAA")</f>
        <v>Data da simulação: 24/11/2022</v>
      </c>
      <c r="K19" s="166"/>
    </row>
  </sheetData>
  <sheetProtection algorithmName="SHA-512" hashValue="BnDXjHQXRibCoiBNFeQVPiwDEykpNnulqbZi79LMMLQPtRoDh1VzMh15+4QizhX922R0c5yUETN/S14dBg3a1Q==" saltValue="tkfUb0I+8/SBQm5LCFxaiw==" spinCount="100000" sheet="1" objects="1" scenarios="1"/>
  <mergeCells count="7">
    <mergeCell ref="C17:J18"/>
    <mergeCell ref="C2:J3"/>
    <mergeCell ref="C5:J5"/>
    <mergeCell ref="C7:E8"/>
    <mergeCell ref="F7:F8"/>
    <mergeCell ref="H7:H8"/>
    <mergeCell ref="J7:J8"/>
  </mergeCells>
  <conditionalFormatting sqref="H9 H12 J12">
    <cfRule type="expression" dxfId="31" priority="98">
      <formula>#REF!=0</formula>
    </cfRule>
  </conditionalFormatting>
  <conditionalFormatting sqref="F12 F9">
    <cfRule type="expression" dxfId="30" priority="96">
      <formula>#REF!=0</formula>
    </cfRule>
    <cfRule type="expression" dxfId="29" priority="97">
      <formula>#REF!="NÃO"</formula>
    </cfRule>
  </conditionalFormatting>
  <conditionalFormatting sqref="F13">
    <cfRule type="expression" dxfId="28" priority="94">
      <formula>#REF!=0</formula>
    </cfRule>
    <cfRule type="expression" dxfId="27" priority="95">
      <formula>#REF!="NÃO"</formula>
    </cfRule>
  </conditionalFormatting>
  <conditionalFormatting sqref="F14">
    <cfRule type="expression" dxfId="26" priority="92">
      <formula>#REF!=0</formula>
    </cfRule>
    <cfRule type="expression" dxfId="25" priority="93">
      <formula>#REF!="NÃO"</formula>
    </cfRule>
  </conditionalFormatting>
  <conditionalFormatting sqref="F15">
    <cfRule type="expression" dxfId="24" priority="90">
      <formula>#REF!=0</formula>
    </cfRule>
    <cfRule type="expression" dxfId="23" priority="91">
      <formula>#REF!="NÃO"</formula>
    </cfRule>
  </conditionalFormatting>
  <conditionalFormatting sqref="H13">
    <cfRule type="expression" dxfId="22" priority="88">
      <formula>#REF!=0</formula>
    </cfRule>
    <cfRule type="expression" dxfId="21" priority="89">
      <formula>#REF!="NÃO"</formula>
    </cfRule>
  </conditionalFormatting>
  <conditionalFormatting sqref="H14">
    <cfRule type="expression" dxfId="20" priority="86">
      <formula>#REF!=0</formula>
    </cfRule>
    <cfRule type="expression" dxfId="19" priority="87">
      <formula>#REF!="NÃO"</formula>
    </cfRule>
  </conditionalFormatting>
  <conditionalFormatting sqref="H15">
    <cfRule type="expression" dxfId="18" priority="84">
      <formula>#REF!=0</formula>
    </cfRule>
    <cfRule type="expression" dxfId="17" priority="85">
      <formula>#REF!="NÃO"</formula>
    </cfRule>
  </conditionalFormatting>
  <conditionalFormatting sqref="F10">
    <cfRule type="expression" dxfId="16" priority="82">
      <formula>#REF!=0</formula>
    </cfRule>
    <cfRule type="expression" dxfId="15" priority="83">
      <formula>#REF!="NÃO"</formula>
    </cfRule>
  </conditionalFormatting>
  <conditionalFormatting sqref="J9">
    <cfRule type="expression" dxfId="14" priority="81">
      <formula>#REF!=0</formula>
    </cfRule>
  </conditionalFormatting>
  <conditionalFormatting sqref="J13">
    <cfRule type="expression" dxfId="13" priority="79">
      <formula>#REF!=0</formula>
    </cfRule>
    <cfRule type="expression" dxfId="12" priority="80">
      <formula>#REF!="NÃO"</formula>
    </cfRule>
  </conditionalFormatting>
  <conditionalFormatting sqref="J15">
    <cfRule type="expression" dxfId="11" priority="77">
      <formula>#REF!=0</formula>
    </cfRule>
    <cfRule type="expression" dxfId="10" priority="78">
      <formula>#REF!="NÃO"</formula>
    </cfRule>
  </conditionalFormatting>
  <conditionalFormatting sqref="H11">
    <cfRule type="expression" dxfId="9" priority="75">
      <formula>#REF!=0</formula>
    </cfRule>
    <cfRule type="expression" dxfId="8" priority="76">
      <formula>#REF!="NÃO"</formula>
    </cfRule>
  </conditionalFormatting>
  <conditionalFormatting sqref="F11">
    <cfRule type="expression" dxfId="7" priority="73">
      <formula>#REF!=0</formula>
    </cfRule>
    <cfRule type="expression" dxfId="6" priority="74">
      <formula>#REF!="NÃO"</formula>
    </cfRule>
  </conditionalFormatting>
  <conditionalFormatting sqref="J11">
    <cfRule type="expression" dxfId="5" priority="71">
      <formula>#REF!=0</formula>
    </cfRule>
    <cfRule type="expression" dxfId="4" priority="72">
      <formula>#REF!="NÃO"</formula>
    </cfRule>
  </conditionalFormatting>
  <conditionalFormatting sqref="J14">
    <cfRule type="expression" dxfId="3" priority="69">
      <formula>#REF!=0</formula>
    </cfRule>
    <cfRule type="expression" dxfId="2" priority="70">
      <formula>#REF!="NÃO"</formula>
    </cfRule>
  </conditionalFormatting>
  <conditionalFormatting sqref="J10 H10">
    <cfRule type="expression" dxfId="1" priority="21">
      <formula>#REF!=0</formula>
    </cfRule>
    <cfRule type="expression" dxfId="0" priority="22">
      <formula>#REF!="NÃO"</formula>
    </cfRule>
  </conditionalFormatting>
  <pageMargins left="0.511811024" right="0.511811024" top="0.78740157499999996" bottom="0.78740157499999996" header="0.31496062000000002" footer="0.31496062000000002"/>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5"/>
  <sheetViews>
    <sheetView workbookViewId="0">
      <selection activeCell="C8" sqref="C8"/>
    </sheetView>
  </sheetViews>
  <sheetFormatPr defaultRowHeight="14.4" x14ac:dyDescent="0.3"/>
  <sheetData>
    <row r="2" spans="2:16" ht="15.6" x14ac:dyDescent="0.3">
      <c r="B2" s="349" t="s">
        <v>258</v>
      </c>
      <c r="C2" s="349"/>
      <c r="D2" s="349"/>
      <c r="E2" s="349"/>
      <c r="F2" s="349"/>
      <c r="H2" s="350" t="s">
        <v>250</v>
      </c>
      <c r="I2" s="350"/>
      <c r="J2" s="350"/>
      <c r="K2" s="350"/>
      <c r="M2" s="351" t="s">
        <v>251</v>
      </c>
      <c r="N2" s="351"/>
      <c r="O2" s="351"/>
      <c r="P2" s="351"/>
    </row>
    <row r="3" spans="2:16" x14ac:dyDescent="0.3">
      <c r="K3" s="202" t="s">
        <v>252</v>
      </c>
      <c r="P3" s="202" t="s">
        <v>252</v>
      </c>
    </row>
    <row r="4" spans="2:16" x14ac:dyDescent="0.3">
      <c r="K4" s="110">
        <f ca="1">I7+IF(J7&lt;C7,MIN(B13-B7+(C13-(J7+(B13-B7)*2))/2,(C7-J7)),0)</f>
        <v>65.041666666666657</v>
      </c>
      <c r="P4" s="110">
        <f ca="1">N7+IF(O7&lt;D7,MIN(B18-B7+(D18-(O7+(B18-B7)*2))/2,(D7-O7)),0)</f>
        <v>62.541666666666664</v>
      </c>
    </row>
    <row r="5" spans="2:16" x14ac:dyDescent="0.3">
      <c r="C5" s="348" t="s">
        <v>253</v>
      </c>
      <c r="D5" s="348"/>
      <c r="E5" s="348" t="s">
        <v>177</v>
      </c>
      <c r="F5" s="348"/>
    </row>
    <row r="6" spans="2:16" x14ac:dyDescent="0.3">
      <c r="B6" s="203" t="s">
        <v>254</v>
      </c>
      <c r="C6" s="202" t="s">
        <v>6</v>
      </c>
      <c r="D6" s="202" t="s">
        <v>7</v>
      </c>
      <c r="E6" s="202" t="s">
        <v>6</v>
      </c>
      <c r="F6" s="202" t="s">
        <v>7</v>
      </c>
      <c r="H6" s="202" t="s">
        <v>255</v>
      </c>
      <c r="I6" s="202" t="s">
        <v>256</v>
      </c>
      <c r="J6" s="202" t="s">
        <v>254</v>
      </c>
      <c r="K6" s="202" t="s">
        <v>257</v>
      </c>
      <c r="M6" s="202" t="s">
        <v>255</v>
      </c>
      <c r="N6" s="202" t="s">
        <v>256</v>
      </c>
      <c r="O6" s="202" t="s">
        <v>254</v>
      </c>
      <c r="P6" s="202" t="s">
        <v>257</v>
      </c>
    </row>
    <row r="7" spans="2:16" x14ac:dyDescent="0.3">
      <c r="B7" s="204">
        <v>2022</v>
      </c>
      <c r="C7" s="193">
        <v>99</v>
      </c>
      <c r="D7" s="193">
        <v>89</v>
      </c>
      <c r="E7" s="193">
        <f t="shared" ref="E7:F18" si="0">C7*12</f>
        <v>1188</v>
      </c>
      <c r="F7" s="193">
        <f t="shared" si="0"/>
        <v>1068</v>
      </c>
      <c r="H7" s="205">
        <f ca="1">ELEGIBILIDADE!C4</f>
        <v>19.833333333333332</v>
      </c>
      <c r="I7" s="205">
        <f ca="1">ELEGIBILIDADE!C3</f>
        <v>44.916666666666664</v>
      </c>
      <c r="J7" s="206">
        <f ca="1">H7+I7</f>
        <v>64.75</v>
      </c>
      <c r="K7" s="191">
        <f t="shared" ref="K7:K18" ca="1" si="1">C7-J7</f>
        <v>34.25</v>
      </c>
      <c r="M7" s="205">
        <f ca="1">H7</f>
        <v>19.833333333333332</v>
      </c>
      <c r="N7" s="205">
        <f ca="1">I7</f>
        <v>44.916666666666664</v>
      </c>
      <c r="O7" s="207">
        <f t="shared" ref="O7:O18" ca="1" si="2">M7+N7</f>
        <v>64.75</v>
      </c>
      <c r="P7" s="208">
        <f ca="1">D7-O7</f>
        <v>24.25</v>
      </c>
    </row>
    <row r="8" spans="2:16" x14ac:dyDescent="0.3">
      <c r="B8" s="204">
        <v>2023</v>
      </c>
      <c r="C8" s="193">
        <v>100</v>
      </c>
      <c r="D8" s="193">
        <v>90</v>
      </c>
      <c r="E8" s="193">
        <f t="shared" si="0"/>
        <v>1200</v>
      </c>
      <c r="F8" s="193">
        <f t="shared" si="0"/>
        <v>1080</v>
      </c>
      <c r="H8" s="206">
        <f t="shared" ref="H8:I18" ca="1" si="3">H7+1</f>
        <v>20.833333333333332</v>
      </c>
      <c r="I8" s="206">
        <f t="shared" ca="1" si="3"/>
        <v>45.916666666666664</v>
      </c>
      <c r="J8" s="206">
        <f t="shared" ref="J8:J18" ca="1" si="4">H8+I8</f>
        <v>66.75</v>
      </c>
      <c r="K8" s="191">
        <f t="shared" ca="1" si="1"/>
        <v>33.25</v>
      </c>
      <c r="M8" s="207">
        <f t="shared" ref="M8:N18" ca="1" si="5">M7+1</f>
        <v>20.833333333333332</v>
      </c>
      <c r="N8" s="207">
        <f t="shared" ca="1" si="5"/>
        <v>45.916666666666664</v>
      </c>
      <c r="O8" s="207">
        <f t="shared" ca="1" si="2"/>
        <v>66.75</v>
      </c>
      <c r="P8" s="208">
        <f t="shared" ref="P8:P18" ca="1" si="6">D8-O8</f>
        <v>23.25</v>
      </c>
    </row>
    <row r="9" spans="2:16" x14ac:dyDescent="0.3">
      <c r="B9" s="204">
        <v>2024</v>
      </c>
      <c r="C9" s="193">
        <v>101</v>
      </c>
      <c r="D9" s="193">
        <v>91</v>
      </c>
      <c r="E9" s="193">
        <f t="shared" si="0"/>
        <v>1212</v>
      </c>
      <c r="F9" s="193">
        <f t="shared" si="0"/>
        <v>1092</v>
      </c>
      <c r="H9" s="206">
        <f t="shared" ca="1" si="3"/>
        <v>21.833333333333332</v>
      </c>
      <c r="I9" s="206">
        <f t="shared" ca="1" si="3"/>
        <v>46.916666666666664</v>
      </c>
      <c r="J9" s="206">
        <f t="shared" ca="1" si="4"/>
        <v>68.75</v>
      </c>
      <c r="K9" s="191">
        <f t="shared" ca="1" si="1"/>
        <v>32.25</v>
      </c>
      <c r="M9" s="207">
        <f t="shared" ca="1" si="5"/>
        <v>21.833333333333332</v>
      </c>
      <c r="N9" s="207">
        <f t="shared" ca="1" si="5"/>
        <v>46.916666666666664</v>
      </c>
      <c r="O9" s="207">
        <f t="shared" ca="1" si="2"/>
        <v>68.75</v>
      </c>
      <c r="P9" s="208">
        <f t="shared" ca="1" si="6"/>
        <v>22.25</v>
      </c>
    </row>
    <row r="10" spans="2:16" x14ac:dyDescent="0.3">
      <c r="B10" s="204">
        <v>2025</v>
      </c>
      <c r="C10" s="193">
        <v>102</v>
      </c>
      <c r="D10" s="193">
        <v>92</v>
      </c>
      <c r="E10" s="193">
        <f t="shared" si="0"/>
        <v>1224</v>
      </c>
      <c r="F10" s="193">
        <f t="shared" si="0"/>
        <v>1104</v>
      </c>
      <c r="H10" s="206">
        <f t="shared" ca="1" si="3"/>
        <v>22.833333333333332</v>
      </c>
      <c r="I10" s="206">
        <f t="shared" ca="1" si="3"/>
        <v>47.916666666666664</v>
      </c>
      <c r="J10" s="206">
        <f ca="1">H10+I10</f>
        <v>70.75</v>
      </c>
      <c r="K10" s="191">
        <f t="shared" ca="1" si="1"/>
        <v>31.25</v>
      </c>
      <c r="M10" s="207">
        <f t="shared" ca="1" si="5"/>
        <v>22.833333333333332</v>
      </c>
      <c r="N10" s="207">
        <f t="shared" ca="1" si="5"/>
        <v>47.916666666666664</v>
      </c>
      <c r="O10" s="207">
        <f t="shared" ca="1" si="2"/>
        <v>70.75</v>
      </c>
      <c r="P10" s="208">
        <f t="shared" ca="1" si="6"/>
        <v>21.25</v>
      </c>
    </row>
    <row r="11" spans="2:16" x14ac:dyDescent="0.3">
      <c r="B11" s="204">
        <v>2026</v>
      </c>
      <c r="C11" s="193">
        <v>103</v>
      </c>
      <c r="D11" s="193">
        <v>93</v>
      </c>
      <c r="E11" s="193">
        <f t="shared" si="0"/>
        <v>1236</v>
      </c>
      <c r="F11" s="193">
        <f t="shared" si="0"/>
        <v>1116</v>
      </c>
      <c r="H11" s="206">
        <f t="shared" ca="1" si="3"/>
        <v>23.833333333333332</v>
      </c>
      <c r="I11" s="206">
        <f t="shared" ca="1" si="3"/>
        <v>48.916666666666664</v>
      </c>
      <c r="J11" s="206">
        <f t="shared" ca="1" si="4"/>
        <v>72.75</v>
      </c>
      <c r="K11" s="191">
        <f t="shared" ca="1" si="1"/>
        <v>30.25</v>
      </c>
      <c r="M11" s="207">
        <f t="shared" ca="1" si="5"/>
        <v>23.833333333333332</v>
      </c>
      <c r="N11" s="207">
        <f t="shared" ca="1" si="5"/>
        <v>48.916666666666664</v>
      </c>
      <c r="O11" s="207">
        <f t="shared" ca="1" si="2"/>
        <v>72.75</v>
      </c>
      <c r="P11" s="208">
        <f t="shared" ca="1" si="6"/>
        <v>20.25</v>
      </c>
    </row>
    <row r="12" spans="2:16" x14ac:dyDescent="0.3">
      <c r="B12" s="204">
        <v>2027</v>
      </c>
      <c r="C12" s="193">
        <v>104</v>
      </c>
      <c r="D12" s="193">
        <v>94</v>
      </c>
      <c r="E12" s="193">
        <f t="shared" si="0"/>
        <v>1248</v>
      </c>
      <c r="F12" s="193">
        <f t="shared" si="0"/>
        <v>1128</v>
      </c>
      <c r="H12" s="206">
        <f t="shared" ca="1" si="3"/>
        <v>24.833333333333332</v>
      </c>
      <c r="I12" s="206">
        <f t="shared" ca="1" si="3"/>
        <v>49.916666666666664</v>
      </c>
      <c r="J12" s="206">
        <f t="shared" ca="1" si="4"/>
        <v>74.75</v>
      </c>
      <c r="K12" s="191">
        <f t="shared" ca="1" si="1"/>
        <v>29.25</v>
      </c>
      <c r="M12" s="207">
        <f t="shared" ca="1" si="5"/>
        <v>24.833333333333332</v>
      </c>
      <c r="N12" s="207">
        <f t="shared" ca="1" si="5"/>
        <v>49.916666666666664</v>
      </c>
      <c r="O12" s="207">
        <f t="shared" ca="1" si="2"/>
        <v>74.75</v>
      </c>
      <c r="P12" s="208">
        <f t="shared" ca="1" si="6"/>
        <v>19.25</v>
      </c>
    </row>
    <row r="13" spans="2:16" x14ac:dyDescent="0.3">
      <c r="B13" s="204">
        <v>2028</v>
      </c>
      <c r="C13" s="193">
        <v>105</v>
      </c>
      <c r="D13" s="193">
        <v>95</v>
      </c>
      <c r="E13" s="193">
        <f t="shared" si="0"/>
        <v>1260</v>
      </c>
      <c r="F13" s="193">
        <f t="shared" si="0"/>
        <v>1140</v>
      </c>
      <c r="H13" s="206">
        <f t="shared" ca="1" si="3"/>
        <v>25.833333333333332</v>
      </c>
      <c r="I13" s="206">
        <f t="shared" ca="1" si="3"/>
        <v>50.916666666666664</v>
      </c>
      <c r="J13" s="206">
        <f t="shared" ca="1" si="4"/>
        <v>76.75</v>
      </c>
      <c r="K13" s="191">
        <f t="shared" ca="1" si="1"/>
        <v>28.25</v>
      </c>
      <c r="M13" s="207">
        <f t="shared" ca="1" si="5"/>
        <v>25.833333333333332</v>
      </c>
      <c r="N13" s="207">
        <f t="shared" ca="1" si="5"/>
        <v>50.916666666666664</v>
      </c>
      <c r="O13" s="207">
        <f t="shared" ca="1" si="2"/>
        <v>76.75</v>
      </c>
      <c r="P13" s="208">
        <f t="shared" ca="1" si="6"/>
        <v>18.25</v>
      </c>
    </row>
    <row r="14" spans="2:16" x14ac:dyDescent="0.3">
      <c r="B14" s="204">
        <v>2029</v>
      </c>
      <c r="C14" s="193">
        <v>105</v>
      </c>
      <c r="D14" s="193">
        <v>96</v>
      </c>
      <c r="E14" s="193">
        <f t="shared" si="0"/>
        <v>1260</v>
      </c>
      <c r="F14" s="193">
        <f t="shared" si="0"/>
        <v>1152</v>
      </c>
      <c r="H14" s="206">
        <f t="shared" ca="1" si="3"/>
        <v>26.833333333333332</v>
      </c>
      <c r="I14" s="206">
        <f t="shared" ca="1" si="3"/>
        <v>51.916666666666664</v>
      </c>
      <c r="J14" s="206">
        <f t="shared" ca="1" si="4"/>
        <v>78.75</v>
      </c>
      <c r="K14" s="191">
        <f t="shared" ca="1" si="1"/>
        <v>26.25</v>
      </c>
      <c r="M14" s="207">
        <f t="shared" ca="1" si="5"/>
        <v>26.833333333333332</v>
      </c>
      <c r="N14" s="207">
        <f t="shared" ca="1" si="5"/>
        <v>51.916666666666664</v>
      </c>
      <c r="O14" s="207">
        <f t="shared" ca="1" si="2"/>
        <v>78.75</v>
      </c>
      <c r="P14" s="208">
        <f t="shared" ca="1" si="6"/>
        <v>17.25</v>
      </c>
    </row>
    <row r="15" spans="2:16" x14ac:dyDescent="0.3">
      <c r="B15" s="204">
        <v>2030</v>
      </c>
      <c r="C15" s="193">
        <v>105</v>
      </c>
      <c r="D15" s="193">
        <v>97</v>
      </c>
      <c r="E15" s="193">
        <f t="shared" si="0"/>
        <v>1260</v>
      </c>
      <c r="F15" s="193">
        <f t="shared" si="0"/>
        <v>1164</v>
      </c>
      <c r="H15" s="206">
        <f t="shared" ca="1" si="3"/>
        <v>27.833333333333332</v>
      </c>
      <c r="I15" s="206">
        <f t="shared" ca="1" si="3"/>
        <v>52.916666666666664</v>
      </c>
      <c r="J15" s="206">
        <f t="shared" ca="1" si="4"/>
        <v>80.75</v>
      </c>
      <c r="K15" s="191">
        <f t="shared" ca="1" si="1"/>
        <v>24.25</v>
      </c>
      <c r="M15" s="207">
        <f t="shared" ca="1" si="5"/>
        <v>27.833333333333332</v>
      </c>
      <c r="N15" s="207">
        <f t="shared" ca="1" si="5"/>
        <v>52.916666666666664</v>
      </c>
      <c r="O15" s="207">
        <f t="shared" ca="1" si="2"/>
        <v>80.75</v>
      </c>
      <c r="P15" s="208">
        <f t="shared" ca="1" si="6"/>
        <v>16.25</v>
      </c>
    </row>
    <row r="16" spans="2:16" x14ac:dyDescent="0.3">
      <c r="B16" s="204">
        <v>2031</v>
      </c>
      <c r="C16" s="193">
        <v>105</v>
      </c>
      <c r="D16" s="193">
        <v>98</v>
      </c>
      <c r="E16" s="193">
        <f t="shared" si="0"/>
        <v>1260</v>
      </c>
      <c r="F16" s="193">
        <f t="shared" si="0"/>
        <v>1176</v>
      </c>
      <c r="H16" s="206">
        <f t="shared" ca="1" si="3"/>
        <v>28.833333333333332</v>
      </c>
      <c r="I16" s="206">
        <f t="shared" ca="1" si="3"/>
        <v>53.916666666666664</v>
      </c>
      <c r="J16" s="206">
        <f t="shared" ca="1" si="4"/>
        <v>82.75</v>
      </c>
      <c r="K16" s="191">
        <f t="shared" ca="1" si="1"/>
        <v>22.25</v>
      </c>
      <c r="M16" s="207">
        <f t="shared" ca="1" si="5"/>
        <v>28.833333333333332</v>
      </c>
      <c r="N16" s="207">
        <f t="shared" ca="1" si="5"/>
        <v>53.916666666666664</v>
      </c>
      <c r="O16" s="207">
        <f t="shared" ca="1" si="2"/>
        <v>82.75</v>
      </c>
      <c r="P16" s="208">
        <f t="shared" ca="1" si="6"/>
        <v>15.25</v>
      </c>
    </row>
    <row r="17" spans="2:16" x14ac:dyDescent="0.3">
      <c r="B17" s="204">
        <v>2032</v>
      </c>
      <c r="C17" s="193">
        <v>105</v>
      </c>
      <c r="D17" s="193">
        <v>99</v>
      </c>
      <c r="E17" s="193">
        <f t="shared" si="0"/>
        <v>1260</v>
      </c>
      <c r="F17" s="193">
        <f t="shared" si="0"/>
        <v>1188</v>
      </c>
      <c r="H17" s="206">
        <f t="shared" ca="1" si="3"/>
        <v>29.833333333333332</v>
      </c>
      <c r="I17" s="206">
        <f ca="1">I16+1</f>
        <v>54.916666666666664</v>
      </c>
      <c r="J17" s="206">
        <f t="shared" ca="1" si="4"/>
        <v>84.75</v>
      </c>
      <c r="K17" s="191">
        <f t="shared" ca="1" si="1"/>
        <v>20.25</v>
      </c>
      <c r="M17" s="207">
        <f t="shared" ca="1" si="5"/>
        <v>29.833333333333332</v>
      </c>
      <c r="N17" s="207">
        <f t="shared" ca="1" si="5"/>
        <v>54.916666666666664</v>
      </c>
      <c r="O17" s="207">
        <f t="shared" ca="1" si="2"/>
        <v>84.75</v>
      </c>
      <c r="P17" s="208">
        <f t="shared" ca="1" si="6"/>
        <v>14.25</v>
      </c>
    </row>
    <row r="18" spans="2:16" x14ac:dyDescent="0.3">
      <c r="B18" s="204">
        <v>2033</v>
      </c>
      <c r="C18" s="193">
        <v>105</v>
      </c>
      <c r="D18" s="193">
        <v>100</v>
      </c>
      <c r="E18" s="193">
        <f t="shared" si="0"/>
        <v>1260</v>
      </c>
      <c r="F18" s="193">
        <f t="shared" si="0"/>
        <v>1200</v>
      </c>
      <c r="H18" s="206">
        <f t="shared" ca="1" si="3"/>
        <v>30.833333333333332</v>
      </c>
      <c r="I18" s="206">
        <f ca="1">I17+1</f>
        <v>55.916666666666664</v>
      </c>
      <c r="J18" s="206">
        <f t="shared" ca="1" si="4"/>
        <v>86.75</v>
      </c>
      <c r="K18" s="191">
        <f t="shared" ca="1" si="1"/>
        <v>18.25</v>
      </c>
      <c r="M18" s="207">
        <f t="shared" ca="1" si="5"/>
        <v>30.833333333333332</v>
      </c>
      <c r="N18" s="207">
        <f t="shared" ca="1" si="5"/>
        <v>55.916666666666664</v>
      </c>
      <c r="O18" s="207">
        <f t="shared" ca="1" si="2"/>
        <v>86.75</v>
      </c>
      <c r="P18" s="208">
        <f t="shared" ca="1" si="6"/>
        <v>13.25</v>
      </c>
    </row>
    <row r="22" spans="2:16" ht="15.6" x14ac:dyDescent="0.3">
      <c r="B22" s="349" t="s">
        <v>259</v>
      </c>
      <c r="C22" s="349"/>
      <c r="D22" s="349"/>
      <c r="E22" s="349"/>
      <c r="F22" s="349"/>
      <c r="H22" s="350" t="s">
        <v>250</v>
      </c>
      <c r="I22" s="350"/>
      <c r="J22" s="350"/>
      <c r="K22" s="350"/>
      <c r="M22" s="351" t="s">
        <v>251</v>
      </c>
      <c r="N22" s="351"/>
      <c r="O22" s="351"/>
      <c r="P22" s="351"/>
    </row>
    <row r="23" spans="2:16" x14ac:dyDescent="0.3">
      <c r="K23" s="202" t="s">
        <v>252</v>
      </c>
      <c r="P23" s="202" t="s">
        <v>252</v>
      </c>
    </row>
    <row r="24" spans="2:16" x14ac:dyDescent="0.3">
      <c r="K24" s="110">
        <f ca="1">I27+IF(J27&lt;C27,MIN(B33-B27+(C33-(J27+(B33-B27)*2))/2,(C27-J27)),0)</f>
        <v>62.541666666666664</v>
      </c>
      <c r="P24" s="110">
        <f ca="1">N27+IF(O27&lt;D27,MIN(B35-B27+(D35-(O27+(B35-B27)*2))/2,(D27-O27)),0)</f>
        <v>58.541666666666664</v>
      </c>
    </row>
    <row r="25" spans="2:16" x14ac:dyDescent="0.3">
      <c r="C25" s="348" t="s">
        <v>253</v>
      </c>
      <c r="D25" s="348"/>
      <c r="E25" s="348" t="s">
        <v>177</v>
      </c>
      <c r="F25" s="348"/>
    </row>
    <row r="26" spans="2:16" x14ac:dyDescent="0.3">
      <c r="B26" s="203" t="s">
        <v>254</v>
      </c>
      <c r="C26" s="202" t="s">
        <v>6</v>
      </c>
      <c r="D26" s="202" t="s">
        <v>7</v>
      </c>
      <c r="E26" s="202" t="s">
        <v>6</v>
      </c>
      <c r="F26" s="202" t="s">
        <v>7</v>
      </c>
      <c r="H26" s="202" t="s">
        <v>255</v>
      </c>
      <c r="I26" s="202" t="s">
        <v>256</v>
      </c>
      <c r="J26" s="202" t="s">
        <v>254</v>
      </c>
      <c r="K26" s="202" t="s">
        <v>257</v>
      </c>
      <c r="M26" s="202" t="s">
        <v>255</v>
      </c>
      <c r="N26" s="202" t="s">
        <v>256</v>
      </c>
      <c r="O26" s="202" t="s">
        <v>254</v>
      </c>
      <c r="P26" s="202" t="s">
        <v>257</v>
      </c>
    </row>
    <row r="27" spans="2:16" x14ac:dyDescent="0.3">
      <c r="B27" s="204">
        <v>2022</v>
      </c>
      <c r="C27" s="193">
        <v>94</v>
      </c>
      <c r="D27" s="193">
        <v>84</v>
      </c>
      <c r="E27" s="193">
        <f t="shared" ref="E27:E35" si="7">C27*12</f>
        <v>1128</v>
      </c>
      <c r="F27" s="193">
        <f t="shared" ref="F27:F35" si="8">D27*12</f>
        <v>1008</v>
      </c>
      <c r="H27" s="205">
        <f ca="1">H7</f>
        <v>19.833333333333332</v>
      </c>
      <c r="I27" s="205">
        <f ca="1">I7</f>
        <v>44.916666666666664</v>
      </c>
      <c r="J27" s="206">
        <f ca="1">H27+I27</f>
        <v>64.75</v>
      </c>
      <c r="K27" s="191">
        <f t="shared" ref="K27:K35" ca="1" si="9">C27-J27</f>
        <v>29.25</v>
      </c>
      <c r="M27" s="205">
        <f ca="1">H27</f>
        <v>19.833333333333332</v>
      </c>
      <c r="N27" s="205">
        <f ca="1">I27</f>
        <v>44.916666666666664</v>
      </c>
      <c r="O27" s="207">
        <f t="shared" ref="O27:O35" ca="1" si="10">M27+N27</f>
        <v>64.75</v>
      </c>
      <c r="P27" s="208">
        <f ca="1">D27-O27</f>
        <v>19.25</v>
      </c>
    </row>
    <row r="28" spans="2:16" x14ac:dyDescent="0.3">
      <c r="B28" s="204">
        <v>2023</v>
      </c>
      <c r="C28" s="193">
        <v>95</v>
      </c>
      <c r="D28" s="193">
        <v>85</v>
      </c>
      <c r="E28" s="193">
        <f t="shared" si="7"/>
        <v>1140</v>
      </c>
      <c r="F28" s="193">
        <f t="shared" si="8"/>
        <v>1020</v>
      </c>
      <c r="H28" s="206">
        <f t="shared" ref="H28:I28" ca="1" si="11">H27+1</f>
        <v>20.833333333333332</v>
      </c>
      <c r="I28" s="206">
        <f t="shared" ca="1" si="11"/>
        <v>45.916666666666664</v>
      </c>
      <c r="J28" s="206">
        <f t="shared" ref="J28:J29" ca="1" si="12">H28+I28</f>
        <v>66.75</v>
      </c>
      <c r="K28" s="191">
        <f t="shared" ca="1" si="9"/>
        <v>28.25</v>
      </c>
      <c r="M28" s="207">
        <f t="shared" ref="M28:N28" ca="1" si="13">M27+1</f>
        <v>20.833333333333332</v>
      </c>
      <c r="N28" s="207">
        <f t="shared" ca="1" si="13"/>
        <v>45.916666666666664</v>
      </c>
      <c r="O28" s="207">
        <f t="shared" ca="1" si="10"/>
        <v>66.75</v>
      </c>
      <c r="P28" s="208">
        <f t="shared" ref="P28:P35" ca="1" si="14">D28-O28</f>
        <v>18.25</v>
      </c>
    </row>
    <row r="29" spans="2:16" x14ac:dyDescent="0.3">
      <c r="B29" s="204">
        <v>2024</v>
      </c>
      <c r="C29" s="193">
        <v>96</v>
      </c>
      <c r="D29" s="193">
        <v>86</v>
      </c>
      <c r="E29" s="193">
        <f t="shared" si="7"/>
        <v>1152</v>
      </c>
      <c r="F29" s="193">
        <f t="shared" si="8"/>
        <v>1032</v>
      </c>
      <c r="H29" s="206">
        <f t="shared" ref="H29:I29" ca="1" si="15">H28+1</f>
        <v>21.833333333333332</v>
      </c>
      <c r="I29" s="206">
        <f t="shared" ca="1" si="15"/>
        <v>46.916666666666664</v>
      </c>
      <c r="J29" s="206">
        <f t="shared" ca="1" si="12"/>
        <v>68.75</v>
      </c>
      <c r="K29" s="191">
        <f t="shared" ca="1" si="9"/>
        <v>27.25</v>
      </c>
      <c r="M29" s="207">
        <f t="shared" ref="M29:N29" ca="1" si="16">M28+1</f>
        <v>21.833333333333332</v>
      </c>
      <c r="N29" s="207">
        <f t="shared" ca="1" si="16"/>
        <v>46.916666666666664</v>
      </c>
      <c r="O29" s="207">
        <f t="shared" ca="1" si="10"/>
        <v>68.75</v>
      </c>
      <c r="P29" s="208">
        <f t="shared" ca="1" si="14"/>
        <v>17.25</v>
      </c>
    </row>
    <row r="30" spans="2:16" x14ac:dyDescent="0.3">
      <c r="B30" s="204">
        <v>2025</v>
      </c>
      <c r="C30" s="193">
        <v>97</v>
      </c>
      <c r="D30" s="193">
        <v>87</v>
      </c>
      <c r="E30" s="193">
        <f t="shared" si="7"/>
        <v>1164</v>
      </c>
      <c r="F30" s="193">
        <f t="shared" si="8"/>
        <v>1044</v>
      </c>
      <c r="H30" s="206">
        <f t="shared" ref="H30:I30" ca="1" si="17">H29+1</f>
        <v>22.833333333333332</v>
      </c>
      <c r="I30" s="206">
        <f t="shared" ca="1" si="17"/>
        <v>47.916666666666664</v>
      </c>
      <c r="J30" s="206">
        <f ca="1">H30+I30</f>
        <v>70.75</v>
      </c>
      <c r="K30" s="191">
        <f t="shared" ca="1" si="9"/>
        <v>26.25</v>
      </c>
      <c r="M30" s="207">
        <f t="shared" ref="M30:N30" ca="1" si="18">M29+1</f>
        <v>22.833333333333332</v>
      </c>
      <c r="N30" s="207">
        <f t="shared" ca="1" si="18"/>
        <v>47.916666666666664</v>
      </c>
      <c r="O30" s="207">
        <f t="shared" ca="1" si="10"/>
        <v>70.75</v>
      </c>
      <c r="P30" s="208">
        <f t="shared" ca="1" si="14"/>
        <v>16.25</v>
      </c>
    </row>
    <row r="31" spans="2:16" x14ac:dyDescent="0.3">
      <c r="B31" s="204">
        <v>2026</v>
      </c>
      <c r="C31" s="193">
        <v>98</v>
      </c>
      <c r="D31" s="193">
        <v>88</v>
      </c>
      <c r="E31" s="193">
        <f t="shared" si="7"/>
        <v>1176</v>
      </c>
      <c r="F31" s="193">
        <f t="shared" si="8"/>
        <v>1056</v>
      </c>
      <c r="H31" s="206">
        <f t="shared" ref="H31:I31" ca="1" si="19">H30+1</f>
        <v>23.833333333333332</v>
      </c>
      <c r="I31" s="206">
        <f t="shared" ca="1" si="19"/>
        <v>48.916666666666664</v>
      </c>
      <c r="J31" s="206">
        <f t="shared" ref="J31:J35" ca="1" si="20">H31+I31</f>
        <v>72.75</v>
      </c>
      <c r="K31" s="191">
        <f t="shared" ca="1" si="9"/>
        <v>25.25</v>
      </c>
      <c r="M31" s="207">
        <f t="shared" ref="M31:N31" ca="1" si="21">M30+1</f>
        <v>23.833333333333332</v>
      </c>
      <c r="N31" s="207">
        <f t="shared" ca="1" si="21"/>
        <v>48.916666666666664</v>
      </c>
      <c r="O31" s="207">
        <f t="shared" ca="1" si="10"/>
        <v>72.75</v>
      </c>
      <c r="P31" s="208">
        <f t="shared" ca="1" si="14"/>
        <v>15.25</v>
      </c>
    </row>
    <row r="32" spans="2:16" x14ac:dyDescent="0.3">
      <c r="B32" s="204">
        <v>2027</v>
      </c>
      <c r="C32" s="193">
        <v>99</v>
      </c>
      <c r="D32" s="193">
        <v>89</v>
      </c>
      <c r="E32" s="193">
        <f t="shared" si="7"/>
        <v>1188</v>
      </c>
      <c r="F32" s="193">
        <f t="shared" si="8"/>
        <v>1068</v>
      </c>
      <c r="H32" s="206">
        <f t="shared" ref="H32:I32" ca="1" si="22">H31+1</f>
        <v>24.833333333333332</v>
      </c>
      <c r="I32" s="206">
        <f t="shared" ca="1" si="22"/>
        <v>49.916666666666664</v>
      </c>
      <c r="J32" s="206">
        <f t="shared" ca="1" si="20"/>
        <v>74.75</v>
      </c>
      <c r="K32" s="191">
        <f t="shared" ca="1" si="9"/>
        <v>24.25</v>
      </c>
      <c r="M32" s="207">
        <f t="shared" ref="M32:N32" ca="1" si="23">M31+1</f>
        <v>24.833333333333332</v>
      </c>
      <c r="N32" s="207">
        <f t="shared" ca="1" si="23"/>
        <v>49.916666666666664</v>
      </c>
      <c r="O32" s="207">
        <f t="shared" ca="1" si="10"/>
        <v>74.75</v>
      </c>
      <c r="P32" s="208">
        <f t="shared" ca="1" si="14"/>
        <v>14.25</v>
      </c>
    </row>
    <row r="33" spans="2:16" x14ac:dyDescent="0.3">
      <c r="B33" s="204">
        <v>2028</v>
      </c>
      <c r="C33" s="193">
        <v>100</v>
      </c>
      <c r="D33" s="193">
        <v>90</v>
      </c>
      <c r="E33" s="193">
        <f t="shared" si="7"/>
        <v>1200</v>
      </c>
      <c r="F33" s="193">
        <f t="shared" si="8"/>
        <v>1080</v>
      </c>
      <c r="H33" s="206">
        <f t="shared" ref="H33:I33" ca="1" si="24">H32+1</f>
        <v>25.833333333333332</v>
      </c>
      <c r="I33" s="206">
        <f t="shared" ca="1" si="24"/>
        <v>50.916666666666664</v>
      </c>
      <c r="J33" s="206">
        <f t="shared" ca="1" si="20"/>
        <v>76.75</v>
      </c>
      <c r="K33" s="191">
        <f t="shared" ca="1" si="9"/>
        <v>23.25</v>
      </c>
      <c r="M33" s="207">
        <f t="shared" ref="M33:N33" ca="1" si="25">M32+1</f>
        <v>25.833333333333332</v>
      </c>
      <c r="N33" s="207">
        <f t="shared" ca="1" si="25"/>
        <v>50.916666666666664</v>
      </c>
      <c r="O33" s="207">
        <f t="shared" ca="1" si="10"/>
        <v>76.75</v>
      </c>
      <c r="P33" s="208">
        <f t="shared" ca="1" si="14"/>
        <v>13.25</v>
      </c>
    </row>
    <row r="34" spans="2:16" x14ac:dyDescent="0.3">
      <c r="B34" s="204">
        <v>2029</v>
      </c>
      <c r="C34" s="193">
        <v>100</v>
      </c>
      <c r="D34" s="193">
        <v>91</v>
      </c>
      <c r="E34" s="193">
        <f t="shared" si="7"/>
        <v>1200</v>
      </c>
      <c r="F34" s="193">
        <f t="shared" si="8"/>
        <v>1092</v>
      </c>
      <c r="H34" s="206">
        <f t="shared" ref="H34:I34" ca="1" si="26">H33+1</f>
        <v>26.833333333333332</v>
      </c>
      <c r="I34" s="206">
        <f t="shared" ca="1" si="26"/>
        <v>51.916666666666664</v>
      </c>
      <c r="J34" s="206">
        <f t="shared" ca="1" si="20"/>
        <v>78.75</v>
      </c>
      <c r="K34" s="191">
        <f t="shared" ca="1" si="9"/>
        <v>21.25</v>
      </c>
      <c r="M34" s="207">
        <f t="shared" ref="M34:N34" ca="1" si="27">M33+1</f>
        <v>26.833333333333332</v>
      </c>
      <c r="N34" s="207">
        <f t="shared" ca="1" si="27"/>
        <v>51.916666666666664</v>
      </c>
      <c r="O34" s="207">
        <f t="shared" ca="1" si="10"/>
        <v>78.75</v>
      </c>
      <c r="P34" s="208">
        <f t="shared" ca="1" si="14"/>
        <v>12.25</v>
      </c>
    </row>
    <row r="35" spans="2:16" x14ac:dyDescent="0.3">
      <c r="B35" s="204">
        <v>2030</v>
      </c>
      <c r="C35" s="193">
        <v>100</v>
      </c>
      <c r="D35" s="193">
        <v>92</v>
      </c>
      <c r="E35" s="193">
        <f t="shared" si="7"/>
        <v>1200</v>
      </c>
      <c r="F35" s="193">
        <f t="shared" si="8"/>
        <v>1104</v>
      </c>
      <c r="H35" s="206">
        <f t="shared" ref="H35:I35" ca="1" si="28">H34+1</f>
        <v>27.833333333333332</v>
      </c>
      <c r="I35" s="206">
        <f t="shared" ca="1" si="28"/>
        <v>52.916666666666664</v>
      </c>
      <c r="J35" s="206">
        <f t="shared" ca="1" si="20"/>
        <v>80.75</v>
      </c>
      <c r="K35" s="191">
        <f t="shared" ca="1" si="9"/>
        <v>19.25</v>
      </c>
      <c r="M35" s="207">
        <f t="shared" ref="M35:N35" ca="1" si="29">M34+1</f>
        <v>27.833333333333332</v>
      </c>
      <c r="N35" s="207">
        <f t="shared" ca="1" si="29"/>
        <v>52.916666666666664</v>
      </c>
      <c r="O35" s="207">
        <f t="shared" ca="1" si="10"/>
        <v>80.75</v>
      </c>
      <c r="P35" s="208">
        <f t="shared" ca="1" si="14"/>
        <v>11.25</v>
      </c>
    </row>
  </sheetData>
  <mergeCells count="10">
    <mergeCell ref="M2:P2"/>
    <mergeCell ref="C5:D5"/>
    <mergeCell ref="E5:F5"/>
    <mergeCell ref="H22:K22"/>
    <mergeCell ref="M22:P22"/>
    <mergeCell ref="C25:D25"/>
    <mergeCell ref="E25:F25"/>
    <mergeCell ref="B2:F2"/>
    <mergeCell ref="B22:F22"/>
    <mergeCell ref="H2:K2"/>
  </mergeCells>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C349"/>
  <sheetViews>
    <sheetView topLeftCell="A3" workbookViewId="0">
      <selection activeCell="B9" sqref="B9"/>
    </sheetView>
  </sheetViews>
  <sheetFormatPr defaultRowHeight="14.4" x14ac:dyDescent="0.3"/>
  <cols>
    <col min="2" max="2" width="11.6640625" bestFit="1" customWidth="1"/>
    <col min="3" max="3" width="10.44140625" bestFit="1" customWidth="1"/>
  </cols>
  <sheetData>
    <row r="3" spans="2:3" x14ac:dyDescent="0.3">
      <c r="B3" t="s">
        <v>361</v>
      </c>
      <c r="C3" t="s">
        <v>13</v>
      </c>
    </row>
    <row r="4" spans="2:3" x14ac:dyDescent="0.3">
      <c r="B4" s="130">
        <v>34424</v>
      </c>
      <c r="C4">
        <v>582.86</v>
      </c>
    </row>
    <row r="5" spans="2:3" x14ac:dyDescent="0.3">
      <c r="B5" s="130">
        <v>34454</v>
      </c>
      <c r="C5">
        <v>582.86</v>
      </c>
    </row>
    <row r="6" spans="2:3" x14ac:dyDescent="0.3">
      <c r="B6" s="130">
        <v>34485</v>
      </c>
      <c r="C6">
        <v>582.86</v>
      </c>
    </row>
    <row r="7" spans="2:3" x14ac:dyDescent="0.3">
      <c r="B7" s="130">
        <v>34515</v>
      </c>
      <c r="C7">
        <v>582.86</v>
      </c>
    </row>
    <row r="8" spans="2:3" x14ac:dyDescent="0.3">
      <c r="B8" s="130">
        <v>34546</v>
      </c>
      <c r="C8">
        <v>582.86</v>
      </c>
    </row>
    <row r="9" spans="2:3" x14ac:dyDescent="0.3">
      <c r="B9" s="130">
        <v>34577</v>
      </c>
      <c r="C9">
        <v>582.86</v>
      </c>
    </row>
    <row r="10" spans="2:3" x14ac:dyDescent="0.3">
      <c r="B10" s="130">
        <v>34607</v>
      </c>
      <c r="C10">
        <v>582.86</v>
      </c>
    </row>
    <row r="11" spans="2:3" x14ac:dyDescent="0.3">
      <c r="B11" s="130">
        <v>34638</v>
      </c>
      <c r="C11">
        <v>582.86</v>
      </c>
    </row>
    <row r="12" spans="2:3" x14ac:dyDescent="0.3">
      <c r="B12" s="130">
        <v>34668</v>
      </c>
      <c r="C12">
        <v>582.86</v>
      </c>
    </row>
    <row r="13" spans="2:3" x14ac:dyDescent="0.3">
      <c r="B13" s="130">
        <v>34699</v>
      </c>
      <c r="C13">
        <v>582.86</v>
      </c>
    </row>
    <row r="14" spans="2:3" x14ac:dyDescent="0.3">
      <c r="B14" s="130">
        <v>34730</v>
      </c>
      <c r="C14">
        <v>582.86</v>
      </c>
    </row>
    <row r="15" spans="2:3" x14ac:dyDescent="0.3">
      <c r="B15" s="130">
        <v>34758</v>
      </c>
      <c r="C15">
        <v>582.86</v>
      </c>
    </row>
    <row r="16" spans="2:3" x14ac:dyDescent="0.3">
      <c r="B16" s="130">
        <v>34789</v>
      </c>
      <c r="C16">
        <v>582.86</v>
      </c>
    </row>
    <row r="17" spans="2:3" x14ac:dyDescent="0.3">
      <c r="B17" s="130">
        <v>34819</v>
      </c>
      <c r="C17">
        <v>582.86</v>
      </c>
    </row>
    <row r="18" spans="2:3" x14ac:dyDescent="0.3">
      <c r="B18" s="130">
        <v>34850</v>
      </c>
      <c r="C18">
        <v>832.66</v>
      </c>
    </row>
    <row r="19" spans="2:3" x14ac:dyDescent="0.3">
      <c r="B19" s="130">
        <v>34880</v>
      </c>
      <c r="C19">
        <v>832.66</v>
      </c>
    </row>
    <row r="20" spans="2:3" x14ac:dyDescent="0.3">
      <c r="B20" s="130">
        <v>34911</v>
      </c>
      <c r="C20">
        <v>832.66</v>
      </c>
    </row>
    <row r="21" spans="2:3" x14ac:dyDescent="0.3">
      <c r="B21" s="130">
        <v>34942</v>
      </c>
      <c r="C21">
        <v>832.66</v>
      </c>
    </row>
    <row r="22" spans="2:3" x14ac:dyDescent="0.3">
      <c r="B22" s="130">
        <v>34972</v>
      </c>
      <c r="C22">
        <v>832.66</v>
      </c>
    </row>
    <row r="23" spans="2:3" x14ac:dyDescent="0.3">
      <c r="B23" s="130">
        <v>35003</v>
      </c>
      <c r="C23">
        <v>832.66</v>
      </c>
    </row>
    <row r="24" spans="2:3" x14ac:dyDescent="0.3">
      <c r="B24" s="130">
        <v>35033</v>
      </c>
      <c r="C24">
        <v>832.66</v>
      </c>
    </row>
    <row r="25" spans="2:3" x14ac:dyDescent="0.3">
      <c r="B25" s="130">
        <v>35064</v>
      </c>
      <c r="C25">
        <v>832.66</v>
      </c>
    </row>
    <row r="26" spans="2:3" x14ac:dyDescent="0.3">
      <c r="B26" s="130">
        <v>35095</v>
      </c>
      <c r="C26">
        <v>832.66</v>
      </c>
    </row>
    <row r="27" spans="2:3" x14ac:dyDescent="0.3">
      <c r="B27" s="130">
        <v>35124</v>
      </c>
      <c r="C27">
        <v>832.66</v>
      </c>
    </row>
    <row r="28" spans="2:3" x14ac:dyDescent="0.3">
      <c r="B28" s="130">
        <v>35155</v>
      </c>
      <c r="C28">
        <v>832.66</v>
      </c>
    </row>
    <row r="29" spans="2:3" x14ac:dyDescent="0.3">
      <c r="B29" s="130">
        <v>35185</v>
      </c>
      <c r="C29">
        <v>832.66</v>
      </c>
    </row>
    <row r="30" spans="2:3" x14ac:dyDescent="0.3">
      <c r="B30" s="130">
        <v>35216</v>
      </c>
      <c r="C30">
        <v>957.56</v>
      </c>
    </row>
    <row r="31" spans="2:3" x14ac:dyDescent="0.3">
      <c r="B31" s="130">
        <v>35246</v>
      </c>
      <c r="C31">
        <v>957.56</v>
      </c>
    </row>
    <row r="32" spans="2:3" x14ac:dyDescent="0.3">
      <c r="B32" s="130">
        <v>35277</v>
      </c>
      <c r="C32">
        <v>957.56</v>
      </c>
    </row>
    <row r="33" spans="2:3" x14ac:dyDescent="0.3">
      <c r="B33" s="130">
        <v>35308</v>
      </c>
      <c r="C33">
        <v>957.56</v>
      </c>
    </row>
    <row r="34" spans="2:3" x14ac:dyDescent="0.3">
      <c r="B34" s="130">
        <v>35338</v>
      </c>
      <c r="C34">
        <v>957.56</v>
      </c>
    </row>
    <row r="35" spans="2:3" x14ac:dyDescent="0.3">
      <c r="B35" s="130">
        <v>35369</v>
      </c>
      <c r="C35">
        <v>957.56</v>
      </c>
    </row>
    <row r="36" spans="2:3" x14ac:dyDescent="0.3">
      <c r="B36" s="130">
        <v>35399</v>
      </c>
      <c r="C36">
        <v>957.56</v>
      </c>
    </row>
    <row r="37" spans="2:3" x14ac:dyDescent="0.3">
      <c r="B37" s="130">
        <v>35430</v>
      </c>
      <c r="C37">
        <v>957.56</v>
      </c>
    </row>
    <row r="38" spans="2:3" x14ac:dyDescent="0.3">
      <c r="B38" s="130">
        <v>35461</v>
      </c>
      <c r="C38">
        <v>957.56</v>
      </c>
    </row>
    <row r="39" spans="2:3" x14ac:dyDescent="0.3">
      <c r="B39" s="130">
        <v>35489</v>
      </c>
      <c r="C39">
        <v>957.56</v>
      </c>
    </row>
    <row r="40" spans="2:3" x14ac:dyDescent="0.3">
      <c r="B40" s="130">
        <v>35520</v>
      </c>
      <c r="C40">
        <v>957.56</v>
      </c>
    </row>
    <row r="41" spans="2:3" x14ac:dyDescent="0.3">
      <c r="B41" s="130">
        <v>35550</v>
      </c>
      <c r="C41">
        <v>957.56</v>
      </c>
    </row>
    <row r="42" spans="2:3" x14ac:dyDescent="0.3">
      <c r="B42" s="130">
        <v>35581</v>
      </c>
      <c r="C42">
        <v>957.56</v>
      </c>
    </row>
    <row r="43" spans="2:3" x14ac:dyDescent="0.3">
      <c r="B43" s="130">
        <v>35611</v>
      </c>
      <c r="C43">
        <v>1031.8699999999999</v>
      </c>
    </row>
    <row r="44" spans="2:3" x14ac:dyDescent="0.3">
      <c r="B44" s="130">
        <v>35642</v>
      </c>
      <c r="C44">
        <v>1031.8699999999999</v>
      </c>
    </row>
    <row r="45" spans="2:3" x14ac:dyDescent="0.3">
      <c r="B45" s="130">
        <v>35673</v>
      </c>
      <c r="C45">
        <v>1031.8699999999999</v>
      </c>
    </row>
    <row r="46" spans="2:3" x14ac:dyDescent="0.3">
      <c r="B46" s="130">
        <v>35703</v>
      </c>
      <c r="C46">
        <v>1031.8699999999999</v>
      </c>
    </row>
    <row r="47" spans="2:3" x14ac:dyDescent="0.3">
      <c r="B47" s="130">
        <v>35734</v>
      </c>
      <c r="C47">
        <v>1031.8699999999999</v>
      </c>
    </row>
    <row r="48" spans="2:3" x14ac:dyDescent="0.3">
      <c r="B48" s="130">
        <v>35764</v>
      </c>
      <c r="C48">
        <v>1031.8699999999999</v>
      </c>
    </row>
    <row r="49" spans="2:3" x14ac:dyDescent="0.3">
      <c r="B49" s="130">
        <v>35795</v>
      </c>
      <c r="C49">
        <v>1031.8699999999999</v>
      </c>
    </row>
    <row r="50" spans="2:3" x14ac:dyDescent="0.3">
      <c r="B50" s="130">
        <v>35826</v>
      </c>
      <c r="C50">
        <v>1031.8699999999999</v>
      </c>
    </row>
    <row r="51" spans="2:3" x14ac:dyDescent="0.3">
      <c r="B51" s="130">
        <v>35854</v>
      </c>
      <c r="C51">
        <v>1031.8699999999999</v>
      </c>
    </row>
    <row r="52" spans="2:3" x14ac:dyDescent="0.3">
      <c r="B52" s="130">
        <v>35885</v>
      </c>
      <c r="C52">
        <v>1031.8699999999999</v>
      </c>
    </row>
    <row r="53" spans="2:3" x14ac:dyDescent="0.3">
      <c r="B53" s="130">
        <v>35915</v>
      </c>
      <c r="C53">
        <v>1031.8699999999999</v>
      </c>
    </row>
    <row r="54" spans="2:3" x14ac:dyDescent="0.3">
      <c r="B54" s="130">
        <v>35946</v>
      </c>
      <c r="C54">
        <v>1031.8699999999999</v>
      </c>
    </row>
    <row r="55" spans="2:3" x14ac:dyDescent="0.3">
      <c r="B55" s="130">
        <v>35976</v>
      </c>
      <c r="C55">
        <v>1081.5</v>
      </c>
    </row>
    <row r="56" spans="2:3" x14ac:dyDescent="0.3">
      <c r="B56" s="130">
        <v>36007</v>
      </c>
      <c r="C56">
        <v>1081.5</v>
      </c>
    </row>
    <row r="57" spans="2:3" x14ac:dyDescent="0.3">
      <c r="B57" s="130">
        <v>36038</v>
      </c>
      <c r="C57">
        <v>1081.5</v>
      </c>
    </row>
    <row r="58" spans="2:3" x14ac:dyDescent="0.3">
      <c r="B58" s="130">
        <v>36068</v>
      </c>
      <c r="C58">
        <v>1081.5</v>
      </c>
    </row>
    <row r="59" spans="2:3" x14ac:dyDescent="0.3">
      <c r="B59" s="130">
        <v>36099</v>
      </c>
      <c r="C59">
        <v>1081.5</v>
      </c>
    </row>
    <row r="60" spans="2:3" x14ac:dyDescent="0.3">
      <c r="B60" s="130">
        <v>36129</v>
      </c>
      <c r="C60">
        <v>1081.5</v>
      </c>
    </row>
    <row r="61" spans="2:3" x14ac:dyDescent="0.3">
      <c r="B61" s="130">
        <v>36160</v>
      </c>
      <c r="C61">
        <v>1200</v>
      </c>
    </row>
    <row r="62" spans="2:3" x14ac:dyDescent="0.3">
      <c r="B62" s="130">
        <v>36191</v>
      </c>
      <c r="C62">
        <v>1200</v>
      </c>
    </row>
    <row r="63" spans="2:3" x14ac:dyDescent="0.3">
      <c r="B63" s="130">
        <v>36219</v>
      </c>
      <c r="C63">
        <v>1200</v>
      </c>
    </row>
    <row r="64" spans="2:3" x14ac:dyDescent="0.3">
      <c r="B64" s="130">
        <v>36250</v>
      </c>
      <c r="C64">
        <v>1200</v>
      </c>
    </row>
    <row r="65" spans="2:3" x14ac:dyDescent="0.3">
      <c r="B65" s="130">
        <v>36280</v>
      </c>
      <c r="C65">
        <v>1200</v>
      </c>
    </row>
    <row r="66" spans="2:3" x14ac:dyDescent="0.3">
      <c r="B66" s="130">
        <v>36311</v>
      </c>
      <c r="C66">
        <v>1200</v>
      </c>
    </row>
    <row r="67" spans="2:3" x14ac:dyDescent="0.3">
      <c r="B67" s="130">
        <v>36341</v>
      </c>
      <c r="C67">
        <v>1255.32</v>
      </c>
    </row>
    <row r="68" spans="2:3" x14ac:dyDescent="0.3">
      <c r="B68" s="130">
        <v>36372</v>
      </c>
      <c r="C68">
        <v>1255.32</v>
      </c>
    </row>
    <row r="69" spans="2:3" x14ac:dyDescent="0.3">
      <c r="B69" s="130">
        <v>36403</v>
      </c>
      <c r="C69">
        <v>1255.32</v>
      </c>
    </row>
    <row r="70" spans="2:3" x14ac:dyDescent="0.3">
      <c r="B70" s="130">
        <v>36433</v>
      </c>
      <c r="C70">
        <v>1255.32</v>
      </c>
    </row>
    <row r="71" spans="2:3" x14ac:dyDescent="0.3">
      <c r="B71" s="130">
        <v>36464</v>
      </c>
      <c r="C71">
        <v>1255.32</v>
      </c>
    </row>
    <row r="72" spans="2:3" x14ac:dyDescent="0.3">
      <c r="B72" s="130">
        <v>36494</v>
      </c>
      <c r="C72">
        <v>1255.32</v>
      </c>
    </row>
    <row r="73" spans="2:3" x14ac:dyDescent="0.3">
      <c r="B73" s="130">
        <v>36525</v>
      </c>
      <c r="C73">
        <v>1255.32</v>
      </c>
    </row>
    <row r="74" spans="2:3" x14ac:dyDescent="0.3">
      <c r="B74" s="130">
        <v>36556</v>
      </c>
      <c r="C74">
        <v>1255.32</v>
      </c>
    </row>
    <row r="75" spans="2:3" x14ac:dyDescent="0.3">
      <c r="B75" s="130">
        <v>36585</v>
      </c>
      <c r="C75">
        <v>1255.32</v>
      </c>
    </row>
    <row r="76" spans="2:3" x14ac:dyDescent="0.3">
      <c r="B76" s="130">
        <v>36616</v>
      </c>
      <c r="C76">
        <v>1255.32</v>
      </c>
    </row>
    <row r="77" spans="2:3" x14ac:dyDescent="0.3">
      <c r="B77" s="130">
        <v>36646</v>
      </c>
      <c r="C77">
        <v>1255.32</v>
      </c>
    </row>
    <row r="78" spans="2:3" x14ac:dyDescent="0.3">
      <c r="B78" s="130">
        <v>36677</v>
      </c>
      <c r="C78">
        <v>1255.32</v>
      </c>
    </row>
    <row r="79" spans="2:3" x14ac:dyDescent="0.3">
      <c r="B79" s="130">
        <v>36707</v>
      </c>
      <c r="C79">
        <v>1328.25</v>
      </c>
    </row>
    <row r="80" spans="2:3" x14ac:dyDescent="0.3">
      <c r="B80" s="130">
        <v>36738</v>
      </c>
      <c r="C80">
        <v>1328.25</v>
      </c>
    </row>
    <row r="81" spans="2:3" x14ac:dyDescent="0.3">
      <c r="B81" s="130">
        <v>36769</v>
      </c>
      <c r="C81">
        <v>1328.25</v>
      </c>
    </row>
    <row r="82" spans="2:3" x14ac:dyDescent="0.3">
      <c r="B82" s="130">
        <v>36799</v>
      </c>
      <c r="C82">
        <v>1328.25</v>
      </c>
    </row>
    <row r="83" spans="2:3" x14ac:dyDescent="0.3">
      <c r="B83" s="130">
        <v>36830</v>
      </c>
      <c r="C83">
        <v>1328.25</v>
      </c>
    </row>
    <row r="84" spans="2:3" x14ac:dyDescent="0.3">
      <c r="B84" s="130">
        <v>36860</v>
      </c>
      <c r="C84">
        <v>1328.25</v>
      </c>
    </row>
    <row r="85" spans="2:3" x14ac:dyDescent="0.3">
      <c r="B85" s="130">
        <v>36891</v>
      </c>
      <c r="C85">
        <v>1328.25</v>
      </c>
    </row>
    <row r="86" spans="2:3" x14ac:dyDescent="0.3">
      <c r="B86" s="130">
        <v>36922</v>
      </c>
      <c r="C86">
        <v>1328.25</v>
      </c>
    </row>
    <row r="87" spans="2:3" x14ac:dyDescent="0.3">
      <c r="B87" s="130">
        <v>36950</v>
      </c>
      <c r="C87">
        <v>1328.25</v>
      </c>
    </row>
    <row r="88" spans="2:3" x14ac:dyDescent="0.3">
      <c r="B88" s="130">
        <v>36981</v>
      </c>
      <c r="C88">
        <v>1328.25</v>
      </c>
    </row>
    <row r="89" spans="2:3" x14ac:dyDescent="0.3">
      <c r="B89" s="130">
        <v>37011</v>
      </c>
      <c r="C89">
        <v>1328.25</v>
      </c>
    </row>
    <row r="90" spans="2:3" x14ac:dyDescent="0.3">
      <c r="B90" s="130">
        <v>37042</v>
      </c>
      <c r="C90">
        <v>1328.25</v>
      </c>
    </row>
    <row r="91" spans="2:3" x14ac:dyDescent="0.3">
      <c r="B91" s="130">
        <v>37072</v>
      </c>
      <c r="C91">
        <v>1430</v>
      </c>
    </row>
    <row r="92" spans="2:3" x14ac:dyDescent="0.3">
      <c r="B92" s="130">
        <v>37103</v>
      </c>
      <c r="C92">
        <v>1430</v>
      </c>
    </row>
    <row r="93" spans="2:3" x14ac:dyDescent="0.3">
      <c r="B93" s="130">
        <v>37134</v>
      </c>
      <c r="C93">
        <v>1430</v>
      </c>
    </row>
    <row r="94" spans="2:3" x14ac:dyDescent="0.3">
      <c r="B94" s="130">
        <v>37164</v>
      </c>
      <c r="C94">
        <v>1430</v>
      </c>
    </row>
    <row r="95" spans="2:3" x14ac:dyDescent="0.3">
      <c r="B95" s="130">
        <v>37195</v>
      </c>
      <c r="C95">
        <v>1430</v>
      </c>
    </row>
    <row r="96" spans="2:3" x14ac:dyDescent="0.3">
      <c r="B96" s="130">
        <v>37225</v>
      </c>
      <c r="C96">
        <v>1430</v>
      </c>
    </row>
    <row r="97" spans="2:3" x14ac:dyDescent="0.3">
      <c r="B97" s="130">
        <v>37256</v>
      </c>
      <c r="C97">
        <v>1430</v>
      </c>
    </row>
    <row r="98" spans="2:3" x14ac:dyDescent="0.3">
      <c r="B98" s="130">
        <v>37287</v>
      </c>
      <c r="C98">
        <v>1430</v>
      </c>
    </row>
    <row r="99" spans="2:3" x14ac:dyDescent="0.3">
      <c r="B99" s="130">
        <v>37315</v>
      </c>
      <c r="C99">
        <v>1430</v>
      </c>
    </row>
    <row r="100" spans="2:3" x14ac:dyDescent="0.3">
      <c r="B100" s="130">
        <v>37346</v>
      </c>
      <c r="C100">
        <v>1430</v>
      </c>
    </row>
    <row r="101" spans="2:3" x14ac:dyDescent="0.3">
      <c r="B101" s="130">
        <v>37376</v>
      </c>
      <c r="C101">
        <v>1430</v>
      </c>
    </row>
    <row r="102" spans="2:3" x14ac:dyDescent="0.3">
      <c r="B102" s="130">
        <v>37407</v>
      </c>
      <c r="C102">
        <v>1430</v>
      </c>
    </row>
    <row r="103" spans="2:3" x14ac:dyDescent="0.3">
      <c r="B103" s="130">
        <v>37437</v>
      </c>
      <c r="C103">
        <v>1561.56</v>
      </c>
    </row>
    <row r="104" spans="2:3" x14ac:dyDescent="0.3">
      <c r="B104" s="130">
        <v>37468</v>
      </c>
      <c r="C104">
        <v>1561.56</v>
      </c>
    </row>
    <row r="105" spans="2:3" x14ac:dyDescent="0.3">
      <c r="B105" s="130">
        <v>37499</v>
      </c>
      <c r="C105">
        <v>1561.56</v>
      </c>
    </row>
    <row r="106" spans="2:3" x14ac:dyDescent="0.3">
      <c r="B106" s="130">
        <v>37529</v>
      </c>
      <c r="C106">
        <v>1561.56</v>
      </c>
    </row>
    <row r="107" spans="2:3" x14ac:dyDescent="0.3">
      <c r="B107" s="130">
        <v>37560</v>
      </c>
      <c r="C107">
        <v>1561.56</v>
      </c>
    </row>
    <row r="108" spans="2:3" x14ac:dyDescent="0.3">
      <c r="B108" s="130">
        <v>37590</v>
      </c>
      <c r="C108">
        <v>1561.56</v>
      </c>
    </row>
    <row r="109" spans="2:3" x14ac:dyDescent="0.3">
      <c r="B109" s="130">
        <v>37621</v>
      </c>
      <c r="C109">
        <v>1561.56</v>
      </c>
    </row>
    <row r="110" spans="2:3" x14ac:dyDescent="0.3">
      <c r="B110" s="130">
        <v>37652</v>
      </c>
      <c r="C110">
        <v>1561.56</v>
      </c>
    </row>
    <row r="111" spans="2:3" x14ac:dyDescent="0.3">
      <c r="B111" s="130">
        <v>37680</v>
      </c>
      <c r="C111">
        <v>1561.56</v>
      </c>
    </row>
    <row r="112" spans="2:3" x14ac:dyDescent="0.3">
      <c r="B112" s="130">
        <v>37711</v>
      </c>
      <c r="C112">
        <v>1561.56</v>
      </c>
    </row>
    <row r="113" spans="2:3" x14ac:dyDescent="0.3">
      <c r="B113" s="130">
        <v>37741</v>
      </c>
      <c r="C113">
        <v>1561.56</v>
      </c>
    </row>
    <row r="114" spans="2:3" x14ac:dyDescent="0.3">
      <c r="B114" s="130">
        <v>37772</v>
      </c>
      <c r="C114">
        <v>1561.56</v>
      </c>
    </row>
    <row r="115" spans="2:3" x14ac:dyDescent="0.3">
      <c r="B115" s="130">
        <v>37802</v>
      </c>
      <c r="C115">
        <v>1869.34</v>
      </c>
    </row>
    <row r="116" spans="2:3" x14ac:dyDescent="0.3">
      <c r="B116" s="130">
        <v>37833</v>
      </c>
      <c r="C116">
        <v>1869.34</v>
      </c>
    </row>
    <row r="117" spans="2:3" x14ac:dyDescent="0.3">
      <c r="B117" s="130">
        <v>37864</v>
      </c>
      <c r="C117">
        <v>1869.34</v>
      </c>
    </row>
    <row r="118" spans="2:3" x14ac:dyDescent="0.3">
      <c r="B118" s="130">
        <v>37894</v>
      </c>
      <c r="C118">
        <v>1869.34</v>
      </c>
    </row>
    <row r="119" spans="2:3" x14ac:dyDescent="0.3">
      <c r="B119" s="130">
        <v>37925</v>
      </c>
      <c r="C119">
        <v>1869.34</v>
      </c>
    </row>
    <row r="120" spans="2:3" x14ac:dyDescent="0.3">
      <c r="B120" s="130">
        <v>37955</v>
      </c>
      <c r="C120">
        <v>1869.34</v>
      </c>
    </row>
    <row r="121" spans="2:3" x14ac:dyDescent="0.3">
      <c r="B121" s="130">
        <v>37986</v>
      </c>
      <c r="C121">
        <v>1869.34</v>
      </c>
    </row>
    <row r="122" spans="2:3" x14ac:dyDescent="0.3">
      <c r="B122" s="130">
        <v>38017</v>
      </c>
      <c r="C122">
        <v>2400</v>
      </c>
    </row>
    <row r="123" spans="2:3" x14ac:dyDescent="0.3">
      <c r="B123" s="130">
        <v>38046</v>
      </c>
      <c r="C123">
        <v>2400</v>
      </c>
    </row>
    <row r="124" spans="2:3" x14ac:dyDescent="0.3">
      <c r="B124" s="130">
        <v>38077</v>
      </c>
      <c r="C124">
        <v>2400</v>
      </c>
    </row>
    <row r="125" spans="2:3" x14ac:dyDescent="0.3">
      <c r="B125" s="130">
        <v>38107</v>
      </c>
      <c r="C125">
        <v>2400</v>
      </c>
    </row>
    <row r="126" spans="2:3" x14ac:dyDescent="0.3">
      <c r="B126" s="130">
        <v>38138</v>
      </c>
      <c r="C126">
        <v>2508.7199999999998</v>
      </c>
    </row>
    <row r="127" spans="2:3" x14ac:dyDescent="0.3">
      <c r="B127" s="130">
        <v>38168</v>
      </c>
      <c r="C127">
        <v>2508.7199999999998</v>
      </c>
    </row>
    <row r="128" spans="2:3" x14ac:dyDescent="0.3">
      <c r="B128" s="130">
        <v>38199</v>
      </c>
      <c r="C128">
        <v>2508.7199999999998</v>
      </c>
    </row>
    <row r="129" spans="2:3" x14ac:dyDescent="0.3">
      <c r="B129" s="130">
        <v>38230</v>
      </c>
      <c r="C129">
        <v>2508.7199999999998</v>
      </c>
    </row>
    <row r="130" spans="2:3" x14ac:dyDescent="0.3">
      <c r="B130" s="130">
        <v>38260</v>
      </c>
      <c r="C130">
        <v>2508.7199999999998</v>
      </c>
    </row>
    <row r="131" spans="2:3" x14ac:dyDescent="0.3">
      <c r="B131" s="130">
        <v>38291</v>
      </c>
      <c r="C131">
        <v>2508.7199999999998</v>
      </c>
    </row>
    <row r="132" spans="2:3" x14ac:dyDescent="0.3">
      <c r="B132" s="130">
        <v>38321</v>
      </c>
      <c r="C132">
        <v>2508.7199999999998</v>
      </c>
    </row>
    <row r="133" spans="2:3" x14ac:dyDescent="0.3">
      <c r="B133" s="130">
        <v>38352</v>
      </c>
      <c r="C133">
        <v>2508.7199999999998</v>
      </c>
    </row>
    <row r="134" spans="2:3" x14ac:dyDescent="0.3">
      <c r="B134" s="130">
        <v>38383</v>
      </c>
      <c r="C134">
        <v>2508.7199999999998</v>
      </c>
    </row>
    <row r="135" spans="2:3" x14ac:dyDescent="0.3">
      <c r="B135" s="130">
        <v>38411</v>
      </c>
      <c r="C135">
        <v>2508.7199999999998</v>
      </c>
    </row>
    <row r="136" spans="2:3" x14ac:dyDescent="0.3">
      <c r="B136" s="130">
        <v>38442</v>
      </c>
      <c r="C136">
        <v>2508.7199999999998</v>
      </c>
    </row>
    <row r="137" spans="2:3" x14ac:dyDescent="0.3">
      <c r="B137" s="130">
        <v>38472</v>
      </c>
      <c r="C137">
        <v>2508.7199999999998</v>
      </c>
    </row>
    <row r="138" spans="2:3" x14ac:dyDescent="0.3">
      <c r="B138" s="130">
        <v>38503</v>
      </c>
      <c r="C138">
        <v>2668.15</v>
      </c>
    </row>
    <row r="139" spans="2:3" x14ac:dyDescent="0.3">
      <c r="B139" s="130">
        <v>38533</v>
      </c>
      <c r="C139">
        <v>2668.15</v>
      </c>
    </row>
    <row r="140" spans="2:3" x14ac:dyDescent="0.3">
      <c r="B140" s="130">
        <v>38564</v>
      </c>
      <c r="C140">
        <v>2668.15</v>
      </c>
    </row>
    <row r="141" spans="2:3" x14ac:dyDescent="0.3">
      <c r="B141" s="130">
        <v>38595</v>
      </c>
      <c r="C141">
        <v>2668.15</v>
      </c>
    </row>
    <row r="142" spans="2:3" x14ac:dyDescent="0.3">
      <c r="B142" s="130">
        <v>38625</v>
      </c>
      <c r="C142">
        <v>2668.15</v>
      </c>
    </row>
    <row r="143" spans="2:3" x14ac:dyDescent="0.3">
      <c r="B143" s="130">
        <v>38656</v>
      </c>
      <c r="C143">
        <v>2668.15</v>
      </c>
    </row>
    <row r="144" spans="2:3" x14ac:dyDescent="0.3">
      <c r="B144" s="130">
        <v>38686</v>
      </c>
      <c r="C144">
        <v>2668.15</v>
      </c>
    </row>
    <row r="145" spans="2:3" x14ac:dyDescent="0.3">
      <c r="B145" s="130">
        <v>38717</v>
      </c>
      <c r="C145">
        <v>2668.15</v>
      </c>
    </row>
    <row r="146" spans="2:3" x14ac:dyDescent="0.3">
      <c r="B146" s="130">
        <v>38748</v>
      </c>
      <c r="C146">
        <v>2668.15</v>
      </c>
    </row>
    <row r="147" spans="2:3" x14ac:dyDescent="0.3">
      <c r="B147" s="130">
        <v>38776</v>
      </c>
      <c r="C147">
        <v>2668.15</v>
      </c>
    </row>
    <row r="148" spans="2:3" x14ac:dyDescent="0.3">
      <c r="B148" s="130">
        <v>38807</v>
      </c>
      <c r="C148">
        <v>2668.15</v>
      </c>
    </row>
    <row r="149" spans="2:3" x14ac:dyDescent="0.3">
      <c r="B149" s="130">
        <v>38837</v>
      </c>
      <c r="C149">
        <v>2801.56</v>
      </c>
    </row>
    <row r="150" spans="2:3" x14ac:dyDescent="0.3">
      <c r="B150" s="130">
        <v>38868</v>
      </c>
      <c r="C150">
        <v>2801.56</v>
      </c>
    </row>
    <row r="151" spans="2:3" x14ac:dyDescent="0.3">
      <c r="B151" s="130">
        <v>38898</v>
      </c>
      <c r="C151">
        <v>2801.56</v>
      </c>
    </row>
    <row r="152" spans="2:3" x14ac:dyDescent="0.3">
      <c r="B152" s="130">
        <v>38929</v>
      </c>
      <c r="C152">
        <v>2801.56</v>
      </c>
    </row>
    <row r="153" spans="2:3" x14ac:dyDescent="0.3">
      <c r="B153" s="130">
        <v>38960</v>
      </c>
      <c r="C153">
        <v>2801.56</v>
      </c>
    </row>
    <row r="154" spans="2:3" x14ac:dyDescent="0.3">
      <c r="B154" s="130">
        <v>38990</v>
      </c>
      <c r="C154">
        <v>2801.56</v>
      </c>
    </row>
    <row r="155" spans="2:3" x14ac:dyDescent="0.3">
      <c r="B155" s="130">
        <v>39021</v>
      </c>
      <c r="C155">
        <v>2801.56</v>
      </c>
    </row>
    <row r="156" spans="2:3" x14ac:dyDescent="0.3">
      <c r="B156" s="130">
        <v>39051</v>
      </c>
      <c r="C156">
        <v>2801.56</v>
      </c>
    </row>
    <row r="157" spans="2:3" x14ac:dyDescent="0.3">
      <c r="B157" s="130">
        <v>39082</v>
      </c>
      <c r="C157">
        <v>2801.56</v>
      </c>
    </row>
    <row r="158" spans="2:3" x14ac:dyDescent="0.3">
      <c r="B158" s="130">
        <v>39113</v>
      </c>
      <c r="C158">
        <v>2801.56</v>
      </c>
    </row>
    <row r="159" spans="2:3" x14ac:dyDescent="0.3">
      <c r="B159" s="130">
        <v>39141</v>
      </c>
      <c r="C159">
        <v>2801.56</v>
      </c>
    </row>
    <row r="160" spans="2:3" x14ac:dyDescent="0.3">
      <c r="B160" s="130">
        <v>39172</v>
      </c>
      <c r="C160">
        <v>2801.56</v>
      </c>
    </row>
    <row r="161" spans="2:3" x14ac:dyDescent="0.3">
      <c r="B161" s="130">
        <v>39202</v>
      </c>
      <c r="C161">
        <v>2894.28</v>
      </c>
    </row>
    <row r="162" spans="2:3" x14ac:dyDescent="0.3">
      <c r="B162" s="130">
        <v>39233</v>
      </c>
      <c r="C162">
        <v>2894.28</v>
      </c>
    </row>
    <row r="163" spans="2:3" x14ac:dyDescent="0.3">
      <c r="B163" s="130">
        <v>39263</v>
      </c>
      <c r="C163">
        <v>2894.28</v>
      </c>
    </row>
    <row r="164" spans="2:3" x14ac:dyDescent="0.3">
      <c r="B164" s="130">
        <v>39294</v>
      </c>
      <c r="C164">
        <v>2894.28</v>
      </c>
    </row>
    <row r="165" spans="2:3" x14ac:dyDescent="0.3">
      <c r="B165" s="130">
        <v>39325</v>
      </c>
      <c r="C165">
        <v>2894.28</v>
      </c>
    </row>
    <row r="166" spans="2:3" x14ac:dyDescent="0.3">
      <c r="B166" s="130">
        <v>39355</v>
      </c>
      <c r="C166">
        <v>2894.28</v>
      </c>
    </row>
    <row r="167" spans="2:3" x14ac:dyDescent="0.3">
      <c r="B167" s="130">
        <v>39386</v>
      </c>
      <c r="C167">
        <v>2894.28</v>
      </c>
    </row>
    <row r="168" spans="2:3" x14ac:dyDescent="0.3">
      <c r="B168" s="130">
        <v>39416</v>
      </c>
      <c r="C168">
        <v>2894.28</v>
      </c>
    </row>
    <row r="169" spans="2:3" x14ac:dyDescent="0.3">
      <c r="B169" s="130">
        <v>39447</v>
      </c>
      <c r="C169">
        <v>2894.28</v>
      </c>
    </row>
    <row r="170" spans="2:3" x14ac:dyDescent="0.3">
      <c r="B170" s="130">
        <v>39478</v>
      </c>
      <c r="C170">
        <v>2894.28</v>
      </c>
    </row>
    <row r="171" spans="2:3" x14ac:dyDescent="0.3">
      <c r="B171" s="130">
        <v>39507</v>
      </c>
      <c r="C171">
        <v>2894.28</v>
      </c>
    </row>
    <row r="172" spans="2:3" x14ac:dyDescent="0.3">
      <c r="B172" s="130">
        <v>39538</v>
      </c>
      <c r="C172">
        <v>3038.99</v>
      </c>
    </row>
    <row r="173" spans="2:3" x14ac:dyDescent="0.3">
      <c r="B173" s="130">
        <v>39568</v>
      </c>
      <c r="C173">
        <v>3038.99</v>
      </c>
    </row>
    <row r="174" spans="2:3" x14ac:dyDescent="0.3">
      <c r="B174" s="130">
        <v>39599</v>
      </c>
      <c r="C174">
        <v>3038.99</v>
      </c>
    </row>
    <row r="175" spans="2:3" x14ac:dyDescent="0.3">
      <c r="B175" s="130">
        <v>39629</v>
      </c>
      <c r="C175">
        <v>3038.99</v>
      </c>
    </row>
    <row r="176" spans="2:3" x14ac:dyDescent="0.3">
      <c r="B176" s="130">
        <v>39660</v>
      </c>
      <c r="C176">
        <v>3038.99</v>
      </c>
    </row>
    <row r="177" spans="2:3" x14ac:dyDescent="0.3">
      <c r="B177" s="130">
        <v>39691</v>
      </c>
      <c r="C177">
        <v>3038.99</v>
      </c>
    </row>
    <row r="178" spans="2:3" x14ac:dyDescent="0.3">
      <c r="B178" s="130">
        <v>39721</v>
      </c>
      <c r="C178">
        <v>3038.99</v>
      </c>
    </row>
    <row r="179" spans="2:3" x14ac:dyDescent="0.3">
      <c r="B179" s="130">
        <v>39752</v>
      </c>
      <c r="C179">
        <v>3038.99</v>
      </c>
    </row>
    <row r="180" spans="2:3" x14ac:dyDescent="0.3">
      <c r="B180" s="130">
        <v>39782</v>
      </c>
      <c r="C180">
        <v>3038.99</v>
      </c>
    </row>
    <row r="181" spans="2:3" x14ac:dyDescent="0.3">
      <c r="B181" s="130">
        <v>39813</v>
      </c>
      <c r="C181">
        <v>3038.99</v>
      </c>
    </row>
    <row r="182" spans="2:3" x14ac:dyDescent="0.3">
      <c r="B182" s="130">
        <v>39844</v>
      </c>
      <c r="C182">
        <v>3038.99</v>
      </c>
    </row>
    <row r="183" spans="2:3" x14ac:dyDescent="0.3">
      <c r="B183" s="130">
        <v>39872</v>
      </c>
      <c r="C183">
        <v>3218.9</v>
      </c>
    </row>
    <row r="184" spans="2:3" x14ac:dyDescent="0.3">
      <c r="B184" s="130">
        <v>39903</v>
      </c>
      <c r="C184">
        <v>3218.9</v>
      </c>
    </row>
    <row r="185" spans="2:3" x14ac:dyDescent="0.3">
      <c r="B185" s="130">
        <v>39933</v>
      </c>
      <c r="C185">
        <v>3218.9</v>
      </c>
    </row>
    <row r="186" spans="2:3" x14ac:dyDescent="0.3">
      <c r="B186" s="130">
        <v>39964</v>
      </c>
      <c r="C186">
        <v>3218.9</v>
      </c>
    </row>
    <row r="187" spans="2:3" x14ac:dyDescent="0.3">
      <c r="B187" s="130">
        <v>39994</v>
      </c>
      <c r="C187">
        <v>3218.9</v>
      </c>
    </row>
    <row r="188" spans="2:3" x14ac:dyDescent="0.3">
      <c r="B188" s="130">
        <v>40025</v>
      </c>
      <c r="C188">
        <v>3218.9</v>
      </c>
    </row>
    <row r="189" spans="2:3" x14ac:dyDescent="0.3">
      <c r="B189" s="130">
        <v>40056</v>
      </c>
      <c r="C189">
        <v>3218.9</v>
      </c>
    </row>
    <row r="190" spans="2:3" x14ac:dyDescent="0.3">
      <c r="B190" s="130">
        <v>40086</v>
      </c>
      <c r="C190">
        <v>3218.9</v>
      </c>
    </row>
    <row r="191" spans="2:3" x14ac:dyDescent="0.3">
      <c r="B191" s="130">
        <v>40117</v>
      </c>
      <c r="C191">
        <v>3218.9</v>
      </c>
    </row>
    <row r="192" spans="2:3" x14ac:dyDescent="0.3">
      <c r="B192" s="130">
        <v>40147</v>
      </c>
      <c r="C192">
        <v>3218.9</v>
      </c>
    </row>
    <row r="193" spans="2:3" x14ac:dyDescent="0.3">
      <c r="B193" s="130">
        <v>40178</v>
      </c>
      <c r="C193">
        <v>3218.9</v>
      </c>
    </row>
    <row r="194" spans="2:3" x14ac:dyDescent="0.3">
      <c r="B194" s="130">
        <v>40209</v>
      </c>
      <c r="C194">
        <v>3467.4</v>
      </c>
    </row>
    <row r="195" spans="2:3" x14ac:dyDescent="0.3">
      <c r="B195" s="130">
        <v>40237</v>
      </c>
      <c r="C195">
        <v>3467.4</v>
      </c>
    </row>
    <row r="196" spans="2:3" x14ac:dyDescent="0.3">
      <c r="B196" s="130">
        <v>40268</v>
      </c>
      <c r="C196">
        <v>3467.4</v>
      </c>
    </row>
    <row r="197" spans="2:3" x14ac:dyDescent="0.3">
      <c r="B197" s="130">
        <v>40298</v>
      </c>
      <c r="C197">
        <v>3467.4</v>
      </c>
    </row>
    <row r="198" spans="2:3" x14ac:dyDescent="0.3">
      <c r="B198" s="130">
        <v>40329</v>
      </c>
      <c r="C198">
        <v>3467.4</v>
      </c>
    </row>
    <row r="199" spans="2:3" x14ac:dyDescent="0.3">
      <c r="B199" s="130">
        <v>40359</v>
      </c>
      <c r="C199">
        <v>3467.4</v>
      </c>
    </row>
    <row r="200" spans="2:3" x14ac:dyDescent="0.3">
      <c r="B200" s="130">
        <v>40390</v>
      </c>
      <c r="C200">
        <v>3467.4</v>
      </c>
    </row>
    <row r="201" spans="2:3" x14ac:dyDescent="0.3">
      <c r="B201" s="130">
        <v>40421</v>
      </c>
      <c r="C201">
        <v>3467.4</v>
      </c>
    </row>
    <row r="202" spans="2:3" x14ac:dyDescent="0.3">
      <c r="B202" s="130">
        <v>40451</v>
      </c>
      <c r="C202">
        <v>3467.4</v>
      </c>
    </row>
    <row r="203" spans="2:3" x14ac:dyDescent="0.3">
      <c r="B203" s="130">
        <v>40482</v>
      </c>
      <c r="C203">
        <v>3467.4</v>
      </c>
    </row>
    <row r="204" spans="2:3" x14ac:dyDescent="0.3">
      <c r="B204" s="130">
        <v>40512</v>
      </c>
      <c r="C204">
        <v>3467.4</v>
      </c>
    </row>
    <row r="205" spans="2:3" x14ac:dyDescent="0.3">
      <c r="B205" s="130">
        <v>40543</v>
      </c>
      <c r="C205">
        <v>3467.4</v>
      </c>
    </row>
    <row r="206" spans="2:3" x14ac:dyDescent="0.3">
      <c r="B206" s="130">
        <v>40574</v>
      </c>
      <c r="C206">
        <v>3691.74</v>
      </c>
    </row>
    <row r="207" spans="2:3" x14ac:dyDescent="0.3">
      <c r="B207" s="130">
        <v>40602</v>
      </c>
      <c r="C207">
        <v>3691.74</v>
      </c>
    </row>
    <row r="208" spans="2:3" x14ac:dyDescent="0.3">
      <c r="B208" s="130">
        <v>40633</v>
      </c>
      <c r="C208">
        <v>3691.74</v>
      </c>
    </row>
    <row r="209" spans="2:3" x14ac:dyDescent="0.3">
      <c r="B209" s="130">
        <v>40663</v>
      </c>
      <c r="C209">
        <v>3691.74</v>
      </c>
    </row>
    <row r="210" spans="2:3" x14ac:dyDescent="0.3">
      <c r="B210" s="130">
        <v>40694</v>
      </c>
      <c r="C210">
        <v>3691.74</v>
      </c>
    </row>
    <row r="211" spans="2:3" x14ac:dyDescent="0.3">
      <c r="B211" s="130">
        <v>40724</v>
      </c>
      <c r="C211">
        <v>3691.74</v>
      </c>
    </row>
    <row r="212" spans="2:3" x14ac:dyDescent="0.3">
      <c r="B212" s="130">
        <v>40755</v>
      </c>
      <c r="C212">
        <v>3691.74</v>
      </c>
    </row>
    <row r="213" spans="2:3" x14ac:dyDescent="0.3">
      <c r="B213" s="130">
        <v>40786</v>
      </c>
      <c r="C213">
        <v>3691.74</v>
      </c>
    </row>
    <row r="214" spans="2:3" x14ac:dyDescent="0.3">
      <c r="B214" s="130">
        <v>40816</v>
      </c>
      <c r="C214">
        <v>3691.74</v>
      </c>
    </row>
    <row r="215" spans="2:3" x14ac:dyDescent="0.3">
      <c r="B215" s="130">
        <v>40847</v>
      </c>
      <c r="C215">
        <v>3691.74</v>
      </c>
    </row>
    <row r="216" spans="2:3" x14ac:dyDescent="0.3">
      <c r="B216" s="130">
        <v>40877</v>
      </c>
      <c r="C216">
        <v>3691.74</v>
      </c>
    </row>
    <row r="217" spans="2:3" x14ac:dyDescent="0.3">
      <c r="B217" s="130">
        <v>40908</v>
      </c>
      <c r="C217">
        <v>3691.74</v>
      </c>
    </row>
    <row r="218" spans="2:3" x14ac:dyDescent="0.3">
      <c r="B218" s="130">
        <v>40939</v>
      </c>
      <c r="C218">
        <v>3916.2</v>
      </c>
    </row>
    <row r="219" spans="2:3" x14ac:dyDescent="0.3">
      <c r="B219" s="130">
        <v>40968</v>
      </c>
      <c r="C219">
        <v>3916.2</v>
      </c>
    </row>
    <row r="220" spans="2:3" x14ac:dyDescent="0.3">
      <c r="B220" s="130">
        <v>40999</v>
      </c>
      <c r="C220">
        <v>3916.2</v>
      </c>
    </row>
    <row r="221" spans="2:3" x14ac:dyDescent="0.3">
      <c r="B221" s="130">
        <v>41029</v>
      </c>
      <c r="C221">
        <v>3916.2</v>
      </c>
    </row>
    <row r="222" spans="2:3" x14ac:dyDescent="0.3">
      <c r="B222" s="130">
        <v>41060</v>
      </c>
      <c r="C222">
        <v>3916.2</v>
      </c>
    </row>
    <row r="223" spans="2:3" x14ac:dyDescent="0.3">
      <c r="B223" s="130">
        <v>41090</v>
      </c>
      <c r="C223">
        <v>3916.2</v>
      </c>
    </row>
    <row r="224" spans="2:3" x14ac:dyDescent="0.3">
      <c r="B224" s="130">
        <v>41121</v>
      </c>
      <c r="C224">
        <v>3916.2</v>
      </c>
    </row>
    <row r="225" spans="2:3" x14ac:dyDescent="0.3">
      <c r="B225" s="130">
        <v>41152</v>
      </c>
      <c r="C225">
        <v>3916.2</v>
      </c>
    </row>
    <row r="226" spans="2:3" x14ac:dyDescent="0.3">
      <c r="B226" s="130">
        <v>41182</v>
      </c>
      <c r="C226">
        <v>3916.2</v>
      </c>
    </row>
    <row r="227" spans="2:3" x14ac:dyDescent="0.3">
      <c r="B227" s="130">
        <v>41213</v>
      </c>
      <c r="C227">
        <v>3916.2</v>
      </c>
    </row>
    <row r="228" spans="2:3" x14ac:dyDescent="0.3">
      <c r="B228" s="130">
        <v>41243</v>
      </c>
      <c r="C228">
        <v>3916.2</v>
      </c>
    </row>
    <row r="229" spans="2:3" x14ac:dyDescent="0.3">
      <c r="B229" s="130">
        <v>41274</v>
      </c>
      <c r="C229">
        <v>3916.2</v>
      </c>
    </row>
    <row r="230" spans="2:3" x14ac:dyDescent="0.3">
      <c r="B230" s="130">
        <v>41305</v>
      </c>
      <c r="C230">
        <v>4159</v>
      </c>
    </row>
    <row r="231" spans="2:3" x14ac:dyDescent="0.3">
      <c r="B231" s="130">
        <v>41333</v>
      </c>
      <c r="C231">
        <v>4159</v>
      </c>
    </row>
    <row r="232" spans="2:3" x14ac:dyDescent="0.3">
      <c r="B232" s="130">
        <v>41364</v>
      </c>
      <c r="C232">
        <v>4159</v>
      </c>
    </row>
    <row r="233" spans="2:3" x14ac:dyDescent="0.3">
      <c r="B233" s="130">
        <v>41394</v>
      </c>
      <c r="C233">
        <v>4159</v>
      </c>
    </row>
    <row r="234" spans="2:3" x14ac:dyDescent="0.3">
      <c r="B234" s="130">
        <v>41425</v>
      </c>
      <c r="C234">
        <v>4159</v>
      </c>
    </row>
    <row r="235" spans="2:3" x14ac:dyDescent="0.3">
      <c r="B235" s="130">
        <v>41455</v>
      </c>
      <c r="C235">
        <v>4159</v>
      </c>
    </row>
    <row r="236" spans="2:3" x14ac:dyDescent="0.3">
      <c r="B236" s="130">
        <v>41486</v>
      </c>
      <c r="C236">
        <v>4159</v>
      </c>
    </row>
    <row r="237" spans="2:3" x14ac:dyDescent="0.3">
      <c r="B237" s="130">
        <v>41517</v>
      </c>
      <c r="C237">
        <v>4159</v>
      </c>
    </row>
    <row r="238" spans="2:3" x14ac:dyDescent="0.3">
      <c r="B238" s="130">
        <v>41547</v>
      </c>
      <c r="C238">
        <v>4159</v>
      </c>
    </row>
    <row r="239" spans="2:3" x14ac:dyDescent="0.3">
      <c r="B239" s="130">
        <v>41578</v>
      </c>
      <c r="C239">
        <v>4159</v>
      </c>
    </row>
    <row r="240" spans="2:3" x14ac:dyDescent="0.3">
      <c r="B240" s="130">
        <v>41608</v>
      </c>
      <c r="C240">
        <v>4159</v>
      </c>
    </row>
    <row r="241" spans="2:3" x14ac:dyDescent="0.3">
      <c r="B241" s="130">
        <v>41639</v>
      </c>
      <c r="C241">
        <v>4159</v>
      </c>
    </row>
    <row r="242" spans="2:3" x14ac:dyDescent="0.3">
      <c r="B242" s="130">
        <v>41670</v>
      </c>
      <c r="C242">
        <v>4390.24</v>
      </c>
    </row>
    <row r="243" spans="2:3" x14ac:dyDescent="0.3">
      <c r="B243" s="130">
        <v>41698</v>
      </c>
      <c r="C243">
        <v>4390.24</v>
      </c>
    </row>
    <row r="244" spans="2:3" x14ac:dyDescent="0.3">
      <c r="B244" s="130">
        <v>41729</v>
      </c>
      <c r="C244">
        <v>4390.24</v>
      </c>
    </row>
    <row r="245" spans="2:3" x14ac:dyDescent="0.3">
      <c r="B245" s="130">
        <v>41759</v>
      </c>
      <c r="C245">
        <v>4390.24</v>
      </c>
    </row>
    <row r="246" spans="2:3" x14ac:dyDescent="0.3">
      <c r="B246" s="130">
        <v>41790</v>
      </c>
      <c r="C246">
        <v>4390.24</v>
      </c>
    </row>
    <row r="247" spans="2:3" x14ac:dyDescent="0.3">
      <c r="B247" s="130">
        <v>41820</v>
      </c>
      <c r="C247">
        <v>4390.24</v>
      </c>
    </row>
    <row r="248" spans="2:3" x14ac:dyDescent="0.3">
      <c r="B248" s="130">
        <v>41851</v>
      </c>
      <c r="C248">
        <v>4390.24</v>
      </c>
    </row>
    <row r="249" spans="2:3" x14ac:dyDescent="0.3">
      <c r="B249" s="130">
        <v>41882</v>
      </c>
      <c r="C249">
        <v>4390.24</v>
      </c>
    </row>
    <row r="250" spans="2:3" x14ac:dyDescent="0.3">
      <c r="B250" s="130">
        <v>41912</v>
      </c>
      <c r="C250">
        <v>4390.24</v>
      </c>
    </row>
    <row r="251" spans="2:3" x14ac:dyDescent="0.3">
      <c r="B251" s="130">
        <v>41943</v>
      </c>
      <c r="C251">
        <v>4390.24</v>
      </c>
    </row>
    <row r="252" spans="2:3" x14ac:dyDescent="0.3">
      <c r="B252" s="130">
        <v>41973</v>
      </c>
      <c r="C252">
        <v>4390.24</v>
      </c>
    </row>
    <row r="253" spans="2:3" x14ac:dyDescent="0.3">
      <c r="B253" s="130">
        <v>42004</v>
      </c>
      <c r="C253">
        <v>4390.24</v>
      </c>
    </row>
    <row r="254" spans="2:3" x14ac:dyDescent="0.3">
      <c r="B254" s="130">
        <v>42035</v>
      </c>
      <c r="C254">
        <v>4663.75</v>
      </c>
    </row>
    <row r="255" spans="2:3" x14ac:dyDescent="0.3">
      <c r="B255" s="130">
        <v>42063</v>
      </c>
      <c r="C255">
        <v>4663.75</v>
      </c>
    </row>
    <row r="256" spans="2:3" x14ac:dyDescent="0.3">
      <c r="B256" s="130">
        <v>42094</v>
      </c>
      <c r="C256">
        <v>4663.75</v>
      </c>
    </row>
    <row r="257" spans="2:3" x14ac:dyDescent="0.3">
      <c r="B257" s="130">
        <v>42124</v>
      </c>
      <c r="C257">
        <v>4663.75</v>
      </c>
    </row>
    <row r="258" spans="2:3" x14ac:dyDescent="0.3">
      <c r="B258" s="130">
        <v>42155</v>
      </c>
      <c r="C258">
        <v>4663.75</v>
      </c>
    </row>
    <row r="259" spans="2:3" x14ac:dyDescent="0.3">
      <c r="B259" s="130">
        <v>42185</v>
      </c>
      <c r="C259">
        <v>4663.75</v>
      </c>
    </row>
    <row r="260" spans="2:3" x14ac:dyDescent="0.3">
      <c r="B260" s="130">
        <v>42216</v>
      </c>
      <c r="C260">
        <v>4663.75</v>
      </c>
    </row>
    <row r="261" spans="2:3" x14ac:dyDescent="0.3">
      <c r="B261" s="130">
        <v>42247</v>
      </c>
      <c r="C261">
        <v>4663.75</v>
      </c>
    </row>
    <row r="262" spans="2:3" x14ac:dyDescent="0.3">
      <c r="B262" s="130">
        <v>42277</v>
      </c>
      <c r="C262">
        <v>4663.75</v>
      </c>
    </row>
    <row r="263" spans="2:3" x14ac:dyDescent="0.3">
      <c r="B263" s="130">
        <v>42308</v>
      </c>
      <c r="C263">
        <v>4663.75</v>
      </c>
    </row>
    <row r="264" spans="2:3" x14ac:dyDescent="0.3">
      <c r="B264" s="130">
        <v>42338</v>
      </c>
      <c r="C264">
        <v>4663.75</v>
      </c>
    </row>
    <row r="265" spans="2:3" x14ac:dyDescent="0.3">
      <c r="B265" s="130">
        <v>42369</v>
      </c>
      <c r="C265">
        <v>4663.75</v>
      </c>
    </row>
    <row r="266" spans="2:3" x14ac:dyDescent="0.3">
      <c r="B266" s="130">
        <v>42400</v>
      </c>
      <c r="C266">
        <v>5189.82</v>
      </c>
    </row>
    <row r="267" spans="2:3" x14ac:dyDescent="0.3">
      <c r="B267" s="130">
        <v>42429</v>
      </c>
      <c r="C267">
        <v>5189.82</v>
      </c>
    </row>
    <row r="268" spans="2:3" x14ac:dyDescent="0.3">
      <c r="B268" s="130">
        <v>42460</v>
      </c>
      <c r="C268">
        <v>5189.82</v>
      </c>
    </row>
    <row r="269" spans="2:3" x14ac:dyDescent="0.3">
      <c r="B269" s="130">
        <v>42490</v>
      </c>
      <c r="C269">
        <v>5189.82</v>
      </c>
    </row>
    <row r="270" spans="2:3" x14ac:dyDescent="0.3">
      <c r="B270" s="130">
        <v>42521</v>
      </c>
      <c r="C270">
        <v>5189.82</v>
      </c>
    </row>
    <row r="271" spans="2:3" x14ac:dyDescent="0.3">
      <c r="B271" s="130">
        <v>42551</v>
      </c>
      <c r="C271">
        <v>5189.82</v>
      </c>
    </row>
    <row r="272" spans="2:3" x14ac:dyDescent="0.3">
      <c r="B272" s="130">
        <v>42582</v>
      </c>
      <c r="C272">
        <v>5189.82</v>
      </c>
    </row>
    <row r="273" spans="2:3" x14ac:dyDescent="0.3">
      <c r="B273" s="130">
        <v>42613</v>
      </c>
      <c r="C273">
        <v>5189.82</v>
      </c>
    </row>
    <row r="274" spans="2:3" x14ac:dyDescent="0.3">
      <c r="B274" s="130">
        <v>42643</v>
      </c>
      <c r="C274">
        <v>5189.82</v>
      </c>
    </row>
    <row r="275" spans="2:3" x14ac:dyDescent="0.3">
      <c r="B275" s="130">
        <v>42674</v>
      </c>
      <c r="C275">
        <v>5189.82</v>
      </c>
    </row>
    <row r="276" spans="2:3" x14ac:dyDescent="0.3">
      <c r="B276" s="130">
        <v>42704</v>
      </c>
      <c r="C276">
        <v>5189.82</v>
      </c>
    </row>
    <row r="277" spans="2:3" x14ac:dyDescent="0.3">
      <c r="B277" s="130">
        <v>42735</v>
      </c>
      <c r="C277">
        <v>5189.82</v>
      </c>
    </row>
    <row r="278" spans="2:3" x14ac:dyDescent="0.3">
      <c r="B278" s="130">
        <v>42766</v>
      </c>
      <c r="C278">
        <v>5531.31</v>
      </c>
    </row>
    <row r="279" spans="2:3" x14ac:dyDescent="0.3">
      <c r="B279" s="130">
        <v>42794</v>
      </c>
      <c r="C279">
        <v>5531.31</v>
      </c>
    </row>
    <row r="280" spans="2:3" x14ac:dyDescent="0.3">
      <c r="B280" s="130">
        <v>42825</v>
      </c>
      <c r="C280">
        <v>5531.31</v>
      </c>
    </row>
    <row r="281" spans="2:3" x14ac:dyDescent="0.3">
      <c r="B281" s="130">
        <v>42855</v>
      </c>
      <c r="C281">
        <v>5531.31</v>
      </c>
    </row>
    <row r="282" spans="2:3" x14ac:dyDescent="0.3">
      <c r="B282" s="130">
        <v>42886</v>
      </c>
      <c r="C282">
        <v>5531.31</v>
      </c>
    </row>
    <row r="283" spans="2:3" x14ac:dyDescent="0.3">
      <c r="B283" s="130">
        <v>42916</v>
      </c>
      <c r="C283">
        <v>5531.31</v>
      </c>
    </row>
    <row r="284" spans="2:3" x14ac:dyDescent="0.3">
      <c r="B284" s="130">
        <v>42947</v>
      </c>
      <c r="C284">
        <v>5531.31</v>
      </c>
    </row>
    <row r="285" spans="2:3" x14ac:dyDescent="0.3">
      <c r="B285" s="130">
        <v>42978</v>
      </c>
      <c r="C285">
        <v>5531.31</v>
      </c>
    </row>
    <row r="286" spans="2:3" x14ac:dyDescent="0.3">
      <c r="B286" s="130">
        <v>43008</v>
      </c>
      <c r="C286">
        <v>5531.31</v>
      </c>
    </row>
    <row r="287" spans="2:3" x14ac:dyDescent="0.3">
      <c r="B287" s="130">
        <v>43039</v>
      </c>
      <c r="C287">
        <v>5531.31</v>
      </c>
    </row>
    <row r="288" spans="2:3" x14ac:dyDescent="0.3">
      <c r="B288" s="130">
        <v>43069</v>
      </c>
      <c r="C288">
        <v>5531.31</v>
      </c>
    </row>
    <row r="289" spans="2:3" x14ac:dyDescent="0.3">
      <c r="B289" s="130">
        <v>43100</v>
      </c>
      <c r="C289">
        <v>5531.31</v>
      </c>
    </row>
    <row r="290" spans="2:3" x14ac:dyDescent="0.3">
      <c r="B290" s="130">
        <v>43131</v>
      </c>
      <c r="C290">
        <v>5645.8</v>
      </c>
    </row>
    <row r="291" spans="2:3" x14ac:dyDescent="0.3">
      <c r="B291" s="130">
        <v>43159</v>
      </c>
      <c r="C291">
        <v>5645.8</v>
      </c>
    </row>
    <row r="292" spans="2:3" x14ac:dyDescent="0.3">
      <c r="B292" s="130">
        <v>43190</v>
      </c>
      <c r="C292">
        <v>5645.8</v>
      </c>
    </row>
    <row r="293" spans="2:3" x14ac:dyDescent="0.3">
      <c r="B293" s="130">
        <v>43220</v>
      </c>
      <c r="C293">
        <v>5645.8</v>
      </c>
    </row>
    <row r="294" spans="2:3" x14ac:dyDescent="0.3">
      <c r="B294" s="130">
        <v>43251</v>
      </c>
      <c r="C294">
        <v>5645.8</v>
      </c>
    </row>
    <row r="295" spans="2:3" x14ac:dyDescent="0.3">
      <c r="B295" s="130">
        <v>43281</v>
      </c>
      <c r="C295">
        <v>5645.8</v>
      </c>
    </row>
    <row r="296" spans="2:3" x14ac:dyDescent="0.3">
      <c r="B296" s="130">
        <v>43312</v>
      </c>
      <c r="C296">
        <v>5645.8</v>
      </c>
    </row>
    <row r="297" spans="2:3" x14ac:dyDescent="0.3">
      <c r="B297" s="130">
        <v>43343</v>
      </c>
      <c r="C297">
        <v>5645.8</v>
      </c>
    </row>
    <row r="298" spans="2:3" x14ac:dyDescent="0.3">
      <c r="B298" s="130">
        <v>43373</v>
      </c>
      <c r="C298">
        <v>5645.8</v>
      </c>
    </row>
    <row r="299" spans="2:3" x14ac:dyDescent="0.3">
      <c r="B299" s="130">
        <v>43404</v>
      </c>
      <c r="C299">
        <v>5645.8</v>
      </c>
    </row>
    <row r="300" spans="2:3" x14ac:dyDescent="0.3">
      <c r="B300" s="130">
        <v>43434</v>
      </c>
      <c r="C300">
        <v>5645.8</v>
      </c>
    </row>
    <row r="301" spans="2:3" x14ac:dyDescent="0.3">
      <c r="B301" s="130">
        <v>43465</v>
      </c>
      <c r="C301">
        <v>5645.8</v>
      </c>
    </row>
    <row r="302" spans="2:3" x14ac:dyDescent="0.3">
      <c r="B302" s="130">
        <v>43496</v>
      </c>
      <c r="C302">
        <v>5839.45</v>
      </c>
    </row>
    <row r="303" spans="2:3" x14ac:dyDescent="0.3">
      <c r="B303" s="130">
        <v>43524</v>
      </c>
      <c r="C303">
        <v>5839.45</v>
      </c>
    </row>
    <row r="304" spans="2:3" x14ac:dyDescent="0.3">
      <c r="B304" s="130">
        <v>43555</v>
      </c>
      <c r="C304">
        <v>5839.45</v>
      </c>
    </row>
    <row r="305" spans="2:3" x14ac:dyDescent="0.3">
      <c r="B305" s="130">
        <v>43585</v>
      </c>
      <c r="C305">
        <v>5839.45</v>
      </c>
    </row>
    <row r="306" spans="2:3" x14ac:dyDescent="0.3">
      <c r="B306" s="130">
        <v>43616</v>
      </c>
      <c r="C306">
        <v>5839.45</v>
      </c>
    </row>
    <row r="307" spans="2:3" x14ac:dyDescent="0.3">
      <c r="B307" s="130">
        <v>43646</v>
      </c>
      <c r="C307">
        <v>5839.45</v>
      </c>
    </row>
    <row r="308" spans="2:3" x14ac:dyDescent="0.3">
      <c r="B308" s="130">
        <v>43677</v>
      </c>
      <c r="C308">
        <v>5839.45</v>
      </c>
    </row>
    <row r="309" spans="2:3" x14ac:dyDescent="0.3">
      <c r="B309" s="130">
        <v>43708</v>
      </c>
      <c r="C309">
        <v>5839.45</v>
      </c>
    </row>
    <row r="310" spans="2:3" x14ac:dyDescent="0.3">
      <c r="B310" s="130">
        <v>43738</v>
      </c>
      <c r="C310">
        <v>5839.45</v>
      </c>
    </row>
    <row r="311" spans="2:3" x14ac:dyDescent="0.3">
      <c r="B311" s="130">
        <v>43769</v>
      </c>
      <c r="C311">
        <v>5839.45</v>
      </c>
    </row>
    <row r="312" spans="2:3" x14ac:dyDescent="0.3">
      <c r="B312" s="130">
        <v>43799</v>
      </c>
      <c r="C312">
        <v>5839.45</v>
      </c>
    </row>
    <row r="313" spans="2:3" x14ac:dyDescent="0.3">
      <c r="B313" s="130">
        <v>43830</v>
      </c>
      <c r="C313">
        <v>5839.45</v>
      </c>
    </row>
    <row r="314" spans="2:3" x14ac:dyDescent="0.3">
      <c r="B314" s="130">
        <v>43861</v>
      </c>
      <c r="C314">
        <v>6101.06</v>
      </c>
    </row>
    <row r="315" spans="2:3" x14ac:dyDescent="0.3">
      <c r="B315" s="130">
        <v>43890</v>
      </c>
      <c r="C315">
        <v>6101.06</v>
      </c>
    </row>
    <row r="316" spans="2:3" x14ac:dyDescent="0.3">
      <c r="B316" s="130">
        <v>43921</v>
      </c>
      <c r="C316">
        <v>6101.06</v>
      </c>
    </row>
    <row r="317" spans="2:3" x14ac:dyDescent="0.3">
      <c r="B317" s="130">
        <v>43951</v>
      </c>
      <c r="C317">
        <v>6101.06</v>
      </c>
    </row>
    <row r="318" spans="2:3" x14ac:dyDescent="0.3">
      <c r="B318" s="130">
        <v>43982</v>
      </c>
      <c r="C318">
        <v>6101.06</v>
      </c>
    </row>
    <row r="319" spans="2:3" x14ac:dyDescent="0.3">
      <c r="B319" s="130">
        <v>44012</v>
      </c>
      <c r="C319">
        <v>6101.06</v>
      </c>
    </row>
    <row r="320" spans="2:3" x14ac:dyDescent="0.3">
      <c r="B320" s="130">
        <v>44043</v>
      </c>
      <c r="C320">
        <v>6101.06</v>
      </c>
    </row>
    <row r="321" spans="2:3" x14ac:dyDescent="0.3">
      <c r="B321" s="130">
        <v>44074</v>
      </c>
      <c r="C321">
        <v>6101.06</v>
      </c>
    </row>
    <row r="322" spans="2:3" x14ac:dyDescent="0.3">
      <c r="B322" s="130">
        <v>44104</v>
      </c>
      <c r="C322">
        <v>6101.06</v>
      </c>
    </row>
    <row r="323" spans="2:3" x14ac:dyDescent="0.3">
      <c r="B323" s="130">
        <v>44135</v>
      </c>
      <c r="C323">
        <v>6101.06</v>
      </c>
    </row>
    <row r="324" spans="2:3" x14ac:dyDescent="0.3">
      <c r="B324" s="130">
        <v>44165</v>
      </c>
      <c r="C324">
        <v>6101.06</v>
      </c>
    </row>
    <row r="325" spans="2:3" x14ac:dyDescent="0.3">
      <c r="B325" s="130">
        <v>44196</v>
      </c>
      <c r="C325">
        <v>6101.06</v>
      </c>
    </row>
    <row r="326" spans="2:3" x14ac:dyDescent="0.3">
      <c r="B326" s="130">
        <v>44227</v>
      </c>
      <c r="C326">
        <v>6433.57</v>
      </c>
    </row>
    <row r="327" spans="2:3" x14ac:dyDescent="0.3">
      <c r="B327" s="130">
        <v>44255</v>
      </c>
      <c r="C327">
        <v>6433.57</v>
      </c>
    </row>
    <row r="328" spans="2:3" x14ac:dyDescent="0.3">
      <c r="B328" s="130">
        <v>44286</v>
      </c>
      <c r="C328">
        <v>6433.57</v>
      </c>
    </row>
    <row r="329" spans="2:3" x14ac:dyDescent="0.3">
      <c r="B329" s="130">
        <v>44316</v>
      </c>
      <c r="C329">
        <v>6433.57</v>
      </c>
    </row>
    <row r="330" spans="2:3" x14ac:dyDescent="0.3">
      <c r="B330" s="130">
        <v>44347</v>
      </c>
      <c r="C330">
        <v>6433.57</v>
      </c>
    </row>
    <row r="331" spans="2:3" x14ac:dyDescent="0.3">
      <c r="B331" s="130">
        <v>44377</v>
      </c>
      <c r="C331">
        <v>6433.57</v>
      </c>
    </row>
    <row r="332" spans="2:3" x14ac:dyDescent="0.3">
      <c r="B332" s="130">
        <v>44408</v>
      </c>
      <c r="C332">
        <v>6433.57</v>
      </c>
    </row>
    <row r="333" spans="2:3" x14ac:dyDescent="0.3">
      <c r="B333" s="130">
        <v>44439</v>
      </c>
      <c r="C333">
        <v>6433.57</v>
      </c>
    </row>
    <row r="334" spans="2:3" x14ac:dyDescent="0.3">
      <c r="B334" s="130">
        <v>44469</v>
      </c>
      <c r="C334">
        <v>6433.57</v>
      </c>
    </row>
    <row r="335" spans="2:3" x14ac:dyDescent="0.3">
      <c r="B335" s="130">
        <v>44500</v>
      </c>
      <c r="C335">
        <v>6433.57</v>
      </c>
    </row>
    <row r="336" spans="2:3" x14ac:dyDescent="0.3">
      <c r="B336" s="130">
        <v>44530</v>
      </c>
      <c r="C336">
        <v>6433.57</v>
      </c>
    </row>
    <row r="337" spans="2:3" x14ac:dyDescent="0.3">
      <c r="B337" s="130">
        <v>44561</v>
      </c>
      <c r="C337">
        <v>6433.57</v>
      </c>
    </row>
    <row r="338" spans="2:3" x14ac:dyDescent="0.3">
      <c r="B338" s="130">
        <v>44592</v>
      </c>
      <c r="C338">
        <v>7087.22</v>
      </c>
    </row>
    <row r="339" spans="2:3" x14ac:dyDescent="0.3">
      <c r="B339" s="130">
        <v>44620</v>
      </c>
      <c r="C339">
        <v>7087.22</v>
      </c>
    </row>
    <row r="340" spans="2:3" x14ac:dyDescent="0.3">
      <c r="B340" s="130">
        <v>44651</v>
      </c>
      <c r="C340">
        <v>7087.22</v>
      </c>
    </row>
    <row r="341" spans="2:3" x14ac:dyDescent="0.3">
      <c r="B341" s="130">
        <v>44681</v>
      </c>
      <c r="C341">
        <v>7087.22</v>
      </c>
    </row>
    <row r="342" spans="2:3" x14ac:dyDescent="0.3">
      <c r="B342" s="130">
        <v>44712</v>
      </c>
      <c r="C342">
        <v>7087.22</v>
      </c>
    </row>
    <row r="343" spans="2:3" x14ac:dyDescent="0.3">
      <c r="B343" s="130">
        <v>44742</v>
      </c>
      <c r="C343">
        <v>7087.22</v>
      </c>
    </row>
    <row r="344" spans="2:3" x14ac:dyDescent="0.3">
      <c r="B344" s="130">
        <v>44773</v>
      </c>
      <c r="C344">
        <v>7087.22</v>
      </c>
    </row>
    <row r="345" spans="2:3" x14ac:dyDescent="0.3">
      <c r="B345" s="130">
        <v>44804</v>
      </c>
      <c r="C345">
        <v>7087.22</v>
      </c>
    </row>
    <row r="346" spans="2:3" x14ac:dyDescent="0.3">
      <c r="B346" s="130">
        <v>44834</v>
      </c>
      <c r="C346">
        <v>7087.22</v>
      </c>
    </row>
    <row r="347" spans="2:3" x14ac:dyDescent="0.3">
      <c r="B347" s="130">
        <v>44865</v>
      </c>
      <c r="C347">
        <v>7087.22</v>
      </c>
    </row>
    <row r="348" spans="2:3" x14ac:dyDescent="0.3">
      <c r="B348" s="130">
        <v>44895</v>
      </c>
      <c r="C348">
        <v>7087.22</v>
      </c>
    </row>
    <row r="349" spans="2:3" x14ac:dyDescent="0.3">
      <c r="B349" s="130">
        <v>44926</v>
      </c>
      <c r="C349">
        <v>7087.22</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7"/>
  <dimension ref="A2:D343"/>
  <sheetViews>
    <sheetView topLeftCell="A332" workbookViewId="0">
      <selection activeCell="K61" sqref="K61:M61"/>
    </sheetView>
  </sheetViews>
  <sheetFormatPr defaultRowHeight="14.4" x14ac:dyDescent="0.3"/>
  <cols>
    <col min="4" max="4" width="21" bestFit="1" customWidth="1"/>
  </cols>
  <sheetData>
    <row r="2" spans="1:4" x14ac:dyDescent="0.3">
      <c r="A2" s="23" t="s">
        <v>21</v>
      </c>
      <c r="B2" s="23" t="s">
        <v>40</v>
      </c>
      <c r="C2" s="23" t="s">
        <v>41</v>
      </c>
      <c r="D2" s="23" t="s">
        <v>42</v>
      </c>
    </row>
    <row r="3" spans="1:4" x14ac:dyDescent="0.3">
      <c r="A3" s="24">
        <v>34546</v>
      </c>
      <c r="B3" s="25">
        <v>6.84</v>
      </c>
      <c r="C3" s="25">
        <f t="shared" ref="C3:C21" si="0">1+B3/100</f>
        <v>1.0684</v>
      </c>
      <c r="D3" s="26">
        <f>PRODUCT(C3:$C$343)</f>
        <v>7.474758626881048</v>
      </c>
    </row>
    <row r="4" spans="1:4" x14ac:dyDescent="0.3">
      <c r="A4" s="24">
        <v>34577</v>
      </c>
      <c r="B4" s="25">
        <v>1.86</v>
      </c>
      <c r="C4" s="25">
        <f t="shared" si="0"/>
        <v>1.0185999999999999</v>
      </c>
      <c r="D4" s="26">
        <f>PRODUCT(C4:$C$343)</f>
        <v>6.9962173594918173</v>
      </c>
    </row>
    <row r="5" spans="1:4" x14ac:dyDescent="0.3">
      <c r="A5" s="24">
        <v>34607</v>
      </c>
      <c r="B5" s="25">
        <v>1.53</v>
      </c>
      <c r="C5" s="25">
        <f t="shared" si="0"/>
        <v>1.0153000000000001</v>
      </c>
      <c r="D5" s="26">
        <f>PRODUCT(C5:$C$343)</f>
        <v>6.8684639303866177</v>
      </c>
    </row>
    <row r="6" spans="1:4" x14ac:dyDescent="0.3">
      <c r="A6" s="24">
        <v>34638</v>
      </c>
      <c r="B6" s="25">
        <v>2.62</v>
      </c>
      <c r="C6" s="25">
        <f t="shared" si="0"/>
        <v>1.0262</v>
      </c>
      <c r="D6" s="26">
        <f>PRODUCT(C6:$C$343)</f>
        <v>6.7649600417478766</v>
      </c>
    </row>
    <row r="7" spans="1:4" x14ac:dyDescent="0.3">
      <c r="A7" s="24">
        <v>34668</v>
      </c>
      <c r="B7" s="25">
        <v>2.81</v>
      </c>
      <c r="C7" s="25">
        <f t="shared" si="0"/>
        <v>1.0281</v>
      </c>
      <c r="D7" s="26">
        <f>PRODUCT(C7:$C$343)</f>
        <v>6.5922432681230632</v>
      </c>
    </row>
    <row r="8" spans="1:4" x14ac:dyDescent="0.3">
      <c r="A8" s="24">
        <v>34699</v>
      </c>
      <c r="B8" s="25">
        <v>1.71</v>
      </c>
      <c r="C8" s="25">
        <f t="shared" si="0"/>
        <v>1.0170999999999999</v>
      </c>
      <c r="D8" s="26">
        <f>PRODUCT(C8:$C$343)</f>
        <v>6.41206426235098</v>
      </c>
    </row>
    <row r="9" spans="1:4" x14ac:dyDescent="0.3">
      <c r="A9" s="24">
        <v>34730</v>
      </c>
      <c r="B9" s="25">
        <v>1.7</v>
      </c>
      <c r="C9" s="25">
        <f t="shared" si="0"/>
        <v>1.0169999999999999</v>
      </c>
      <c r="D9" s="26">
        <f>PRODUCT(C9:$C$343)</f>
        <v>6.3042613925385895</v>
      </c>
    </row>
    <row r="10" spans="1:4" x14ac:dyDescent="0.3">
      <c r="A10" s="24">
        <v>34758</v>
      </c>
      <c r="B10" s="25">
        <v>1.02</v>
      </c>
      <c r="C10" s="25">
        <f t="shared" si="0"/>
        <v>1.0102</v>
      </c>
      <c r="D10" s="26">
        <f>PRODUCT(C10:$C$343)</f>
        <v>6.1988804253083485</v>
      </c>
    </row>
    <row r="11" spans="1:4" x14ac:dyDescent="0.3">
      <c r="A11" s="24">
        <v>34789</v>
      </c>
      <c r="B11" s="25">
        <v>1.55</v>
      </c>
      <c r="C11" s="25">
        <f t="shared" si="0"/>
        <v>1.0155000000000001</v>
      </c>
      <c r="D11" s="26">
        <f>PRODUCT(C11:$C$343)</f>
        <v>6.1362902646093263</v>
      </c>
    </row>
    <row r="12" spans="1:4" x14ac:dyDescent="0.3">
      <c r="A12" s="24">
        <v>34819</v>
      </c>
      <c r="B12" s="25">
        <v>2.4300000000000002</v>
      </c>
      <c r="C12" s="25">
        <f t="shared" si="0"/>
        <v>1.0243</v>
      </c>
      <c r="D12" s="26">
        <f>PRODUCT(C12:$C$343)</f>
        <v>6.0426295072469944</v>
      </c>
    </row>
    <row r="13" spans="1:4" x14ac:dyDescent="0.3">
      <c r="A13" s="24">
        <v>34850</v>
      </c>
      <c r="B13" s="25">
        <v>2.67</v>
      </c>
      <c r="C13" s="25">
        <f t="shared" si="0"/>
        <v>1.0266999999999999</v>
      </c>
      <c r="D13" s="26">
        <f>PRODUCT(C13:$C$343)</f>
        <v>5.8992770743405272</v>
      </c>
    </row>
    <row r="14" spans="1:4" x14ac:dyDescent="0.3">
      <c r="A14" s="24">
        <v>34880</v>
      </c>
      <c r="B14" s="25">
        <v>2.2599999999999998</v>
      </c>
      <c r="C14" s="25">
        <f t="shared" si="0"/>
        <v>1.0226</v>
      </c>
      <c r="D14" s="26">
        <f>PRODUCT(C14:$C$343)</f>
        <v>5.7458625444049121</v>
      </c>
    </row>
    <row r="15" spans="1:4" x14ac:dyDescent="0.3">
      <c r="A15" s="24">
        <v>34911</v>
      </c>
      <c r="B15" s="25">
        <v>2.36</v>
      </c>
      <c r="C15" s="25">
        <f t="shared" si="0"/>
        <v>1.0236000000000001</v>
      </c>
      <c r="D15" s="26">
        <f>PRODUCT(C15:$C$343)</f>
        <v>5.6188759479805519</v>
      </c>
    </row>
    <row r="16" spans="1:4" x14ac:dyDescent="0.3">
      <c r="A16" s="24">
        <v>34942</v>
      </c>
      <c r="B16" s="25">
        <v>0.99</v>
      </c>
      <c r="C16" s="25">
        <f t="shared" si="0"/>
        <v>1.0099</v>
      </c>
      <c r="D16" s="26">
        <f>PRODUCT(C16:$C$343)</f>
        <v>5.4893278116261781</v>
      </c>
    </row>
    <row r="17" spans="1:4" x14ac:dyDescent="0.3">
      <c r="A17" s="24">
        <v>34972</v>
      </c>
      <c r="B17" s="25">
        <v>0.99</v>
      </c>
      <c r="C17" s="25">
        <f t="shared" si="0"/>
        <v>1.0099</v>
      </c>
      <c r="D17" s="26">
        <f>PRODUCT(C17:$C$343)</f>
        <v>5.4355162012339582</v>
      </c>
    </row>
    <row r="18" spans="1:4" x14ac:dyDescent="0.3">
      <c r="A18" s="24">
        <v>35003</v>
      </c>
      <c r="B18" s="25">
        <v>1.41</v>
      </c>
      <c r="C18" s="25">
        <f t="shared" si="0"/>
        <v>1.0141</v>
      </c>
      <c r="D18" s="26">
        <f>PRODUCT(C18:$C$343)</f>
        <v>5.382232103410197</v>
      </c>
    </row>
    <row r="19" spans="1:4" x14ac:dyDescent="0.3">
      <c r="A19" s="24">
        <v>35033</v>
      </c>
      <c r="B19" s="25">
        <v>1.47</v>
      </c>
      <c r="C19" s="25">
        <f t="shared" si="0"/>
        <v>1.0146999999999999</v>
      </c>
      <c r="D19" s="26">
        <f>PRODUCT(C19:$C$343)</f>
        <v>5.3073977945076374</v>
      </c>
    </row>
    <row r="20" spans="1:4" x14ac:dyDescent="0.3">
      <c r="A20" s="24">
        <v>35064</v>
      </c>
      <c r="B20" s="25">
        <v>1.56</v>
      </c>
      <c r="C20" s="25">
        <f t="shared" si="0"/>
        <v>1.0156000000000001</v>
      </c>
      <c r="D20" s="26">
        <f>PRODUCT(C20:$C$343)</f>
        <v>5.2305093076846783</v>
      </c>
    </row>
    <row r="21" spans="1:4" x14ac:dyDescent="0.3">
      <c r="A21" s="24">
        <v>35095</v>
      </c>
      <c r="B21" s="25">
        <v>1.34</v>
      </c>
      <c r="C21" s="25">
        <f t="shared" si="0"/>
        <v>1.0134000000000001</v>
      </c>
      <c r="D21" s="26">
        <f>PRODUCT(C21:$C$343)</f>
        <v>5.1501667070546286</v>
      </c>
    </row>
    <row r="22" spans="1:4" x14ac:dyDescent="0.3">
      <c r="A22" s="24">
        <v>35124</v>
      </c>
      <c r="B22" s="25">
        <v>1.03</v>
      </c>
      <c r="C22" s="25">
        <f t="shared" ref="C22:C85" si="1">1+B22/100</f>
        <v>1.0103</v>
      </c>
      <c r="D22" s="26">
        <f>PRODUCT(C22:$C$343)</f>
        <v>5.0820670091322588</v>
      </c>
    </row>
    <row r="23" spans="1:4" x14ac:dyDescent="0.3">
      <c r="A23" s="24">
        <v>35155</v>
      </c>
      <c r="B23" s="25">
        <v>0.35</v>
      </c>
      <c r="C23" s="25">
        <f t="shared" si="1"/>
        <v>1.0035000000000001</v>
      </c>
      <c r="D23" s="26">
        <f>PRODUCT(C23:$C$343)</f>
        <v>5.0302553787313169</v>
      </c>
    </row>
    <row r="24" spans="1:4" x14ac:dyDescent="0.3">
      <c r="A24" s="24">
        <v>35185</v>
      </c>
      <c r="B24" s="25">
        <v>1.26</v>
      </c>
      <c r="C24" s="25">
        <f t="shared" si="1"/>
        <v>1.0125999999999999</v>
      </c>
      <c r="D24" s="26">
        <f>PRODUCT(C24:$C$343)</f>
        <v>5.0127108906141675</v>
      </c>
    </row>
    <row r="25" spans="1:4" x14ac:dyDescent="0.3">
      <c r="A25" s="24">
        <v>35216</v>
      </c>
      <c r="B25" s="25">
        <v>1.22</v>
      </c>
      <c r="C25" s="25">
        <f t="shared" si="1"/>
        <v>1.0122</v>
      </c>
      <c r="D25" s="26">
        <f>PRODUCT(C25:$C$343)</f>
        <v>4.9503366488388076</v>
      </c>
    </row>
    <row r="26" spans="1:4" x14ac:dyDescent="0.3">
      <c r="A26" s="24">
        <v>35246</v>
      </c>
      <c r="B26" s="25">
        <v>1.19</v>
      </c>
      <c r="C26" s="25">
        <f t="shared" si="1"/>
        <v>1.0119</v>
      </c>
      <c r="D26" s="26">
        <f>PRODUCT(C26:$C$343)</f>
        <v>4.8906704691155936</v>
      </c>
    </row>
    <row r="27" spans="1:4" x14ac:dyDescent="0.3">
      <c r="A27" s="24">
        <v>35277</v>
      </c>
      <c r="B27" s="25">
        <v>1.1100000000000001</v>
      </c>
      <c r="C27" s="25">
        <f t="shared" si="1"/>
        <v>1.0111000000000001</v>
      </c>
      <c r="D27" s="26">
        <f>PRODUCT(C27:$C$343)</f>
        <v>4.8331559137420541</v>
      </c>
    </row>
    <row r="28" spans="1:4" x14ac:dyDescent="0.3">
      <c r="A28" s="24">
        <v>35308</v>
      </c>
      <c r="B28" s="25">
        <v>0.44</v>
      </c>
      <c r="C28" s="25">
        <f t="shared" si="1"/>
        <v>1.0044</v>
      </c>
      <c r="D28" s="26">
        <f>PRODUCT(C28:$C$343)</f>
        <v>4.7800968388310308</v>
      </c>
    </row>
    <row r="29" spans="1:4" x14ac:dyDescent="0.3">
      <c r="A29" s="24">
        <v>35338</v>
      </c>
      <c r="B29" s="25">
        <v>0.15</v>
      </c>
      <c r="C29" s="25">
        <f t="shared" si="1"/>
        <v>1.0015000000000001</v>
      </c>
      <c r="D29" s="26">
        <f>PRODUCT(C29:$C$343)</f>
        <v>4.7591565500109807</v>
      </c>
    </row>
    <row r="30" spans="1:4" x14ac:dyDescent="0.3">
      <c r="A30" s="24">
        <v>35369</v>
      </c>
      <c r="B30" s="25">
        <v>0.3</v>
      </c>
      <c r="C30" s="25">
        <f t="shared" si="1"/>
        <v>1.0029999999999999</v>
      </c>
      <c r="D30" s="26">
        <f>PRODUCT(C30:$C$343)</f>
        <v>4.7520285072501087</v>
      </c>
    </row>
    <row r="31" spans="1:4" x14ac:dyDescent="0.3">
      <c r="A31" s="24">
        <v>35399</v>
      </c>
      <c r="B31" s="25">
        <v>0.32</v>
      </c>
      <c r="C31" s="25">
        <f t="shared" si="1"/>
        <v>1.0032000000000001</v>
      </c>
      <c r="D31" s="26">
        <f>PRODUCT(C31:$C$343)</f>
        <v>4.7378150620639152</v>
      </c>
    </row>
    <row r="32" spans="1:4" x14ac:dyDescent="0.3">
      <c r="A32" s="24">
        <v>35430</v>
      </c>
      <c r="B32" s="25">
        <v>0.47</v>
      </c>
      <c r="C32" s="25">
        <f t="shared" si="1"/>
        <v>1.0046999999999999</v>
      </c>
      <c r="D32" s="26">
        <f>PRODUCT(C32:$C$343)</f>
        <v>4.7227024143380412</v>
      </c>
    </row>
    <row r="33" spans="1:4" x14ac:dyDescent="0.3">
      <c r="A33" s="24">
        <v>35461</v>
      </c>
      <c r="B33" s="25">
        <v>1.18</v>
      </c>
      <c r="C33" s="25">
        <f t="shared" si="1"/>
        <v>1.0118</v>
      </c>
      <c r="D33" s="26">
        <f>PRODUCT(C33:$C$343)</f>
        <v>4.7006095494555922</v>
      </c>
    </row>
    <row r="34" spans="1:4" x14ac:dyDescent="0.3">
      <c r="A34" s="24">
        <v>35489</v>
      </c>
      <c r="B34" s="25">
        <v>0.5</v>
      </c>
      <c r="C34" s="25">
        <f t="shared" si="1"/>
        <v>1.0049999999999999</v>
      </c>
      <c r="D34" s="26">
        <f>PRODUCT(C34:$C$343)</f>
        <v>4.6457892364653084</v>
      </c>
    </row>
    <row r="35" spans="1:4" x14ac:dyDescent="0.3">
      <c r="A35" s="24">
        <v>35520</v>
      </c>
      <c r="B35" s="25">
        <v>0.51</v>
      </c>
      <c r="C35" s="25">
        <f t="shared" si="1"/>
        <v>1.0051000000000001</v>
      </c>
      <c r="D35" s="26">
        <f>PRODUCT(C35:$C$343)</f>
        <v>4.6226758571794111</v>
      </c>
    </row>
    <row r="36" spans="1:4" x14ac:dyDescent="0.3">
      <c r="A36" s="24">
        <v>35550</v>
      </c>
      <c r="B36" s="25">
        <v>0.88</v>
      </c>
      <c r="C36" s="25">
        <f t="shared" si="1"/>
        <v>1.0087999999999999</v>
      </c>
      <c r="D36" s="26">
        <f>PRODUCT(C36:$C$343)</f>
        <v>4.5992198360157337</v>
      </c>
    </row>
    <row r="37" spans="1:4" x14ac:dyDescent="0.3">
      <c r="A37" s="24">
        <v>35581</v>
      </c>
      <c r="B37" s="25">
        <v>0.41</v>
      </c>
      <c r="C37" s="25">
        <f t="shared" si="1"/>
        <v>1.0041</v>
      </c>
      <c r="D37" s="26">
        <f>PRODUCT(C37:$C$343)</f>
        <v>4.5590997581440647</v>
      </c>
    </row>
    <row r="38" spans="1:4" x14ac:dyDescent="0.3">
      <c r="A38" s="24">
        <v>35611</v>
      </c>
      <c r="B38" s="25">
        <v>0.54</v>
      </c>
      <c r="C38" s="25">
        <f t="shared" si="1"/>
        <v>1.0054000000000001</v>
      </c>
      <c r="D38" s="26">
        <f>PRODUCT(C38:$C$343)</f>
        <v>4.5404837746679316</v>
      </c>
    </row>
    <row r="39" spans="1:4" x14ac:dyDescent="0.3">
      <c r="A39" s="24">
        <v>35642</v>
      </c>
      <c r="B39" s="25">
        <v>0.22</v>
      </c>
      <c r="C39" s="25">
        <f t="shared" si="1"/>
        <v>1.0022</v>
      </c>
      <c r="D39" s="26">
        <f>PRODUCT(C39:$C$343)</f>
        <v>4.5160968516689071</v>
      </c>
    </row>
    <row r="40" spans="1:4" x14ac:dyDescent="0.3">
      <c r="A40" s="24">
        <v>35673</v>
      </c>
      <c r="B40" s="25">
        <v>-0.02</v>
      </c>
      <c r="C40" s="25">
        <f t="shared" si="1"/>
        <v>0.99980000000000002</v>
      </c>
      <c r="D40" s="26">
        <f>PRODUCT(C40:$C$343)</f>
        <v>4.5061832485221638</v>
      </c>
    </row>
    <row r="41" spans="1:4" x14ac:dyDescent="0.3">
      <c r="A41" s="24">
        <v>35703</v>
      </c>
      <c r="B41" s="25">
        <v>0.06</v>
      </c>
      <c r="C41" s="25">
        <f t="shared" si="1"/>
        <v>1.0005999999999999</v>
      </c>
      <c r="D41" s="26">
        <f>PRODUCT(C41:$C$343)</f>
        <v>4.5070846654552517</v>
      </c>
    </row>
    <row r="42" spans="1:4" x14ac:dyDescent="0.3">
      <c r="A42" s="24">
        <v>35734</v>
      </c>
      <c r="B42" s="25">
        <v>0.23</v>
      </c>
      <c r="C42" s="25">
        <f t="shared" si="1"/>
        <v>1.0023</v>
      </c>
      <c r="D42" s="26">
        <f>PRODUCT(C42:$C$343)</f>
        <v>4.5043820362335145</v>
      </c>
    </row>
    <row r="43" spans="1:4" x14ac:dyDescent="0.3">
      <c r="A43" s="24">
        <v>35764</v>
      </c>
      <c r="B43" s="25">
        <v>0.17</v>
      </c>
      <c r="C43" s="25">
        <f t="shared" si="1"/>
        <v>1.0017</v>
      </c>
      <c r="D43" s="26">
        <f>PRODUCT(C43:$C$343)</f>
        <v>4.4940457310520863</v>
      </c>
    </row>
    <row r="44" spans="1:4" x14ac:dyDescent="0.3">
      <c r="A44" s="24">
        <v>35795</v>
      </c>
      <c r="B44" s="25">
        <v>0.43</v>
      </c>
      <c r="C44" s="25">
        <f t="shared" si="1"/>
        <v>1.0043</v>
      </c>
      <c r="D44" s="26">
        <f>PRODUCT(C44:$C$343)</f>
        <v>4.486418819059689</v>
      </c>
    </row>
    <row r="45" spans="1:4" x14ac:dyDescent="0.3">
      <c r="A45" s="24">
        <v>35826</v>
      </c>
      <c r="B45" s="25">
        <v>0.71</v>
      </c>
      <c r="C45" s="25">
        <f t="shared" si="1"/>
        <v>1.0071000000000001</v>
      </c>
      <c r="D45" s="26">
        <f>PRODUCT(C45:$C$343)</f>
        <v>4.4672098168472498</v>
      </c>
    </row>
    <row r="46" spans="1:4" x14ac:dyDescent="0.3">
      <c r="A46" s="24">
        <v>35854</v>
      </c>
      <c r="B46" s="25">
        <v>0.46</v>
      </c>
      <c r="C46" s="25">
        <f t="shared" si="1"/>
        <v>1.0045999999999999</v>
      </c>
      <c r="D46" s="26">
        <f>PRODUCT(C46:$C$343)</f>
        <v>4.4357162316028713</v>
      </c>
    </row>
    <row r="47" spans="1:4" x14ac:dyDescent="0.3">
      <c r="A47" s="24">
        <v>35885</v>
      </c>
      <c r="B47" s="25">
        <v>0.34</v>
      </c>
      <c r="C47" s="25">
        <f t="shared" si="1"/>
        <v>1.0034000000000001</v>
      </c>
      <c r="D47" s="26">
        <f>PRODUCT(C47:$C$343)</f>
        <v>4.4154053669150528</v>
      </c>
    </row>
    <row r="48" spans="1:4" x14ac:dyDescent="0.3">
      <c r="A48" s="24">
        <v>35915</v>
      </c>
      <c r="B48" s="25">
        <v>0.24</v>
      </c>
      <c r="C48" s="25">
        <f t="shared" si="1"/>
        <v>1.0024</v>
      </c>
      <c r="D48" s="26">
        <f>PRODUCT(C48:$C$343)</f>
        <v>4.4004438577985443</v>
      </c>
    </row>
    <row r="49" spans="1:4" x14ac:dyDescent="0.3">
      <c r="A49" s="24">
        <v>35946</v>
      </c>
      <c r="B49" s="25">
        <v>0.5</v>
      </c>
      <c r="C49" s="25">
        <f t="shared" si="1"/>
        <v>1.0049999999999999</v>
      </c>
      <c r="D49" s="26">
        <f>PRODUCT(C49:$C$343)</f>
        <v>4.3899080784103557</v>
      </c>
    </row>
    <row r="50" spans="1:4" x14ac:dyDescent="0.3">
      <c r="A50" s="24">
        <v>35976</v>
      </c>
      <c r="B50" s="25">
        <v>0.02</v>
      </c>
      <c r="C50" s="25">
        <f t="shared" si="1"/>
        <v>1.0002</v>
      </c>
      <c r="D50" s="26">
        <f>PRODUCT(C50:$C$343)</f>
        <v>4.3680677397117993</v>
      </c>
    </row>
    <row r="51" spans="1:4" x14ac:dyDescent="0.3">
      <c r="A51" s="24">
        <v>36007</v>
      </c>
      <c r="B51" s="25">
        <v>-0.12</v>
      </c>
      <c r="C51" s="25">
        <f t="shared" si="1"/>
        <v>0.99880000000000002</v>
      </c>
      <c r="D51" s="26">
        <f>PRODUCT(C51:$C$343)</f>
        <v>4.3671943008516285</v>
      </c>
    </row>
    <row r="52" spans="1:4" x14ac:dyDescent="0.3">
      <c r="A52" s="24">
        <v>36038</v>
      </c>
      <c r="B52" s="25">
        <v>-0.51</v>
      </c>
      <c r="C52" s="25">
        <f t="shared" si="1"/>
        <v>0.99490000000000001</v>
      </c>
      <c r="D52" s="26">
        <f>PRODUCT(C52:$C$343)</f>
        <v>4.3724412303280262</v>
      </c>
    </row>
    <row r="53" spans="1:4" x14ac:dyDescent="0.3">
      <c r="A53" s="24">
        <v>36068</v>
      </c>
      <c r="B53" s="25">
        <v>-0.22</v>
      </c>
      <c r="C53" s="25">
        <f t="shared" si="1"/>
        <v>0.99780000000000002</v>
      </c>
      <c r="D53" s="26">
        <f>PRODUCT(C53:$C$343)</f>
        <v>4.3948549907810079</v>
      </c>
    </row>
    <row r="54" spans="1:4" x14ac:dyDescent="0.3">
      <c r="A54" s="24">
        <v>36099</v>
      </c>
      <c r="B54" s="25">
        <v>0.02</v>
      </c>
      <c r="C54" s="25">
        <f t="shared" si="1"/>
        <v>1.0002</v>
      </c>
      <c r="D54" s="26">
        <f>PRODUCT(C54:$C$343)</f>
        <v>4.4045449897584747</v>
      </c>
    </row>
    <row r="55" spans="1:4" x14ac:dyDescent="0.3">
      <c r="A55" s="24">
        <v>36129</v>
      </c>
      <c r="B55" s="25">
        <v>-0.12</v>
      </c>
      <c r="C55" s="25">
        <f t="shared" si="1"/>
        <v>0.99880000000000002</v>
      </c>
      <c r="D55" s="26">
        <f>PRODUCT(C55:$C$343)</f>
        <v>4.4036642569070876</v>
      </c>
    </row>
    <row r="56" spans="1:4" x14ac:dyDescent="0.3">
      <c r="A56" s="24">
        <v>36160</v>
      </c>
      <c r="B56" s="25">
        <v>0.33</v>
      </c>
      <c r="C56" s="25">
        <f t="shared" si="1"/>
        <v>1.0033000000000001</v>
      </c>
      <c r="D56" s="26">
        <f>PRODUCT(C56:$C$343)</f>
        <v>4.408955002910588</v>
      </c>
    </row>
    <row r="57" spans="1:4" x14ac:dyDescent="0.3">
      <c r="A57" s="24">
        <v>36191</v>
      </c>
      <c r="B57" s="25">
        <v>0.7</v>
      </c>
      <c r="C57" s="25">
        <f t="shared" si="1"/>
        <v>1.0069999999999999</v>
      </c>
      <c r="D57" s="26">
        <f>PRODUCT(C57:$C$343)</f>
        <v>4.3944533069974963</v>
      </c>
    </row>
    <row r="58" spans="1:4" x14ac:dyDescent="0.3">
      <c r="A58" s="24">
        <v>36219</v>
      </c>
      <c r="B58" s="25">
        <v>1.05</v>
      </c>
      <c r="C58" s="25">
        <f t="shared" si="1"/>
        <v>1.0105</v>
      </c>
      <c r="D58" s="26">
        <f>PRODUCT(C58:$C$343)</f>
        <v>4.363905965240817</v>
      </c>
    </row>
    <row r="59" spans="1:4" x14ac:dyDescent="0.3">
      <c r="A59" s="24">
        <v>36250</v>
      </c>
      <c r="B59" s="25">
        <v>1.1000000000000001</v>
      </c>
      <c r="C59" s="25">
        <f t="shared" si="1"/>
        <v>1.0109999999999999</v>
      </c>
      <c r="D59" s="26">
        <f>PRODUCT(C59:$C$343)</f>
        <v>4.3185610739641866</v>
      </c>
    </row>
    <row r="60" spans="1:4" x14ac:dyDescent="0.3">
      <c r="A60" s="24">
        <v>36280</v>
      </c>
      <c r="B60" s="25">
        <v>0.56000000000000005</v>
      </c>
      <c r="C60" s="25">
        <f t="shared" si="1"/>
        <v>1.0056</v>
      </c>
      <c r="D60" s="26">
        <f>PRODUCT(C60:$C$343)</f>
        <v>4.2715737625758559</v>
      </c>
    </row>
    <row r="61" spans="1:4" x14ac:dyDescent="0.3">
      <c r="A61" s="24">
        <v>36311</v>
      </c>
      <c r="B61" s="25">
        <v>0.3</v>
      </c>
      <c r="C61" s="25">
        <f t="shared" si="1"/>
        <v>1.0029999999999999</v>
      </c>
      <c r="D61" s="26">
        <f>PRODUCT(C61:$C$343)</f>
        <v>4.2477861600794053</v>
      </c>
    </row>
    <row r="62" spans="1:4" x14ac:dyDescent="0.3">
      <c r="A62" s="24">
        <v>36341</v>
      </c>
      <c r="B62" s="25">
        <v>0.19</v>
      </c>
      <c r="C62" s="25">
        <f t="shared" si="1"/>
        <v>1.0019</v>
      </c>
      <c r="D62" s="26">
        <f>PRODUCT(C62:$C$343)</f>
        <v>4.2350809173274158</v>
      </c>
    </row>
    <row r="63" spans="1:4" x14ac:dyDescent="0.3">
      <c r="A63" s="24">
        <v>36372</v>
      </c>
      <c r="B63" s="25">
        <v>1.0900000000000001</v>
      </c>
      <c r="C63" s="25">
        <f t="shared" si="1"/>
        <v>1.0108999999999999</v>
      </c>
      <c r="D63" s="26">
        <f>PRODUCT(C63:$C$343)</f>
        <v>4.2270495232332861</v>
      </c>
    </row>
    <row r="64" spans="1:4" x14ac:dyDescent="0.3">
      <c r="A64" s="24">
        <v>36403</v>
      </c>
      <c r="B64" s="25">
        <v>0.56000000000000005</v>
      </c>
      <c r="C64" s="25">
        <f t="shared" si="1"/>
        <v>1.0056</v>
      </c>
      <c r="D64" s="26">
        <f>PRODUCT(C64:$C$343)</f>
        <v>4.1814714840570586</v>
      </c>
    </row>
    <row r="65" spans="1:4" x14ac:dyDescent="0.3">
      <c r="A65" s="24">
        <v>36433</v>
      </c>
      <c r="B65" s="25">
        <v>0.31</v>
      </c>
      <c r="C65" s="25">
        <f t="shared" si="1"/>
        <v>1.0031000000000001</v>
      </c>
      <c r="D65" s="26">
        <f>PRODUCT(C65:$C$343)</f>
        <v>4.1581856444481549</v>
      </c>
    </row>
    <row r="66" spans="1:4" x14ac:dyDescent="0.3">
      <c r="A66" s="24">
        <v>36464</v>
      </c>
      <c r="B66" s="25">
        <v>1.19</v>
      </c>
      <c r="C66" s="25">
        <f t="shared" si="1"/>
        <v>1.0119</v>
      </c>
      <c r="D66" s="26">
        <f>PRODUCT(C66:$C$343)</f>
        <v>4.1453351056207266</v>
      </c>
    </row>
    <row r="67" spans="1:4" x14ac:dyDescent="0.3">
      <c r="A67" s="24">
        <v>36494</v>
      </c>
      <c r="B67" s="25">
        <v>0.95</v>
      </c>
      <c r="C67" s="25">
        <f t="shared" si="1"/>
        <v>1.0095000000000001</v>
      </c>
      <c r="D67" s="26">
        <f>PRODUCT(C67:$C$343)</f>
        <v>4.0965857353698247</v>
      </c>
    </row>
    <row r="68" spans="1:4" x14ac:dyDescent="0.3">
      <c r="A68" s="24">
        <v>36525</v>
      </c>
      <c r="B68" s="25">
        <v>0.6</v>
      </c>
      <c r="C68" s="25">
        <f t="shared" si="1"/>
        <v>1.006</v>
      </c>
      <c r="D68" s="26">
        <f>PRODUCT(C68:$C$343)</f>
        <v>4.0580344084891786</v>
      </c>
    </row>
    <row r="69" spans="1:4" x14ac:dyDescent="0.3">
      <c r="A69" s="24">
        <v>36556</v>
      </c>
      <c r="B69" s="25">
        <v>0.62</v>
      </c>
      <c r="C69" s="25">
        <f t="shared" si="1"/>
        <v>1.0062</v>
      </c>
      <c r="D69" s="26">
        <f>PRODUCT(C69:$C$343)</f>
        <v>4.0338314199693652</v>
      </c>
    </row>
    <row r="70" spans="1:4" x14ac:dyDescent="0.3">
      <c r="A70" s="24">
        <v>36585</v>
      </c>
      <c r="B70" s="25">
        <v>0.13</v>
      </c>
      <c r="C70" s="25">
        <f t="shared" si="1"/>
        <v>1.0013000000000001</v>
      </c>
      <c r="D70" s="26">
        <f>PRODUCT(C70:$C$343)</f>
        <v>4.0089757701941569</v>
      </c>
    </row>
    <row r="71" spans="1:4" x14ac:dyDescent="0.3">
      <c r="A71" s="24">
        <v>36616</v>
      </c>
      <c r="B71" s="25">
        <v>0.22</v>
      </c>
      <c r="C71" s="25">
        <f t="shared" si="1"/>
        <v>1.0022</v>
      </c>
      <c r="D71" s="26">
        <f>PRODUCT(C71:$C$343)</f>
        <v>4.0037708680656774</v>
      </c>
    </row>
    <row r="72" spans="1:4" x14ac:dyDescent="0.3">
      <c r="A72" s="24">
        <v>36646</v>
      </c>
      <c r="B72" s="25">
        <v>0.42</v>
      </c>
      <c r="C72" s="25">
        <f t="shared" si="1"/>
        <v>1.0042</v>
      </c>
      <c r="D72" s="26">
        <f>PRODUCT(C72:$C$343)</f>
        <v>3.9949819078683628</v>
      </c>
    </row>
    <row r="73" spans="1:4" x14ac:dyDescent="0.3">
      <c r="A73" s="24">
        <v>36677</v>
      </c>
      <c r="B73" s="25">
        <v>0.01</v>
      </c>
      <c r="C73" s="25">
        <f t="shared" si="1"/>
        <v>1.0001</v>
      </c>
      <c r="D73" s="26">
        <f>PRODUCT(C73:$C$343)</f>
        <v>3.9782731605938664</v>
      </c>
    </row>
    <row r="74" spans="1:4" x14ac:dyDescent="0.3">
      <c r="A74" s="24">
        <v>36707</v>
      </c>
      <c r="B74" s="25">
        <v>0.23</v>
      </c>
      <c r="C74" s="25">
        <f t="shared" si="1"/>
        <v>1.0023</v>
      </c>
      <c r="D74" s="26">
        <f>PRODUCT(C74:$C$343)</f>
        <v>3.9778753730565608</v>
      </c>
    </row>
    <row r="75" spans="1:4" x14ac:dyDescent="0.3">
      <c r="A75" s="24">
        <v>36738</v>
      </c>
      <c r="B75" s="25">
        <v>1.61</v>
      </c>
      <c r="C75" s="25">
        <f t="shared" si="1"/>
        <v>1.0161</v>
      </c>
      <c r="D75" s="26">
        <f>PRODUCT(C75:$C$343)</f>
        <v>3.9687472543715008</v>
      </c>
    </row>
    <row r="76" spans="1:4" x14ac:dyDescent="0.3">
      <c r="A76" s="24">
        <v>36769</v>
      </c>
      <c r="B76" s="25">
        <v>1.31</v>
      </c>
      <c r="C76" s="25">
        <f t="shared" si="1"/>
        <v>1.0131000000000001</v>
      </c>
      <c r="D76" s="26">
        <f>PRODUCT(C76:$C$343)</f>
        <v>3.9058628622886635</v>
      </c>
    </row>
    <row r="77" spans="1:4" x14ac:dyDescent="0.3">
      <c r="A77" s="24">
        <v>36799</v>
      </c>
      <c r="B77" s="25">
        <v>0.23</v>
      </c>
      <c r="C77" s="25">
        <f t="shared" si="1"/>
        <v>1.0023</v>
      </c>
      <c r="D77" s="26">
        <f>PRODUCT(C77:$C$343)</f>
        <v>3.85535767672358</v>
      </c>
    </row>
    <row r="78" spans="1:4" x14ac:dyDescent="0.3">
      <c r="A78" s="24">
        <v>36830</v>
      </c>
      <c r="B78" s="25">
        <v>0.14000000000000001</v>
      </c>
      <c r="C78" s="25">
        <f t="shared" si="1"/>
        <v>1.0014000000000001</v>
      </c>
      <c r="D78" s="26">
        <f>PRODUCT(C78:$C$343)</f>
        <v>3.8465107021087248</v>
      </c>
    </row>
    <row r="79" spans="1:4" x14ac:dyDescent="0.3">
      <c r="A79" s="24">
        <v>36860</v>
      </c>
      <c r="B79" s="25">
        <v>0.32</v>
      </c>
      <c r="C79" s="25">
        <f t="shared" si="1"/>
        <v>1.0032000000000001</v>
      </c>
      <c r="D79" s="26">
        <f>PRODUCT(C79:$C$343)</f>
        <v>3.8411331157466844</v>
      </c>
    </row>
    <row r="80" spans="1:4" x14ac:dyDescent="0.3">
      <c r="A80" s="24">
        <v>36891</v>
      </c>
      <c r="B80" s="25">
        <v>0.59</v>
      </c>
      <c r="C80" s="25">
        <f t="shared" si="1"/>
        <v>1.0059</v>
      </c>
      <c r="D80" s="26">
        <f>PRODUCT(C80:$C$343)</f>
        <v>3.8288806975146379</v>
      </c>
    </row>
    <row r="81" spans="1:4" x14ac:dyDescent="0.3">
      <c r="A81" s="24">
        <v>36922</v>
      </c>
      <c r="B81" s="25">
        <v>0.56999999999999995</v>
      </c>
      <c r="C81" s="25">
        <f t="shared" si="1"/>
        <v>1.0057</v>
      </c>
      <c r="D81" s="26">
        <f>PRODUCT(C81:$C$343)</f>
        <v>3.8064228029770737</v>
      </c>
    </row>
    <row r="82" spans="1:4" x14ac:dyDescent="0.3">
      <c r="A82" s="24">
        <v>36950</v>
      </c>
      <c r="B82" s="25">
        <v>0.46</v>
      </c>
      <c r="C82" s="25">
        <f t="shared" si="1"/>
        <v>1.0045999999999999</v>
      </c>
      <c r="D82" s="26">
        <f>PRODUCT(C82:$C$343)</f>
        <v>3.7848491627493965</v>
      </c>
    </row>
    <row r="83" spans="1:4" x14ac:dyDescent="0.3">
      <c r="A83" s="24">
        <v>36981</v>
      </c>
      <c r="B83" s="25">
        <v>0.38</v>
      </c>
      <c r="C83" s="25">
        <f t="shared" si="1"/>
        <v>1.0038</v>
      </c>
      <c r="D83" s="26">
        <f>PRODUCT(C83:$C$343)</f>
        <v>3.7675185772938478</v>
      </c>
    </row>
    <row r="84" spans="1:4" x14ac:dyDescent="0.3">
      <c r="A84" s="24">
        <v>37011</v>
      </c>
      <c r="B84" s="25">
        <v>0.57999999999999996</v>
      </c>
      <c r="C84" s="25">
        <f t="shared" si="1"/>
        <v>1.0058</v>
      </c>
      <c r="D84" s="26">
        <f>PRODUCT(C84:$C$343)</f>
        <v>3.7532562037197126</v>
      </c>
    </row>
    <row r="85" spans="1:4" x14ac:dyDescent="0.3">
      <c r="A85" s="24">
        <v>37042</v>
      </c>
      <c r="B85" s="25">
        <v>0.41</v>
      </c>
      <c r="C85" s="25">
        <f t="shared" si="1"/>
        <v>1.0041</v>
      </c>
      <c r="D85" s="26">
        <f>PRODUCT(C85:$C$343)</f>
        <v>3.7316128491943896</v>
      </c>
    </row>
    <row r="86" spans="1:4" x14ac:dyDescent="0.3">
      <c r="A86" s="24">
        <v>37072</v>
      </c>
      <c r="B86" s="25">
        <v>0.52</v>
      </c>
      <c r="C86" s="25">
        <f t="shared" ref="C86:C149" si="2">1+B86/100</f>
        <v>1.0052000000000001</v>
      </c>
      <c r="D86" s="26">
        <f>PRODUCT(C86:$C$343)</f>
        <v>3.7163757087883535</v>
      </c>
    </row>
    <row r="87" spans="1:4" x14ac:dyDescent="0.3">
      <c r="A87" s="24">
        <v>37103</v>
      </c>
      <c r="B87" s="25">
        <v>1.33</v>
      </c>
      <c r="C87" s="25">
        <f t="shared" si="2"/>
        <v>1.0133000000000001</v>
      </c>
      <c r="D87" s="26">
        <f>PRODUCT(C87:$C$343)</f>
        <v>3.697150526052877</v>
      </c>
    </row>
    <row r="88" spans="1:4" x14ac:dyDescent="0.3">
      <c r="A88" s="24">
        <v>37134</v>
      </c>
      <c r="B88" s="25">
        <v>0.7</v>
      </c>
      <c r="C88" s="25">
        <f t="shared" si="2"/>
        <v>1.0069999999999999</v>
      </c>
      <c r="D88" s="26">
        <f>PRODUCT(C88:$C$343)</f>
        <v>3.6486238291255093</v>
      </c>
    </row>
    <row r="89" spans="1:4" x14ac:dyDescent="0.3">
      <c r="A89" s="24">
        <v>37164</v>
      </c>
      <c r="B89" s="25">
        <v>0.28000000000000003</v>
      </c>
      <c r="C89" s="25">
        <f t="shared" si="2"/>
        <v>1.0027999999999999</v>
      </c>
      <c r="D89" s="26">
        <f>PRODUCT(C89:$C$343)</f>
        <v>3.6232610021107297</v>
      </c>
    </row>
    <row r="90" spans="1:4" x14ac:dyDescent="0.3">
      <c r="A90" s="24">
        <v>37195</v>
      </c>
      <c r="B90" s="25">
        <v>0.83</v>
      </c>
      <c r="C90" s="25">
        <f t="shared" si="2"/>
        <v>1.0083</v>
      </c>
      <c r="D90" s="26">
        <f>PRODUCT(C90:$C$343)</f>
        <v>3.6131441983553456</v>
      </c>
    </row>
    <row r="91" spans="1:4" x14ac:dyDescent="0.3">
      <c r="A91" s="24">
        <v>37225</v>
      </c>
      <c r="B91" s="25">
        <v>0.71</v>
      </c>
      <c r="C91" s="25">
        <f t="shared" si="2"/>
        <v>1.0071000000000001</v>
      </c>
      <c r="D91" s="26">
        <f>PRODUCT(C91:$C$343)</f>
        <v>3.5834019620701603</v>
      </c>
    </row>
    <row r="92" spans="1:4" x14ac:dyDescent="0.3">
      <c r="A92" s="24">
        <v>37256</v>
      </c>
      <c r="B92" s="25">
        <v>0.65</v>
      </c>
      <c r="C92" s="25">
        <f t="shared" si="2"/>
        <v>1.0065</v>
      </c>
      <c r="D92" s="26">
        <f>PRODUCT(C92:$C$343)</f>
        <v>3.5581391739352206</v>
      </c>
    </row>
    <row r="93" spans="1:4" x14ac:dyDescent="0.3">
      <c r="A93" s="24">
        <v>37287</v>
      </c>
      <c r="B93" s="25">
        <v>0.52</v>
      </c>
      <c r="C93" s="25">
        <f t="shared" si="2"/>
        <v>1.0052000000000001</v>
      </c>
      <c r="D93" s="26">
        <f>PRODUCT(C93:$C$343)</f>
        <v>3.5351606298412501</v>
      </c>
    </row>
    <row r="94" spans="1:4" x14ac:dyDescent="0.3">
      <c r="A94" s="24">
        <v>37315</v>
      </c>
      <c r="B94" s="25">
        <v>0.36</v>
      </c>
      <c r="C94" s="25">
        <f t="shared" si="2"/>
        <v>1.0036</v>
      </c>
      <c r="D94" s="26">
        <f>PRODUCT(C94:$C$343)</f>
        <v>3.5168728908090396</v>
      </c>
    </row>
    <row r="95" spans="1:4" x14ac:dyDescent="0.3">
      <c r="A95" s="24">
        <v>37346</v>
      </c>
      <c r="B95" s="25">
        <v>0.6</v>
      </c>
      <c r="C95" s="25">
        <f t="shared" si="2"/>
        <v>1.006</v>
      </c>
      <c r="D95" s="26">
        <f>PRODUCT(C95:$C$343)</f>
        <v>3.5042575635801558</v>
      </c>
    </row>
    <row r="96" spans="1:4" x14ac:dyDescent="0.3">
      <c r="A96" s="24">
        <v>37376</v>
      </c>
      <c r="B96" s="25">
        <v>0.8</v>
      </c>
      <c r="C96" s="25">
        <f t="shared" si="2"/>
        <v>1.008</v>
      </c>
      <c r="D96" s="26">
        <f>PRODUCT(C96:$C$343)</f>
        <v>3.4833574190657615</v>
      </c>
    </row>
    <row r="97" spans="1:4" x14ac:dyDescent="0.3">
      <c r="A97" s="24">
        <v>37407</v>
      </c>
      <c r="B97" s="25">
        <v>0.21</v>
      </c>
      <c r="C97" s="25">
        <f t="shared" si="2"/>
        <v>1.0021</v>
      </c>
      <c r="D97" s="26">
        <f>PRODUCT(C97:$C$343)</f>
        <v>3.4557117252636509</v>
      </c>
    </row>
    <row r="98" spans="1:4" x14ac:dyDescent="0.3">
      <c r="A98" s="24">
        <v>37437</v>
      </c>
      <c r="B98" s="25">
        <v>0.42</v>
      </c>
      <c r="C98" s="25">
        <f t="shared" si="2"/>
        <v>1.0042</v>
      </c>
      <c r="D98" s="26">
        <f>PRODUCT(C98:$C$343)</f>
        <v>3.448469938393024</v>
      </c>
    </row>
    <row r="99" spans="1:4" x14ac:dyDescent="0.3">
      <c r="A99" s="24">
        <v>37468</v>
      </c>
      <c r="B99" s="25">
        <v>1.19</v>
      </c>
      <c r="C99" s="25">
        <f t="shared" si="2"/>
        <v>1.0119</v>
      </c>
      <c r="D99" s="26">
        <f>PRODUCT(C99:$C$343)</f>
        <v>3.4340469412398131</v>
      </c>
    </row>
    <row r="100" spans="1:4" x14ac:dyDescent="0.3">
      <c r="A100" s="24">
        <v>37499</v>
      </c>
      <c r="B100" s="25">
        <v>0.65</v>
      </c>
      <c r="C100" s="25">
        <f t="shared" si="2"/>
        <v>1.0065</v>
      </c>
      <c r="D100" s="26">
        <f>PRODUCT(C100:$C$343)</f>
        <v>3.3936623591657433</v>
      </c>
    </row>
    <row r="101" spans="1:4" x14ac:dyDescent="0.3">
      <c r="A101" s="24">
        <v>37529</v>
      </c>
      <c r="B101" s="25">
        <v>0.72</v>
      </c>
      <c r="C101" s="25">
        <f t="shared" si="2"/>
        <v>1.0072000000000001</v>
      </c>
      <c r="D101" s="26">
        <f>PRODUCT(C101:$C$343)</f>
        <v>3.3717460101000896</v>
      </c>
    </row>
    <row r="102" spans="1:4" x14ac:dyDescent="0.3">
      <c r="A102" s="24">
        <v>37560</v>
      </c>
      <c r="B102" s="25">
        <v>1.31</v>
      </c>
      <c r="C102" s="25">
        <f t="shared" si="2"/>
        <v>1.0131000000000001</v>
      </c>
      <c r="D102" s="26">
        <f>PRODUCT(C102:$C$343)</f>
        <v>3.3476429806394923</v>
      </c>
    </row>
    <row r="103" spans="1:4" x14ac:dyDescent="0.3">
      <c r="A103" s="24">
        <v>37590</v>
      </c>
      <c r="B103" s="25">
        <v>3.02</v>
      </c>
      <c r="C103" s="25">
        <f t="shared" si="2"/>
        <v>1.0302</v>
      </c>
      <c r="D103" s="26">
        <f>PRODUCT(C103:$C$343)</f>
        <v>3.3043559181122206</v>
      </c>
    </row>
    <row r="104" spans="1:4" x14ac:dyDescent="0.3">
      <c r="A104" s="24">
        <v>37621</v>
      </c>
      <c r="B104" s="25">
        <v>2.1</v>
      </c>
      <c r="C104" s="25">
        <f t="shared" si="2"/>
        <v>1.0209999999999999</v>
      </c>
      <c r="D104" s="26">
        <f>PRODUCT(C104:$C$343)</f>
        <v>3.2074897283170429</v>
      </c>
    </row>
    <row r="105" spans="1:4" x14ac:dyDescent="0.3">
      <c r="A105" s="24">
        <v>37652</v>
      </c>
      <c r="B105" s="25">
        <v>2.25</v>
      </c>
      <c r="C105" s="25">
        <f t="shared" si="2"/>
        <v>1.0225</v>
      </c>
      <c r="D105" s="26">
        <f>PRODUCT(C105:$C$343)</f>
        <v>3.1415178533957357</v>
      </c>
    </row>
    <row r="106" spans="1:4" x14ac:dyDescent="0.3">
      <c r="A106" s="24">
        <v>37680</v>
      </c>
      <c r="B106" s="25">
        <v>1.57</v>
      </c>
      <c r="C106" s="25">
        <f t="shared" si="2"/>
        <v>1.0157</v>
      </c>
      <c r="D106" s="26">
        <f>PRODUCT(C106:$C$343)</f>
        <v>3.0723890986755333</v>
      </c>
    </row>
    <row r="107" spans="1:4" x14ac:dyDescent="0.3">
      <c r="A107" s="24">
        <v>37711</v>
      </c>
      <c r="B107" s="25">
        <v>1.23</v>
      </c>
      <c r="C107" s="25">
        <f t="shared" si="2"/>
        <v>1.0123</v>
      </c>
      <c r="D107" s="26">
        <f>PRODUCT(C107:$C$343)</f>
        <v>3.0248981969829076</v>
      </c>
    </row>
    <row r="108" spans="1:4" x14ac:dyDescent="0.3">
      <c r="A108" s="24">
        <v>37741</v>
      </c>
      <c r="B108" s="25">
        <v>0.97</v>
      </c>
      <c r="C108" s="25">
        <f t="shared" si="2"/>
        <v>1.0097</v>
      </c>
      <c r="D108" s="26">
        <f>PRODUCT(C108:$C$343)</f>
        <v>2.988144025469635</v>
      </c>
    </row>
    <row r="109" spans="1:4" x14ac:dyDescent="0.3">
      <c r="A109" s="24">
        <v>37772</v>
      </c>
      <c r="B109" s="25">
        <v>0.61</v>
      </c>
      <c r="C109" s="25">
        <f t="shared" si="2"/>
        <v>1.0061</v>
      </c>
      <c r="D109" s="26">
        <f>PRODUCT(C109:$C$343)</f>
        <v>2.9594374818952383</v>
      </c>
    </row>
    <row r="110" spans="1:4" x14ac:dyDescent="0.3">
      <c r="A110" s="24">
        <v>37802</v>
      </c>
      <c r="B110" s="25">
        <v>-0.15</v>
      </c>
      <c r="C110" s="25">
        <f t="shared" si="2"/>
        <v>0.99850000000000005</v>
      </c>
      <c r="D110" s="26">
        <f>PRODUCT(C110:$C$343)</f>
        <v>2.9414943662610473</v>
      </c>
    </row>
    <row r="111" spans="1:4" x14ac:dyDescent="0.3">
      <c r="A111" s="24">
        <v>37833</v>
      </c>
      <c r="B111" s="25">
        <v>0.2</v>
      </c>
      <c r="C111" s="25">
        <f t="shared" si="2"/>
        <v>1.002</v>
      </c>
      <c r="D111" s="26">
        <f>PRODUCT(C111:$C$343)</f>
        <v>2.9459132361152234</v>
      </c>
    </row>
    <row r="112" spans="1:4" x14ac:dyDescent="0.3">
      <c r="A112" s="24">
        <v>37864</v>
      </c>
      <c r="B112" s="25">
        <v>0.34</v>
      </c>
      <c r="C112" s="25">
        <f t="shared" si="2"/>
        <v>1.0034000000000001</v>
      </c>
      <c r="D112" s="26">
        <f>PRODUCT(C112:$C$343)</f>
        <v>2.9400331697756719</v>
      </c>
    </row>
    <row r="113" spans="1:4" x14ac:dyDescent="0.3">
      <c r="A113" s="24">
        <v>37894</v>
      </c>
      <c r="B113" s="25">
        <v>0.78</v>
      </c>
      <c r="C113" s="25">
        <f t="shared" si="2"/>
        <v>1.0078</v>
      </c>
      <c r="D113" s="26">
        <f>PRODUCT(C113:$C$343)</f>
        <v>2.9300709286183708</v>
      </c>
    </row>
    <row r="114" spans="1:4" x14ac:dyDescent="0.3">
      <c r="A114" s="24">
        <v>37925</v>
      </c>
      <c r="B114" s="25">
        <v>0.28999999999999998</v>
      </c>
      <c r="C114" s="25">
        <f t="shared" si="2"/>
        <v>1.0028999999999999</v>
      </c>
      <c r="D114" s="26">
        <f>PRODUCT(C114:$C$343)</f>
        <v>2.9073932611811597</v>
      </c>
    </row>
    <row r="115" spans="1:4" x14ac:dyDescent="0.3">
      <c r="A115" s="24">
        <v>37955</v>
      </c>
      <c r="B115" s="25">
        <v>0.34</v>
      </c>
      <c r="C115" s="25">
        <f t="shared" si="2"/>
        <v>1.0034000000000001</v>
      </c>
      <c r="D115" s="26">
        <f>PRODUCT(C115:$C$343)</f>
        <v>2.8989862011976806</v>
      </c>
    </row>
    <row r="116" spans="1:4" x14ac:dyDescent="0.3">
      <c r="A116" s="24">
        <v>37986</v>
      </c>
      <c r="B116" s="25">
        <v>0.52</v>
      </c>
      <c r="C116" s="25">
        <f t="shared" si="2"/>
        <v>1.0052000000000001</v>
      </c>
      <c r="D116" s="26">
        <f>PRODUCT(C116:$C$343)</f>
        <v>2.8891630468384322</v>
      </c>
    </row>
    <row r="117" spans="1:4" x14ac:dyDescent="0.3">
      <c r="A117" s="24">
        <v>38017</v>
      </c>
      <c r="B117" s="25">
        <v>0.76</v>
      </c>
      <c r="C117" s="25">
        <f t="shared" si="2"/>
        <v>1.0076000000000001</v>
      </c>
      <c r="D117" s="26">
        <f>PRODUCT(C117:$C$343)</f>
        <v>2.8742171178257352</v>
      </c>
    </row>
    <row r="118" spans="1:4" x14ac:dyDescent="0.3">
      <c r="A118" s="24">
        <v>38046</v>
      </c>
      <c r="B118" s="25">
        <v>0.61</v>
      </c>
      <c r="C118" s="25">
        <f t="shared" si="2"/>
        <v>1.0061</v>
      </c>
      <c r="D118" s="26">
        <f>PRODUCT(C118:$C$343)</f>
        <v>2.8525378303153404</v>
      </c>
    </row>
    <row r="119" spans="1:4" x14ac:dyDescent="0.3">
      <c r="A119" s="24">
        <v>38077</v>
      </c>
      <c r="B119" s="25">
        <v>0.47</v>
      </c>
      <c r="C119" s="25">
        <f t="shared" si="2"/>
        <v>1.0046999999999999</v>
      </c>
      <c r="D119" s="26">
        <f>PRODUCT(C119:$C$343)</f>
        <v>2.8352428489368289</v>
      </c>
    </row>
    <row r="120" spans="1:4" x14ac:dyDescent="0.3">
      <c r="A120" s="24">
        <v>38107</v>
      </c>
      <c r="B120" s="25">
        <v>0.37</v>
      </c>
      <c r="C120" s="25">
        <f t="shared" si="2"/>
        <v>1.0037</v>
      </c>
      <c r="D120" s="26">
        <f>PRODUCT(C120:$C$343)</f>
        <v>2.8219795450749716</v>
      </c>
    </row>
    <row r="121" spans="1:4" x14ac:dyDescent="0.3">
      <c r="A121" s="24">
        <v>38138</v>
      </c>
      <c r="B121" s="25">
        <v>0.51</v>
      </c>
      <c r="C121" s="25">
        <f t="shared" si="2"/>
        <v>1.0051000000000001</v>
      </c>
      <c r="D121" s="26">
        <f>PRODUCT(C121:$C$343)</f>
        <v>2.8115767112433727</v>
      </c>
    </row>
    <row r="122" spans="1:4" x14ac:dyDescent="0.3">
      <c r="A122" s="24">
        <v>38168</v>
      </c>
      <c r="B122" s="25">
        <v>0.71</v>
      </c>
      <c r="C122" s="25">
        <f t="shared" si="2"/>
        <v>1.0071000000000001</v>
      </c>
      <c r="D122" s="26">
        <f>PRODUCT(C122:$C$343)</f>
        <v>2.7973104280602663</v>
      </c>
    </row>
    <row r="123" spans="1:4" x14ac:dyDescent="0.3">
      <c r="A123" s="24">
        <v>38199</v>
      </c>
      <c r="B123" s="25">
        <v>0.91</v>
      </c>
      <c r="C123" s="25">
        <f t="shared" si="2"/>
        <v>1.0091000000000001</v>
      </c>
      <c r="D123" s="26">
        <f>PRODUCT(C123:$C$343)</f>
        <v>2.7775895423098658</v>
      </c>
    </row>
    <row r="124" spans="1:4" x14ac:dyDescent="0.3">
      <c r="A124" s="24">
        <v>38230</v>
      </c>
      <c r="B124" s="25">
        <v>0.69</v>
      </c>
      <c r="C124" s="25">
        <f t="shared" si="2"/>
        <v>1.0068999999999999</v>
      </c>
      <c r="D124" s="26">
        <f>PRODUCT(C124:$C$343)</f>
        <v>2.752541415429457</v>
      </c>
    </row>
    <row r="125" spans="1:4" x14ac:dyDescent="0.3">
      <c r="A125" s="24">
        <v>38260</v>
      </c>
      <c r="B125" s="25">
        <v>0.33</v>
      </c>
      <c r="C125" s="25">
        <f t="shared" si="2"/>
        <v>1.0033000000000001</v>
      </c>
      <c r="D125" s="26">
        <f>PRODUCT(C125:$C$343)</f>
        <v>2.7336790301216185</v>
      </c>
    </row>
    <row r="126" spans="1:4" x14ac:dyDescent="0.3">
      <c r="A126" s="24">
        <v>38291</v>
      </c>
      <c r="B126" s="25">
        <v>0.44</v>
      </c>
      <c r="C126" s="25">
        <f t="shared" si="2"/>
        <v>1.0044</v>
      </c>
      <c r="D126" s="26">
        <f>PRODUCT(C126:$C$343)</f>
        <v>2.7246875611697599</v>
      </c>
    </row>
    <row r="127" spans="1:4" x14ac:dyDescent="0.3">
      <c r="A127" s="24">
        <v>38321</v>
      </c>
      <c r="B127" s="25">
        <v>0.69</v>
      </c>
      <c r="C127" s="25">
        <f t="shared" si="2"/>
        <v>1.0068999999999999</v>
      </c>
      <c r="D127" s="26">
        <f>PRODUCT(C127:$C$343)</f>
        <v>2.7127514547687768</v>
      </c>
    </row>
    <row r="128" spans="1:4" x14ac:dyDescent="0.3">
      <c r="A128" s="24">
        <v>38352</v>
      </c>
      <c r="B128" s="25">
        <v>0.86</v>
      </c>
      <c r="C128" s="25">
        <f t="shared" si="2"/>
        <v>1.0085999999999999</v>
      </c>
      <c r="D128" s="26">
        <f>PRODUCT(C128:$C$343)</f>
        <v>2.6941617387712524</v>
      </c>
    </row>
    <row r="129" spans="1:4" x14ac:dyDescent="0.3">
      <c r="A129" s="24">
        <v>38383</v>
      </c>
      <c r="B129" s="25">
        <v>0.57999999999999996</v>
      </c>
      <c r="C129" s="25">
        <f t="shared" si="2"/>
        <v>1.0058</v>
      </c>
      <c r="D129" s="26">
        <f>PRODUCT(C129:$C$343)</f>
        <v>2.6711895089939097</v>
      </c>
    </row>
    <row r="130" spans="1:4" x14ac:dyDescent="0.3">
      <c r="A130" s="24">
        <v>38411</v>
      </c>
      <c r="B130" s="25">
        <v>0.59</v>
      </c>
      <c r="C130" s="25">
        <f t="shared" si="2"/>
        <v>1.0059</v>
      </c>
      <c r="D130" s="26">
        <f>PRODUCT(C130:$C$343)</f>
        <v>2.6557859504811145</v>
      </c>
    </row>
    <row r="131" spans="1:4" x14ac:dyDescent="0.3">
      <c r="A131" s="24">
        <v>38442</v>
      </c>
      <c r="B131" s="25">
        <v>0.61</v>
      </c>
      <c r="C131" s="25">
        <f t="shared" si="2"/>
        <v>1.0061</v>
      </c>
      <c r="D131" s="26">
        <f>PRODUCT(C131:$C$343)</f>
        <v>2.6402087190387906</v>
      </c>
    </row>
    <row r="132" spans="1:4" x14ac:dyDescent="0.3">
      <c r="A132" s="24">
        <v>38472</v>
      </c>
      <c r="B132" s="25">
        <v>0.87</v>
      </c>
      <c r="C132" s="25">
        <f t="shared" si="2"/>
        <v>1.0086999999999999</v>
      </c>
      <c r="D132" s="26">
        <f>PRODUCT(C132:$C$343)</f>
        <v>2.6242010923753001</v>
      </c>
    </row>
    <row r="133" spans="1:4" x14ac:dyDescent="0.3">
      <c r="A133" s="24">
        <v>38503</v>
      </c>
      <c r="B133" s="25">
        <v>0.49</v>
      </c>
      <c r="C133" s="25">
        <f t="shared" si="2"/>
        <v>1.0048999999999999</v>
      </c>
      <c r="D133" s="26">
        <f>PRODUCT(C133:$C$343)</f>
        <v>2.6015674555123396</v>
      </c>
    </row>
    <row r="134" spans="1:4" x14ac:dyDescent="0.3">
      <c r="A134" s="24">
        <v>38533</v>
      </c>
      <c r="B134" s="25">
        <v>-0.02</v>
      </c>
      <c r="C134" s="25">
        <f t="shared" si="2"/>
        <v>0.99980000000000002</v>
      </c>
      <c r="D134" s="26">
        <f>PRODUCT(C134:$C$343)</f>
        <v>2.5888819340355642</v>
      </c>
    </row>
    <row r="135" spans="1:4" x14ac:dyDescent="0.3">
      <c r="A135" s="24">
        <v>38564</v>
      </c>
      <c r="B135" s="25">
        <v>0.25</v>
      </c>
      <c r="C135" s="25">
        <f t="shared" si="2"/>
        <v>1.0024999999999999</v>
      </c>
      <c r="D135" s="26">
        <f>PRODUCT(C135:$C$343)</f>
        <v>2.5893998139983672</v>
      </c>
    </row>
    <row r="136" spans="1:4" x14ac:dyDescent="0.3">
      <c r="A136" s="24">
        <v>38595</v>
      </c>
      <c r="B136" s="25">
        <v>0.17</v>
      </c>
      <c r="C136" s="25">
        <f t="shared" si="2"/>
        <v>1.0017</v>
      </c>
      <c r="D136" s="26">
        <f>PRODUCT(C136:$C$343)</f>
        <v>2.5829424578537332</v>
      </c>
    </row>
    <row r="137" spans="1:4" x14ac:dyDescent="0.3">
      <c r="A137" s="24">
        <v>38625</v>
      </c>
      <c r="B137" s="25">
        <v>0.35</v>
      </c>
      <c r="C137" s="25">
        <f t="shared" si="2"/>
        <v>1.0035000000000001</v>
      </c>
      <c r="D137" s="26">
        <f>PRODUCT(C137:$C$343)</f>
        <v>2.5785589077106197</v>
      </c>
    </row>
    <row r="138" spans="1:4" x14ac:dyDescent="0.3">
      <c r="A138" s="24">
        <v>38656</v>
      </c>
      <c r="B138" s="25">
        <v>0.75</v>
      </c>
      <c r="C138" s="25">
        <f t="shared" si="2"/>
        <v>1.0075000000000001</v>
      </c>
      <c r="D138" s="26">
        <f>PRODUCT(C138:$C$343)</f>
        <v>2.5695654287101428</v>
      </c>
    </row>
    <row r="139" spans="1:4" x14ac:dyDescent="0.3">
      <c r="A139" s="24">
        <v>38686</v>
      </c>
      <c r="B139" s="25">
        <v>0.55000000000000004</v>
      </c>
      <c r="C139" s="25">
        <f t="shared" si="2"/>
        <v>1.0055000000000001</v>
      </c>
      <c r="D139" s="26">
        <f>PRODUCT(C139:$C$343)</f>
        <v>2.5504371500845053</v>
      </c>
    </row>
    <row r="140" spans="1:4" x14ac:dyDescent="0.3">
      <c r="A140" s="24">
        <v>38717</v>
      </c>
      <c r="B140" s="25">
        <v>0.36</v>
      </c>
      <c r="C140" s="25">
        <f t="shared" si="2"/>
        <v>1.0036</v>
      </c>
      <c r="D140" s="26">
        <f>PRODUCT(C140:$C$343)</f>
        <v>2.5364864744748918</v>
      </c>
    </row>
    <row r="141" spans="1:4" x14ac:dyDescent="0.3">
      <c r="A141" s="24">
        <v>38748</v>
      </c>
      <c r="B141" s="25">
        <v>0.59</v>
      </c>
      <c r="C141" s="25">
        <f t="shared" si="2"/>
        <v>1.0059</v>
      </c>
      <c r="D141" s="26">
        <f>PRODUCT(C141:$C$343)</f>
        <v>2.5273878781136849</v>
      </c>
    </row>
    <row r="142" spans="1:4" x14ac:dyDescent="0.3">
      <c r="A142" s="24">
        <v>38776</v>
      </c>
      <c r="B142" s="25">
        <v>0.41</v>
      </c>
      <c r="C142" s="25">
        <f t="shared" si="2"/>
        <v>1.0041</v>
      </c>
      <c r="D142" s="26">
        <f>PRODUCT(C142:$C$343)</f>
        <v>2.5125637519770172</v>
      </c>
    </row>
    <row r="143" spans="1:4" x14ac:dyDescent="0.3">
      <c r="A143" s="24">
        <v>38807</v>
      </c>
      <c r="B143" s="25">
        <v>0.43</v>
      </c>
      <c r="C143" s="25">
        <f t="shared" si="2"/>
        <v>1.0043</v>
      </c>
      <c r="D143" s="26">
        <f>PRODUCT(C143:$C$343)</f>
        <v>2.502304304329265</v>
      </c>
    </row>
    <row r="144" spans="1:4" x14ac:dyDescent="0.3">
      <c r="A144" s="24">
        <v>38837</v>
      </c>
      <c r="B144" s="25">
        <v>0.21</v>
      </c>
      <c r="C144" s="25">
        <f t="shared" si="2"/>
        <v>1.0021</v>
      </c>
      <c r="D144" s="26">
        <f>PRODUCT(C144:$C$343)</f>
        <v>2.4915904653283558</v>
      </c>
    </row>
    <row r="145" spans="1:4" x14ac:dyDescent="0.3">
      <c r="A145" s="24">
        <v>38868</v>
      </c>
      <c r="B145" s="25">
        <v>0.1</v>
      </c>
      <c r="C145" s="25">
        <f t="shared" si="2"/>
        <v>1.0009999999999999</v>
      </c>
      <c r="D145" s="26">
        <f>PRODUCT(C145:$C$343)</f>
        <v>2.4863690902388553</v>
      </c>
    </row>
    <row r="146" spans="1:4" x14ac:dyDescent="0.3">
      <c r="A146" s="24">
        <v>38898</v>
      </c>
      <c r="B146" s="25">
        <v>-0.21</v>
      </c>
      <c r="C146" s="25">
        <f t="shared" si="2"/>
        <v>0.99790000000000001</v>
      </c>
      <c r="D146" s="26">
        <f>PRODUCT(C146:$C$343)</f>
        <v>2.4838852050338196</v>
      </c>
    </row>
    <row r="147" spans="1:4" x14ac:dyDescent="0.3">
      <c r="A147" s="24">
        <v>38929</v>
      </c>
      <c r="B147" s="25">
        <v>0.19</v>
      </c>
      <c r="C147" s="25">
        <f t="shared" si="2"/>
        <v>1.0019</v>
      </c>
      <c r="D147" s="26">
        <f>PRODUCT(C147:$C$343)</f>
        <v>2.4891123409498199</v>
      </c>
    </row>
    <row r="148" spans="1:4" x14ac:dyDescent="0.3">
      <c r="A148" s="24">
        <v>38960</v>
      </c>
      <c r="B148" s="25">
        <v>0.05</v>
      </c>
      <c r="C148" s="25">
        <f t="shared" si="2"/>
        <v>1.0004999999999999</v>
      </c>
      <c r="D148" s="26">
        <f>PRODUCT(C148:$C$343)</f>
        <v>2.4843919961571208</v>
      </c>
    </row>
    <row r="149" spans="1:4" x14ac:dyDescent="0.3">
      <c r="A149" s="24">
        <v>38990</v>
      </c>
      <c r="B149" s="25">
        <v>0.21</v>
      </c>
      <c r="C149" s="25">
        <f t="shared" si="2"/>
        <v>1.0021</v>
      </c>
      <c r="D149" s="26">
        <f>PRODUCT(C149:$C$343)</f>
        <v>2.4831504209466457</v>
      </c>
    </row>
    <row r="150" spans="1:4" x14ac:dyDescent="0.3">
      <c r="A150" s="24">
        <v>39021</v>
      </c>
      <c r="B150" s="25">
        <v>0.33</v>
      </c>
      <c r="C150" s="25">
        <f t="shared" ref="C150:C213" si="3">1+B150/100</f>
        <v>1.0033000000000001</v>
      </c>
      <c r="D150" s="26">
        <f>PRODUCT(C150:$C$343)</f>
        <v>2.4779467328077507</v>
      </c>
    </row>
    <row r="151" spans="1:4" x14ac:dyDescent="0.3">
      <c r="A151" s="24">
        <v>39051</v>
      </c>
      <c r="B151" s="25">
        <v>0.31</v>
      </c>
      <c r="C151" s="25">
        <f t="shared" si="3"/>
        <v>1.0031000000000001</v>
      </c>
      <c r="D151" s="26">
        <f>PRODUCT(C151:$C$343)</f>
        <v>2.4697964046723273</v>
      </c>
    </row>
    <row r="152" spans="1:4" x14ac:dyDescent="0.3">
      <c r="A152" s="24">
        <v>39082</v>
      </c>
      <c r="B152" s="25">
        <v>0.48</v>
      </c>
      <c r="C152" s="25">
        <f t="shared" si="3"/>
        <v>1.0047999999999999</v>
      </c>
      <c r="D152" s="26">
        <f>PRODUCT(C152:$C$343)</f>
        <v>2.4621636972109759</v>
      </c>
    </row>
    <row r="153" spans="1:4" x14ac:dyDescent="0.3">
      <c r="A153" s="24">
        <v>39113</v>
      </c>
      <c r="B153" s="25">
        <v>0.44</v>
      </c>
      <c r="C153" s="25">
        <f t="shared" si="3"/>
        <v>1.0044</v>
      </c>
      <c r="D153" s="26">
        <f>PRODUCT(C153:$C$343)</f>
        <v>2.4504017687211124</v>
      </c>
    </row>
    <row r="154" spans="1:4" x14ac:dyDescent="0.3">
      <c r="A154" s="24">
        <v>39141</v>
      </c>
      <c r="B154" s="25">
        <v>0.44</v>
      </c>
      <c r="C154" s="25">
        <f t="shared" si="3"/>
        <v>1.0044</v>
      </c>
      <c r="D154" s="26">
        <f>PRODUCT(C154:$C$343)</f>
        <v>2.439667232896372</v>
      </c>
    </row>
    <row r="155" spans="1:4" x14ac:dyDescent="0.3">
      <c r="A155" s="24">
        <v>39172</v>
      </c>
      <c r="B155" s="25">
        <v>0.37</v>
      </c>
      <c r="C155" s="25">
        <f t="shared" si="3"/>
        <v>1.0037</v>
      </c>
      <c r="D155" s="26">
        <f>PRODUCT(C155:$C$343)</f>
        <v>2.4289797221190459</v>
      </c>
    </row>
    <row r="156" spans="1:4" x14ac:dyDescent="0.3">
      <c r="A156" s="24">
        <v>39202</v>
      </c>
      <c r="B156" s="25">
        <v>0.25</v>
      </c>
      <c r="C156" s="25">
        <f t="shared" si="3"/>
        <v>1.0024999999999999</v>
      </c>
      <c r="D156" s="26">
        <f>PRODUCT(C156:$C$343)</f>
        <v>2.4200256272980427</v>
      </c>
    </row>
    <row r="157" spans="1:4" x14ac:dyDescent="0.3">
      <c r="A157" s="24">
        <v>39233</v>
      </c>
      <c r="B157" s="25">
        <v>0.28000000000000003</v>
      </c>
      <c r="C157" s="25">
        <f t="shared" si="3"/>
        <v>1.0027999999999999</v>
      </c>
      <c r="D157" s="26">
        <f>PRODUCT(C157:$C$343)</f>
        <v>2.4139906506713662</v>
      </c>
    </row>
    <row r="158" spans="1:4" x14ac:dyDescent="0.3">
      <c r="A158" s="24">
        <v>39263</v>
      </c>
      <c r="B158" s="25">
        <v>0.28000000000000003</v>
      </c>
      <c r="C158" s="25">
        <f t="shared" si="3"/>
        <v>1.0027999999999999</v>
      </c>
      <c r="D158" s="26">
        <f>PRODUCT(C158:$C$343)</f>
        <v>2.4072503496922302</v>
      </c>
    </row>
    <row r="159" spans="1:4" x14ac:dyDescent="0.3">
      <c r="A159" s="24">
        <v>39294</v>
      </c>
      <c r="B159" s="25">
        <v>0.24</v>
      </c>
      <c r="C159" s="25">
        <f t="shared" si="3"/>
        <v>1.0024</v>
      </c>
      <c r="D159" s="26">
        <f>PRODUCT(C159:$C$343)</f>
        <v>2.4005288688594217</v>
      </c>
    </row>
    <row r="160" spans="1:4" x14ac:dyDescent="0.3">
      <c r="A160" s="24">
        <v>39325</v>
      </c>
      <c r="B160" s="25">
        <v>0.47</v>
      </c>
      <c r="C160" s="25">
        <f t="shared" si="3"/>
        <v>1.0046999999999999</v>
      </c>
      <c r="D160" s="26">
        <f>PRODUCT(C160:$C$343)</f>
        <v>2.3947813935149873</v>
      </c>
    </row>
    <row r="161" spans="1:4" x14ac:dyDescent="0.3">
      <c r="A161" s="24">
        <v>39355</v>
      </c>
      <c r="B161" s="25">
        <v>0.18</v>
      </c>
      <c r="C161" s="25">
        <f t="shared" si="3"/>
        <v>1.0018</v>
      </c>
      <c r="D161" s="26">
        <f>PRODUCT(C161:$C$343)</f>
        <v>2.3835785742161701</v>
      </c>
    </row>
    <row r="162" spans="1:4" x14ac:dyDescent="0.3">
      <c r="A162" s="24">
        <v>39386</v>
      </c>
      <c r="B162" s="25">
        <v>0.3</v>
      </c>
      <c r="C162" s="25">
        <f t="shared" si="3"/>
        <v>1.0029999999999999</v>
      </c>
      <c r="D162" s="26">
        <f>PRODUCT(C162:$C$343)</f>
        <v>2.3792958417011079</v>
      </c>
    </row>
    <row r="163" spans="1:4" x14ac:dyDescent="0.3">
      <c r="A163" s="24">
        <v>39416</v>
      </c>
      <c r="B163" s="25">
        <v>0.38</v>
      </c>
      <c r="C163" s="25">
        <f t="shared" si="3"/>
        <v>1.0038</v>
      </c>
      <c r="D163" s="26">
        <f>PRODUCT(C163:$C$343)</f>
        <v>2.372179303789737</v>
      </c>
    </row>
    <row r="164" spans="1:4" x14ac:dyDescent="0.3">
      <c r="A164" s="24">
        <v>39447</v>
      </c>
      <c r="B164" s="25">
        <v>0.74</v>
      </c>
      <c r="C164" s="25">
        <f t="shared" si="3"/>
        <v>1.0074000000000001</v>
      </c>
      <c r="D164" s="26">
        <f>PRODUCT(C164:$C$343)</f>
        <v>2.3631991470310219</v>
      </c>
    </row>
    <row r="165" spans="1:4" x14ac:dyDescent="0.3">
      <c r="A165" s="24">
        <v>39478</v>
      </c>
      <c r="B165" s="25">
        <v>0.54</v>
      </c>
      <c r="C165" s="25">
        <f t="shared" si="3"/>
        <v>1.0054000000000001</v>
      </c>
      <c r="D165" s="26">
        <f>PRODUCT(C165:$C$343)</f>
        <v>2.3458399315376406</v>
      </c>
    </row>
    <row r="166" spans="1:4" x14ac:dyDescent="0.3">
      <c r="A166" s="24">
        <v>39507</v>
      </c>
      <c r="B166" s="25">
        <v>0.49</v>
      </c>
      <c r="C166" s="25">
        <f t="shared" si="3"/>
        <v>1.0048999999999999</v>
      </c>
      <c r="D166" s="26">
        <f>PRODUCT(C166:$C$343)</f>
        <v>2.3332404331983732</v>
      </c>
    </row>
    <row r="167" spans="1:4" x14ac:dyDescent="0.3">
      <c r="A167" s="24">
        <v>39538</v>
      </c>
      <c r="B167" s="25">
        <v>0.48</v>
      </c>
      <c r="C167" s="25">
        <f t="shared" si="3"/>
        <v>1.0047999999999999</v>
      </c>
      <c r="D167" s="26">
        <f>PRODUCT(C167:$C$343)</f>
        <v>2.3218633030136013</v>
      </c>
    </row>
    <row r="168" spans="1:4" x14ac:dyDescent="0.3">
      <c r="A168" s="24">
        <v>39568</v>
      </c>
      <c r="B168" s="25">
        <v>0.55000000000000004</v>
      </c>
      <c r="C168" s="25">
        <f t="shared" si="3"/>
        <v>1.0055000000000001</v>
      </c>
      <c r="D168" s="26">
        <f>PRODUCT(C168:$C$343)</f>
        <v>2.3107715993367863</v>
      </c>
    </row>
    <row r="169" spans="1:4" x14ac:dyDescent="0.3">
      <c r="A169" s="24">
        <v>39599</v>
      </c>
      <c r="B169" s="25">
        <v>0.79</v>
      </c>
      <c r="C169" s="25">
        <f t="shared" si="3"/>
        <v>1.0079</v>
      </c>
      <c r="D169" s="26">
        <f>PRODUCT(C169:$C$343)</f>
        <v>2.298131874029627</v>
      </c>
    </row>
    <row r="170" spans="1:4" x14ac:dyDescent="0.3">
      <c r="A170" s="24">
        <v>39629</v>
      </c>
      <c r="B170" s="25">
        <v>0.74</v>
      </c>
      <c r="C170" s="25">
        <f t="shared" si="3"/>
        <v>1.0074000000000001</v>
      </c>
      <c r="D170" s="26">
        <f>PRODUCT(C170:$C$343)</f>
        <v>2.2801189344474913</v>
      </c>
    </row>
    <row r="171" spans="1:4" x14ac:dyDescent="0.3">
      <c r="A171" s="24">
        <v>39660</v>
      </c>
      <c r="B171" s="25">
        <v>0.53</v>
      </c>
      <c r="C171" s="25">
        <f t="shared" si="3"/>
        <v>1.0053000000000001</v>
      </c>
      <c r="D171" s="26">
        <f>PRODUCT(C171:$C$343)</f>
        <v>2.2633699964735841</v>
      </c>
    </row>
    <row r="172" spans="1:4" x14ac:dyDescent="0.3">
      <c r="A172" s="24">
        <v>39691</v>
      </c>
      <c r="B172" s="25">
        <v>0.28000000000000003</v>
      </c>
      <c r="C172" s="25">
        <f t="shared" si="3"/>
        <v>1.0027999999999999</v>
      </c>
      <c r="D172" s="26">
        <f>PRODUCT(C172:$C$343)</f>
        <v>2.251437378368232</v>
      </c>
    </row>
    <row r="173" spans="1:4" x14ac:dyDescent="0.3">
      <c r="A173" s="24">
        <v>39721</v>
      </c>
      <c r="B173" s="25">
        <v>0.26</v>
      </c>
      <c r="C173" s="25">
        <f t="shared" si="3"/>
        <v>1.0025999999999999</v>
      </c>
      <c r="D173" s="26">
        <f>PRODUCT(C173:$C$343)</f>
        <v>2.2451509556922935</v>
      </c>
    </row>
    <row r="174" spans="1:4" x14ac:dyDescent="0.3">
      <c r="A174" s="24">
        <v>39752</v>
      </c>
      <c r="B174" s="25">
        <v>0.45</v>
      </c>
      <c r="C174" s="25">
        <f t="shared" si="3"/>
        <v>1.0044999999999999</v>
      </c>
      <c r="D174" s="26">
        <f>PRODUCT(C174:$C$343)</f>
        <v>2.2393287010695127</v>
      </c>
    </row>
    <row r="175" spans="1:4" x14ac:dyDescent="0.3">
      <c r="A175" s="24">
        <v>39782</v>
      </c>
      <c r="B175" s="25">
        <v>0.36</v>
      </c>
      <c r="C175" s="25">
        <f t="shared" si="3"/>
        <v>1.0036</v>
      </c>
      <c r="D175" s="26">
        <f>PRODUCT(C175:$C$343)</f>
        <v>2.2292968651762228</v>
      </c>
    </row>
    <row r="176" spans="1:4" x14ac:dyDescent="0.3">
      <c r="A176" s="24">
        <v>39813</v>
      </c>
      <c r="B176" s="25">
        <v>0.28000000000000003</v>
      </c>
      <c r="C176" s="25">
        <f t="shared" si="3"/>
        <v>1.0027999999999999</v>
      </c>
      <c r="D176" s="26">
        <f>PRODUCT(C176:$C$343)</f>
        <v>2.2213001845119789</v>
      </c>
    </row>
    <row r="177" spans="1:4" x14ac:dyDescent="0.3">
      <c r="A177" s="24">
        <v>39844</v>
      </c>
      <c r="B177" s="25">
        <v>0.48</v>
      </c>
      <c r="C177" s="25">
        <f t="shared" si="3"/>
        <v>1.0047999999999999</v>
      </c>
      <c r="D177" s="26">
        <f>PRODUCT(C177:$C$343)</f>
        <v>2.2150979103629589</v>
      </c>
    </row>
    <row r="178" spans="1:4" x14ac:dyDescent="0.3">
      <c r="A178" s="24">
        <v>39872</v>
      </c>
      <c r="B178" s="25">
        <v>0.55000000000000004</v>
      </c>
      <c r="C178" s="25">
        <f t="shared" si="3"/>
        <v>1.0055000000000001</v>
      </c>
      <c r="D178" s="26">
        <f>PRODUCT(C178:$C$343)</f>
        <v>2.2045162324472147</v>
      </c>
    </row>
    <row r="179" spans="1:4" x14ac:dyDescent="0.3">
      <c r="A179" s="24">
        <v>39903</v>
      </c>
      <c r="B179" s="25">
        <v>0.2</v>
      </c>
      <c r="C179" s="25">
        <f t="shared" si="3"/>
        <v>1.002</v>
      </c>
      <c r="D179" s="26">
        <f>PRODUCT(C179:$C$343)</f>
        <v>2.192457715014636</v>
      </c>
    </row>
    <row r="180" spans="1:4" x14ac:dyDescent="0.3">
      <c r="A180" s="24">
        <v>39933</v>
      </c>
      <c r="B180" s="25">
        <v>0.48</v>
      </c>
      <c r="C180" s="25">
        <f t="shared" si="3"/>
        <v>1.0047999999999999</v>
      </c>
      <c r="D180" s="26">
        <f>PRODUCT(C180:$C$343)</f>
        <v>2.188081551910813</v>
      </c>
    </row>
    <row r="181" spans="1:4" x14ac:dyDescent="0.3">
      <c r="A181" s="24">
        <v>39964</v>
      </c>
      <c r="B181" s="25">
        <v>0.47</v>
      </c>
      <c r="C181" s="25">
        <f t="shared" si="3"/>
        <v>1.0046999999999999</v>
      </c>
      <c r="D181" s="26">
        <f>PRODUCT(C181:$C$343)</f>
        <v>2.1776289330322571</v>
      </c>
    </row>
    <row r="182" spans="1:4" x14ac:dyDescent="0.3">
      <c r="A182" s="24">
        <v>39994</v>
      </c>
      <c r="B182" s="25">
        <v>0.36</v>
      </c>
      <c r="C182" s="25">
        <f t="shared" si="3"/>
        <v>1.0036</v>
      </c>
      <c r="D182" s="26">
        <f>PRODUCT(C182:$C$343)</f>
        <v>2.1674419558398124</v>
      </c>
    </row>
    <row r="183" spans="1:4" x14ac:dyDescent="0.3">
      <c r="A183" s="24">
        <v>40025</v>
      </c>
      <c r="B183" s="25">
        <v>0.24</v>
      </c>
      <c r="C183" s="25">
        <f t="shared" si="3"/>
        <v>1.0024</v>
      </c>
      <c r="D183" s="26">
        <f>PRODUCT(C183:$C$343)</f>
        <v>2.1596671540851062</v>
      </c>
    </row>
    <row r="184" spans="1:4" x14ac:dyDescent="0.3">
      <c r="A184" s="24">
        <v>40056</v>
      </c>
      <c r="B184" s="25">
        <v>0.15</v>
      </c>
      <c r="C184" s="25">
        <f t="shared" si="3"/>
        <v>1.0015000000000001</v>
      </c>
      <c r="D184" s="26">
        <f>PRODUCT(C184:$C$343)</f>
        <v>2.1544963628143514</v>
      </c>
    </row>
    <row r="185" spans="1:4" x14ac:dyDescent="0.3">
      <c r="A185" s="24">
        <v>40086</v>
      </c>
      <c r="B185" s="25">
        <v>0.24</v>
      </c>
      <c r="C185" s="25">
        <f t="shared" si="3"/>
        <v>1.0024</v>
      </c>
      <c r="D185" s="26">
        <f>PRODUCT(C185:$C$343)</f>
        <v>2.1512694586264103</v>
      </c>
    </row>
    <row r="186" spans="1:4" x14ac:dyDescent="0.3">
      <c r="A186" s="24">
        <v>40117</v>
      </c>
      <c r="B186" s="25">
        <v>0.28000000000000003</v>
      </c>
      <c r="C186" s="25">
        <f t="shared" si="3"/>
        <v>1.0027999999999999</v>
      </c>
      <c r="D186" s="26">
        <f>PRODUCT(C186:$C$343)</f>
        <v>2.1461187735698433</v>
      </c>
    </row>
    <row r="187" spans="1:4" x14ac:dyDescent="0.3">
      <c r="A187" s="24">
        <v>40147</v>
      </c>
      <c r="B187" s="25">
        <v>0.41</v>
      </c>
      <c r="C187" s="25">
        <f t="shared" si="3"/>
        <v>1.0041</v>
      </c>
      <c r="D187" s="26">
        <f>PRODUCT(C187:$C$343)</f>
        <v>2.1401264195949761</v>
      </c>
    </row>
    <row r="188" spans="1:4" x14ac:dyDescent="0.3">
      <c r="A188" s="24">
        <v>40178</v>
      </c>
      <c r="B188" s="25">
        <v>0.37</v>
      </c>
      <c r="C188" s="25">
        <f t="shared" si="3"/>
        <v>1.0037</v>
      </c>
      <c r="D188" s="26">
        <f>PRODUCT(C188:$C$343)</f>
        <v>2.1313877299023778</v>
      </c>
    </row>
    <row r="189" spans="1:4" x14ac:dyDescent="0.3">
      <c r="A189" s="24">
        <v>40209</v>
      </c>
      <c r="B189" s="25">
        <v>0.75</v>
      </c>
      <c r="C189" s="25">
        <f t="shared" si="3"/>
        <v>1.0075000000000001</v>
      </c>
      <c r="D189" s="26">
        <f>PRODUCT(C189:$C$343)</f>
        <v>2.1235306664365616</v>
      </c>
    </row>
    <row r="190" spans="1:4" x14ac:dyDescent="0.3">
      <c r="A190" s="24">
        <v>40237</v>
      </c>
      <c r="B190" s="25">
        <v>0.78</v>
      </c>
      <c r="C190" s="25">
        <f t="shared" si="3"/>
        <v>1.0078</v>
      </c>
      <c r="D190" s="26">
        <f>PRODUCT(C190:$C$343)</f>
        <v>2.1077227458427408</v>
      </c>
    </row>
    <row r="191" spans="1:4" x14ac:dyDescent="0.3">
      <c r="A191" s="24">
        <v>40268</v>
      </c>
      <c r="B191" s="25">
        <v>0.52</v>
      </c>
      <c r="C191" s="25">
        <f t="shared" si="3"/>
        <v>1.0052000000000001</v>
      </c>
      <c r="D191" s="26">
        <f>PRODUCT(C191:$C$343)</f>
        <v>2.091409749794344</v>
      </c>
    </row>
    <row r="192" spans="1:4" x14ac:dyDescent="0.3">
      <c r="A192" s="24">
        <v>40298</v>
      </c>
      <c r="B192" s="25">
        <v>0.56999999999999995</v>
      </c>
      <c r="C192" s="25">
        <f t="shared" si="3"/>
        <v>1.0057</v>
      </c>
      <c r="D192" s="26">
        <f>PRODUCT(C192:$C$343)</f>
        <v>2.0805906782673547</v>
      </c>
    </row>
    <row r="193" spans="1:4" x14ac:dyDescent="0.3">
      <c r="A193" s="24">
        <v>40329</v>
      </c>
      <c r="B193" s="25">
        <v>0.43</v>
      </c>
      <c r="C193" s="25">
        <f t="shared" si="3"/>
        <v>1.0043</v>
      </c>
      <c r="D193" s="26">
        <f>PRODUCT(C193:$C$343)</f>
        <v>2.0687985266653643</v>
      </c>
    </row>
    <row r="194" spans="1:4" x14ac:dyDescent="0.3">
      <c r="A194" s="24">
        <v>40359</v>
      </c>
      <c r="B194" s="25">
        <v>0</v>
      </c>
      <c r="C194" s="25">
        <f t="shared" si="3"/>
        <v>1</v>
      </c>
      <c r="D194" s="26">
        <f>PRODUCT(C194:$C$343)</f>
        <v>2.0599407813057509</v>
      </c>
    </row>
    <row r="195" spans="1:4" x14ac:dyDescent="0.3">
      <c r="A195" s="24">
        <v>40390</v>
      </c>
      <c r="B195" s="25">
        <v>0.01</v>
      </c>
      <c r="C195" s="25">
        <f t="shared" si="3"/>
        <v>1.0001</v>
      </c>
      <c r="D195" s="26">
        <f>PRODUCT(C195:$C$343)</f>
        <v>2.0599407813057509</v>
      </c>
    </row>
    <row r="196" spans="1:4" x14ac:dyDescent="0.3">
      <c r="A196" s="24">
        <v>40421</v>
      </c>
      <c r="B196" s="25">
        <v>0.04</v>
      </c>
      <c r="C196" s="25">
        <f t="shared" si="3"/>
        <v>1.0004</v>
      </c>
      <c r="D196" s="26">
        <f>PRODUCT(C196:$C$343)</f>
        <v>2.0597348078249658</v>
      </c>
    </row>
    <row r="197" spans="1:4" x14ac:dyDescent="0.3">
      <c r="A197" s="24">
        <v>40451</v>
      </c>
      <c r="B197" s="25">
        <v>0.45</v>
      </c>
      <c r="C197" s="25">
        <f t="shared" si="3"/>
        <v>1.0044999999999999</v>
      </c>
      <c r="D197" s="26">
        <f>PRODUCT(C197:$C$343)</f>
        <v>2.0589112433276351</v>
      </c>
    </row>
    <row r="198" spans="1:4" x14ac:dyDescent="0.3">
      <c r="A198" s="24">
        <v>40482</v>
      </c>
      <c r="B198" s="25">
        <v>0.75</v>
      </c>
      <c r="C198" s="25">
        <f t="shared" si="3"/>
        <v>1.0075000000000001</v>
      </c>
      <c r="D198" s="26">
        <f>PRODUCT(C198:$C$343)</f>
        <v>2.0496876489075504</v>
      </c>
    </row>
    <row r="199" spans="1:4" x14ac:dyDescent="0.3">
      <c r="A199" s="24">
        <v>40512</v>
      </c>
      <c r="B199" s="25">
        <v>0.83</v>
      </c>
      <c r="C199" s="25">
        <f t="shared" si="3"/>
        <v>1.0083</v>
      </c>
      <c r="D199" s="26">
        <f>PRODUCT(C199:$C$343)</f>
        <v>2.0344294281960793</v>
      </c>
    </row>
    <row r="200" spans="1:4" x14ac:dyDescent="0.3">
      <c r="A200" s="24">
        <v>40543</v>
      </c>
      <c r="B200" s="25">
        <v>0.63</v>
      </c>
      <c r="C200" s="25">
        <f t="shared" si="3"/>
        <v>1.0063</v>
      </c>
      <c r="D200" s="26">
        <f>PRODUCT(C200:$C$343)</f>
        <v>2.017682662100643</v>
      </c>
    </row>
    <row r="201" spans="1:4" x14ac:dyDescent="0.3">
      <c r="A201" s="24">
        <v>40574</v>
      </c>
      <c r="B201" s="25">
        <v>0.83</v>
      </c>
      <c r="C201" s="25">
        <f t="shared" si="3"/>
        <v>1.0083</v>
      </c>
      <c r="D201" s="26">
        <f>PRODUCT(C201:$C$343)</f>
        <v>2.0050508417973201</v>
      </c>
    </row>
    <row r="202" spans="1:4" x14ac:dyDescent="0.3">
      <c r="A202" s="24">
        <v>40602</v>
      </c>
      <c r="B202" s="25">
        <v>0.8</v>
      </c>
      <c r="C202" s="25">
        <f t="shared" si="3"/>
        <v>1.008</v>
      </c>
      <c r="D202" s="26">
        <f>PRODUCT(C202:$C$343)</f>
        <v>1.9885459107381938</v>
      </c>
    </row>
    <row r="203" spans="1:4" x14ac:dyDescent="0.3">
      <c r="A203" s="24">
        <v>40633</v>
      </c>
      <c r="B203" s="25">
        <v>0.79</v>
      </c>
      <c r="C203" s="25">
        <f t="shared" si="3"/>
        <v>1.0079</v>
      </c>
      <c r="D203" s="26">
        <f>PRODUCT(C203:$C$343)</f>
        <v>1.9727638003355121</v>
      </c>
    </row>
    <row r="204" spans="1:4" x14ac:dyDescent="0.3">
      <c r="A204" s="24">
        <v>40663</v>
      </c>
      <c r="B204" s="25">
        <v>0.77</v>
      </c>
      <c r="C204" s="25">
        <f t="shared" si="3"/>
        <v>1.0077</v>
      </c>
      <c r="D204" s="26">
        <f>PRODUCT(C204:$C$343)</f>
        <v>1.9573011214758511</v>
      </c>
    </row>
    <row r="205" spans="1:4" x14ac:dyDescent="0.3">
      <c r="A205" s="24">
        <v>40694</v>
      </c>
      <c r="B205" s="25">
        <v>0.47</v>
      </c>
      <c r="C205" s="25">
        <f t="shared" si="3"/>
        <v>1.0046999999999999</v>
      </c>
      <c r="D205" s="26">
        <f>PRODUCT(C205:$C$343)</f>
        <v>1.9423450644793596</v>
      </c>
    </row>
    <row r="206" spans="1:4" x14ac:dyDescent="0.3">
      <c r="A206" s="24">
        <v>40724</v>
      </c>
      <c r="B206" s="25">
        <v>0.15</v>
      </c>
      <c r="C206" s="25">
        <f t="shared" si="3"/>
        <v>1.0015000000000001</v>
      </c>
      <c r="D206" s="26">
        <f>PRODUCT(C206:$C$343)</f>
        <v>1.9332587483620585</v>
      </c>
    </row>
    <row r="207" spans="1:4" x14ac:dyDescent="0.3">
      <c r="A207" s="24">
        <v>40755</v>
      </c>
      <c r="B207" s="25">
        <v>0.16</v>
      </c>
      <c r="C207" s="25">
        <f t="shared" si="3"/>
        <v>1.0016</v>
      </c>
      <c r="D207" s="26">
        <f>PRODUCT(C207:$C$343)</f>
        <v>1.9303632035567215</v>
      </c>
    </row>
    <row r="208" spans="1:4" x14ac:dyDescent="0.3">
      <c r="A208" s="24">
        <v>40786</v>
      </c>
      <c r="B208" s="25">
        <v>0.37</v>
      </c>
      <c r="C208" s="25">
        <f t="shared" si="3"/>
        <v>1.0037</v>
      </c>
      <c r="D208" s="26">
        <f>PRODUCT(C208:$C$343)</f>
        <v>1.9272795562666962</v>
      </c>
    </row>
    <row r="209" spans="1:4" x14ac:dyDescent="0.3">
      <c r="A209" s="24">
        <v>40816</v>
      </c>
      <c r="B209" s="25">
        <v>0.53</v>
      </c>
      <c r="C209" s="25">
        <f t="shared" si="3"/>
        <v>1.0053000000000001</v>
      </c>
      <c r="D209" s="26">
        <f>PRODUCT(C209:$C$343)</f>
        <v>1.9201749091030176</v>
      </c>
    </row>
    <row r="210" spans="1:4" x14ac:dyDescent="0.3">
      <c r="A210" s="24">
        <v>40847</v>
      </c>
      <c r="B210" s="25">
        <v>0.43</v>
      </c>
      <c r="C210" s="25">
        <f t="shared" si="3"/>
        <v>1.0043</v>
      </c>
      <c r="D210" s="26">
        <f>PRODUCT(C210:$C$343)</f>
        <v>1.9100516354352104</v>
      </c>
    </row>
    <row r="211" spans="1:4" x14ac:dyDescent="0.3">
      <c r="A211" s="24">
        <v>40877</v>
      </c>
      <c r="B211" s="25">
        <v>0.52</v>
      </c>
      <c r="C211" s="25">
        <f t="shared" si="3"/>
        <v>1.0052000000000001</v>
      </c>
      <c r="D211" s="26">
        <f>PRODUCT(C211:$C$343)</f>
        <v>1.9018735790453167</v>
      </c>
    </row>
    <row r="212" spans="1:4" x14ac:dyDescent="0.3">
      <c r="A212" s="24">
        <v>40908</v>
      </c>
      <c r="B212" s="25">
        <v>0.5</v>
      </c>
      <c r="C212" s="25">
        <f t="shared" si="3"/>
        <v>1.0049999999999999</v>
      </c>
      <c r="D212" s="26">
        <f>PRODUCT(C212:$C$343)</f>
        <v>1.8920349970605974</v>
      </c>
    </row>
    <row r="213" spans="1:4" x14ac:dyDescent="0.3">
      <c r="A213" s="24">
        <v>40939</v>
      </c>
      <c r="B213" s="25">
        <v>0.56000000000000005</v>
      </c>
      <c r="C213" s="25">
        <f t="shared" si="3"/>
        <v>1.0056</v>
      </c>
      <c r="D213" s="26">
        <f>PRODUCT(C213:$C$343)</f>
        <v>1.8826218876224878</v>
      </c>
    </row>
    <row r="214" spans="1:4" x14ac:dyDescent="0.3">
      <c r="A214" s="24">
        <v>40968</v>
      </c>
      <c r="B214" s="25">
        <v>0.45</v>
      </c>
      <c r="C214" s="25">
        <f t="shared" ref="C214:C277" si="4">1+B214/100</f>
        <v>1.0044999999999999</v>
      </c>
      <c r="D214" s="26">
        <f>PRODUCT(C214:$C$343)</f>
        <v>1.8721379152968236</v>
      </c>
    </row>
    <row r="215" spans="1:4" x14ac:dyDescent="0.3">
      <c r="A215" s="24">
        <v>40999</v>
      </c>
      <c r="B215" s="25">
        <v>0.21</v>
      </c>
      <c r="C215" s="25">
        <f t="shared" si="4"/>
        <v>1.0021</v>
      </c>
      <c r="D215" s="26">
        <f>PRODUCT(C215:$C$343)</f>
        <v>1.8637510356364613</v>
      </c>
    </row>
    <row r="216" spans="1:4" x14ac:dyDescent="0.3">
      <c r="A216" s="24">
        <v>41029</v>
      </c>
      <c r="B216" s="25">
        <v>0.64</v>
      </c>
      <c r="C216" s="25">
        <f t="shared" si="4"/>
        <v>1.0064</v>
      </c>
      <c r="D216" s="26">
        <f>PRODUCT(C216:$C$343)</f>
        <v>1.8598453603796641</v>
      </c>
    </row>
    <row r="217" spans="1:4" x14ac:dyDescent="0.3">
      <c r="A217" s="24">
        <v>41060</v>
      </c>
      <c r="B217" s="25">
        <v>0.36</v>
      </c>
      <c r="C217" s="25">
        <f t="shared" si="4"/>
        <v>1.0036</v>
      </c>
      <c r="D217" s="26">
        <f>PRODUCT(C217:$C$343)</f>
        <v>1.8480180448923538</v>
      </c>
    </row>
    <row r="218" spans="1:4" x14ac:dyDescent="0.3">
      <c r="A218" s="24">
        <v>41090</v>
      </c>
      <c r="B218" s="25">
        <v>0.08</v>
      </c>
      <c r="C218" s="25">
        <f t="shared" si="4"/>
        <v>1.0007999999999999</v>
      </c>
      <c r="D218" s="26">
        <f>PRODUCT(C218:$C$343)</f>
        <v>1.8413890443327521</v>
      </c>
    </row>
    <row r="219" spans="1:4" x14ac:dyDescent="0.3">
      <c r="A219" s="24">
        <v>41121</v>
      </c>
      <c r="B219" s="25">
        <v>0.43</v>
      </c>
      <c r="C219" s="25">
        <f t="shared" si="4"/>
        <v>1.0043</v>
      </c>
      <c r="D219" s="26">
        <f>PRODUCT(C219:$C$343)</f>
        <v>1.8399171106442394</v>
      </c>
    </row>
    <row r="220" spans="1:4" x14ac:dyDescent="0.3">
      <c r="A220" s="24">
        <v>41152</v>
      </c>
      <c r="B220" s="25">
        <v>0.41</v>
      </c>
      <c r="C220" s="25">
        <f t="shared" si="4"/>
        <v>1.0041</v>
      </c>
      <c r="D220" s="26">
        <f>PRODUCT(C220:$C$343)</f>
        <v>1.8320393414758924</v>
      </c>
    </row>
    <row r="221" spans="1:4" x14ac:dyDescent="0.3">
      <c r="A221" s="24">
        <v>41182</v>
      </c>
      <c r="B221" s="25">
        <v>0.56999999999999995</v>
      </c>
      <c r="C221" s="25">
        <f t="shared" si="4"/>
        <v>1.0057</v>
      </c>
      <c r="D221" s="26">
        <f>PRODUCT(C221:$C$343)</f>
        <v>1.8245586510067642</v>
      </c>
    </row>
    <row r="222" spans="1:4" x14ac:dyDescent="0.3">
      <c r="A222" s="24">
        <v>41213</v>
      </c>
      <c r="B222" s="25">
        <v>0.59</v>
      </c>
      <c r="C222" s="25">
        <f t="shared" si="4"/>
        <v>1.0059</v>
      </c>
      <c r="D222" s="26">
        <f>PRODUCT(C222:$C$343)</f>
        <v>1.8142176106261947</v>
      </c>
    </row>
    <row r="223" spans="1:4" x14ac:dyDescent="0.3">
      <c r="A223" s="24">
        <v>41243</v>
      </c>
      <c r="B223" s="25">
        <v>0.6</v>
      </c>
      <c r="C223" s="25">
        <f t="shared" si="4"/>
        <v>1.006</v>
      </c>
      <c r="D223" s="26">
        <f>PRODUCT(C223:$C$343)</f>
        <v>1.8035765092217864</v>
      </c>
    </row>
    <row r="224" spans="1:4" x14ac:dyDescent="0.3">
      <c r="A224" s="24">
        <v>41274</v>
      </c>
      <c r="B224" s="25">
        <v>0.79</v>
      </c>
      <c r="C224" s="25">
        <f t="shared" si="4"/>
        <v>1.0079</v>
      </c>
      <c r="D224" s="26">
        <f>PRODUCT(C224:$C$343)</f>
        <v>1.7928195916717569</v>
      </c>
    </row>
    <row r="225" spans="1:4" x14ac:dyDescent="0.3">
      <c r="A225" s="24">
        <v>41305</v>
      </c>
      <c r="B225" s="25">
        <v>0.86</v>
      </c>
      <c r="C225" s="25">
        <f t="shared" si="4"/>
        <v>1.0085999999999999</v>
      </c>
      <c r="D225" s="26">
        <f>PRODUCT(C225:$C$343)</f>
        <v>1.7787673297665998</v>
      </c>
    </row>
    <row r="226" spans="1:4" x14ac:dyDescent="0.3">
      <c r="A226" s="24">
        <v>41333</v>
      </c>
      <c r="B226" s="25">
        <v>0.6</v>
      </c>
      <c r="C226" s="25">
        <f t="shared" si="4"/>
        <v>1.006</v>
      </c>
      <c r="D226" s="26">
        <f>PRODUCT(C226:$C$343)</f>
        <v>1.7636003666137217</v>
      </c>
    </row>
    <row r="227" spans="1:4" x14ac:dyDescent="0.3">
      <c r="A227" s="24">
        <v>41364</v>
      </c>
      <c r="B227" s="25">
        <v>0.47</v>
      </c>
      <c r="C227" s="25">
        <f t="shared" si="4"/>
        <v>1.0046999999999999</v>
      </c>
      <c r="D227" s="26">
        <f>PRODUCT(C227:$C$343)</f>
        <v>1.7530818753615525</v>
      </c>
    </row>
    <row r="228" spans="1:4" x14ac:dyDescent="0.3">
      <c r="A228" s="24">
        <v>41394</v>
      </c>
      <c r="B228" s="25">
        <v>0.55000000000000004</v>
      </c>
      <c r="C228" s="25">
        <f t="shared" si="4"/>
        <v>1.0055000000000001</v>
      </c>
      <c r="D228" s="26">
        <f>PRODUCT(C228:$C$343)</f>
        <v>1.7448809349672072</v>
      </c>
    </row>
    <row r="229" spans="1:4" x14ac:dyDescent="0.3">
      <c r="A229" s="24">
        <v>41425</v>
      </c>
      <c r="B229" s="25">
        <v>0.37</v>
      </c>
      <c r="C229" s="25">
        <f t="shared" si="4"/>
        <v>1.0037</v>
      </c>
      <c r="D229" s="26">
        <f>PRODUCT(C229:$C$343)</f>
        <v>1.7353365837565455</v>
      </c>
    </row>
    <row r="230" spans="1:4" x14ac:dyDescent="0.3">
      <c r="A230" s="24">
        <v>41455</v>
      </c>
      <c r="B230" s="25">
        <v>0.26</v>
      </c>
      <c r="C230" s="25">
        <f t="shared" si="4"/>
        <v>1.0025999999999999</v>
      </c>
      <c r="D230" s="26">
        <f>PRODUCT(C230:$C$343)</f>
        <v>1.728939507578505</v>
      </c>
    </row>
    <row r="231" spans="1:4" x14ac:dyDescent="0.3">
      <c r="A231" s="24">
        <v>41486</v>
      </c>
      <c r="B231" s="25">
        <v>0.03</v>
      </c>
      <c r="C231" s="25">
        <f t="shared" si="4"/>
        <v>1.0003</v>
      </c>
      <c r="D231" s="26">
        <f>PRODUCT(C231:$C$343)</f>
        <v>1.7244559221808353</v>
      </c>
    </row>
    <row r="232" spans="1:4" x14ac:dyDescent="0.3">
      <c r="A232" s="24">
        <v>41517</v>
      </c>
      <c r="B232" s="25">
        <v>0.24</v>
      </c>
      <c r="C232" s="25">
        <f t="shared" si="4"/>
        <v>1.0024</v>
      </c>
      <c r="D232" s="26">
        <f>PRODUCT(C232:$C$343)</f>
        <v>1.7239387405586675</v>
      </c>
    </row>
    <row r="233" spans="1:4" x14ac:dyDescent="0.3">
      <c r="A233" s="24">
        <v>41547</v>
      </c>
      <c r="B233" s="25">
        <v>0.35</v>
      </c>
      <c r="C233" s="25">
        <f t="shared" si="4"/>
        <v>1.0035000000000001</v>
      </c>
      <c r="D233" s="26">
        <f>PRODUCT(C233:$C$343)</f>
        <v>1.7198111936938048</v>
      </c>
    </row>
    <row r="234" spans="1:4" x14ac:dyDescent="0.3">
      <c r="A234" s="24">
        <v>41578</v>
      </c>
      <c r="B234" s="25">
        <v>0.56999999999999995</v>
      </c>
      <c r="C234" s="25">
        <f t="shared" si="4"/>
        <v>1.0057</v>
      </c>
      <c r="D234" s="26">
        <f>PRODUCT(C234:$C$343)</f>
        <v>1.7138128487232696</v>
      </c>
    </row>
    <row r="235" spans="1:4" x14ac:dyDescent="0.3">
      <c r="A235" s="24">
        <v>41608</v>
      </c>
      <c r="B235" s="25">
        <v>0.54</v>
      </c>
      <c r="C235" s="25">
        <f t="shared" si="4"/>
        <v>1.0054000000000001</v>
      </c>
      <c r="D235" s="26">
        <f>PRODUCT(C235:$C$343)</f>
        <v>1.7040994816777091</v>
      </c>
    </row>
    <row r="236" spans="1:4" x14ac:dyDescent="0.3">
      <c r="A236" s="24">
        <v>41639</v>
      </c>
      <c r="B236" s="25">
        <v>0.92</v>
      </c>
      <c r="C236" s="25">
        <f t="shared" si="4"/>
        <v>1.0092000000000001</v>
      </c>
      <c r="D236" s="26">
        <f>PRODUCT(C236:$C$343)</f>
        <v>1.6949467691244346</v>
      </c>
    </row>
    <row r="237" spans="1:4" x14ac:dyDescent="0.3">
      <c r="A237" s="24">
        <v>41670</v>
      </c>
      <c r="B237" s="25">
        <v>0.55000000000000004</v>
      </c>
      <c r="C237" s="25">
        <f t="shared" si="4"/>
        <v>1.0055000000000001</v>
      </c>
      <c r="D237" s="26">
        <f>PRODUCT(C237:$C$343)</f>
        <v>1.6794954113401073</v>
      </c>
    </row>
    <row r="238" spans="1:4" x14ac:dyDescent="0.3">
      <c r="A238" s="24">
        <v>41698</v>
      </c>
      <c r="B238" s="25">
        <v>0.69</v>
      </c>
      <c r="C238" s="25">
        <f t="shared" si="4"/>
        <v>1.0068999999999999</v>
      </c>
      <c r="D238" s="26">
        <f>PRODUCT(C238:$C$343)</f>
        <v>1.6703087134163175</v>
      </c>
    </row>
    <row r="239" spans="1:4" x14ac:dyDescent="0.3">
      <c r="A239" s="24">
        <v>41729</v>
      </c>
      <c r="B239" s="25">
        <v>0.92</v>
      </c>
      <c r="C239" s="25">
        <f t="shared" si="4"/>
        <v>1.0092000000000001</v>
      </c>
      <c r="D239" s="26">
        <f>PRODUCT(C239:$C$343)</f>
        <v>1.6588625617403092</v>
      </c>
    </row>
    <row r="240" spans="1:4" x14ac:dyDescent="0.3">
      <c r="A240" s="24">
        <v>41759</v>
      </c>
      <c r="B240" s="25">
        <v>0.67</v>
      </c>
      <c r="C240" s="25">
        <f t="shared" si="4"/>
        <v>1.0066999999999999</v>
      </c>
      <c r="D240" s="26">
        <f>PRODUCT(C240:$C$343)</f>
        <v>1.6437401523387918</v>
      </c>
    </row>
    <row r="241" spans="1:4" x14ac:dyDescent="0.3">
      <c r="A241" s="24">
        <v>41790</v>
      </c>
      <c r="B241" s="25">
        <v>0.46</v>
      </c>
      <c r="C241" s="25">
        <f t="shared" si="4"/>
        <v>1.0045999999999999</v>
      </c>
      <c r="D241" s="26">
        <f>PRODUCT(C241:$C$343)</f>
        <v>1.632800389727618</v>
      </c>
    </row>
    <row r="242" spans="1:4" x14ac:dyDescent="0.3">
      <c r="A242" s="24">
        <v>41820</v>
      </c>
      <c r="B242" s="25">
        <v>0.4</v>
      </c>
      <c r="C242" s="25">
        <f t="shared" si="4"/>
        <v>1.004</v>
      </c>
      <c r="D242" s="26">
        <f>PRODUCT(C242:$C$343)</f>
        <v>1.6253238997885899</v>
      </c>
    </row>
    <row r="243" spans="1:4" x14ac:dyDescent="0.3">
      <c r="A243" s="24">
        <v>41851</v>
      </c>
      <c r="B243" s="25">
        <v>0.01</v>
      </c>
      <c r="C243" s="25">
        <f t="shared" si="4"/>
        <v>1.0001</v>
      </c>
      <c r="D243" s="26">
        <f>PRODUCT(C243:$C$343)</f>
        <v>1.6188485057655273</v>
      </c>
    </row>
    <row r="244" spans="1:4" x14ac:dyDescent="0.3">
      <c r="A244" s="24">
        <v>41882</v>
      </c>
      <c r="B244" s="25">
        <v>0.25</v>
      </c>
      <c r="C244" s="25">
        <f t="shared" si="4"/>
        <v>1.0024999999999999</v>
      </c>
      <c r="D244" s="26">
        <f>PRODUCT(C244:$C$343)</f>
        <v>1.6186866371018174</v>
      </c>
    </row>
    <row r="245" spans="1:4" x14ac:dyDescent="0.3">
      <c r="A245" s="24">
        <v>41912</v>
      </c>
      <c r="B245" s="25">
        <v>0.56999999999999995</v>
      </c>
      <c r="C245" s="25">
        <f t="shared" si="4"/>
        <v>1.0057</v>
      </c>
      <c r="D245" s="26">
        <f>PRODUCT(C245:$C$343)</f>
        <v>1.6146500120716389</v>
      </c>
    </row>
    <row r="246" spans="1:4" x14ac:dyDescent="0.3">
      <c r="A246" s="24">
        <v>41943</v>
      </c>
      <c r="B246" s="25">
        <v>0.42</v>
      </c>
      <c r="C246" s="25">
        <f t="shared" si="4"/>
        <v>1.0042</v>
      </c>
      <c r="D246" s="26">
        <f>PRODUCT(C246:$C$343)</f>
        <v>1.6054986696546076</v>
      </c>
    </row>
    <row r="247" spans="1:4" x14ac:dyDescent="0.3">
      <c r="A247" s="24">
        <v>41973</v>
      </c>
      <c r="B247" s="25">
        <v>0.51</v>
      </c>
      <c r="C247" s="25">
        <f t="shared" si="4"/>
        <v>1.0051000000000001</v>
      </c>
      <c r="D247" s="26">
        <f>PRODUCT(C247:$C$343)</f>
        <v>1.5987837777878986</v>
      </c>
    </row>
    <row r="248" spans="1:4" x14ac:dyDescent="0.3">
      <c r="A248" s="24">
        <v>42004</v>
      </c>
      <c r="B248" s="25">
        <v>0.78</v>
      </c>
      <c r="C248" s="25">
        <f t="shared" si="4"/>
        <v>1.0078</v>
      </c>
      <c r="D248" s="26">
        <f>PRODUCT(C248:$C$343)</f>
        <v>1.5906713538830934</v>
      </c>
    </row>
    <row r="249" spans="1:4" x14ac:dyDescent="0.3">
      <c r="A249" s="24">
        <v>42035</v>
      </c>
      <c r="B249" s="25">
        <v>1.24</v>
      </c>
      <c r="C249" s="25">
        <f t="shared" si="4"/>
        <v>1.0124</v>
      </c>
      <c r="D249" s="26">
        <f>PRODUCT(C249:$C$343)</f>
        <v>1.5783601447540114</v>
      </c>
    </row>
    <row r="250" spans="1:4" x14ac:dyDescent="0.3">
      <c r="A250" s="24">
        <v>42063</v>
      </c>
      <c r="B250" s="25">
        <v>1.22</v>
      </c>
      <c r="C250" s="25">
        <f t="shared" si="4"/>
        <v>1.0122</v>
      </c>
      <c r="D250" s="26">
        <f>PRODUCT(C250:$C$343)</f>
        <v>1.5590281951343472</v>
      </c>
    </row>
    <row r="251" spans="1:4" x14ac:dyDescent="0.3">
      <c r="A251" s="24">
        <v>42094</v>
      </c>
      <c r="B251" s="25">
        <v>1.32</v>
      </c>
      <c r="C251" s="25">
        <f t="shared" si="4"/>
        <v>1.0132000000000001</v>
      </c>
      <c r="D251" s="26">
        <f>PRODUCT(C251:$C$343)</f>
        <v>1.5402373000734502</v>
      </c>
    </row>
    <row r="252" spans="1:4" x14ac:dyDescent="0.3">
      <c r="A252" s="24">
        <v>42124</v>
      </c>
      <c r="B252" s="25">
        <v>0.71</v>
      </c>
      <c r="C252" s="25">
        <f t="shared" si="4"/>
        <v>1.0071000000000001</v>
      </c>
      <c r="D252" s="26">
        <f>PRODUCT(C252:$C$343)</f>
        <v>1.520171042314894</v>
      </c>
    </row>
    <row r="253" spans="1:4" x14ac:dyDescent="0.3">
      <c r="A253" s="24">
        <v>42155</v>
      </c>
      <c r="B253" s="25">
        <v>0.74</v>
      </c>
      <c r="C253" s="25">
        <f t="shared" si="4"/>
        <v>1.0074000000000001</v>
      </c>
      <c r="D253" s="26">
        <f>PRODUCT(C253:$C$343)</f>
        <v>1.5094539194865393</v>
      </c>
    </row>
    <row r="254" spans="1:4" x14ac:dyDescent="0.3">
      <c r="A254" s="24">
        <v>42185</v>
      </c>
      <c r="B254" s="25">
        <v>0.79</v>
      </c>
      <c r="C254" s="25">
        <f t="shared" si="4"/>
        <v>1.0079</v>
      </c>
      <c r="D254" s="26">
        <f>PRODUCT(C254:$C$343)</f>
        <v>1.4983660110051007</v>
      </c>
    </row>
    <row r="255" spans="1:4" x14ac:dyDescent="0.3">
      <c r="A255" s="24">
        <v>42216</v>
      </c>
      <c r="B255" s="25">
        <v>0.62</v>
      </c>
      <c r="C255" s="25">
        <f t="shared" si="4"/>
        <v>1.0062</v>
      </c>
      <c r="D255" s="26">
        <f>PRODUCT(C255:$C$343)</f>
        <v>1.4866216995784318</v>
      </c>
    </row>
    <row r="256" spans="1:4" x14ac:dyDescent="0.3">
      <c r="A256" s="24">
        <v>42247</v>
      </c>
      <c r="B256" s="25">
        <v>0.22</v>
      </c>
      <c r="C256" s="25">
        <f t="shared" si="4"/>
        <v>1.0022</v>
      </c>
      <c r="D256" s="26">
        <f>PRODUCT(C256:$C$343)</f>
        <v>1.4774614386587479</v>
      </c>
    </row>
    <row r="257" spans="1:4" x14ac:dyDescent="0.3">
      <c r="A257" s="24">
        <v>42277</v>
      </c>
      <c r="B257" s="25">
        <v>0.54</v>
      </c>
      <c r="C257" s="25">
        <f t="shared" si="4"/>
        <v>1.0054000000000001</v>
      </c>
      <c r="D257" s="26">
        <f>PRODUCT(C257:$C$343)</f>
        <v>1.4742181587095868</v>
      </c>
    </row>
    <row r="258" spans="1:4" x14ac:dyDescent="0.3">
      <c r="A258" s="24">
        <v>42308</v>
      </c>
      <c r="B258" s="25">
        <v>0.82</v>
      </c>
      <c r="C258" s="25">
        <f t="shared" si="4"/>
        <v>1.0082</v>
      </c>
      <c r="D258" s="26">
        <f>PRODUCT(C258:$C$343)</f>
        <v>1.466300137964577</v>
      </c>
    </row>
    <row r="259" spans="1:4" x14ac:dyDescent="0.3">
      <c r="A259" s="24">
        <v>42338</v>
      </c>
      <c r="B259" s="25">
        <v>1.01</v>
      </c>
      <c r="C259" s="25">
        <f t="shared" si="4"/>
        <v>1.0101</v>
      </c>
      <c r="D259" s="26">
        <f>PRODUCT(C259:$C$343)</f>
        <v>1.4543742689591133</v>
      </c>
    </row>
    <row r="260" spans="1:4" x14ac:dyDescent="0.3">
      <c r="A260" s="24">
        <v>42369</v>
      </c>
      <c r="B260" s="25">
        <v>0.96</v>
      </c>
      <c r="C260" s="25">
        <f t="shared" si="4"/>
        <v>1.0096000000000001</v>
      </c>
      <c r="D260" s="26">
        <f>PRODUCT(C260:$C$343)</f>
        <v>1.439831966101488</v>
      </c>
    </row>
    <row r="261" spans="1:4" x14ac:dyDescent="0.3">
      <c r="A261" s="24">
        <v>42400</v>
      </c>
      <c r="B261" s="25">
        <v>1.27</v>
      </c>
      <c r="C261" s="25">
        <f t="shared" si="4"/>
        <v>1.0126999999999999</v>
      </c>
      <c r="D261" s="26">
        <f>PRODUCT(C261:$C$343)</f>
        <v>1.4261410123826141</v>
      </c>
    </row>
    <row r="262" spans="1:4" x14ac:dyDescent="0.3">
      <c r="A262" s="24">
        <v>42429</v>
      </c>
      <c r="B262" s="25">
        <v>0.9</v>
      </c>
      <c r="C262" s="25">
        <f t="shared" si="4"/>
        <v>1.0089999999999999</v>
      </c>
      <c r="D262" s="26">
        <f>PRODUCT(C262:$C$343)</f>
        <v>1.4082561591612668</v>
      </c>
    </row>
    <row r="263" spans="1:4" x14ac:dyDescent="0.3">
      <c r="A263" s="24">
        <v>42460</v>
      </c>
      <c r="B263" s="25">
        <v>0.43</v>
      </c>
      <c r="C263" s="25">
        <f t="shared" si="4"/>
        <v>1.0043</v>
      </c>
      <c r="D263" s="26">
        <f>PRODUCT(C263:$C$343)</f>
        <v>1.3956949050161231</v>
      </c>
    </row>
    <row r="264" spans="1:4" x14ac:dyDescent="0.3">
      <c r="A264" s="24">
        <v>42490</v>
      </c>
      <c r="B264" s="25">
        <v>0.61</v>
      </c>
      <c r="C264" s="25">
        <f t="shared" si="4"/>
        <v>1.0061</v>
      </c>
      <c r="D264" s="26">
        <f>PRODUCT(C264:$C$343)</f>
        <v>1.3897191128309487</v>
      </c>
    </row>
    <row r="265" spans="1:4" x14ac:dyDescent="0.3">
      <c r="A265" s="24">
        <v>42521</v>
      </c>
      <c r="B265" s="25">
        <v>0.78</v>
      </c>
      <c r="C265" s="25">
        <f t="shared" si="4"/>
        <v>1.0078</v>
      </c>
      <c r="D265" s="26">
        <f>PRODUCT(C265:$C$343)</f>
        <v>1.3812932241635512</v>
      </c>
    </row>
    <row r="266" spans="1:4" x14ac:dyDescent="0.3">
      <c r="A266" s="24">
        <v>42551</v>
      </c>
      <c r="B266" s="25">
        <v>0.35</v>
      </c>
      <c r="C266" s="25">
        <f t="shared" si="4"/>
        <v>1.0035000000000001</v>
      </c>
      <c r="D266" s="26">
        <f>PRODUCT(C266:$C$343)</f>
        <v>1.3706025244726654</v>
      </c>
    </row>
    <row r="267" spans="1:4" x14ac:dyDescent="0.3">
      <c r="A267" s="24">
        <v>42582</v>
      </c>
      <c r="B267" s="25">
        <v>0.52</v>
      </c>
      <c r="C267" s="25">
        <f t="shared" si="4"/>
        <v>1.0052000000000001</v>
      </c>
      <c r="D267" s="26">
        <f>PRODUCT(C267:$C$343)</f>
        <v>1.3658221469583098</v>
      </c>
    </row>
    <row r="268" spans="1:4" x14ac:dyDescent="0.3">
      <c r="A268" s="24">
        <v>42613</v>
      </c>
      <c r="B268" s="25">
        <v>0.44</v>
      </c>
      <c r="C268" s="25">
        <f t="shared" si="4"/>
        <v>1.0044</v>
      </c>
      <c r="D268" s="26">
        <f>PRODUCT(C268:$C$343)</f>
        <v>1.35875661257293</v>
      </c>
    </row>
    <row r="269" spans="1:4" x14ac:dyDescent="0.3">
      <c r="A269" s="24">
        <v>42643</v>
      </c>
      <c r="B269" s="25">
        <v>0.08</v>
      </c>
      <c r="C269" s="25">
        <f t="shared" si="4"/>
        <v>1.0007999999999999</v>
      </c>
      <c r="D269" s="26">
        <f>PRODUCT(C269:$C$343)</f>
        <v>1.3528042737683508</v>
      </c>
    </row>
    <row r="270" spans="1:4" x14ac:dyDescent="0.3">
      <c r="A270" s="24">
        <v>42674</v>
      </c>
      <c r="B270" s="25">
        <v>0.26</v>
      </c>
      <c r="C270" s="25">
        <f t="shared" si="4"/>
        <v>1.0025999999999999</v>
      </c>
      <c r="D270" s="26">
        <f>PRODUCT(C270:$C$343)</f>
        <v>1.3517228954519893</v>
      </c>
    </row>
    <row r="271" spans="1:4" x14ac:dyDescent="0.3">
      <c r="A271" s="24">
        <v>42704</v>
      </c>
      <c r="B271" s="25">
        <v>0.18</v>
      </c>
      <c r="C271" s="25">
        <f t="shared" si="4"/>
        <v>1.0018</v>
      </c>
      <c r="D271" s="26">
        <f>PRODUCT(C271:$C$343)</f>
        <v>1.3482175298743162</v>
      </c>
    </row>
    <row r="272" spans="1:4" x14ac:dyDescent="0.3">
      <c r="A272" s="24">
        <v>42735</v>
      </c>
      <c r="B272" s="25">
        <v>0.3</v>
      </c>
      <c r="C272" s="25">
        <f t="shared" si="4"/>
        <v>1.0029999999999999</v>
      </c>
      <c r="D272" s="26">
        <f>PRODUCT(C272:$C$343)</f>
        <v>1.3457950986966623</v>
      </c>
    </row>
    <row r="273" spans="1:4" x14ac:dyDescent="0.3">
      <c r="A273" s="24">
        <v>42766</v>
      </c>
      <c r="B273" s="25">
        <v>0.38</v>
      </c>
      <c r="C273" s="25">
        <f t="shared" si="4"/>
        <v>1.0038</v>
      </c>
      <c r="D273" s="26">
        <f>PRODUCT(C273:$C$343)</f>
        <v>1.3417697893286764</v>
      </c>
    </row>
    <row r="274" spans="1:4" x14ac:dyDescent="0.3">
      <c r="A274" s="24">
        <v>42794</v>
      </c>
      <c r="B274" s="25">
        <v>0.33</v>
      </c>
      <c r="C274" s="25">
        <f t="shared" si="4"/>
        <v>1.0033000000000001</v>
      </c>
      <c r="D274" s="26">
        <f>PRODUCT(C274:$C$343)</f>
        <v>1.3366903659381113</v>
      </c>
    </row>
    <row r="275" spans="1:4" x14ac:dyDescent="0.3">
      <c r="A275" s="24">
        <v>42825</v>
      </c>
      <c r="B275" s="25">
        <v>0.25</v>
      </c>
      <c r="C275" s="25">
        <f t="shared" si="4"/>
        <v>1.0024999999999999</v>
      </c>
      <c r="D275" s="26">
        <f>PRODUCT(C275:$C$343)</f>
        <v>1.3322937964099564</v>
      </c>
    </row>
    <row r="276" spans="1:4" x14ac:dyDescent="0.3">
      <c r="A276" s="24">
        <v>42855</v>
      </c>
      <c r="B276" s="25">
        <v>0.14000000000000001</v>
      </c>
      <c r="C276" s="25">
        <f t="shared" si="4"/>
        <v>1.0014000000000001</v>
      </c>
      <c r="D276" s="26">
        <f>PRODUCT(C276:$C$343)</f>
        <v>1.3289713679899822</v>
      </c>
    </row>
    <row r="277" spans="1:4" x14ac:dyDescent="0.3">
      <c r="A277" s="24">
        <v>42886</v>
      </c>
      <c r="B277" s="25">
        <v>0.31</v>
      </c>
      <c r="C277" s="25">
        <f t="shared" si="4"/>
        <v>1.0031000000000001</v>
      </c>
      <c r="D277" s="26">
        <f>PRODUCT(C277:$C$343)</f>
        <v>1.3271134092170791</v>
      </c>
    </row>
    <row r="278" spans="1:4" x14ac:dyDescent="0.3">
      <c r="A278" s="24">
        <v>42916</v>
      </c>
      <c r="B278" s="25">
        <v>-0.23</v>
      </c>
      <c r="C278" s="25">
        <f t="shared" ref="C278:C284" si="5">1+B278/100</f>
        <v>0.99770000000000003</v>
      </c>
      <c r="D278" s="26">
        <f>PRODUCT(C278:$C$343)</f>
        <v>1.3230120717945157</v>
      </c>
    </row>
    <row r="279" spans="1:4" x14ac:dyDescent="0.3">
      <c r="A279" s="24">
        <v>42947</v>
      </c>
      <c r="B279" s="25">
        <v>0.24</v>
      </c>
      <c r="C279" s="25">
        <f t="shared" si="5"/>
        <v>1.0024</v>
      </c>
      <c r="D279" s="26">
        <f>PRODUCT(C279:$C$343)</f>
        <v>1.3260620144276993</v>
      </c>
    </row>
    <row r="280" spans="1:4" x14ac:dyDescent="0.3">
      <c r="A280" s="24">
        <v>42978</v>
      </c>
      <c r="B280" s="25">
        <v>0.19</v>
      </c>
      <c r="C280" s="25">
        <f t="shared" si="5"/>
        <v>1.0019</v>
      </c>
      <c r="D280" s="26">
        <f>PRODUCT(C280:$C$343)</f>
        <v>1.3228870854226842</v>
      </c>
    </row>
    <row r="281" spans="1:4" x14ac:dyDescent="0.3">
      <c r="A281" s="24">
        <v>43008</v>
      </c>
      <c r="B281" s="25">
        <v>0.16</v>
      </c>
      <c r="C281" s="25">
        <f t="shared" si="5"/>
        <v>1.0016</v>
      </c>
      <c r="D281" s="26">
        <f>PRODUCT(C281:$C$343)</f>
        <v>1.3203783665262847</v>
      </c>
    </row>
    <row r="282" spans="1:4" x14ac:dyDescent="0.3">
      <c r="A282" s="24">
        <v>43039</v>
      </c>
      <c r="B282" s="25">
        <v>0.42</v>
      </c>
      <c r="C282" s="25">
        <f t="shared" si="5"/>
        <v>1.0042</v>
      </c>
      <c r="D282" s="26">
        <f>PRODUCT(C282:$C$343)</f>
        <v>1.3182691359088312</v>
      </c>
    </row>
    <row r="283" spans="1:4" x14ac:dyDescent="0.3">
      <c r="A283" s="24">
        <v>43069</v>
      </c>
      <c r="B283" s="25">
        <v>0.28000000000000003</v>
      </c>
      <c r="C283" s="25">
        <f t="shared" si="5"/>
        <v>1.0027999999999999</v>
      </c>
      <c r="D283" s="26">
        <f>PRODUCT(C283:$C$343)</f>
        <v>1.3127555625461373</v>
      </c>
    </row>
    <row r="284" spans="1:4" x14ac:dyDescent="0.3">
      <c r="A284" s="24">
        <v>43100</v>
      </c>
      <c r="B284" s="25">
        <v>0.44</v>
      </c>
      <c r="C284" s="25">
        <f t="shared" si="5"/>
        <v>1.0044</v>
      </c>
      <c r="D284" s="26">
        <f>PRODUCT(C284:$C$343)</f>
        <v>1.3090901102374715</v>
      </c>
    </row>
    <row r="285" spans="1:4" x14ac:dyDescent="0.3">
      <c r="A285" s="24">
        <v>43131</v>
      </c>
      <c r="B285" s="25">
        <v>0.28999999999999998</v>
      </c>
      <c r="C285" s="25">
        <f t="shared" ref="C285:C289" si="6">1+B285/100</f>
        <v>1.0028999999999999</v>
      </c>
      <c r="D285" s="26">
        <f>PRODUCT(C285:$C$343)</f>
        <v>1.3033553467119388</v>
      </c>
    </row>
    <row r="286" spans="1:4" x14ac:dyDescent="0.3">
      <c r="A286" s="24">
        <v>43159</v>
      </c>
      <c r="B286" s="25">
        <v>0.32</v>
      </c>
      <c r="C286" s="25">
        <f t="shared" si="6"/>
        <v>1.0032000000000001</v>
      </c>
      <c r="D286" s="26">
        <f>PRODUCT(C286:$C$343)</f>
        <v>1.2995865457293247</v>
      </c>
    </row>
    <row r="287" spans="1:4" x14ac:dyDescent="0.3">
      <c r="A287" s="24">
        <v>43190</v>
      </c>
      <c r="B287" s="25">
        <v>0.09</v>
      </c>
      <c r="C287" s="25">
        <f t="shared" si="6"/>
        <v>1.0008999999999999</v>
      </c>
      <c r="D287" s="26">
        <f>PRODUCT(C287:$C$343)</f>
        <v>1.2954411341002035</v>
      </c>
    </row>
    <row r="288" spans="1:4" x14ac:dyDescent="0.3">
      <c r="A288" s="24">
        <v>43220</v>
      </c>
      <c r="B288" s="25">
        <v>0.22</v>
      </c>
      <c r="C288" s="25">
        <f t="shared" si="6"/>
        <v>1.0022</v>
      </c>
      <c r="D288" s="26">
        <f>PRODUCT(C288:$C$343)</f>
        <v>1.294276285443305</v>
      </c>
    </row>
    <row r="289" spans="1:4" x14ac:dyDescent="0.3">
      <c r="A289" s="24">
        <v>43251</v>
      </c>
      <c r="B289" s="190">
        <v>0.4</v>
      </c>
      <c r="C289" s="25">
        <f t="shared" si="6"/>
        <v>1.004</v>
      </c>
      <c r="D289" s="26">
        <f>PRODUCT(C289:$C$343)</f>
        <v>1.2914351281613496</v>
      </c>
    </row>
    <row r="290" spans="1:4" x14ac:dyDescent="0.3">
      <c r="A290" s="24">
        <v>43281</v>
      </c>
      <c r="B290" s="25">
        <v>1.26</v>
      </c>
      <c r="C290" s="25">
        <f t="shared" ref="C290:C343" si="7">1+B290/100</f>
        <v>1.0125999999999999</v>
      </c>
      <c r="D290" s="26">
        <f>PRODUCT(C290:$C$343)</f>
        <v>1.2862899682881972</v>
      </c>
    </row>
    <row r="291" spans="1:4" x14ac:dyDescent="0.3">
      <c r="A291" s="24">
        <v>43312</v>
      </c>
      <c r="B291" s="25">
        <v>0.33</v>
      </c>
      <c r="C291" s="25">
        <f t="shared" si="7"/>
        <v>1.0033000000000001</v>
      </c>
      <c r="D291" s="26">
        <f>PRODUCT(C291:$C$343)</f>
        <v>1.270284385036736</v>
      </c>
    </row>
    <row r="292" spans="1:4" x14ac:dyDescent="0.3">
      <c r="A292" s="24">
        <v>43343</v>
      </c>
      <c r="B292" s="25">
        <v>-0.09</v>
      </c>
      <c r="C292" s="25">
        <f t="shared" si="7"/>
        <v>0.99909999999999999</v>
      </c>
      <c r="D292" s="26">
        <f>PRODUCT(C292:$C$343)</f>
        <v>1.266106234463007</v>
      </c>
    </row>
    <row r="293" spans="1:4" x14ac:dyDescent="0.3">
      <c r="A293" s="24">
        <v>43373</v>
      </c>
      <c r="B293" s="25">
        <v>0.48</v>
      </c>
      <c r="C293" s="25">
        <f t="shared" si="7"/>
        <v>1.0047999999999999</v>
      </c>
      <c r="D293" s="26">
        <f>PRODUCT(C293:$C$343)</f>
        <v>1.2672467565438963</v>
      </c>
    </row>
    <row r="294" spans="1:4" x14ac:dyDescent="0.3">
      <c r="A294" s="24">
        <v>43404</v>
      </c>
      <c r="B294" s="25">
        <v>0.45</v>
      </c>
      <c r="C294" s="25">
        <f t="shared" si="7"/>
        <v>1.0044999999999999</v>
      </c>
      <c r="D294" s="26">
        <f>PRODUCT(C294:$C$343)</f>
        <v>1.261193029999897</v>
      </c>
    </row>
    <row r="295" spans="1:4" x14ac:dyDescent="0.3">
      <c r="A295" s="24">
        <v>43434</v>
      </c>
      <c r="B295" s="25">
        <v>-0.21</v>
      </c>
      <c r="C295" s="25">
        <f t="shared" si="7"/>
        <v>0.99790000000000001</v>
      </c>
      <c r="D295" s="26">
        <f>PRODUCT(C295:$C$343)</f>
        <v>1.2555430861123915</v>
      </c>
    </row>
    <row r="296" spans="1:4" x14ac:dyDescent="0.3">
      <c r="A296" s="24">
        <v>43465</v>
      </c>
      <c r="B296" s="25">
        <v>0.15</v>
      </c>
      <c r="C296" s="25">
        <f t="shared" si="7"/>
        <v>1.0015000000000001</v>
      </c>
      <c r="D296" s="26">
        <f>PRODUCT(C296:$C$343)</f>
        <v>1.2581852751902896</v>
      </c>
    </row>
    <row r="297" spans="1:4" x14ac:dyDescent="0.3">
      <c r="A297" s="24">
        <v>43496</v>
      </c>
      <c r="B297" s="192">
        <v>0.32</v>
      </c>
      <c r="C297" s="25">
        <f t="shared" si="7"/>
        <v>1.0032000000000001</v>
      </c>
      <c r="D297" s="26">
        <f>PRODUCT(C297:$C$343)</f>
        <v>1.2563008239543589</v>
      </c>
    </row>
    <row r="298" spans="1:4" x14ac:dyDescent="0.3">
      <c r="A298" s="24">
        <v>43524</v>
      </c>
      <c r="B298" s="192">
        <v>0.43</v>
      </c>
      <c r="C298" s="25">
        <f t="shared" si="7"/>
        <v>1.0043</v>
      </c>
      <c r="D298" s="26">
        <f>PRODUCT(C298:$C$343)</f>
        <v>1.2522934848029899</v>
      </c>
    </row>
    <row r="299" spans="1:4" x14ac:dyDescent="0.3">
      <c r="A299" s="24">
        <v>43555</v>
      </c>
      <c r="B299" s="192">
        <v>0.75</v>
      </c>
      <c r="C299" s="25">
        <f t="shared" si="7"/>
        <v>1.0075000000000001</v>
      </c>
      <c r="D299" s="26">
        <f>PRODUCT(C299:$C$343)</f>
        <v>1.2469316785850733</v>
      </c>
    </row>
    <row r="300" spans="1:4" x14ac:dyDescent="0.3">
      <c r="A300" s="24">
        <v>43585</v>
      </c>
      <c r="B300" s="192">
        <v>0.56999999999999995</v>
      </c>
      <c r="C300" s="25">
        <f t="shared" si="7"/>
        <v>1.0057</v>
      </c>
      <c r="D300" s="26">
        <f>PRODUCT(C300:$C$343)</f>
        <v>1.2376493087693035</v>
      </c>
    </row>
    <row r="301" spans="1:4" x14ac:dyDescent="0.3">
      <c r="A301" s="24">
        <v>43616</v>
      </c>
      <c r="B301" s="192">
        <v>0.13</v>
      </c>
      <c r="C301" s="25">
        <f t="shared" si="7"/>
        <v>1.0013000000000001</v>
      </c>
      <c r="D301" s="26">
        <f>PRODUCT(C301:$C$343)</f>
        <v>1.2306346910304309</v>
      </c>
    </row>
    <row r="302" spans="1:4" x14ac:dyDescent="0.3">
      <c r="A302" s="24">
        <v>43646</v>
      </c>
      <c r="B302" s="192">
        <v>0.01</v>
      </c>
      <c r="C302" s="25">
        <f t="shared" si="7"/>
        <v>1.0001</v>
      </c>
      <c r="D302" s="26">
        <f>PRODUCT(C302:$C$343)</f>
        <v>1.229036943004524</v>
      </c>
    </row>
    <row r="303" spans="1:4" x14ac:dyDescent="0.3">
      <c r="A303" s="24">
        <v>43677</v>
      </c>
      <c r="B303" s="192">
        <v>0.19</v>
      </c>
      <c r="C303" s="25">
        <f t="shared" si="7"/>
        <v>1.0019</v>
      </c>
      <c r="D303" s="26">
        <f>PRODUCT(C303:$C$343)</f>
        <v>1.2289140515993637</v>
      </c>
    </row>
    <row r="304" spans="1:4" x14ac:dyDescent="0.3">
      <c r="A304" s="24">
        <v>43708</v>
      </c>
      <c r="B304" s="192">
        <v>0.11</v>
      </c>
      <c r="C304" s="25">
        <f t="shared" si="7"/>
        <v>1.0011000000000001</v>
      </c>
      <c r="D304" s="26">
        <f>PRODUCT(C304:$C$343)</f>
        <v>1.226583542867915</v>
      </c>
    </row>
    <row r="305" spans="1:4" x14ac:dyDescent="0.3">
      <c r="A305" s="24">
        <v>43738</v>
      </c>
      <c r="B305" s="192">
        <v>-0.04</v>
      </c>
      <c r="C305" s="25">
        <f t="shared" si="7"/>
        <v>0.99960000000000004</v>
      </c>
      <c r="D305" s="26">
        <f>PRODUCT(C305:$C$343)</f>
        <v>1.2252357835060586</v>
      </c>
    </row>
    <row r="306" spans="1:4" x14ac:dyDescent="0.3">
      <c r="A306" s="24">
        <v>43769</v>
      </c>
      <c r="B306" s="192">
        <v>0.1</v>
      </c>
      <c r="C306" s="25">
        <f t="shared" si="7"/>
        <v>1.0009999999999999</v>
      </c>
      <c r="D306" s="26">
        <f>PRODUCT(C306:$C$343)</f>
        <v>1.2257260739356333</v>
      </c>
    </row>
    <row r="307" spans="1:4" x14ac:dyDescent="0.3">
      <c r="A307" s="24">
        <v>43799</v>
      </c>
      <c r="B307" s="192">
        <v>0.51</v>
      </c>
      <c r="C307" s="25">
        <f t="shared" si="7"/>
        <v>1.0051000000000001</v>
      </c>
      <c r="D307" s="26">
        <f>PRODUCT(C307:$C$343)</f>
        <v>1.2245015723632693</v>
      </c>
    </row>
    <row r="308" spans="1:4" x14ac:dyDescent="0.3">
      <c r="A308" s="24">
        <v>43830</v>
      </c>
      <c r="B308" s="192">
        <v>1.1499999999999999</v>
      </c>
      <c r="C308" s="25">
        <f t="shared" si="7"/>
        <v>1.0115000000000001</v>
      </c>
      <c r="D308" s="26">
        <f>PRODUCT(C308:$C$343)</f>
        <v>1.2182883020229525</v>
      </c>
    </row>
    <row r="309" spans="1:4" x14ac:dyDescent="0.3">
      <c r="A309" s="24">
        <v>43861</v>
      </c>
      <c r="B309" s="192">
        <v>0.21</v>
      </c>
      <c r="C309" s="25">
        <f t="shared" si="7"/>
        <v>1.0021</v>
      </c>
      <c r="D309" s="26">
        <f>PRODUCT(C309:$C$343)</f>
        <v>1.2044372733790933</v>
      </c>
    </row>
    <row r="310" spans="1:4" x14ac:dyDescent="0.3">
      <c r="A310" s="24">
        <v>43890</v>
      </c>
      <c r="B310" s="192">
        <v>0.25</v>
      </c>
      <c r="C310" s="25">
        <f t="shared" si="7"/>
        <v>1.0024999999999999</v>
      </c>
      <c r="D310" s="26">
        <f>PRODUCT(C310:$C$343)</f>
        <v>1.2019132555424539</v>
      </c>
    </row>
    <row r="311" spans="1:4" x14ac:dyDescent="0.3">
      <c r="A311" s="24">
        <v>43921</v>
      </c>
      <c r="B311" s="192">
        <v>7.0000000000000007E-2</v>
      </c>
      <c r="C311" s="25">
        <f t="shared" si="7"/>
        <v>1.0006999999999999</v>
      </c>
      <c r="D311" s="26">
        <f>PRODUCT(C311:$C$343)</f>
        <v>1.1989159656283828</v>
      </c>
    </row>
    <row r="312" spans="1:4" x14ac:dyDescent="0.3">
      <c r="A312" s="24">
        <v>43951</v>
      </c>
      <c r="B312" s="192">
        <v>-0.31</v>
      </c>
      <c r="C312" s="25">
        <f t="shared" si="7"/>
        <v>0.99690000000000001</v>
      </c>
      <c r="D312" s="26">
        <f>PRODUCT(C312:$C$343)</f>
        <v>1.1980773115103256</v>
      </c>
    </row>
    <row r="313" spans="1:4" x14ac:dyDescent="0.3">
      <c r="A313" s="24">
        <v>43982</v>
      </c>
      <c r="B313" s="192">
        <v>-0.38</v>
      </c>
      <c r="C313" s="25">
        <f t="shared" si="7"/>
        <v>0.99619999999999997</v>
      </c>
      <c r="D313" s="26">
        <f>PRODUCT(C313:$C$343)</f>
        <v>1.2018029005018818</v>
      </c>
    </row>
    <row r="314" spans="1:4" x14ac:dyDescent="0.3">
      <c r="A314" s="24">
        <v>44012</v>
      </c>
      <c r="B314" s="192">
        <v>0.26</v>
      </c>
      <c r="C314" s="25">
        <f t="shared" si="7"/>
        <v>1.0025999999999999</v>
      </c>
      <c r="D314" s="26">
        <f>PRODUCT(C314:$C$343)</f>
        <v>1.2063871717545487</v>
      </c>
    </row>
    <row r="315" spans="1:4" x14ac:dyDescent="0.3">
      <c r="A315" s="24">
        <v>44043</v>
      </c>
      <c r="B315" s="192">
        <v>0.36</v>
      </c>
      <c r="C315" s="25">
        <f t="shared" si="7"/>
        <v>1.0036</v>
      </c>
      <c r="D315" s="26">
        <f>PRODUCT(C315:$C$343)</f>
        <v>1.2032586991367931</v>
      </c>
    </row>
    <row r="316" spans="1:4" x14ac:dyDescent="0.3">
      <c r="A316" s="24">
        <v>44074</v>
      </c>
      <c r="B316" s="192">
        <v>0.24</v>
      </c>
      <c r="C316" s="25">
        <f t="shared" si="7"/>
        <v>1.0024</v>
      </c>
      <c r="D316" s="26">
        <f>PRODUCT(C316:$C$343)</f>
        <v>1.1989425061147798</v>
      </c>
    </row>
    <row r="317" spans="1:4" x14ac:dyDescent="0.3">
      <c r="A317" s="24">
        <v>44104</v>
      </c>
      <c r="B317" s="192">
        <v>0.64</v>
      </c>
      <c r="C317" s="25">
        <f t="shared" si="7"/>
        <v>1.0064</v>
      </c>
      <c r="D317" s="26">
        <f>PRODUCT(C317:$C$343)</f>
        <v>1.1960719334744412</v>
      </c>
    </row>
    <row r="318" spans="1:4" x14ac:dyDescent="0.3">
      <c r="A318" s="24">
        <v>44135</v>
      </c>
      <c r="B318" s="192">
        <v>0.86</v>
      </c>
      <c r="C318" s="25">
        <f t="shared" si="7"/>
        <v>1.0085999999999999</v>
      </c>
      <c r="D318" s="26">
        <f>PRODUCT(C318:$C$343)</f>
        <v>1.1884657526574336</v>
      </c>
    </row>
    <row r="319" spans="1:4" x14ac:dyDescent="0.3">
      <c r="A319" s="24">
        <v>44165</v>
      </c>
      <c r="B319" s="192">
        <v>0.89</v>
      </c>
      <c r="C319" s="25">
        <f t="shared" si="7"/>
        <v>1.0088999999999999</v>
      </c>
      <c r="D319" s="26">
        <f>PRODUCT(C319:$C$343)</f>
        <v>1.1783320966264461</v>
      </c>
    </row>
    <row r="320" spans="1:4" x14ac:dyDescent="0.3">
      <c r="A320" s="24">
        <v>44196</v>
      </c>
      <c r="B320" s="192">
        <v>1.35</v>
      </c>
      <c r="C320" s="25">
        <f t="shared" si="7"/>
        <v>1.0135000000000001</v>
      </c>
      <c r="D320" s="26">
        <f>PRODUCT(C320:$C$343)</f>
        <v>1.1679374532921472</v>
      </c>
    </row>
    <row r="321" spans="1:4" x14ac:dyDescent="0.3">
      <c r="A321" s="24">
        <v>44227</v>
      </c>
      <c r="B321" s="192">
        <v>0.25</v>
      </c>
      <c r="C321" s="25">
        <f t="shared" si="7"/>
        <v>1.0024999999999999</v>
      </c>
      <c r="D321" s="26">
        <f>PRODUCT(C321:$C$343)</f>
        <v>1.1523803189858375</v>
      </c>
    </row>
    <row r="322" spans="1:4" x14ac:dyDescent="0.3">
      <c r="A322" s="24">
        <v>44255</v>
      </c>
      <c r="B322" s="192">
        <v>0.86</v>
      </c>
      <c r="C322" s="25">
        <f t="shared" si="7"/>
        <v>1.0085999999999999</v>
      </c>
      <c r="D322" s="26">
        <f>PRODUCT(C322:$C$343)</f>
        <v>1.1495065526043267</v>
      </c>
    </row>
    <row r="323" spans="1:4" x14ac:dyDescent="0.3">
      <c r="A323" s="24">
        <v>44286</v>
      </c>
      <c r="B323" s="192">
        <v>0.93</v>
      </c>
      <c r="C323" s="25">
        <f t="shared" si="7"/>
        <v>1.0093000000000001</v>
      </c>
      <c r="D323" s="26">
        <f>PRODUCT(C323:$C$343)</f>
        <v>1.1397050888403006</v>
      </c>
    </row>
    <row r="324" spans="1:4" x14ac:dyDescent="0.3">
      <c r="A324" s="24">
        <v>44316</v>
      </c>
      <c r="B324" s="192">
        <v>0.31</v>
      </c>
      <c r="C324" s="25">
        <f t="shared" si="7"/>
        <v>1.0031000000000001</v>
      </c>
      <c r="D324" s="26">
        <f>PRODUCT(C324:$C$343)</f>
        <v>1.1292034963244824</v>
      </c>
    </row>
    <row r="325" spans="1:4" x14ac:dyDescent="0.3">
      <c r="A325" s="24">
        <v>44347</v>
      </c>
      <c r="B325" s="192">
        <v>0.83</v>
      </c>
      <c r="C325" s="25">
        <f t="shared" si="7"/>
        <v>1.0083</v>
      </c>
      <c r="D325" s="26">
        <f>PRODUCT(C325:$C$343)</f>
        <v>1.1257137835953366</v>
      </c>
    </row>
    <row r="326" spans="1:4" x14ac:dyDescent="0.3">
      <c r="A326" s="24">
        <v>44377</v>
      </c>
      <c r="B326" s="192">
        <v>0.53</v>
      </c>
      <c r="C326" s="25">
        <f t="shared" si="7"/>
        <v>1.0053000000000001</v>
      </c>
      <c r="D326" s="26">
        <f>PRODUCT(C326:$C$343)</f>
        <v>1.1164472712440114</v>
      </c>
    </row>
    <row r="327" spans="1:4" x14ac:dyDescent="0.3">
      <c r="A327" s="24">
        <v>44408</v>
      </c>
      <c r="B327" s="192">
        <v>0.96</v>
      </c>
      <c r="C327" s="25">
        <f t="shared" si="7"/>
        <v>1.0096000000000001</v>
      </c>
      <c r="D327" s="26">
        <f>PRODUCT(C327:$C$343)</f>
        <v>1.1105612963732334</v>
      </c>
    </row>
    <row r="328" spans="1:4" x14ac:dyDescent="0.3">
      <c r="A328" s="24">
        <v>44439</v>
      </c>
      <c r="B328" s="192">
        <v>0.87</v>
      </c>
      <c r="C328" s="25">
        <f t="shared" si="7"/>
        <v>1.0086999999999999</v>
      </c>
      <c r="D328" s="26">
        <f>PRODUCT(C328:$C$343)</f>
        <v>1.100001284046388</v>
      </c>
    </row>
    <row r="329" spans="1:4" x14ac:dyDescent="0.3">
      <c r="A329" s="24">
        <v>44469</v>
      </c>
      <c r="B329" s="192">
        <v>1.1599999999999999</v>
      </c>
      <c r="C329" s="25">
        <f t="shared" si="7"/>
        <v>1.0116000000000001</v>
      </c>
      <c r="D329" s="26">
        <f>PRODUCT(C329:$C$343)</f>
        <v>1.0905138138657557</v>
      </c>
    </row>
    <row r="330" spans="1:4" x14ac:dyDescent="0.3">
      <c r="A330" s="24">
        <v>44500</v>
      </c>
      <c r="B330" s="192">
        <v>1.25</v>
      </c>
      <c r="C330" s="25">
        <f t="shared" si="7"/>
        <v>1.0125</v>
      </c>
      <c r="D330" s="26">
        <f>PRODUCT(C330:$C$343)</f>
        <v>1.0780089105039106</v>
      </c>
    </row>
    <row r="331" spans="1:4" x14ac:dyDescent="0.3">
      <c r="A331" s="24">
        <v>44530</v>
      </c>
      <c r="B331" s="192">
        <v>0.95</v>
      </c>
      <c r="C331" s="25">
        <f t="shared" si="7"/>
        <v>1.0095000000000001</v>
      </c>
      <c r="D331" s="26">
        <f>PRODUCT(C331:$C$343)</f>
        <v>1.0647001585223808</v>
      </c>
    </row>
    <row r="332" spans="1:4" x14ac:dyDescent="0.3">
      <c r="A332" s="24">
        <v>44561</v>
      </c>
      <c r="B332" s="192">
        <v>0.73</v>
      </c>
      <c r="C332" s="25">
        <f t="shared" si="7"/>
        <v>1.0073000000000001</v>
      </c>
      <c r="D332" s="26">
        <f>PRODUCT(C332:$C$343)</f>
        <v>1.0546806919488665</v>
      </c>
    </row>
    <row r="333" spans="1:4" x14ac:dyDescent="0.3">
      <c r="A333" s="24">
        <v>44592</v>
      </c>
      <c r="B333" s="192">
        <v>0.54</v>
      </c>
      <c r="C333" s="25">
        <f t="shared" si="7"/>
        <v>1.0054000000000001</v>
      </c>
      <c r="D333" s="26">
        <f>PRODUCT(C333:$C$343)</f>
        <v>1.0470373195163967</v>
      </c>
    </row>
    <row r="334" spans="1:4" x14ac:dyDescent="0.3">
      <c r="A334" s="24">
        <v>44620</v>
      </c>
      <c r="B334" s="192">
        <v>1.01</v>
      </c>
      <c r="C334" s="25">
        <f t="shared" si="7"/>
        <v>1.0101</v>
      </c>
      <c r="D334" s="26">
        <f>PRODUCT(C334:$C$343)</f>
        <v>1.0414136856140803</v>
      </c>
    </row>
    <row r="335" spans="1:4" x14ac:dyDescent="0.3">
      <c r="A335" s="24">
        <v>44651</v>
      </c>
      <c r="B335" s="192">
        <v>1.62</v>
      </c>
      <c r="C335" s="25">
        <f t="shared" si="7"/>
        <v>1.0162</v>
      </c>
      <c r="D335" s="26">
        <f>PRODUCT(C335:$C$343)</f>
        <v>1.0310005797585193</v>
      </c>
    </row>
    <row r="336" spans="1:4" x14ac:dyDescent="0.3">
      <c r="A336" s="24">
        <v>44681</v>
      </c>
      <c r="B336" s="192">
        <v>1.06</v>
      </c>
      <c r="C336" s="25">
        <f t="shared" si="7"/>
        <v>1.0105999999999999</v>
      </c>
      <c r="D336" s="26">
        <f>PRODUCT(C336:$C$343)</f>
        <v>1.0145646327086397</v>
      </c>
    </row>
    <row r="337" spans="1:4" x14ac:dyDescent="0.3">
      <c r="A337" s="24">
        <v>44712</v>
      </c>
      <c r="B337" s="192">
        <v>0.47</v>
      </c>
      <c r="C337" s="25">
        <f t="shared" si="7"/>
        <v>1.0046999999999999</v>
      </c>
      <c r="D337" s="26">
        <f>PRODUCT(C337:$C$343)</f>
        <v>1.0039230483956458</v>
      </c>
    </row>
    <row r="338" spans="1:4" x14ac:dyDescent="0.3">
      <c r="A338" s="24">
        <v>44742</v>
      </c>
      <c r="B338" s="192">
        <v>0.67</v>
      </c>
      <c r="C338" s="25">
        <f t="shared" si="7"/>
        <v>1.0066999999999999</v>
      </c>
      <c r="D338" s="26">
        <f>PRODUCT(C338:$C$343)</f>
        <v>0.99922668298561357</v>
      </c>
    </row>
    <row r="339" spans="1:4" x14ac:dyDescent="0.3">
      <c r="A339" s="24">
        <v>44773</v>
      </c>
      <c r="B339" s="192">
        <v>-0.68</v>
      </c>
      <c r="C339" s="25">
        <f t="shared" si="7"/>
        <v>0.99319999999999997</v>
      </c>
      <c r="D339" s="26">
        <f>PRODUCT(C339:$C$343)</f>
        <v>0.99257642096514709</v>
      </c>
    </row>
    <row r="340" spans="1:4" x14ac:dyDescent="0.3">
      <c r="A340" s="24">
        <v>44804</v>
      </c>
      <c r="B340" s="192">
        <v>-0.36</v>
      </c>
      <c r="C340" s="25">
        <f t="shared" si="7"/>
        <v>0.99639999999999995</v>
      </c>
      <c r="D340" s="26">
        <f>PRODUCT(C340:$C$343)</f>
        <v>0.9993721515959999</v>
      </c>
    </row>
    <row r="341" spans="1:4" x14ac:dyDescent="0.3">
      <c r="A341" s="24">
        <v>44834</v>
      </c>
      <c r="B341" s="192">
        <v>-0.28999999999999998</v>
      </c>
      <c r="C341" s="25">
        <f t="shared" si="7"/>
        <v>0.99709999999999999</v>
      </c>
      <c r="D341" s="26">
        <f>PRODUCT(C341:$C$343)</f>
        <v>1.00298289</v>
      </c>
    </row>
    <row r="342" spans="1:4" x14ac:dyDescent="0.3">
      <c r="A342" s="24">
        <v>44865</v>
      </c>
      <c r="B342" s="192">
        <v>0.59</v>
      </c>
      <c r="C342" s="25">
        <f t="shared" si="7"/>
        <v>1.0059</v>
      </c>
      <c r="D342" s="26">
        <f>PRODUCT(C342:$C$343)</f>
        <v>1.0059</v>
      </c>
    </row>
    <row r="343" spans="1:4" x14ac:dyDescent="0.3">
      <c r="A343" s="24">
        <v>44895</v>
      </c>
      <c r="B343" s="192">
        <v>0</v>
      </c>
      <c r="C343" s="25">
        <f t="shared" si="7"/>
        <v>1</v>
      </c>
      <c r="D343" s="26">
        <f>PRODUCT(C343:$C$343)</f>
        <v>1</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8"/>
  <dimension ref="A1:NL90"/>
  <sheetViews>
    <sheetView topLeftCell="A46" workbookViewId="0">
      <selection activeCell="C64" sqref="C64:MY90"/>
    </sheetView>
  </sheetViews>
  <sheetFormatPr defaultColWidth="9.109375" defaultRowHeight="15" x14ac:dyDescent="0.25"/>
  <cols>
    <col min="1" max="1" width="9.109375" style="65"/>
    <col min="2" max="2" width="14.5546875" style="65" customWidth="1"/>
    <col min="3" max="4" width="12.6640625" style="65" customWidth="1"/>
    <col min="5" max="14" width="13.44140625" style="65" bestFit="1" customWidth="1"/>
    <col min="15" max="16384" width="9.109375" style="65"/>
  </cols>
  <sheetData>
    <row r="1" spans="1:376" ht="15" customHeight="1" x14ac:dyDescent="0.3">
      <c r="B1" s="352" t="s">
        <v>133</v>
      </c>
      <c r="C1" s="66">
        <f>INT(C2/12)</f>
        <v>45</v>
      </c>
      <c r="D1" s="66">
        <f t="shared" ref="D1:BO1" si="0">INT(D2/12)</f>
        <v>45</v>
      </c>
      <c r="E1" s="66">
        <f t="shared" si="0"/>
        <v>45</v>
      </c>
      <c r="F1" s="66">
        <f t="shared" si="0"/>
        <v>45</v>
      </c>
      <c r="G1" s="66">
        <f t="shared" si="0"/>
        <v>45</v>
      </c>
      <c r="H1" s="66">
        <f t="shared" si="0"/>
        <v>45</v>
      </c>
      <c r="I1" s="66">
        <f t="shared" si="0"/>
        <v>45</v>
      </c>
      <c r="J1" s="66">
        <f t="shared" si="0"/>
        <v>45</v>
      </c>
      <c r="K1" s="66">
        <f t="shared" si="0"/>
        <v>45</v>
      </c>
      <c r="L1" s="66">
        <f t="shared" si="0"/>
        <v>45</v>
      </c>
      <c r="M1" s="66">
        <f t="shared" si="0"/>
        <v>45</v>
      </c>
      <c r="N1" s="66">
        <f t="shared" si="0"/>
        <v>45</v>
      </c>
      <c r="O1" s="66">
        <f t="shared" si="0"/>
        <v>46</v>
      </c>
      <c r="P1" s="66">
        <f t="shared" si="0"/>
        <v>46</v>
      </c>
      <c r="Q1" s="66">
        <f t="shared" si="0"/>
        <v>46</v>
      </c>
      <c r="R1" s="66">
        <f t="shared" si="0"/>
        <v>46</v>
      </c>
      <c r="S1" s="66">
        <f t="shared" si="0"/>
        <v>46</v>
      </c>
      <c r="T1" s="66">
        <f t="shared" si="0"/>
        <v>46</v>
      </c>
      <c r="U1" s="66">
        <f t="shared" si="0"/>
        <v>46</v>
      </c>
      <c r="V1" s="66">
        <f t="shared" si="0"/>
        <v>46</v>
      </c>
      <c r="W1" s="66">
        <f t="shared" si="0"/>
        <v>46</v>
      </c>
      <c r="X1" s="66">
        <f t="shared" si="0"/>
        <v>46</v>
      </c>
      <c r="Y1" s="66">
        <f t="shared" si="0"/>
        <v>46</v>
      </c>
      <c r="Z1" s="66">
        <f t="shared" si="0"/>
        <v>46</v>
      </c>
      <c r="AA1" s="66">
        <f t="shared" si="0"/>
        <v>47</v>
      </c>
      <c r="AB1" s="66">
        <f t="shared" si="0"/>
        <v>47</v>
      </c>
      <c r="AC1" s="66">
        <f t="shared" si="0"/>
        <v>47</v>
      </c>
      <c r="AD1" s="66">
        <f t="shared" si="0"/>
        <v>47</v>
      </c>
      <c r="AE1" s="66">
        <f t="shared" si="0"/>
        <v>47</v>
      </c>
      <c r="AF1" s="66">
        <f t="shared" si="0"/>
        <v>47</v>
      </c>
      <c r="AG1" s="66">
        <f t="shared" si="0"/>
        <v>47</v>
      </c>
      <c r="AH1" s="66">
        <f t="shared" si="0"/>
        <v>47</v>
      </c>
      <c r="AI1" s="66">
        <f t="shared" si="0"/>
        <v>47</v>
      </c>
      <c r="AJ1" s="66">
        <f t="shared" si="0"/>
        <v>47</v>
      </c>
      <c r="AK1" s="66">
        <f t="shared" si="0"/>
        <v>47</v>
      </c>
      <c r="AL1" s="66">
        <f t="shared" si="0"/>
        <v>47</v>
      </c>
      <c r="AM1" s="66">
        <f t="shared" si="0"/>
        <v>48</v>
      </c>
      <c r="AN1" s="66">
        <f t="shared" si="0"/>
        <v>48</v>
      </c>
      <c r="AO1" s="66">
        <f t="shared" si="0"/>
        <v>48</v>
      </c>
      <c r="AP1" s="66">
        <f t="shared" si="0"/>
        <v>48</v>
      </c>
      <c r="AQ1" s="66">
        <f t="shared" si="0"/>
        <v>48</v>
      </c>
      <c r="AR1" s="66">
        <f t="shared" si="0"/>
        <v>48</v>
      </c>
      <c r="AS1" s="66">
        <f t="shared" si="0"/>
        <v>48</v>
      </c>
      <c r="AT1" s="66">
        <f t="shared" si="0"/>
        <v>48</v>
      </c>
      <c r="AU1" s="66">
        <f t="shared" si="0"/>
        <v>48</v>
      </c>
      <c r="AV1" s="66">
        <f t="shared" si="0"/>
        <v>48</v>
      </c>
      <c r="AW1" s="66">
        <f t="shared" si="0"/>
        <v>48</v>
      </c>
      <c r="AX1" s="66">
        <f t="shared" si="0"/>
        <v>48</v>
      </c>
      <c r="AY1" s="66">
        <f t="shared" si="0"/>
        <v>49</v>
      </c>
      <c r="AZ1" s="66">
        <f t="shared" si="0"/>
        <v>49</v>
      </c>
      <c r="BA1" s="66">
        <f t="shared" si="0"/>
        <v>49</v>
      </c>
      <c r="BB1" s="66">
        <f t="shared" si="0"/>
        <v>49</v>
      </c>
      <c r="BC1" s="66">
        <f t="shared" si="0"/>
        <v>49</v>
      </c>
      <c r="BD1" s="66">
        <f t="shared" si="0"/>
        <v>49</v>
      </c>
      <c r="BE1" s="66">
        <f t="shared" si="0"/>
        <v>49</v>
      </c>
      <c r="BF1" s="66">
        <f t="shared" si="0"/>
        <v>49</v>
      </c>
      <c r="BG1" s="66">
        <f t="shared" si="0"/>
        <v>49</v>
      </c>
      <c r="BH1" s="66">
        <f t="shared" si="0"/>
        <v>49</v>
      </c>
      <c r="BI1" s="66">
        <f t="shared" si="0"/>
        <v>49</v>
      </c>
      <c r="BJ1" s="66">
        <f t="shared" si="0"/>
        <v>49</v>
      </c>
      <c r="BK1" s="66">
        <f t="shared" si="0"/>
        <v>50</v>
      </c>
      <c r="BL1" s="66">
        <f t="shared" si="0"/>
        <v>50</v>
      </c>
      <c r="BM1" s="66">
        <f t="shared" si="0"/>
        <v>50</v>
      </c>
      <c r="BN1" s="66">
        <f t="shared" si="0"/>
        <v>50</v>
      </c>
      <c r="BO1" s="66">
        <f t="shared" si="0"/>
        <v>50</v>
      </c>
      <c r="BP1" s="66">
        <f t="shared" ref="BP1:EA1" si="1">INT(BP2/12)</f>
        <v>50</v>
      </c>
      <c r="BQ1" s="66">
        <f t="shared" si="1"/>
        <v>50</v>
      </c>
      <c r="BR1" s="66">
        <f t="shared" si="1"/>
        <v>50</v>
      </c>
      <c r="BS1" s="66">
        <f t="shared" si="1"/>
        <v>50</v>
      </c>
      <c r="BT1" s="66">
        <f t="shared" si="1"/>
        <v>50</v>
      </c>
      <c r="BU1" s="66">
        <f t="shared" si="1"/>
        <v>50</v>
      </c>
      <c r="BV1" s="66">
        <f t="shared" si="1"/>
        <v>50</v>
      </c>
      <c r="BW1" s="66">
        <f t="shared" si="1"/>
        <v>51</v>
      </c>
      <c r="BX1" s="66">
        <f t="shared" si="1"/>
        <v>51</v>
      </c>
      <c r="BY1" s="66">
        <f t="shared" si="1"/>
        <v>51</v>
      </c>
      <c r="BZ1" s="66">
        <f t="shared" si="1"/>
        <v>51</v>
      </c>
      <c r="CA1" s="66">
        <f t="shared" si="1"/>
        <v>51</v>
      </c>
      <c r="CB1" s="66">
        <f t="shared" si="1"/>
        <v>51</v>
      </c>
      <c r="CC1" s="66">
        <f t="shared" si="1"/>
        <v>51</v>
      </c>
      <c r="CD1" s="66">
        <f t="shared" si="1"/>
        <v>51</v>
      </c>
      <c r="CE1" s="66">
        <f t="shared" si="1"/>
        <v>51</v>
      </c>
      <c r="CF1" s="66">
        <f t="shared" si="1"/>
        <v>51</v>
      </c>
      <c r="CG1" s="66">
        <f t="shared" si="1"/>
        <v>51</v>
      </c>
      <c r="CH1" s="66">
        <f t="shared" si="1"/>
        <v>51</v>
      </c>
      <c r="CI1" s="66">
        <f t="shared" si="1"/>
        <v>52</v>
      </c>
      <c r="CJ1" s="66">
        <f t="shared" si="1"/>
        <v>52</v>
      </c>
      <c r="CK1" s="66">
        <f t="shared" si="1"/>
        <v>52</v>
      </c>
      <c r="CL1" s="66">
        <f t="shared" si="1"/>
        <v>52</v>
      </c>
      <c r="CM1" s="66">
        <f t="shared" si="1"/>
        <v>52</v>
      </c>
      <c r="CN1" s="66">
        <f t="shared" si="1"/>
        <v>52</v>
      </c>
      <c r="CO1" s="66">
        <f t="shared" si="1"/>
        <v>52</v>
      </c>
      <c r="CP1" s="66">
        <f t="shared" si="1"/>
        <v>52</v>
      </c>
      <c r="CQ1" s="66">
        <f t="shared" si="1"/>
        <v>52</v>
      </c>
      <c r="CR1" s="66">
        <f t="shared" si="1"/>
        <v>52</v>
      </c>
      <c r="CS1" s="66">
        <f t="shared" si="1"/>
        <v>52</v>
      </c>
      <c r="CT1" s="66">
        <f t="shared" si="1"/>
        <v>52</v>
      </c>
      <c r="CU1" s="66">
        <f t="shared" si="1"/>
        <v>53</v>
      </c>
      <c r="CV1" s="66">
        <f t="shared" si="1"/>
        <v>53</v>
      </c>
      <c r="CW1" s="66">
        <f t="shared" si="1"/>
        <v>53</v>
      </c>
      <c r="CX1" s="66">
        <f t="shared" si="1"/>
        <v>53</v>
      </c>
      <c r="CY1" s="66">
        <f t="shared" si="1"/>
        <v>53</v>
      </c>
      <c r="CZ1" s="66">
        <f t="shared" si="1"/>
        <v>53</v>
      </c>
      <c r="DA1" s="66">
        <f t="shared" si="1"/>
        <v>53</v>
      </c>
      <c r="DB1" s="66">
        <f t="shared" si="1"/>
        <v>53</v>
      </c>
      <c r="DC1" s="66">
        <f t="shared" si="1"/>
        <v>53</v>
      </c>
      <c r="DD1" s="66">
        <f t="shared" si="1"/>
        <v>53</v>
      </c>
      <c r="DE1" s="66">
        <f t="shared" si="1"/>
        <v>53</v>
      </c>
      <c r="DF1" s="66">
        <f t="shared" si="1"/>
        <v>53</v>
      </c>
      <c r="DG1" s="66">
        <f t="shared" si="1"/>
        <v>54</v>
      </c>
      <c r="DH1" s="66">
        <f t="shared" si="1"/>
        <v>54</v>
      </c>
      <c r="DI1" s="66">
        <f t="shared" si="1"/>
        <v>54</v>
      </c>
      <c r="DJ1" s="66">
        <f t="shared" si="1"/>
        <v>54</v>
      </c>
      <c r="DK1" s="66">
        <f t="shared" si="1"/>
        <v>54</v>
      </c>
      <c r="DL1" s="66">
        <f t="shared" si="1"/>
        <v>54</v>
      </c>
      <c r="DM1" s="66">
        <f t="shared" si="1"/>
        <v>54</v>
      </c>
      <c r="DN1" s="66">
        <f t="shared" si="1"/>
        <v>54</v>
      </c>
      <c r="DO1" s="66">
        <f t="shared" si="1"/>
        <v>54</v>
      </c>
      <c r="DP1" s="66">
        <f t="shared" si="1"/>
        <v>54</v>
      </c>
      <c r="DQ1" s="66">
        <f t="shared" si="1"/>
        <v>54</v>
      </c>
      <c r="DR1" s="66">
        <f t="shared" si="1"/>
        <v>54</v>
      </c>
      <c r="DS1" s="66">
        <f t="shared" si="1"/>
        <v>55</v>
      </c>
      <c r="DT1" s="66">
        <f t="shared" si="1"/>
        <v>55</v>
      </c>
      <c r="DU1" s="66">
        <f t="shared" si="1"/>
        <v>55</v>
      </c>
      <c r="DV1" s="66">
        <f t="shared" si="1"/>
        <v>55</v>
      </c>
      <c r="DW1" s="66">
        <f t="shared" si="1"/>
        <v>55</v>
      </c>
      <c r="DX1" s="66">
        <f t="shared" si="1"/>
        <v>55</v>
      </c>
      <c r="DY1" s="66">
        <f t="shared" si="1"/>
        <v>55</v>
      </c>
      <c r="DZ1" s="66">
        <f t="shared" si="1"/>
        <v>55</v>
      </c>
      <c r="EA1" s="66">
        <f t="shared" si="1"/>
        <v>55</v>
      </c>
      <c r="EB1" s="66">
        <f t="shared" ref="EB1:GM1" si="2">INT(EB2/12)</f>
        <v>55</v>
      </c>
      <c r="EC1" s="66">
        <f t="shared" si="2"/>
        <v>55</v>
      </c>
      <c r="ED1" s="66">
        <f t="shared" si="2"/>
        <v>55</v>
      </c>
      <c r="EE1" s="66">
        <f t="shared" si="2"/>
        <v>56</v>
      </c>
      <c r="EF1" s="66">
        <f t="shared" si="2"/>
        <v>56</v>
      </c>
      <c r="EG1" s="66">
        <f t="shared" si="2"/>
        <v>56</v>
      </c>
      <c r="EH1" s="66">
        <f t="shared" si="2"/>
        <v>56</v>
      </c>
      <c r="EI1" s="66">
        <f t="shared" si="2"/>
        <v>56</v>
      </c>
      <c r="EJ1" s="66">
        <f t="shared" si="2"/>
        <v>56</v>
      </c>
      <c r="EK1" s="66">
        <f t="shared" si="2"/>
        <v>56</v>
      </c>
      <c r="EL1" s="66">
        <f t="shared" si="2"/>
        <v>56</v>
      </c>
      <c r="EM1" s="66">
        <f t="shared" si="2"/>
        <v>56</v>
      </c>
      <c r="EN1" s="66">
        <f t="shared" si="2"/>
        <v>56</v>
      </c>
      <c r="EO1" s="66">
        <f t="shared" si="2"/>
        <v>56</v>
      </c>
      <c r="EP1" s="66">
        <f t="shared" si="2"/>
        <v>56</v>
      </c>
      <c r="EQ1" s="66">
        <f t="shared" si="2"/>
        <v>57</v>
      </c>
      <c r="ER1" s="66">
        <f t="shared" si="2"/>
        <v>57</v>
      </c>
      <c r="ES1" s="66">
        <f t="shared" si="2"/>
        <v>57</v>
      </c>
      <c r="ET1" s="66">
        <f t="shared" si="2"/>
        <v>57</v>
      </c>
      <c r="EU1" s="66">
        <f t="shared" si="2"/>
        <v>57</v>
      </c>
      <c r="EV1" s="66">
        <f t="shared" si="2"/>
        <v>57</v>
      </c>
      <c r="EW1" s="66">
        <f t="shared" si="2"/>
        <v>57</v>
      </c>
      <c r="EX1" s="66">
        <f t="shared" si="2"/>
        <v>57</v>
      </c>
      <c r="EY1" s="66">
        <f t="shared" si="2"/>
        <v>57</v>
      </c>
      <c r="EZ1" s="66">
        <f t="shared" si="2"/>
        <v>57</v>
      </c>
      <c r="FA1" s="66">
        <f t="shared" si="2"/>
        <v>57</v>
      </c>
      <c r="FB1" s="66">
        <f t="shared" si="2"/>
        <v>57</v>
      </c>
      <c r="FC1" s="66">
        <f t="shared" si="2"/>
        <v>58</v>
      </c>
      <c r="FD1" s="66">
        <f t="shared" si="2"/>
        <v>58</v>
      </c>
      <c r="FE1" s="66">
        <f t="shared" si="2"/>
        <v>58</v>
      </c>
      <c r="FF1" s="66">
        <f t="shared" si="2"/>
        <v>58</v>
      </c>
      <c r="FG1" s="66">
        <f t="shared" si="2"/>
        <v>58</v>
      </c>
      <c r="FH1" s="66">
        <f t="shared" si="2"/>
        <v>58</v>
      </c>
      <c r="FI1" s="66">
        <f t="shared" si="2"/>
        <v>58</v>
      </c>
      <c r="FJ1" s="66">
        <f t="shared" si="2"/>
        <v>58</v>
      </c>
      <c r="FK1" s="66">
        <f t="shared" si="2"/>
        <v>58</v>
      </c>
      <c r="FL1" s="66">
        <f t="shared" si="2"/>
        <v>58</v>
      </c>
      <c r="FM1" s="66">
        <f t="shared" si="2"/>
        <v>58</v>
      </c>
      <c r="FN1" s="66">
        <f t="shared" si="2"/>
        <v>58</v>
      </c>
      <c r="FO1" s="66">
        <f t="shared" si="2"/>
        <v>59</v>
      </c>
      <c r="FP1" s="66">
        <f t="shared" si="2"/>
        <v>59</v>
      </c>
      <c r="FQ1" s="66">
        <f t="shared" si="2"/>
        <v>59</v>
      </c>
      <c r="FR1" s="66">
        <f t="shared" si="2"/>
        <v>59</v>
      </c>
      <c r="FS1" s="66">
        <f t="shared" si="2"/>
        <v>59</v>
      </c>
      <c r="FT1" s="66">
        <f t="shared" si="2"/>
        <v>59</v>
      </c>
      <c r="FU1" s="66">
        <f t="shared" si="2"/>
        <v>59</v>
      </c>
      <c r="FV1" s="66">
        <f t="shared" si="2"/>
        <v>59</v>
      </c>
      <c r="FW1" s="66">
        <f t="shared" si="2"/>
        <v>59</v>
      </c>
      <c r="FX1" s="66">
        <f t="shared" si="2"/>
        <v>59</v>
      </c>
      <c r="FY1" s="66">
        <f t="shared" si="2"/>
        <v>59</v>
      </c>
      <c r="FZ1" s="66">
        <f t="shared" si="2"/>
        <v>59</v>
      </c>
      <c r="GA1" s="66">
        <f t="shared" si="2"/>
        <v>60</v>
      </c>
      <c r="GB1" s="66">
        <f t="shared" si="2"/>
        <v>60</v>
      </c>
      <c r="GC1" s="66">
        <f t="shared" si="2"/>
        <v>60</v>
      </c>
      <c r="GD1" s="66">
        <f t="shared" si="2"/>
        <v>60</v>
      </c>
      <c r="GE1" s="66">
        <f t="shared" si="2"/>
        <v>60</v>
      </c>
      <c r="GF1" s="66">
        <f t="shared" si="2"/>
        <v>60</v>
      </c>
      <c r="GG1" s="66">
        <f t="shared" si="2"/>
        <v>60</v>
      </c>
      <c r="GH1" s="66">
        <f t="shared" si="2"/>
        <v>60</v>
      </c>
      <c r="GI1" s="66">
        <f t="shared" si="2"/>
        <v>60</v>
      </c>
      <c r="GJ1" s="66">
        <f t="shared" si="2"/>
        <v>60</v>
      </c>
      <c r="GK1" s="66">
        <f t="shared" si="2"/>
        <v>60</v>
      </c>
      <c r="GL1" s="66">
        <f t="shared" si="2"/>
        <v>60</v>
      </c>
      <c r="GM1" s="66">
        <f t="shared" si="2"/>
        <v>61</v>
      </c>
      <c r="GN1" s="66">
        <f t="shared" ref="GN1:IY1" si="3">INT(GN2/12)</f>
        <v>61</v>
      </c>
      <c r="GO1" s="66">
        <f t="shared" si="3"/>
        <v>61</v>
      </c>
      <c r="GP1" s="66">
        <f t="shared" si="3"/>
        <v>61</v>
      </c>
      <c r="GQ1" s="66">
        <f t="shared" si="3"/>
        <v>61</v>
      </c>
      <c r="GR1" s="66">
        <f t="shared" si="3"/>
        <v>61</v>
      </c>
      <c r="GS1" s="66">
        <f t="shared" si="3"/>
        <v>61</v>
      </c>
      <c r="GT1" s="66">
        <f t="shared" si="3"/>
        <v>61</v>
      </c>
      <c r="GU1" s="66">
        <f t="shared" si="3"/>
        <v>61</v>
      </c>
      <c r="GV1" s="66">
        <f t="shared" si="3"/>
        <v>61</v>
      </c>
      <c r="GW1" s="66">
        <f t="shared" si="3"/>
        <v>61</v>
      </c>
      <c r="GX1" s="66">
        <f t="shared" si="3"/>
        <v>61</v>
      </c>
      <c r="GY1" s="66">
        <f t="shared" si="3"/>
        <v>62</v>
      </c>
      <c r="GZ1" s="66">
        <f t="shared" si="3"/>
        <v>62</v>
      </c>
      <c r="HA1" s="66">
        <f t="shared" si="3"/>
        <v>62</v>
      </c>
      <c r="HB1" s="66">
        <f t="shared" si="3"/>
        <v>62</v>
      </c>
      <c r="HC1" s="66">
        <f t="shared" si="3"/>
        <v>62</v>
      </c>
      <c r="HD1" s="66">
        <f t="shared" si="3"/>
        <v>62</v>
      </c>
      <c r="HE1" s="66">
        <f t="shared" si="3"/>
        <v>62</v>
      </c>
      <c r="HF1" s="66">
        <f t="shared" si="3"/>
        <v>62</v>
      </c>
      <c r="HG1" s="66">
        <f t="shared" si="3"/>
        <v>62</v>
      </c>
      <c r="HH1" s="66">
        <f t="shared" si="3"/>
        <v>62</v>
      </c>
      <c r="HI1" s="66">
        <f t="shared" si="3"/>
        <v>62</v>
      </c>
      <c r="HJ1" s="66">
        <f t="shared" si="3"/>
        <v>62</v>
      </c>
      <c r="HK1" s="66">
        <f t="shared" si="3"/>
        <v>63</v>
      </c>
      <c r="HL1" s="66">
        <f t="shared" si="3"/>
        <v>63</v>
      </c>
      <c r="HM1" s="66">
        <f t="shared" si="3"/>
        <v>63</v>
      </c>
      <c r="HN1" s="66">
        <f t="shared" si="3"/>
        <v>63</v>
      </c>
      <c r="HO1" s="66">
        <f t="shared" si="3"/>
        <v>63</v>
      </c>
      <c r="HP1" s="66">
        <f t="shared" si="3"/>
        <v>63</v>
      </c>
      <c r="HQ1" s="66">
        <f t="shared" si="3"/>
        <v>63</v>
      </c>
      <c r="HR1" s="66">
        <f t="shared" si="3"/>
        <v>63</v>
      </c>
      <c r="HS1" s="66">
        <f t="shared" si="3"/>
        <v>63</v>
      </c>
      <c r="HT1" s="66">
        <f t="shared" si="3"/>
        <v>63</v>
      </c>
      <c r="HU1" s="66">
        <f t="shared" si="3"/>
        <v>63</v>
      </c>
      <c r="HV1" s="66">
        <f t="shared" si="3"/>
        <v>63</v>
      </c>
      <c r="HW1" s="66">
        <f t="shared" si="3"/>
        <v>64</v>
      </c>
      <c r="HX1" s="66">
        <f t="shared" si="3"/>
        <v>64</v>
      </c>
      <c r="HY1" s="66">
        <f t="shared" si="3"/>
        <v>64</v>
      </c>
      <c r="HZ1" s="66">
        <f t="shared" si="3"/>
        <v>64</v>
      </c>
      <c r="IA1" s="66">
        <f t="shared" si="3"/>
        <v>64</v>
      </c>
      <c r="IB1" s="66">
        <f t="shared" si="3"/>
        <v>64</v>
      </c>
      <c r="IC1" s="66">
        <f t="shared" si="3"/>
        <v>64</v>
      </c>
      <c r="ID1" s="66">
        <f t="shared" si="3"/>
        <v>64</v>
      </c>
      <c r="IE1" s="66">
        <f t="shared" si="3"/>
        <v>64</v>
      </c>
      <c r="IF1" s="66">
        <f t="shared" si="3"/>
        <v>64</v>
      </c>
      <c r="IG1" s="66">
        <f t="shared" si="3"/>
        <v>64</v>
      </c>
      <c r="IH1" s="66">
        <f t="shared" si="3"/>
        <v>64</v>
      </c>
      <c r="II1" s="66">
        <f t="shared" si="3"/>
        <v>65</v>
      </c>
      <c r="IJ1" s="66">
        <f t="shared" si="3"/>
        <v>65</v>
      </c>
      <c r="IK1" s="66">
        <f t="shared" si="3"/>
        <v>65</v>
      </c>
      <c r="IL1" s="66">
        <f t="shared" si="3"/>
        <v>65</v>
      </c>
      <c r="IM1" s="66">
        <f t="shared" si="3"/>
        <v>65</v>
      </c>
      <c r="IN1" s="66">
        <f t="shared" si="3"/>
        <v>65</v>
      </c>
      <c r="IO1" s="66">
        <f t="shared" si="3"/>
        <v>65</v>
      </c>
      <c r="IP1" s="66">
        <f t="shared" si="3"/>
        <v>65</v>
      </c>
      <c r="IQ1" s="66">
        <f t="shared" si="3"/>
        <v>65</v>
      </c>
      <c r="IR1" s="66">
        <f t="shared" si="3"/>
        <v>65</v>
      </c>
      <c r="IS1" s="66">
        <f t="shared" si="3"/>
        <v>65</v>
      </c>
      <c r="IT1" s="66">
        <f t="shared" si="3"/>
        <v>65</v>
      </c>
      <c r="IU1" s="66">
        <f t="shared" si="3"/>
        <v>66</v>
      </c>
      <c r="IV1" s="66">
        <f t="shared" si="3"/>
        <v>66</v>
      </c>
      <c r="IW1" s="66">
        <f t="shared" si="3"/>
        <v>66</v>
      </c>
      <c r="IX1" s="66">
        <f t="shared" si="3"/>
        <v>66</v>
      </c>
      <c r="IY1" s="66">
        <f t="shared" si="3"/>
        <v>66</v>
      </c>
      <c r="IZ1" s="66">
        <f t="shared" ref="IZ1:LB1" si="4">INT(IZ2/12)</f>
        <v>66</v>
      </c>
      <c r="JA1" s="66">
        <f t="shared" si="4"/>
        <v>66</v>
      </c>
      <c r="JB1" s="66">
        <f t="shared" si="4"/>
        <v>66</v>
      </c>
      <c r="JC1" s="66">
        <f t="shared" si="4"/>
        <v>66</v>
      </c>
      <c r="JD1" s="66">
        <f t="shared" si="4"/>
        <v>66</v>
      </c>
      <c r="JE1" s="66">
        <f t="shared" si="4"/>
        <v>66</v>
      </c>
      <c r="JF1" s="66">
        <f t="shared" si="4"/>
        <v>66</v>
      </c>
      <c r="JG1" s="66">
        <f t="shared" si="4"/>
        <v>67</v>
      </c>
      <c r="JH1" s="66">
        <f t="shared" si="4"/>
        <v>67</v>
      </c>
      <c r="JI1" s="66">
        <f t="shared" si="4"/>
        <v>67</v>
      </c>
      <c r="JJ1" s="66">
        <f t="shared" si="4"/>
        <v>67</v>
      </c>
      <c r="JK1" s="66">
        <f t="shared" si="4"/>
        <v>67</v>
      </c>
      <c r="JL1" s="66">
        <f t="shared" si="4"/>
        <v>67</v>
      </c>
      <c r="JM1" s="66">
        <f t="shared" si="4"/>
        <v>67</v>
      </c>
      <c r="JN1" s="66">
        <f t="shared" si="4"/>
        <v>67</v>
      </c>
      <c r="JO1" s="66">
        <f t="shared" si="4"/>
        <v>67</v>
      </c>
      <c r="JP1" s="66">
        <f t="shared" si="4"/>
        <v>67</v>
      </c>
      <c r="JQ1" s="66">
        <f t="shared" si="4"/>
        <v>67</v>
      </c>
      <c r="JR1" s="66">
        <f t="shared" si="4"/>
        <v>67</v>
      </c>
      <c r="JS1" s="66">
        <f t="shared" si="4"/>
        <v>68</v>
      </c>
      <c r="JT1" s="66">
        <f t="shared" si="4"/>
        <v>68</v>
      </c>
      <c r="JU1" s="66">
        <f t="shared" si="4"/>
        <v>68</v>
      </c>
      <c r="JV1" s="66">
        <f t="shared" si="4"/>
        <v>68</v>
      </c>
      <c r="JW1" s="66">
        <f t="shared" si="4"/>
        <v>68</v>
      </c>
      <c r="JX1" s="66">
        <f t="shared" si="4"/>
        <v>68</v>
      </c>
      <c r="JY1" s="66">
        <f t="shared" si="4"/>
        <v>68</v>
      </c>
      <c r="JZ1" s="66">
        <f t="shared" si="4"/>
        <v>68</v>
      </c>
      <c r="KA1" s="66">
        <f t="shared" si="4"/>
        <v>68</v>
      </c>
      <c r="KB1" s="66">
        <f t="shared" si="4"/>
        <v>68</v>
      </c>
      <c r="KC1" s="66">
        <f t="shared" si="4"/>
        <v>68</v>
      </c>
      <c r="KD1" s="66">
        <f t="shared" si="4"/>
        <v>68</v>
      </c>
      <c r="KE1" s="66">
        <f t="shared" si="4"/>
        <v>69</v>
      </c>
      <c r="KF1" s="66">
        <f t="shared" si="4"/>
        <v>69</v>
      </c>
      <c r="KG1" s="66">
        <f t="shared" si="4"/>
        <v>69</v>
      </c>
      <c r="KH1" s="66">
        <f t="shared" si="4"/>
        <v>69</v>
      </c>
      <c r="KI1" s="66">
        <f t="shared" si="4"/>
        <v>69</v>
      </c>
      <c r="KJ1" s="66">
        <f t="shared" si="4"/>
        <v>69</v>
      </c>
      <c r="KK1" s="66">
        <f t="shared" si="4"/>
        <v>69</v>
      </c>
      <c r="KL1" s="66">
        <f t="shared" si="4"/>
        <v>69</v>
      </c>
      <c r="KM1" s="66">
        <f t="shared" si="4"/>
        <v>69</v>
      </c>
      <c r="KN1" s="66">
        <f t="shared" si="4"/>
        <v>69</v>
      </c>
      <c r="KO1" s="66">
        <f t="shared" si="4"/>
        <v>69</v>
      </c>
      <c r="KP1" s="66">
        <f t="shared" si="4"/>
        <v>69</v>
      </c>
      <c r="KQ1" s="66">
        <f t="shared" si="4"/>
        <v>70</v>
      </c>
      <c r="KR1" s="66">
        <f t="shared" si="4"/>
        <v>70</v>
      </c>
      <c r="KS1" s="66">
        <f t="shared" si="4"/>
        <v>70</v>
      </c>
      <c r="KT1" s="66">
        <f t="shared" si="4"/>
        <v>70</v>
      </c>
      <c r="KU1" s="66">
        <f t="shared" si="4"/>
        <v>70</v>
      </c>
      <c r="KV1" s="66">
        <f t="shared" si="4"/>
        <v>70</v>
      </c>
      <c r="KW1" s="66">
        <f t="shared" si="4"/>
        <v>70</v>
      </c>
      <c r="KX1" s="66">
        <f t="shared" si="4"/>
        <v>70</v>
      </c>
      <c r="KY1" s="66">
        <f t="shared" si="4"/>
        <v>70</v>
      </c>
      <c r="KZ1" s="66">
        <f t="shared" si="4"/>
        <v>70</v>
      </c>
      <c r="LA1" s="66">
        <f t="shared" si="4"/>
        <v>70</v>
      </c>
      <c r="LB1" s="66">
        <f t="shared" si="4"/>
        <v>70</v>
      </c>
      <c r="LC1" s="66">
        <f>INT(LC2/12)</f>
        <v>71</v>
      </c>
      <c r="LD1" s="66">
        <f>INT(LD2/12)</f>
        <v>71</v>
      </c>
      <c r="LE1" s="66">
        <f t="shared" ref="LE1:NJ1" si="5">INT(LE2/12)</f>
        <v>71</v>
      </c>
      <c r="LF1" s="66">
        <f t="shared" si="5"/>
        <v>71</v>
      </c>
      <c r="LG1" s="66">
        <f t="shared" si="5"/>
        <v>71</v>
      </c>
      <c r="LH1" s="66">
        <f t="shared" si="5"/>
        <v>71</v>
      </c>
      <c r="LI1" s="66">
        <f t="shared" si="5"/>
        <v>71</v>
      </c>
      <c r="LJ1" s="66">
        <f t="shared" si="5"/>
        <v>71</v>
      </c>
      <c r="LK1" s="66">
        <f t="shared" si="5"/>
        <v>71</v>
      </c>
      <c r="LL1" s="66">
        <f t="shared" si="5"/>
        <v>71</v>
      </c>
      <c r="LM1" s="66">
        <f t="shared" si="5"/>
        <v>71</v>
      </c>
      <c r="LN1" s="66">
        <f t="shared" si="5"/>
        <v>71</v>
      </c>
      <c r="LO1" s="66">
        <f t="shared" si="5"/>
        <v>72</v>
      </c>
      <c r="LP1" s="66">
        <f t="shared" si="5"/>
        <v>72</v>
      </c>
      <c r="LQ1" s="66">
        <f t="shared" si="5"/>
        <v>72</v>
      </c>
      <c r="LR1" s="66">
        <f t="shared" si="5"/>
        <v>72</v>
      </c>
      <c r="LS1" s="66">
        <f t="shared" si="5"/>
        <v>72</v>
      </c>
      <c r="LT1" s="66">
        <f t="shared" si="5"/>
        <v>72</v>
      </c>
      <c r="LU1" s="66">
        <f t="shared" si="5"/>
        <v>72</v>
      </c>
      <c r="LV1" s="66">
        <f t="shared" si="5"/>
        <v>72</v>
      </c>
      <c r="LW1" s="66">
        <f t="shared" si="5"/>
        <v>72</v>
      </c>
      <c r="LX1" s="66">
        <f t="shared" si="5"/>
        <v>72</v>
      </c>
      <c r="LY1" s="66">
        <f t="shared" si="5"/>
        <v>72</v>
      </c>
      <c r="LZ1" s="66">
        <f t="shared" si="5"/>
        <v>72</v>
      </c>
      <c r="MA1" s="66">
        <f t="shared" si="5"/>
        <v>73</v>
      </c>
      <c r="MB1" s="66">
        <f t="shared" si="5"/>
        <v>73</v>
      </c>
      <c r="MC1" s="66">
        <f t="shared" si="5"/>
        <v>73</v>
      </c>
      <c r="MD1" s="66">
        <f t="shared" si="5"/>
        <v>73</v>
      </c>
      <c r="ME1" s="66">
        <f t="shared" si="5"/>
        <v>73</v>
      </c>
      <c r="MF1" s="66">
        <f t="shared" si="5"/>
        <v>73</v>
      </c>
      <c r="MG1" s="66">
        <f t="shared" si="5"/>
        <v>73</v>
      </c>
      <c r="MH1" s="66">
        <f t="shared" si="5"/>
        <v>73</v>
      </c>
      <c r="MI1" s="66">
        <f t="shared" si="5"/>
        <v>73</v>
      </c>
      <c r="MJ1" s="66">
        <f t="shared" si="5"/>
        <v>73</v>
      </c>
      <c r="MK1" s="66">
        <f t="shared" si="5"/>
        <v>73</v>
      </c>
      <c r="ML1" s="66">
        <f t="shared" si="5"/>
        <v>73</v>
      </c>
      <c r="MM1" s="66">
        <f t="shared" si="5"/>
        <v>74</v>
      </c>
      <c r="MN1" s="66">
        <f t="shared" si="5"/>
        <v>74</v>
      </c>
      <c r="MO1" s="66">
        <f t="shared" si="5"/>
        <v>74</v>
      </c>
      <c r="MP1" s="66">
        <f t="shared" si="5"/>
        <v>74</v>
      </c>
      <c r="MQ1" s="66">
        <f t="shared" si="5"/>
        <v>74</v>
      </c>
      <c r="MR1" s="66">
        <f t="shared" si="5"/>
        <v>74</v>
      </c>
      <c r="MS1" s="66">
        <f t="shared" si="5"/>
        <v>74</v>
      </c>
      <c r="MT1" s="66">
        <f t="shared" si="5"/>
        <v>74</v>
      </c>
      <c r="MU1" s="66">
        <f t="shared" si="5"/>
        <v>74</v>
      </c>
      <c r="MV1" s="66">
        <f t="shared" si="5"/>
        <v>74</v>
      </c>
      <c r="MW1" s="66">
        <f t="shared" si="5"/>
        <v>74</v>
      </c>
      <c r="MX1" s="66">
        <f t="shared" si="5"/>
        <v>74</v>
      </c>
      <c r="MY1" s="66">
        <f t="shared" si="5"/>
        <v>75</v>
      </c>
      <c r="MZ1" s="66">
        <f t="shared" si="5"/>
        <v>75</v>
      </c>
      <c r="NA1" s="66">
        <f t="shared" si="5"/>
        <v>75</v>
      </c>
      <c r="NB1" s="66">
        <f t="shared" si="5"/>
        <v>75</v>
      </c>
      <c r="NC1" s="66">
        <f t="shared" si="5"/>
        <v>75</v>
      </c>
      <c r="ND1" s="66">
        <f t="shared" si="5"/>
        <v>75</v>
      </c>
      <c r="NE1" s="66">
        <f t="shared" si="5"/>
        <v>75</v>
      </c>
      <c r="NF1" s="66">
        <f t="shared" si="5"/>
        <v>75</v>
      </c>
      <c r="NG1" s="66">
        <f t="shared" si="5"/>
        <v>75</v>
      </c>
      <c r="NH1" s="66">
        <f t="shared" si="5"/>
        <v>75</v>
      </c>
      <c r="NI1" s="66">
        <f t="shared" si="5"/>
        <v>75</v>
      </c>
      <c r="NJ1" s="66">
        <f t="shared" si="5"/>
        <v>75</v>
      </c>
      <c r="NK1" s="66"/>
      <c r="NL1" s="66"/>
    </row>
    <row r="2" spans="1:376" ht="16.2" thickBot="1" x14ac:dyDescent="0.35">
      <c r="A2" s="67" t="s">
        <v>2</v>
      </c>
      <c r="B2" s="353"/>
      <c r="C2" s="68">
        <f>45*12</f>
        <v>540</v>
      </c>
      <c r="D2" s="68">
        <f>IF((C2/12)&lt;71,C2+1,0)</f>
        <v>541</v>
      </c>
      <c r="E2" s="68">
        <f t="shared" ref="E2:BP2" si="6">IF((D2/12)&lt;71,D2+1,0)</f>
        <v>542</v>
      </c>
      <c r="F2" s="68">
        <f t="shared" si="6"/>
        <v>543</v>
      </c>
      <c r="G2" s="68">
        <f t="shared" si="6"/>
        <v>544</v>
      </c>
      <c r="H2" s="68">
        <f t="shared" si="6"/>
        <v>545</v>
      </c>
      <c r="I2" s="68">
        <f t="shared" si="6"/>
        <v>546</v>
      </c>
      <c r="J2" s="68">
        <f t="shared" si="6"/>
        <v>547</v>
      </c>
      <c r="K2" s="68">
        <f t="shared" si="6"/>
        <v>548</v>
      </c>
      <c r="L2" s="68">
        <f t="shared" si="6"/>
        <v>549</v>
      </c>
      <c r="M2" s="68">
        <f t="shared" si="6"/>
        <v>550</v>
      </c>
      <c r="N2" s="68">
        <f t="shared" si="6"/>
        <v>551</v>
      </c>
      <c r="O2" s="68">
        <f t="shared" si="6"/>
        <v>552</v>
      </c>
      <c r="P2" s="68">
        <f t="shared" si="6"/>
        <v>553</v>
      </c>
      <c r="Q2" s="68">
        <f t="shared" si="6"/>
        <v>554</v>
      </c>
      <c r="R2" s="68">
        <f t="shared" si="6"/>
        <v>555</v>
      </c>
      <c r="S2" s="68">
        <f t="shared" si="6"/>
        <v>556</v>
      </c>
      <c r="T2" s="68">
        <f t="shared" si="6"/>
        <v>557</v>
      </c>
      <c r="U2" s="68">
        <f t="shared" si="6"/>
        <v>558</v>
      </c>
      <c r="V2" s="68">
        <f t="shared" si="6"/>
        <v>559</v>
      </c>
      <c r="W2" s="68">
        <f t="shared" si="6"/>
        <v>560</v>
      </c>
      <c r="X2" s="68">
        <f t="shared" si="6"/>
        <v>561</v>
      </c>
      <c r="Y2" s="68">
        <f t="shared" si="6"/>
        <v>562</v>
      </c>
      <c r="Z2" s="68">
        <f t="shared" si="6"/>
        <v>563</v>
      </c>
      <c r="AA2" s="68">
        <f t="shared" si="6"/>
        <v>564</v>
      </c>
      <c r="AB2" s="68">
        <f t="shared" si="6"/>
        <v>565</v>
      </c>
      <c r="AC2" s="68">
        <f t="shared" si="6"/>
        <v>566</v>
      </c>
      <c r="AD2" s="68">
        <f t="shared" si="6"/>
        <v>567</v>
      </c>
      <c r="AE2" s="68">
        <f t="shared" si="6"/>
        <v>568</v>
      </c>
      <c r="AF2" s="68">
        <f t="shared" si="6"/>
        <v>569</v>
      </c>
      <c r="AG2" s="68">
        <f t="shared" si="6"/>
        <v>570</v>
      </c>
      <c r="AH2" s="68">
        <f t="shared" si="6"/>
        <v>571</v>
      </c>
      <c r="AI2" s="68">
        <f t="shared" si="6"/>
        <v>572</v>
      </c>
      <c r="AJ2" s="68">
        <f t="shared" si="6"/>
        <v>573</v>
      </c>
      <c r="AK2" s="68">
        <f t="shared" si="6"/>
        <v>574</v>
      </c>
      <c r="AL2" s="68">
        <f t="shared" si="6"/>
        <v>575</v>
      </c>
      <c r="AM2" s="68">
        <f t="shared" si="6"/>
        <v>576</v>
      </c>
      <c r="AN2" s="68">
        <f t="shared" si="6"/>
        <v>577</v>
      </c>
      <c r="AO2" s="68">
        <f t="shared" si="6"/>
        <v>578</v>
      </c>
      <c r="AP2" s="68">
        <f t="shared" si="6"/>
        <v>579</v>
      </c>
      <c r="AQ2" s="68">
        <f t="shared" si="6"/>
        <v>580</v>
      </c>
      <c r="AR2" s="68">
        <f t="shared" si="6"/>
        <v>581</v>
      </c>
      <c r="AS2" s="68">
        <f t="shared" si="6"/>
        <v>582</v>
      </c>
      <c r="AT2" s="68">
        <f t="shared" si="6"/>
        <v>583</v>
      </c>
      <c r="AU2" s="68">
        <f t="shared" si="6"/>
        <v>584</v>
      </c>
      <c r="AV2" s="68">
        <f t="shared" si="6"/>
        <v>585</v>
      </c>
      <c r="AW2" s="68">
        <f t="shared" si="6"/>
        <v>586</v>
      </c>
      <c r="AX2" s="68">
        <f t="shared" si="6"/>
        <v>587</v>
      </c>
      <c r="AY2" s="68">
        <f t="shared" si="6"/>
        <v>588</v>
      </c>
      <c r="AZ2" s="68">
        <f t="shared" si="6"/>
        <v>589</v>
      </c>
      <c r="BA2" s="68">
        <f t="shared" si="6"/>
        <v>590</v>
      </c>
      <c r="BB2" s="68">
        <f t="shared" si="6"/>
        <v>591</v>
      </c>
      <c r="BC2" s="68">
        <f t="shared" si="6"/>
        <v>592</v>
      </c>
      <c r="BD2" s="68">
        <f t="shared" si="6"/>
        <v>593</v>
      </c>
      <c r="BE2" s="68">
        <f t="shared" si="6"/>
        <v>594</v>
      </c>
      <c r="BF2" s="68">
        <f t="shared" si="6"/>
        <v>595</v>
      </c>
      <c r="BG2" s="68">
        <f t="shared" si="6"/>
        <v>596</v>
      </c>
      <c r="BH2" s="68">
        <f t="shared" si="6"/>
        <v>597</v>
      </c>
      <c r="BI2" s="68">
        <f t="shared" si="6"/>
        <v>598</v>
      </c>
      <c r="BJ2" s="68">
        <f t="shared" si="6"/>
        <v>599</v>
      </c>
      <c r="BK2" s="68">
        <f t="shared" si="6"/>
        <v>600</v>
      </c>
      <c r="BL2" s="68">
        <f t="shared" si="6"/>
        <v>601</v>
      </c>
      <c r="BM2" s="68">
        <f t="shared" si="6"/>
        <v>602</v>
      </c>
      <c r="BN2" s="68">
        <f t="shared" si="6"/>
        <v>603</v>
      </c>
      <c r="BO2" s="68">
        <f t="shared" si="6"/>
        <v>604</v>
      </c>
      <c r="BP2" s="68">
        <f t="shared" si="6"/>
        <v>605</v>
      </c>
      <c r="BQ2" s="68">
        <f t="shared" ref="BQ2:EB2" si="7">IF((BP2/12)&lt;71,BP2+1,0)</f>
        <v>606</v>
      </c>
      <c r="BR2" s="68">
        <f t="shared" si="7"/>
        <v>607</v>
      </c>
      <c r="BS2" s="68">
        <f t="shared" si="7"/>
        <v>608</v>
      </c>
      <c r="BT2" s="68">
        <f t="shared" si="7"/>
        <v>609</v>
      </c>
      <c r="BU2" s="68">
        <f t="shared" si="7"/>
        <v>610</v>
      </c>
      <c r="BV2" s="68">
        <f t="shared" si="7"/>
        <v>611</v>
      </c>
      <c r="BW2" s="68">
        <f t="shared" si="7"/>
        <v>612</v>
      </c>
      <c r="BX2" s="68">
        <f t="shared" si="7"/>
        <v>613</v>
      </c>
      <c r="BY2" s="68">
        <f t="shared" si="7"/>
        <v>614</v>
      </c>
      <c r="BZ2" s="68">
        <f t="shared" si="7"/>
        <v>615</v>
      </c>
      <c r="CA2" s="68">
        <f t="shared" si="7"/>
        <v>616</v>
      </c>
      <c r="CB2" s="68">
        <f t="shared" si="7"/>
        <v>617</v>
      </c>
      <c r="CC2" s="68">
        <f t="shared" si="7"/>
        <v>618</v>
      </c>
      <c r="CD2" s="68">
        <f t="shared" si="7"/>
        <v>619</v>
      </c>
      <c r="CE2" s="68">
        <f t="shared" si="7"/>
        <v>620</v>
      </c>
      <c r="CF2" s="68">
        <f t="shared" si="7"/>
        <v>621</v>
      </c>
      <c r="CG2" s="68">
        <f t="shared" si="7"/>
        <v>622</v>
      </c>
      <c r="CH2" s="68">
        <f t="shared" si="7"/>
        <v>623</v>
      </c>
      <c r="CI2" s="68">
        <f t="shared" si="7"/>
        <v>624</v>
      </c>
      <c r="CJ2" s="68">
        <f t="shared" si="7"/>
        <v>625</v>
      </c>
      <c r="CK2" s="68">
        <f t="shared" si="7"/>
        <v>626</v>
      </c>
      <c r="CL2" s="68">
        <f t="shared" si="7"/>
        <v>627</v>
      </c>
      <c r="CM2" s="68">
        <f t="shared" si="7"/>
        <v>628</v>
      </c>
      <c r="CN2" s="68">
        <f t="shared" si="7"/>
        <v>629</v>
      </c>
      <c r="CO2" s="68">
        <f t="shared" si="7"/>
        <v>630</v>
      </c>
      <c r="CP2" s="68">
        <f t="shared" si="7"/>
        <v>631</v>
      </c>
      <c r="CQ2" s="68">
        <f t="shared" si="7"/>
        <v>632</v>
      </c>
      <c r="CR2" s="68">
        <f t="shared" si="7"/>
        <v>633</v>
      </c>
      <c r="CS2" s="68">
        <f t="shared" si="7"/>
        <v>634</v>
      </c>
      <c r="CT2" s="68">
        <f t="shared" si="7"/>
        <v>635</v>
      </c>
      <c r="CU2" s="68">
        <f t="shared" si="7"/>
        <v>636</v>
      </c>
      <c r="CV2" s="68">
        <f t="shared" si="7"/>
        <v>637</v>
      </c>
      <c r="CW2" s="68">
        <f t="shared" si="7"/>
        <v>638</v>
      </c>
      <c r="CX2" s="68">
        <f t="shared" si="7"/>
        <v>639</v>
      </c>
      <c r="CY2" s="68">
        <f t="shared" si="7"/>
        <v>640</v>
      </c>
      <c r="CZ2" s="68">
        <f t="shared" si="7"/>
        <v>641</v>
      </c>
      <c r="DA2" s="68">
        <f t="shared" si="7"/>
        <v>642</v>
      </c>
      <c r="DB2" s="68">
        <f t="shared" si="7"/>
        <v>643</v>
      </c>
      <c r="DC2" s="68">
        <f t="shared" si="7"/>
        <v>644</v>
      </c>
      <c r="DD2" s="68">
        <f t="shared" si="7"/>
        <v>645</v>
      </c>
      <c r="DE2" s="68">
        <f t="shared" si="7"/>
        <v>646</v>
      </c>
      <c r="DF2" s="68">
        <f t="shared" si="7"/>
        <v>647</v>
      </c>
      <c r="DG2" s="68">
        <f t="shared" si="7"/>
        <v>648</v>
      </c>
      <c r="DH2" s="68">
        <f t="shared" si="7"/>
        <v>649</v>
      </c>
      <c r="DI2" s="68">
        <f t="shared" si="7"/>
        <v>650</v>
      </c>
      <c r="DJ2" s="68">
        <f t="shared" si="7"/>
        <v>651</v>
      </c>
      <c r="DK2" s="68">
        <f t="shared" si="7"/>
        <v>652</v>
      </c>
      <c r="DL2" s="68">
        <f t="shared" si="7"/>
        <v>653</v>
      </c>
      <c r="DM2" s="68">
        <f t="shared" si="7"/>
        <v>654</v>
      </c>
      <c r="DN2" s="68">
        <f t="shared" si="7"/>
        <v>655</v>
      </c>
      <c r="DO2" s="68">
        <f t="shared" si="7"/>
        <v>656</v>
      </c>
      <c r="DP2" s="68">
        <f t="shared" si="7"/>
        <v>657</v>
      </c>
      <c r="DQ2" s="68">
        <f t="shared" si="7"/>
        <v>658</v>
      </c>
      <c r="DR2" s="68">
        <f t="shared" si="7"/>
        <v>659</v>
      </c>
      <c r="DS2" s="68">
        <f t="shared" si="7"/>
        <v>660</v>
      </c>
      <c r="DT2" s="68">
        <f t="shared" si="7"/>
        <v>661</v>
      </c>
      <c r="DU2" s="68">
        <f t="shared" si="7"/>
        <v>662</v>
      </c>
      <c r="DV2" s="68">
        <f t="shared" si="7"/>
        <v>663</v>
      </c>
      <c r="DW2" s="68">
        <f t="shared" si="7"/>
        <v>664</v>
      </c>
      <c r="DX2" s="68">
        <f t="shared" si="7"/>
        <v>665</v>
      </c>
      <c r="DY2" s="68">
        <f t="shared" si="7"/>
        <v>666</v>
      </c>
      <c r="DZ2" s="68">
        <f t="shared" si="7"/>
        <v>667</v>
      </c>
      <c r="EA2" s="68">
        <f t="shared" si="7"/>
        <v>668</v>
      </c>
      <c r="EB2" s="68">
        <f t="shared" si="7"/>
        <v>669</v>
      </c>
      <c r="EC2" s="68">
        <f t="shared" ref="EC2:GN2" si="8">IF((EB2/12)&lt;71,EB2+1,0)</f>
        <v>670</v>
      </c>
      <c r="ED2" s="68">
        <f t="shared" si="8"/>
        <v>671</v>
      </c>
      <c r="EE2" s="68">
        <f t="shared" si="8"/>
        <v>672</v>
      </c>
      <c r="EF2" s="68">
        <f t="shared" si="8"/>
        <v>673</v>
      </c>
      <c r="EG2" s="68">
        <f t="shared" si="8"/>
        <v>674</v>
      </c>
      <c r="EH2" s="68">
        <f t="shared" si="8"/>
        <v>675</v>
      </c>
      <c r="EI2" s="68">
        <f t="shared" si="8"/>
        <v>676</v>
      </c>
      <c r="EJ2" s="68">
        <f t="shared" si="8"/>
        <v>677</v>
      </c>
      <c r="EK2" s="68">
        <f t="shared" si="8"/>
        <v>678</v>
      </c>
      <c r="EL2" s="68">
        <f t="shared" si="8"/>
        <v>679</v>
      </c>
      <c r="EM2" s="68">
        <f t="shared" si="8"/>
        <v>680</v>
      </c>
      <c r="EN2" s="68">
        <f t="shared" si="8"/>
        <v>681</v>
      </c>
      <c r="EO2" s="68">
        <f t="shared" si="8"/>
        <v>682</v>
      </c>
      <c r="EP2" s="68">
        <f t="shared" si="8"/>
        <v>683</v>
      </c>
      <c r="EQ2" s="68">
        <f t="shared" si="8"/>
        <v>684</v>
      </c>
      <c r="ER2" s="68">
        <f t="shared" si="8"/>
        <v>685</v>
      </c>
      <c r="ES2" s="68">
        <f t="shared" si="8"/>
        <v>686</v>
      </c>
      <c r="ET2" s="68">
        <f t="shared" si="8"/>
        <v>687</v>
      </c>
      <c r="EU2" s="68">
        <f t="shared" si="8"/>
        <v>688</v>
      </c>
      <c r="EV2" s="68">
        <f t="shared" si="8"/>
        <v>689</v>
      </c>
      <c r="EW2" s="68">
        <f t="shared" si="8"/>
        <v>690</v>
      </c>
      <c r="EX2" s="68">
        <f t="shared" si="8"/>
        <v>691</v>
      </c>
      <c r="EY2" s="68">
        <f t="shared" si="8"/>
        <v>692</v>
      </c>
      <c r="EZ2" s="68">
        <f t="shared" si="8"/>
        <v>693</v>
      </c>
      <c r="FA2" s="68">
        <f t="shared" si="8"/>
        <v>694</v>
      </c>
      <c r="FB2" s="68">
        <f t="shared" si="8"/>
        <v>695</v>
      </c>
      <c r="FC2" s="68">
        <f t="shared" si="8"/>
        <v>696</v>
      </c>
      <c r="FD2" s="68">
        <f t="shared" si="8"/>
        <v>697</v>
      </c>
      <c r="FE2" s="68">
        <f t="shared" si="8"/>
        <v>698</v>
      </c>
      <c r="FF2" s="68">
        <f t="shared" si="8"/>
        <v>699</v>
      </c>
      <c r="FG2" s="68">
        <f t="shared" si="8"/>
        <v>700</v>
      </c>
      <c r="FH2" s="68">
        <f t="shared" si="8"/>
        <v>701</v>
      </c>
      <c r="FI2" s="68">
        <f t="shared" si="8"/>
        <v>702</v>
      </c>
      <c r="FJ2" s="68">
        <f t="shared" si="8"/>
        <v>703</v>
      </c>
      <c r="FK2" s="68">
        <f t="shared" si="8"/>
        <v>704</v>
      </c>
      <c r="FL2" s="68">
        <f t="shared" si="8"/>
        <v>705</v>
      </c>
      <c r="FM2" s="68">
        <f t="shared" si="8"/>
        <v>706</v>
      </c>
      <c r="FN2" s="68">
        <f t="shared" si="8"/>
        <v>707</v>
      </c>
      <c r="FO2" s="68">
        <f t="shared" si="8"/>
        <v>708</v>
      </c>
      <c r="FP2" s="68">
        <f t="shared" si="8"/>
        <v>709</v>
      </c>
      <c r="FQ2" s="68">
        <f t="shared" si="8"/>
        <v>710</v>
      </c>
      <c r="FR2" s="68">
        <f t="shared" si="8"/>
        <v>711</v>
      </c>
      <c r="FS2" s="68">
        <f t="shared" si="8"/>
        <v>712</v>
      </c>
      <c r="FT2" s="68">
        <f t="shared" si="8"/>
        <v>713</v>
      </c>
      <c r="FU2" s="68">
        <f t="shared" si="8"/>
        <v>714</v>
      </c>
      <c r="FV2" s="68">
        <f t="shared" si="8"/>
        <v>715</v>
      </c>
      <c r="FW2" s="68">
        <f t="shared" si="8"/>
        <v>716</v>
      </c>
      <c r="FX2" s="68">
        <f t="shared" si="8"/>
        <v>717</v>
      </c>
      <c r="FY2" s="68">
        <f t="shared" si="8"/>
        <v>718</v>
      </c>
      <c r="FZ2" s="68">
        <f t="shared" si="8"/>
        <v>719</v>
      </c>
      <c r="GA2" s="68">
        <f t="shared" si="8"/>
        <v>720</v>
      </c>
      <c r="GB2" s="68">
        <f t="shared" si="8"/>
        <v>721</v>
      </c>
      <c r="GC2" s="68">
        <f t="shared" si="8"/>
        <v>722</v>
      </c>
      <c r="GD2" s="68">
        <f t="shared" si="8"/>
        <v>723</v>
      </c>
      <c r="GE2" s="68">
        <f t="shared" si="8"/>
        <v>724</v>
      </c>
      <c r="GF2" s="68">
        <f t="shared" si="8"/>
        <v>725</v>
      </c>
      <c r="GG2" s="68">
        <f t="shared" si="8"/>
        <v>726</v>
      </c>
      <c r="GH2" s="68">
        <f t="shared" si="8"/>
        <v>727</v>
      </c>
      <c r="GI2" s="68">
        <f t="shared" si="8"/>
        <v>728</v>
      </c>
      <c r="GJ2" s="68">
        <f t="shared" si="8"/>
        <v>729</v>
      </c>
      <c r="GK2" s="68">
        <f t="shared" si="8"/>
        <v>730</v>
      </c>
      <c r="GL2" s="68">
        <f t="shared" si="8"/>
        <v>731</v>
      </c>
      <c r="GM2" s="68">
        <f t="shared" si="8"/>
        <v>732</v>
      </c>
      <c r="GN2" s="68">
        <f t="shared" si="8"/>
        <v>733</v>
      </c>
      <c r="GO2" s="68">
        <f t="shared" ref="GO2:IZ2" si="9">IF((GN2/12)&lt;71,GN2+1,0)</f>
        <v>734</v>
      </c>
      <c r="GP2" s="68">
        <f t="shared" si="9"/>
        <v>735</v>
      </c>
      <c r="GQ2" s="68">
        <f t="shared" si="9"/>
        <v>736</v>
      </c>
      <c r="GR2" s="68">
        <f t="shared" si="9"/>
        <v>737</v>
      </c>
      <c r="GS2" s="68">
        <f t="shared" si="9"/>
        <v>738</v>
      </c>
      <c r="GT2" s="68">
        <f t="shared" si="9"/>
        <v>739</v>
      </c>
      <c r="GU2" s="68">
        <f t="shared" si="9"/>
        <v>740</v>
      </c>
      <c r="GV2" s="68">
        <f t="shared" si="9"/>
        <v>741</v>
      </c>
      <c r="GW2" s="68">
        <f t="shared" si="9"/>
        <v>742</v>
      </c>
      <c r="GX2" s="68">
        <f t="shared" si="9"/>
        <v>743</v>
      </c>
      <c r="GY2" s="68">
        <f t="shared" si="9"/>
        <v>744</v>
      </c>
      <c r="GZ2" s="68">
        <f t="shared" si="9"/>
        <v>745</v>
      </c>
      <c r="HA2" s="68">
        <f t="shared" si="9"/>
        <v>746</v>
      </c>
      <c r="HB2" s="68">
        <f t="shared" si="9"/>
        <v>747</v>
      </c>
      <c r="HC2" s="68">
        <f t="shared" si="9"/>
        <v>748</v>
      </c>
      <c r="HD2" s="68">
        <f t="shared" si="9"/>
        <v>749</v>
      </c>
      <c r="HE2" s="68">
        <f t="shared" si="9"/>
        <v>750</v>
      </c>
      <c r="HF2" s="68">
        <f t="shared" si="9"/>
        <v>751</v>
      </c>
      <c r="HG2" s="68">
        <f t="shared" si="9"/>
        <v>752</v>
      </c>
      <c r="HH2" s="68">
        <f t="shared" si="9"/>
        <v>753</v>
      </c>
      <c r="HI2" s="68">
        <f t="shared" si="9"/>
        <v>754</v>
      </c>
      <c r="HJ2" s="68">
        <f t="shared" si="9"/>
        <v>755</v>
      </c>
      <c r="HK2" s="68">
        <f t="shared" si="9"/>
        <v>756</v>
      </c>
      <c r="HL2" s="68">
        <f t="shared" si="9"/>
        <v>757</v>
      </c>
      <c r="HM2" s="68">
        <f t="shared" si="9"/>
        <v>758</v>
      </c>
      <c r="HN2" s="68">
        <f t="shared" si="9"/>
        <v>759</v>
      </c>
      <c r="HO2" s="68">
        <f t="shared" si="9"/>
        <v>760</v>
      </c>
      <c r="HP2" s="68">
        <f t="shared" si="9"/>
        <v>761</v>
      </c>
      <c r="HQ2" s="68">
        <f t="shared" si="9"/>
        <v>762</v>
      </c>
      <c r="HR2" s="68">
        <f t="shared" si="9"/>
        <v>763</v>
      </c>
      <c r="HS2" s="68">
        <f t="shared" si="9"/>
        <v>764</v>
      </c>
      <c r="HT2" s="68">
        <f t="shared" si="9"/>
        <v>765</v>
      </c>
      <c r="HU2" s="68">
        <f t="shared" si="9"/>
        <v>766</v>
      </c>
      <c r="HV2" s="68">
        <f t="shared" si="9"/>
        <v>767</v>
      </c>
      <c r="HW2" s="68">
        <f t="shared" si="9"/>
        <v>768</v>
      </c>
      <c r="HX2" s="68">
        <f t="shared" si="9"/>
        <v>769</v>
      </c>
      <c r="HY2" s="68">
        <f t="shared" si="9"/>
        <v>770</v>
      </c>
      <c r="HZ2" s="68">
        <f t="shared" si="9"/>
        <v>771</v>
      </c>
      <c r="IA2" s="68">
        <f t="shared" si="9"/>
        <v>772</v>
      </c>
      <c r="IB2" s="68">
        <f t="shared" si="9"/>
        <v>773</v>
      </c>
      <c r="IC2" s="68">
        <f t="shared" si="9"/>
        <v>774</v>
      </c>
      <c r="ID2" s="68">
        <f t="shared" si="9"/>
        <v>775</v>
      </c>
      <c r="IE2" s="68">
        <f t="shared" si="9"/>
        <v>776</v>
      </c>
      <c r="IF2" s="68">
        <f t="shared" si="9"/>
        <v>777</v>
      </c>
      <c r="IG2" s="68">
        <f t="shared" si="9"/>
        <v>778</v>
      </c>
      <c r="IH2" s="68">
        <f t="shared" si="9"/>
        <v>779</v>
      </c>
      <c r="II2" s="68">
        <f t="shared" si="9"/>
        <v>780</v>
      </c>
      <c r="IJ2" s="68">
        <f t="shared" si="9"/>
        <v>781</v>
      </c>
      <c r="IK2" s="68">
        <f t="shared" si="9"/>
        <v>782</v>
      </c>
      <c r="IL2" s="68">
        <f t="shared" si="9"/>
        <v>783</v>
      </c>
      <c r="IM2" s="68">
        <f t="shared" si="9"/>
        <v>784</v>
      </c>
      <c r="IN2" s="68">
        <f t="shared" si="9"/>
        <v>785</v>
      </c>
      <c r="IO2" s="68">
        <f t="shared" si="9"/>
        <v>786</v>
      </c>
      <c r="IP2" s="68">
        <f t="shared" si="9"/>
        <v>787</v>
      </c>
      <c r="IQ2" s="68">
        <f t="shared" si="9"/>
        <v>788</v>
      </c>
      <c r="IR2" s="68">
        <f t="shared" si="9"/>
        <v>789</v>
      </c>
      <c r="IS2" s="68">
        <f t="shared" si="9"/>
        <v>790</v>
      </c>
      <c r="IT2" s="68">
        <f t="shared" si="9"/>
        <v>791</v>
      </c>
      <c r="IU2" s="68">
        <f t="shared" si="9"/>
        <v>792</v>
      </c>
      <c r="IV2" s="68">
        <f t="shared" si="9"/>
        <v>793</v>
      </c>
      <c r="IW2" s="68">
        <f t="shared" si="9"/>
        <v>794</v>
      </c>
      <c r="IX2" s="68">
        <f t="shared" si="9"/>
        <v>795</v>
      </c>
      <c r="IY2" s="68">
        <f t="shared" si="9"/>
        <v>796</v>
      </c>
      <c r="IZ2" s="68">
        <f t="shared" si="9"/>
        <v>797</v>
      </c>
      <c r="JA2" s="68">
        <f t="shared" ref="JA2:LB2" si="10">IF((IZ2/12)&lt;71,IZ2+1,0)</f>
        <v>798</v>
      </c>
      <c r="JB2" s="68">
        <f t="shared" si="10"/>
        <v>799</v>
      </c>
      <c r="JC2" s="68">
        <f t="shared" si="10"/>
        <v>800</v>
      </c>
      <c r="JD2" s="68">
        <f t="shared" si="10"/>
        <v>801</v>
      </c>
      <c r="JE2" s="68">
        <f t="shared" si="10"/>
        <v>802</v>
      </c>
      <c r="JF2" s="68">
        <f t="shared" si="10"/>
        <v>803</v>
      </c>
      <c r="JG2" s="68">
        <f t="shared" si="10"/>
        <v>804</v>
      </c>
      <c r="JH2" s="68">
        <f t="shared" si="10"/>
        <v>805</v>
      </c>
      <c r="JI2" s="68">
        <f t="shared" si="10"/>
        <v>806</v>
      </c>
      <c r="JJ2" s="68">
        <f t="shared" si="10"/>
        <v>807</v>
      </c>
      <c r="JK2" s="68">
        <f t="shared" si="10"/>
        <v>808</v>
      </c>
      <c r="JL2" s="68">
        <f t="shared" si="10"/>
        <v>809</v>
      </c>
      <c r="JM2" s="68">
        <f t="shared" si="10"/>
        <v>810</v>
      </c>
      <c r="JN2" s="68">
        <f t="shared" si="10"/>
        <v>811</v>
      </c>
      <c r="JO2" s="68">
        <f t="shared" si="10"/>
        <v>812</v>
      </c>
      <c r="JP2" s="68">
        <f t="shared" si="10"/>
        <v>813</v>
      </c>
      <c r="JQ2" s="68">
        <f t="shared" si="10"/>
        <v>814</v>
      </c>
      <c r="JR2" s="68">
        <f t="shared" si="10"/>
        <v>815</v>
      </c>
      <c r="JS2" s="68">
        <f t="shared" si="10"/>
        <v>816</v>
      </c>
      <c r="JT2" s="68">
        <f t="shared" si="10"/>
        <v>817</v>
      </c>
      <c r="JU2" s="68">
        <f t="shared" si="10"/>
        <v>818</v>
      </c>
      <c r="JV2" s="68">
        <f t="shared" si="10"/>
        <v>819</v>
      </c>
      <c r="JW2" s="68">
        <f t="shared" si="10"/>
        <v>820</v>
      </c>
      <c r="JX2" s="68">
        <f t="shared" si="10"/>
        <v>821</v>
      </c>
      <c r="JY2" s="68">
        <f t="shared" si="10"/>
        <v>822</v>
      </c>
      <c r="JZ2" s="68">
        <f t="shared" si="10"/>
        <v>823</v>
      </c>
      <c r="KA2" s="68">
        <f t="shared" si="10"/>
        <v>824</v>
      </c>
      <c r="KB2" s="68">
        <f t="shared" si="10"/>
        <v>825</v>
      </c>
      <c r="KC2" s="68">
        <f t="shared" si="10"/>
        <v>826</v>
      </c>
      <c r="KD2" s="68">
        <f t="shared" si="10"/>
        <v>827</v>
      </c>
      <c r="KE2" s="68">
        <f t="shared" si="10"/>
        <v>828</v>
      </c>
      <c r="KF2" s="68">
        <f t="shared" si="10"/>
        <v>829</v>
      </c>
      <c r="KG2" s="68">
        <f t="shared" si="10"/>
        <v>830</v>
      </c>
      <c r="KH2" s="68">
        <f t="shared" si="10"/>
        <v>831</v>
      </c>
      <c r="KI2" s="68">
        <f t="shared" si="10"/>
        <v>832</v>
      </c>
      <c r="KJ2" s="68">
        <f t="shared" si="10"/>
        <v>833</v>
      </c>
      <c r="KK2" s="68">
        <f t="shared" si="10"/>
        <v>834</v>
      </c>
      <c r="KL2" s="68">
        <f t="shared" si="10"/>
        <v>835</v>
      </c>
      <c r="KM2" s="68">
        <f t="shared" si="10"/>
        <v>836</v>
      </c>
      <c r="KN2" s="68">
        <f t="shared" si="10"/>
        <v>837</v>
      </c>
      <c r="KO2" s="68">
        <f t="shared" si="10"/>
        <v>838</v>
      </c>
      <c r="KP2" s="68">
        <f t="shared" si="10"/>
        <v>839</v>
      </c>
      <c r="KQ2" s="68">
        <f t="shared" si="10"/>
        <v>840</v>
      </c>
      <c r="KR2" s="68">
        <f>IF((KQ2/12)&lt;71,KQ2+1,0)</f>
        <v>841</v>
      </c>
      <c r="KS2" s="68">
        <f t="shared" si="10"/>
        <v>842</v>
      </c>
      <c r="KT2" s="68">
        <f t="shared" si="10"/>
        <v>843</v>
      </c>
      <c r="KU2" s="68">
        <f t="shared" si="10"/>
        <v>844</v>
      </c>
      <c r="KV2" s="68">
        <f t="shared" si="10"/>
        <v>845</v>
      </c>
      <c r="KW2" s="68">
        <f t="shared" si="10"/>
        <v>846</v>
      </c>
      <c r="KX2" s="68">
        <f t="shared" si="10"/>
        <v>847</v>
      </c>
      <c r="KY2" s="68">
        <f t="shared" si="10"/>
        <v>848</v>
      </c>
      <c r="KZ2" s="68">
        <f t="shared" si="10"/>
        <v>849</v>
      </c>
      <c r="LA2" s="68">
        <f t="shared" si="10"/>
        <v>850</v>
      </c>
      <c r="LB2" s="68">
        <f t="shared" si="10"/>
        <v>851</v>
      </c>
      <c r="LC2" s="68">
        <f>IF((LB2/12)&lt;71,LB2+1,0)</f>
        <v>852</v>
      </c>
      <c r="LD2" s="68">
        <f>IF((LC2/12)&lt;76,LC2+1,0)</f>
        <v>853</v>
      </c>
      <c r="LE2" s="68">
        <f t="shared" ref="LE2:NJ2" si="11">IF((LD2/12)&lt;76,LD2+1,0)</f>
        <v>854</v>
      </c>
      <c r="LF2" s="68">
        <f t="shared" si="11"/>
        <v>855</v>
      </c>
      <c r="LG2" s="68">
        <f t="shared" si="11"/>
        <v>856</v>
      </c>
      <c r="LH2" s="68">
        <f t="shared" si="11"/>
        <v>857</v>
      </c>
      <c r="LI2" s="68">
        <f t="shared" si="11"/>
        <v>858</v>
      </c>
      <c r="LJ2" s="68">
        <f t="shared" si="11"/>
        <v>859</v>
      </c>
      <c r="LK2" s="68">
        <f t="shared" si="11"/>
        <v>860</v>
      </c>
      <c r="LL2" s="68">
        <f t="shared" si="11"/>
        <v>861</v>
      </c>
      <c r="LM2" s="68">
        <f t="shared" si="11"/>
        <v>862</v>
      </c>
      <c r="LN2" s="68">
        <f t="shared" si="11"/>
        <v>863</v>
      </c>
      <c r="LO2" s="68">
        <f t="shared" si="11"/>
        <v>864</v>
      </c>
      <c r="LP2" s="68">
        <f t="shared" si="11"/>
        <v>865</v>
      </c>
      <c r="LQ2" s="68">
        <f t="shared" si="11"/>
        <v>866</v>
      </c>
      <c r="LR2" s="68">
        <f t="shared" si="11"/>
        <v>867</v>
      </c>
      <c r="LS2" s="68">
        <f t="shared" si="11"/>
        <v>868</v>
      </c>
      <c r="LT2" s="68">
        <f t="shared" si="11"/>
        <v>869</v>
      </c>
      <c r="LU2" s="68">
        <f t="shared" si="11"/>
        <v>870</v>
      </c>
      <c r="LV2" s="68">
        <f t="shared" si="11"/>
        <v>871</v>
      </c>
      <c r="LW2" s="68">
        <f t="shared" si="11"/>
        <v>872</v>
      </c>
      <c r="LX2" s="68">
        <f t="shared" si="11"/>
        <v>873</v>
      </c>
      <c r="LY2" s="68">
        <f t="shared" si="11"/>
        <v>874</v>
      </c>
      <c r="LZ2" s="68">
        <f t="shared" si="11"/>
        <v>875</v>
      </c>
      <c r="MA2" s="68">
        <f t="shared" si="11"/>
        <v>876</v>
      </c>
      <c r="MB2" s="68">
        <f t="shared" si="11"/>
        <v>877</v>
      </c>
      <c r="MC2" s="68">
        <f t="shared" si="11"/>
        <v>878</v>
      </c>
      <c r="MD2" s="68">
        <f t="shared" si="11"/>
        <v>879</v>
      </c>
      <c r="ME2" s="68">
        <f t="shared" si="11"/>
        <v>880</v>
      </c>
      <c r="MF2" s="68">
        <f t="shared" si="11"/>
        <v>881</v>
      </c>
      <c r="MG2" s="68">
        <f t="shared" si="11"/>
        <v>882</v>
      </c>
      <c r="MH2" s="68">
        <f t="shared" si="11"/>
        <v>883</v>
      </c>
      <c r="MI2" s="68">
        <f t="shared" si="11"/>
        <v>884</v>
      </c>
      <c r="MJ2" s="68">
        <f t="shared" si="11"/>
        <v>885</v>
      </c>
      <c r="MK2" s="68">
        <f t="shared" si="11"/>
        <v>886</v>
      </c>
      <c r="ML2" s="68">
        <f t="shared" si="11"/>
        <v>887</v>
      </c>
      <c r="MM2" s="68">
        <f t="shared" si="11"/>
        <v>888</v>
      </c>
      <c r="MN2" s="68">
        <f t="shared" si="11"/>
        <v>889</v>
      </c>
      <c r="MO2" s="68">
        <f t="shared" si="11"/>
        <v>890</v>
      </c>
      <c r="MP2" s="68">
        <f t="shared" si="11"/>
        <v>891</v>
      </c>
      <c r="MQ2" s="68">
        <f t="shared" si="11"/>
        <v>892</v>
      </c>
      <c r="MR2" s="68">
        <f t="shared" si="11"/>
        <v>893</v>
      </c>
      <c r="MS2" s="68">
        <f t="shared" si="11"/>
        <v>894</v>
      </c>
      <c r="MT2" s="68">
        <f t="shared" si="11"/>
        <v>895</v>
      </c>
      <c r="MU2" s="68">
        <f t="shared" si="11"/>
        <v>896</v>
      </c>
      <c r="MV2" s="68">
        <f t="shared" si="11"/>
        <v>897</v>
      </c>
      <c r="MW2" s="68">
        <f t="shared" si="11"/>
        <v>898</v>
      </c>
      <c r="MX2" s="68">
        <f t="shared" si="11"/>
        <v>899</v>
      </c>
      <c r="MY2" s="68">
        <f t="shared" si="11"/>
        <v>900</v>
      </c>
      <c r="MZ2" s="68">
        <f t="shared" si="11"/>
        <v>901</v>
      </c>
      <c r="NA2" s="68">
        <f t="shared" si="11"/>
        <v>902</v>
      </c>
      <c r="NB2" s="68">
        <f t="shared" si="11"/>
        <v>903</v>
      </c>
      <c r="NC2" s="68">
        <f t="shared" si="11"/>
        <v>904</v>
      </c>
      <c r="ND2" s="68">
        <f t="shared" si="11"/>
        <v>905</v>
      </c>
      <c r="NE2" s="68">
        <f t="shared" si="11"/>
        <v>906</v>
      </c>
      <c r="NF2" s="68">
        <f t="shared" si="11"/>
        <v>907</v>
      </c>
      <c r="NG2" s="68">
        <f t="shared" si="11"/>
        <v>908</v>
      </c>
      <c r="NH2" s="68">
        <f t="shared" si="11"/>
        <v>909</v>
      </c>
      <c r="NI2" s="68">
        <f t="shared" si="11"/>
        <v>910</v>
      </c>
      <c r="NJ2" s="68">
        <f t="shared" si="11"/>
        <v>911</v>
      </c>
      <c r="NK2" s="68"/>
    </row>
    <row r="3" spans="1:376" ht="15.6" x14ac:dyDescent="0.3">
      <c r="A3" s="67" t="s">
        <v>7</v>
      </c>
      <c r="B3" s="69">
        <v>2013</v>
      </c>
      <c r="C3" s="70">
        <v>486.47</v>
      </c>
      <c r="D3" s="70">
        <v>485.45</v>
      </c>
      <c r="E3" s="70">
        <v>484.44</v>
      </c>
      <c r="F3" s="70">
        <v>483.42</v>
      </c>
      <c r="G3" s="70">
        <v>482.4</v>
      </c>
      <c r="H3" s="70">
        <v>481.39</v>
      </c>
      <c r="I3" s="70">
        <v>480.37</v>
      </c>
      <c r="J3" s="70">
        <v>479.36</v>
      </c>
      <c r="K3" s="70">
        <v>478.34</v>
      </c>
      <c r="L3" s="70">
        <v>477.33</v>
      </c>
      <c r="M3" s="70">
        <v>476.32</v>
      </c>
      <c r="N3" s="70">
        <v>475.3</v>
      </c>
      <c r="O3" s="70">
        <v>474.29</v>
      </c>
      <c r="P3" s="70">
        <v>473.27</v>
      </c>
      <c r="Q3" s="70">
        <v>472.26</v>
      </c>
      <c r="R3" s="70">
        <v>471.25</v>
      </c>
      <c r="S3" s="70">
        <v>470.23</v>
      </c>
      <c r="T3" s="70">
        <v>469.22</v>
      </c>
      <c r="U3" s="70">
        <v>468.21</v>
      </c>
      <c r="V3" s="70">
        <v>467.19</v>
      </c>
      <c r="W3" s="70">
        <v>466.18</v>
      </c>
      <c r="X3" s="70">
        <v>465.17</v>
      </c>
      <c r="Y3" s="70">
        <v>464.16</v>
      </c>
      <c r="Z3" s="70">
        <v>463.14</v>
      </c>
      <c r="AA3" s="70">
        <v>462.13</v>
      </c>
      <c r="AB3" s="70">
        <v>461.12</v>
      </c>
      <c r="AC3" s="70">
        <v>460.11</v>
      </c>
      <c r="AD3" s="70">
        <v>459.1</v>
      </c>
      <c r="AE3" s="70">
        <v>458.09</v>
      </c>
      <c r="AF3" s="70">
        <v>457.08</v>
      </c>
      <c r="AG3" s="70">
        <v>456.07</v>
      </c>
      <c r="AH3" s="70">
        <v>455.05</v>
      </c>
      <c r="AI3" s="70">
        <v>454.04</v>
      </c>
      <c r="AJ3" s="70">
        <v>453.03</v>
      </c>
      <c r="AK3" s="70">
        <v>452.02</v>
      </c>
      <c r="AL3" s="70">
        <v>451.01</v>
      </c>
      <c r="AM3" s="70">
        <v>450</v>
      </c>
      <c r="AN3" s="70">
        <v>448.99</v>
      </c>
      <c r="AO3" s="70">
        <v>447.99</v>
      </c>
      <c r="AP3" s="70">
        <v>446.98</v>
      </c>
      <c r="AQ3" s="70">
        <v>445.97</v>
      </c>
      <c r="AR3" s="70">
        <v>444.96</v>
      </c>
      <c r="AS3" s="70">
        <v>443.95</v>
      </c>
      <c r="AT3" s="70">
        <v>442.94</v>
      </c>
      <c r="AU3" s="70">
        <v>441.94</v>
      </c>
      <c r="AV3" s="70">
        <v>440.93</v>
      </c>
      <c r="AW3" s="70">
        <v>439.92</v>
      </c>
      <c r="AX3" s="70">
        <v>438.91</v>
      </c>
      <c r="AY3" s="70">
        <v>437.91</v>
      </c>
      <c r="AZ3" s="70">
        <v>436.9</v>
      </c>
      <c r="BA3" s="70">
        <v>435.89</v>
      </c>
      <c r="BB3" s="70">
        <v>434.89</v>
      </c>
      <c r="BC3" s="70">
        <v>433.88</v>
      </c>
      <c r="BD3" s="70">
        <v>432.88</v>
      </c>
      <c r="BE3" s="70">
        <v>431.87</v>
      </c>
      <c r="BF3" s="70">
        <v>430.87</v>
      </c>
      <c r="BG3" s="70">
        <v>429.86</v>
      </c>
      <c r="BH3" s="70">
        <v>428.86</v>
      </c>
      <c r="BI3" s="70">
        <v>427.85</v>
      </c>
      <c r="BJ3" s="70">
        <v>426.85</v>
      </c>
      <c r="BK3" s="70">
        <v>425.84</v>
      </c>
      <c r="BL3" s="70">
        <v>424.84</v>
      </c>
      <c r="BM3" s="70">
        <v>423.84</v>
      </c>
      <c r="BN3" s="70">
        <v>422.83</v>
      </c>
      <c r="BO3" s="70">
        <v>421.83</v>
      </c>
      <c r="BP3" s="70">
        <v>420.83</v>
      </c>
      <c r="BQ3" s="70">
        <v>419.83</v>
      </c>
      <c r="BR3" s="70">
        <v>418.83</v>
      </c>
      <c r="BS3" s="70">
        <v>417.82</v>
      </c>
      <c r="BT3" s="70">
        <v>416.82</v>
      </c>
      <c r="BU3" s="70">
        <v>415.82</v>
      </c>
      <c r="BV3" s="70">
        <v>414.82</v>
      </c>
      <c r="BW3" s="70">
        <v>413.82</v>
      </c>
      <c r="BX3" s="70">
        <v>412.82</v>
      </c>
      <c r="BY3" s="70">
        <v>411.82</v>
      </c>
      <c r="BZ3" s="70">
        <v>410.82</v>
      </c>
      <c r="CA3" s="70">
        <v>409.83</v>
      </c>
      <c r="CB3" s="70">
        <v>408.83</v>
      </c>
      <c r="CC3" s="70">
        <v>407.83</v>
      </c>
      <c r="CD3" s="70">
        <v>406.84</v>
      </c>
      <c r="CE3" s="70">
        <v>405.84</v>
      </c>
      <c r="CF3" s="70">
        <v>404.84</v>
      </c>
      <c r="CG3" s="70">
        <v>403.85</v>
      </c>
      <c r="CH3" s="70">
        <v>402.85</v>
      </c>
      <c r="CI3" s="70">
        <v>401.85</v>
      </c>
      <c r="CJ3" s="70">
        <v>400.86</v>
      </c>
      <c r="CK3" s="70">
        <v>399.87</v>
      </c>
      <c r="CL3" s="70">
        <v>398.88</v>
      </c>
      <c r="CM3" s="70">
        <v>397.88</v>
      </c>
      <c r="CN3" s="70">
        <v>396.89</v>
      </c>
      <c r="CO3" s="70">
        <v>395.9</v>
      </c>
      <c r="CP3" s="70">
        <v>394.91</v>
      </c>
      <c r="CQ3" s="70">
        <v>393.91</v>
      </c>
      <c r="CR3" s="70">
        <v>392.92</v>
      </c>
      <c r="CS3" s="70">
        <v>391.93</v>
      </c>
      <c r="CT3" s="70">
        <v>390.94</v>
      </c>
      <c r="CU3" s="70">
        <v>389.95</v>
      </c>
      <c r="CV3" s="70">
        <v>388.96</v>
      </c>
      <c r="CW3" s="70">
        <v>387.97</v>
      </c>
      <c r="CX3" s="70">
        <v>386.99</v>
      </c>
      <c r="CY3" s="70">
        <v>386</v>
      </c>
      <c r="CZ3" s="70">
        <v>385.01</v>
      </c>
      <c r="DA3" s="70">
        <v>384.03</v>
      </c>
      <c r="DB3" s="70">
        <v>383.04</v>
      </c>
      <c r="DC3" s="70">
        <v>382.05</v>
      </c>
      <c r="DD3" s="70">
        <v>381.07</v>
      </c>
      <c r="DE3" s="70">
        <v>380.08</v>
      </c>
      <c r="DF3" s="70">
        <v>379.1</v>
      </c>
      <c r="DG3" s="70">
        <v>378.11</v>
      </c>
      <c r="DH3" s="70">
        <v>377.13</v>
      </c>
      <c r="DI3" s="70">
        <v>376.15</v>
      </c>
      <c r="DJ3" s="70">
        <v>375.17</v>
      </c>
      <c r="DK3" s="70">
        <v>374.18</v>
      </c>
      <c r="DL3" s="70">
        <v>373.2</v>
      </c>
      <c r="DM3" s="70">
        <v>372.22</v>
      </c>
      <c r="DN3" s="70">
        <v>371.24</v>
      </c>
      <c r="DO3" s="70">
        <v>370.26</v>
      </c>
      <c r="DP3" s="70">
        <v>369.28</v>
      </c>
      <c r="DQ3" s="70">
        <v>368.3</v>
      </c>
      <c r="DR3" s="70">
        <v>367.32</v>
      </c>
      <c r="DS3" s="70">
        <v>366.35</v>
      </c>
      <c r="DT3" s="70">
        <v>365.37</v>
      </c>
      <c r="DU3" s="70">
        <v>364.4</v>
      </c>
      <c r="DV3" s="70">
        <v>363.42</v>
      </c>
      <c r="DW3" s="70">
        <v>362.45</v>
      </c>
      <c r="DX3" s="70">
        <v>361.47</v>
      </c>
      <c r="DY3" s="70">
        <v>360.5</v>
      </c>
      <c r="DZ3" s="70">
        <v>359.53</v>
      </c>
      <c r="EA3" s="70">
        <v>358.56</v>
      </c>
      <c r="EB3" s="70">
        <v>357.59</v>
      </c>
      <c r="EC3" s="70">
        <v>356.61</v>
      </c>
      <c r="ED3" s="70">
        <v>355.64</v>
      </c>
      <c r="EE3" s="70">
        <v>354.68</v>
      </c>
      <c r="EF3" s="70">
        <v>353.71</v>
      </c>
      <c r="EG3" s="70">
        <v>352.74</v>
      </c>
      <c r="EH3" s="70">
        <v>351.78</v>
      </c>
      <c r="EI3" s="70">
        <v>350.82</v>
      </c>
      <c r="EJ3" s="70">
        <v>349.85</v>
      </c>
      <c r="EK3" s="70">
        <v>348.89</v>
      </c>
      <c r="EL3" s="70">
        <v>347.93</v>
      </c>
      <c r="EM3" s="70">
        <v>346.97</v>
      </c>
      <c r="EN3" s="70">
        <v>346</v>
      </c>
      <c r="EO3" s="70">
        <v>345.04</v>
      </c>
      <c r="EP3" s="70">
        <v>344.08</v>
      </c>
      <c r="EQ3" s="70">
        <v>343.12</v>
      </c>
      <c r="ER3" s="70">
        <v>342.17</v>
      </c>
      <c r="ES3" s="70">
        <v>341.21</v>
      </c>
      <c r="ET3" s="70">
        <v>340.25</v>
      </c>
      <c r="EU3" s="70">
        <v>339.3</v>
      </c>
      <c r="EV3" s="70">
        <v>338.34</v>
      </c>
      <c r="EW3" s="70">
        <v>337.39</v>
      </c>
      <c r="EX3" s="70">
        <v>336.44</v>
      </c>
      <c r="EY3" s="70">
        <v>335.48</v>
      </c>
      <c r="EZ3" s="70">
        <v>334.53</v>
      </c>
      <c r="FA3" s="70">
        <v>333.58</v>
      </c>
      <c r="FB3" s="70">
        <v>332.63</v>
      </c>
      <c r="FC3" s="70">
        <v>331.68</v>
      </c>
      <c r="FD3" s="70">
        <v>330.73</v>
      </c>
      <c r="FE3" s="70">
        <v>329.78</v>
      </c>
      <c r="FF3" s="70">
        <v>328.83</v>
      </c>
      <c r="FG3" s="70">
        <v>327.89</v>
      </c>
      <c r="FH3" s="70">
        <v>326.94</v>
      </c>
      <c r="FI3" s="70">
        <v>325.99</v>
      </c>
      <c r="FJ3" s="70">
        <v>325.04000000000002</v>
      </c>
      <c r="FK3" s="70">
        <v>324.10000000000002</v>
      </c>
      <c r="FL3" s="70">
        <v>323.16000000000003</v>
      </c>
      <c r="FM3" s="70">
        <v>322.22000000000003</v>
      </c>
      <c r="FN3" s="70">
        <v>321.27999999999997</v>
      </c>
      <c r="FO3" s="70">
        <v>320.32</v>
      </c>
      <c r="FP3" s="70">
        <v>319.39</v>
      </c>
      <c r="FQ3" s="70">
        <v>318.45999999999998</v>
      </c>
      <c r="FR3" s="70">
        <v>317.51</v>
      </c>
      <c r="FS3" s="70">
        <v>316.57</v>
      </c>
      <c r="FT3" s="70">
        <v>315.64</v>
      </c>
      <c r="FU3" s="70">
        <v>314.70999999999998</v>
      </c>
      <c r="FV3" s="70">
        <v>313.76</v>
      </c>
      <c r="FW3" s="70">
        <v>312.83999999999997</v>
      </c>
      <c r="FX3" s="70">
        <v>311.89999999999998</v>
      </c>
      <c r="FY3" s="70">
        <v>310.97000000000003</v>
      </c>
      <c r="FZ3" s="70">
        <v>310.04000000000002</v>
      </c>
      <c r="GA3" s="70">
        <v>309.10000000000002</v>
      </c>
      <c r="GB3" s="70">
        <v>308.18</v>
      </c>
      <c r="GC3" s="70">
        <v>307.25</v>
      </c>
      <c r="GD3" s="70">
        <v>306.32</v>
      </c>
      <c r="GE3" s="70">
        <v>305.39</v>
      </c>
      <c r="GF3" s="70">
        <v>304.47000000000003</v>
      </c>
      <c r="GG3" s="70">
        <v>303.54000000000002</v>
      </c>
      <c r="GH3" s="70">
        <v>302.62</v>
      </c>
      <c r="GI3" s="70">
        <v>301.69</v>
      </c>
      <c r="GJ3" s="70">
        <v>300.76</v>
      </c>
      <c r="GK3" s="70">
        <v>299.85000000000002</v>
      </c>
      <c r="GL3" s="70">
        <v>298.93</v>
      </c>
      <c r="GM3" s="70">
        <v>298.01</v>
      </c>
      <c r="GN3" s="70">
        <v>297.08999999999997</v>
      </c>
      <c r="GO3" s="70">
        <v>296.18</v>
      </c>
      <c r="GP3" s="70">
        <v>295.26</v>
      </c>
      <c r="GQ3" s="70">
        <v>294.35000000000002</v>
      </c>
      <c r="GR3" s="70">
        <v>293.44</v>
      </c>
      <c r="GS3" s="70">
        <v>292.51</v>
      </c>
      <c r="GT3" s="70">
        <v>291.60000000000002</v>
      </c>
      <c r="GU3" s="70">
        <v>290.7</v>
      </c>
      <c r="GV3" s="70">
        <v>289.79000000000002</v>
      </c>
      <c r="GW3" s="70">
        <v>288.89</v>
      </c>
      <c r="GX3" s="70">
        <v>287.98</v>
      </c>
      <c r="GY3" s="70">
        <v>287.07</v>
      </c>
      <c r="GZ3" s="70">
        <v>286.17</v>
      </c>
      <c r="HA3" s="70">
        <v>285.26</v>
      </c>
      <c r="HB3" s="70">
        <v>284.37</v>
      </c>
      <c r="HC3" s="70">
        <v>283.47000000000003</v>
      </c>
      <c r="HD3" s="70">
        <v>282.57</v>
      </c>
      <c r="HE3" s="70">
        <v>281.67</v>
      </c>
      <c r="HF3" s="70">
        <v>280.77999999999997</v>
      </c>
      <c r="HG3" s="70">
        <v>279.88</v>
      </c>
      <c r="HH3" s="70">
        <v>278.99</v>
      </c>
      <c r="HI3" s="70">
        <v>278.08999999999997</v>
      </c>
      <c r="HJ3" s="70">
        <v>277.2</v>
      </c>
      <c r="HK3" s="70">
        <v>276.31</v>
      </c>
      <c r="HL3" s="70">
        <v>275.42</v>
      </c>
      <c r="HM3" s="70">
        <v>274.54000000000002</v>
      </c>
      <c r="HN3" s="70">
        <v>273.64999999999998</v>
      </c>
      <c r="HO3" s="70">
        <v>272.76</v>
      </c>
      <c r="HP3" s="70">
        <v>271.89</v>
      </c>
      <c r="HQ3" s="70">
        <v>271</v>
      </c>
      <c r="HR3" s="70">
        <v>270.12</v>
      </c>
      <c r="HS3" s="70">
        <v>269.24</v>
      </c>
      <c r="HT3" s="70">
        <v>268.37</v>
      </c>
      <c r="HU3" s="70">
        <v>267.49</v>
      </c>
      <c r="HV3" s="70">
        <v>266.60000000000002</v>
      </c>
      <c r="HW3" s="70">
        <v>265.74</v>
      </c>
      <c r="HX3" s="70">
        <v>264.87</v>
      </c>
      <c r="HY3" s="70">
        <v>263.99</v>
      </c>
      <c r="HZ3" s="70">
        <v>263.12</v>
      </c>
      <c r="IA3" s="70">
        <v>262.25</v>
      </c>
      <c r="IB3" s="70">
        <v>261.38</v>
      </c>
      <c r="IC3" s="70">
        <v>260.51</v>
      </c>
      <c r="ID3" s="70">
        <v>259.64999999999998</v>
      </c>
      <c r="IE3" s="70">
        <v>258.79000000000002</v>
      </c>
      <c r="IF3" s="70">
        <v>257.92</v>
      </c>
      <c r="IG3" s="70">
        <v>257.06</v>
      </c>
      <c r="IH3" s="70">
        <v>256.2</v>
      </c>
      <c r="II3" s="70">
        <v>255.34</v>
      </c>
      <c r="IJ3" s="70">
        <v>254.48</v>
      </c>
      <c r="IK3" s="70">
        <v>253.62</v>
      </c>
      <c r="IL3" s="70">
        <v>252.76</v>
      </c>
      <c r="IM3" s="70">
        <v>251.91</v>
      </c>
      <c r="IN3" s="70">
        <v>251.05</v>
      </c>
      <c r="IO3" s="70">
        <v>250.2</v>
      </c>
      <c r="IP3" s="70">
        <v>249.35</v>
      </c>
      <c r="IQ3" s="70">
        <v>248.5</v>
      </c>
      <c r="IR3" s="70">
        <v>247.65</v>
      </c>
      <c r="IS3" s="70">
        <v>246.8</v>
      </c>
      <c r="IT3" s="70">
        <v>245.96</v>
      </c>
      <c r="IU3" s="70">
        <v>245.11</v>
      </c>
      <c r="IV3" s="70">
        <v>244.27</v>
      </c>
      <c r="IW3" s="70">
        <v>243.43</v>
      </c>
      <c r="IX3" s="70">
        <v>242.59</v>
      </c>
      <c r="IY3" s="70">
        <v>241.75</v>
      </c>
      <c r="IZ3" s="70">
        <v>240.91</v>
      </c>
      <c r="JA3" s="70">
        <v>240.08</v>
      </c>
      <c r="JB3" s="70">
        <v>239.24</v>
      </c>
      <c r="JC3" s="70">
        <v>238.41</v>
      </c>
      <c r="JD3" s="70">
        <v>237.58</v>
      </c>
      <c r="JE3" s="70">
        <v>236.74</v>
      </c>
      <c r="JF3" s="70">
        <v>235.91</v>
      </c>
      <c r="JG3" s="70">
        <v>235.08</v>
      </c>
      <c r="JH3" s="70">
        <v>234.26</v>
      </c>
      <c r="JI3" s="70">
        <v>233.43</v>
      </c>
      <c r="JJ3" s="70">
        <v>232.61</v>
      </c>
      <c r="JK3" s="70">
        <v>231.78</v>
      </c>
      <c r="JL3" s="70">
        <v>230.96</v>
      </c>
      <c r="JM3" s="70">
        <v>230.14</v>
      </c>
      <c r="JN3" s="70">
        <v>229.31</v>
      </c>
      <c r="JO3" s="70">
        <v>228.49</v>
      </c>
      <c r="JP3" s="70">
        <v>227.68</v>
      </c>
      <c r="JQ3" s="70">
        <v>226.86</v>
      </c>
      <c r="JR3" s="70">
        <v>226.04</v>
      </c>
      <c r="JS3" s="70">
        <v>225.23</v>
      </c>
      <c r="JT3" s="70">
        <v>224.41</v>
      </c>
      <c r="JU3" s="70">
        <v>223.6</v>
      </c>
      <c r="JV3" s="70">
        <v>222.79</v>
      </c>
      <c r="JW3" s="70">
        <v>221.98</v>
      </c>
      <c r="JX3" s="70">
        <v>221.17</v>
      </c>
      <c r="JY3" s="70">
        <v>220.36</v>
      </c>
      <c r="JZ3" s="70">
        <v>219.55</v>
      </c>
      <c r="KA3" s="70">
        <v>218.75</v>
      </c>
      <c r="KB3" s="70">
        <v>217.94</v>
      </c>
      <c r="KC3" s="70">
        <v>217.14</v>
      </c>
      <c r="KD3" s="70">
        <v>216.33</v>
      </c>
      <c r="KE3" s="70">
        <v>215.53</v>
      </c>
      <c r="KF3" s="70">
        <v>214.73</v>
      </c>
      <c r="KG3" s="70">
        <v>213.93</v>
      </c>
      <c r="KH3" s="70">
        <v>213.13</v>
      </c>
      <c r="KI3" s="70">
        <v>212.33</v>
      </c>
      <c r="KJ3" s="70">
        <v>211.54</v>
      </c>
      <c r="KK3" s="70">
        <v>210.74</v>
      </c>
      <c r="KL3" s="70">
        <v>209.95</v>
      </c>
      <c r="KM3" s="70">
        <v>209.16</v>
      </c>
      <c r="KN3" s="70">
        <v>208.37</v>
      </c>
      <c r="KO3" s="70">
        <v>207.58</v>
      </c>
      <c r="KP3" s="70">
        <v>206.79</v>
      </c>
      <c r="KQ3" s="70">
        <v>206</v>
      </c>
      <c r="KR3" s="70">
        <v>205.25</v>
      </c>
      <c r="KS3" s="70">
        <v>204.5</v>
      </c>
      <c r="KT3" s="70">
        <v>203.75</v>
      </c>
      <c r="KU3" s="70">
        <v>203</v>
      </c>
      <c r="KV3" s="70">
        <v>202.25</v>
      </c>
      <c r="KW3" s="70">
        <v>201.5</v>
      </c>
      <c r="KX3" s="70">
        <v>200.75</v>
      </c>
      <c r="KY3" s="70">
        <v>200</v>
      </c>
      <c r="KZ3" s="70">
        <v>199.25</v>
      </c>
      <c r="LA3" s="70">
        <v>198.5</v>
      </c>
      <c r="LB3" s="70">
        <v>197.75</v>
      </c>
      <c r="LC3" s="70">
        <v>197</v>
      </c>
      <c r="LD3" s="70">
        <v>196.25</v>
      </c>
      <c r="LE3" s="70">
        <v>195.5</v>
      </c>
      <c r="LF3" s="70">
        <v>194.75</v>
      </c>
      <c r="LG3" s="70">
        <v>194</v>
      </c>
      <c r="LH3" s="70">
        <v>193.25</v>
      </c>
      <c r="LI3" s="70">
        <v>192.5</v>
      </c>
      <c r="LJ3" s="70">
        <v>191.75</v>
      </c>
      <c r="LK3" s="70">
        <v>191</v>
      </c>
      <c r="LL3" s="70">
        <v>190.25</v>
      </c>
      <c r="LM3" s="70">
        <v>189.5</v>
      </c>
      <c r="LN3" s="70">
        <v>188.75</v>
      </c>
      <c r="LO3" s="70">
        <v>188</v>
      </c>
      <c r="LP3" s="70">
        <v>187.25</v>
      </c>
      <c r="LQ3" s="70">
        <v>186.5</v>
      </c>
      <c r="LR3" s="70">
        <v>185.75</v>
      </c>
      <c r="LS3" s="70">
        <v>185</v>
      </c>
      <c r="LT3" s="70">
        <v>184.25</v>
      </c>
      <c r="LU3" s="70">
        <v>183.5</v>
      </c>
      <c r="LV3" s="70">
        <v>182.75</v>
      </c>
      <c r="LW3" s="70">
        <v>182</v>
      </c>
      <c r="LX3" s="70">
        <v>181.25</v>
      </c>
      <c r="LY3" s="70">
        <v>180.5</v>
      </c>
      <c r="LZ3" s="70">
        <v>179.75</v>
      </c>
      <c r="MA3" s="70">
        <v>179</v>
      </c>
      <c r="MB3" s="70">
        <v>178.25</v>
      </c>
      <c r="MC3" s="70">
        <v>177.5</v>
      </c>
      <c r="MD3" s="70">
        <v>176.75</v>
      </c>
      <c r="ME3" s="70">
        <v>176</v>
      </c>
      <c r="MF3" s="70">
        <v>175.25</v>
      </c>
      <c r="MG3" s="70">
        <v>174.5</v>
      </c>
      <c r="MH3" s="70">
        <v>173.75</v>
      </c>
      <c r="MI3" s="70">
        <v>173</v>
      </c>
      <c r="MJ3" s="70">
        <v>172.25</v>
      </c>
      <c r="MK3" s="70">
        <v>171.5</v>
      </c>
      <c r="ML3" s="70">
        <v>170.75</v>
      </c>
      <c r="MM3" s="70">
        <v>170</v>
      </c>
      <c r="MN3" s="70">
        <v>169.25</v>
      </c>
      <c r="MO3" s="70">
        <v>168.5</v>
      </c>
      <c r="MP3" s="70">
        <v>167.75</v>
      </c>
      <c r="MQ3" s="70">
        <v>167</v>
      </c>
      <c r="MR3" s="70">
        <v>166.25</v>
      </c>
      <c r="MS3" s="70">
        <v>165.5</v>
      </c>
      <c r="MT3" s="70">
        <v>164.75</v>
      </c>
      <c r="MU3" s="70">
        <v>164</v>
      </c>
      <c r="MV3" s="70">
        <v>163.25</v>
      </c>
      <c r="MW3" s="70">
        <v>162.5</v>
      </c>
      <c r="MX3" s="70">
        <v>161.75</v>
      </c>
      <c r="MY3" s="70">
        <v>161</v>
      </c>
      <c r="MZ3" s="71"/>
      <c r="NA3" s="71"/>
      <c r="NB3" s="71"/>
      <c r="NC3" s="71"/>
      <c r="ND3" s="71"/>
      <c r="NE3" s="71"/>
      <c r="NF3" s="71"/>
      <c r="NG3" s="71"/>
      <c r="NH3" s="71"/>
      <c r="NI3" s="71"/>
      <c r="NJ3" s="71"/>
    </row>
    <row r="4" spans="1:376" ht="15.6" x14ac:dyDescent="0.3">
      <c r="A4" s="67" t="s">
        <v>7</v>
      </c>
      <c r="B4" s="72">
        <v>2014</v>
      </c>
      <c r="C4" s="70">
        <v>487.09</v>
      </c>
      <c r="D4" s="70">
        <v>486.07</v>
      </c>
      <c r="E4" s="70">
        <v>485.06</v>
      </c>
      <c r="F4" s="70">
        <v>484.04</v>
      </c>
      <c r="G4" s="70">
        <v>483.03</v>
      </c>
      <c r="H4" s="70">
        <v>482.01</v>
      </c>
      <c r="I4" s="70">
        <v>481</v>
      </c>
      <c r="J4" s="70">
        <v>479.98</v>
      </c>
      <c r="K4" s="70">
        <v>478.96</v>
      </c>
      <c r="L4" s="70">
        <v>477.95</v>
      </c>
      <c r="M4" s="70">
        <v>476.93</v>
      </c>
      <c r="N4" s="70">
        <v>475.92</v>
      </c>
      <c r="O4" s="70">
        <v>474.9</v>
      </c>
      <c r="P4" s="70">
        <v>473.89</v>
      </c>
      <c r="Q4" s="70">
        <v>472.88</v>
      </c>
      <c r="R4" s="70">
        <v>471.86</v>
      </c>
      <c r="S4" s="70">
        <v>470.85</v>
      </c>
      <c r="T4" s="70">
        <v>469.84</v>
      </c>
      <c r="U4" s="70">
        <v>468.82</v>
      </c>
      <c r="V4" s="70">
        <v>467.81</v>
      </c>
      <c r="W4" s="70">
        <v>466.8</v>
      </c>
      <c r="X4" s="70">
        <v>465.78</v>
      </c>
      <c r="Y4" s="70">
        <v>464.77</v>
      </c>
      <c r="Z4" s="70">
        <v>463.76</v>
      </c>
      <c r="AA4" s="70">
        <v>462.74</v>
      </c>
      <c r="AB4" s="70">
        <v>461.73</v>
      </c>
      <c r="AC4" s="70">
        <v>460.72</v>
      </c>
      <c r="AD4" s="70">
        <v>459.71</v>
      </c>
      <c r="AE4" s="70">
        <v>458.7</v>
      </c>
      <c r="AF4" s="70">
        <v>457.69</v>
      </c>
      <c r="AG4" s="70">
        <v>456.68</v>
      </c>
      <c r="AH4" s="70">
        <v>455.66</v>
      </c>
      <c r="AI4" s="70">
        <v>454.65</v>
      </c>
      <c r="AJ4" s="70">
        <v>453.64</v>
      </c>
      <c r="AK4" s="70">
        <v>452.63</v>
      </c>
      <c r="AL4" s="70">
        <v>451.62</v>
      </c>
      <c r="AM4" s="70">
        <v>450.61</v>
      </c>
      <c r="AN4" s="70">
        <v>449.6</v>
      </c>
      <c r="AO4" s="70">
        <v>448.59</v>
      </c>
      <c r="AP4" s="70">
        <v>447.58</v>
      </c>
      <c r="AQ4" s="70">
        <v>446.57</v>
      </c>
      <c r="AR4" s="70">
        <v>445.56</v>
      </c>
      <c r="AS4" s="70">
        <v>444.56</v>
      </c>
      <c r="AT4" s="70">
        <v>443.55</v>
      </c>
      <c r="AU4" s="70">
        <v>442.54</v>
      </c>
      <c r="AV4" s="70">
        <v>441.53</v>
      </c>
      <c r="AW4" s="70">
        <v>440.52</v>
      </c>
      <c r="AX4" s="70">
        <v>439.51</v>
      </c>
      <c r="AY4" s="70">
        <v>438.51</v>
      </c>
      <c r="AZ4" s="70">
        <v>437.5</v>
      </c>
      <c r="BA4" s="70">
        <v>436.49</v>
      </c>
      <c r="BB4" s="70">
        <v>435.49</v>
      </c>
      <c r="BC4" s="70">
        <v>434.48</v>
      </c>
      <c r="BD4" s="70">
        <v>433.47</v>
      </c>
      <c r="BE4" s="70">
        <v>432.47</v>
      </c>
      <c r="BF4" s="70">
        <v>431.46</v>
      </c>
      <c r="BG4" s="70">
        <v>430.46</v>
      </c>
      <c r="BH4" s="70">
        <v>429.45</v>
      </c>
      <c r="BI4" s="70">
        <v>428.45</v>
      </c>
      <c r="BJ4" s="70">
        <v>427.44</v>
      </c>
      <c r="BK4" s="70">
        <v>426.43</v>
      </c>
      <c r="BL4" s="70">
        <v>425.43</v>
      </c>
      <c r="BM4" s="70">
        <v>424.43</v>
      </c>
      <c r="BN4" s="70">
        <v>423.43</v>
      </c>
      <c r="BO4" s="70">
        <v>422.42</v>
      </c>
      <c r="BP4" s="70">
        <v>421.42</v>
      </c>
      <c r="BQ4" s="70">
        <v>420.42</v>
      </c>
      <c r="BR4" s="70">
        <v>419.41</v>
      </c>
      <c r="BS4" s="70">
        <v>418.41</v>
      </c>
      <c r="BT4" s="70">
        <v>417.41</v>
      </c>
      <c r="BU4" s="70">
        <v>416.41</v>
      </c>
      <c r="BV4" s="70">
        <v>415.41</v>
      </c>
      <c r="BW4" s="70">
        <v>414.41</v>
      </c>
      <c r="BX4" s="70">
        <v>413.41</v>
      </c>
      <c r="BY4" s="70">
        <v>412.41</v>
      </c>
      <c r="BZ4" s="70">
        <v>411.41</v>
      </c>
      <c r="CA4" s="70">
        <v>410.41</v>
      </c>
      <c r="CB4" s="70">
        <v>409.41</v>
      </c>
      <c r="CC4" s="70">
        <v>408.41</v>
      </c>
      <c r="CD4" s="70">
        <v>407.42</v>
      </c>
      <c r="CE4" s="70">
        <v>406.42</v>
      </c>
      <c r="CF4" s="70">
        <v>405.42</v>
      </c>
      <c r="CG4" s="70">
        <v>404.43</v>
      </c>
      <c r="CH4" s="70">
        <v>403.43</v>
      </c>
      <c r="CI4" s="70">
        <v>402.43</v>
      </c>
      <c r="CJ4" s="70">
        <v>401.44</v>
      </c>
      <c r="CK4" s="70">
        <v>400.45</v>
      </c>
      <c r="CL4" s="70">
        <v>399.45</v>
      </c>
      <c r="CM4" s="70">
        <v>398.46</v>
      </c>
      <c r="CN4" s="70">
        <v>397.47</v>
      </c>
      <c r="CO4" s="70">
        <v>396.47</v>
      </c>
      <c r="CP4" s="70">
        <v>395.48</v>
      </c>
      <c r="CQ4" s="70">
        <v>394.49</v>
      </c>
      <c r="CR4" s="70">
        <v>393.5</v>
      </c>
      <c r="CS4" s="70">
        <v>392.5</v>
      </c>
      <c r="CT4" s="70">
        <v>391.51</v>
      </c>
      <c r="CU4" s="70">
        <v>390.52</v>
      </c>
      <c r="CV4" s="70">
        <v>389.53</v>
      </c>
      <c r="CW4" s="70">
        <v>388.54</v>
      </c>
      <c r="CX4" s="70">
        <v>387.56</v>
      </c>
      <c r="CY4" s="70">
        <v>386.57</v>
      </c>
      <c r="CZ4" s="70">
        <v>385.58</v>
      </c>
      <c r="DA4" s="70">
        <v>384.59</v>
      </c>
      <c r="DB4" s="70">
        <v>383.61</v>
      </c>
      <c r="DC4" s="70">
        <v>382.62</v>
      </c>
      <c r="DD4" s="70">
        <v>381.63</v>
      </c>
      <c r="DE4" s="70">
        <v>380.65</v>
      </c>
      <c r="DF4" s="70">
        <v>379.66</v>
      </c>
      <c r="DG4" s="70">
        <v>378.68</v>
      </c>
      <c r="DH4" s="70">
        <v>377.69</v>
      </c>
      <c r="DI4" s="70">
        <v>376.71</v>
      </c>
      <c r="DJ4" s="70">
        <v>375.73</v>
      </c>
      <c r="DK4" s="70">
        <v>374.75</v>
      </c>
      <c r="DL4" s="70">
        <v>373.76</v>
      </c>
      <c r="DM4" s="70">
        <v>372.78</v>
      </c>
      <c r="DN4" s="70">
        <v>371.8</v>
      </c>
      <c r="DO4" s="70">
        <v>370.82</v>
      </c>
      <c r="DP4" s="70">
        <v>369.84</v>
      </c>
      <c r="DQ4" s="70">
        <v>368.86</v>
      </c>
      <c r="DR4" s="70">
        <v>367.88</v>
      </c>
      <c r="DS4" s="70">
        <v>366.9</v>
      </c>
      <c r="DT4" s="70">
        <v>365.93</v>
      </c>
      <c r="DU4" s="70">
        <v>364.95</v>
      </c>
      <c r="DV4" s="70">
        <v>363.98</v>
      </c>
      <c r="DW4" s="70">
        <v>363</v>
      </c>
      <c r="DX4" s="70">
        <v>362.03</v>
      </c>
      <c r="DY4" s="70">
        <v>361.06</v>
      </c>
      <c r="DZ4" s="70">
        <v>360.08</v>
      </c>
      <c r="EA4" s="70">
        <v>359.11</v>
      </c>
      <c r="EB4" s="70">
        <v>358.14</v>
      </c>
      <c r="EC4" s="70">
        <v>357.17</v>
      </c>
      <c r="ED4" s="70">
        <v>356.2</v>
      </c>
      <c r="EE4" s="70">
        <v>355.23</v>
      </c>
      <c r="EF4" s="70">
        <v>354.26</v>
      </c>
      <c r="EG4" s="70">
        <v>353.3</v>
      </c>
      <c r="EH4" s="70">
        <v>352.33</v>
      </c>
      <c r="EI4" s="70">
        <v>351.37</v>
      </c>
      <c r="EJ4" s="70">
        <v>350.4</v>
      </c>
      <c r="EK4" s="70">
        <v>349.44</v>
      </c>
      <c r="EL4" s="70">
        <v>348.48</v>
      </c>
      <c r="EM4" s="70">
        <v>347.52</v>
      </c>
      <c r="EN4" s="70">
        <v>346.56</v>
      </c>
      <c r="EO4" s="70">
        <v>345.59</v>
      </c>
      <c r="EP4" s="70">
        <v>344.63</v>
      </c>
      <c r="EQ4" s="70">
        <v>343.67</v>
      </c>
      <c r="ER4" s="70">
        <v>342.72</v>
      </c>
      <c r="ES4" s="70">
        <v>341.76</v>
      </c>
      <c r="ET4" s="70">
        <v>340.8</v>
      </c>
      <c r="EU4" s="70">
        <v>339.85</v>
      </c>
      <c r="EV4" s="70">
        <v>338.89</v>
      </c>
      <c r="EW4" s="70">
        <v>337.94</v>
      </c>
      <c r="EX4" s="70">
        <v>336.99</v>
      </c>
      <c r="EY4" s="70">
        <v>336.03</v>
      </c>
      <c r="EZ4" s="70">
        <v>335.08</v>
      </c>
      <c r="FA4" s="70">
        <v>334.13</v>
      </c>
      <c r="FB4" s="70">
        <v>333.18</v>
      </c>
      <c r="FC4" s="70">
        <v>332.23</v>
      </c>
      <c r="FD4" s="70">
        <v>331.28</v>
      </c>
      <c r="FE4" s="70">
        <v>330.33</v>
      </c>
      <c r="FF4" s="70">
        <v>329.38</v>
      </c>
      <c r="FG4" s="70">
        <v>328.43</v>
      </c>
      <c r="FH4" s="70">
        <v>327.49</v>
      </c>
      <c r="FI4" s="70">
        <v>326.54000000000002</v>
      </c>
      <c r="FJ4" s="70">
        <v>325.58999999999997</v>
      </c>
      <c r="FK4" s="70">
        <v>324.64999999999998</v>
      </c>
      <c r="FL4" s="70">
        <v>323.70999999999998</v>
      </c>
      <c r="FM4" s="70">
        <v>322.76</v>
      </c>
      <c r="FN4" s="70">
        <v>321.82</v>
      </c>
      <c r="FO4" s="70">
        <v>320.88</v>
      </c>
      <c r="FP4" s="70">
        <v>319.94</v>
      </c>
      <c r="FQ4" s="70">
        <v>319</v>
      </c>
      <c r="FR4" s="70">
        <v>318.06</v>
      </c>
      <c r="FS4" s="70">
        <v>317.12</v>
      </c>
      <c r="FT4" s="70">
        <v>316.19</v>
      </c>
      <c r="FU4" s="70">
        <v>315.25</v>
      </c>
      <c r="FV4" s="70">
        <v>314.31</v>
      </c>
      <c r="FW4" s="70">
        <v>313.38</v>
      </c>
      <c r="FX4" s="70">
        <v>312.45</v>
      </c>
      <c r="FY4" s="70">
        <v>311.51</v>
      </c>
      <c r="FZ4" s="70">
        <v>310.57</v>
      </c>
      <c r="GA4" s="70">
        <v>309.64999999999998</v>
      </c>
      <c r="GB4" s="70">
        <v>308.72000000000003</v>
      </c>
      <c r="GC4" s="70">
        <v>307.79000000000002</v>
      </c>
      <c r="GD4" s="70">
        <v>306.85000000000002</v>
      </c>
      <c r="GE4" s="70">
        <v>305.93</v>
      </c>
      <c r="GF4" s="70">
        <v>305.01</v>
      </c>
      <c r="GG4" s="70">
        <v>304.07</v>
      </c>
      <c r="GH4" s="70">
        <v>303.16000000000003</v>
      </c>
      <c r="GI4" s="70">
        <v>302.23</v>
      </c>
      <c r="GJ4" s="70">
        <v>301.31</v>
      </c>
      <c r="GK4" s="70">
        <v>300.39</v>
      </c>
      <c r="GL4" s="70">
        <v>299.47000000000003</v>
      </c>
      <c r="GM4" s="70">
        <v>298.54000000000002</v>
      </c>
      <c r="GN4" s="70">
        <v>297.63</v>
      </c>
      <c r="GO4" s="70">
        <v>296.70999999999998</v>
      </c>
      <c r="GP4" s="70">
        <v>295.79000000000002</v>
      </c>
      <c r="GQ4" s="70">
        <v>294.89</v>
      </c>
      <c r="GR4" s="70">
        <v>293.97000000000003</v>
      </c>
      <c r="GS4" s="70">
        <v>293.06</v>
      </c>
      <c r="GT4" s="70">
        <v>292.14999999999998</v>
      </c>
      <c r="GU4" s="70">
        <v>291.24</v>
      </c>
      <c r="GV4" s="70">
        <v>290.32</v>
      </c>
      <c r="GW4" s="70">
        <v>289.42</v>
      </c>
      <c r="GX4" s="70">
        <v>288.51</v>
      </c>
      <c r="GY4" s="70">
        <v>287.60000000000002</v>
      </c>
      <c r="GZ4" s="70">
        <v>286.70999999999998</v>
      </c>
      <c r="HA4" s="70">
        <v>285.79000000000002</v>
      </c>
      <c r="HB4" s="70">
        <v>284.89999999999998</v>
      </c>
      <c r="HC4" s="70">
        <v>284</v>
      </c>
      <c r="HD4" s="70">
        <v>283.10000000000002</v>
      </c>
      <c r="HE4" s="70">
        <v>282.2</v>
      </c>
      <c r="HF4" s="70">
        <v>281.31</v>
      </c>
      <c r="HG4" s="70">
        <v>280.41000000000003</v>
      </c>
      <c r="HH4" s="70">
        <v>279.51</v>
      </c>
      <c r="HI4" s="70">
        <v>278.62</v>
      </c>
      <c r="HJ4" s="70">
        <v>277.73</v>
      </c>
      <c r="HK4" s="70">
        <v>276.83999999999997</v>
      </c>
      <c r="HL4" s="70">
        <v>275.95</v>
      </c>
      <c r="HM4" s="70">
        <v>275.07</v>
      </c>
      <c r="HN4" s="70">
        <v>274.18</v>
      </c>
      <c r="HO4" s="70">
        <v>273.29000000000002</v>
      </c>
      <c r="HP4" s="70">
        <v>272.41000000000003</v>
      </c>
      <c r="HQ4" s="70">
        <v>271.52999999999997</v>
      </c>
      <c r="HR4" s="70">
        <v>270.64999999999998</v>
      </c>
      <c r="HS4" s="70">
        <v>269.76</v>
      </c>
      <c r="HT4" s="70">
        <v>268.89</v>
      </c>
      <c r="HU4" s="70">
        <v>268.01</v>
      </c>
      <c r="HV4" s="70">
        <v>267.14</v>
      </c>
      <c r="HW4" s="70">
        <v>266.26</v>
      </c>
      <c r="HX4" s="70">
        <v>265.39</v>
      </c>
      <c r="HY4" s="70">
        <v>264.51</v>
      </c>
      <c r="HZ4" s="70">
        <v>263.64999999999998</v>
      </c>
      <c r="IA4" s="70">
        <v>262.77999999999997</v>
      </c>
      <c r="IB4" s="70">
        <v>261.91000000000003</v>
      </c>
      <c r="IC4" s="70">
        <v>261.04000000000002</v>
      </c>
      <c r="ID4" s="70">
        <v>260.17</v>
      </c>
      <c r="IE4" s="70">
        <v>259.31</v>
      </c>
      <c r="IF4" s="70">
        <v>258.44</v>
      </c>
      <c r="IG4" s="70">
        <v>257.57</v>
      </c>
      <c r="IH4" s="70">
        <v>256.70999999999998</v>
      </c>
      <c r="II4" s="70">
        <v>255.85</v>
      </c>
      <c r="IJ4" s="70">
        <v>254.99</v>
      </c>
      <c r="IK4" s="70">
        <v>254.14</v>
      </c>
      <c r="IL4" s="70">
        <v>253.28</v>
      </c>
      <c r="IM4" s="70">
        <v>252.42</v>
      </c>
      <c r="IN4" s="70">
        <v>251.57</v>
      </c>
      <c r="IO4" s="70">
        <v>250.71</v>
      </c>
      <c r="IP4" s="70">
        <v>249.86</v>
      </c>
      <c r="IQ4" s="70">
        <v>249.01</v>
      </c>
      <c r="IR4" s="70">
        <v>248.16</v>
      </c>
      <c r="IS4" s="70">
        <v>247.31</v>
      </c>
      <c r="IT4" s="70">
        <v>246.47</v>
      </c>
      <c r="IU4" s="70">
        <v>245.62</v>
      </c>
      <c r="IV4" s="70">
        <v>244.78</v>
      </c>
      <c r="IW4" s="70">
        <v>243.94</v>
      </c>
      <c r="IX4" s="70">
        <v>243.1</v>
      </c>
      <c r="IY4" s="70">
        <v>242.26</v>
      </c>
      <c r="IZ4" s="70">
        <v>241.42</v>
      </c>
      <c r="JA4" s="70">
        <v>240.58</v>
      </c>
      <c r="JB4" s="70">
        <v>239.75</v>
      </c>
      <c r="JC4" s="70">
        <v>238.92</v>
      </c>
      <c r="JD4" s="70">
        <v>238.08</v>
      </c>
      <c r="JE4" s="70">
        <v>237.25</v>
      </c>
      <c r="JF4" s="70">
        <v>236.42</v>
      </c>
      <c r="JG4" s="70">
        <v>235.59</v>
      </c>
      <c r="JH4" s="70">
        <v>234.76</v>
      </c>
      <c r="JI4" s="70">
        <v>233.94</v>
      </c>
      <c r="JJ4" s="70">
        <v>233.11</v>
      </c>
      <c r="JK4" s="70">
        <v>232.28</v>
      </c>
      <c r="JL4" s="70">
        <v>231.46</v>
      </c>
      <c r="JM4" s="70">
        <v>230.64</v>
      </c>
      <c r="JN4" s="70">
        <v>229.82</v>
      </c>
      <c r="JO4" s="70">
        <v>229</v>
      </c>
      <c r="JP4" s="70">
        <v>228.18</v>
      </c>
      <c r="JQ4" s="70">
        <v>227.36</v>
      </c>
      <c r="JR4" s="70">
        <v>226.54</v>
      </c>
      <c r="JS4" s="70">
        <v>225.72</v>
      </c>
      <c r="JT4" s="70">
        <v>224.91</v>
      </c>
      <c r="JU4" s="70">
        <v>224.1</v>
      </c>
      <c r="JV4" s="70">
        <v>223.29</v>
      </c>
      <c r="JW4" s="70">
        <v>222.47</v>
      </c>
      <c r="JX4" s="70">
        <v>221.66</v>
      </c>
      <c r="JY4" s="70">
        <v>220.86</v>
      </c>
      <c r="JZ4" s="70">
        <v>220.05</v>
      </c>
      <c r="KA4" s="70">
        <v>219.24</v>
      </c>
      <c r="KB4" s="70">
        <v>218.43</v>
      </c>
      <c r="KC4" s="70">
        <v>217.63</v>
      </c>
      <c r="KD4" s="70">
        <v>216.83</v>
      </c>
      <c r="KE4" s="70">
        <v>216.02</v>
      </c>
      <c r="KF4" s="70">
        <v>215.22</v>
      </c>
      <c r="KG4" s="70">
        <v>214.42</v>
      </c>
      <c r="KH4" s="70">
        <v>213.62</v>
      </c>
      <c r="KI4" s="70">
        <v>212.82</v>
      </c>
      <c r="KJ4" s="70">
        <v>212.03</v>
      </c>
      <c r="KK4" s="70">
        <v>211.23</v>
      </c>
      <c r="KL4" s="70">
        <v>210.44</v>
      </c>
      <c r="KM4" s="70">
        <v>209.64</v>
      </c>
      <c r="KN4" s="70">
        <v>208.85</v>
      </c>
      <c r="KO4" s="70">
        <v>208.06</v>
      </c>
      <c r="KP4" s="70">
        <v>207.27</v>
      </c>
      <c r="KQ4" s="70">
        <v>206.49</v>
      </c>
      <c r="KR4" s="70">
        <v>205.71</v>
      </c>
      <c r="KS4" s="70">
        <v>204.96</v>
      </c>
      <c r="KT4" s="70">
        <v>204.21</v>
      </c>
      <c r="KU4" s="70">
        <v>203.46</v>
      </c>
      <c r="KV4" s="70">
        <v>202.71</v>
      </c>
      <c r="KW4" s="70">
        <v>201.96</v>
      </c>
      <c r="KX4" s="70">
        <v>201.21</v>
      </c>
      <c r="KY4" s="70">
        <v>200.46</v>
      </c>
      <c r="KZ4" s="70">
        <v>199.71</v>
      </c>
      <c r="LA4" s="70">
        <v>198.96</v>
      </c>
      <c r="LB4" s="70">
        <v>198.21</v>
      </c>
      <c r="LC4" s="70">
        <v>197.46</v>
      </c>
      <c r="LD4" s="70">
        <v>196.71</v>
      </c>
      <c r="LE4" s="70">
        <v>195.96</v>
      </c>
      <c r="LF4" s="70">
        <v>195.21</v>
      </c>
      <c r="LG4" s="70">
        <v>194.46</v>
      </c>
      <c r="LH4" s="70">
        <v>193.71</v>
      </c>
      <c r="LI4" s="70">
        <v>192.96</v>
      </c>
      <c r="LJ4" s="70">
        <v>192.21</v>
      </c>
      <c r="LK4" s="70">
        <v>191.46</v>
      </c>
      <c r="LL4" s="70">
        <v>190.71</v>
      </c>
      <c r="LM4" s="70">
        <v>189.96</v>
      </c>
      <c r="LN4" s="70">
        <v>189.21</v>
      </c>
      <c r="LO4" s="70">
        <v>188.46</v>
      </c>
      <c r="LP4" s="70">
        <v>187.71</v>
      </c>
      <c r="LQ4" s="70">
        <v>186.96</v>
      </c>
      <c r="LR4" s="70">
        <v>186.21</v>
      </c>
      <c r="LS4" s="70">
        <v>185.46</v>
      </c>
      <c r="LT4" s="70">
        <v>184.71</v>
      </c>
      <c r="LU4" s="70">
        <v>183.96</v>
      </c>
      <c r="LV4" s="70">
        <v>183.21</v>
      </c>
      <c r="LW4" s="70">
        <v>182.46</v>
      </c>
      <c r="LX4" s="70">
        <v>181.71</v>
      </c>
      <c r="LY4" s="70">
        <v>180.96</v>
      </c>
      <c r="LZ4" s="70">
        <v>180.21</v>
      </c>
      <c r="MA4" s="70">
        <v>179.46</v>
      </c>
      <c r="MB4" s="70">
        <v>178.71</v>
      </c>
      <c r="MC4" s="70">
        <v>177.96</v>
      </c>
      <c r="MD4" s="70">
        <v>177.21</v>
      </c>
      <c r="ME4" s="70">
        <v>176.46</v>
      </c>
      <c r="MF4" s="70">
        <v>175.71</v>
      </c>
      <c r="MG4" s="70">
        <v>174.96</v>
      </c>
      <c r="MH4" s="70">
        <v>174.21</v>
      </c>
      <c r="MI4" s="70">
        <v>173.46</v>
      </c>
      <c r="MJ4" s="70">
        <v>172.71</v>
      </c>
      <c r="MK4" s="70">
        <v>171.96</v>
      </c>
      <c r="ML4" s="70">
        <v>171.21</v>
      </c>
      <c r="MM4" s="70">
        <v>170.46</v>
      </c>
      <c r="MN4" s="70">
        <v>169.71</v>
      </c>
      <c r="MO4" s="70">
        <v>168.96</v>
      </c>
      <c r="MP4" s="70">
        <v>168.21</v>
      </c>
      <c r="MQ4" s="70">
        <v>167.46</v>
      </c>
      <c r="MR4" s="70">
        <v>166.71</v>
      </c>
      <c r="MS4" s="70">
        <v>165.96</v>
      </c>
      <c r="MT4" s="70">
        <v>165.21</v>
      </c>
      <c r="MU4" s="70">
        <v>164.46</v>
      </c>
      <c r="MV4" s="70">
        <v>163.71</v>
      </c>
      <c r="MW4" s="70">
        <v>162.96</v>
      </c>
      <c r="MX4" s="70">
        <v>162.21</v>
      </c>
      <c r="MY4" s="70">
        <v>161.46</v>
      </c>
    </row>
    <row r="5" spans="1:376" ht="15.6" x14ac:dyDescent="0.3">
      <c r="A5" s="67" t="s">
        <v>7</v>
      </c>
      <c r="B5" s="72">
        <v>2015</v>
      </c>
      <c r="C5" s="70">
        <v>487.71</v>
      </c>
      <c r="D5" s="70">
        <v>486.69</v>
      </c>
      <c r="E5" s="70">
        <v>485.68</v>
      </c>
      <c r="F5" s="70">
        <v>484.66</v>
      </c>
      <c r="G5" s="70">
        <v>483.65</v>
      </c>
      <c r="H5" s="70">
        <v>482.63</v>
      </c>
      <c r="I5" s="70">
        <v>481.61</v>
      </c>
      <c r="J5" s="70">
        <v>480.6</v>
      </c>
      <c r="K5" s="70">
        <v>479.58</v>
      </c>
      <c r="L5" s="70">
        <v>478.57</v>
      </c>
      <c r="M5" s="70">
        <v>477.55</v>
      </c>
      <c r="N5" s="70">
        <v>476.54</v>
      </c>
      <c r="O5" s="70">
        <v>475.52</v>
      </c>
      <c r="P5" s="70">
        <v>474.51</v>
      </c>
      <c r="Q5" s="70">
        <v>473.49</v>
      </c>
      <c r="R5" s="70">
        <v>472.48</v>
      </c>
      <c r="S5" s="70">
        <v>471.46</v>
      </c>
      <c r="T5" s="70">
        <v>470.45</v>
      </c>
      <c r="U5" s="70">
        <v>469.44</v>
      </c>
      <c r="V5" s="70">
        <v>468.42</v>
      </c>
      <c r="W5" s="70">
        <v>467.41</v>
      </c>
      <c r="X5" s="70">
        <v>466.4</v>
      </c>
      <c r="Y5" s="70">
        <v>465.38</v>
      </c>
      <c r="Z5" s="70">
        <v>464.37</v>
      </c>
      <c r="AA5" s="70">
        <v>463.36</v>
      </c>
      <c r="AB5" s="70">
        <v>462.34</v>
      </c>
      <c r="AC5" s="70">
        <v>461.33</v>
      </c>
      <c r="AD5" s="70">
        <v>460.32</v>
      </c>
      <c r="AE5" s="70">
        <v>459.31</v>
      </c>
      <c r="AF5" s="70">
        <v>458.3</v>
      </c>
      <c r="AG5" s="70">
        <v>457.28</v>
      </c>
      <c r="AH5" s="70">
        <v>456.27</v>
      </c>
      <c r="AI5" s="70">
        <v>455.26</v>
      </c>
      <c r="AJ5" s="70">
        <v>454.25</v>
      </c>
      <c r="AK5" s="70">
        <v>453.24</v>
      </c>
      <c r="AL5" s="70">
        <v>452.23</v>
      </c>
      <c r="AM5" s="70">
        <v>451.22</v>
      </c>
      <c r="AN5" s="70">
        <v>450.21</v>
      </c>
      <c r="AO5" s="70">
        <v>449.2</v>
      </c>
      <c r="AP5" s="70">
        <v>448.19</v>
      </c>
      <c r="AQ5" s="70">
        <v>447.18</v>
      </c>
      <c r="AR5" s="70">
        <v>446.17</v>
      </c>
      <c r="AS5" s="70">
        <v>445.16</v>
      </c>
      <c r="AT5" s="70">
        <v>444.15</v>
      </c>
      <c r="AU5" s="70">
        <v>443.14</v>
      </c>
      <c r="AV5" s="70">
        <v>442.13</v>
      </c>
      <c r="AW5" s="70">
        <v>441.12</v>
      </c>
      <c r="AX5" s="70">
        <v>440.11</v>
      </c>
      <c r="AY5" s="70">
        <v>439.1</v>
      </c>
      <c r="AZ5" s="70">
        <v>438.1</v>
      </c>
      <c r="BA5" s="70">
        <v>437.09</v>
      </c>
      <c r="BB5" s="70">
        <v>436.08</v>
      </c>
      <c r="BC5" s="70">
        <v>435.08</v>
      </c>
      <c r="BD5" s="70">
        <v>434.07</v>
      </c>
      <c r="BE5" s="70">
        <v>433.06</v>
      </c>
      <c r="BF5" s="70">
        <v>432.06</v>
      </c>
      <c r="BG5" s="70">
        <v>431.05</v>
      </c>
      <c r="BH5" s="70">
        <v>430.04</v>
      </c>
      <c r="BI5" s="70">
        <v>429.04</v>
      </c>
      <c r="BJ5" s="70">
        <v>428.03</v>
      </c>
      <c r="BK5" s="70">
        <v>427.03</v>
      </c>
      <c r="BL5" s="70">
        <v>426.02</v>
      </c>
      <c r="BM5" s="70">
        <v>425.02</v>
      </c>
      <c r="BN5" s="70">
        <v>424.02</v>
      </c>
      <c r="BO5" s="70">
        <v>423.01</v>
      </c>
      <c r="BP5" s="70">
        <v>422.01</v>
      </c>
      <c r="BQ5" s="70">
        <v>421</v>
      </c>
      <c r="BR5" s="70">
        <v>420</v>
      </c>
      <c r="BS5" s="70">
        <v>419</v>
      </c>
      <c r="BT5" s="70">
        <v>418</v>
      </c>
      <c r="BU5" s="70">
        <v>416.99</v>
      </c>
      <c r="BV5" s="70">
        <v>415.99</v>
      </c>
      <c r="BW5" s="70">
        <v>414.99</v>
      </c>
      <c r="BX5" s="70">
        <v>413.99</v>
      </c>
      <c r="BY5" s="70">
        <v>412.99</v>
      </c>
      <c r="BZ5" s="70">
        <v>411.99</v>
      </c>
      <c r="CA5" s="70">
        <v>410.99</v>
      </c>
      <c r="CB5" s="70">
        <v>409.99</v>
      </c>
      <c r="CC5" s="70">
        <v>409</v>
      </c>
      <c r="CD5" s="70">
        <v>408</v>
      </c>
      <c r="CE5" s="70">
        <v>407</v>
      </c>
      <c r="CF5" s="70">
        <v>406</v>
      </c>
      <c r="CG5" s="70">
        <v>405</v>
      </c>
      <c r="CH5" s="70">
        <v>404.01</v>
      </c>
      <c r="CI5" s="70">
        <v>403.01</v>
      </c>
      <c r="CJ5" s="70">
        <v>402.02</v>
      </c>
      <c r="CK5" s="70">
        <v>401.02</v>
      </c>
      <c r="CL5" s="70">
        <v>400.03</v>
      </c>
      <c r="CM5" s="70">
        <v>399.03</v>
      </c>
      <c r="CN5" s="70">
        <v>398.04</v>
      </c>
      <c r="CO5" s="70">
        <v>397.05</v>
      </c>
      <c r="CP5" s="70">
        <v>396.05</v>
      </c>
      <c r="CQ5" s="70">
        <v>395.06</v>
      </c>
      <c r="CR5" s="70">
        <v>394.07</v>
      </c>
      <c r="CS5" s="70">
        <v>393.07</v>
      </c>
      <c r="CT5" s="70">
        <v>392.08</v>
      </c>
      <c r="CU5" s="70">
        <v>391.09</v>
      </c>
      <c r="CV5" s="70">
        <v>390.1</v>
      </c>
      <c r="CW5" s="70">
        <v>389.11</v>
      </c>
      <c r="CX5" s="70">
        <v>388.12</v>
      </c>
      <c r="CY5" s="70">
        <v>387.14</v>
      </c>
      <c r="CZ5" s="70">
        <v>386.15</v>
      </c>
      <c r="DA5" s="70">
        <v>385.16</v>
      </c>
      <c r="DB5" s="70">
        <v>384.17</v>
      </c>
      <c r="DC5" s="70">
        <v>383.19</v>
      </c>
      <c r="DD5" s="70">
        <v>382.2</v>
      </c>
      <c r="DE5" s="70">
        <v>381.21</v>
      </c>
      <c r="DF5" s="70">
        <v>380.22</v>
      </c>
      <c r="DG5" s="70">
        <v>379.24</v>
      </c>
      <c r="DH5" s="70">
        <v>378.26</v>
      </c>
      <c r="DI5" s="70">
        <v>377.27</v>
      </c>
      <c r="DJ5" s="70">
        <v>376.29</v>
      </c>
      <c r="DK5" s="70">
        <v>375.31</v>
      </c>
      <c r="DL5" s="70">
        <v>374.33</v>
      </c>
      <c r="DM5" s="70">
        <v>373.34</v>
      </c>
      <c r="DN5" s="70">
        <v>372.36</v>
      </c>
      <c r="DO5" s="70">
        <v>371.38</v>
      </c>
      <c r="DP5" s="70">
        <v>370.4</v>
      </c>
      <c r="DQ5" s="70">
        <v>369.42</v>
      </c>
      <c r="DR5" s="70">
        <v>368.44</v>
      </c>
      <c r="DS5" s="70">
        <v>367.46</v>
      </c>
      <c r="DT5" s="70">
        <v>366.49</v>
      </c>
      <c r="DU5" s="70">
        <v>365.51</v>
      </c>
      <c r="DV5" s="70">
        <v>364.54</v>
      </c>
      <c r="DW5" s="70">
        <v>363.56</v>
      </c>
      <c r="DX5" s="70">
        <v>362.59</v>
      </c>
      <c r="DY5" s="70">
        <v>361.61</v>
      </c>
      <c r="DZ5" s="70">
        <v>360.64</v>
      </c>
      <c r="EA5" s="70">
        <v>359.67</v>
      </c>
      <c r="EB5" s="70">
        <v>358.69</v>
      </c>
      <c r="EC5" s="70">
        <v>357.72</v>
      </c>
      <c r="ED5" s="70">
        <v>356.75</v>
      </c>
      <c r="EE5" s="70">
        <v>355.78</v>
      </c>
      <c r="EF5" s="70">
        <v>354.82</v>
      </c>
      <c r="EG5" s="70">
        <v>353.85</v>
      </c>
      <c r="EH5" s="70">
        <v>352.88</v>
      </c>
      <c r="EI5" s="70">
        <v>351.92</v>
      </c>
      <c r="EJ5" s="70">
        <v>350.96</v>
      </c>
      <c r="EK5" s="70">
        <v>349.99</v>
      </c>
      <c r="EL5" s="70">
        <v>349.03</v>
      </c>
      <c r="EM5" s="70">
        <v>348.07</v>
      </c>
      <c r="EN5" s="70">
        <v>347.11</v>
      </c>
      <c r="EO5" s="70">
        <v>346.14</v>
      </c>
      <c r="EP5" s="70">
        <v>345.18</v>
      </c>
      <c r="EQ5" s="70">
        <v>344.22</v>
      </c>
      <c r="ER5" s="70">
        <v>343.27</v>
      </c>
      <c r="ES5" s="70">
        <v>342.31</v>
      </c>
      <c r="ET5" s="70">
        <v>341.35</v>
      </c>
      <c r="EU5" s="70">
        <v>340.4</v>
      </c>
      <c r="EV5" s="70">
        <v>339.44</v>
      </c>
      <c r="EW5" s="70">
        <v>338.49</v>
      </c>
      <c r="EX5" s="70">
        <v>337.53</v>
      </c>
      <c r="EY5" s="70">
        <v>336.58</v>
      </c>
      <c r="EZ5" s="70">
        <v>335.63</v>
      </c>
      <c r="FA5" s="70">
        <v>334.67</v>
      </c>
      <c r="FB5" s="70">
        <v>333.72</v>
      </c>
      <c r="FC5" s="70">
        <v>332.77</v>
      </c>
      <c r="FD5" s="70">
        <v>331.82</v>
      </c>
      <c r="FE5" s="70">
        <v>330.87</v>
      </c>
      <c r="FF5" s="70">
        <v>329.93</v>
      </c>
      <c r="FG5" s="70">
        <v>328.98</v>
      </c>
      <c r="FH5" s="70">
        <v>328.03</v>
      </c>
      <c r="FI5" s="70">
        <v>327.08999999999997</v>
      </c>
      <c r="FJ5" s="70">
        <v>326.14</v>
      </c>
      <c r="FK5" s="70">
        <v>325.2</v>
      </c>
      <c r="FL5" s="70">
        <v>324.25</v>
      </c>
      <c r="FM5" s="70">
        <v>323.31</v>
      </c>
      <c r="FN5" s="70">
        <v>322.35000000000002</v>
      </c>
      <c r="FO5" s="70">
        <v>321.42</v>
      </c>
      <c r="FP5" s="70">
        <v>320.48</v>
      </c>
      <c r="FQ5" s="70">
        <v>319.54000000000002</v>
      </c>
      <c r="FR5" s="70">
        <v>318.60000000000002</v>
      </c>
      <c r="FS5" s="70">
        <v>317.67</v>
      </c>
      <c r="FT5" s="70">
        <v>316.73</v>
      </c>
      <c r="FU5" s="70">
        <v>315.79000000000002</v>
      </c>
      <c r="FV5" s="70">
        <v>314.85000000000002</v>
      </c>
      <c r="FW5" s="70">
        <v>313.92</v>
      </c>
      <c r="FX5" s="70">
        <v>312.99</v>
      </c>
      <c r="FY5" s="70">
        <v>312.04000000000002</v>
      </c>
      <c r="FZ5" s="70">
        <v>311.12</v>
      </c>
      <c r="GA5" s="70">
        <v>310.19</v>
      </c>
      <c r="GB5" s="70">
        <v>309.26</v>
      </c>
      <c r="GC5" s="70">
        <v>308.32</v>
      </c>
      <c r="GD5" s="70">
        <v>307.39999999999998</v>
      </c>
      <c r="GE5" s="70">
        <v>306.47000000000003</v>
      </c>
      <c r="GF5" s="70">
        <v>305.54000000000002</v>
      </c>
      <c r="GG5" s="70">
        <v>304.62</v>
      </c>
      <c r="GH5" s="70">
        <v>303.69</v>
      </c>
      <c r="GI5" s="70">
        <v>302.76</v>
      </c>
      <c r="GJ5" s="70">
        <v>301.85000000000002</v>
      </c>
      <c r="GK5" s="70">
        <v>300.93</v>
      </c>
      <c r="GL5" s="70">
        <v>300</v>
      </c>
      <c r="GM5" s="70">
        <v>299.08999999999997</v>
      </c>
      <c r="GN5" s="70">
        <v>298.17</v>
      </c>
      <c r="GO5" s="70">
        <v>297.25</v>
      </c>
      <c r="GP5" s="70">
        <v>296.32</v>
      </c>
      <c r="GQ5" s="70">
        <v>295.42</v>
      </c>
      <c r="GR5" s="70">
        <v>294.51</v>
      </c>
      <c r="GS5" s="70">
        <v>293.58999999999997</v>
      </c>
      <c r="GT5" s="70">
        <v>292.68</v>
      </c>
      <c r="GU5" s="70">
        <v>291.76</v>
      </c>
      <c r="GV5" s="70">
        <v>290.85000000000002</v>
      </c>
      <c r="GW5" s="70">
        <v>289.95999999999998</v>
      </c>
      <c r="GX5" s="70">
        <v>289.04000000000002</v>
      </c>
      <c r="GY5" s="70">
        <v>288.14</v>
      </c>
      <c r="GZ5" s="70">
        <v>287.24</v>
      </c>
      <c r="HA5" s="70">
        <v>286.33999999999997</v>
      </c>
      <c r="HB5" s="70">
        <v>285.43</v>
      </c>
      <c r="HC5" s="70">
        <v>284.52999999999997</v>
      </c>
      <c r="HD5" s="70">
        <v>283.63</v>
      </c>
      <c r="HE5" s="70">
        <v>282.73</v>
      </c>
      <c r="HF5" s="70">
        <v>281.83999999999997</v>
      </c>
      <c r="HG5" s="70">
        <v>280.94</v>
      </c>
      <c r="HH5" s="70">
        <v>280.04000000000002</v>
      </c>
      <c r="HI5" s="70">
        <v>279.14999999999998</v>
      </c>
      <c r="HJ5" s="70">
        <v>278.26</v>
      </c>
      <c r="HK5" s="70">
        <v>277.37</v>
      </c>
      <c r="HL5" s="70">
        <v>276.48</v>
      </c>
      <c r="HM5" s="70">
        <v>275.58999999999997</v>
      </c>
      <c r="HN5" s="70">
        <v>274.70999999999998</v>
      </c>
      <c r="HO5" s="70">
        <v>273.82</v>
      </c>
      <c r="HP5" s="70">
        <v>272.94</v>
      </c>
      <c r="HQ5" s="70">
        <v>272.04000000000002</v>
      </c>
      <c r="HR5" s="70">
        <v>271.17</v>
      </c>
      <c r="HS5" s="70">
        <v>270.29000000000002</v>
      </c>
      <c r="HT5" s="70">
        <v>269.41000000000003</v>
      </c>
      <c r="HU5" s="70">
        <v>268.54000000000002</v>
      </c>
      <c r="HV5" s="70">
        <v>267.66000000000003</v>
      </c>
      <c r="HW5" s="70">
        <v>266.77999999999997</v>
      </c>
      <c r="HX5" s="70">
        <v>265.91000000000003</v>
      </c>
      <c r="HY5" s="70">
        <v>265.04000000000002</v>
      </c>
      <c r="HZ5" s="70">
        <v>264.17</v>
      </c>
      <c r="IA5" s="70">
        <v>263.29000000000002</v>
      </c>
      <c r="IB5" s="70">
        <v>262.43</v>
      </c>
      <c r="IC5" s="70">
        <v>261.56</v>
      </c>
      <c r="ID5" s="70">
        <v>260.69</v>
      </c>
      <c r="IE5" s="70">
        <v>259.82</v>
      </c>
      <c r="IF5" s="70">
        <v>258.95999999999998</v>
      </c>
      <c r="IG5" s="70">
        <v>258.10000000000002</v>
      </c>
      <c r="IH5" s="70">
        <v>257.23</v>
      </c>
      <c r="II5" s="70">
        <v>256.37</v>
      </c>
      <c r="IJ5" s="70">
        <v>255.51</v>
      </c>
      <c r="IK5" s="70">
        <v>254.65</v>
      </c>
      <c r="IL5" s="70">
        <v>253.79</v>
      </c>
      <c r="IM5" s="70">
        <v>252.94</v>
      </c>
      <c r="IN5" s="70">
        <v>252.08</v>
      </c>
      <c r="IO5" s="70">
        <v>251.23</v>
      </c>
      <c r="IP5" s="70">
        <v>250.38</v>
      </c>
      <c r="IQ5" s="70">
        <v>249.53</v>
      </c>
      <c r="IR5" s="70">
        <v>248.68</v>
      </c>
      <c r="IS5" s="70">
        <v>247.83</v>
      </c>
      <c r="IT5" s="70">
        <v>246.98</v>
      </c>
      <c r="IU5" s="70">
        <v>246.13</v>
      </c>
      <c r="IV5" s="70">
        <v>245.29</v>
      </c>
      <c r="IW5" s="70">
        <v>244.45</v>
      </c>
      <c r="IX5" s="70">
        <v>243.61</v>
      </c>
      <c r="IY5" s="70">
        <v>242.77</v>
      </c>
      <c r="IZ5" s="70">
        <v>241.93</v>
      </c>
      <c r="JA5" s="70">
        <v>241.09</v>
      </c>
      <c r="JB5" s="70">
        <v>240.26</v>
      </c>
      <c r="JC5" s="70">
        <v>239.42</v>
      </c>
      <c r="JD5" s="70">
        <v>238.59</v>
      </c>
      <c r="JE5" s="70">
        <v>237.76</v>
      </c>
      <c r="JF5" s="70">
        <v>236.93</v>
      </c>
      <c r="JG5" s="70">
        <v>236.1</v>
      </c>
      <c r="JH5" s="70">
        <v>235.27</v>
      </c>
      <c r="JI5" s="70">
        <v>234.44</v>
      </c>
      <c r="JJ5" s="70">
        <v>233.61</v>
      </c>
      <c r="JK5" s="70">
        <v>232.79</v>
      </c>
      <c r="JL5" s="70">
        <v>231.96</v>
      </c>
      <c r="JM5" s="70">
        <v>231.14</v>
      </c>
      <c r="JN5" s="70">
        <v>230.32</v>
      </c>
      <c r="JO5" s="70">
        <v>229.5</v>
      </c>
      <c r="JP5" s="70">
        <v>228.68</v>
      </c>
      <c r="JQ5" s="70">
        <v>227.86</v>
      </c>
      <c r="JR5" s="70">
        <v>227.04</v>
      </c>
      <c r="JS5" s="70">
        <v>226.22</v>
      </c>
      <c r="JT5" s="70">
        <v>225.41</v>
      </c>
      <c r="JU5" s="70">
        <v>224.59</v>
      </c>
      <c r="JV5" s="70">
        <v>223.78</v>
      </c>
      <c r="JW5" s="70">
        <v>222.97</v>
      </c>
      <c r="JX5" s="70">
        <v>222.16</v>
      </c>
      <c r="JY5" s="70">
        <v>221.35</v>
      </c>
      <c r="JZ5" s="70">
        <v>220.54</v>
      </c>
      <c r="KA5" s="70">
        <v>219.73</v>
      </c>
      <c r="KB5" s="70">
        <v>218.93</v>
      </c>
      <c r="KC5" s="70">
        <v>218.12</v>
      </c>
      <c r="KD5" s="70">
        <v>217.32</v>
      </c>
      <c r="KE5" s="70">
        <v>216.51</v>
      </c>
      <c r="KF5" s="70">
        <v>215.71</v>
      </c>
      <c r="KG5" s="70">
        <v>214.91</v>
      </c>
      <c r="KH5" s="70">
        <v>214.11</v>
      </c>
      <c r="KI5" s="70">
        <v>213.31</v>
      </c>
      <c r="KJ5" s="70">
        <v>212.51</v>
      </c>
      <c r="KK5" s="70">
        <v>211.72</v>
      </c>
      <c r="KL5" s="70">
        <v>210.92</v>
      </c>
      <c r="KM5" s="70">
        <v>210.13</v>
      </c>
      <c r="KN5" s="70">
        <v>209.34</v>
      </c>
      <c r="KO5" s="70">
        <v>208.55</v>
      </c>
      <c r="KP5" s="70">
        <v>207.76</v>
      </c>
      <c r="KQ5" s="70">
        <v>206.97</v>
      </c>
      <c r="KR5" s="70">
        <v>206.17000000000002</v>
      </c>
      <c r="KS5" s="70">
        <v>205.42000000000002</v>
      </c>
      <c r="KT5" s="70">
        <v>204.67000000000002</v>
      </c>
      <c r="KU5" s="70">
        <v>203.92000000000002</v>
      </c>
      <c r="KV5" s="70">
        <v>203.17000000000002</v>
      </c>
      <c r="KW5" s="70">
        <v>202.42000000000002</v>
      </c>
      <c r="KX5" s="70">
        <v>201.67000000000002</v>
      </c>
      <c r="KY5" s="70">
        <v>200.92000000000002</v>
      </c>
      <c r="KZ5" s="70">
        <v>200.17000000000002</v>
      </c>
      <c r="LA5" s="70">
        <v>199.42000000000002</v>
      </c>
      <c r="LB5" s="70">
        <v>198.67000000000002</v>
      </c>
      <c r="LC5" s="70">
        <v>197.92000000000002</v>
      </c>
      <c r="LD5" s="70">
        <v>197.17000000000002</v>
      </c>
      <c r="LE5" s="70">
        <v>196.42000000000002</v>
      </c>
      <c r="LF5" s="70">
        <v>195.67000000000002</v>
      </c>
      <c r="LG5" s="70">
        <v>194.92000000000002</v>
      </c>
      <c r="LH5" s="70">
        <v>194.17000000000002</v>
      </c>
      <c r="LI5" s="70">
        <v>193.42000000000002</v>
      </c>
      <c r="LJ5" s="70">
        <v>192.67000000000002</v>
      </c>
      <c r="LK5" s="70">
        <v>191.92000000000002</v>
      </c>
      <c r="LL5" s="70">
        <v>191.17000000000002</v>
      </c>
      <c r="LM5" s="70">
        <v>190.42000000000002</v>
      </c>
      <c r="LN5" s="70">
        <v>189.67000000000002</v>
      </c>
      <c r="LO5" s="70">
        <v>188.92000000000002</v>
      </c>
      <c r="LP5" s="70">
        <v>188.17000000000002</v>
      </c>
      <c r="LQ5" s="70">
        <v>187.42000000000002</v>
      </c>
      <c r="LR5" s="70">
        <v>186.67000000000002</v>
      </c>
      <c r="LS5" s="70">
        <v>185.92000000000002</v>
      </c>
      <c r="LT5" s="70">
        <v>185.17000000000002</v>
      </c>
      <c r="LU5" s="70">
        <v>184.42000000000002</v>
      </c>
      <c r="LV5" s="70">
        <v>183.67000000000002</v>
      </c>
      <c r="LW5" s="70">
        <v>182.92000000000002</v>
      </c>
      <c r="LX5" s="70">
        <v>182.17000000000002</v>
      </c>
      <c r="LY5" s="70">
        <v>181.42000000000002</v>
      </c>
      <c r="LZ5" s="70">
        <v>180.67000000000002</v>
      </c>
      <c r="MA5" s="70">
        <v>179.92000000000002</v>
      </c>
      <c r="MB5" s="70">
        <v>179.17000000000002</v>
      </c>
      <c r="MC5" s="70">
        <v>178.42000000000002</v>
      </c>
      <c r="MD5" s="70">
        <v>177.67000000000002</v>
      </c>
      <c r="ME5" s="70">
        <v>176.92000000000002</v>
      </c>
      <c r="MF5" s="70">
        <v>176.17000000000002</v>
      </c>
      <c r="MG5" s="70">
        <v>175.42000000000002</v>
      </c>
      <c r="MH5" s="70">
        <v>174.67000000000002</v>
      </c>
      <c r="MI5" s="70">
        <v>173.92000000000002</v>
      </c>
      <c r="MJ5" s="70">
        <v>173.17000000000002</v>
      </c>
      <c r="MK5" s="70">
        <v>172.42000000000002</v>
      </c>
      <c r="ML5" s="70">
        <v>171.67000000000002</v>
      </c>
      <c r="MM5" s="70">
        <v>170.92000000000002</v>
      </c>
      <c r="MN5" s="70">
        <v>170.17000000000002</v>
      </c>
      <c r="MO5" s="70">
        <v>169.42000000000002</v>
      </c>
      <c r="MP5" s="70">
        <v>168.67000000000002</v>
      </c>
      <c r="MQ5" s="70">
        <v>167.92000000000002</v>
      </c>
      <c r="MR5" s="70">
        <v>167.17000000000002</v>
      </c>
      <c r="MS5" s="70">
        <v>166.42000000000002</v>
      </c>
      <c r="MT5" s="70">
        <v>165.67000000000002</v>
      </c>
      <c r="MU5" s="70">
        <v>164.92000000000002</v>
      </c>
      <c r="MV5" s="70">
        <v>164.17000000000002</v>
      </c>
      <c r="MW5" s="70">
        <v>163.42000000000002</v>
      </c>
      <c r="MX5" s="70">
        <v>162.67000000000002</v>
      </c>
      <c r="MY5" s="70">
        <v>161.92000000000002</v>
      </c>
    </row>
    <row r="6" spans="1:376" ht="15.6" x14ac:dyDescent="0.3">
      <c r="A6" s="67" t="s">
        <v>7</v>
      </c>
      <c r="B6" s="72">
        <v>2016</v>
      </c>
      <c r="C6" s="70">
        <v>488.33</v>
      </c>
      <c r="D6" s="70">
        <v>487.31</v>
      </c>
      <c r="E6" s="70">
        <v>486.3</v>
      </c>
      <c r="F6" s="70">
        <v>485.28</v>
      </c>
      <c r="G6" s="70">
        <v>484.26</v>
      </c>
      <c r="H6" s="70">
        <v>483.25</v>
      </c>
      <c r="I6" s="70">
        <v>482.23</v>
      </c>
      <c r="J6" s="70">
        <v>481.21</v>
      </c>
      <c r="K6" s="70">
        <v>480.2</v>
      </c>
      <c r="L6" s="70">
        <v>479.18</v>
      </c>
      <c r="M6" s="70">
        <v>478.17</v>
      </c>
      <c r="N6" s="70">
        <v>477.15</v>
      </c>
      <c r="O6" s="70">
        <v>476.14</v>
      </c>
      <c r="P6" s="70">
        <v>475.12</v>
      </c>
      <c r="Q6" s="70">
        <v>474.11</v>
      </c>
      <c r="R6" s="70">
        <v>473.09</v>
      </c>
      <c r="S6" s="70">
        <v>472.08</v>
      </c>
      <c r="T6" s="70">
        <v>471.06</v>
      </c>
      <c r="U6" s="70">
        <v>470.05</v>
      </c>
      <c r="V6" s="70">
        <v>469.03</v>
      </c>
      <c r="W6" s="70">
        <v>468.02</v>
      </c>
      <c r="X6" s="70">
        <v>467.01</v>
      </c>
      <c r="Y6" s="70">
        <v>465.99</v>
      </c>
      <c r="Z6" s="70">
        <v>464.98</v>
      </c>
      <c r="AA6" s="70">
        <v>463.97</v>
      </c>
      <c r="AB6" s="70">
        <v>462.95</v>
      </c>
      <c r="AC6" s="70">
        <v>461.94</v>
      </c>
      <c r="AD6" s="70">
        <v>460.93</v>
      </c>
      <c r="AE6" s="70">
        <v>459.92</v>
      </c>
      <c r="AF6" s="70">
        <v>458.9</v>
      </c>
      <c r="AG6" s="70">
        <v>457.89</v>
      </c>
      <c r="AH6" s="70">
        <v>456.88</v>
      </c>
      <c r="AI6" s="70">
        <v>455.87</v>
      </c>
      <c r="AJ6" s="70">
        <v>454.85</v>
      </c>
      <c r="AK6" s="70">
        <v>453.84</v>
      </c>
      <c r="AL6" s="70">
        <v>452.83</v>
      </c>
      <c r="AM6" s="70">
        <v>451.82</v>
      </c>
      <c r="AN6" s="70">
        <v>450.81</v>
      </c>
      <c r="AO6" s="70">
        <v>449.8</v>
      </c>
      <c r="AP6" s="70">
        <v>448.79</v>
      </c>
      <c r="AQ6" s="70">
        <v>447.78</v>
      </c>
      <c r="AR6" s="70">
        <v>446.77</v>
      </c>
      <c r="AS6" s="70">
        <v>445.76</v>
      </c>
      <c r="AT6" s="70">
        <v>444.75</v>
      </c>
      <c r="AU6" s="70">
        <v>443.74</v>
      </c>
      <c r="AV6" s="70">
        <v>442.73</v>
      </c>
      <c r="AW6" s="70">
        <v>441.72</v>
      </c>
      <c r="AX6" s="70">
        <v>440.71</v>
      </c>
      <c r="AY6" s="70">
        <v>439.7</v>
      </c>
      <c r="AZ6" s="70">
        <v>438.69</v>
      </c>
      <c r="BA6" s="70">
        <v>437.69</v>
      </c>
      <c r="BB6" s="70">
        <v>436.68</v>
      </c>
      <c r="BC6" s="70">
        <v>435.67</v>
      </c>
      <c r="BD6" s="70">
        <v>434.66</v>
      </c>
      <c r="BE6" s="70">
        <v>433.66</v>
      </c>
      <c r="BF6" s="70">
        <v>432.65</v>
      </c>
      <c r="BG6" s="70">
        <v>431.64</v>
      </c>
      <c r="BH6" s="70">
        <v>430.64</v>
      </c>
      <c r="BI6" s="70">
        <v>429.63</v>
      </c>
      <c r="BJ6" s="70">
        <v>428.62</v>
      </c>
      <c r="BK6" s="70">
        <v>427.62</v>
      </c>
      <c r="BL6" s="70">
        <v>426.61</v>
      </c>
      <c r="BM6" s="70">
        <v>425.61</v>
      </c>
      <c r="BN6" s="70">
        <v>424.6</v>
      </c>
      <c r="BO6" s="70">
        <v>423.6</v>
      </c>
      <c r="BP6" s="70">
        <v>422.6</v>
      </c>
      <c r="BQ6" s="70">
        <v>421.59</v>
      </c>
      <c r="BR6" s="70">
        <v>420.59</v>
      </c>
      <c r="BS6" s="70">
        <v>419.58</v>
      </c>
      <c r="BT6" s="70">
        <v>418.58</v>
      </c>
      <c r="BU6" s="70">
        <v>417.58</v>
      </c>
      <c r="BV6" s="70">
        <v>416.58</v>
      </c>
      <c r="BW6" s="70">
        <v>415.57</v>
      </c>
      <c r="BX6" s="70">
        <v>414.57</v>
      </c>
      <c r="BY6" s="70">
        <v>413.57</v>
      </c>
      <c r="BZ6" s="70">
        <v>412.57</v>
      </c>
      <c r="CA6" s="70">
        <v>411.57</v>
      </c>
      <c r="CB6" s="70">
        <v>410.57</v>
      </c>
      <c r="CC6" s="70">
        <v>409.57</v>
      </c>
      <c r="CD6" s="70">
        <v>408.58</v>
      </c>
      <c r="CE6" s="70">
        <v>407.58</v>
      </c>
      <c r="CF6" s="70">
        <v>406.58</v>
      </c>
      <c r="CG6" s="70">
        <v>405.58</v>
      </c>
      <c r="CH6" s="70">
        <v>404.58</v>
      </c>
      <c r="CI6" s="70">
        <v>403.58</v>
      </c>
      <c r="CJ6" s="70">
        <v>402.59</v>
      </c>
      <c r="CK6" s="70">
        <v>401.6</v>
      </c>
      <c r="CL6" s="70">
        <v>400.6</v>
      </c>
      <c r="CM6" s="70">
        <v>399.61</v>
      </c>
      <c r="CN6" s="70">
        <v>398.61</v>
      </c>
      <c r="CO6" s="70">
        <v>397.62</v>
      </c>
      <c r="CP6" s="70">
        <v>396.62</v>
      </c>
      <c r="CQ6" s="70">
        <v>395.63</v>
      </c>
      <c r="CR6" s="70">
        <v>394.64</v>
      </c>
      <c r="CS6" s="70">
        <v>393.64</v>
      </c>
      <c r="CT6" s="70">
        <v>392.65</v>
      </c>
      <c r="CU6" s="70">
        <v>391.66</v>
      </c>
      <c r="CV6" s="70">
        <v>390.67</v>
      </c>
      <c r="CW6" s="70">
        <v>389.68</v>
      </c>
      <c r="CX6" s="70">
        <v>388.69</v>
      </c>
      <c r="CY6" s="70">
        <v>387.7</v>
      </c>
      <c r="CZ6" s="70">
        <v>386.71</v>
      </c>
      <c r="DA6" s="70">
        <v>385.73</v>
      </c>
      <c r="DB6" s="70">
        <v>384.74</v>
      </c>
      <c r="DC6" s="70">
        <v>383.75</v>
      </c>
      <c r="DD6" s="70">
        <v>382.76</v>
      </c>
      <c r="DE6" s="70">
        <v>381.77</v>
      </c>
      <c r="DF6" s="70">
        <v>380.79</v>
      </c>
      <c r="DG6" s="70">
        <v>379.8</v>
      </c>
      <c r="DH6" s="70">
        <v>378.82</v>
      </c>
      <c r="DI6" s="70">
        <v>377.83</v>
      </c>
      <c r="DJ6" s="70">
        <v>376.85</v>
      </c>
      <c r="DK6" s="70">
        <v>375.87</v>
      </c>
      <c r="DL6" s="70">
        <v>374.89</v>
      </c>
      <c r="DM6" s="70">
        <v>373.9</v>
      </c>
      <c r="DN6" s="70">
        <v>372.92</v>
      </c>
      <c r="DO6" s="70">
        <v>371.94</v>
      </c>
      <c r="DP6" s="70">
        <v>370.96</v>
      </c>
      <c r="DQ6" s="70">
        <v>369.98</v>
      </c>
      <c r="DR6" s="70">
        <v>369</v>
      </c>
      <c r="DS6" s="70">
        <v>368.02</v>
      </c>
      <c r="DT6" s="70">
        <v>367.04</v>
      </c>
      <c r="DU6" s="70">
        <v>366.07</v>
      </c>
      <c r="DV6" s="70">
        <v>365.09</v>
      </c>
      <c r="DW6" s="70">
        <v>364.12</v>
      </c>
      <c r="DX6" s="70">
        <v>363.14</v>
      </c>
      <c r="DY6" s="70">
        <v>362.17</v>
      </c>
      <c r="DZ6" s="70">
        <v>361.19</v>
      </c>
      <c r="EA6" s="70">
        <v>360.22</v>
      </c>
      <c r="EB6" s="70">
        <v>359.25</v>
      </c>
      <c r="EC6" s="70">
        <v>358.28</v>
      </c>
      <c r="ED6" s="70">
        <v>357.3</v>
      </c>
      <c r="EE6" s="70">
        <v>356.33</v>
      </c>
      <c r="EF6" s="70">
        <v>355.37</v>
      </c>
      <c r="EG6" s="70">
        <v>354.4</v>
      </c>
      <c r="EH6" s="70">
        <v>353.44</v>
      </c>
      <c r="EI6" s="70">
        <v>352.47</v>
      </c>
      <c r="EJ6" s="70">
        <v>351.51</v>
      </c>
      <c r="EK6" s="70">
        <v>350.54</v>
      </c>
      <c r="EL6" s="70">
        <v>349.58</v>
      </c>
      <c r="EM6" s="70">
        <v>348.62</v>
      </c>
      <c r="EN6" s="70">
        <v>347.65</v>
      </c>
      <c r="EO6" s="70">
        <v>346.69</v>
      </c>
      <c r="EP6" s="70">
        <v>345.73</v>
      </c>
      <c r="EQ6" s="70">
        <v>344.77</v>
      </c>
      <c r="ER6" s="70">
        <v>343.81</v>
      </c>
      <c r="ES6" s="70">
        <v>342.86</v>
      </c>
      <c r="ET6" s="70">
        <v>341.9</v>
      </c>
      <c r="EU6" s="70">
        <v>340.94</v>
      </c>
      <c r="EV6" s="70">
        <v>339.99</v>
      </c>
      <c r="EW6" s="70">
        <v>339.03</v>
      </c>
      <c r="EX6" s="70">
        <v>338.08</v>
      </c>
      <c r="EY6" s="70">
        <v>337.13</v>
      </c>
      <c r="EZ6" s="70">
        <v>336.17</v>
      </c>
      <c r="FA6" s="70">
        <v>335.22</v>
      </c>
      <c r="FB6" s="70">
        <v>334.27</v>
      </c>
      <c r="FC6" s="70">
        <v>333.32</v>
      </c>
      <c r="FD6" s="70">
        <v>332.37</v>
      </c>
      <c r="FE6" s="70">
        <v>331.42</v>
      </c>
      <c r="FF6" s="70">
        <v>330.47</v>
      </c>
      <c r="FG6" s="70">
        <v>329.52</v>
      </c>
      <c r="FH6" s="70">
        <v>328.58</v>
      </c>
      <c r="FI6" s="70">
        <v>327.63</v>
      </c>
      <c r="FJ6" s="70">
        <v>326.68</v>
      </c>
      <c r="FK6" s="70">
        <v>325.74</v>
      </c>
      <c r="FL6" s="70">
        <v>324.79000000000002</v>
      </c>
      <c r="FM6" s="70">
        <v>323.85000000000002</v>
      </c>
      <c r="FN6" s="70">
        <v>322.91000000000003</v>
      </c>
      <c r="FO6" s="70">
        <v>321.97000000000003</v>
      </c>
      <c r="FP6" s="70">
        <v>321.02999999999997</v>
      </c>
      <c r="FQ6" s="70">
        <v>320.08999999999997</v>
      </c>
      <c r="FR6" s="70">
        <v>319.14999999999998</v>
      </c>
      <c r="FS6" s="70">
        <v>318.20999999999998</v>
      </c>
      <c r="FT6" s="70">
        <v>317.26</v>
      </c>
      <c r="FU6" s="70">
        <v>316.32</v>
      </c>
      <c r="FV6" s="70">
        <v>315.39999999999998</v>
      </c>
      <c r="FW6" s="70">
        <v>314.45999999999998</v>
      </c>
      <c r="FX6" s="70">
        <v>313.52999999999997</v>
      </c>
      <c r="FY6" s="70">
        <v>312.58999999999997</v>
      </c>
      <c r="FZ6" s="70">
        <v>311.66000000000003</v>
      </c>
      <c r="GA6" s="70">
        <v>310.73</v>
      </c>
      <c r="GB6" s="70">
        <v>309.79000000000002</v>
      </c>
      <c r="GC6" s="70">
        <v>308.87</v>
      </c>
      <c r="GD6" s="70">
        <v>307.94</v>
      </c>
      <c r="GE6" s="70">
        <v>307.01</v>
      </c>
      <c r="GF6" s="70">
        <v>306.07</v>
      </c>
      <c r="GG6" s="70">
        <v>305.16000000000003</v>
      </c>
      <c r="GH6" s="70">
        <v>304.23</v>
      </c>
      <c r="GI6" s="70">
        <v>303.31</v>
      </c>
      <c r="GJ6" s="70">
        <v>302.38</v>
      </c>
      <c r="GK6" s="70">
        <v>301.45999999999998</v>
      </c>
      <c r="GL6" s="70">
        <v>300.54000000000002</v>
      </c>
      <c r="GM6" s="70">
        <v>299.62</v>
      </c>
      <c r="GN6" s="70">
        <v>298.7</v>
      </c>
      <c r="GO6" s="70">
        <v>297.79000000000002</v>
      </c>
      <c r="GP6" s="70">
        <v>296.87</v>
      </c>
      <c r="GQ6" s="70">
        <v>295.95</v>
      </c>
      <c r="GR6" s="70">
        <v>295.04000000000002</v>
      </c>
      <c r="GS6" s="70">
        <v>294.13</v>
      </c>
      <c r="GT6" s="70">
        <v>293.22000000000003</v>
      </c>
      <c r="GU6" s="70">
        <v>292.31</v>
      </c>
      <c r="GV6" s="70">
        <v>291.39999999999998</v>
      </c>
      <c r="GW6" s="70">
        <v>290.49</v>
      </c>
      <c r="GX6" s="70">
        <v>289.57</v>
      </c>
      <c r="GY6" s="70">
        <v>288.67</v>
      </c>
      <c r="GZ6" s="70">
        <v>287.76</v>
      </c>
      <c r="HA6" s="70">
        <v>286.87</v>
      </c>
      <c r="HB6" s="70">
        <v>285.95999999999998</v>
      </c>
      <c r="HC6" s="70">
        <v>285.06</v>
      </c>
      <c r="HD6" s="70">
        <v>284.16000000000003</v>
      </c>
      <c r="HE6" s="70">
        <v>283.26</v>
      </c>
      <c r="HF6" s="70">
        <v>282.35000000000002</v>
      </c>
      <c r="HG6" s="70">
        <v>281.47000000000003</v>
      </c>
      <c r="HH6" s="70">
        <v>280.57</v>
      </c>
      <c r="HI6" s="70">
        <v>279.68</v>
      </c>
      <c r="HJ6" s="70">
        <v>278.79000000000002</v>
      </c>
      <c r="HK6" s="70">
        <v>277.89999999999998</v>
      </c>
      <c r="HL6" s="70">
        <v>277.01</v>
      </c>
      <c r="HM6" s="70">
        <v>276.12</v>
      </c>
      <c r="HN6" s="70">
        <v>275.23</v>
      </c>
      <c r="HO6" s="70">
        <v>274.35000000000002</v>
      </c>
      <c r="HP6" s="70">
        <v>273.45999999999998</v>
      </c>
      <c r="HQ6" s="70">
        <v>272.57</v>
      </c>
      <c r="HR6" s="70">
        <v>271.7</v>
      </c>
      <c r="HS6" s="70">
        <v>270.82</v>
      </c>
      <c r="HT6" s="70">
        <v>269.94</v>
      </c>
      <c r="HU6" s="70">
        <v>269.06</v>
      </c>
      <c r="HV6" s="70">
        <v>268.18</v>
      </c>
      <c r="HW6" s="70">
        <v>267.31</v>
      </c>
      <c r="HX6" s="70">
        <v>266.43</v>
      </c>
      <c r="HY6" s="70">
        <v>265.56</v>
      </c>
      <c r="HZ6" s="70">
        <v>264.69</v>
      </c>
      <c r="IA6" s="70">
        <v>263.82</v>
      </c>
      <c r="IB6" s="70">
        <v>262.95</v>
      </c>
      <c r="IC6" s="70">
        <v>262.07</v>
      </c>
      <c r="ID6" s="70">
        <v>261.20999999999998</v>
      </c>
      <c r="IE6" s="70">
        <v>260.33999999999997</v>
      </c>
      <c r="IF6" s="70">
        <v>259.48</v>
      </c>
      <c r="IG6" s="70">
        <v>258.60000000000002</v>
      </c>
      <c r="IH6" s="70">
        <v>257.75</v>
      </c>
      <c r="II6" s="70">
        <v>256.89</v>
      </c>
      <c r="IJ6" s="70">
        <v>256.02999999999997</v>
      </c>
      <c r="IK6" s="70">
        <v>255.17</v>
      </c>
      <c r="IL6" s="70">
        <v>254.31</v>
      </c>
      <c r="IM6" s="70">
        <v>253.45</v>
      </c>
      <c r="IN6" s="70">
        <v>252.6</v>
      </c>
      <c r="IO6" s="70">
        <v>251.74</v>
      </c>
      <c r="IP6" s="70">
        <v>250.89</v>
      </c>
      <c r="IQ6" s="70">
        <v>250.04</v>
      </c>
      <c r="IR6" s="70">
        <v>249.19</v>
      </c>
      <c r="IS6" s="70">
        <v>248.34</v>
      </c>
      <c r="IT6" s="70">
        <v>247.49</v>
      </c>
      <c r="IU6" s="70">
        <v>246.64</v>
      </c>
      <c r="IV6" s="70">
        <v>245.8</v>
      </c>
      <c r="IW6" s="70">
        <v>244.96</v>
      </c>
      <c r="IX6" s="70">
        <v>244.12</v>
      </c>
      <c r="IY6" s="70">
        <v>243.28</v>
      </c>
      <c r="IZ6" s="70">
        <v>242.44</v>
      </c>
      <c r="JA6" s="70">
        <v>241.6</v>
      </c>
      <c r="JB6" s="70">
        <v>240.76</v>
      </c>
      <c r="JC6" s="70">
        <v>239.93</v>
      </c>
      <c r="JD6" s="70">
        <v>239.09</v>
      </c>
      <c r="JE6" s="70">
        <v>238.26</v>
      </c>
      <c r="JF6" s="70">
        <v>237.43</v>
      </c>
      <c r="JG6" s="70">
        <v>236.6</v>
      </c>
      <c r="JH6" s="70">
        <v>235.77</v>
      </c>
      <c r="JI6" s="70">
        <v>234.94</v>
      </c>
      <c r="JJ6" s="70">
        <v>234.12</v>
      </c>
      <c r="JK6" s="70">
        <v>233.29</v>
      </c>
      <c r="JL6" s="70">
        <v>232.46</v>
      </c>
      <c r="JM6" s="70">
        <v>231.64</v>
      </c>
      <c r="JN6" s="70">
        <v>230.82</v>
      </c>
      <c r="JO6" s="70">
        <v>230</v>
      </c>
      <c r="JP6" s="70">
        <v>229.18</v>
      </c>
      <c r="JQ6" s="70">
        <v>228.36</v>
      </c>
      <c r="JR6" s="70">
        <v>227.54</v>
      </c>
      <c r="JS6" s="70">
        <v>226.72</v>
      </c>
      <c r="JT6" s="70">
        <v>225.91</v>
      </c>
      <c r="JU6" s="70">
        <v>225.09</v>
      </c>
      <c r="JV6" s="70">
        <v>224.28</v>
      </c>
      <c r="JW6" s="70">
        <v>223.47</v>
      </c>
      <c r="JX6" s="70">
        <v>222.65</v>
      </c>
      <c r="JY6" s="70">
        <v>221.84</v>
      </c>
      <c r="JZ6" s="70">
        <v>221.04</v>
      </c>
      <c r="KA6" s="70">
        <v>220.23</v>
      </c>
      <c r="KB6" s="70">
        <v>219.42</v>
      </c>
      <c r="KC6" s="70">
        <v>218.61</v>
      </c>
      <c r="KD6" s="70">
        <v>217.81</v>
      </c>
      <c r="KE6" s="70">
        <v>217</v>
      </c>
      <c r="KF6" s="70">
        <v>216.2</v>
      </c>
      <c r="KG6" s="70">
        <v>215.4</v>
      </c>
      <c r="KH6" s="70">
        <v>214.6</v>
      </c>
      <c r="KI6" s="70">
        <v>213.8</v>
      </c>
      <c r="KJ6" s="70">
        <v>213</v>
      </c>
      <c r="KK6" s="70">
        <v>212.21</v>
      </c>
      <c r="KL6" s="70">
        <v>211.41</v>
      </c>
      <c r="KM6" s="70">
        <v>210.62</v>
      </c>
      <c r="KN6" s="70">
        <v>209.82</v>
      </c>
      <c r="KO6" s="70">
        <v>209.03</v>
      </c>
      <c r="KP6" s="70">
        <v>208.24</v>
      </c>
      <c r="KQ6" s="70">
        <v>207.46</v>
      </c>
      <c r="KR6" s="70">
        <v>206.63000000000002</v>
      </c>
      <c r="KS6" s="70">
        <v>205.88000000000002</v>
      </c>
      <c r="KT6" s="70">
        <v>205.13000000000002</v>
      </c>
      <c r="KU6" s="70">
        <v>204.38000000000002</v>
      </c>
      <c r="KV6" s="70">
        <v>203.63000000000002</v>
      </c>
      <c r="KW6" s="70">
        <v>202.88000000000002</v>
      </c>
      <c r="KX6" s="70">
        <v>202.13000000000002</v>
      </c>
      <c r="KY6" s="70">
        <v>201.38000000000002</v>
      </c>
      <c r="KZ6" s="70">
        <v>200.63000000000002</v>
      </c>
      <c r="LA6" s="70">
        <v>199.88000000000002</v>
      </c>
      <c r="LB6" s="70">
        <v>199.13000000000002</v>
      </c>
      <c r="LC6" s="70">
        <v>198.38000000000002</v>
      </c>
      <c r="LD6" s="70">
        <v>197.63000000000002</v>
      </c>
      <c r="LE6" s="70">
        <v>196.88000000000002</v>
      </c>
      <c r="LF6" s="70">
        <v>196.13000000000002</v>
      </c>
      <c r="LG6" s="70">
        <v>195.38000000000002</v>
      </c>
      <c r="LH6" s="70">
        <v>194.63000000000002</v>
      </c>
      <c r="LI6" s="70">
        <v>193.88000000000002</v>
      </c>
      <c r="LJ6" s="70">
        <v>193.13000000000002</v>
      </c>
      <c r="LK6" s="70">
        <v>192.38000000000002</v>
      </c>
      <c r="LL6" s="70">
        <v>191.63000000000002</v>
      </c>
      <c r="LM6" s="70">
        <v>190.88000000000002</v>
      </c>
      <c r="LN6" s="70">
        <v>190.13000000000002</v>
      </c>
      <c r="LO6" s="70">
        <v>189.38000000000002</v>
      </c>
      <c r="LP6" s="70">
        <v>188.63000000000002</v>
      </c>
      <c r="LQ6" s="70">
        <v>187.88000000000002</v>
      </c>
      <c r="LR6" s="70">
        <v>187.13000000000002</v>
      </c>
      <c r="LS6" s="70">
        <v>186.38000000000002</v>
      </c>
      <c r="LT6" s="70">
        <v>185.63000000000002</v>
      </c>
      <c r="LU6" s="70">
        <v>184.88000000000002</v>
      </c>
      <c r="LV6" s="70">
        <v>184.13000000000002</v>
      </c>
      <c r="LW6" s="70">
        <v>183.38000000000002</v>
      </c>
      <c r="LX6" s="70">
        <v>182.63000000000002</v>
      </c>
      <c r="LY6" s="70">
        <v>181.88000000000002</v>
      </c>
      <c r="LZ6" s="70">
        <v>181.13000000000002</v>
      </c>
      <c r="MA6" s="70">
        <v>180.38000000000002</v>
      </c>
      <c r="MB6" s="70">
        <v>179.63000000000002</v>
      </c>
      <c r="MC6" s="70">
        <v>178.88000000000002</v>
      </c>
      <c r="MD6" s="70">
        <v>178.13000000000002</v>
      </c>
      <c r="ME6" s="70">
        <v>177.38000000000002</v>
      </c>
      <c r="MF6" s="70">
        <v>176.63000000000002</v>
      </c>
      <c r="MG6" s="70">
        <v>175.88000000000002</v>
      </c>
      <c r="MH6" s="70">
        <v>175.13000000000002</v>
      </c>
      <c r="MI6" s="70">
        <v>174.38000000000002</v>
      </c>
      <c r="MJ6" s="70">
        <v>173.63000000000002</v>
      </c>
      <c r="MK6" s="70">
        <v>172.88000000000002</v>
      </c>
      <c r="ML6" s="70">
        <v>172.13000000000002</v>
      </c>
      <c r="MM6" s="70">
        <v>171.38000000000002</v>
      </c>
      <c r="MN6" s="70">
        <v>170.63000000000002</v>
      </c>
      <c r="MO6" s="70">
        <v>169.88000000000002</v>
      </c>
      <c r="MP6" s="70">
        <v>169.13000000000002</v>
      </c>
      <c r="MQ6" s="70">
        <v>168.38000000000002</v>
      </c>
      <c r="MR6" s="70">
        <v>167.63000000000002</v>
      </c>
      <c r="MS6" s="70">
        <v>166.88000000000002</v>
      </c>
      <c r="MT6" s="70">
        <v>166.13000000000002</v>
      </c>
      <c r="MU6" s="70">
        <v>165.38000000000002</v>
      </c>
      <c r="MV6" s="70">
        <v>164.63000000000002</v>
      </c>
      <c r="MW6" s="70">
        <v>163.88000000000002</v>
      </c>
      <c r="MX6" s="70">
        <v>163.13000000000002</v>
      </c>
      <c r="MY6" s="70">
        <v>162.38000000000002</v>
      </c>
    </row>
    <row r="7" spans="1:376" ht="15.6" x14ac:dyDescent="0.3">
      <c r="A7" s="67" t="s">
        <v>7</v>
      </c>
      <c r="B7" s="72">
        <v>2017</v>
      </c>
      <c r="C7" s="70">
        <v>488.95</v>
      </c>
      <c r="D7" s="70">
        <v>487.93</v>
      </c>
      <c r="E7" s="70">
        <v>486.91</v>
      </c>
      <c r="F7" s="70">
        <v>485.9</v>
      </c>
      <c r="G7" s="70">
        <v>484.88</v>
      </c>
      <c r="H7" s="70">
        <v>483.86</v>
      </c>
      <c r="I7" s="70">
        <v>482.85</v>
      </c>
      <c r="J7" s="70">
        <v>481.83</v>
      </c>
      <c r="K7" s="70">
        <v>480.81</v>
      </c>
      <c r="L7" s="70">
        <v>479.8</v>
      </c>
      <c r="M7" s="70">
        <v>478.78</v>
      </c>
      <c r="N7" s="70">
        <v>477.76</v>
      </c>
      <c r="O7" s="70">
        <v>476.75</v>
      </c>
      <c r="P7" s="70">
        <v>475.73</v>
      </c>
      <c r="Q7" s="70">
        <v>474.72</v>
      </c>
      <c r="R7" s="70">
        <v>473.7</v>
      </c>
      <c r="S7" s="70">
        <v>472.69</v>
      </c>
      <c r="T7" s="70">
        <v>471.67</v>
      </c>
      <c r="U7" s="70">
        <v>470.66</v>
      </c>
      <c r="V7" s="70">
        <v>469.64</v>
      </c>
      <c r="W7" s="70">
        <v>468.63</v>
      </c>
      <c r="X7" s="70">
        <v>467.62</v>
      </c>
      <c r="Y7" s="70">
        <v>466.6</v>
      </c>
      <c r="Z7" s="70">
        <v>465.59</v>
      </c>
      <c r="AA7" s="70">
        <v>464.57</v>
      </c>
      <c r="AB7" s="70">
        <v>463.56</v>
      </c>
      <c r="AC7" s="70">
        <v>462.55</v>
      </c>
      <c r="AD7" s="70">
        <v>461.53</v>
      </c>
      <c r="AE7" s="70">
        <v>460.52</v>
      </c>
      <c r="AF7" s="70">
        <v>459.51</v>
      </c>
      <c r="AG7" s="70">
        <v>458.5</v>
      </c>
      <c r="AH7" s="70">
        <v>457.48</v>
      </c>
      <c r="AI7" s="70">
        <v>456.47</v>
      </c>
      <c r="AJ7" s="70">
        <v>455.46</v>
      </c>
      <c r="AK7" s="70">
        <v>454.45</v>
      </c>
      <c r="AL7" s="70">
        <v>453.43</v>
      </c>
      <c r="AM7" s="70">
        <v>452.42</v>
      </c>
      <c r="AN7" s="70">
        <v>451.41</v>
      </c>
      <c r="AO7" s="70">
        <v>450.4</v>
      </c>
      <c r="AP7" s="70">
        <v>449.39</v>
      </c>
      <c r="AQ7" s="70">
        <v>448.38</v>
      </c>
      <c r="AR7" s="70">
        <v>447.37</v>
      </c>
      <c r="AS7" s="70">
        <v>446.36</v>
      </c>
      <c r="AT7" s="70">
        <v>445.35</v>
      </c>
      <c r="AU7" s="70">
        <v>444.34</v>
      </c>
      <c r="AV7" s="70">
        <v>443.33</v>
      </c>
      <c r="AW7" s="70">
        <v>442.32</v>
      </c>
      <c r="AX7" s="70">
        <v>441.31</v>
      </c>
      <c r="AY7" s="70">
        <v>440.3</v>
      </c>
      <c r="AZ7" s="70">
        <v>439.29</v>
      </c>
      <c r="BA7" s="70">
        <v>438.28</v>
      </c>
      <c r="BB7" s="70">
        <v>437.27</v>
      </c>
      <c r="BC7" s="70">
        <v>436.26</v>
      </c>
      <c r="BD7" s="70">
        <v>435.26</v>
      </c>
      <c r="BE7" s="70">
        <v>434.25</v>
      </c>
      <c r="BF7" s="70">
        <v>433.24</v>
      </c>
      <c r="BG7" s="70">
        <v>432.23</v>
      </c>
      <c r="BH7" s="70">
        <v>431.23</v>
      </c>
      <c r="BI7" s="70">
        <v>430.22</v>
      </c>
      <c r="BJ7" s="70">
        <v>429.21</v>
      </c>
      <c r="BK7" s="70">
        <v>428.21</v>
      </c>
      <c r="BL7" s="70">
        <v>427.2</v>
      </c>
      <c r="BM7" s="70">
        <v>426.2</v>
      </c>
      <c r="BN7" s="70">
        <v>425.19</v>
      </c>
      <c r="BO7" s="70">
        <v>424.19</v>
      </c>
      <c r="BP7" s="70">
        <v>423.18</v>
      </c>
      <c r="BQ7" s="70">
        <v>422.18</v>
      </c>
      <c r="BR7" s="70">
        <v>421.17</v>
      </c>
      <c r="BS7" s="70">
        <v>420.17</v>
      </c>
      <c r="BT7" s="70">
        <v>419.16</v>
      </c>
      <c r="BU7" s="70">
        <v>418.16</v>
      </c>
      <c r="BV7" s="70">
        <v>417.16</v>
      </c>
      <c r="BW7" s="70">
        <v>416.15</v>
      </c>
      <c r="BX7" s="70">
        <v>415.15</v>
      </c>
      <c r="BY7" s="70">
        <v>414.15</v>
      </c>
      <c r="BZ7" s="70">
        <v>413.15</v>
      </c>
      <c r="CA7" s="70">
        <v>412.15</v>
      </c>
      <c r="CB7" s="70">
        <v>411.15</v>
      </c>
      <c r="CC7" s="70">
        <v>410.15</v>
      </c>
      <c r="CD7" s="70">
        <v>409.15</v>
      </c>
      <c r="CE7" s="70">
        <v>408.15</v>
      </c>
      <c r="CF7" s="70">
        <v>407.16</v>
      </c>
      <c r="CG7" s="70">
        <v>406.16</v>
      </c>
      <c r="CH7" s="70">
        <v>405.16</v>
      </c>
      <c r="CI7" s="70">
        <v>404.16</v>
      </c>
      <c r="CJ7" s="70">
        <v>403.16</v>
      </c>
      <c r="CK7" s="70">
        <v>402.17</v>
      </c>
      <c r="CL7" s="70">
        <v>401.17</v>
      </c>
      <c r="CM7" s="70">
        <v>400.18</v>
      </c>
      <c r="CN7" s="70">
        <v>399.18</v>
      </c>
      <c r="CO7" s="70">
        <v>398.19</v>
      </c>
      <c r="CP7" s="70">
        <v>397.2</v>
      </c>
      <c r="CQ7" s="70">
        <v>396.2</v>
      </c>
      <c r="CR7" s="70">
        <v>395.21</v>
      </c>
      <c r="CS7" s="70">
        <v>394.21</v>
      </c>
      <c r="CT7" s="70">
        <v>393.22</v>
      </c>
      <c r="CU7" s="70">
        <v>392.23</v>
      </c>
      <c r="CV7" s="70">
        <v>391.24</v>
      </c>
      <c r="CW7" s="70">
        <v>390.25</v>
      </c>
      <c r="CX7" s="70">
        <v>389.26</v>
      </c>
      <c r="CY7" s="70">
        <v>388.27</v>
      </c>
      <c r="CZ7" s="70">
        <v>387.28</v>
      </c>
      <c r="DA7" s="70">
        <v>386.29</v>
      </c>
      <c r="DB7" s="70">
        <v>385.3</v>
      </c>
      <c r="DC7" s="70">
        <v>384.31</v>
      </c>
      <c r="DD7" s="70">
        <v>383.32</v>
      </c>
      <c r="DE7" s="70">
        <v>382.34</v>
      </c>
      <c r="DF7" s="70">
        <v>381.35</v>
      </c>
      <c r="DG7" s="70">
        <v>380.36</v>
      </c>
      <c r="DH7" s="70">
        <v>379.38</v>
      </c>
      <c r="DI7" s="70">
        <v>378.39</v>
      </c>
      <c r="DJ7" s="70">
        <v>377.41</v>
      </c>
      <c r="DK7" s="70">
        <v>376.43</v>
      </c>
      <c r="DL7" s="70">
        <v>375.44</v>
      </c>
      <c r="DM7" s="70">
        <v>374.46</v>
      </c>
      <c r="DN7" s="70">
        <v>373.48</v>
      </c>
      <c r="DO7" s="70">
        <v>372.5</v>
      </c>
      <c r="DP7" s="70">
        <v>371.52</v>
      </c>
      <c r="DQ7" s="70">
        <v>370.54</v>
      </c>
      <c r="DR7" s="70">
        <v>369.55</v>
      </c>
      <c r="DS7" s="70">
        <v>368.57</v>
      </c>
      <c r="DT7" s="70">
        <v>367.6</v>
      </c>
      <c r="DU7" s="70">
        <v>366.62</v>
      </c>
      <c r="DV7" s="70">
        <v>365.64</v>
      </c>
      <c r="DW7" s="70">
        <v>364.67</v>
      </c>
      <c r="DX7" s="70">
        <v>363.69</v>
      </c>
      <c r="DY7" s="70">
        <v>362.72</v>
      </c>
      <c r="DZ7" s="70">
        <v>361.75</v>
      </c>
      <c r="EA7" s="70">
        <v>360.77</v>
      </c>
      <c r="EB7" s="70">
        <v>359.8</v>
      </c>
      <c r="EC7" s="70">
        <v>358.83</v>
      </c>
      <c r="ED7" s="70">
        <v>357.86</v>
      </c>
      <c r="EE7" s="70">
        <v>356.89</v>
      </c>
      <c r="EF7" s="70">
        <v>355.92</v>
      </c>
      <c r="EG7" s="70">
        <v>354.95</v>
      </c>
      <c r="EH7" s="70">
        <v>353.99</v>
      </c>
      <c r="EI7" s="70">
        <v>353.02</v>
      </c>
      <c r="EJ7" s="70">
        <v>352.06</v>
      </c>
      <c r="EK7" s="70">
        <v>351.09</v>
      </c>
      <c r="EL7" s="70">
        <v>350.13</v>
      </c>
      <c r="EM7" s="70">
        <v>349.17</v>
      </c>
      <c r="EN7" s="70">
        <v>348.2</v>
      </c>
      <c r="EO7" s="70">
        <v>347.24</v>
      </c>
      <c r="EP7" s="70">
        <v>346.28</v>
      </c>
      <c r="EQ7" s="70">
        <v>345.32</v>
      </c>
      <c r="ER7" s="70">
        <v>344.36</v>
      </c>
      <c r="ES7" s="70">
        <v>343.4</v>
      </c>
      <c r="ET7" s="70">
        <v>342.45</v>
      </c>
      <c r="EU7" s="70">
        <v>341.49</v>
      </c>
      <c r="EV7" s="70">
        <v>340.54</v>
      </c>
      <c r="EW7" s="70">
        <v>339.58</v>
      </c>
      <c r="EX7" s="70">
        <v>338.63</v>
      </c>
      <c r="EY7" s="70">
        <v>337.67</v>
      </c>
      <c r="EZ7" s="70">
        <v>336.72</v>
      </c>
      <c r="FA7" s="70">
        <v>335.77</v>
      </c>
      <c r="FB7" s="70">
        <v>334.81</v>
      </c>
      <c r="FC7" s="70">
        <v>333.86</v>
      </c>
      <c r="FD7" s="70">
        <v>332.91</v>
      </c>
      <c r="FE7" s="70">
        <v>331.96</v>
      </c>
      <c r="FF7" s="70">
        <v>331.01</v>
      </c>
      <c r="FG7" s="70">
        <v>330.07</v>
      </c>
      <c r="FH7" s="70">
        <v>329.12</v>
      </c>
      <c r="FI7" s="70">
        <v>328.17</v>
      </c>
      <c r="FJ7" s="70">
        <v>327.23</v>
      </c>
      <c r="FK7" s="70">
        <v>326.27999999999997</v>
      </c>
      <c r="FL7" s="70">
        <v>325.33999999999997</v>
      </c>
      <c r="FM7" s="70">
        <v>324.39</v>
      </c>
      <c r="FN7" s="70">
        <v>323.45</v>
      </c>
      <c r="FO7" s="70">
        <v>322.51</v>
      </c>
      <c r="FP7" s="70">
        <v>321.57</v>
      </c>
      <c r="FQ7" s="70">
        <v>320.63</v>
      </c>
      <c r="FR7" s="70">
        <v>319.69</v>
      </c>
      <c r="FS7" s="70">
        <v>318.75</v>
      </c>
      <c r="FT7" s="70">
        <v>317.81</v>
      </c>
      <c r="FU7" s="70">
        <v>316.87</v>
      </c>
      <c r="FV7" s="70">
        <v>315.94</v>
      </c>
      <c r="FW7" s="70">
        <v>315</v>
      </c>
      <c r="FX7" s="70">
        <v>314.07</v>
      </c>
      <c r="FY7" s="70">
        <v>313.13</v>
      </c>
      <c r="FZ7" s="70">
        <v>312.2</v>
      </c>
      <c r="GA7" s="70">
        <v>311.26</v>
      </c>
      <c r="GB7" s="70">
        <v>310.32</v>
      </c>
      <c r="GC7" s="70">
        <v>309.39999999999998</v>
      </c>
      <c r="GD7" s="70">
        <v>308.48</v>
      </c>
      <c r="GE7" s="70">
        <v>307.54000000000002</v>
      </c>
      <c r="GF7" s="70">
        <v>306.62</v>
      </c>
      <c r="GG7" s="70">
        <v>305.69</v>
      </c>
      <c r="GH7" s="70">
        <v>304.76</v>
      </c>
      <c r="GI7" s="70">
        <v>303.83999999999997</v>
      </c>
      <c r="GJ7" s="70">
        <v>302.92</v>
      </c>
      <c r="GK7" s="70">
        <v>302</v>
      </c>
      <c r="GL7" s="70">
        <v>301.07</v>
      </c>
      <c r="GM7" s="70">
        <v>300.16000000000003</v>
      </c>
      <c r="GN7" s="70">
        <v>299.24</v>
      </c>
      <c r="GO7" s="70">
        <v>298.32</v>
      </c>
      <c r="GP7" s="70">
        <v>297.39999999999998</v>
      </c>
      <c r="GQ7" s="70">
        <v>296.49</v>
      </c>
      <c r="GR7" s="70">
        <v>295.57</v>
      </c>
      <c r="GS7" s="70">
        <v>294.66000000000003</v>
      </c>
      <c r="GT7" s="70">
        <v>293.75</v>
      </c>
      <c r="GU7" s="70">
        <v>292.83999999999997</v>
      </c>
      <c r="GV7" s="70">
        <v>291.93</v>
      </c>
      <c r="GW7" s="70">
        <v>291.01</v>
      </c>
      <c r="GX7" s="70">
        <v>290.10000000000002</v>
      </c>
      <c r="GY7" s="70">
        <v>289.2</v>
      </c>
      <c r="GZ7" s="70">
        <v>288.29000000000002</v>
      </c>
      <c r="HA7" s="70">
        <v>287.39999999999998</v>
      </c>
      <c r="HB7" s="70">
        <v>286.49</v>
      </c>
      <c r="HC7" s="70">
        <v>285.58999999999997</v>
      </c>
      <c r="HD7" s="70">
        <v>284.69</v>
      </c>
      <c r="HE7" s="70">
        <v>283.79000000000002</v>
      </c>
      <c r="HF7" s="70">
        <v>282.89</v>
      </c>
      <c r="HG7" s="70">
        <v>282</v>
      </c>
      <c r="HH7" s="70">
        <v>281.10000000000002</v>
      </c>
      <c r="HI7" s="70">
        <v>280.20999999999998</v>
      </c>
      <c r="HJ7" s="70">
        <v>279.31</v>
      </c>
      <c r="HK7" s="70">
        <v>278.42</v>
      </c>
      <c r="HL7" s="70">
        <v>277.52999999999997</v>
      </c>
      <c r="HM7" s="70">
        <v>276.64</v>
      </c>
      <c r="HN7" s="70">
        <v>275.76</v>
      </c>
      <c r="HO7" s="70">
        <v>274.87</v>
      </c>
      <c r="HP7" s="70">
        <v>273.99</v>
      </c>
      <c r="HQ7" s="70">
        <v>273.10000000000002</v>
      </c>
      <c r="HR7" s="70">
        <v>272.22000000000003</v>
      </c>
      <c r="HS7" s="70">
        <v>271.33999999999997</v>
      </c>
      <c r="HT7" s="70">
        <v>270.45999999999998</v>
      </c>
      <c r="HU7" s="70">
        <v>269.57</v>
      </c>
      <c r="HV7" s="70">
        <v>268.7</v>
      </c>
      <c r="HW7" s="70">
        <v>267.82</v>
      </c>
      <c r="HX7" s="70">
        <v>266.95</v>
      </c>
      <c r="HY7" s="70">
        <v>266.07</v>
      </c>
      <c r="HZ7" s="70">
        <v>265.20999999999998</v>
      </c>
      <c r="IA7" s="70">
        <v>264.32</v>
      </c>
      <c r="IB7" s="70">
        <v>263.45999999999998</v>
      </c>
      <c r="IC7" s="70">
        <v>262.60000000000002</v>
      </c>
      <c r="ID7" s="70">
        <v>261.73</v>
      </c>
      <c r="IE7" s="70">
        <v>260.85000000000002</v>
      </c>
      <c r="IF7" s="70">
        <v>259.99</v>
      </c>
      <c r="IG7" s="70">
        <v>259.13</v>
      </c>
      <c r="IH7" s="70">
        <v>258.26</v>
      </c>
      <c r="II7" s="70">
        <v>257.39999999999998</v>
      </c>
      <c r="IJ7" s="70">
        <v>256.54000000000002</v>
      </c>
      <c r="IK7" s="70">
        <v>255.68</v>
      </c>
      <c r="IL7" s="70">
        <v>254.82</v>
      </c>
      <c r="IM7" s="70">
        <v>253.97</v>
      </c>
      <c r="IN7" s="70">
        <v>253.11</v>
      </c>
      <c r="IO7" s="70">
        <v>252.25</v>
      </c>
      <c r="IP7" s="70">
        <v>251.4</v>
      </c>
      <c r="IQ7" s="70">
        <v>250.55</v>
      </c>
      <c r="IR7" s="70">
        <v>249.7</v>
      </c>
      <c r="IS7" s="70">
        <v>248.85</v>
      </c>
      <c r="IT7" s="70">
        <v>248</v>
      </c>
      <c r="IU7" s="70">
        <v>247.15</v>
      </c>
      <c r="IV7" s="70">
        <v>246.31</v>
      </c>
      <c r="IW7" s="70">
        <v>245.47</v>
      </c>
      <c r="IX7" s="70">
        <v>244.62</v>
      </c>
      <c r="IY7" s="70">
        <v>243.78</v>
      </c>
      <c r="IZ7" s="70">
        <v>242.94</v>
      </c>
      <c r="JA7" s="70">
        <v>242.11</v>
      </c>
      <c r="JB7" s="70">
        <v>241.27</v>
      </c>
      <c r="JC7" s="70">
        <v>240.43</v>
      </c>
      <c r="JD7" s="70">
        <v>239.6</v>
      </c>
      <c r="JE7" s="70">
        <v>238.77</v>
      </c>
      <c r="JF7" s="70">
        <v>237.93</v>
      </c>
      <c r="JG7" s="70">
        <v>237.1</v>
      </c>
      <c r="JH7" s="70">
        <v>236.27</v>
      </c>
      <c r="JI7" s="70">
        <v>235.44</v>
      </c>
      <c r="JJ7" s="70">
        <v>234.62</v>
      </c>
      <c r="JK7" s="70">
        <v>233.79</v>
      </c>
      <c r="JL7" s="70">
        <v>232.96</v>
      </c>
      <c r="JM7" s="70">
        <v>232.14</v>
      </c>
      <c r="JN7" s="70">
        <v>231.32</v>
      </c>
      <c r="JO7" s="70">
        <v>230.5</v>
      </c>
      <c r="JP7" s="70">
        <v>229.67</v>
      </c>
      <c r="JQ7" s="70">
        <v>228.85</v>
      </c>
      <c r="JR7" s="70">
        <v>228.03</v>
      </c>
      <c r="JS7" s="70">
        <v>227.22</v>
      </c>
      <c r="JT7" s="70">
        <v>226.4</v>
      </c>
      <c r="JU7" s="70">
        <v>225.59</v>
      </c>
      <c r="JV7" s="70">
        <v>224.77</v>
      </c>
      <c r="JW7" s="70">
        <v>223.96</v>
      </c>
      <c r="JX7" s="70">
        <v>223.15</v>
      </c>
      <c r="JY7" s="70">
        <v>222.34</v>
      </c>
      <c r="JZ7" s="70">
        <v>221.53</v>
      </c>
      <c r="KA7" s="70">
        <v>220.72</v>
      </c>
      <c r="KB7" s="70">
        <v>219.91</v>
      </c>
      <c r="KC7" s="70">
        <v>219.1</v>
      </c>
      <c r="KD7" s="70">
        <v>218.3</v>
      </c>
      <c r="KE7" s="70">
        <v>217.49</v>
      </c>
      <c r="KF7" s="70">
        <v>216.69</v>
      </c>
      <c r="KG7" s="70">
        <v>215.89</v>
      </c>
      <c r="KH7" s="70">
        <v>215.09</v>
      </c>
      <c r="KI7" s="70">
        <v>214.29</v>
      </c>
      <c r="KJ7" s="70">
        <v>213.49</v>
      </c>
      <c r="KK7" s="70">
        <v>212.69</v>
      </c>
      <c r="KL7" s="70">
        <v>211.9</v>
      </c>
      <c r="KM7" s="70">
        <v>211.1</v>
      </c>
      <c r="KN7" s="70">
        <v>210.31</v>
      </c>
      <c r="KO7" s="70">
        <v>209.52</v>
      </c>
      <c r="KP7" s="70">
        <v>208.73</v>
      </c>
      <c r="KQ7" s="70">
        <v>207.94</v>
      </c>
      <c r="KR7" s="70">
        <v>207.09000000000003</v>
      </c>
      <c r="KS7" s="70">
        <v>206.34000000000003</v>
      </c>
      <c r="KT7" s="70">
        <v>205.59000000000003</v>
      </c>
      <c r="KU7" s="70">
        <v>204.84000000000003</v>
      </c>
      <c r="KV7" s="70">
        <v>204.09000000000003</v>
      </c>
      <c r="KW7" s="70">
        <v>203.34000000000003</v>
      </c>
      <c r="KX7" s="70">
        <v>202.59000000000003</v>
      </c>
      <c r="KY7" s="70">
        <v>201.84000000000003</v>
      </c>
      <c r="KZ7" s="70">
        <v>201.09000000000003</v>
      </c>
      <c r="LA7" s="70">
        <v>200.34000000000003</v>
      </c>
      <c r="LB7" s="70">
        <v>199.59000000000003</v>
      </c>
      <c r="LC7" s="70">
        <v>198.84000000000003</v>
      </c>
      <c r="LD7" s="70">
        <v>198.09000000000003</v>
      </c>
      <c r="LE7" s="70">
        <v>197.34000000000003</v>
      </c>
      <c r="LF7" s="70">
        <v>196.59000000000003</v>
      </c>
      <c r="LG7" s="70">
        <v>195.84000000000003</v>
      </c>
      <c r="LH7" s="70">
        <v>195.09000000000003</v>
      </c>
      <c r="LI7" s="70">
        <v>194.34000000000003</v>
      </c>
      <c r="LJ7" s="70">
        <v>193.59000000000003</v>
      </c>
      <c r="LK7" s="70">
        <v>192.84000000000003</v>
      </c>
      <c r="LL7" s="70">
        <v>192.09000000000003</v>
      </c>
      <c r="LM7" s="70">
        <v>191.34000000000003</v>
      </c>
      <c r="LN7" s="70">
        <v>190.59000000000003</v>
      </c>
      <c r="LO7" s="70">
        <v>189.84000000000003</v>
      </c>
      <c r="LP7" s="70">
        <v>189.09000000000003</v>
      </c>
      <c r="LQ7" s="70">
        <v>188.34000000000003</v>
      </c>
      <c r="LR7" s="70">
        <v>187.59000000000003</v>
      </c>
      <c r="LS7" s="70">
        <v>186.84000000000003</v>
      </c>
      <c r="LT7" s="70">
        <v>186.09000000000003</v>
      </c>
      <c r="LU7" s="70">
        <v>185.34000000000003</v>
      </c>
      <c r="LV7" s="70">
        <v>184.59000000000003</v>
      </c>
      <c r="LW7" s="70">
        <v>183.84000000000003</v>
      </c>
      <c r="LX7" s="70">
        <v>183.09000000000003</v>
      </c>
      <c r="LY7" s="70">
        <v>182.34000000000003</v>
      </c>
      <c r="LZ7" s="70">
        <v>181.59000000000003</v>
      </c>
      <c r="MA7" s="70">
        <v>180.84000000000003</v>
      </c>
      <c r="MB7" s="70">
        <v>180.09000000000003</v>
      </c>
      <c r="MC7" s="70">
        <v>179.34000000000003</v>
      </c>
      <c r="MD7" s="70">
        <v>178.59000000000003</v>
      </c>
      <c r="ME7" s="70">
        <v>177.84000000000003</v>
      </c>
      <c r="MF7" s="70">
        <v>177.09000000000003</v>
      </c>
      <c r="MG7" s="70">
        <v>176.34000000000003</v>
      </c>
      <c r="MH7" s="70">
        <v>175.59000000000003</v>
      </c>
      <c r="MI7" s="70">
        <v>174.84000000000003</v>
      </c>
      <c r="MJ7" s="70">
        <v>174.09000000000003</v>
      </c>
      <c r="MK7" s="70">
        <v>173.34000000000003</v>
      </c>
      <c r="ML7" s="70">
        <v>172.59000000000003</v>
      </c>
      <c r="MM7" s="70">
        <v>171.84000000000003</v>
      </c>
      <c r="MN7" s="70">
        <v>171.09000000000003</v>
      </c>
      <c r="MO7" s="70">
        <v>170.34000000000003</v>
      </c>
      <c r="MP7" s="70">
        <v>169.59000000000003</v>
      </c>
      <c r="MQ7" s="70">
        <v>168.84000000000003</v>
      </c>
      <c r="MR7" s="70">
        <v>168.09000000000003</v>
      </c>
      <c r="MS7" s="70">
        <v>167.34000000000003</v>
      </c>
      <c r="MT7" s="70">
        <v>166.59000000000003</v>
      </c>
      <c r="MU7" s="70">
        <v>165.84000000000003</v>
      </c>
      <c r="MV7" s="70">
        <v>165.09000000000003</v>
      </c>
      <c r="MW7" s="70">
        <v>164.34000000000003</v>
      </c>
      <c r="MX7" s="70">
        <v>163.59000000000003</v>
      </c>
      <c r="MY7" s="70">
        <v>162.84000000000003</v>
      </c>
    </row>
    <row r="8" spans="1:376" ht="15.6" x14ac:dyDescent="0.3">
      <c r="A8" s="67" t="s">
        <v>7</v>
      </c>
      <c r="B8" s="72">
        <v>2018</v>
      </c>
      <c r="C8" s="70">
        <v>489.56</v>
      </c>
      <c r="D8" s="70">
        <v>488.54</v>
      </c>
      <c r="E8" s="70">
        <v>487.53</v>
      </c>
      <c r="F8" s="70">
        <v>486.51</v>
      </c>
      <c r="G8" s="70">
        <v>485.49</v>
      </c>
      <c r="H8" s="70">
        <v>484.48</v>
      </c>
      <c r="I8" s="70">
        <v>483.46</v>
      </c>
      <c r="J8" s="70">
        <v>482.44</v>
      </c>
      <c r="K8" s="70">
        <v>481.42</v>
      </c>
      <c r="L8" s="70">
        <v>480.41</v>
      </c>
      <c r="M8" s="70">
        <v>479.39</v>
      </c>
      <c r="N8" s="70">
        <v>478.38</v>
      </c>
      <c r="O8" s="70">
        <v>477.36</v>
      </c>
      <c r="P8" s="70">
        <v>476.34</v>
      </c>
      <c r="Q8" s="70">
        <v>475.33</v>
      </c>
      <c r="R8" s="70">
        <v>474.31</v>
      </c>
      <c r="S8" s="70">
        <v>473.3</v>
      </c>
      <c r="T8" s="70">
        <v>472.28</v>
      </c>
      <c r="U8" s="70">
        <v>471.27</v>
      </c>
      <c r="V8" s="70">
        <v>470.25</v>
      </c>
      <c r="W8" s="70">
        <v>469.24</v>
      </c>
      <c r="X8" s="70">
        <v>468.22</v>
      </c>
      <c r="Y8" s="70">
        <v>467.21</v>
      </c>
      <c r="Z8" s="70">
        <v>466.19</v>
      </c>
      <c r="AA8" s="70">
        <v>465.18</v>
      </c>
      <c r="AB8" s="70">
        <v>464.17</v>
      </c>
      <c r="AC8" s="70">
        <v>463.15</v>
      </c>
      <c r="AD8" s="70">
        <v>462.14</v>
      </c>
      <c r="AE8" s="70">
        <v>461.12</v>
      </c>
      <c r="AF8" s="70">
        <v>460.11</v>
      </c>
      <c r="AG8" s="70">
        <v>459.1</v>
      </c>
      <c r="AH8" s="70">
        <v>458.09</v>
      </c>
      <c r="AI8" s="70">
        <v>457.07</v>
      </c>
      <c r="AJ8" s="70">
        <v>456.06</v>
      </c>
      <c r="AK8" s="70">
        <v>455.05</v>
      </c>
      <c r="AL8" s="70">
        <v>454.03</v>
      </c>
      <c r="AM8" s="70">
        <v>453.02</v>
      </c>
      <c r="AN8" s="70">
        <v>452.01</v>
      </c>
      <c r="AO8" s="70">
        <v>451</v>
      </c>
      <c r="AP8" s="70">
        <v>449.99</v>
      </c>
      <c r="AQ8" s="70">
        <v>448.98</v>
      </c>
      <c r="AR8" s="70">
        <v>447.96</v>
      </c>
      <c r="AS8" s="70">
        <v>446.95</v>
      </c>
      <c r="AT8" s="70">
        <v>445.94</v>
      </c>
      <c r="AU8" s="70">
        <v>444.93</v>
      </c>
      <c r="AV8" s="70">
        <v>443.92</v>
      </c>
      <c r="AW8" s="70">
        <v>442.91</v>
      </c>
      <c r="AX8" s="70">
        <v>441.9</v>
      </c>
      <c r="AY8" s="70">
        <v>440.89</v>
      </c>
      <c r="AZ8" s="70">
        <v>439.88</v>
      </c>
      <c r="BA8" s="70">
        <v>438.87</v>
      </c>
      <c r="BB8" s="70">
        <v>437.87</v>
      </c>
      <c r="BC8" s="70">
        <v>436.86</v>
      </c>
      <c r="BD8" s="70">
        <v>435.85</v>
      </c>
      <c r="BE8" s="70">
        <v>434.84</v>
      </c>
      <c r="BF8" s="70">
        <v>433.83</v>
      </c>
      <c r="BG8" s="70">
        <v>432.82</v>
      </c>
      <c r="BH8" s="70">
        <v>431.82</v>
      </c>
      <c r="BI8" s="70">
        <v>430.81</v>
      </c>
      <c r="BJ8" s="70">
        <v>429.8</v>
      </c>
      <c r="BK8" s="70">
        <v>428.79</v>
      </c>
      <c r="BL8" s="70">
        <v>427.79</v>
      </c>
      <c r="BM8" s="70">
        <v>426.78</v>
      </c>
      <c r="BN8" s="70">
        <v>425.78</v>
      </c>
      <c r="BO8" s="70">
        <v>424.77</v>
      </c>
      <c r="BP8" s="70">
        <v>423.77</v>
      </c>
      <c r="BQ8" s="70">
        <v>422.76</v>
      </c>
      <c r="BR8" s="70">
        <v>421.76</v>
      </c>
      <c r="BS8" s="70">
        <v>420.75</v>
      </c>
      <c r="BT8" s="70">
        <v>419.75</v>
      </c>
      <c r="BU8" s="70">
        <v>418.74</v>
      </c>
      <c r="BV8" s="70">
        <v>417.74</v>
      </c>
      <c r="BW8" s="70">
        <v>416.73</v>
      </c>
      <c r="BX8" s="70">
        <v>415.73</v>
      </c>
      <c r="BY8" s="70">
        <v>414.73</v>
      </c>
      <c r="BZ8" s="70">
        <v>413.73</v>
      </c>
      <c r="CA8" s="70">
        <v>412.73</v>
      </c>
      <c r="CB8" s="70">
        <v>411.73</v>
      </c>
      <c r="CC8" s="70">
        <v>410.73</v>
      </c>
      <c r="CD8" s="70">
        <v>409.73</v>
      </c>
      <c r="CE8" s="70">
        <v>408.73</v>
      </c>
      <c r="CF8" s="70">
        <v>407.73</v>
      </c>
      <c r="CG8" s="70">
        <v>406.73</v>
      </c>
      <c r="CH8" s="70">
        <v>405.73</v>
      </c>
      <c r="CI8" s="70">
        <v>404.73</v>
      </c>
      <c r="CJ8" s="70">
        <v>403.74</v>
      </c>
      <c r="CK8" s="70">
        <v>402.74</v>
      </c>
      <c r="CL8" s="70">
        <v>401.74</v>
      </c>
      <c r="CM8" s="70">
        <v>400.75</v>
      </c>
      <c r="CN8" s="70">
        <v>399.75</v>
      </c>
      <c r="CO8" s="70">
        <v>398.76</v>
      </c>
      <c r="CP8" s="70">
        <v>397.76</v>
      </c>
      <c r="CQ8" s="70">
        <v>396.77</v>
      </c>
      <c r="CR8" s="70">
        <v>395.78</v>
      </c>
      <c r="CS8" s="70">
        <v>394.78</v>
      </c>
      <c r="CT8" s="70">
        <v>393.79</v>
      </c>
      <c r="CU8" s="70">
        <v>392.79</v>
      </c>
      <c r="CV8" s="70">
        <v>391.8</v>
      </c>
      <c r="CW8" s="70">
        <v>390.81</v>
      </c>
      <c r="CX8" s="70">
        <v>389.82</v>
      </c>
      <c r="CY8" s="70">
        <v>388.83</v>
      </c>
      <c r="CZ8" s="70">
        <v>387.84</v>
      </c>
      <c r="DA8" s="70">
        <v>386.85</v>
      </c>
      <c r="DB8" s="70">
        <v>385.86</v>
      </c>
      <c r="DC8" s="70">
        <v>384.88</v>
      </c>
      <c r="DD8" s="70">
        <v>383.89</v>
      </c>
      <c r="DE8" s="70">
        <v>382.9</v>
      </c>
      <c r="DF8" s="70">
        <v>381.91</v>
      </c>
      <c r="DG8" s="70">
        <v>380.92</v>
      </c>
      <c r="DH8" s="70">
        <v>379.94</v>
      </c>
      <c r="DI8" s="70">
        <v>378.95</v>
      </c>
      <c r="DJ8" s="70">
        <v>377.97</v>
      </c>
      <c r="DK8" s="70">
        <v>376.99</v>
      </c>
      <c r="DL8" s="70">
        <v>376</v>
      </c>
      <c r="DM8" s="70">
        <v>375.02</v>
      </c>
      <c r="DN8" s="70">
        <v>374.04</v>
      </c>
      <c r="DO8" s="70">
        <v>373.05</v>
      </c>
      <c r="DP8" s="70">
        <v>372.07</v>
      </c>
      <c r="DQ8" s="70">
        <v>371.09</v>
      </c>
      <c r="DR8" s="70">
        <v>370.11</v>
      </c>
      <c r="DS8" s="70">
        <v>369.13</v>
      </c>
      <c r="DT8" s="70">
        <v>368.15</v>
      </c>
      <c r="DU8" s="70">
        <v>367.17</v>
      </c>
      <c r="DV8" s="70">
        <v>366.2</v>
      </c>
      <c r="DW8" s="70">
        <v>365.22</v>
      </c>
      <c r="DX8" s="70">
        <v>364.25</v>
      </c>
      <c r="DY8" s="70">
        <v>363.27</v>
      </c>
      <c r="DZ8" s="70">
        <v>362.3</v>
      </c>
      <c r="EA8" s="70">
        <v>361.32</v>
      </c>
      <c r="EB8" s="70">
        <v>360.35</v>
      </c>
      <c r="EC8" s="70">
        <v>359.38</v>
      </c>
      <c r="ED8" s="70">
        <v>358.41</v>
      </c>
      <c r="EE8" s="70">
        <v>357.44</v>
      </c>
      <c r="EF8" s="70">
        <v>356.47</v>
      </c>
      <c r="EG8" s="70">
        <v>355.5</v>
      </c>
      <c r="EH8" s="70">
        <v>354.53</v>
      </c>
      <c r="EI8" s="70">
        <v>353.57</v>
      </c>
      <c r="EJ8" s="70">
        <v>352.6</v>
      </c>
      <c r="EK8" s="70">
        <v>351.64</v>
      </c>
      <c r="EL8" s="70">
        <v>350.68</v>
      </c>
      <c r="EM8" s="70">
        <v>349.71</v>
      </c>
      <c r="EN8" s="70">
        <v>348.75</v>
      </c>
      <c r="EO8" s="70">
        <v>347.79</v>
      </c>
      <c r="EP8" s="70">
        <v>346.83</v>
      </c>
      <c r="EQ8" s="70">
        <v>345.87</v>
      </c>
      <c r="ER8" s="70">
        <v>344.91</v>
      </c>
      <c r="ES8" s="70">
        <v>343.95</v>
      </c>
      <c r="ET8" s="70">
        <v>342.99</v>
      </c>
      <c r="EU8" s="70">
        <v>342.04</v>
      </c>
      <c r="EV8" s="70">
        <v>341.08</v>
      </c>
      <c r="EW8" s="70">
        <v>340.13</v>
      </c>
      <c r="EX8" s="70">
        <v>339.17</v>
      </c>
      <c r="EY8" s="70">
        <v>338.22</v>
      </c>
      <c r="EZ8" s="70">
        <v>337.26</v>
      </c>
      <c r="FA8" s="70">
        <v>336.31</v>
      </c>
      <c r="FB8" s="70">
        <v>335.36</v>
      </c>
      <c r="FC8" s="70">
        <v>334.41</v>
      </c>
      <c r="FD8" s="70">
        <v>333.46</v>
      </c>
      <c r="FE8" s="70">
        <v>332.51</v>
      </c>
      <c r="FF8" s="70">
        <v>331.56</v>
      </c>
      <c r="FG8" s="70">
        <v>330.61</v>
      </c>
      <c r="FH8" s="70">
        <v>329.66</v>
      </c>
      <c r="FI8" s="70">
        <v>328.72</v>
      </c>
      <c r="FJ8" s="70">
        <v>327.77</v>
      </c>
      <c r="FK8" s="70">
        <v>326.82</v>
      </c>
      <c r="FL8" s="70">
        <v>325.88</v>
      </c>
      <c r="FM8" s="70">
        <v>324.93</v>
      </c>
      <c r="FN8" s="70">
        <v>323.99</v>
      </c>
      <c r="FO8" s="70">
        <v>323.04000000000002</v>
      </c>
      <c r="FP8" s="70">
        <v>322.10000000000002</v>
      </c>
      <c r="FQ8" s="70">
        <v>321.17</v>
      </c>
      <c r="FR8" s="70">
        <v>320.23</v>
      </c>
      <c r="FS8" s="70">
        <v>319.29000000000002</v>
      </c>
      <c r="FT8" s="70">
        <v>318.35000000000002</v>
      </c>
      <c r="FU8" s="70">
        <v>317.41000000000003</v>
      </c>
      <c r="FV8" s="70">
        <v>316.48</v>
      </c>
      <c r="FW8" s="70">
        <v>315.54000000000002</v>
      </c>
      <c r="FX8" s="70">
        <v>314.60000000000002</v>
      </c>
      <c r="FY8" s="70">
        <v>313.67</v>
      </c>
      <c r="FZ8" s="70">
        <v>312.74</v>
      </c>
      <c r="GA8" s="70">
        <v>311.79000000000002</v>
      </c>
      <c r="GB8" s="70">
        <v>310.87</v>
      </c>
      <c r="GC8" s="70">
        <v>309.94</v>
      </c>
      <c r="GD8" s="70">
        <v>309.01</v>
      </c>
      <c r="GE8" s="70">
        <v>308.07</v>
      </c>
      <c r="GF8" s="70">
        <v>307.16000000000003</v>
      </c>
      <c r="GG8" s="70">
        <v>306.23</v>
      </c>
      <c r="GH8" s="70">
        <v>305.29000000000002</v>
      </c>
      <c r="GI8" s="70">
        <v>304.38</v>
      </c>
      <c r="GJ8" s="70">
        <v>303.45</v>
      </c>
      <c r="GK8" s="70">
        <v>302.52999999999997</v>
      </c>
      <c r="GL8" s="70">
        <v>301.60000000000002</v>
      </c>
      <c r="GM8" s="70">
        <v>300.69</v>
      </c>
      <c r="GN8" s="70">
        <v>299.76</v>
      </c>
      <c r="GO8" s="70">
        <v>298.85000000000002</v>
      </c>
      <c r="GP8" s="70">
        <v>297.94</v>
      </c>
      <c r="GQ8" s="70">
        <v>297.01</v>
      </c>
      <c r="GR8" s="70">
        <v>296.10000000000002</v>
      </c>
      <c r="GS8" s="70">
        <v>295.19</v>
      </c>
      <c r="GT8" s="70">
        <v>294.27999999999997</v>
      </c>
      <c r="GU8" s="70">
        <v>293.37</v>
      </c>
      <c r="GV8" s="70">
        <v>292.45999999999998</v>
      </c>
      <c r="GW8" s="70">
        <v>291.54000000000002</v>
      </c>
      <c r="GX8" s="70">
        <v>290.64</v>
      </c>
      <c r="GY8" s="70">
        <v>289.73</v>
      </c>
      <c r="GZ8" s="70">
        <v>288.82</v>
      </c>
      <c r="HA8" s="70">
        <v>287.92</v>
      </c>
      <c r="HB8" s="70">
        <v>287.01</v>
      </c>
      <c r="HC8" s="70">
        <v>286.12</v>
      </c>
      <c r="HD8" s="70">
        <v>285.22000000000003</v>
      </c>
      <c r="HE8" s="70">
        <v>284.32</v>
      </c>
      <c r="HF8" s="70">
        <v>283.42</v>
      </c>
      <c r="HG8" s="70">
        <v>282.51</v>
      </c>
      <c r="HH8" s="70">
        <v>281.63</v>
      </c>
      <c r="HI8" s="70">
        <v>280.73</v>
      </c>
      <c r="HJ8" s="70">
        <v>279.83999999999997</v>
      </c>
      <c r="HK8" s="70">
        <v>278.95</v>
      </c>
      <c r="HL8" s="70">
        <v>278.06</v>
      </c>
      <c r="HM8" s="70">
        <v>277.17</v>
      </c>
      <c r="HN8" s="70">
        <v>276.27999999999997</v>
      </c>
      <c r="HO8" s="70">
        <v>275.39</v>
      </c>
      <c r="HP8" s="70">
        <v>274.51</v>
      </c>
      <c r="HQ8" s="70">
        <v>273.63</v>
      </c>
      <c r="HR8" s="70">
        <v>272.74</v>
      </c>
      <c r="HS8" s="70">
        <v>271.85000000000002</v>
      </c>
      <c r="HT8" s="70">
        <v>270.98</v>
      </c>
      <c r="HU8" s="70">
        <v>270.10000000000002</v>
      </c>
      <c r="HV8" s="70">
        <v>269.22000000000003</v>
      </c>
      <c r="HW8" s="70">
        <v>268.35000000000002</v>
      </c>
      <c r="HX8" s="70">
        <v>267.47000000000003</v>
      </c>
      <c r="HY8" s="70">
        <v>266.60000000000002</v>
      </c>
      <c r="HZ8" s="70">
        <v>265.73</v>
      </c>
      <c r="IA8" s="70">
        <v>264.85000000000002</v>
      </c>
      <c r="IB8" s="70">
        <v>263.98</v>
      </c>
      <c r="IC8" s="70">
        <v>263.10000000000002</v>
      </c>
      <c r="ID8" s="70">
        <v>262.24</v>
      </c>
      <c r="IE8" s="70">
        <v>261.38</v>
      </c>
      <c r="IF8" s="70">
        <v>260.51</v>
      </c>
      <c r="IG8" s="70">
        <v>259.64</v>
      </c>
      <c r="IH8" s="70">
        <v>258.77999999999997</v>
      </c>
      <c r="II8" s="70">
        <v>257.92</v>
      </c>
      <c r="IJ8" s="70">
        <v>257.06</v>
      </c>
      <c r="IK8" s="70">
        <v>256.19</v>
      </c>
      <c r="IL8" s="70">
        <v>255.34</v>
      </c>
      <c r="IM8" s="70">
        <v>254.48</v>
      </c>
      <c r="IN8" s="70">
        <v>253.62</v>
      </c>
      <c r="IO8" s="70">
        <v>252.77</v>
      </c>
      <c r="IP8" s="70">
        <v>251.91</v>
      </c>
      <c r="IQ8" s="70">
        <v>251.06</v>
      </c>
      <c r="IR8" s="70">
        <v>250.21</v>
      </c>
      <c r="IS8" s="70">
        <v>249.36</v>
      </c>
      <c r="IT8" s="70">
        <v>248.51</v>
      </c>
      <c r="IU8" s="70">
        <v>247.66</v>
      </c>
      <c r="IV8" s="70">
        <v>246.82</v>
      </c>
      <c r="IW8" s="70">
        <v>245.97</v>
      </c>
      <c r="IX8" s="70">
        <v>245.13</v>
      </c>
      <c r="IY8" s="70">
        <v>244.29</v>
      </c>
      <c r="IZ8" s="70">
        <v>243.45</v>
      </c>
      <c r="JA8" s="70">
        <v>242.61</v>
      </c>
      <c r="JB8" s="70">
        <v>241.77</v>
      </c>
      <c r="JC8" s="70">
        <v>240.94</v>
      </c>
      <c r="JD8" s="70">
        <v>240.1</v>
      </c>
      <c r="JE8" s="70">
        <v>239.27</v>
      </c>
      <c r="JF8" s="70">
        <v>238.44</v>
      </c>
      <c r="JG8" s="70">
        <v>237.6</v>
      </c>
      <c r="JH8" s="70">
        <v>236.77</v>
      </c>
      <c r="JI8" s="70">
        <v>235.95</v>
      </c>
      <c r="JJ8" s="70">
        <v>235.12</v>
      </c>
      <c r="JK8" s="70">
        <v>234.29</v>
      </c>
      <c r="JL8" s="70">
        <v>233.46</v>
      </c>
      <c r="JM8" s="70">
        <v>232.64</v>
      </c>
      <c r="JN8" s="70">
        <v>231.82</v>
      </c>
      <c r="JO8" s="70">
        <v>230.99</v>
      </c>
      <c r="JP8" s="70">
        <v>230.17</v>
      </c>
      <c r="JQ8" s="70">
        <v>229.35</v>
      </c>
      <c r="JR8" s="70">
        <v>228.53</v>
      </c>
      <c r="JS8" s="70">
        <v>227.71</v>
      </c>
      <c r="JT8" s="70">
        <v>226.9</v>
      </c>
      <c r="JU8" s="70">
        <v>226.08</v>
      </c>
      <c r="JV8" s="70">
        <v>225.27</v>
      </c>
      <c r="JW8" s="70">
        <v>224.45</v>
      </c>
      <c r="JX8" s="70">
        <v>223.64</v>
      </c>
      <c r="JY8" s="70">
        <v>222.83</v>
      </c>
      <c r="JZ8" s="70">
        <v>222.02</v>
      </c>
      <c r="KA8" s="70">
        <v>221.21</v>
      </c>
      <c r="KB8" s="70">
        <v>220.4</v>
      </c>
      <c r="KC8" s="70">
        <v>219.59</v>
      </c>
      <c r="KD8" s="70">
        <v>218.79</v>
      </c>
      <c r="KE8" s="70">
        <v>217.98</v>
      </c>
      <c r="KF8" s="70">
        <v>217.18</v>
      </c>
      <c r="KG8" s="70">
        <v>216.38</v>
      </c>
      <c r="KH8" s="70">
        <v>215.57</v>
      </c>
      <c r="KI8" s="70">
        <v>214.77</v>
      </c>
      <c r="KJ8" s="70">
        <v>213.97</v>
      </c>
      <c r="KK8" s="70">
        <v>213.18</v>
      </c>
      <c r="KL8" s="70">
        <v>212.38</v>
      </c>
      <c r="KM8" s="70">
        <v>211.59</v>
      </c>
      <c r="KN8" s="70">
        <v>210.79</v>
      </c>
      <c r="KO8" s="70">
        <v>210</v>
      </c>
      <c r="KP8" s="70">
        <v>209.21</v>
      </c>
      <c r="KQ8" s="70">
        <v>208.42</v>
      </c>
      <c r="KR8" s="70">
        <v>207.55000000000004</v>
      </c>
      <c r="KS8" s="70">
        <v>206.80000000000004</v>
      </c>
      <c r="KT8" s="70">
        <v>206.05000000000004</v>
      </c>
      <c r="KU8" s="70">
        <v>205.30000000000004</v>
      </c>
      <c r="KV8" s="70">
        <v>204.55000000000004</v>
      </c>
      <c r="KW8" s="70">
        <v>203.80000000000004</v>
      </c>
      <c r="KX8" s="70">
        <v>203.05000000000004</v>
      </c>
      <c r="KY8" s="70">
        <v>202.30000000000004</v>
      </c>
      <c r="KZ8" s="70">
        <v>201.55000000000004</v>
      </c>
      <c r="LA8" s="70">
        <v>200.80000000000004</v>
      </c>
      <c r="LB8" s="70">
        <v>200.05000000000004</v>
      </c>
      <c r="LC8" s="70">
        <v>199.30000000000004</v>
      </c>
      <c r="LD8" s="70">
        <v>198.55000000000004</v>
      </c>
      <c r="LE8" s="70">
        <v>197.80000000000004</v>
      </c>
      <c r="LF8" s="70">
        <v>197.05000000000004</v>
      </c>
      <c r="LG8" s="70">
        <v>196.30000000000004</v>
      </c>
      <c r="LH8" s="70">
        <v>195.55000000000004</v>
      </c>
      <c r="LI8" s="70">
        <v>194.80000000000004</v>
      </c>
      <c r="LJ8" s="70">
        <v>194.05000000000004</v>
      </c>
      <c r="LK8" s="70">
        <v>193.30000000000004</v>
      </c>
      <c r="LL8" s="70">
        <v>192.55000000000004</v>
      </c>
      <c r="LM8" s="70">
        <v>191.80000000000004</v>
      </c>
      <c r="LN8" s="70">
        <v>191.05000000000004</v>
      </c>
      <c r="LO8" s="70">
        <v>190.30000000000004</v>
      </c>
      <c r="LP8" s="70">
        <v>189.55000000000004</v>
      </c>
      <c r="LQ8" s="70">
        <v>188.80000000000004</v>
      </c>
      <c r="LR8" s="70">
        <v>188.05000000000004</v>
      </c>
      <c r="LS8" s="70">
        <v>187.30000000000004</v>
      </c>
      <c r="LT8" s="70">
        <v>186.55000000000004</v>
      </c>
      <c r="LU8" s="70">
        <v>185.80000000000004</v>
      </c>
      <c r="LV8" s="70">
        <v>185.05000000000004</v>
      </c>
      <c r="LW8" s="70">
        <v>184.30000000000004</v>
      </c>
      <c r="LX8" s="70">
        <v>183.55000000000004</v>
      </c>
      <c r="LY8" s="70">
        <v>182.80000000000004</v>
      </c>
      <c r="LZ8" s="70">
        <v>182.05000000000004</v>
      </c>
      <c r="MA8" s="70">
        <v>181.30000000000004</v>
      </c>
      <c r="MB8" s="70">
        <v>180.55000000000004</v>
      </c>
      <c r="MC8" s="70">
        <v>179.80000000000004</v>
      </c>
      <c r="MD8" s="70">
        <v>179.05000000000004</v>
      </c>
      <c r="ME8" s="70">
        <v>178.30000000000004</v>
      </c>
      <c r="MF8" s="70">
        <v>177.55000000000004</v>
      </c>
      <c r="MG8" s="70">
        <v>176.80000000000004</v>
      </c>
      <c r="MH8" s="70">
        <v>176.05000000000004</v>
      </c>
      <c r="MI8" s="70">
        <v>175.30000000000004</v>
      </c>
      <c r="MJ8" s="70">
        <v>174.55000000000004</v>
      </c>
      <c r="MK8" s="70">
        <v>173.80000000000004</v>
      </c>
      <c r="ML8" s="70">
        <v>173.05000000000004</v>
      </c>
      <c r="MM8" s="70">
        <v>172.30000000000004</v>
      </c>
      <c r="MN8" s="70">
        <v>171.55000000000004</v>
      </c>
      <c r="MO8" s="70">
        <v>170.80000000000004</v>
      </c>
      <c r="MP8" s="70">
        <v>170.05000000000004</v>
      </c>
      <c r="MQ8" s="70">
        <v>169.30000000000004</v>
      </c>
      <c r="MR8" s="70">
        <v>168.55000000000004</v>
      </c>
      <c r="MS8" s="70">
        <v>167.80000000000004</v>
      </c>
      <c r="MT8" s="70">
        <v>167.05000000000004</v>
      </c>
      <c r="MU8" s="70">
        <v>166.30000000000004</v>
      </c>
      <c r="MV8" s="70">
        <v>165.55000000000004</v>
      </c>
      <c r="MW8" s="70">
        <v>164.80000000000004</v>
      </c>
      <c r="MX8" s="70">
        <v>164.05000000000004</v>
      </c>
      <c r="MY8" s="70">
        <v>163.30000000000004</v>
      </c>
    </row>
    <row r="9" spans="1:376" ht="15.6" x14ac:dyDescent="0.3">
      <c r="A9" s="67" t="s">
        <v>7</v>
      </c>
      <c r="B9" s="72">
        <v>2019</v>
      </c>
      <c r="C9" s="70">
        <v>490.17</v>
      </c>
      <c r="D9" s="70">
        <v>489.16</v>
      </c>
      <c r="E9" s="70">
        <v>488.14</v>
      </c>
      <c r="F9" s="70">
        <v>487.12</v>
      </c>
      <c r="G9" s="70">
        <v>486.1</v>
      </c>
      <c r="H9" s="70">
        <v>485.09</v>
      </c>
      <c r="I9" s="70">
        <v>484.07</v>
      </c>
      <c r="J9" s="70">
        <v>483.05</v>
      </c>
      <c r="K9" s="70">
        <v>482.03</v>
      </c>
      <c r="L9" s="70">
        <v>481.02</v>
      </c>
      <c r="M9" s="70">
        <v>480</v>
      </c>
      <c r="N9" s="70">
        <v>478.98</v>
      </c>
      <c r="O9" s="70">
        <v>477.97</v>
      </c>
      <c r="P9" s="70">
        <v>476.95</v>
      </c>
      <c r="Q9" s="70">
        <v>475.94</v>
      </c>
      <c r="R9" s="70">
        <v>474.92</v>
      </c>
      <c r="S9" s="70">
        <v>473.9</v>
      </c>
      <c r="T9" s="70">
        <v>472.89</v>
      </c>
      <c r="U9" s="70">
        <v>471.87</v>
      </c>
      <c r="V9" s="70">
        <v>470.86</v>
      </c>
      <c r="W9" s="70">
        <v>469.84</v>
      </c>
      <c r="X9" s="70">
        <v>468.83</v>
      </c>
      <c r="Y9" s="70">
        <v>467.81</v>
      </c>
      <c r="Z9" s="70">
        <v>466.8</v>
      </c>
      <c r="AA9" s="70">
        <v>465.78</v>
      </c>
      <c r="AB9" s="70">
        <v>464.77</v>
      </c>
      <c r="AC9" s="70">
        <v>463.75</v>
      </c>
      <c r="AD9" s="70">
        <v>462.74</v>
      </c>
      <c r="AE9" s="70">
        <v>461.73</v>
      </c>
      <c r="AF9" s="70">
        <v>460.71</v>
      </c>
      <c r="AG9" s="70">
        <v>459.7</v>
      </c>
      <c r="AH9" s="70">
        <v>458.69</v>
      </c>
      <c r="AI9" s="70">
        <v>457.67</v>
      </c>
      <c r="AJ9" s="70">
        <v>456.66</v>
      </c>
      <c r="AK9" s="70">
        <v>455.65</v>
      </c>
      <c r="AL9" s="70">
        <v>454.63</v>
      </c>
      <c r="AM9" s="70">
        <v>453.62</v>
      </c>
      <c r="AN9" s="70">
        <v>452.61</v>
      </c>
      <c r="AO9" s="70">
        <v>451.6</v>
      </c>
      <c r="AP9" s="70">
        <v>450.58</v>
      </c>
      <c r="AQ9" s="70">
        <v>449.57</v>
      </c>
      <c r="AR9" s="70">
        <v>448.56</v>
      </c>
      <c r="AS9" s="70">
        <v>447.55</v>
      </c>
      <c r="AT9" s="70">
        <v>446.54</v>
      </c>
      <c r="AU9" s="70">
        <v>445.53</v>
      </c>
      <c r="AV9" s="70">
        <v>444.52</v>
      </c>
      <c r="AW9" s="70">
        <v>443.5</v>
      </c>
      <c r="AX9" s="70">
        <v>442.49</v>
      </c>
      <c r="AY9" s="70">
        <v>441.48</v>
      </c>
      <c r="AZ9" s="70">
        <v>440.47</v>
      </c>
      <c r="BA9" s="70">
        <v>439.46</v>
      </c>
      <c r="BB9" s="70">
        <v>438.46</v>
      </c>
      <c r="BC9" s="70">
        <v>437.45</v>
      </c>
      <c r="BD9" s="70">
        <v>436.44</v>
      </c>
      <c r="BE9" s="70">
        <v>435.43</v>
      </c>
      <c r="BF9" s="70">
        <v>434.42</v>
      </c>
      <c r="BG9" s="70">
        <v>433.41</v>
      </c>
      <c r="BH9" s="70">
        <v>432.4</v>
      </c>
      <c r="BI9" s="70">
        <v>431.39</v>
      </c>
      <c r="BJ9" s="70">
        <v>430.39</v>
      </c>
      <c r="BK9" s="70">
        <v>429.38</v>
      </c>
      <c r="BL9" s="70">
        <v>428.37</v>
      </c>
      <c r="BM9" s="70">
        <v>427.37</v>
      </c>
      <c r="BN9" s="70">
        <v>426.36</v>
      </c>
      <c r="BO9" s="70">
        <v>425.35</v>
      </c>
      <c r="BP9" s="70">
        <v>424.35</v>
      </c>
      <c r="BQ9" s="70">
        <v>423.34</v>
      </c>
      <c r="BR9" s="70">
        <v>422.34</v>
      </c>
      <c r="BS9" s="70">
        <v>421.33</v>
      </c>
      <c r="BT9" s="70">
        <v>420.33</v>
      </c>
      <c r="BU9" s="70">
        <v>419.32</v>
      </c>
      <c r="BV9" s="70">
        <v>418.32</v>
      </c>
      <c r="BW9" s="70">
        <v>417.31</v>
      </c>
      <c r="BX9" s="70">
        <v>416.31</v>
      </c>
      <c r="BY9" s="70">
        <v>415.31</v>
      </c>
      <c r="BZ9" s="70">
        <v>414.31</v>
      </c>
      <c r="CA9" s="70">
        <v>413.31</v>
      </c>
      <c r="CB9" s="70">
        <v>412.31</v>
      </c>
      <c r="CC9" s="70">
        <v>411.31</v>
      </c>
      <c r="CD9" s="70">
        <v>410.3</v>
      </c>
      <c r="CE9" s="70">
        <v>409.3</v>
      </c>
      <c r="CF9" s="70">
        <v>408.3</v>
      </c>
      <c r="CG9" s="70">
        <v>407.3</v>
      </c>
      <c r="CH9" s="70">
        <v>406.3</v>
      </c>
      <c r="CI9" s="70">
        <v>405.3</v>
      </c>
      <c r="CJ9" s="70">
        <v>404.31</v>
      </c>
      <c r="CK9" s="70">
        <v>403.31</v>
      </c>
      <c r="CL9" s="70">
        <v>402.32</v>
      </c>
      <c r="CM9" s="70">
        <v>401.32</v>
      </c>
      <c r="CN9" s="70">
        <v>400.32</v>
      </c>
      <c r="CO9" s="70">
        <v>399.33</v>
      </c>
      <c r="CP9" s="70">
        <v>398.33</v>
      </c>
      <c r="CQ9" s="70">
        <v>397.34</v>
      </c>
      <c r="CR9" s="70">
        <v>396.34</v>
      </c>
      <c r="CS9" s="70">
        <v>395.35</v>
      </c>
      <c r="CT9" s="70">
        <v>394.35</v>
      </c>
      <c r="CU9" s="70">
        <v>393.36</v>
      </c>
      <c r="CV9" s="70">
        <v>392.37</v>
      </c>
      <c r="CW9" s="70">
        <v>391.38</v>
      </c>
      <c r="CX9" s="70">
        <v>390.39</v>
      </c>
      <c r="CY9" s="70">
        <v>389.4</v>
      </c>
      <c r="CZ9" s="70">
        <v>388.41</v>
      </c>
      <c r="DA9" s="70">
        <v>387.42</v>
      </c>
      <c r="DB9" s="70">
        <v>386.43</v>
      </c>
      <c r="DC9" s="70">
        <v>385.44</v>
      </c>
      <c r="DD9" s="70">
        <v>384.45</v>
      </c>
      <c r="DE9" s="70">
        <v>383.46</v>
      </c>
      <c r="DF9" s="70">
        <v>382.47</v>
      </c>
      <c r="DG9" s="70">
        <v>381.48</v>
      </c>
      <c r="DH9" s="70">
        <v>380.5</v>
      </c>
      <c r="DI9" s="70">
        <v>379.51</v>
      </c>
      <c r="DJ9" s="70">
        <v>378.53</v>
      </c>
      <c r="DK9" s="70">
        <v>377.54</v>
      </c>
      <c r="DL9" s="70">
        <v>376.56</v>
      </c>
      <c r="DM9" s="70">
        <v>375.58</v>
      </c>
      <c r="DN9" s="70">
        <v>374.59</v>
      </c>
      <c r="DO9" s="70">
        <v>373.61</v>
      </c>
      <c r="DP9" s="70">
        <v>372.63</v>
      </c>
      <c r="DQ9" s="70">
        <v>371.64</v>
      </c>
      <c r="DR9" s="70">
        <v>370.66</v>
      </c>
      <c r="DS9" s="70">
        <v>369.68</v>
      </c>
      <c r="DT9" s="70">
        <v>368.7</v>
      </c>
      <c r="DU9" s="70">
        <v>367.73</v>
      </c>
      <c r="DV9" s="70">
        <v>366.75</v>
      </c>
      <c r="DW9" s="70">
        <v>365.77</v>
      </c>
      <c r="DX9" s="70">
        <v>364.8</v>
      </c>
      <c r="DY9" s="70">
        <v>363.82</v>
      </c>
      <c r="DZ9" s="70">
        <v>362.85</v>
      </c>
      <c r="EA9" s="70">
        <v>361.87</v>
      </c>
      <c r="EB9" s="70">
        <v>360.9</v>
      </c>
      <c r="EC9" s="70">
        <v>359.93</v>
      </c>
      <c r="ED9" s="70">
        <v>358.96</v>
      </c>
      <c r="EE9" s="70">
        <v>357.98</v>
      </c>
      <c r="EF9" s="70">
        <v>357.02</v>
      </c>
      <c r="EG9" s="70">
        <v>356.05</v>
      </c>
      <c r="EH9" s="70">
        <v>355.08</v>
      </c>
      <c r="EI9" s="70">
        <v>354.12</v>
      </c>
      <c r="EJ9" s="70">
        <v>353.15</v>
      </c>
      <c r="EK9" s="70">
        <v>352.19</v>
      </c>
      <c r="EL9" s="70">
        <v>351.22</v>
      </c>
      <c r="EM9" s="70">
        <v>350.26</v>
      </c>
      <c r="EN9" s="70">
        <v>349.3</v>
      </c>
      <c r="EO9" s="70">
        <v>348.33</v>
      </c>
      <c r="EP9" s="70">
        <v>347.37</v>
      </c>
      <c r="EQ9" s="70">
        <v>346.41</v>
      </c>
      <c r="ER9" s="70">
        <v>345.45</v>
      </c>
      <c r="ES9" s="70">
        <v>344.5</v>
      </c>
      <c r="ET9" s="70">
        <v>343.54</v>
      </c>
      <c r="EU9" s="70">
        <v>342.58</v>
      </c>
      <c r="EV9" s="70">
        <v>341.63</v>
      </c>
      <c r="EW9" s="70">
        <v>340.67</v>
      </c>
      <c r="EX9" s="70">
        <v>339.72</v>
      </c>
      <c r="EY9" s="70">
        <v>338.76</v>
      </c>
      <c r="EZ9" s="70">
        <v>337.81</v>
      </c>
      <c r="FA9" s="70">
        <v>336.85</v>
      </c>
      <c r="FB9" s="70">
        <v>335.9</v>
      </c>
      <c r="FC9" s="70">
        <v>334.95</v>
      </c>
      <c r="FD9" s="70">
        <v>334</v>
      </c>
      <c r="FE9" s="70">
        <v>333.05</v>
      </c>
      <c r="FF9" s="70">
        <v>332.1</v>
      </c>
      <c r="FG9" s="70">
        <v>331.15</v>
      </c>
      <c r="FH9" s="70">
        <v>330.2</v>
      </c>
      <c r="FI9" s="70">
        <v>329.26</v>
      </c>
      <c r="FJ9" s="70">
        <v>328.31</v>
      </c>
      <c r="FK9" s="70">
        <v>327.35000000000002</v>
      </c>
      <c r="FL9" s="70">
        <v>326.42</v>
      </c>
      <c r="FM9" s="70">
        <v>325.47000000000003</v>
      </c>
      <c r="FN9" s="70">
        <v>324.52999999999997</v>
      </c>
      <c r="FO9" s="70">
        <v>323.58999999999997</v>
      </c>
      <c r="FP9" s="70">
        <v>322.64999999999998</v>
      </c>
      <c r="FQ9" s="70">
        <v>321.70999999999998</v>
      </c>
      <c r="FR9" s="70">
        <v>320.76</v>
      </c>
      <c r="FS9" s="70">
        <v>319.82</v>
      </c>
      <c r="FT9" s="70">
        <v>318.89</v>
      </c>
      <c r="FU9" s="70">
        <v>317.95</v>
      </c>
      <c r="FV9" s="70">
        <v>317.01</v>
      </c>
      <c r="FW9" s="70">
        <v>316.07</v>
      </c>
      <c r="FX9" s="70">
        <v>315.14</v>
      </c>
      <c r="FY9" s="70">
        <v>314.20999999999998</v>
      </c>
      <c r="FZ9" s="70">
        <v>313.26</v>
      </c>
      <c r="GA9" s="70">
        <v>312.33999999999997</v>
      </c>
      <c r="GB9" s="70">
        <v>311.41000000000003</v>
      </c>
      <c r="GC9" s="70">
        <v>310.48</v>
      </c>
      <c r="GD9" s="70">
        <v>309.54000000000002</v>
      </c>
      <c r="GE9" s="70">
        <v>308.62</v>
      </c>
      <c r="GF9" s="70">
        <v>307.69</v>
      </c>
      <c r="GG9" s="70">
        <v>306.76</v>
      </c>
      <c r="GH9" s="70">
        <v>305.83999999999997</v>
      </c>
      <c r="GI9" s="70">
        <v>304.91000000000003</v>
      </c>
      <c r="GJ9" s="70">
        <v>303.99</v>
      </c>
      <c r="GK9" s="70">
        <v>303.06</v>
      </c>
      <c r="GL9" s="70">
        <v>302.14</v>
      </c>
      <c r="GM9" s="70">
        <v>301.22000000000003</v>
      </c>
      <c r="GN9" s="70">
        <v>300.29000000000002</v>
      </c>
      <c r="GO9" s="70">
        <v>299.38</v>
      </c>
      <c r="GP9" s="70">
        <v>298.47000000000003</v>
      </c>
      <c r="GQ9" s="70">
        <v>297.54000000000002</v>
      </c>
      <c r="GR9" s="70">
        <v>296.64</v>
      </c>
      <c r="GS9" s="70">
        <v>295.72000000000003</v>
      </c>
      <c r="GT9" s="70">
        <v>294.81</v>
      </c>
      <c r="GU9" s="70">
        <v>293.89999999999998</v>
      </c>
      <c r="GV9" s="70">
        <v>292.99</v>
      </c>
      <c r="GW9" s="70">
        <v>292.07</v>
      </c>
      <c r="GX9" s="70">
        <v>291.17</v>
      </c>
      <c r="GY9" s="70">
        <v>290.26</v>
      </c>
      <c r="GZ9" s="70">
        <v>289.35000000000002</v>
      </c>
      <c r="HA9" s="70">
        <v>288.45</v>
      </c>
      <c r="HB9" s="70">
        <v>287.54000000000002</v>
      </c>
      <c r="HC9" s="70">
        <v>286.64999999999998</v>
      </c>
      <c r="HD9" s="70">
        <v>285.75</v>
      </c>
      <c r="HE9" s="70">
        <v>284.83999999999997</v>
      </c>
      <c r="HF9" s="70">
        <v>283.95</v>
      </c>
      <c r="HG9" s="70">
        <v>283.04000000000002</v>
      </c>
      <c r="HH9" s="70">
        <v>282.14999999999998</v>
      </c>
      <c r="HI9" s="70">
        <v>281.26</v>
      </c>
      <c r="HJ9" s="70">
        <v>280.35000000000002</v>
      </c>
      <c r="HK9" s="70">
        <v>279.47000000000003</v>
      </c>
      <c r="HL9" s="70">
        <v>278.57</v>
      </c>
      <c r="HM9" s="70">
        <v>277.69</v>
      </c>
      <c r="HN9" s="70">
        <v>276.79000000000002</v>
      </c>
      <c r="HO9" s="70">
        <v>275.92</v>
      </c>
      <c r="HP9" s="70">
        <v>275.02999999999997</v>
      </c>
      <c r="HQ9" s="70">
        <v>274.14999999999998</v>
      </c>
      <c r="HR9" s="70">
        <v>273.26</v>
      </c>
      <c r="HS9" s="70">
        <v>272.38</v>
      </c>
      <c r="HT9" s="70">
        <v>271.5</v>
      </c>
      <c r="HU9" s="70">
        <v>270.62</v>
      </c>
      <c r="HV9" s="70">
        <v>269.74</v>
      </c>
      <c r="HW9" s="70">
        <v>268.87</v>
      </c>
      <c r="HX9" s="70">
        <v>267.99</v>
      </c>
      <c r="HY9" s="70">
        <v>267.12</v>
      </c>
      <c r="HZ9" s="70">
        <v>266.24</v>
      </c>
      <c r="IA9" s="70">
        <v>265.37</v>
      </c>
      <c r="IB9" s="70">
        <v>264.5</v>
      </c>
      <c r="IC9" s="70">
        <v>263.63</v>
      </c>
      <c r="ID9" s="70">
        <v>262.76</v>
      </c>
      <c r="IE9" s="70">
        <v>261.89</v>
      </c>
      <c r="IF9" s="70">
        <v>261.01</v>
      </c>
      <c r="IG9" s="70">
        <v>260.16000000000003</v>
      </c>
      <c r="IH9" s="70">
        <v>259.29000000000002</v>
      </c>
      <c r="II9" s="70">
        <v>258.43</v>
      </c>
      <c r="IJ9" s="70">
        <v>257.57</v>
      </c>
      <c r="IK9" s="70">
        <v>256.70999999999998</v>
      </c>
      <c r="IL9" s="70">
        <v>255.85</v>
      </c>
      <c r="IM9" s="70">
        <v>254.99</v>
      </c>
      <c r="IN9" s="70">
        <v>254.13</v>
      </c>
      <c r="IO9" s="70">
        <v>253.28</v>
      </c>
      <c r="IP9" s="70">
        <v>252.42</v>
      </c>
      <c r="IQ9" s="70">
        <v>251.57</v>
      </c>
      <c r="IR9" s="70">
        <v>250.72</v>
      </c>
      <c r="IS9" s="70">
        <v>249.87</v>
      </c>
      <c r="IT9" s="70">
        <v>249.02</v>
      </c>
      <c r="IU9" s="70">
        <v>248.17</v>
      </c>
      <c r="IV9" s="70">
        <v>247.32</v>
      </c>
      <c r="IW9" s="70">
        <v>246.48</v>
      </c>
      <c r="IX9" s="70">
        <v>245.64</v>
      </c>
      <c r="IY9" s="70">
        <v>244.8</v>
      </c>
      <c r="IZ9" s="70">
        <v>243.96</v>
      </c>
      <c r="JA9" s="70">
        <v>243.12</v>
      </c>
      <c r="JB9" s="70">
        <v>242.28</v>
      </c>
      <c r="JC9" s="70">
        <v>241.44</v>
      </c>
      <c r="JD9" s="70">
        <v>240.61</v>
      </c>
      <c r="JE9" s="70">
        <v>239.77</v>
      </c>
      <c r="JF9" s="70">
        <v>238.94</v>
      </c>
      <c r="JG9" s="70">
        <v>238.11</v>
      </c>
      <c r="JH9" s="70">
        <v>237.28</v>
      </c>
      <c r="JI9" s="70">
        <v>236.45</v>
      </c>
      <c r="JJ9" s="70">
        <v>235.62</v>
      </c>
      <c r="JK9" s="70">
        <v>234.79</v>
      </c>
      <c r="JL9" s="70">
        <v>233.96</v>
      </c>
      <c r="JM9" s="70">
        <v>233.14</v>
      </c>
      <c r="JN9" s="70">
        <v>232.31</v>
      </c>
      <c r="JO9" s="70">
        <v>231.49</v>
      </c>
      <c r="JP9" s="70">
        <v>230.67</v>
      </c>
      <c r="JQ9" s="70">
        <v>229.85</v>
      </c>
      <c r="JR9" s="70">
        <v>229.03</v>
      </c>
      <c r="JS9" s="70">
        <v>228.21</v>
      </c>
      <c r="JT9" s="70">
        <v>227.39</v>
      </c>
      <c r="JU9" s="70">
        <v>226.57</v>
      </c>
      <c r="JV9" s="70">
        <v>225.76</v>
      </c>
      <c r="JW9" s="70">
        <v>224.95</v>
      </c>
      <c r="JX9" s="70">
        <v>224.13</v>
      </c>
      <c r="JY9" s="70">
        <v>223.32</v>
      </c>
      <c r="JZ9" s="70">
        <v>222.51</v>
      </c>
      <c r="KA9" s="70">
        <v>221.7</v>
      </c>
      <c r="KB9" s="70">
        <v>220.89</v>
      </c>
      <c r="KC9" s="70">
        <v>220.08</v>
      </c>
      <c r="KD9" s="70">
        <v>219.28</v>
      </c>
      <c r="KE9" s="70">
        <v>218.47</v>
      </c>
      <c r="KF9" s="70">
        <v>217.67</v>
      </c>
      <c r="KG9" s="70">
        <v>216.86</v>
      </c>
      <c r="KH9" s="70">
        <v>216.06</v>
      </c>
      <c r="KI9" s="70">
        <v>215.26</v>
      </c>
      <c r="KJ9" s="70">
        <v>214.46</v>
      </c>
      <c r="KK9" s="70">
        <v>213.66</v>
      </c>
      <c r="KL9" s="70">
        <v>212.86</v>
      </c>
      <c r="KM9" s="70">
        <v>212.07</v>
      </c>
      <c r="KN9" s="70">
        <v>211.27</v>
      </c>
      <c r="KO9" s="70">
        <v>210.48</v>
      </c>
      <c r="KP9" s="70">
        <v>209.69</v>
      </c>
      <c r="KQ9" s="70">
        <v>208.9</v>
      </c>
      <c r="KR9" s="70">
        <v>208.01000000000005</v>
      </c>
      <c r="KS9" s="70">
        <v>207.26000000000005</v>
      </c>
      <c r="KT9" s="70">
        <v>206.51000000000005</v>
      </c>
      <c r="KU9" s="70">
        <v>205.76000000000005</v>
      </c>
      <c r="KV9" s="70">
        <v>205.01000000000005</v>
      </c>
      <c r="KW9" s="70">
        <v>204.26000000000005</v>
      </c>
      <c r="KX9" s="70">
        <v>203.51000000000005</v>
      </c>
      <c r="KY9" s="70">
        <v>202.76000000000005</v>
      </c>
      <c r="KZ9" s="70">
        <v>202.01000000000005</v>
      </c>
      <c r="LA9" s="70">
        <v>201.26000000000005</v>
      </c>
      <c r="LB9" s="70">
        <v>200.51000000000005</v>
      </c>
      <c r="LC9" s="70">
        <v>199.76000000000005</v>
      </c>
      <c r="LD9" s="70">
        <v>199.01000000000005</v>
      </c>
      <c r="LE9" s="70">
        <v>198.26000000000005</v>
      </c>
      <c r="LF9" s="70">
        <v>197.51000000000005</v>
      </c>
      <c r="LG9" s="70">
        <v>196.76000000000005</v>
      </c>
      <c r="LH9" s="70">
        <v>196.01000000000005</v>
      </c>
      <c r="LI9" s="70">
        <v>195.26000000000005</v>
      </c>
      <c r="LJ9" s="70">
        <v>194.51000000000005</v>
      </c>
      <c r="LK9" s="70">
        <v>193.76000000000005</v>
      </c>
      <c r="LL9" s="70">
        <v>193.01000000000005</v>
      </c>
      <c r="LM9" s="70">
        <v>192.26000000000005</v>
      </c>
      <c r="LN9" s="70">
        <v>191.51000000000005</v>
      </c>
      <c r="LO9" s="70">
        <v>190.76000000000005</v>
      </c>
      <c r="LP9" s="70">
        <v>190.01000000000005</v>
      </c>
      <c r="LQ9" s="70">
        <v>189.26000000000005</v>
      </c>
      <c r="LR9" s="70">
        <v>188.51000000000005</v>
      </c>
      <c r="LS9" s="70">
        <v>187.76000000000005</v>
      </c>
      <c r="LT9" s="70">
        <v>187.01000000000005</v>
      </c>
      <c r="LU9" s="70">
        <v>186.26000000000005</v>
      </c>
      <c r="LV9" s="70">
        <v>185.51000000000005</v>
      </c>
      <c r="LW9" s="70">
        <v>184.76000000000005</v>
      </c>
      <c r="LX9" s="70">
        <v>184.01000000000005</v>
      </c>
      <c r="LY9" s="70">
        <v>183.26000000000005</v>
      </c>
      <c r="LZ9" s="70">
        <v>182.51000000000005</v>
      </c>
      <c r="MA9" s="70">
        <v>181.76000000000005</v>
      </c>
      <c r="MB9" s="70">
        <v>181.01000000000005</v>
      </c>
      <c r="MC9" s="70">
        <v>180.26000000000005</v>
      </c>
      <c r="MD9" s="70">
        <v>179.51000000000005</v>
      </c>
      <c r="ME9" s="70">
        <v>178.76000000000005</v>
      </c>
      <c r="MF9" s="70">
        <v>178.01000000000005</v>
      </c>
      <c r="MG9" s="70">
        <v>177.26000000000005</v>
      </c>
      <c r="MH9" s="70">
        <v>176.51000000000005</v>
      </c>
      <c r="MI9" s="70">
        <v>175.76000000000005</v>
      </c>
      <c r="MJ9" s="70">
        <v>175.01000000000005</v>
      </c>
      <c r="MK9" s="70">
        <v>174.26000000000005</v>
      </c>
      <c r="ML9" s="70">
        <v>173.51000000000005</v>
      </c>
      <c r="MM9" s="70">
        <v>172.76000000000005</v>
      </c>
      <c r="MN9" s="70">
        <v>172.01000000000005</v>
      </c>
      <c r="MO9" s="70">
        <v>171.26000000000005</v>
      </c>
      <c r="MP9" s="70">
        <v>170.51000000000005</v>
      </c>
      <c r="MQ9" s="70">
        <v>169.76000000000005</v>
      </c>
      <c r="MR9" s="70">
        <v>169.01000000000005</v>
      </c>
      <c r="MS9" s="70">
        <v>168.26000000000005</v>
      </c>
      <c r="MT9" s="70">
        <v>167.51000000000005</v>
      </c>
      <c r="MU9" s="70">
        <v>166.76000000000005</v>
      </c>
      <c r="MV9" s="70">
        <v>166.01000000000005</v>
      </c>
      <c r="MW9" s="70">
        <v>165.26000000000005</v>
      </c>
      <c r="MX9" s="70">
        <v>164.51000000000005</v>
      </c>
      <c r="MY9" s="70">
        <v>163.76000000000005</v>
      </c>
    </row>
    <row r="10" spans="1:376" ht="15.6" x14ac:dyDescent="0.3">
      <c r="A10" s="67" t="s">
        <v>7</v>
      </c>
      <c r="B10" s="72">
        <v>2020</v>
      </c>
      <c r="C10" s="70">
        <v>490.78</v>
      </c>
      <c r="D10" s="70">
        <v>489.77</v>
      </c>
      <c r="E10" s="70">
        <v>488.75</v>
      </c>
      <c r="F10" s="70">
        <v>487.73</v>
      </c>
      <c r="G10" s="70">
        <v>486.71</v>
      </c>
      <c r="H10" s="70">
        <v>485.7</v>
      </c>
      <c r="I10" s="70">
        <v>484.68</v>
      </c>
      <c r="J10" s="70">
        <v>483.66</v>
      </c>
      <c r="K10" s="70">
        <v>482.64</v>
      </c>
      <c r="L10" s="70">
        <v>481.63</v>
      </c>
      <c r="M10" s="70">
        <v>480.61</v>
      </c>
      <c r="N10" s="70">
        <v>479.59</v>
      </c>
      <c r="O10" s="70">
        <v>478.57</v>
      </c>
      <c r="P10" s="70">
        <v>477.56</v>
      </c>
      <c r="Q10" s="70">
        <v>476.54</v>
      </c>
      <c r="R10" s="70">
        <v>475.53</v>
      </c>
      <c r="S10" s="70">
        <v>474.51</v>
      </c>
      <c r="T10" s="70">
        <v>473.49</v>
      </c>
      <c r="U10" s="70">
        <v>472.48</v>
      </c>
      <c r="V10" s="70">
        <v>471.46</v>
      </c>
      <c r="W10" s="70">
        <v>470.45</v>
      </c>
      <c r="X10" s="70">
        <v>469.43</v>
      </c>
      <c r="Y10" s="70">
        <v>468.42</v>
      </c>
      <c r="Z10" s="70">
        <v>467.4</v>
      </c>
      <c r="AA10" s="70">
        <v>466.39</v>
      </c>
      <c r="AB10" s="70">
        <v>465.37</v>
      </c>
      <c r="AC10" s="70">
        <v>464.36</v>
      </c>
      <c r="AD10" s="70">
        <v>463.34</v>
      </c>
      <c r="AE10" s="70">
        <v>462.33</v>
      </c>
      <c r="AF10" s="70">
        <v>461.31</v>
      </c>
      <c r="AG10" s="70">
        <v>460.3</v>
      </c>
      <c r="AH10" s="70">
        <v>459.28</v>
      </c>
      <c r="AI10" s="70">
        <v>458.27</v>
      </c>
      <c r="AJ10" s="70">
        <v>457.26</v>
      </c>
      <c r="AK10" s="70">
        <v>456.24</v>
      </c>
      <c r="AL10" s="70">
        <v>455.23</v>
      </c>
      <c r="AM10" s="70">
        <v>454.22</v>
      </c>
      <c r="AN10" s="70">
        <v>453.2</v>
      </c>
      <c r="AO10" s="70">
        <v>452.19</v>
      </c>
      <c r="AP10" s="70">
        <v>451.18</v>
      </c>
      <c r="AQ10" s="70">
        <v>450.17</v>
      </c>
      <c r="AR10" s="70">
        <v>449.15</v>
      </c>
      <c r="AS10" s="70">
        <v>448.14</v>
      </c>
      <c r="AT10" s="70">
        <v>447.13</v>
      </c>
      <c r="AU10" s="70">
        <v>446.12</v>
      </c>
      <c r="AV10" s="70">
        <v>445.11</v>
      </c>
      <c r="AW10" s="70">
        <v>444.1</v>
      </c>
      <c r="AX10" s="70">
        <v>443.09</v>
      </c>
      <c r="AY10" s="70">
        <v>442.07</v>
      </c>
      <c r="AZ10" s="70">
        <v>441.06</v>
      </c>
      <c r="BA10" s="70">
        <v>440.05</v>
      </c>
      <c r="BB10" s="70">
        <v>439.04</v>
      </c>
      <c r="BC10" s="70">
        <v>438.04</v>
      </c>
      <c r="BD10" s="70">
        <v>437.03</v>
      </c>
      <c r="BE10" s="70">
        <v>436.02</v>
      </c>
      <c r="BF10" s="70">
        <v>435.01</v>
      </c>
      <c r="BG10" s="70">
        <v>434</v>
      </c>
      <c r="BH10" s="70">
        <v>432.99</v>
      </c>
      <c r="BI10" s="70">
        <v>431.98</v>
      </c>
      <c r="BJ10" s="70">
        <v>430.97</v>
      </c>
      <c r="BK10" s="70">
        <v>429.96</v>
      </c>
      <c r="BL10" s="70">
        <v>428.96</v>
      </c>
      <c r="BM10" s="70">
        <v>427.95</v>
      </c>
      <c r="BN10" s="70">
        <v>426.94</v>
      </c>
      <c r="BO10" s="70">
        <v>425.94</v>
      </c>
      <c r="BP10" s="70">
        <v>424.93</v>
      </c>
      <c r="BQ10" s="70">
        <v>423.92</v>
      </c>
      <c r="BR10" s="70">
        <v>422.92</v>
      </c>
      <c r="BS10" s="70">
        <v>421.91</v>
      </c>
      <c r="BT10" s="70">
        <v>420.91</v>
      </c>
      <c r="BU10" s="70">
        <v>419.9</v>
      </c>
      <c r="BV10" s="70">
        <v>418.9</v>
      </c>
      <c r="BW10" s="70">
        <v>417.89</v>
      </c>
      <c r="BX10" s="70">
        <v>416.89</v>
      </c>
      <c r="BY10" s="70">
        <v>415.89</v>
      </c>
      <c r="BZ10" s="70">
        <v>414.88</v>
      </c>
      <c r="CA10" s="70">
        <v>413.88</v>
      </c>
      <c r="CB10" s="70">
        <v>412.88</v>
      </c>
      <c r="CC10" s="70">
        <v>411.88</v>
      </c>
      <c r="CD10" s="70">
        <v>410.88</v>
      </c>
      <c r="CE10" s="70">
        <v>409.88</v>
      </c>
      <c r="CF10" s="70">
        <v>408.88</v>
      </c>
      <c r="CG10" s="70">
        <v>407.88</v>
      </c>
      <c r="CH10" s="70">
        <v>406.87</v>
      </c>
      <c r="CI10" s="70">
        <v>405.87</v>
      </c>
      <c r="CJ10" s="70">
        <v>404.88</v>
      </c>
      <c r="CK10" s="70">
        <v>403.88</v>
      </c>
      <c r="CL10" s="70">
        <v>402.88</v>
      </c>
      <c r="CM10" s="70">
        <v>401.89</v>
      </c>
      <c r="CN10" s="70">
        <v>400.89</v>
      </c>
      <c r="CO10" s="70">
        <v>399.89</v>
      </c>
      <c r="CP10" s="70">
        <v>398.9</v>
      </c>
      <c r="CQ10" s="70">
        <v>397.9</v>
      </c>
      <c r="CR10" s="70">
        <v>396.91</v>
      </c>
      <c r="CS10" s="70">
        <v>395.91</v>
      </c>
      <c r="CT10" s="70">
        <v>394.92</v>
      </c>
      <c r="CU10" s="70">
        <v>393.92</v>
      </c>
      <c r="CV10" s="70">
        <v>392.93</v>
      </c>
      <c r="CW10" s="70">
        <v>391.94</v>
      </c>
      <c r="CX10" s="70">
        <v>390.95</v>
      </c>
      <c r="CY10" s="70">
        <v>389.96</v>
      </c>
      <c r="CZ10" s="70">
        <v>388.97</v>
      </c>
      <c r="DA10" s="70">
        <v>387.98</v>
      </c>
      <c r="DB10" s="70">
        <v>386.99</v>
      </c>
      <c r="DC10" s="70">
        <v>386</v>
      </c>
      <c r="DD10" s="70">
        <v>385.01</v>
      </c>
      <c r="DE10" s="70">
        <v>384.02</v>
      </c>
      <c r="DF10" s="70">
        <v>383.03</v>
      </c>
      <c r="DG10" s="70">
        <v>382.04</v>
      </c>
      <c r="DH10" s="70">
        <v>381.05</v>
      </c>
      <c r="DI10" s="70">
        <v>380.07</v>
      </c>
      <c r="DJ10" s="70">
        <v>379.08</v>
      </c>
      <c r="DK10" s="70">
        <v>378.1</v>
      </c>
      <c r="DL10" s="70">
        <v>377.11</v>
      </c>
      <c r="DM10" s="70">
        <v>376.13</v>
      </c>
      <c r="DN10" s="70">
        <v>375.15</v>
      </c>
      <c r="DO10" s="70">
        <v>374.16</v>
      </c>
      <c r="DP10" s="70">
        <v>373.18</v>
      </c>
      <c r="DQ10" s="70">
        <v>372.2</v>
      </c>
      <c r="DR10" s="70">
        <v>371.22</v>
      </c>
      <c r="DS10" s="70">
        <v>370.23</v>
      </c>
      <c r="DT10" s="70">
        <v>369.26</v>
      </c>
      <c r="DU10" s="70">
        <v>368.28</v>
      </c>
      <c r="DV10" s="70">
        <v>367.3</v>
      </c>
      <c r="DW10" s="70">
        <v>366.33</v>
      </c>
      <c r="DX10" s="70">
        <v>365.35</v>
      </c>
      <c r="DY10" s="70">
        <v>364.37</v>
      </c>
      <c r="DZ10" s="70">
        <v>363.4</v>
      </c>
      <c r="EA10" s="70">
        <v>362.42</v>
      </c>
      <c r="EB10" s="70">
        <v>361.45</v>
      </c>
      <c r="EC10" s="70">
        <v>360.48</v>
      </c>
      <c r="ED10" s="70">
        <v>359.5</v>
      </c>
      <c r="EE10" s="70">
        <v>358.53</v>
      </c>
      <c r="EF10" s="70">
        <v>357.56</v>
      </c>
      <c r="EG10" s="70">
        <v>356.6</v>
      </c>
      <c r="EH10" s="70">
        <v>355.63</v>
      </c>
      <c r="EI10" s="70">
        <v>354.66</v>
      </c>
      <c r="EJ10" s="70">
        <v>353.7</v>
      </c>
      <c r="EK10" s="70">
        <v>352.73</v>
      </c>
      <c r="EL10" s="70">
        <v>351.77</v>
      </c>
      <c r="EM10" s="70">
        <v>350.81</v>
      </c>
      <c r="EN10" s="70">
        <v>349.84</v>
      </c>
      <c r="EO10" s="70">
        <v>348.88</v>
      </c>
      <c r="EP10" s="70">
        <v>347.92</v>
      </c>
      <c r="EQ10" s="70">
        <v>346.96</v>
      </c>
      <c r="ER10" s="70">
        <v>346</v>
      </c>
      <c r="ES10" s="70">
        <v>345.04</v>
      </c>
      <c r="ET10" s="70">
        <v>344.08</v>
      </c>
      <c r="EU10" s="70">
        <v>343.13</v>
      </c>
      <c r="EV10" s="70">
        <v>342.17</v>
      </c>
      <c r="EW10" s="70">
        <v>341.21</v>
      </c>
      <c r="EX10" s="70">
        <v>340.26</v>
      </c>
      <c r="EY10" s="70">
        <v>339.3</v>
      </c>
      <c r="EZ10" s="70">
        <v>338.35</v>
      </c>
      <c r="FA10" s="70">
        <v>337.4</v>
      </c>
      <c r="FB10" s="70">
        <v>336.44</v>
      </c>
      <c r="FC10" s="70">
        <v>335.49</v>
      </c>
      <c r="FD10" s="70">
        <v>334.54</v>
      </c>
      <c r="FE10" s="70">
        <v>333.59</v>
      </c>
      <c r="FF10" s="70">
        <v>332.64</v>
      </c>
      <c r="FG10" s="70">
        <v>331.69</v>
      </c>
      <c r="FH10" s="70">
        <v>330.74</v>
      </c>
      <c r="FI10" s="70">
        <v>329.8</v>
      </c>
      <c r="FJ10" s="70">
        <v>328.85</v>
      </c>
      <c r="FK10" s="70">
        <v>327.9</v>
      </c>
      <c r="FL10" s="70">
        <v>326.95999999999998</v>
      </c>
      <c r="FM10" s="70">
        <v>326.01</v>
      </c>
      <c r="FN10" s="70">
        <v>325.07</v>
      </c>
      <c r="FO10" s="70">
        <v>324.13</v>
      </c>
      <c r="FP10" s="70">
        <v>323.19</v>
      </c>
      <c r="FQ10" s="70">
        <v>322.24</v>
      </c>
      <c r="FR10" s="70">
        <v>321.29000000000002</v>
      </c>
      <c r="FS10" s="70">
        <v>320.35000000000002</v>
      </c>
      <c r="FT10" s="70">
        <v>319.43</v>
      </c>
      <c r="FU10" s="70">
        <v>318.49</v>
      </c>
      <c r="FV10" s="70">
        <v>317.54000000000002</v>
      </c>
      <c r="FW10" s="70">
        <v>316.60000000000002</v>
      </c>
      <c r="FX10" s="70">
        <v>315.68</v>
      </c>
      <c r="FY10" s="70">
        <v>314.74</v>
      </c>
      <c r="FZ10" s="70">
        <v>313.81</v>
      </c>
      <c r="GA10" s="70">
        <v>312.88</v>
      </c>
      <c r="GB10" s="70">
        <v>311.94</v>
      </c>
      <c r="GC10" s="70">
        <v>311.01</v>
      </c>
      <c r="GD10" s="70">
        <v>310.07</v>
      </c>
      <c r="GE10" s="70">
        <v>309.14999999999998</v>
      </c>
      <c r="GF10" s="70">
        <v>308.22000000000003</v>
      </c>
      <c r="GG10" s="70">
        <v>307.29000000000002</v>
      </c>
      <c r="GH10" s="70">
        <v>306.37</v>
      </c>
      <c r="GI10" s="70">
        <v>305.45</v>
      </c>
      <c r="GJ10" s="70">
        <v>304.51</v>
      </c>
      <c r="GK10" s="70">
        <v>303.60000000000002</v>
      </c>
      <c r="GL10" s="70">
        <v>302.68</v>
      </c>
      <c r="GM10" s="70">
        <v>301.75</v>
      </c>
      <c r="GN10" s="70">
        <v>300.82</v>
      </c>
      <c r="GO10" s="70">
        <v>299.92</v>
      </c>
      <c r="GP10" s="70">
        <v>299</v>
      </c>
      <c r="GQ10" s="70">
        <v>298.07</v>
      </c>
      <c r="GR10" s="70">
        <v>297.17</v>
      </c>
      <c r="GS10" s="70">
        <v>296.25</v>
      </c>
      <c r="GT10" s="70">
        <v>295.33999999999997</v>
      </c>
      <c r="GU10" s="70">
        <v>294.43</v>
      </c>
      <c r="GV10" s="70">
        <v>293.51</v>
      </c>
      <c r="GW10" s="70">
        <v>292.60000000000002</v>
      </c>
      <c r="GX10" s="70">
        <v>291.7</v>
      </c>
      <c r="GY10" s="70">
        <v>290.79000000000002</v>
      </c>
      <c r="GZ10" s="70">
        <v>289.88</v>
      </c>
      <c r="HA10" s="70">
        <v>288.98</v>
      </c>
      <c r="HB10" s="70">
        <v>288.07</v>
      </c>
      <c r="HC10" s="70">
        <v>287.17</v>
      </c>
      <c r="HD10" s="70">
        <v>286.26</v>
      </c>
      <c r="HE10" s="70">
        <v>285.37</v>
      </c>
      <c r="HF10" s="70">
        <v>284.47000000000003</v>
      </c>
      <c r="HG10" s="70">
        <v>283.57</v>
      </c>
      <c r="HH10" s="70">
        <v>282.68</v>
      </c>
      <c r="HI10" s="70">
        <v>281.77999999999997</v>
      </c>
      <c r="HJ10" s="70">
        <v>280.89</v>
      </c>
      <c r="HK10" s="70">
        <v>279.99</v>
      </c>
      <c r="HL10" s="70">
        <v>279.10000000000002</v>
      </c>
      <c r="HM10" s="70">
        <v>278.20999999999998</v>
      </c>
      <c r="HN10" s="70">
        <v>277.32</v>
      </c>
      <c r="HO10" s="70">
        <v>276.44</v>
      </c>
      <c r="HP10" s="70">
        <v>275.54000000000002</v>
      </c>
      <c r="HQ10" s="70">
        <v>274.67</v>
      </c>
      <c r="HR10" s="70">
        <v>273.77999999999997</v>
      </c>
      <c r="HS10" s="70">
        <v>272.89999999999998</v>
      </c>
      <c r="HT10" s="70">
        <v>272.01</v>
      </c>
      <c r="HU10" s="70">
        <v>271.14</v>
      </c>
      <c r="HV10" s="70">
        <v>270.26</v>
      </c>
      <c r="HW10" s="70">
        <v>269.38</v>
      </c>
      <c r="HX10" s="70">
        <v>268.51</v>
      </c>
      <c r="HY10" s="70">
        <v>267.63</v>
      </c>
      <c r="HZ10" s="70">
        <v>266.76</v>
      </c>
      <c r="IA10" s="70">
        <v>265.89</v>
      </c>
      <c r="IB10" s="70">
        <v>265.01</v>
      </c>
      <c r="IC10" s="70">
        <v>264.14</v>
      </c>
      <c r="ID10" s="70">
        <v>263.26</v>
      </c>
      <c r="IE10" s="70">
        <v>262.41000000000003</v>
      </c>
      <c r="IF10" s="70">
        <v>261.54000000000002</v>
      </c>
      <c r="IG10" s="70">
        <v>260.67</v>
      </c>
      <c r="IH10" s="70">
        <v>259.81</v>
      </c>
      <c r="II10" s="70">
        <v>258.94</v>
      </c>
      <c r="IJ10" s="70">
        <v>258.07</v>
      </c>
      <c r="IK10" s="70">
        <v>257.22000000000003</v>
      </c>
      <c r="IL10" s="70">
        <v>256.35000000000002</v>
      </c>
      <c r="IM10" s="70">
        <v>255.5</v>
      </c>
      <c r="IN10" s="70">
        <v>254.64</v>
      </c>
      <c r="IO10" s="70">
        <v>253.79</v>
      </c>
      <c r="IP10" s="70">
        <v>252.93</v>
      </c>
      <c r="IQ10" s="70">
        <v>252.08</v>
      </c>
      <c r="IR10" s="70">
        <v>251.23</v>
      </c>
      <c r="IS10" s="70">
        <v>250.38</v>
      </c>
      <c r="IT10" s="70">
        <v>249.53</v>
      </c>
      <c r="IU10" s="70">
        <v>248.68</v>
      </c>
      <c r="IV10" s="70">
        <v>247.83</v>
      </c>
      <c r="IW10" s="70">
        <v>246.99</v>
      </c>
      <c r="IX10" s="70">
        <v>246.14</v>
      </c>
      <c r="IY10" s="70">
        <v>245.3</v>
      </c>
      <c r="IZ10" s="70">
        <v>244.46</v>
      </c>
      <c r="JA10" s="70">
        <v>243.62</v>
      </c>
      <c r="JB10" s="70">
        <v>242.78</v>
      </c>
      <c r="JC10" s="70">
        <v>241.94</v>
      </c>
      <c r="JD10" s="70">
        <v>241.11</v>
      </c>
      <c r="JE10" s="70">
        <v>240.27</v>
      </c>
      <c r="JF10" s="70">
        <v>239.44</v>
      </c>
      <c r="JG10" s="70">
        <v>238.61</v>
      </c>
      <c r="JH10" s="70">
        <v>237.78</v>
      </c>
      <c r="JI10" s="70">
        <v>236.95</v>
      </c>
      <c r="JJ10" s="70">
        <v>236.12</v>
      </c>
      <c r="JK10" s="70">
        <v>235.29</v>
      </c>
      <c r="JL10" s="70">
        <v>234.46</v>
      </c>
      <c r="JM10" s="70">
        <v>233.63</v>
      </c>
      <c r="JN10" s="70">
        <v>232.81</v>
      </c>
      <c r="JO10" s="70">
        <v>231.99</v>
      </c>
      <c r="JP10" s="70">
        <v>231.16</v>
      </c>
      <c r="JQ10" s="70">
        <v>230.34</v>
      </c>
      <c r="JR10" s="70">
        <v>229.52</v>
      </c>
      <c r="JS10" s="70">
        <v>228.7</v>
      </c>
      <c r="JT10" s="70">
        <v>227.88</v>
      </c>
      <c r="JU10" s="70">
        <v>227.07</v>
      </c>
      <c r="JV10" s="70">
        <v>226.25</v>
      </c>
      <c r="JW10" s="70">
        <v>225.44</v>
      </c>
      <c r="JX10" s="70">
        <v>224.62</v>
      </c>
      <c r="JY10" s="70">
        <v>223.81</v>
      </c>
      <c r="JZ10" s="70">
        <v>223</v>
      </c>
      <c r="KA10" s="70">
        <v>222.19</v>
      </c>
      <c r="KB10" s="70">
        <v>221.38</v>
      </c>
      <c r="KC10" s="70">
        <v>220.57</v>
      </c>
      <c r="KD10" s="70">
        <v>219.76</v>
      </c>
      <c r="KE10" s="70">
        <v>218.96</v>
      </c>
      <c r="KF10" s="70">
        <v>218.15</v>
      </c>
      <c r="KG10" s="70">
        <v>217.35</v>
      </c>
      <c r="KH10" s="70">
        <v>216.55</v>
      </c>
      <c r="KI10" s="70">
        <v>215.74</v>
      </c>
      <c r="KJ10" s="70">
        <v>214.94</v>
      </c>
      <c r="KK10" s="70">
        <v>214.14</v>
      </c>
      <c r="KL10" s="70">
        <v>213.35</v>
      </c>
      <c r="KM10" s="70">
        <v>212.55</v>
      </c>
      <c r="KN10" s="70">
        <v>211.76</v>
      </c>
      <c r="KO10" s="70">
        <v>210.96</v>
      </c>
      <c r="KP10" s="70">
        <v>210.17</v>
      </c>
      <c r="KQ10" s="70">
        <v>209.38</v>
      </c>
      <c r="KR10" s="70">
        <v>208.47000000000006</v>
      </c>
      <c r="KS10" s="70">
        <v>207.72000000000006</v>
      </c>
      <c r="KT10" s="70">
        <v>206.97000000000006</v>
      </c>
      <c r="KU10" s="70">
        <v>206.22000000000006</v>
      </c>
      <c r="KV10" s="70">
        <v>205.47000000000006</v>
      </c>
      <c r="KW10" s="70">
        <v>204.72000000000006</v>
      </c>
      <c r="KX10" s="70">
        <v>203.97000000000006</v>
      </c>
      <c r="KY10" s="70">
        <v>203.22000000000006</v>
      </c>
      <c r="KZ10" s="70">
        <v>202.47000000000006</v>
      </c>
      <c r="LA10" s="70">
        <v>201.72000000000006</v>
      </c>
      <c r="LB10" s="70">
        <v>200.97000000000006</v>
      </c>
      <c r="LC10" s="70">
        <v>200.22000000000006</v>
      </c>
      <c r="LD10" s="70">
        <v>199.47000000000006</v>
      </c>
      <c r="LE10" s="70">
        <v>198.72000000000006</v>
      </c>
      <c r="LF10" s="70">
        <v>197.97000000000006</v>
      </c>
      <c r="LG10" s="70">
        <v>197.22000000000006</v>
      </c>
      <c r="LH10" s="70">
        <v>196.47000000000006</v>
      </c>
      <c r="LI10" s="70">
        <v>195.72000000000006</v>
      </c>
      <c r="LJ10" s="70">
        <v>194.97000000000006</v>
      </c>
      <c r="LK10" s="70">
        <v>194.22000000000006</v>
      </c>
      <c r="LL10" s="70">
        <v>193.47000000000006</v>
      </c>
      <c r="LM10" s="70">
        <v>192.72000000000006</v>
      </c>
      <c r="LN10" s="70">
        <v>191.97000000000006</v>
      </c>
      <c r="LO10" s="70">
        <v>191.22000000000006</v>
      </c>
      <c r="LP10" s="70">
        <v>190.47000000000006</v>
      </c>
      <c r="LQ10" s="70">
        <v>189.72000000000006</v>
      </c>
      <c r="LR10" s="70">
        <v>188.97000000000006</v>
      </c>
      <c r="LS10" s="70">
        <v>188.22000000000006</v>
      </c>
      <c r="LT10" s="70">
        <v>187.47000000000006</v>
      </c>
      <c r="LU10" s="70">
        <v>186.72000000000006</v>
      </c>
      <c r="LV10" s="70">
        <v>185.97000000000006</v>
      </c>
      <c r="LW10" s="70">
        <v>185.22000000000006</v>
      </c>
      <c r="LX10" s="70">
        <v>184.47000000000006</v>
      </c>
      <c r="LY10" s="70">
        <v>183.72000000000006</v>
      </c>
      <c r="LZ10" s="70">
        <v>182.97000000000006</v>
      </c>
      <c r="MA10" s="70">
        <v>182.22000000000006</v>
      </c>
      <c r="MB10" s="70">
        <v>181.47000000000006</v>
      </c>
      <c r="MC10" s="70">
        <v>180.72000000000006</v>
      </c>
      <c r="MD10" s="70">
        <v>179.97000000000006</v>
      </c>
      <c r="ME10" s="70">
        <v>179.22000000000006</v>
      </c>
      <c r="MF10" s="70">
        <v>178.47000000000006</v>
      </c>
      <c r="MG10" s="70">
        <v>177.72000000000006</v>
      </c>
      <c r="MH10" s="70">
        <v>176.97000000000006</v>
      </c>
      <c r="MI10" s="70">
        <v>176.22000000000006</v>
      </c>
      <c r="MJ10" s="70">
        <v>175.47000000000006</v>
      </c>
      <c r="MK10" s="70">
        <v>174.72000000000006</v>
      </c>
      <c r="ML10" s="70">
        <v>173.97000000000006</v>
      </c>
      <c r="MM10" s="70">
        <v>173.22000000000006</v>
      </c>
      <c r="MN10" s="70">
        <v>172.47000000000006</v>
      </c>
      <c r="MO10" s="70">
        <v>171.72000000000006</v>
      </c>
      <c r="MP10" s="70">
        <v>170.97000000000006</v>
      </c>
      <c r="MQ10" s="70">
        <v>170.22000000000006</v>
      </c>
      <c r="MR10" s="70">
        <v>169.47000000000006</v>
      </c>
      <c r="MS10" s="70">
        <v>168.72000000000006</v>
      </c>
      <c r="MT10" s="70">
        <v>167.97000000000006</v>
      </c>
      <c r="MU10" s="70">
        <v>167.22000000000006</v>
      </c>
      <c r="MV10" s="70">
        <v>166.47000000000006</v>
      </c>
      <c r="MW10" s="70">
        <v>165.72000000000006</v>
      </c>
      <c r="MX10" s="70">
        <v>164.97000000000006</v>
      </c>
      <c r="MY10" s="70">
        <v>164.22000000000006</v>
      </c>
    </row>
    <row r="11" spans="1:376" ht="15.6" x14ac:dyDescent="0.3">
      <c r="A11" s="67" t="s">
        <v>7</v>
      </c>
      <c r="B11" s="72">
        <v>2021</v>
      </c>
      <c r="C11" s="70">
        <v>491.39</v>
      </c>
      <c r="D11" s="70">
        <v>490.37</v>
      </c>
      <c r="E11" s="70">
        <v>489.36</v>
      </c>
      <c r="F11" s="70">
        <v>488.34</v>
      </c>
      <c r="G11" s="70">
        <v>487.32</v>
      </c>
      <c r="H11" s="70">
        <v>486.3</v>
      </c>
      <c r="I11" s="70">
        <v>485.28</v>
      </c>
      <c r="J11" s="70">
        <v>484.27</v>
      </c>
      <c r="K11" s="70">
        <v>483.25</v>
      </c>
      <c r="L11" s="70">
        <v>482.23</v>
      </c>
      <c r="M11" s="70">
        <v>481.21</v>
      </c>
      <c r="N11" s="70">
        <v>480.2</v>
      </c>
      <c r="O11" s="70">
        <v>479.18</v>
      </c>
      <c r="P11" s="70">
        <v>478.16</v>
      </c>
      <c r="Q11" s="70">
        <v>477.15</v>
      </c>
      <c r="R11" s="70">
        <v>476.13</v>
      </c>
      <c r="S11" s="70">
        <v>475.11</v>
      </c>
      <c r="T11" s="70">
        <v>474.1</v>
      </c>
      <c r="U11" s="70">
        <v>473.08</v>
      </c>
      <c r="V11" s="70">
        <v>472.06</v>
      </c>
      <c r="W11" s="70">
        <v>471.05</v>
      </c>
      <c r="X11" s="70">
        <v>470.03</v>
      </c>
      <c r="Y11" s="70">
        <v>469.02</v>
      </c>
      <c r="Z11" s="70">
        <v>468</v>
      </c>
      <c r="AA11" s="70">
        <v>466.99</v>
      </c>
      <c r="AB11" s="70">
        <v>465.97</v>
      </c>
      <c r="AC11" s="70">
        <v>464.96</v>
      </c>
      <c r="AD11" s="70">
        <v>463.94</v>
      </c>
      <c r="AE11" s="70">
        <v>462.93</v>
      </c>
      <c r="AF11" s="70">
        <v>461.91</v>
      </c>
      <c r="AG11" s="70">
        <v>460.9</v>
      </c>
      <c r="AH11" s="70">
        <v>459.88</v>
      </c>
      <c r="AI11" s="70">
        <v>458.87</v>
      </c>
      <c r="AJ11" s="70">
        <v>457.85</v>
      </c>
      <c r="AK11" s="70">
        <v>456.84</v>
      </c>
      <c r="AL11" s="70">
        <v>455.82</v>
      </c>
      <c r="AM11" s="70">
        <v>454.81</v>
      </c>
      <c r="AN11" s="70">
        <v>453.8</v>
      </c>
      <c r="AO11" s="70">
        <v>452.78</v>
      </c>
      <c r="AP11" s="70">
        <v>451.77</v>
      </c>
      <c r="AQ11" s="70">
        <v>450.76</v>
      </c>
      <c r="AR11" s="70">
        <v>449.75</v>
      </c>
      <c r="AS11" s="70">
        <v>448.73</v>
      </c>
      <c r="AT11" s="70">
        <v>447.72</v>
      </c>
      <c r="AU11" s="70">
        <v>446.71</v>
      </c>
      <c r="AV11" s="70">
        <v>445.7</v>
      </c>
      <c r="AW11" s="70">
        <v>444.69</v>
      </c>
      <c r="AX11" s="70">
        <v>443.67</v>
      </c>
      <c r="AY11" s="70">
        <v>442.66</v>
      </c>
      <c r="AZ11" s="70">
        <v>441.65</v>
      </c>
      <c r="BA11" s="70">
        <v>440.64</v>
      </c>
      <c r="BB11" s="70">
        <v>439.63</v>
      </c>
      <c r="BC11" s="70">
        <v>438.62</v>
      </c>
      <c r="BD11" s="70">
        <v>437.61</v>
      </c>
      <c r="BE11" s="70">
        <v>436.6</v>
      </c>
      <c r="BF11" s="70">
        <v>435.59</v>
      </c>
      <c r="BG11" s="70">
        <v>434.58</v>
      </c>
      <c r="BH11" s="70">
        <v>433.57</v>
      </c>
      <c r="BI11" s="70">
        <v>432.56</v>
      </c>
      <c r="BJ11" s="70">
        <v>431.55</v>
      </c>
      <c r="BK11" s="70">
        <v>430.54</v>
      </c>
      <c r="BL11" s="70">
        <v>429.54</v>
      </c>
      <c r="BM11" s="70">
        <v>428.53</v>
      </c>
      <c r="BN11" s="70">
        <v>427.52</v>
      </c>
      <c r="BO11" s="70">
        <v>426.52</v>
      </c>
      <c r="BP11" s="70">
        <v>425.51</v>
      </c>
      <c r="BQ11" s="70">
        <v>424.5</v>
      </c>
      <c r="BR11" s="70">
        <v>423.5</v>
      </c>
      <c r="BS11" s="70">
        <v>422.49</v>
      </c>
      <c r="BT11" s="70">
        <v>421.48</v>
      </c>
      <c r="BU11" s="70">
        <v>420.48</v>
      </c>
      <c r="BV11" s="70">
        <v>419.47</v>
      </c>
      <c r="BW11" s="70">
        <v>418.47</v>
      </c>
      <c r="BX11" s="70">
        <v>417.46</v>
      </c>
      <c r="BY11" s="70">
        <v>416.46</v>
      </c>
      <c r="BZ11" s="70">
        <v>415.46</v>
      </c>
      <c r="CA11" s="70">
        <v>414.46</v>
      </c>
      <c r="CB11" s="70">
        <v>413.45</v>
      </c>
      <c r="CC11" s="70">
        <v>412.45</v>
      </c>
      <c r="CD11" s="70">
        <v>411.45</v>
      </c>
      <c r="CE11" s="70">
        <v>410.45</v>
      </c>
      <c r="CF11" s="70">
        <v>409.45</v>
      </c>
      <c r="CG11" s="70">
        <v>408.45</v>
      </c>
      <c r="CH11" s="70">
        <v>407.44</v>
      </c>
      <c r="CI11" s="70">
        <v>406.44</v>
      </c>
      <c r="CJ11" s="70">
        <v>405.45</v>
      </c>
      <c r="CK11" s="70">
        <v>404.45</v>
      </c>
      <c r="CL11" s="70">
        <v>403.45</v>
      </c>
      <c r="CM11" s="70">
        <v>402.45</v>
      </c>
      <c r="CN11" s="70">
        <v>401.46</v>
      </c>
      <c r="CO11" s="70">
        <v>400.46</v>
      </c>
      <c r="CP11" s="70">
        <v>399.46</v>
      </c>
      <c r="CQ11" s="70">
        <v>398.47</v>
      </c>
      <c r="CR11" s="70">
        <v>397.47</v>
      </c>
      <c r="CS11" s="70">
        <v>396.48</v>
      </c>
      <c r="CT11" s="70">
        <v>395.48</v>
      </c>
      <c r="CU11" s="70">
        <v>394.48</v>
      </c>
      <c r="CV11" s="70">
        <v>393.49</v>
      </c>
      <c r="CW11" s="70">
        <v>392.5</v>
      </c>
      <c r="CX11" s="70">
        <v>391.51</v>
      </c>
      <c r="CY11" s="70">
        <v>390.52</v>
      </c>
      <c r="CZ11" s="70">
        <v>389.53</v>
      </c>
      <c r="DA11" s="70">
        <v>388.54</v>
      </c>
      <c r="DB11" s="70">
        <v>387.55</v>
      </c>
      <c r="DC11" s="70">
        <v>386.55</v>
      </c>
      <c r="DD11" s="70">
        <v>385.56</v>
      </c>
      <c r="DE11" s="70">
        <v>384.57</v>
      </c>
      <c r="DF11" s="70">
        <v>383.58</v>
      </c>
      <c r="DG11" s="70">
        <v>382.6</v>
      </c>
      <c r="DH11" s="70">
        <v>381.61</v>
      </c>
      <c r="DI11" s="70">
        <v>380.62</v>
      </c>
      <c r="DJ11" s="70">
        <v>379.64</v>
      </c>
      <c r="DK11" s="70">
        <v>378.65</v>
      </c>
      <c r="DL11" s="70">
        <v>377.67</v>
      </c>
      <c r="DM11" s="70">
        <v>376.68</v>
      </c>
      <c r="DN11" s="70">
        <v>375.7</v>
      </c>
      <c r="DO11" s="70">
        <v>374.72</v>
      </c>
      <c r="DP11" s="70">
        <v>373.73</v>
      </c>
      <c r="DQ11" s="70">
        <v>372.75</v>
      </c>
      <c r="DR11" s="70">
        <v>371.77</v>
      </c>
      <c r="DS11" s="70">
        <v>370.79</v>
      </c>
      <c r="DT11" s="70">
        <v>369.81</v>
      </c>
      <c r="DU11" s="70">
        <v>368.83</v>
      </c>
      <c r="DV11" s="70">
        <v>367.85</v>
      </c>
      <c r="DW11" s="70">
        <v>366.88</v>
      </c>
      <c r="DX11" s="70">
        <v>365.9</v>
      </c>
      <c r="DY11" s="70">
        <v>364.92</v>
      </c>
      <c r="DZ11" s="70">
        <v>363.95</v>
      </c>
      <c r="EA11" s="70">
        <v>362.97</v>
      </c>
      <c r="EB11" s="70">
        <v>362</v>
      </c>
      <c r="EC11" s="70">
        <v>361.02</v>
      </c>
      <c r="ED11" s="70">
        <v>360.05</v>
      </c>
      <c r="EE11" s="70">
        <v>359.08</v>
      </c>
      <c r="EF11" s="70">
        <v>358.11</v>
      </c>
      <c r="EG11" s="70">
        <v>357.14</v>
      </c>
      <c r="EH11" s="70">
        <v>356.18</v>
      </c>
      <c r="EI11" s="70">
        <v>355.21</v>
      </c>
      <c r="EJ11" s="70">
        <v>354.24</v>
      </c>
      <c r="EK11" s="70">
        <v>353.28</v>
      </c>
      <c r="EL11" s="70">
        <v>352.31</v>
      </c>
      <c r="EM11" s="70">
        <v>351.35</v>
      </c>
      <c r="EN11" s="70">
        <v>350.39</v>
      </c>
      <c r="EO11" s="70">
        <v>349.42</v>
      </c>
      <c r="EP11" s="70">
        <v>348.46</v>
      </c>
      <c r="EQ11" s="70">
        <v>347.5</v>
      </c>
      <c r="ER11" s="70">
        <v>346.54</v>
      </c>
      <c r="ES11" s="70">
        <v>345.58</v>
      </c>
      <c r="ET11" s="70">
        <v>344.63</v>
      </c>
      <c r="EU11" s="70">
        <v>343.67</v>
      </c>
      <c r="EV11" s="70">
        <v>342.71</v>
      </c>
      <c r="EW11" s="70">
        <v>341.76</v>
      </c>
      <c r="EX11" s="70">
        <v>340.8</v>
      </c>
      <c r="EY11" s="70">
        <v>339.85</v>
      </c>
      <c r="EZ11" s="70">
        <v>338.89</v>
      </c>
      <c r="FA11" s="70">
        <v>337.94</v>
      </c>
      <c r="FB11" s="70">
        <v>336.98</v>
      </c>
      <c r="FC11" s="70">
        <v>336.03</v>
      </c>
      <c r="FD11" s="70">
        <v>335.08</v>
      </c>
      <c r="FE11" s="70">
        <v>334.13</v>
      </c>
      <c r="FF11" s="70">
        <v>333.18</v>
      </c>
      <c r="FG11" s="70">
        <v>332.23</v>
      </c>
      <c r="FH11" s="70">
        <v>331.28</v>
      </c>
      <c r="FI11" s="70">
        <v>330.34</v>
      </c>
      <c r="FJ11" s="70">
        <v>329.39</v>
      </c>
      <c r="FK11" s="70">
        <v>328.44</v>
      </c>
      <c r="FL11" s="70">
        <v>327.5</v>
      </c>
      <c r="FM11" s="70">
        <v>326.54000000000002</v>
      </c>
      <c r="FN11" s="70">
        <v>325.60000000000002</v>
      </c>
      <c r="FO11" s="70">
        <v>324.66000000000003</v>
      </c>
      <c r="FP11" s="70">
        <v>323.72000000000003</v>
      </c>
      <c r="FQ11" s="70">
        <v>322.77999999999997</v>
      </c>
      <c r="FR11" s="70">
        <v>321.83999999999997</v>
      </c>
      <c r="FS11" s="70">
        <v>320.89999999999998</v>
      </c>
      <c r="FT11" s="70">
        <v>319.95999999999998</v>
      </c>
      <c r="FU11" s="70">
        <v>319.01</v>
      </c>
      <c r="FV11" s="70">
        <v>318.08999999999997</v>
      </c>
      <c r="FW11" s="70">
        <v>317.14999999999998</v>
      </c>
      <c r="FX11" s="70">
        <v>316.20999999999998</v>
      </c>
      <c r="FY11" s="70">
        <v>315.27999999999997</v>
      </c>
      <c r="FZ11" s="70">
        <v>314.33999999999997</v>
      </c>
      <c r="GA11" s="70">
        <v>313.41000000000003</v>
      </c>
      <c r="GB11" s="70">
        <v>312.48</v>
      </c>
      <c r="GC11" s="70">
        <v>311.54000000000002</v>
      </c>
      <c r="GD11" s="70">
        <v>310.62</v>
      </c>
      <c r="GE11" s="70">
        <v>309.69</v>
      </c>
      <c r="GF11" s="70">
        <v>308.76</v>
      </c>
      <c r="GG11" s="70">
        <v>307.82</v>
      </c>
      <c r="GH11" s="70">
        <v>306.89999999999998</v>
      </c>
      <c r="GI11" s="70">
        <v>305.98</v>
      </c>
      <c r="GJ11" s="70">
        <v>305.04000000000002</v>
      </c>
      <c r="GK11" s="70">
        <v>304.13</v>
      </c>
      <c r="GL11" s="70">
        <v>303.20999999999998</v>
      </c>
      <c r="GM11" s="70">
        <v>302.27999999999997</v>
      </c>
      <c r="GN11" s="70">
        <v>301.35000000000002</v>
      </c>
      <c r="GO11" s="70">
        <v>300.45</v>
      </c>
      <c r="GP11" s="70">
        <v>299.52999999999997</v>
      </c>
      <c r="GQ11" s="70">
        <v>298.60000000000002</v>
      </c>
      <c r="GR11" s="70">
        <v>297.7</v>
      </c>
      <c r="GS11" s="70">
        <v>296.77999999999997</v>
      </c>
      <c r="GT11" s="70">
        <v>295.87</v>
      </c>
      <c r="GU11" s="70">
        <v>294.95999999999998</v>
      </c>
      <c r="GV11" s="70">
        <v>294.04000000000002</v>
      </c>
      <c r="GW11" s="70">
        <v>293.13</v>
      </c>
      <c r="GX11" s="70">
        <v>292.23</v>
      </c>
      <c r="GY11" s="70">
        <v>291.32</v>
      </c>
      <c r="GZ11" s="70">
        <v>290.41000000000003</v>
      </c>
      <c r="HA11" s="70">
        <v>289.51</v>
      </c>
      <c r="HB11" s="70">
        <v>288.60000000000002</v>
      </c>
      <c r="HC11" s="70">
        <v>287.7</v>
      </c>
      <c r="HD11" s="70">
        <v>286.79000000000002</v>
      </c>
      <c r="HE11" s="70">
        <v>285.89</v>
      </c>
      <c r="HF11" s="70">
        <v>285</v>
      </c>
      <c r="HG11" s="70">
        <v>284.10000000000002</v>
      </c>
      <c r="HH11" s="70">
        <v>283.2</v>
      </c>
      <c r="HI11" s="70">
        <v>282.29000000000002</v>
      </c>
      <c r="HJ11" s="70">
        <v>281.41000000000003</v>
      </c>
      <c r="HK11" s="70">
        <v>280.51</v>
      </c>
      <c r="HL11" s="70">
        <v>279.62</v>
      </c>
      <c r="HM11" s="70">
        <v>278.73</v>
      </c>
      <c r="HN11" s="70">
        <v>277.85000000000002</v>
      </c>
      <c r="HO11" s="70">
        <v>276.95999999999998</v>
      </c>
      <c r="HP11" s="70">
        <v>276.07</v>
      </c>
      <c r="HQ11" s="70">
        <v>275.19</v>
      </c>
      <c r="HR11" s="70">
        <v>274.29000000000002</v>
      </c>
      <c r="HS11" s="70">
        <v>273.42</v>
      </c>
      <c r="HT11" s="70">
        <v>272.54000000000002</v>
      </c>
      <c r="HU11" s="70">
        <v>271.66000000000003</v>
      </c>
      <c r="HV11" s="70">
        <v>270.77999999999997</v>
      </c>
      <c r="HW11" s="70">
        <v>269.89999999999998</v>
      </c>
      <c r="HX11" s="70">
        <v>269.02999999999997</v>
      </c>
      <c r="HY11" s="70">
        <v>268.14999999999998</v>
      </c>
      <c r="HZ11" s="70">
        <v>267.27999999999997</v>
      </c>
      <c r="IA11" s="70">
        <v>266.39999999999998</v>
      </c>
      <c r="IB11" s="70">
        <v>265.52999999999997</v>
      </c>
      <c r="IC11" s="70">
        <v>264.66000000000003</v>
      </c>
      <c r="ID11" s="70">
        <v>263.79000000000002</v>
      </c>
      <c r="IE11" s="70">
        <v>262.92</v>
      </c>
      <c r="IF11" s="70">
        <v>262.04000000000002</v>
      </c>
      <c r="IG11" s="70">
        <v>261.18</v>
      </c>
      <c r="IH11" s="70">
        <v>260.32</v>
      </c>
      <c r="II11" s="70">
        <v>259.45</v>
      </c>
      <c r="IJ11" s="70">
        <v>258.58999999999997</v>
      </c>
      <c r="IK11" s="70">
        <v>257.73</v>
      </c>
      <c r="IL11" s="70">
        <v>256.87</v>
      </c>
      <c r="IM11" s="70">
        <v>256.01</v>
      </c>
      <c r="IN11" s="70">
        <v>255.15</v>
      </c>
      <c r="IO11" s="70">
        <v>254.3</v>
      </c>
      <c r="IP11" s="70">
        <v>253.44</v>
      </c>
      <c r="IQ11" s="70">
        <v>252.59</v>
      </c>
      <c r="IR11" s="70">
        <v>251.73</v>
      </c>
      <c r="IS11" s="70">
        <v>250.88</v>
      </c>
      <c r="IT11" s="70">
        <v>250.03</v>
      </c>
      <c r="IU11" s="70">
        <v>249.18</v>
      </c>
      <c r="IV11" s="70">
        <v>248.34</v>
      </c>
      <c r="IW11" s="70">
        <v>247.49</v>
      </c>
      <c r="IX11" s="70">
        <v>246.65</v>
      </c>
      <c r="IY11" s="70">
        <v>245.8</v>
      </c>
      <c r="IZ11" s="70">
        <v>244.96</v>
      </c>
      <c r="JA11" s="70">
        <v>244.12</v>
      </c>
      <c r="JB11" s="70">
        <v>243.28</v>
      </c>
      <c r="JC11" s="70">
        <v>242.45</v>
      </c>
      <c r="JD11" s="70">
        <v>241.61</v>
      </c>
      <c r="JE11" s="70">
        <v>240.77</v>
      </c>
      <c r="JF11" s="70">
        <v>239.94</v>
      </c>
      <c r="JG11" s="70">
        <v>239.11</v>
      </c>
      <c r="JH11" s="70">
        <v>238.27</v>
      </c>
      <c r="JI11" s="70">
        <v>237.44</v>
      </c>
      <c r="JJ11" s="70">
        <v>236.61</v>
      </c>
      <c r="JK11" s="70">
        <v>235.79</v>
      </c>
      <c r="JL11" s="70">
        <v>234.96</v>
      </c>
      <c r="JM11" s="70">
        <v>234.13</v>
      </c>
      <c r="JN11" s="70">
        <v>233.31</v>
      </c>
      <c r="JO11" s="70">
        <v>232.48</v>
      </c>
      <c r="JP11" s="70">
        <v>231.66</v>
      </c>
      <c r="JQ11" s="70">
        <v>230.84</v>
      </c>
      <c r="JR11" s="70">
        <v>230.01</v>
      </c>
      <c r="JS11" s="70">
        <v>229.19</v>
      </c>
      <c r="JT11" s="70">
        <v>228.38</v>
      </c>
      <c r="JU11" s="70">
        <v>227.56</v>
      </c>
      <c r="JV11" s="70">
        <v>226.74</v>
      </c>
      <c r="JW11" s="70">
        <v>225.93</v>
      </c>
      <c r="JX11" s="70">
        <v>225.11</v>
      </c>
      <c r="JY11" s="70">
        <v>224.3</v>
      </c>
      <c r="JZ11" s="70">
        <v>223.49</v>
      </c>
      <c r="KA11" s="70">
        <v>222.68</v>
      </c>
      <c r="KB11" s="70">
        <v>221.87</v>
      </c>
      <c r="KC11" s="70">
        <v>221.06</v>
      </c>
      <c r="KD11" s="70">
        <v>220.25</v>
      </c>
      <c r="KE11" s="70">
        <v>219.44</v>
      </c>
      <c r="KF11" s="70">
        <v>218.64</v>
      </c>
      <c r="KG11" s="70">
        <v>217.83</v>
      </c>
      <c r="KH11" s="70">
        <v>217.03</v>
      </c>
      <c r="KI11" s="70">
        <v>216.23</v>
      </c>
      <c r="KJ11" s="70">
        <v>215.43</v>
      </c>
      <c r="KK11" s="70">
        <v>214.63</v>
      </c>
      <c r="KL11" s="70">
        <v>213.83</v>
      </c>
      <c r="KM11" s="70">
        <v>213.03</v>
      </c>
      <c r="KN11" s="70">
        <v>212.24</v>
      </c>
      <c r="KO11" s="70">
        <v>211.44</v>
      </c>
      <c r="KP11" s="70">
        <v>210.65</v>
      </c>
      <c r="KQ11" s="70">
        <v>209.86</v>
      </c>
      <c r="KR11" s="70">
        <v>208.93000000000006</v>
      </c>
      <c r="KS11" s="70">
        <v>208.18000000000006</v>
      </c>
      <c r="KT11" s="70">
        <v>207.43000000000006</v>
      </c>
      <c r="KU11" s="70">
        <v>206.68000000000006</v>
      </c>
      <c r="KV11" s="70">
        <v>205.93000000000006</v>
      </c>
      <c r="KW11" s="70">
        <v>205.18000000000006</v>
      </c>
      <c r="KX11" s="70">
        <v>204.43000000000006</v>
      </c>
      <c r="KY11" s="70">
        <v>203.68000000000006</v>
      </c>
      <c r="KZ11" s="70">
        <v>202.93000000000006</v>
      </c>
      <c r="LA11" s="70">
        <v>202.18000000000006</v>
      </c>
      <c r="LB11" s="70">
        <v>201.43000000000006</v>
      </c>
      <c r="LC11" s="70">
        <v>200.68000000000006</v>
      </c>
      <c r="LD11" s="70">
        <v>199.93000000000006</v>
      </c>
      <c r="LE11" s="70">
        <v>199.18000000000006</v>
      </c>
      <c r="LF11" s="70">
        <v>198.43000000000006</v>
      </c>
      <c r="LG11" s="70">
        <v>197.68000000000006</v>
      </c>
      <c r="LH11" s="70">
        <v>196.93000000000006</v>
      </c>
      <c r="LI11" s="70">
        <v>196.18000000000006</v>
      </c>
      <c r="LJ11" s="70">
        <v>195.43000000000006</v>
      </c>
      <c r="LK11" s="70">
        <v>194.68000000000006</v>
      </c>
      <c r="LL11" s="70">
        <v>193.93000000000006</v>
      </c>
      <c r="LM11" s="70">
        <v>193.18000000000006</v>
      </c>
      <c r="LN11" s="70">
        <v>192.43000000000006</v>
      </c>
      <c r="LO11" s="70">
        <v>191.68000000000006</v>
      </c>
      <c r="LP11" s="70">
        <v>190.93000000000006</v>
      </c>
      <c r="LQ11" s="70">
        <v>190.18000000000006</v>
      </c>
      <c r="LR11" s="70">
        <v>189.43000000000006</v>
      </c>
      <c r="LS11" s="70">
        <v>188.68000000000006</v>
      </c>
      <c r="LT11" s="70">
        <v>187.93000000000006</v>
      </c>
      <c r="LU11" s="70">
        <v>187.18000000000006</v>
      </c>
      <c r="LV11" s="70">
        <v>186.43000000000006</v>
      </c>
      <c r="LW11" s="70">
        <v>185.68000000000006</v>
      </c>
      <c r="LX11" s="70">
        <v>184.93000000000006</v>
      </c>
      <c r="LY11" s="70">
        <v>184.18000000000006</v>
      </c>
      <c r="LZ11" s="70">
        <v>183.43000000000006</v>
      </c>
      <c r="MA11" s="70">
        <v>182.68000000000006</v>
      </c>
      <c r="MB11" s="70">
        <v>181.93000000000006</v>
      </c>
      <c r="MC11" s="70">
        <v>181.18000000000006</v>
      </c>
      <c r="MD11" s="70">
        <v>180.43000000000006</v>
      </c>
      <c r="ME11" s="70">
        <v>179.68000000000006</v>
      </c>
      <c r="MF11" s="70">
        <v>178.93000000000006</v>
      </c>
      <c r="MG11" s="70">
        <v>178.18000000000006</v>
      </c>
      <c r="MH11" s="70">
        <v>177.43000000000006</v>
      </c>
      <c r="MI11" s="70">
        <v>176.68000000000006</v>
      </c>
      <c r="MJ11" s="70">
        <v>175.93000000000006</v>
      </c>
      <c r="MK11" s="70">
        <v>175.18000000000006</v>
      </c>
      <c r="ML11" s="70">
        <v>174.43000000000006</v>
      </c>
      <c r="MM11" s="70">
        <v>173.68000000000006</v>
      </c>
      <c r="MN11" s="70">
        <v>172.93000000000006</v>
      </c>
      <c r="MO11" s="70">
        <v>172.18000000000006</v>
      </c>
      <c r="MP11" s="70">
        <v>171.43000000000006</v>
      </c>
      <c r="MQ11" s="70">
        <v>170.68000000000006</v>
      </c>
      <c r="MR11" s="70">
        <v>169.93000000000006</v>
      </c>
      <c r="MS11" s="70">
        <v>169.18000000000006</v>
      </c>
      <c r="MT11" s="70">
        <v>168.43000000000006</v>
      </c>
      <c r="MU11" s="70">
        <v>167.68000000000006</v>
      </c>
      <c r="MV11" s="70">
        <v>166.93000000000006</v>
      </c>
      <c r="MW11" s="70">
        <v>166.18000000000006</v>
      </c>
      <c r="MX11" s="70">
        <v>165.43000000000006</v>
      </c>
      <c r="MY11" s="70">
        <v>164.68000000000006</v>
      </c>
    </row>
    <row r="12" spans="1:376" ht="15.6" x14ac:dyDescent="0.3">
      <c r="A12" s="67" t="s">
        <v>7</v>
      </c>
      <c r="B12" s="72">
        <v>2022</v>
      </c>
      <c r="C12" s="70">
        <v>492</v>
      </c>
      <c r="D12" s="70">
        <v>490.98</v>
      </c>
      <c r="E12" s="70">
        <v>489.96</v>
      </c>
      <c r="F12" s="70">
        <v>488.94</v>
      </c>
      <c r="G12" s="70">
        <v>487.93</v>
      </c>
      <c r="H12" s="70">
        <v>486.91</v>
      </c>
      <c r="I12" s="70">
        <v>485.89</v>
      </c>
      <c r="J12" s="70">
        <v>484.87</v>
      </c>
      <c r="K12" s="70">
        <v>483.85</v>
      </c>
      <c r="L12" s="70">
        <v>482.83</v>
      </c>
      <c r="M12" s="70">
        <v>481.82</v>
      </c>
      <c r="N12" s="70">
        <v>480.8</v>
      </c>
      <c r="O12" s="70">
        <v>479.78</v>
      </c>
      <c r="P12" s="70">
        <v>478.76</v>
      </c>
      <c r="Q12" s="70">
        <v>477.75</v>
      </c>
      <c r="R12" s="70">
        <v>476.73</v>
      </c>
      <c r="S12" s="70">
        <v>475.71</v>
      </c>
      <c r="T12" s="70">
        <v>474.7</v>
      </c>
      <c r="U12" s="70">
        <v>473.68</v>
      </c>
      <c r="V12" s="70">
        <v>472.66</v>
      </c>
      <c r="W12" s="70">
        <v>471.65</v>
      </c>
      <c r="X12" s="70">
        <v>470.63</v>
      </c>
      <c r="Y12" s="70">
        <v>469.62</v>
      </c>
      <c r="Z12" s="70">
        <v>468.6</v>
      </c>
      <c r="AA12" s="70">
        <v>467.58</v>
      </c>
      <c r="AB12" s="70">
        <v>466.57</v>
      </c>
      <c r="AC12" s="70">
        <v>465.55</v>
      </c>
      <c r="AD12" s="70">
        <v>464.54</v>
      </c>
      <c r="AE12" s="70">
        <v>463.52</v>
      </c>
      <c r="AF12" s="70">
        <v>462.51</v>
      </c>
      <c r="AG12" s="70">
        <v>461.49</v>
      </c>
      <c r="AH12" s="70">
        <v>460.48</v>
      </c>
      <c r="AI12" s="70">
        <v>459.46</v>
      </c>
      <c r="AJ12" s="70">
        <v>458.45</v>
      </c>
      <c r="AK12" s="70">
        <v>457.43</v>
      </c>
      <c r="AL12" s="70">
        <v>456.42</v>
      </c>
      <c r="AM12" s="70">
        <v>455.4</v>
      </c>
      <c r="AN12" s="70">
        <v>454.39</v>
      </c>
      <c r="AO12" s="70">
        <v>453.38</v>
      </c>
      <c r="AP12" s="70">
        <v>452.36</v>
      </c>
      <c r="AQ12" s="70">
        <v>451.35</v>
      </c>
      <c r="AR12" s="70">
        <v>450.34</v>
      </c>
      <c r="AS12" s="70">
        <v>449.32</v>
      </c>
      <c r="AT12" s="70">
        <v>448.31</v>
      </c>
      <c r="AU12" s="70">
        <v>447.3</v>
      </c>
      <c r="AV12" s="70">
        <v>446.29</v>
      </c>
      <c r="AW12" s="70">
        <v>445.27</v>
      </c>
      <c r="AX12" s="70">
        <v>444.26</v>
      </c>
      <c r="AY12" s="70">
        <v>443.25</v>
      </c>
      <c r="AZ12" s="70">
        <v>442.24</v>
      </c>
      <c r="BA12" s="70">
        <v>441.23</v>
      </c>
      <c r="BB12" s="70">
        <v>440.22</v>
      </c>
      <c r="BC12" s="70">
        <v>439.21</v>
      </c>
      <c r="BD12" s="70">
        <v>438.2</v>
      </c>
      <c r="BE12" s="70">
        <v>437.19</v>
      </c>
      <c r="BF12" s="70">
        <v>436.18</v>
      </c>
      <c r="BG12" s="70">
        <v>435.17</v>
      </c>
      <c r="BH12" s="70">
        <v>434.16</v>
      </c>
      <c r="BI12" s="70">
        <v>433.15</v>
      </c>
      <c r="BJ12" s="70">
        <v>432.14</v>
      </c>
      <c r="BK12" s="70">
        <v>431.13</v>
      </c>
      <c r="BL12" s="70">
        <v>430.12</v>
      </c>
      <c r="BM12" s="70">
        <v>429.11</v>
      </c>
      <c r="BN12" s="70">
        <v>428.1</v>
      </c>
      <c r="BO12" s="70">
        <v>427.1</v>
      </c>
      <c r="BP12" s="70">
        <v>426.09</v>
      </c>
      <c r="BQ12" s="70">
        <v>425.08</v>
      </c>
      <c r="BR12" s="70">
        <v>424.07</v>
      </c>
      <c r="BS12" s="70">
        <v>423.07</v>
      </c>
      <c r="BT12" s="70">
        <v>422.06</v>
      </c>
      <c r="BU12" s="70">
        <v>421.05</v>
      </c>
      <c r="BV12" s="70">
        <v>420.05</v>
      </c>
      <c r="BW12" s="70">
        <v>419.04</v>
      </c>
      <c r="BX12" s="70">
        <v>418.04</v>
      </c>
      <c r="BY12" s="70">
        <v>417.03</v>
      </c>
      <c r="BZ12" s="70">
        <v>416.03</v>
      </c>
      <c r="CA12" s="70">
        <v>415.03</v>
      </c>
      <c r="CB12" s="70">
        <v>414.03</v>
      </c>
      <c r="CC12" s="70">
        <v>413.02</v>
      </c>
      <c r="CD12" s="70">
        <v>412.02</v>
      </c>
      <c r="CE12" s="70">
        <v>411.02</v>
      </c>
      <c r="CF12" s="70">
        <v>410.02</v>
      </c>
      <c r="CG12" s="70">
        <v>409.01</v>
      </c>
      <c r="CH12" s="70">
        <v>408.01</v>
      </c>
      <c r="CI12" s="70">
        <v>407.01</v>
      </c>
      <c r="CJ12" s="70">
        <v>406.01</v>
      </c>
      <c r="CK12" s="70">
        <v>405.02</v>
      </c>
      <c r="CL12" s="70">
        <v>404.02</v>
      </c>
      <c r="CM12" s="70">
        <v>403.02</v>
      </c>
      <c r="CN12" s="70">
        <v>402.02</v>
      </c>
      <c r="CO12" s="70">
        <v>401.03</v>
      </c>
      <c r="CP12" s="70">
        <v>400.03</v>
      </c>
      <c r="CQ12" s="70">
        <v>399.03</v>
      </c>
      <c r="CR12" s="70">
        <v>398.03</v>
      </c>
      <c r="CS12" s="70">
        <v>397.04</v>
      </c>
      <c r="CT12" s="70">
        <v>396.04</v>
      </c>
      <c r="CU12" s="70">
        <v>395.05</v>
      </c>
      <c r="CV12" s="70">
        <v>394.05</v>
      </c>
      <c r="CW12" s="70">
        <v>393.06</v>
      </c>
      <c r="CX12" s="70">
        <v>392.07</v>
      </c>
      <c r="CY12" s="70">
        <v>391.08</v>
      </c>
      <c r="CZ12" s="70">
        <v>390.09</v>
      </c>
      <c r="DA12" s="70">
        <v>389.09</v>
      </c>
      <c r="DB12" s="70">
        <v>388.1</v>
      </c>
      <c r="DC12" s="70">
        <v>387.11</v>
      </c>
      <c r="DD12" s="70">
        <v>386.12</v>
      </c>
      <c r="DE12" s="70">
        <v>385.13</v>
      </c>
      <c r="DF12" s="70">
        <v>384.14</v>
      </c>
      <c r="DG12" s="70">
        <v>383.15</v>
      </c>
      <c r="DH12" s="70">
        <v>382.16</v>
      </c>
      <c r="DI12" s="70">
        <v>381.18</v>
      </c>
      <c r="DJ12" s="70">
        <v>380.19</v>
      </c>
      <c r="DK12" s="70">
        <v>379.21</v>
      </c>
      <c r="DL12" s="70">
        <v>378.22</v>
      </c>
      <c r="DM12" s="70">
        <v>377.24</v>
      </c>
      <c r="DN12" s="70">
        <v>376.25</v>
      </c>
      <c r="DO12" s="70">
        <v>375.27</v>
      </c>
      <c r="DP12" s="70">
        <v>374.29</v>
      </c>
      <c r="DQ12" s="70">
        <v>373.3</v>
      </c>
      <c r="DR12" s="70">
        <v>372.32</v>
      </c>
      <c r="DS12" s="70">
        <v>371.34</v>
      </c>
      <c r="DT12" s="70">
        <v>370.36</v>
      </c>
      <c r="DU12" s="70">
        <v>369.38</v>
      </c>
      <c r="DV12" s="70">
        <v>368.4</v>
      </c>
      <c r="DW12" s="70">
        <v>367.42</v>
      </c>
      <c r="DX12" s="70">
        <v>366.45</v>
      </c>
      <c r="DY12" s="70">
        <v>365.47</v>
      </c>
      <c r="DZ12" s="70">
        <v>364.5</v>
      </c>
      <c r="EA12" s="70">
        <v>363.52</v>
      </c>
      <c r="EB12" s="70">
        <v>362.55</v>
      </c>
      <c r="EC12" s="70">
        <v>361.57</v>
      </c>
      <c r="ED12" s="70">
        <v>360.6</v>
      </c>
      <c r="EE12" s="70">
        <v>359.62</v>
      </c>
      <c r="EF12" s="70">
        <v>358.66</v>
      </c>
      <c r="EG12" s="70">
        <v>357.69</v>
      </c>
      <c r="EH12" s="70">
        <v>356.72</v>
      </c>
      <c r="EI12" s="70">
        <v>355.75</v>
      </c>
      <c r="EJ12" s="70">
        <v>354.79</v>
      </c>
      <c r="EK12" s="70">
        <v>353.82</v>
      </c>
      <c r="EL12" s="70">
        <v>352.86</v>
      </c>
      <c r="EM12" s="70">
        <v>351.89</v>
      </c>
      <c r="EN12" s="70">
        <v>350.93</v>
      </c>
      <c r="EO12" s="70">
        <v>349.97</v>
      </c>
      <c r="EP12" s="70">
        <v>349</v>
      </c>
      <c r="EQ12" s="70">
        <v>348.04</v>
      </c>
      <c r="ER12" s="70">
        <v>347.08</v>
      </c>
      <c r="ES12" s="70">
        <v>346.13</v>
      </c>
      <c r="ET12" s="70">
        <v>345.17</v>
      </c>
      <c r="EU12" s="70">
        <v>344.21</v>
      </c>
      <c r="EV12" s="70">
        <v>343.25</v>
      </c>
      <c r="EW12" s="70">
        <v>342.3</v>
      </c>
      <c r="EX12" s="70">
        <v>341.34</v>
      </c>
      <c r="EY12" s="70">
        <v>340.39</v>
      </c>
      <c r="EZ12" s="70">
        <v>339.43</v>
      </c>
      <c r="FA12" s="70">
        <v>338.48</v>
      </c>
      <c r="FB12" s="70">
        <v>337.52</v>
      </c>
      <c r="FC12" s="70">
        <v>336.57</v>
      </c>
      <c r="FD12" s="70">
        <v>335.62</v>
      </c>
      <c r="FE12" s="70">
        <v>334.67</v>
      </c>
      <c r="FF12" s="70">
        <v>333.72</v>
      </c>
      <c r="FG12" s="70">
        <v>332.77</v>
      </c>
      <c r="FH12" s="70">
        <v>331.82</v>
      </c>
      <c r="FI12" s="70">
        <v>330.87</v>
      </c>
      <c r="FJ12" s="70">
        <v>329.93</v>
      </c>
      <c r="FK12" s="70">
        <v>328.98</v>
      </c>
      <c r="FL12" s="70">
        <v>328.04</v>
      </c>
      <c r="FM12" s="70">
        <v>327.08999999999997</v>
      </c>
      <c r="FN12" s="70">
        <v>326.14999999999998</v>
      </c>
      <c r="FO12" s="70">
        <v>325.2</v>
      </c>
      <c r="FP12" s="70">
        <v>324.26</v>
      </c>
      <c r="FQ12" s="70">
        <v>323.32</v>
      </c>
      <c r="FR12" s="70">
        <v>322.38</v>
      </c>
      <c r="FS12" s="70">
        <v>321.44</v>
      </c>
      <c r="FT12" s="70">
        <v>320.5</v>
      </c>
      <c r="FU12" s="70">
        <v>319.56</v>
      </c>
      <c r="FV12" s="70">
        <v>318.62</v>
      </c>
      <c r="FW12" s="70">
        <v>317.68</v>
      </c>
      <c r="FX12" s="70">
        <v>316.75</v>
      </c>
      <c r="FY12" s="70">
        <v>315.81</v>
      </c>
      <c r="FZ12" s="70">
        <v>314.88</v>
      </c>
      <c r="GA12" s="70">
        <v>313.94</v>
      </c>
      <c r="GB12" s="70">
        <v>313.01</v>
      </c>
      <c r="GC12" s="70">
        <v>312.07</v>
      </c>
      <c r="GD12" s="70">
        <v>311.14999999999998</v>
      </c>
      <c r="GE12" s="70">
        <v>310.22000000000003</v>
      </c>
      <c r="GF12" s="70">
        <v>309.29000000000002</v>
      </c>
      <c r="GG12" s="70">
        <v>308.35000000000002</v>
      </c>
      <c r="GH12" s="70">
        <v>307.43</v>
      </c>
      <c r="GI12" s="70">
        <v>306.51</v>
      </c>
      <c r="GJ12" s="70">
        <v>305.57</v>
      </c>
      <c r="GK12" s="70">
        <v>304.66000000000003</v>
      </c>
      <c r="GL12" s="70">
        <v>303.74</v>
      </c>
      <c r="GM12" s="70">
        <v>302.81</v>
      </c>
      <c r="GN12" s="70">
        <v>301.89</v>
      </c>
      <c r="GO12" s="70">
        <v>300.98</v>
      </c>
      <c r="GP12" s="70">
        <v>300.06</v>
      </c>
      <c r="GQ12" s="70">
        <v>299.14</v>
      </c>
      <c r="GR12" s="70">
        <v>298.22000000000003</v>
      </c>
      <c r="GS12" s="70">
        <v>297.31</v>
      </c>
      <c r="GT12" s="70">
        <v>296.39999999999998</v>
      </c>
      <c r="GU12" s="70">
        <v>295.48</v>
      </c>
      <c r="GV12" s="70">
        <v>294.57</v>
      </c>
      <c r="GW12" s="70">
        <v>293.66000000000003</v>
      </c>
      <c r="GX12" s="70">
        <v>292.75</v>
      </c>
      <c r="GY12" s="70">
        <v>291.83999999999997</v>
      </c>
      <c r="GZ12" s="70">
        <v>290.94</v>
      </c>
      <c r="HA12" s="70">
        <v>290.02999999999997</v>
      </c>
      <c r="HB12" s="70">
        <v>289.13</v>
      </c>
      <c r="HC12" s="70">
        <v>288.22000000000003</v>
      </c>
      <c r="HD12" s="70">
        <v>287.32</v>
      </c>
      <c r="HE12" s="70">
        <v>286.42</v>
      </c>
      <c r="HF12" s="70">
        <v>285.51</v>
      </c>
      <c r="HG12" s="70">
        <v>284.62</v>
      </c>
      <c r="HH12" s="70">
        <v>283.72000000000003</v>
      </c>
      <c r="HI12" s="70">
        <v>282.82</v>
      </c>
      <c r="HJ12" s="70">
        <v>281.93</v>
      </c>
      <c r="HK12" s="70">
        <v>281.04000000000002</v>
      </c>
      <c r="HL12" s="70">
        <v>280.14999999999998</v>
      </c>
      <c r="HM12" s="70">
        <v>279.25</v>
      </c>
      <c r="HN12" s="70">
        <v>278.37</v>
      </c>
      <c r="HO12" s="70">
        <v>277.48</v>
      </c>
      <c r="HP12" s="70">
        <v>276.58999999999997</v>
      </c>
      <c r="HQ12" s="70">
        <v>275.70999999999998</v>
      </c>
      <c r="HR12" s="70">
        <v>274.82</v>
      </c>
      <c r="HS12" s="70">
        <v>273.94</v>
      </c>
      <c r="HT12" s="70">
        <v>273.06</v>
      </c>
      <c r="HU12" s="70">
        <v>272.18</v>
      </c>
      <c r="HV12" s="70">
        <v>271.29000000000002</v>
      </c>
      <c r="HW12" s="70">
        <v>270.42</v>
      </c>
      <c r="HX12" s="70">
        <v>269.54000000000002</v>
      </c>
      <c r="HY12" s="70">
        <v>268.67</v>
      </c>
      <c r="HZ12" s="70">
        <v>267.79000000000002</v>
      </c>
      <c r="IA12" s="70">
        <v>266.92</v>
      </c>
      <c r="IB12" s="70">
        <v>266.04000000000002</v>
      </c>
      <c r="IC12" s="70">
        <v>265.17</v>
      </c>
      <c r="ID12" s="70">
        <v>264.29000000000002</v>
      </c>
      <c r="IE12" s="70">
        <v>263.43</v>
      </c>
      <c r="IF12" s="70">
        <v>262.56</v>
      </c>
      <c r="IG12" s="70">
        <v>261.7</v>
      </c>
      <c r="IH12" s="70">
        <v>260.82</v>
      </c>
      <c r="II12" s="70">
        <v>259.97000000000003</v>
      </c>
      <c r="IJ12" s="70">
        <v>259.10000000000002</v>
      </c>
      <c r="IK12" s="70">
        <v>258.24</v>
      </c>
      <c r="IL12" s="70">
        <v>257.38</v>
      </c>
      <c r="IM12" s="70">
        <v>256.51</v>
      </c>
      <c r="IN12" s="70">
        <v>255.66</v>
      </c>
      <c r="IO12" s="70">
        <v>254.8</v>
      </c>
      <c r="IP12" s="70">
        <v>253.95</v>
      </c>
      <c r="IQ12" s="70">
        <v>253.09</v>
      </c>
      <c r="IR12" s="70">
        <v>252.24</v>
      </c>
      <c r="IS12" s="70">
        <v>251.39</v>
      </c>
      <c r="IT12" s="70">
        <v>250.54</v>
      </c>
      <c r="IU12" s="70">
        <v>249.69</v>
      </c>
      <c r="IV12" s="70">
        <v>248.84</v>
      </c>
      <c r="IW12" s="70">
        <v>248</v>
      </c>
      <c r="IX12" s="70">
        <v>247.15</v>
      </c>
      <c r="IY12" s="70">
        <v>246.31</v>
      </c>
      <c r="IZ12" s="70">
        <v>245.47</v>
      </c>
      <c r="JA12" s="70">
        <v>244.62</v>
      </c>
      <c r="JB12" s="70">
        <v>243.79</v>
      </c>
      <c r="JC12" s="70">
        <v>242.95</v>
      </c>
      <c r="JD12" s="70">
        <v>242.11</v>
      </c>
      <c r="JE12" s="70">
        <v>241.27</v>
      </c>
      <c r="JF12" s="70">
        <v>240.44</v>
      </c>
      <c r="JG12" s="70">
        <v>239.6</v>
      </c>
      <c r="JH12" s="70">
        <v>238.77</v>
      </c>
      <c r="JI12" s="70">
        <v>237.94</v>
      </c>
      <c r="JJ12" s="70">
        <v>237.11</v>
      </c>
      <c r="JK12" s="70">
        <v>236.28</v>
      </c>
      <c r="JL12" s="70">
        <v>235.45</v>
      </c>
      <c r="JM12" s="70">
        <v>234.63</v>
      </c>
      <c r="JN12" s="70">
        <v>233.8</v>
      </c>
      <c r="JO12" s="70">
        <v>232.98</v>
      </c>
      <c r="JP12" s="70">
        <v>232.15</v>
      </c>
      <c r="JQ12" s="70">
        <v>231.33</v>
      </c>
      <c r="JR12" s="70">
        <v>230.51</v>
      </c>
      <c r="JS12" s="70">
        <v>229.69</v>
      </c>
      <c r="JT12" s="70">
        <v>228.87</v>
      </c>
      <c r="JU12" s="70">
        <v>228.05</v>
      </c>
      <c r="JV12" s="70">
        <v>227.23</v>
      </c>
      <c r="JW12" s="70">
        <v>226.42</v>
      </c>
      <c r="JX12" s="70">
        <v>225.6</v>
      </c>
      <c r="JY12" s="70">
        <v>224.79</v>
      </c>
      <c r="JZ12" s="70">
        <v>223.98</v>
      </c>
      <c r="KA12" s="70">
        <v>223.17</v>
      </c>
      <c r="KB12" s="70">
        <v>222.36</v>
      </c>
      <c r="KC12" s="70">
        <v>221.55</v>
      </c>
      <c r="KD12" s="70">
        <v>220.74</v>
      </c>
      <c r="KE12" s="70">
        <v>219.93</v>
      </c>
      <c r="KF12" s="70">
        <v>219.12</v>
      </c>
      <c r="KG12" s="70">
        <v>218.32</v>
      </c>
      <c r="KH12" s="70">
        <v>217.51</v>
      </c>
      <c r="KI12" s="70">
        <v>216.71</v>
      </c>
      <c r="KJ12" s="70">
        <v>215.91</v>
      </c>
      <c r="KK12" s="70">
        <v>215.11</v>
      </c>
      <c r="KL12" s="70">
        <v>214.31</v>
      </c>
      <c r="KM12" s="70">
        <v>213.51</v>
      </c>
      <c r="KN12" s="70">
        <v>212.72</v>
      </c>
      <c r="KO12" s="70">
        <v>211.92</v>
      </c>
      <c r="KP12" s="70">
        <v>211.13</v>
      </c>
      <c r="KQ12" s="70">
        <v>210.34</v>
      </c>
      <c r="KR12" s="70">
        <v>209.39000000000007</v>
      </c>
      <c r="KS12" s="70">
        <v>208.64000000000007</v>
      </c>
      <c r="KT12" s="70">
        <v>207.89000000000007</v>
      </c>
      <c r="KU12" s="70">
        <v>207.14000000000007</v>
      </c>
      <c r="KV12" s="70">
        <v>206.39000000000007</v>
      </c>
      <c r="KW12" s="70">
        <v>205.64000000000007</v>
      </c>
      <c r="KX12" s="70">
        <v>204.89000000000007</v>
      </c>
      <c r="KY12" s="70">
        <v>204.14000000000007</v>
      </c>
      <c r="KZ12" s="70">
        <v>203.39000000000007</v>
      </c>
      <c r="LA12" s="70">
        <v>202.64000000000007</v>
      </c>
      <c r="LB12" s="70">
        <v>201.89000000000007</v>
      </c>
      <c r="LC12" s="70">
        <v>201.14000000000007</v>
      </c>
      <c r="LD12" s="70">
        <v>200.39000000000007</v>
      </c>
      <c r="LE12" s="70">
        <v>199.64000000000007</v>
      </c>
      <c r="LF12" s="70">
        <v>198.89000000000007</v>
      </c>
      <c r="LG12" s="70">
        <v>198.14000000000007</v>
      </c>
      <c r="LH12" s="70">
        <v>197.39000000000007</v>
      </c>
      <c r="LI12" s="70">
        <v>196.64000000000007</v>
      </c>
      <c r="LJ12" s="70">
        <v>195.89000000000007</v>
      </c>
      <c r="LK12" s="70">
        <v>195.14000000000007</v>
      </c>
      <c r="LL12" s="70">
        <v>194.39000000000007</v>
      </c>
      <c r="LM12" s="70">
        <v>193.64000000000007</v>
      </c>
      <c r="LN12" s="70">
        <v>192.89000000000007</v>
      </c>
      <c r="LO12" s="70">
        <v>192.14000000000007</v>
      </c>
      <c r="LP12" s="70">
        <v>191.39000000000007</v>
      </c>
      <c r="LQ12" s="70">
        <v>190.64000000000007</v>
      </c>
      <c r="LR12" s="70">
        <v>189.89000000000007</v>
      </c>
      <c r="LS12" s="70">
        <v>189.14000000000007</v>
      </c>
      <c r="LT12" s="70">
        <v>188.39000000000007</v>
      </c>
      <c r="LU12" s="70">
        <v>187.64000000000007</v>
      </c>
      <c r="LV12" s="70">
        <v>186.89000000000007</v>
      </c>
      <c r="LW12" s="70">
        <v>186.14000000000007</v>
      </c>
      <c r="LX12" s="70">
        <v>185.39000000000007</v>
      </c>
      <c r="LY12" s="70">
        <v>184.64000000000007</v>
      </c>
      <c r="LZ12" s="70">
        <v>183.89000000000007</v>
      </c>
      <c r="MA12" s="70">
        <v>183.14000000000007</v>
      </c>
      <c r="MB12" s="70">
        <v>182.39000000000007</v>
      </c>
      <c r="MC12" s="70">
        <v>181.64000000000007</v>
      </c>
      <c r="MD12" s="70">
        <v>180.89000000000007</v>
      </c>
      <c r="ME12" s="70">
        <v>180.14000000000007</v>
      </c>
      <c r="MF12" s="70">
        <v>179.39000000000007</v>
      </c>
      <c r="MG12" s="70">
        <v>178.64000000000007</v>
      </c>
      <c r="MH12" s="70">
        <v>177.89000000000007</v>
      </c>
      <c r="MI12" s="70">
        <v>177.14000000000007</v>
      </c>
      <c r="MJ12" s="70">
        <v>176.39000000000007</v>
      </c>
      <c r="MK12" s="70">
        <v>175.64000000000007</v>
      </c>
      <c r="ML12" s="70">
        <v>174.89000000000007</v>
      </c>
      <c r="MM12" s="70">
        <v>174.14000000000007</v>
      </c>
      <c r="MN12" s="70">
        <v>173.39000000000007</v>
      </c>
      <c r="MO12" s="70">
        <v>172.64000000000007</v>
      </c>
      <c r="MP12" s="70">
        <v>171.89000000000007</v>
      </c>
      <c r="MQ12" s="70">
        <v>171.14000000000007</v>
      </c>
      <c r="MR12" s="70">
        <v>170.39000000000007</v>
      </c>
      <c r="MS12" s="70">
        <v>169.64000000000007</v>
      </c>
      <c r="MT12" s="70">
        <v>168.89000000000007</v>
      </c>
      <c r="MU12" s="70">
        <v>168.14000000000007</v>
      </c>
      <c r="MV12" s="70">
        <v>167.39000000000007</v>
      </c>
      <c r="MW12" s="70">
        <v>166.64000000000007</v>
      </c>
      <c r="MX12" s="70">
        <v>165.89000000000007</v>
      </c>
      <c r="MY12" s="70">
        <v>165.14000000000007</v>
      </c>
    </row>
    <row r="13" spans="1:376" ht="15.6" x14ac:dyDescent="0.3">
      <c r="A13" s="67" t="s">
        <v>7</v>
      </c>
      <c r="B13" s="72">
        <v>2023</v>
      </c>
      <c r="C13" s="70">
        <v>492.6</v>
      </c>
      <c r="D13" s="70">
        <v>491.58</v>
      </c>
      <c r="E13" s="70">
        <v>490.57</v>
      </c>
      <c r="F13" s="70">
        <v>489.55</v>
      </c>
      <c r="G13" s="70">
        <v>488.53</v>
      </c>
      <c r="H13" s="70">
        <v>487.51</v>
      </c>
      <c r="I13" s="70">
        <v>486.49</v>
      </c>
      <c r="J13" s="70">
        <v>485.47</v>
      </c>
      <c r="K13" s="70">
        <v>484.45</v>
      </c>
      <c r="L13" s="70">
        <v>483.44</v>
      </c>
      <c r="M13" s="70">
        <v>482.42</v>
      </c>
      <c r="N13" s="70">
        <v>481.4</v>
      </c>
      <c r="O13" s="70">
        <v>480.38</v>
      </c>
      <c r="P13" s="70">
        <v>479.36</v>
      </c>
      <c r="Q13" s="70">
        <v>478.35</v>
      </c>
      <c r="R13" s="70">
        <v>477.33</v>
      </c>
      <c r="S13" s="70">
        <v>476.31</v>
      </c>
      <c r="T13" s="70">
        <v>475.3</v>
      </c>
      <c r="U13" s="70">
        <v>474.28</v>
      </c>
      <c r="V13" s="70">
        <v>473.26</v>
      </c>
      <c r="W13" s="70">
        <v>472.25</v>
      </c>
      <c r="X13" s="70">
        <v>471.23</v>
      </c>
      <c r="Y13" s="70">
        <v>470.21</v>
      </c>
      <c r="Z13" s="70">
        <v>469.2</v>
      </c>
      <c r="AA13" s="70">
        <v>468.18</v>
      </c>
      <c r="AB13" s="70">
        <v>467.16</v>
      </c>
      <c r="AC13" s="70">
        <v>466.15</v>
      </c>
      <c r="AD13" s="70">
        <v>465.13</v>
      </c>
      <c r="AE13" s="70">
        <v>464.12</v>
      </c>
      <c r="AF13" s="70">
        <v>463.1</v>
      </c>
      <c r="AG13" s="70">
        <v>462.09</v>
      </c>
      <c r="AH13" s="70">
        <v>461.07</v>
      </c>
      <c r="AI13" s="70">
        <v>460.05</v>
      </c>
      <c r="AJ13" s="70">
        <v>459.04</v>
      </c>
      <c r="AK13" s="70">
        <v>458.02</v>
      </c>
      <c r="AL13" s="70">
        <v>457.01</v>
      </c>
      <c r="AM13" s="70">
        <v>455.99</v>
      </c>
      <c r="AN13" s="70">
        <v>454.98</v>
      </c>
      <c r="AO13" s="70">
        <v>453.97</v>
      </c>
      <c r="AP13" s="70">
        <v>452.95</v>
      </c>
      <c r="AQ13" s="70">
        <v>451.94</v>
      </c>
      <c r="AR13" s="70">
        <v>450.93</v>
      </c>
      <c r="AS13" s="70">
        <v>449.91</v>
      </c>
      <c r="AT13" s="70">
        <v>448.9</v>
      </c>
      <c r="AU13" s="70">
        <v>447.89</v>
      </c>
      <c r="AV13" s="70">
        <v>446.87</v>
      </c>
      <c r="AW13" s="70">
        <v>445.86</v>
      </c>
      <c r="AX13" s="70">
        <v>444.85</v>
      </c>
      <c r="AY13" s="70">
        <v>443.84</v>
      </c>
      <c r="AZ13" s="70">
        <v>442.82</v>
      </c>
      <c r="BA13" s="70">
        <v>441.81</v>
      </c>
      <c r="BB13" s="70">
        <v>440.8</v>
      </c>
      <c r="BC13" s="70">
        <v>439.79</v>
      </c>
      <c r="BD13" s="70">
        <v>438.78</v>
      </c>
      <c r="BE13" s="70">
        <v>437.77</v>
      </c>
      <c r="BF13" s="70">
        <v>436.76</v>
      </c>
      <c r="BG13" s="70">
        <v>435.75</v>
      </c>
      <c r="BH13" s="70">
        <v>434.74</v>
      </c>
      <c r="BI13" s="70">
        <v>433.73</v>
      </c>
      <c r="BJ13" s="70">
        <v>432.72</v>
      </c>
      <c r="BK13" s="70">
        <v>431.71</v>
      </c>
      <c r="BL13" s="70">
        <v>430.7</v>
      </c>
      <c r="BM13" s="70">
        <v>429.69</v>
      </c>
      <c r="BN13" s="70">
        <v>428.68</v>
      </c>
      <c r="BO13" s="70">
        <v>427.67</v>
      </c>
      <c r="BP13" s="70">
        <v>426.66</v>
      </c>
      <c r="BQ13" s="70">
        <v>425.66</v>
      </c>
      <c r="BR13" s="70">
        <v>424.65</v>
      </c>
      <c r="BS13" s="70">
        <v>423.64</v>
      </c>
      <c r="BT13" s="70">
        <v>422.63</v>
      </c>
      <c r="BU13" s="70">
        <v>421.63</v>
      </c>
      <c r="BV13" s="70">
        <v>420.62</v>
      </c>
      <c r="BW13" s="70">
        <v>419.61</v>
      </c>
      <c r="BX13" s="70">
        <v>418.61</v>
      </c>
      <c r="BY13" s="70">
        <v>417.61</v>
      </c>
      <c r="BZ13" s="70">
        <v>416.6</v>
      </c>
      <c r="CA13" s="70">
        <v>415.6</v>
      </c>
      <c r="CB13" s="70">
        <v>414.6</v>
      </c>
      <c r="CC13" s="70">
        <v>413.59</v>
      </c>
      <c r="CD13" s="70">
        <v>412.59</v>
      </c>
      <c r="CE13" s="70">
        <v>411.59</v>
      </c>
      <c r="CF13" s="70">
        <v>410.59</v>
      </c>
      <c r="CG13" s="70">
        <v>409.58</v>
      </c>
      <c r="CH13" s="70">
        <v>408.58</v>
      </c>
      <c r="CI13" s="70">
        <v>407.58</v>
      </c>
      <c r="CJ13" s="70">
        <v>406.58</v>
      </c>
      <c r="CK13" s="70">
        <v>405.58</v>
      </c>
      <c r="CL13" s="70">
        <v>404.58</v>
      </c>
      <c r="CM13" s="70">
        <v>403.58</v>
      </c>
      <c r="CN13" s="70">
        <v>402.59</v>
      </c>
      <c r="CO13" s="70">
        <v>401.59</v>
      </c>
      <c r="CP13" s="70">
        <v>400.59</v>
      </c>
      <c r="CQ13" s="70">
        <v>399.59</v>
      </c>
      <c r="CR13" s="70">
        <v>398.6</v>
      </c>
      <c r="CS13" s="70">
        <v>397.6</v>
      </c>
      <c r="CT13" s="70">
        <v>396.6</v>
      </c>
      <c r="CU13" s="70">
        <v>395.61</v>
      </c>
      <c r="CV13" s="70">
        <v>394.61</v>
      </c>
      <c r="CW13" s="70">
        <v>393.62</v>
      </c>
      <c r="CX13" s="70">
        <v>392.63</v>
      </c>
      <c r="CY13" s="70">
        <v>391.64</v>
      </c>
      <c r="CZ13" s="70">
        <v>390.64</v>
      </c>
      <c r="DA13" s="70">
        <v>389.65</v>
      </c>
      <c r="DB13" s="70">
        <v>388.66</v>
      </c>
      <c r="DC13" s="70">
        <v>387.67</v>
      </c>
      <c r="DD13" s="70">
        <v>386.68</v>
      </c>
      <c r="DE13" s="70">
        <v>385.69</v>
      </c>
      <c r="DF13" s="70">
        <v>384.7</v>
      </c>
      <c r="DG13" s="70">
        <v>383.71</v>
      </c>
      <c r="DH13" s="70">
        <v>382.72</v>
      </c>
      <c r="DI13" s="70">
        <v>381.73</v>
      </c>
      <c r="DJ13" s="70">
        <v>380.75</v>
      </c>
      <c r="DK13" s="70">
        <v>379.76</v>
      </c>
      <c r="DL13" s="70">
        <v>378.78</v>
      </c>
      <c r="DM13" s="70">
        <v>377.79</v>
      </c>
      <c r="DN13" s="70">
        <v>376.8</v>
      </c>
      <c r="DO13" s="70">
        <v>375.82</v>
      </c>
      <c r="DP13" s="70">
        <v>374.84</v>
      </c>
      <c r="DQ13" s="70">
        <v>373.85</v>
      </c>
      <c r="DR13" s="70">
        <v>372.87</v>
      </c>
      <c r="DS13" s="70">
        <v>371.89</v>
      </c>
      <c r="DT13" s="70">
        <v>370.91</v>
      </c>
      <c r="DU13" s="70">
        <v>369.93</v>
      </c>
      <c r="DV13" s="70">
        <v>368.95</v>
      </c>
      <c r="DW13" s="70">
        <v>367.97</v>
      </c>
      <c r="DX13" s="70">
        <v>367</v>
      </c>
      <c r="DY13" s="70">
        <v>366.02</v>
      </c>
      <c r="DZ13" s="70">
        <v>365.04</v>
      </c>
      <c r="EA13" s="70">
        <v>364.07</v>
      </c>
      <c r="EB13" s="70">
        <v>363.09</v>
      </c>
      <c r="EC13" s="70">
        <v>362.12</v>
      </c>
      <c r="ED13" s="70">
        <v>361.14</v>
      </c>
      <c r="EE13" s="70">
        <v>360.17</v>
      </c>
      <c r="EF13" s="70">
        <v>359.2</v>
      </c>
      <c r="EG13" s="70">
        <v>358.23</v>
      </c>
      <c r="EH13" s="70">
        <v>357.27</v>
      </c>
      <c r="EI13" s="70">
        <v>356.3</v>
      </c>
      <c r="EJ13" s="70">
        <v>355.33</v>
      </c>
      <c r="EK13" s="70">
        <v>354.37</v>
      </c>
      <c r="EL13" s="70">
        <v>353.4</v>
      </c>
      <c r="EM13" s="70">
        <v>352.44</v>
      </c>
      <c r="EN13" s="70">
        <v>351.47</v>
      </c>
      <c r="EO13" s="70">
        <v>350.51</v>
      </c>
      <c r="EP13" s="70">
        <v>349.55</v>
      </c>
      <c r="EQ13" s="70">
        <v>348.58</v>
      </c>
      <c r="ER13" s="70">
        <v>347.62</v>
      </c>
      <c r="ES13" s="70">
        <v>346.67</v>
      </c>
      <c r="ET13" s="70">
        <v>345.71</v>
      </c>
      <c r="EU13" s="70">
        <v>344.75</v>
      </c>
      <c r="EV13" s="70">
        <v>343.79</v>
      </c>
      <c r="EW13" s="70">
        <v>342.84</v>
      </c>
      <c r="EX13" s="70">
        <v>341.88</v>
      </c>
      <c r="EY13" s="70">
        <v>340.93</v>
      </c>
      <c r="EZ13" s="70">
        <v>339.97</v>
      </c>
      <c r="FA13" s="70">
        <v>339.02</v>
      </c>
      <c r="FB13" s="70">
        <v>338.06</v>
      </c>
      <c r="FC13" s="70">
        <v>337.11</v>
      </c>
      <c r="FD13" s="70">
        <v>336.16</v>
      </c>
      <c r="FE13" s="70">
        <v>335.21</v>
      </c>
      <c r="FF13" s="70">
        <v>334.26</v>
      </c>
      <c r="FG13" s="70">
        <v>333.31</v>
      </c>
      <c r="FH13" s="70">
        <v>332.36</v>
      </c>
      <c r="FI13" s="70">
        <v>331.41</v>
      </c>
      <c r="FJ13" s="70">
        <v>330.46</v>
      </c>
      <c r="FK13" s="70">
        <v>329.52</v>
      </c>
      <c r="FL13" s="70">
        <v>328.57</v>
      </c>
      <c r="FM13" s="70">
        <v>327.63</v>
      </c>
      <c r="FN13" s="70">
        <v>326.68</v>
      </c>
      <c r="FO13" s="70">
        <v>325.74</v>
      </c>
      <c r="FP13" s="70">
        <v>324.79000000000002</v>
      </c>
      <c r="FQ13" s="70">
        <v>323.85000000000002</v>
      </c>
      <c r="FR13" s="70">
        <v>322.91000000000003</v>
      </c>
      <c r="FS13" s="70">
        <v>321.97000000000003</v>
      </c>
      <c r="FT13" s="70">
        <v>321.02999999999997</v>
      </c>
      <c r="FU13" s="70">
        <v>320.08999999999997</v>
      </c>
      <c r="FV13" s="70">
        <v>319.16000000000003</v>
      </c>
      <c r="FW13" s="70">
        <v>318.22000000000003</v>
      </c>
      <c r="FX13" s="70">
        <v>317.27999999999997</v>
      </c>
      <c r="FY13" s="70">
        <v>316.35000000000002</v>
      </c>
      <c r="FZ13" s="70">
        <v>315.41000000000003</v>
      </c>
      <c r="GA13" s="70">
        <v>314.48</v>
      </c>
      <c r="GB13" s="70">
        <v>313.54000000000002</v>
      </c>
      <c r="GC13" s="70">
        <v>312.60000000000002</v>
      </c>
      <c r="GD13" s="70">
        <v>311.68</v>
      </c>
      <c r="GE13" s="70">
        <v>310.75</v>
      </c>
      <c r="GF13" s="70">
        <v>309.82</v>
      </c>
      <c r="GG13" s="70">
        <v>308.89</v>
      </c>
      <c r="GH13" s="70">
        <v>307.97000000000003</v>
      </c>
      <c r="GI13" s="70">
        <v>307.04000000000002</v>
      </c>
      <c r="GJ13" s="70">
        <v>306.10000000000002</v>
      </c>
      <c r="GK13" s="70">
        <v>305.19</v>
      </c>
      <c r="GL13" s="70">
        <v>304.26</v>
      </c>
      <c r="GM13" s="70">
        <v>303.33999999999997</v>
      </c>
      <c r="GN13" s="70">
        <v>302.42</v>
      </c>
      <c r="GO13" s="70">
        <v>301.5</v>
      </c>
      <c r="GP13" s="70">
        <v>300.58999999999997</v>
      </c>
      <c r="GQ13" s="70">
        <v>299.67</v>
      </c>
      <c r="GR13" s="70">
        <v>298.75</v>
      </c>
      <c r="GS13" s="70">
        <v>297.83999999999997</v>
      </c>
      <c r="GT13" s="70">
        <v>296.92</v>
      </c>
      <c r="GU13" s="70">
        <v>296.01</v>
      </c>
      <c r="GV13" s="70">
        <v>295.10000000000002</v>
      </c>
      <c r="GW13" s="70">
        <v>294.19</v>
      </c>
      <c r="GX13" s="70">
        <v>293.27999999999997</v>
      </c>
      <c r="GY13" s="70">
        <v>292.37</v>
      </c>
      <c r="GZ13" s="70">
        <v>291.45999999999998</v>
      </c>
      <c r="HA13" s="70">
        <v>290.54000000000002</v>
      </c>
      <c r="HB13" s="70">
        <v>289.64999999999998</v>
      </c>
      <c r="HC13" s="70">
        <v>288.75</v>
      </c>
      <c r="HD13" s="70">
        <v>287.83999999999997</v>
      </c>
      <c r="HE13" s="70">
        <v>286.94</v>
      </c>
      <c r="HF13" s="70">
        <v>286.04000000000002</v>
      </c>
      <c r="HG13" s="70">
        <v>285.14</v>
      </c>
      <c r="HH13" s="70">
        <v>284.24</v>
      </c>
      <c r="HI13" s="70">
        <v>283.35000000000002</v>
      </c>
      <c r="HJ13" s="70">
        <v>282.45</v>
      </c>
      <c r="HK13" s="70">
        <v>281.56</v>
      </c>
      <c r="HL13" s="70">
        <v>280.67</v>
      </c>
      <c r="HM13" s="70">
        <v>279.76</v>
      </c>
      <c r="HN13" s="70">
        <v>278.89</v>
      </c>
      <c r="HO13" s="70">
        <v>278</v>
      </c>
      <c r="HP13" s="70">
        <v>277.10000000000002</v>
      </c>
      <c r="HQ13" s="70">
        <v>276.22000000000003</v>
      </c>
      <c r="HR13" s="70">
        <v>275.33999999999997</v>
      </c>
      <c r="HS13" s="70">
        <v>274.45999999999998</v>
      </c>
      <c r="HT13" s="70">
        <v>273.57</v>
      </c>
      <c r="HU13" s="70">
        <v>272.69</v>
      </c>
      <c r="HV13" s="70">
        <v>271.81</v>
      </c>
      <c r="HW13" s="70">
        <v>270.93</v>
      </c>
      <c r="HX13" s="70">
        <v>270.06</v>
      </c>
      <c r="HY13" s="70">
        <v>269.18</v>
      </c>
      <c r="HZ13" s="70">
        <v>268.29000000000002</v>
      </c>
      <c r="IA13" s="70">
        <v>267.43</v>
      </c>
      <c r="IB13" s="70">
        <v>266.56</v>
      </c>
      <c r="IC13" s="70">
        <v>265.69</v>
      </c>
      <c r="ID13" s="70">
        <v>264.81</v>
      </c>
      <c r="IE13" s="70">
        <v>263.94</v>
      </c>
      <c r="IF13" s="70">
        <v>263.07</v>
      </c>
      <c r="IG13" s="70">
        <v>262.20999999999998</v>
      </c>
      <c r="IH13" s="70">
        <v>261.33999999999997</v>
      </c>
      <c r="II13" s="70">
        <v>260.48</v>
      </c>
      <c r="IJ13" s="70">
        <v>259.60000000000002</v>
      </c>
      <c r="IK13" s="70">
        <v>258.75</v>
      </c>
      <c r="IL13" s="70">
        <v>257.89</v>
      </c>
      <c r="IM13" s="70">
        <v>257.02999999999997</v>
      </c>
      <c r="IN13" s="70">
        <v>256.17</v>
      </c>
      <c r="IO13" s="70">
        <v>255.31</v>
      </c>
      <c r="IP13" s="70">
        <v>254.45</v>
      </c>
      <c r="IQ13" s="70">
        <v>253.6</v>
      </c>
      <c r="IR13" s="70">
        <v>252.75</v>
      </c>
      <c r="IS13" s="70">
        <v>251.89</v>
      </c>
      <c r="IT13" s="70">
        <v>251.04</v>
      </c>
      <c r="IU13" s="70">
        <v>250.19</v>
      </c>
      <c r="IV13" s="70">
        <v>249.34</v>
      </c>
      <c r="IW13" s="70">
        <v>248.5</v>
      </c>
      <c r="IX13" s="70">
        <v>247.65</v>
      </c>
      <c r="IY13" s="70">
        <v>246.81</v>
      </c>
      <c r="IZ13" s="70">
        <v>245.97</v>
      </c>
      <c r="JA13" s="70">
        <v>245.13</v>
      </c>
      <c r="JB13" s="70">
        <v>244.29</v>
      </c>
      <c r="JC13" s="70">
        <v>243.45</v>
      </c>
      <c r="JD13" s="70">
        <v>242.61</v>
      </c>
      <c r="JE13" s="70">
        <v>241.77</v>
      </c>
      <c r="JF13" s="70">
        <v>240.94</v>
      </c>
      <c r="JG13" s="70">
        <v>240.1</v>
      </c>
      <c r="JH13" s="70">
        <v>239.27</v>
      </c>
      <c r="JI13" s="70">
        <v>238.44</v>
      </c>
      <c r="JJ13" s="70">
        <v>237.61</v>
      </c>
      <c r="JK13" s="70">
        <v>236.78</v>
      </c>
      <c r="JL13" s="70">
        <v>235.95</v>
      </c>
      <c r="JM13" s="70">
        <v>235.12</v>
      </c>
      <c r="JN13" s="70">
        <v>234.29</v>
      </c>
      <c r="JO13" s="70">
        <v>233.47</v>
      </c>
      <c r="JP13" s="70">
        <v>232.64</v>
      </c>
      <c r="JQ13" s="70">
        <v>231.82</v>
      </c>
      <c r="JR13" s="70">
        <v>231</v>
      </c>
      <c r="JS13" s="70">
        <v>230.18</v>
      </c>
      <c r="JT13" s="70">
        <v>229.36</v>
      </c>
      <c r="JU13" s="70">
        <v>228.54</v>
      </c>
      <c r="JV13" s="70">
        <v>227.72</v>
      </c>
      <c r="JW13" s="70">
        <v>226.91</v>
      </c>
      <c r="JX13" s="70">
        <v>226.09</v>
      </c>
      <c r="JY13" s="70">
        <v>225.28</v>
      </c>
      <c r="JZ13" s="70">
        <v>224.46</v>
      </c>
      <c r="KA13" s="70">
        <v>223.65</v>
      </c>
      <c r="KB13" s="70">
        <v>222.84</v>
      </c>
      <c r="KC13" s="70">
        <v>222.03</v>
      </c>
      <c r="KD13" s="70">
        <v>221.22</v>
      </c>
      <c r="KE13" s="70">
        <v>220.41</v>
      </c>
      <c r="KF13" s="70">
        <v>219.61</v>
      </c>
      <c r="KG13" s="70">
        <v>218.8</v>
      </c>
      <c r="KH13" s="70">
        <v>218</v>
      </c>
      <c r="KI13" s="70">
        <v>217.19</v>
      </c>
      <c r="KJ13" s="70">
        <v>216.39</v>
      </c>
      <c r="KK13" s="70">
        <v>215.59</v>
      </c>
      <c r="KL13" s="70">
        <v>214.79</v>
      </c>
      <c r="KM13" s="70">
        <v>213.99</v>
      </c>
      <c r="KN13" s="70">
        <v>213.2</v>
      </c>
      <c r="KO13" s="70">
        <v>212.4</v>
      </c>
      <c r="KP13" s="70">
        <v>211.61</v>
      </c>
      <c r="KQ13" s="70">
        <v>210.82</v>
      </c>
      <c r="KR13" s="70">
        <v>209.85000000000008</v>
      </c>
      <c r="KS13" s="70">
        <v>209.10000000000008</v>
      </c>
      <c r="KT13" s="70">
        <v>208.35000000000008</v>
      </c>
      <c r="KU13" s="70">
        <v>207.60000000000008</v>
      </c>
      <c r="KV13" s="70">
        <v>206.85000000000008</v>
      </c>
      <c r="KW13" s="70">
        <v>206.10000000000008</v>
      </c>
      <c r="KX13" s="70">
        <v>205.35000000000008</v>
      </c>
      <c r="KY13" s="70">
        <v>204.60000000000008</v>
      </c>
      <c r="KZ13" s="70">
        <v>203.85000000000008</v>
      </c>
      <c r="LA13" s="70">
        <v>203.10000000000008</v>
      </c>
      <c r="LB13" s="70">
        <v>202.35000000000008</v>
      </c>
      <c r="LC13" s="70">
        <v>201.60000000000008</v>
      </c>
      <c r="LD13" s="70">
        <v>200.85000000000008</v>
      </c>
      <c r="LE13" s="70">
        <v>200.10000000000008</v>
      </c>
      <c r="LF13" s="70">
        <v>199.35000000000008</v>
      </c>
      <c r="LG13" s="70">
        <v>198.60000000000008</v>
      </c>
      <c r="LH13" s="70">
        <v>197.85000000000008</v>
      </c>
      <c r="LI13" s="70">
        <v>197.10000000000008</v>
      </c>
      <c r="LJ13" s="70">
        <v>196.35000000000008</v>
      </c>
      <c r="LK13" s="70">
        <v>195.60000000000008</v>
      </c>
      <c r="LL13" s="70">
        <v>194.85000000000008</v>
      </c>
      <c r="LM13" s="70">
        <v>194.10000000000008</v>
      </c>
      <c r="LN13" s="70">
        <v>193.35000000000008</v>
      </c>
      <c r="LO13" s="70">
        <v>192.60000000000008</v>
      </c>
      <c r="LP13" s="70">
        <v>191.85000000000008</v>
      </c>
      <c r="LQ13" s="70">
        <v>191.10000000000008</v>
      </c>
      <c r="LR13" s="70">
        <v>190.35000000000008</v>
      </c>
      <c r="LS13" s="70">
        <v>189.60000000000008</v>
      </c>
      <c r="LT13" s="70">
        <v>188.85000000000008</v>
      </c>
      <c r="LU13" s="70">
        <v>188.10000000000008</v>
      </c>
      <c r="LV13" s="70">
        <v>187.35000000000008</v>
      </c>
      <c r="LW13" s="70">
        <v>186.60000000000008</v>
      </c>
      <c r="LX13" s="70">
        <v>185.85000000000008</v>
      </c>
      <c r="LY13" s="70">
        <v>185.10000000000008</v>
      </c>
      <c r="LZ13" s="70">
        <v>184.35000000000008</v>
      </c>
      <c r="MA13" s="70">
        <v>183.60000000000008</v>
      </c>
      <c r="MB13" s="70">
        <v>182.85000000000008</v>
      </c>
      <c r="MC13" s="70">
        <v>182.10000000000008</v>
      </c>
      <c r="MD13" s="70">
        <v>181.35000000000008</v>
      </c>
      <c r="ME13" s="70">
        <v>180.60000000000008</v>
      </c>
      <c r="MF13" s="70">
        <v>179.85000000000008</v>
      </c>
      <c r="MG13" s="70">
        <v>179.10000000000008</v>
      </c>
      <c r="MH13" s="70">
        <v>178.35000000000008</v>
      </c>
      <c r="MI13" s="70">
        <v>177.60000000000008</v>
      </c>
      <c r="MJ13" s="70">
        <v>176.85000000000008</v>
      </c>
      <c r="MK13" s="70">
        <v>176.10000000000008</v>
      </c>
      <c r="ML13" s="70">
        <v>175.35000000000008</v>
      </c>
      <c r="MM13" s="70">
        <v>174.60000000000008</v>
      </c>
      <c r="MN13" s="70">
        <v>173.85000000000008</v>
      </c>
      <c r="MO13" s="70">
        <v>173.10000000000008</v>
      </c>
      <c r="MP13" s="70">
        <v>172.35000000000008</v>
      </c>
      <c r="MQ13" s="70">
        <v>171.60000000000008</v>
      </c>
      <c r="MR13" s="70">
        <v>170.85000000000008</v>
      </c>
      <c r="MS13" s="70">
        <v>170.10000000000008</v>
      </c>
      <c r="MT13" s="70">
        <v>169.35000000000008</v>
      </c>
      <c r="MU13" s="70">
        <v>168.60000000000008</v>
      </c>
      <c r="MV13" s="70">
        <v>167.85000000000008</v>
      </c>
      <c r="MW13" s="70">
        <v>167.10000000000008</v>
      </c>
      <c r="MX13" s="70">
        <v>166.35000000000008</v>
      </c>
      <c r="MY13" s="70">
        <v>165.60000000000008</v>
      </c>
    </row>
    <row r="14" spans="1:376" ht="15.6" x14ac:dyDescent="0.3">
      <c r="A14" s="67" t="s">
        <v>7</v>
      </c>
      <c r="B14" s="72">
        <v>2024</v>
      </c>
      <c r="C14" s="70">
        <v>493.21</v>
      </c>
      <c r="D14" s="70">
        <v>492.19</v>
      </c>
      <c r="E14" s="70">
        <v>491.17</v>
      </c>
      <c r="F14" s="70">
        <v>490.15</v>
      </c>
      <c r="G14" s="70">
        <v>489.13</v>
      </c>
      <c r="H14" s="70">
        <v>488.11</v>
      </c>
      <c r="I14" s="70">
        <v>487.09</v>
      </c>
      <c r="J14" s="70">
        <v>486.07</v>
      </c>
      <c r="K14" s="70">
        <v>485.05</v>
      </c>
      <c r="L14" s="70">
        <v>484.04</v>
      </c>
      <c r="M14" s="70">
        <v>483.02</v>
      </c>
      <c r="N14" s="70">
        <v>482</v>
      </c>
      <c r="O14" s="70">
        <v>480.98</v>
      </c>
      <c r="P14" s="70">
        <v>479.96</v>
      </c>
      <c r="Q14" s="70">
        <v>478.95</v>
      </c>
      <c r="R14" s="70">
        <v>477.93</v>
      </c>
      <c r="S14" s="70">
        <v>476.91</v>
      </c>
      <c r="T14" s="70">
        <v>475.89</v>
      </c>
      <c r="U14" s="70">
        <v>474.88</v>
      </c>
      <c r="V14" s="70">
        <v>473.86</v>
      </c>
      <c r="W14" s="70">
        <v>472.84</v>
      </c>
      <c r="X14" s="70">
        <v>471.82</v>
      </c>
      <c r="Y14" s="70">
        <v>470.81</v>
      </c>
      <c r="Z14" s="70">
        <v>469.79</v>
      </c>
      <c r="AA14" s="70">
        <v>468.77</v>
      </c>
      <c r="AB14" s="70">
        <v>467.76</v>
      </c>
      <c r="AC14" s="70">
        <v>466.74</v>
      </c>
      <c r="AD14" s="70">
        <v>465.73</v>
      </c>
      <c r="AE14" s="70">
        <v>464.71</v>
      </c>
      <c r="AF14" s="70">
        <v>463.69</v>
      </c>
      <c r="AG14" s="70">
        <v>462.68</v>
      </c>
      <c r="AH14" s="70">
        <v>461.66</v>
      </c>
      <c r="AI14" s="70">
        <v>460.65</v>
      </c>
      <c r="AJ14" s="70">
        <v>459.63</v>
      </c>
      <c r="AK14" s="70">
        <v>458.61</v>
      </c>
      <c r="AL14" s="70">
        <v>457.6</v>
      </c>
      <c r="AM14" s="70">
        <v>456.58</v>
      </c>
      <c r="AN14" s="70">
        <v>455.57</v>
      </c>
      <c r="AO14" s="70">
        <v>454.56</v>
      </c>
      <c r="AP14" s="70">
        <v>453.54</v>
      </c>
      <c r="AQ14" s="70">
        <v>452.53</v>
      </c>
      <c r="AR14" s="70">
        <v>451.51</v>
      </c>
      <c r="AS14" s="70">
        <v>450.5</v>
      </c>
      <c r="AT14" s="70">
        <v>449.49</v>
      </c>
      <c r="AU14" s="70">
        <v>448.47</v>
      </c>
      <c r="AV14" s="70">
        <v>447.46</v>
      </c>
      <c r="AW14" s="70">
        <v>446.45</v>
      </c>
      <c r="AX14" s="70">
        <v>445.43</v>
      </c>
      <c r="AY14" s="70">
        <v>444.42</v>
      </c>
      <c r="AZ14" s="70">
        <v>443.41</v>
      </c>
      <c r="BA14" s="70">
        <v>442.4</v>
      </c>
      <c r="BB14" s="70">
        <v>441.38</v>
      </c>
      <c r="BC14" s="70">
        <v>440.37</v>
      </c>
      <c r="BD14" s="70">
        <v>439.36</v>
      </c>
      <c r="BE14" s="70">
        <v>438.35</v>
      </c>
      <c r="BF14" s="70">
        <v>437.34</v>
      </c>
      <c r="BG14" s="70">
        <v>436.33</v>
      </c>
      <c r="BH14" s="70">
        <v>435.32</v>
      </c>
      <c r="BI14" s="70">
        <v>434.3</v>
      </c>
      <c r="BJ14" s="70">
        <v>433.29</v>
      </c>
      <c r="BK14" s="70">
        <v>432.28</v>
      </c>
      <c r="BL14" s="70">
        <v>431.27</v>
      </c>
      <c r="BM14" s="70">
        <v>430.27</v>
      </c>
      <c r="BN14" s="70">
        <v>429.26</v>
      </c>
      <c r="BO14" s="70">
        <v>428.25</v>
      </c>
      <c r="BP14" s="70">
        <v>427.24</v>
      </c>
      <c r="BQ14" s="70">
        <v>426.23</v>
      </c>
      <c r="BR14" s="70">
        <v>425.22</v>
      </c>
      <c r="BS14" s="70">
        <v>424.22</v>
      </c>
      <c r="BT14" s="70">
        <v>423.21</v>
      </c>
      <c r="BU14" s="70">
        <v>422.2</v>
      </c>
      <c r="BV14" s="70">
        <v>421.19</v>
      </c>
      <c r="BW14" s="70">
        <v>420.19</v>
      </c>
      <c r="BX14" s="70">
        <v>419.18</v>
      </c>
      <c r="BY14" s="70">
        <v>418.18</v>
      </c>
      <c r="BZ14" s="70">
        <v>417.17</v>
      </c>
      <c r="CA14" s="70">
        <v>416.17</v>
      </c>
      <c r="CB14" s="70">
        <v>415.17</v>
      </c>
      <c r="CC14" s="70">
        <v>414.16</v>
      </c>
      <c r="CD14" s="70">
        <v>413.16</v>
      </c>
      <c r="CE14" s="70">
        <v>412.16</v>
      </c>
      <c r="CF14" s="70">
        <v>411.15</v>
      </c>
      <c r="CG14" s="70">
        <v>410.15</v>
      </c>
      <c r="CH14" s="70">
        <v>409.15</v>
      </c>
      <c r="CI14" s="70">
        <v>408.14</v>
      </c>
      <c r="CJ14" s="70">
        <v>407.14</v>
      </c>
      <c r="CK14" s="70">
        <v>406.15</v>
      </c>
      <c r="CL14" s="70">
        <v>405.15</v>
      </c>
      <c r="CM14" s="70">
        <v>404.15</v>
      </c>
      <c r="CN14" s="70">
        <v>403.15</v>
      </c>
      <c r="CO14" s="70">
        <v>402.15</v>
      </c>
      <c r="CP14" s="70">
        <v>401.15</v>
      </c>
      <c r="CQ14" s="70">
        <v>400.16</v>
      </c>
      <c r="CR14" s="70">
        <v>399.16</v>
      </c>
      <c r="CS14" s="70">
        <v>398.16</v>
      </c>
      <c r="CT14" s="70">
        <v>397.16</v>
      </c>
      <c r="CU14" s="70">
        <v>396.17</v>
      </c>
      <c r="CV14" s="70">
        <v>395.17</v>
      </c>
      <c r="CW14" s="70">
        <v>394.18</v>
      </c>
      <c r="CX14" s="70">
        <v>393.19</v>
      </c>
      <c r="CY14" s="70">
        <v>392.19</v>
      </c>
      <c r="CZ14" s="70">
        <v>391.2</v>
      </c>
      <c r="DA14" s="70">
        <v>390.21</v>
      </c>
      <c r="DB14" s="70">
        <v>389.22</v>
      </c>
      <c r="DC14" s="70">
        <v>388.22</v>
      </c>
      <c r="DD14" s="70">
        <v>387.23</v>
      </c>
      <c r="DE14" s="70">
        <v>386.24</v>
      </c>
      <c r="DF14" s="70">
        <v>385.25</v>
      </c>
      <c r="DG14" s="70">
        <v>384.26</v>
      </c>
      <c r="DH14" s="70">
        <v>383.27</v>
      </c>
      <c r="DI14" s="70">
        <v>382.29</v>
      </c>
      <c r="DJ14" s="70">
        <v>381.3</v>
      </c>
      <c r="DK14" s="70">
        <v>380.31</v>
      </c>
      <c r="DL14" s="70">
        <v>379.33</v>
      </c>
      <c r="DM14" s="70">
        <v>378.34</v>
      </c>
      <c r="DN14" s="70">
        <v>377.36</v>
      </c>
      <c r="DO14" s="70">
        <v>376.37</v>
      </c>
      <c r="DP14" s="70">
        <v>375.39</v>
      </c>
      <c r="DQ14" s="70">
        <v>374.4</v>
      </c>
      <c r="DR14" s="70">
        <v>373.42</v>
      </c>
      <c r="DS14" s="70">
        <v>372.43</v>
      </c>
      <c r="DT14" s="70">
        <v>371.45</v>
      </c>
      <c r="DU14" s="70">
        <v>370.48</v>
      </c>
      <c r="DV14" s="70">
        <v>369.5</v>
      </c>
      <c r="DW14" s="70">
        <v>368.52</v>
      </c>
      <c r="DX14" s="70">
        <v>367.54</v>
      </c>
      <c r="DY14" s="70">
        <v>366.56</v>
      </c>
      <c r="DZ14" s="70">
        <v>365.59</v>
      </c>
      <c r="EA14" s="70">
        <v>364.61</v>
      </c>
      <c r="EB14" s="70">
        <v>363.64</v>
      </c>
      <c r="EC14" s="70">
        <v>362.66</v>
      </c>
      <c r="ED14" s="70">
        <v>361.69</v>
      </c>
      <c r="EE14" s="70">
        <v>360.71</v>
      </c>
      <c r="EF14" s="70">
        <v>359.74</v>
      </c>
      <c r="EG14" s="70">
        <v>358.78</v>
      </c>
      <c r="EH14" s="70">
        <v>357.81</v>
      </c>
      <c r="EI14" s="70">
        <v>356.84</v>
      </c>
      <c r="EJ14" s="70">
        <v>355.87</v>
      </c>
      <c r="EK14" s="70">
        <v>354.91</v>
      </c>
      <c r="EL14" s="70">
        <v>353.94</v>
      </c>
      <c r="EM14" s="70">
        <v>352.98</v>
      </c>
      <c r="EN14" s="70">
        <v>352.01</v>
      </c>
      <c r="EO14" s="70">
        <v>351.05</v>
      </c>
      <c r="EP14" s="70">
        <v>350.09</v>
      </c>
      <c r="EQ14" s="70">
        <v>349.12</v>
      </c>
      <c r="ER14" s="70">
        <v>348.17</v>
      </c>
      <c r="ES14" s="70">
        <v>347.21</v>
      </c>
      <c r="ET14" s="70">
        <v>346.25</v>
      </c>
      <c r="EU14" s="70">
        <v>345.29</v>
      </c>
      <c r="EV14" s="70">
        <v>344.33</v>
      </c>
      <c r="EW14" s="70">
        <v>343.38</v>
      </c>
      <c r="EX14" s="70">
        <v>342.42</v>
      </c>
      <c r="EY14" s="70">
        <v>341.46</v>
      </c>
      <c r="EZ14" s="70">
        <v>340.51</v>
      </c>
      <c r="FA14" s="70">
        <v>339.56</v>
      </c>
      <c r="FB14" s="70">
        <v>338.6</v>
      </c>
      <c r="FC14" s="70">
        <v>337.65</v>
      </c>
      <c r="FD14" s="70">
        <v>336.7</v>
      </c>
      <c r="FE14" s="70">
        <v>335.75</v>
      </c>
      <c r="FF14" s="70">
        <v>334.8</v>
      </c>
      <c r="FG14" s="70">
        <v>333.85</v>
      </c>
      <c r="FH14" s="70">
        <v>332.9</v>
      </c>
      <c r="FI14" s="70">
        <v>331.95</v>
      </c>
      <c r="FJ14" s="70">
        <v>331</v>
      </c>
      <c r="FK14" s="70">
        <v>330.05</v>
      </c>
      <c r="FL14" s="70">
        <v>329.11</v>
      </c>
      <c r="FM14" s="70">
        <v>328.16</v>
      </c>
      <c r="FN14" s="70">
        <v>327.22000000000003</v>
      </c>
      <c r="FO14" s="70">
        <v>326.26</v>
      </c>
      <c r="FP14" s="70">
        <v>325.32</v>
      </c>
      <c r="FQ14" s="70">
        <v>324.39</v>
      </c>
      <c r="FR14" s="70">
        <v>323.45</v>
      </c>
      <c r="FS14" s="70">
        <v>322.51</v>
      </c>
      <c r="FT14" s="70">
        <v>321.57</v>
      </c>
      <c r="FU14" s="70">
        <v>320.63</v>
      </c>
      <c r="FV14" s="70">
        <v>319.69</v>
      </c>
      <c r="FW14" s="70">
        <v>318.75</v>
      </c>
      <c r="FX14" s="70">
        <v>317.81</v>
      </c>
      <c r="FY14" s="70">
        <v>316.88</v>
      </c>
      <c r="FZ14" s="70">
        <v>315.94</v>
      </c>
      <c r="GA14" s="70">
        <v>315.01</v>
      </c>
      <c r="GB14" s="70">
        <v>314.07</v>
      </c>
      <c r="GC14" s="70">
        <v>313.14</v>
      </c>
      <c r="GD14" s="70">
        <v>312.20999999999998</v>
      </c>
      <c r="GE14" s="70">
        <v>311.27999999999997</v>
      </c>
      <c r="GF14" s="70">
        <v>310.35000000000002</v>
      </c>
      <c r="GG14" s="70">
        <v>309.42</v>
      </c>
      <c r="GH14" s="70">
        <v>308.5</v>
      </c>
      <c r="GI14" s="70">
        <v>307.57</v>
      </c>
      <c r="GJ14" s="70">
        <v>306.64</v>
      </c>
      <c r="GK14" s="70">
        <v>305.72000000000003</v>
      </c>
      <c r="GL14" s="70">
        <v>304.79000000000002</v>
      </c>
      <c r="GM14" s="70">
        <v>303.87</v>
      </c>
      <c r="GN14" s="70">
        <v>302.95</v>
      </c>
      <c r="GO14" s="70">
        <v>302.02999999999997</v>
      </c>
      <c r="GP14" s="70">
        <v>301.10000000000002</v>
      </c>
      <c r="GQ14" s="70">
        <v>300.19</v>
      </c>
      <c r="GR14" s="70">
        <v>299.27999999999997</v>
      </c>
      <c r="GS14" s="70">
        <v>298.35000000000002</v>
      </c>
      <c r="GT14" s="70">
        <v>297.45</v>
      </c>
      <c r="GU14" s="70">
        <v>296.54000000000002</v>
      </c>
      <c r="GV14" s="70">
        <v>295.62</v>
      </c>
      <c r="GW14" s="70">
        <v>294.70999999999998</v>
      </c>
      <c r="GX14" s="70">
        <v>293.79000000000002</v>
      </c>
      <c r="GY14" s="70">
        <v>292.89</v>
      </c>
      <c r="GZ14" s="70">
        <v>291.98</v>
      </c>
      <c r="HA14" s="70">
        <v>291.07</v>
      </c>
      <c r="HB14" s="70">
        <v>290.17</v>
      </c>
      <c r="HC14" s="70">
        <v>289.26</v>
      </c>
      <c r="HD14" s="70">
        <v>288.37</v>
      </c>
      <c r="HE14" s="70">
        <v>287.45999999999998</v>
      </c>
      <c r="HF14" s="70">
        <v>286.56</v>
      </c>
      <c r="HG14" s="70">
        <v>285.66000000000003</v>
      </c>
      <c r="HH14" s="70">
        <v>284.76</v>
      </c>
      <c r="HI14" s="70">
        <v>283.87</v>
      </c>
      <c r="HJ14" s="70">
        <v>282.97000000000003</v>
      </c>
      <c r="HK14" s="70">
        <v>282.07</v>
      </c>
      <c r="HL14" s="70">
        <v>281.18</v>
      </c>
      <c r="HM14" s="70">
        <v>280.29000000000002</v>
      </c>
      <c r="HN14" s="70">
        <v>279.39999999999998</v>
      </c>
      <c r="HO14" s="70">
        <v>278.51</v>
      </c>
      <c r="HP14" s="70">
        <v>277.63</v>
      </c>
      <c r="HQ14" s="70">
        <v>276.74</v>
      </c>
      <c r="HR14" s="70">
        <v>275.85000000000002</v>
      </c>
      <c r="HS14" s="70">
        <v>274.97000000000003</v>
      </c>
      <c r="HT14" s="70">
        <v>274.08999999999997</v>
      </c>
      <c r="HU14" s="70">
        <v>273.20999999999998</v>
      </c>
      <c r="HV14" s="70">
        <v>272.32</v>
      </c>
      <c r="HW14" s="70">
        <v>271.45</v>
      </c>
      <c r="HX14" s="70">
        <v>270.57</v>
      </c>
      <c r="HY14" s="70">
        <v>269.69</v>
      </c>
      <c r="HZ14" s="70">
        <v>268.82</v>
      </c>
      <c r="IA14" s="70">
        <v>267.94</v>
      </c>
      <c r="IB14" s="70">
        <v>267.07</v>
      </c>
      <c r="IC14" s="70">
        <v>266.2</v>
      </c>
      <c r="ID14" s="70">
        <v>265.32</v>
      </c>
      <c r="IE14" s="70">
        <v>264.45</v>
      </c>
      <c r="IF14" s="70">
        <v>263.58999999999997</v>
      </c>
      <c r="IG14" s="70">
        <v>262.72000000000003</v>
      </c>
      <c r="IH14" s="70">
        <v>261.85000000000002</v>
      </c>
      <c r="II14" s="70">
        <v>260.98</v>
      </c>
      <c r="IJ14" s="70">
        <v>260.12</v>
      </c>
      <c r="IK14" s="70">
        <v>259.26</v>
      </c>
      <c r="IL14" s="70">
        <v>258.39999999999998</v>
      </c>
      <c r="IM14" s="70">
        <v>257.52999999999997</v>
      </c>
      <c r="IN14" s="70">
        <v>256.68</v>
      </c>
      <c r="IO14" s="70">
        <v>255.82</v>
      </c>
      <c r="IP14" s="70">
        <v>254.96</v>
      </c>
      <c r="IQ14" s="70">
        <v>254.1</v>
      </c>
      <c r="IR14" s="70">
        <v>253.25</v>
      </c>
      <c r="IS14" s="70">
        <v>252.4</v>
      </c>
      <c r="IT14" s="70">
        <v>251.55</v>
      </c>
      <c r="IU14" s="70">
        <v>250.7</v>
      </c>
      <c r="IV14" s="70">
        <v>249.85</v>
      </c>
      <c r="IW14" s="70">
        <v>249</v>
      </c>
      <c r="IX14" s="70">
        <v>248.16</v>
      </c>
      <c r="IY14" s="70">
        <v>247.31</v>
      </c>
      <c r="IZ14" s="70">
        <v>246.47</v>
      </c>
      <c r="JA14" s="70">
        <v>245.63</v>
      </c>
      <c r="JB14" s="70">
        <v>244.79</v>
      </c>
      <c r="JC14" s="70">
        <v>243.95</v>
      </c>
      <c r="JD14" s="70">
        <v>243.11</v>
      </c>
      <c r="JE14" s="70">
        <v>242.27</v>
      </c>
      <c r="JF14" s="70">
        <v>241.43</v>
      </c>
      <c r="JG14" s="70">
        <v>240.6</v>
      </c>
      <c r="JH14" s="70">
        <v>239.77</v>
      </c>
      <c r="JI14" s="70">
        <v>238.93</v>
      </c>
      <c r="JJ14" s="70">
        <v>238.1</v>
      </c>
      <c r="JK14" s="70">
        <v>237.27</v>
      </c>
      <c r="JL14" s="70">
        <v>236.44</v>
      </c>
      <c r="JM14" s="70">
        <v>235.62</v>
      </c>
      <c r="JN14" s="70">
        <v>234.79</v>
      </c>
      <c r="JO14" s="70">
        <v>233.96</v>
      </c>
      <c r="JP14" s="70">
        <v>233.14</v>
      </c>
      <c r="JQ14" s="70">
        <v>232.31</v>
      </c>
      <c r="JR14" s="70">
        <v>231.49</v>
      </c>
      <c r="JS14" s="70">
        <v>230.67</v>
      </c>
      <c r="JT14" s="70">
        <v>229.85</v>
      </c>
      <c r="JU14" s="70">
        <v>229.03</v>
      </c>
      <c r="JV14" s="70">
        <v>228.21</v>
      </c>
      <c r="JW14" s="70">
        <v>227.4</v>
      </c>
      <c r="JX14" s="70">
        <v>226.58</v>
      </c>
      <c r="JY14" s="70">
        <v>225.76</v>
      </c>
      <c r="JZ14" s="70">
        <v>224.95</v>
      </c>
      <c r="KA14" s="70">
        <v>224.14</v>
      </c>
      <c r="KB14" s="70">
        <v>223.33</v>
      </c>
      <c r="KC14" s="70">
        <v>222.52</v>
      </c>
      <c r="KD14" s="70">
        <v>221.71</v>
      </c>
      <c r="KE14" s="70">
        <v>220.9</v>
      </c>
      <c r="KF14" s="70">
        <v>220.09</v>
      </c>
      <c r="KG14" s="70">
        <v>219.28</v>
      </c>
      <c r="KH14" s="70">
        <v>218.48</v>
      </c>
      <c r="KI14" s="70">
        <v>217.67</v>
      </c>
      <c r="KJ14" s="70">
        <v>216.87</v>
      </c>
      <c r="KK14" s="70">
        <v>216.07</v>
      </c>
      <c r="KL14" s="70">
        <v>215.27</v>
      </c>
      <c r="KM14" s="70">
        <v>214.47</v>
      </c>
      <c r="KN14" s="70">
        <v>213.67</v>
      </c>
      <c r="KO14" s="70">
        <v>212.88</v>
      </c>
      <c r="KP14" s="70">
        <v>212.08</v>
      </c>
      <c r="KQ14" s="70">
        <v>211.29</v>
      </c>
      <c r="KR14" s="70">
        <v>210.31000000000009</v>
      </c>
      <c r="KS14" s="70">
        <v>209.56000000000009</v>
      </c>
      <c r="KT14" s="70">
        <v>208.81000000000009</v>
      </c>
      <c r="KU14" s="70">
        <v>208.06000000000009</v>
      </c>
      <c r="KV14" s="70">
        <v>207.31000000000009</v>
      </c>
      <c r="KW14" s="70">
        <v>206.56000000000009</v>
      </c>
      <c r="KX14" s="70">
        <v>205.81000000000009</v>
      </c>
      <c r="KY14" s="70">
        <v>205.06000000000009</v>
      </c>
      <c r="KZ14" s="70">
        <v>204.31000000000009</v>
      </c>
      <c r="LA14" s="70">
        <v>203.56000000000009</v>
      </c>
      <c r="LB14" s="70">
        <v>202.81000000000009</v>
      </c>
      <c r="LC14" s="70">
        <v>202.06000000000009</v>
      </c>
      <c r="LD14" s="70">
        <v>201.31000000000009</v>
      </c>
      <c r="LE14" s="70">
        <v>200.56000000000009</v>
      </c>
      <c r="LF14" s="70">
        <v>199.81000000000009</v>
      </c>
      <c r="LG14" s="70">
        <v>199.06000000000009</v>
      </c>
      <c r="LH14" s="70">
        <v>198.31000000000009</v>
      </c>
      <c r="LI14" s="70">
        <v>197.56000000000009</v>
      </c>
      <c r="LJ14" s="70">
        <v>196.81000000000009</v>
      </c>
      <c r="LK14" s="70">
        <v>196.06000000000009</v>
      </c>
      <c r="LL14" s="70">
        <v>195.31000000000009</v>
      </c>
      <c r="LM14" s="70">
        <v>194.56000000000009</v>
      </c>
      <c r="LN14" s="70">
        <v>193.81000000000009</v>
      </c>
      <c r="LO14" s="70">
        <v>193.06000000000009</v>
      </c>
      <c r="LP14" s="70">
        <v>192.31000000000009</v>
      </c>
      <c r="LQ14" s="70">
        <v>191.56000000000009</v>
      </c>
      <c r="LR14" s="70">
        <v>190.81000000000009</v>
      </c>
      <c r="LS14" s="70">
        <v>190.06000000000009</v>
      </c>
      <c r="LT14" s="70">
        <v>189.31000000000009</v>
      </c>
      <c r="LU14" s="70">
        <v>188.56000000000009</v>
      </c>
      <c r="LV14" s="70">
        <v>187.81000000000009</v>
      </c>
      <c r="LW14" s="70">
        <v>187.06000000000009</v>
      </c>
      <c r="LX14" s="70">
        <v>186.31000000000009</v>
      </c>
      <c r="LY14" s="70">
        <v>185.56000000000009</v>
      </c>
      <c r="LZ14" s="70">
        <v>184.81000000000009</v>
      </c>
      <c r="MA14" s="70">
        <v>184.06000000000009</v>
      </c>
      <c r="MB14" s="70">
        <v>183.31000000000009</v>
      </c>
      <c r="MC14" s="70">
        <v>182.56000000000009</v>
      </c>
      <c r="MD14" s="70">
        <v>181.81000000000009</v>
      </c>
      <c r="ME14" s="70">
        <v>181.06000000000009</v>
      </c>
      <c r="MF14" s="70">
        <v>180.31000000000009</v>
      </c>
      <c r="MG14" s="70">
        <v>179.56000000000009</v>
      </c>
      <c r="MH14" s="70">
        <v>178.81000000000009</v>
      </c>
      <c r="MI14" s="70">
        <v>178.06000000000009</v>
      </c>
      <c r="MJ14" s="70">
        <v>177.31000000000009</v>
      </c>
      <c r="MK14" s="70">
        <v>176.56000000000009</v>
      </c>
      <c r="ML14" s="70">
        <v>175.81000000000009</v>
      </c>
      <c r="MM14" s="70">
        <v>175.06000000000009</v>
      </c>
      <c r="MN14" s="70">
        <v>174.31000000000009</v>
      </c>
      <c r="MO14" s="70">
        <v>173.56000000000009</v>
      </c>
      <c r="MP14" s="70">
        <v>172.81000000000009</v>
      </c>
      <c r="MQ14" s="70">
        <v>172.06000000000009</v>
      </c>
      <c r="MR14" s="70">
        <v>171.31000000000009</v>
      </c>
      <c r="MS14" s="70">
        <v>170.56000000000009</v>
      </c>
      <c r="MT14" s="70">
        <v>169.81000000000009</v>
      </c>
      <c r="MU14" s="70">
        <v>169.06000000000009</v>
      </c>
      <c r="MV14" s="70">
        <v>168.31000000000009</v>
      </c>
      <c r="MW14" s="70">
        <v>167.56000000000009</v>
      </c>
      <c r="MX14" s="70">
        <v>166.81000000000009</v>
      </c>
      <c r="MY14" s="70">
        <v>166.06000000000009</v>
      </c>
    </row>
    <row r="15" spans="1:376" ht="15.6" x14ac:dyDescent="0.3">
      <c r="A15" s="67" t="s">
        <v>7</v>
      </c>
      <c r="B15" s="72">
        <v>2025</v>
      </c>
      <c r="C15" s="70">
        <v>493.81</v>
      </c>
      <c r="D15" s="70">
        <v>492.79</v>
      </c>
      <c r="E15" s="70">
        <v>491.77</v>
      </c>
      <c r="F15" s="70">
        <v>490.75</v>
      </c>
      <c r="G15" s="70">
        <v>489.73</v>
      </c>
      <c r="H15" s="70">
        <v>488.71</v>
      </c>
      <c r="I15" s="70">
        <v>487.69</v>
      </c>
      <c r="J15" s="70">
        <v>486.67</v>
      </c>
      <c r="K15" s="70">
        <v>485.65</v>
      </c>
      <c r="L15" s="70">
        <v>484.63</v>
      </c>
      <c r="M15" s="70">
        <v>483.61</v>
      </c>
      <c r="N15" s="70">
        <v>482.6</v>
      </c>
      <c r="O15" s="70">
        <v>481.58</v>
      </c>
      <c r="P15" s="70">
        <v>480.56</v>
      </c>
      <c r="Q15" s="70">
        <v>479.54</v>
      </c>
      <c r="R15" s="70">
        <v>478.52</v>
      </c>
      <c r="S15" s="70">
        <v>477.51</v>
      </c>
      <c r="T15" s="70">
        <v>476.49</v>
      </c>
      <c r="U15" s="70">
        <v>475.47</v>
      </c>
      <c r="V15" s="70">
        <v>474.45</v>
      </c>
      <c r="W15" s="70">
        <v>473.44</v>
      </c>
      <c r="X15" s="70">
        <v>472.42</v>
      </c>
      <c r="Y15" s="70">
        <v>471.4</v>
      </c>
      <c r="Z15" s="70">
        <v>470.38</v>
      </c>
      <c r="AA15" s="70">
        <v>469.37</v>
      </c>
      <c r="AB15" s="70">
        <v>468.35</v>
      </c>
      <c r="AC15" s="70">
        <v>467.33</v>
      </c>
      <c r="AD15" s="70">
        <v>466.32</v>
      </c>
      <c r="AE15" s="70">
        <v>465.3</v>
      </c>
      <c r="AF15" s="70">
        <v>464.28</v>
      </c>
      <c r="AG15" s="70">
        <v>463.27</v>
      </c>
      <c r="AH15" s="70">
        <v>462.25</v>
      </c>
      <c r="AI15" s="70">
        <v>461.24</v>
      </c>
      <c r="AJ15" s="70">
        <v>460.22</v>
      </c>
      <c r="AK15" s="70">
        <v>459.2</v>
      </c>
      <c r="AL15" s="70">
        <v>458.19</v>
      </c>
      <c r="AM15" s="70">
        <v>457.17</v>
      </c>
      <c r="AN15" s="70">
        <v>456.16</v>
      </c>
      <c r="AO15" s="70">
        <v>455.14</v>
      </c>
      <c r="AP15" s="70">
        <v>454.13</v>
      </c>
      <c r="AQ15" s="70">
        <v>453.11</v>
      </c>
      <c r="AR15" s="70">
        <v>452.1</v>
      </c>
      <c r="AS15" s="70">
        <v>451.08</v>
      </c>
      <c r="AT15" s="70">
        <v>450.07</v>
      </c>
      <c r="AU15" s="70">
        <v>449.06</v>
      </c>
      <c r="AV15" s="70">
        <v>448.04</v>
      </c>
      <c r="AW15" s="70">
        <v>447.03</v>
      </c>
      <c r="AX15" s="70">
        <v>446.02</v>
      </c>
      <c r="AY15" s="70">
        <v>445</v>
      </c>
      <c r="AZ15" s="70">
        <v>443.99</v>
      </c>
      <c r="BA15" s="70">
        <v>442.98</v>
      </c>
      <c r="BB15" s="70">
        <v>441.96</v>
      </c>
      <c r="BC15" s="70">
        <v>440.95</v>
      </c>
      <c r="BD15" s="70">
        <v>439.94</v>
      </c>
      <c r="BE15" s="70">
        <v>438.93</v>
      </c>
      <c r="BF15" s="70">
        <v>437.92</v>
      </c>
      <c r="BG15" s="70">
        <v>436.91</v>
      </c>
      <c r="BH15" s="70">
        <v>435.89</v>
      </c>
      <c r="BI15" s="70">
        <v>434.88</v>
      </c>
      <c r="BJ15" s="70">
        <v>433.87</v>
      </c>
      <c r="BK15" s="70">
        <v>432.86</v>
      </c>
      <c r="BL15" s="70">
        <v>431.85</v>
      </c>
      <c r="BM15" s="70">
        <v>430.84</v>
      </c>
      <c r="BN15" s="70">
        <v>429.83</v>
      </c>
      <c r="BO15" s="70">
        <v>428.82</v>
      </c>
      <c r="BP15" s="70">
        <v>427.81</v>
      </c>
      <c r="BQ15" s="70">
        <v>426.81</v>
      </c>
      <c r="BR15" s="70">
        <v>425.8</v>
      </c>
      <c r="BS15" s="70">
        <v>424.79</v>
      </c>
      <c r="BT15" s="70">
        <v>423.78</v>
      </c>
      <c r="BU15" s="70">
        <v>422.77</v>
      </c>
      <c r="BV15" s="70">
        <v>421.76</v>
      </c>
      <c r="BW15" s="70">
        <v>420.76</v>
      </c>
      <c r="BX15" s="70">
        <v>419.75</v>
      </c>
      <c r="BY15" s="70">
        <v>418.75</v>
      </c>
      <c r="BZ15" s="70">
        <v>417.74</v>
      </c>
      <c r="CA15" s="70">
        <v>416.74</v>
      </c>
      <c r="CB15" s="70">
        <v>415.73</v>
      </c>
      <c r="CC15" s="70">
        <v>414.73</v>
      </c>
      <c r="CD15" s="70">
        <v>413.73</v>
      </c>
      <c r="CE15" s="70">
        <v>412.72</v>
      </c>
      <c r="CF15" s="70">
        <v>411.72</v>
      </c>
      <c r="CG15" s="70">
        <v>410.71</v>
      </c>
      <c r="CH15" s="70">
        <v>409.71</v>
      </c>
      <c r="CI15" s="70">
        <v>408.71</v>
      </c>
      <c r="CJ15" s="70">
        <v>407.71</v>
      </c>
      <c r="CK15" s="70">
        <v>406.71</v>
      </c>
      <c r="CL15" s="70">
        <v>405.71</v>
      </c>
      <c r="CM15" s="70">
        <v>404.71</v>
      </c>
      <c r="CN15" s="70">
        <v>403.71</v>
      </c>
      <c r="CO15" s="70">
        <v>402.71</v>
      </c>
      <c r="CP15" s="70">
        <v>401.71</v>
      </c>
      <c r="CQ15" s="70">
        <v>400.72</v>
      </c>
      <c r="CR15" s="70">
        <v>399.72</v>
      </c>
      <c r="CS15" s="70">
        <v>398.72</v>
      </c>
      <c r="CT15" s="70">
        <v>397.72</v>
      </c>
      <c r="CU15" s="70">
        <v>396.72</v>
      </c>
      <c r="CV15" s="70">
        <v>395.73</v>
      </c>
      <c r="CW15" s="70">
        <v>394.74</v>
      </c>
      <c r="CX15" s="70">
        <v>393.74</v>
      </c>
      <c r="CY15" s="70">
        <v>392.75</v>
      </c>
      <c r="CZ15" s="70">
        <v>391.76</v>
      </c>
      <c r="DA15" s="70">
        <v>390.76</v>
      </c>
      <c r="DB15" s="70">
        <v>389.77</v>
      </c>
      <c r="DC15" s="70">
        <v>388.78</v>
      </c>
      <c r="DD15" s="70">
        <v>387.79</v>
      </c>
      <c r="DE15" s="70">
        <v>386.79</v>
      </c>
      <c r="DF15" s="70">
        <v>385.8</v>
      </c>
      <c r="DG15" s="70">
        <v>384.81</v>
      </c>
      <c r="DH15" s="70">
        <v>383.82</v>
      </c>
      <c r="DI15" s="70">
        <v>382.84</v>
      </c>
      <c r="DJ15" s="70">
        <v>381.85</v>
      </c>
      <c r="DK15" s="70">
        <v>380.86</v>
      </c>
      <c r="DL15" s="70">
        <v>379.88</v>
      </c>
      <c r="DM15" s="70">
        <v>378.89</v>
      </c>
      <c r="DN15" s="70">
        <v>377.9</v>
      </c>
      <c r="DO15" s="70">
        <v>376.92</v>
      </c>
      <c r="DP15" s="70">
        <v>375.93</v>
      </c>
      <c r="DQ15" s="70">
        <v>374.95</v>
      </c>
      <c r="DR15" s="70">
        <v>373.96</v>
      </c>
      <c r="DS15" s="70">
        <v>372.98</v>
      </c>
      <c r="DT15" s="70">
        <v>372</v>
      </c>
      <c r="DU15" s="70">
        <v>371.02</v>
      </c>
      <c r="DV15" s="70">
        <v>370.04</v>
      </c>
      <c r="DW15" s="70">
        <v>369.06</v>
      </c>
      <c r="DX15" s="70">
        <v>368.09</v>
      </c>
      <c r="DY15" s="70">
        <v>367.11</v>
      </c>
      <c r="DZ15" s="70">
        <v>366.13</v>
      </c>
      <c r="EA15" s="70">
        <v>365.16</v>
      </c>
      <c r="EB15" s="70">
        <v>364.18</v>
      </c>
      <c r="EC15" s="70">
        <v>363.21</v>
      </c>
      <c r="ED15" s="70">
        <v>362.23</v>
      </c>
      <c r="EE15" s="70">
        <v>361.26</v>
      </c>
      <c r="EF15" s="70">
        <v>360.29</v>
      </c>
      <c r="EG15" s="70">
        <v>359.32</v>
      </c>
      <c r="EH15" s="70">
        <v>358.35</v>
      </c>
      <c r="EI15" s="70">
        <v>357.38</v>
      </c>
      <c r="EJ15" s="70">
        <v>356.42</v>
      </c>
      <c r="EK15" s="70">
        <v>355.45</v>
      </c>
      <c r="EL15" s="70">
        <v>354.48</v>
      </c>
      <c r="EM15" s="70">
        <v>353.52</v>
      </c>
      <c r="EN15" s="70">
        <v>352.55</v>
      </c>
      <c r="EO15" s="70">
        <v>351.59</v>
      </c>
      <c r="EP15" s="70">
        <v>350.63</v>
      </c>
      <c r="EQ15" s="70">
        <v>349.66</v>
      </c>
      <c r="ER15" s="70">
        <v>348.7</v>
      </c>
      <c r="ES15" s="70">
        <v>347.75</v>
      </c>
      <c r="ET15" s="70">
        <v>346.79</v>
      </c>
      <c r="EU15" s="70">
        <v>345.83</v>
      </c>
      <c r="EV15" s="70">
        <v>344.87</v>
      </c>
      <c r="EW15" s="70">
        <v>343.91</v>
      </c>
      <c r="EX15" s="70">
        <v>342.96</v>
      </c>
      <c r="EY15" s="70">
        <v>342</v>
      </c>
      <c r="EZ15" s="70">
        <v>341.05</v>
      </c>
      <c r="FA15" s="70">
        <v>340.09</v>
      </c>
      <c r="FB15" s="70">
        <v>339.14</v>
      </c>
      <c r="FC15" s="70">
        <v>338.19</v>
      </c>
      <c r="FD15" s="70">
        <v>337.23</v>
      </c>
      <c r="FE15" s="70">
        <v>336.28</v>
      </c>
      <c r="FF15" s="70">
        <v>335.33</v>
      </c>
      <c r="FG15" s="70">
        <v>334.38</v>
      </c>
      <c r="FH15" s="70">
        <v>333.43</v>
      </c>
      <c r="FI15" s="70">
        <v>332.48</v>
      </c>
      <c r="FJ15" s="70">
        <v>331.54</v>
      </c>
      <c r="FK15" s="70">
        <v>330.59</v>
      </c>
      <c r="FL15" s="70">
        <v>329.64</v>
      </c>
      <c r="FM15" s="70">
        <v>328.7</v>
      </c>
      <c r="FN15" s="70">
        <v>327.75</v>
      </c>
      <c r="FO15" s="70">
        <v>326.81</v>
      </c>
      <c r="FP15" s="70">
        <v>325.85000000000002</v>
      </c>
      <c r="FQ15" s="70">
        <v>324.92</v>
      </c>
      <c r="FR15" s="70">
        <v>323.98</v>
      </c>
      <c r="FS15" s="70">
        <v>323.04000000000002</v>
      </c>
      <c r="FT15" s="70">
        <v>322.10000000000002</v>
      </c>
      <c r="FU15" s="70">
        <v>321.16000000000003</v>
      </c>
      <c r="FV15" s="70">
        <v>320.22000000000003</v>
      </c>
      <c r="FW15" s="70">
        <v>319.27999999999997</v>
      </c>
      <c r="FX15" s="70">
        <v>318.35000000000002</v>
      </c>
      <c r="FY15" s="70">
        <v>317.41000000000003</v>
      </c>
      <c r="FZ15" s="70">
        <v>316.47000000000003</v>
      </c>
      <c r="GA15" s="70">
        <v>315.54000000000002</v>
      </c>
      <c r="GB15" s="70">
        <v>314.60000000000002</v>
      </c>
      <c r="GC15" s="70">
        <v>313.67</v>
      </c>
      <c r="GD15" s="70">
        <v>312.74</v>
      </c>
      <c r="GE15" s="70">
        <v>311.81</v>
      </c>
      <c r="GF15" s="70">
        <v>310.88</v>
      </c>
      <c r="GG15" s="70">
        <v>309.95</v>
      </c>
      <c r="GH15" s="70">
        <v>309.01</v>
      </c>
      <c r="GI15" s="70">
        <v>308.10000000000002</v>
      </c>
      <c r="GJ15" s="70">
        <v>307.17</v>
      </c>
      <c r="GK15" s="70">
        <v>306.25</v>
      </c>
      <c r="GL15" s="70">
        <v>305.32</v>
      </c>
      <c r="GM15" s="70">
        <v>304.39999999999998</v>
      </c>
      <c r="GN15" s="70">
        <v>303.48</v>
      </c>
      <c r="GO15" s="70">
        <v>302.56</v>
      </c>
      <c r="GP15" s="70">
        <v>301.64</v>
      </c>
      <c r="GQ15" s="70">
        <v>300.72000000000003</v>
      </c>
      <c r="GR15" s="70">
        <v>299.79000000000002</v>
      </c>
      <c r="GS15" s="70">
        <v>298.89</v>
      </c>
      <c r="GT15" s="70">
        <v>297.97000000000003</v>
      </c>
      <c r="GU15" s="70">
        <v>297.06</v>
      </c>
      <c r="GV15" s="70">
        <v>296.14999999999998</v>
      </c>
      <c r="GW15" s="70">
        <v>295.24</v>
      </c>
      <c r="GX15" s="70">
        <v>294.32</v>
      </c>
      <c r="GY15" s="70">
        <v>293.41000000000003</v>
      </c>
      <c r="GZ15" s="70">
        <v>292.51</v>
      </c>
      <c r="HA15" s="70">
        <v>291.60000000000002</v>
      </c>
      <c r="HB15" s="70">
        <v>290.69</v>
      </c>
      <c r="HC15" s="70">
        <v>289.79000000000002</v>
      </c>
      <c r="HD15" s="70">
        <v>288.89</v>
      </c>
      <c r="HE15" s="70">
        <v>287.98</v>
      </c>
      <c r="HF15" s="70">
        <v>287.07</v>
      </c>
      <c r="HG15" s="70">
        <v>286.18</v>
      </c>
      <c r="HH15" s="70">
        <v>285.27999999999997</v>
      </c>
      <c r="HI15" s="70">
        <v>284.39</v>
      </c>
      <c r="HJ15" s="70">
        <v>283.49</v>
      </c>
      <c r="HK15" s="70">
        <v>282.60000000000002</v>
      </c>
      <c r="HL15" s="70">
        <v>281.7</v>
      </c>
      <c r="HM15" s="70">
        <v>280.81</v>
      </c>
      <c r="HN15" s="70">
        <v>279.92</v>
      </c>
      <c r="HO15" s="70">
        <v>279.02999999999997</v>
      </c>
      <c r="HP15" s="70">
        <v>278.14</v>
      </c>
      <c r="HQ15" s="70">
        <v>277.26</v>
      </c>
      <c r="HR15" s="70">
        <v>276.37</v>
      </c>
      <c r="HS15" s="70">
        <v>275.49</v>
      </c>
      <c r="HT15" s="70">
        <v>274.60000000000002</v>
      </c>
      <c r="HU15" s="70">
        <v>273.72000000000003</v>
      </c>
      <c r="HV15" s="70">
        <v>272.83999999999997</v>
      </c>
      <c r="HW15" s="70">
        <v>271.95999999999998</v>
      </c>
      <c r="HX15" s="70">
        <v>271.07</v>
      </c>
      <c r="HY15" s="70">
        <v>270.20999999999998</v>
      </c>
      <c r="HZ15" s="70">
        <v>269.32</v>
      </c>
      <c r="IA15" s="70">
        <v>268.45</v>
      </c>
      <c r="IB15" s="70">
        <v>267.57</v>
      </c>
      <c r="IC15" s="70">
        <v>266.70999999999998</v>
      </c>
      <c r="ID15" s="70">
        <v>265.83999999999997</v>
      </c>
      <c r="IE15" s="70">
        <v>264.95999999999998</v>
      </c>
      <c r="IF15" s="70">
        <v>264.10000000000002</v>
      </c>
      <c r="IG15" s="70">
        <v>263.23</v>
      </c>
      <c r="IH15" s="70">
        <v>262.35000000000002</v>
      </c>
      <c r="II15" s="70">
        <v>261.49</v>
      </c>
      <c r="IJ15" s="70">
        <v>260.63</v>
      </c>
      <c r="IK15" s="70">
        <v>259.76</v>
      </c>
      <c r="IL15" s="70">
        <v>258.89999999999998</v>
      </c>
      <c r="IM15" s="70">
        <v>258.04000000000002</v>
      </c>
      <c r="IN15" s="70">
        <v>257.18</v>
      </c>
      <c r="IO15" s="70">
        <v>256.32</v>
      </c>
      <c r="IP15" s="70">
        <v>255.47</v>
      </c>
      <c r="IQ15" s="70">
        <v>254.61</v>
      </c>
      <c r="IR15" s="70">
        <v>253.75</v>
      </c>
      <c r="IS15" s="70">
        <v>252.9</v>
      </c>
      <c r="IT15" s="70">
        <v>252.05</v>
      </c>
      <c r="IU15" s="70">
        <v>251.2</v>
      </c>
      <c r="IV15" s="70">
        <v>250.35</v>
      </c>
      <c r="IW15" s="70">
        <v>249.5</v>
      </c>
      <c r="IX15" s="70">
        <v>248.66</v>
      </c>
      <c r="IY15" s="70">
        <v>247.81</v>
      </c>
      <c r="IZ15" s="70">
        <v>246.97</v>
      </c>
      <c r="JA15" s="70">
        <v>246.13</v>
      </c>
      <c r="JB15" s="70">
        <v>245.28</v>
      </c>
      <c r="JC15" s="70">
        <v>244.44</v>
      </c>
      <c r="JD15" s="70">
        <v>243.61</v>
      </c>
      <c r="JE15" s="70">
        <v>242.77</v>
      </c>
      <c r="JF15" s="70">
        <v>241.93</v>
      </c>
      <c r="JG15" s="70">
        <v>241.1</v>
      </c>
      <c r="JH15" s="70">
        <v>240.26</v>
      </c>
      <c r="JI15" s="70">
        <v>239.43</v>
      </c>
      <c r="JJ15" s="70">
        <v>238.6</v>
      </c>
      <c r="JK15" s="70">
        <v>237.77</v>
      </c>
      <c r="JL15" s="70">
        <v>236.94</v>
      </c>
      <c r="JM15" s="70">
        <v>236.11</v>
      </c>
      <c r="JN15" s="70">
        <v>235.28</v>
      </c>
      <c r="JO15" s="70">
        <v>234.45</v>
      </c>
      <c r="JP15" s="70">
        <v>233.63</v>
      </c>
      <c r="JQ15" s="70">
        <v>232.8</v>
      </c>
      <c r="JR15" s="70">
        <v>231.98</v>
      </c>
      <c r="JS15" s="70">
        <v>231.16</v>
      </c>
      <c r="JT15" s="70">
        <v>230.34</v>
      </c>
      <c r="JU15" s="70">
        <v>229.52</v>
      </c>
      <c r="JV15" s="70">
        <v>228.7</v>
      </c>
      <c r="JW15" s="70">
        <v>227.88</v>
      </c>
      <c r="JX15" s="70">
        <v>227.07</v>
      </c>
      <c r="JY15" s="70">
        <v>226.25</v>
      </c>
      <c r="JZ15" s="70">
        <v>225.44</v>
      </c>
      <c r="KA15" s="70">
        <v>224.62</v>
      </c>
      <c r="KB15" s="70">
        <v>223.81</v>
      </c>
      <c r="KC15" s="70">
        <v>223</v>
      </c>
      <c r="KD15" s="70">
        <v>222.19</v>
      </c>
      <c r="KE15" s="70">
        <v>221.38</v>
      </c>
      <c r="KF15" s="70">
        <v>220.57</v>
      </c>
      <c r="KG15" s="70">
        <v>219.77</v>
      </c>
      <c r="KH15" s="70">
        <v>218.96</v>
      </c>
      <c r="KI15" s="70">
        <v>218.15</v>
      </c>
      <c r="KJ15" s="70">
        <v>217.35</v>
      </c>
      <c r="KK15" s="70">
        <v>216.55</v>
      </c>
      <c r="KL15" s="70">
        <v>215.75</v>
      </c>
      <c r="KM15" s="70">
        <v>214.95</v>
      </c>
      <c r="KN15" s="70">
        <v>214.15</v>
      </c>
      <c r="KO15" s="70">
        <v>213.35</v>
      </c>
      <c r="KP15" s="70">
        <v>212.56</v>
      </c>
      <c r="KQ15" s="70">
        <v>211.77</v>
      </c>
      <c r="KR15" s="70">
        <v>210.7700000000001</v>
      </c>
      <c r="KS15" s="70">
        <v>210.0200000000001</v>
      </c>
      <c r="KT15" s="70">
        <v>209.2700000000001</v>
      </c>
      <c r="KU15" s="70">
        <v>208.5200000000001</v>
      </c>
      <c r="KV15" s="70">
        <v>207.7700000000001</v>
      </c>
      <c r="KW15" s="70">
        <v>207.0200000000001</v>
      </c>
      <c r="KX15" s="70">
        <v>206.2700000000001</v>
      </c>
      <c r="KY15" s="70">
        <v>205.5200000000001</v>
      </c>
      <c r="KZ15" s="70">
        <v>204.7700000000001</v>
      </c>
      <c r="LA15" s="70">
        <v>204.0200000000001</v>
      </c>
      <c r="LB15" s="70">
        <v>203.2700000000001</v>
      </c>
      <c r="LC15" s="70">
        <v>202.5200000000001</v>
      </c>
      <c r="LD15" s="70">
        <v>201.7700000000001</v>
      </c>
      <c r="LE15" s="70">
        <v>201.0200000000001</v>
      </c>
      <c r="LF15" s="70">
        <v>200.2700000000001</v>
      </c>
      <c r="LG15" s="70">
        <v>199.5200000000001</v>
      </c>
      <c r="LH15" s="70">
        <v>198.7700000000001</v>
      </c>
      <c r="LI15" s="70">
        <v>198.0200000000001</v>
      </c>
      <c r="LJ15" s="70">
        <v>197.2700000000001</v>
      </c>
      <c r="LK15" s="70">
        <v>196.5200000000001</v>
      </c>
      <c r="LL15" s="70">
        <v>195.7700000000001</v>
      </c>
      <c r="LM15" s="70">
        <v>195.0200000000001</v>
      </c>
      <c r="LN15" s="70">
        <v>194.2700000000001</v>
      </c>
      <c r="LO15" s="70">
        <v>193.5200000000001</v>
      </c>
      <c r="LP15" s="70">
        <v>192.7700000000001</v>
      </c>
      <c r="LQ15" s="70">
        <v>192.0200000000001</v>
      </c>
      <c r="LR15" s="70">
        <v>191.2700000000001</v>
      </c>
      <c r="LS15" s="70">
        <v>190.5200000000001</v>
      </c>
      <c r="LT15" s="70">
        <v>189.7700000000001</v>
      </c>
      <c r="LU15" s="70">
        <v>189.0200000000001</v>
      </c>
      <c r="LV15" s="70">
        <v>188.2700000000001</v>
      </c>
      <c r="LW15" s="70">
        <v>187.5200000000001</v>
      </c>
      <c r="LX15" s="70">
        <v>186.7700000000001</v>
      </c>
      <c r="LY15" s="70">
        <v>186.0200000000001</v>
      </c>
      <c r="LZ15" s="70">
        <v>185.2700000000001</v>
      </c>
      <c r="MA15" s="70">
        <v>184.5200000000001</v>
      </c>
      <c r="MB15" s="70">
        <v>183.7700000000001</v>
      </c>
      <c r="MC15" s="70">
        <v>183.0200000000001</v>
      </c>
      <c r="MD15" s="70">
        <v>182.2700000000001</v>
      </c>
      <c r="ME15" s="70">
        <v>181.5200000000001</v>
      </c>
      <c r="MF15" s="70">
        <v>180.7700000000001</v>
      </c>
      <c r="MG15" s="70">
        <v>180.0200000000001</v>
      </c>
      <c r="MH15" s="70">
        <v>179.2700000000001</v>
      </c>
      <c r="MI15" s="70">
        <v>178.5200000000001</v>
      </c>
      <c r="MJ15" s="70">
        <v>177.7700000000001</v>
      </c>
      <c r="MK15" s="70">
        <v>177.0200000000001</v>
      </c>
      <c r="ML15" s="70">
        <v>176.2700000000001</v>
      </c>
      <c r="MM15" s="70">
        <v>175.5200000000001</v>
      </c>
      <c r="MN15" s="70">
        <v>174.7700000000001</v>
      </c>
      <c r="MO15" s="70">
        <v>174.0200000000001</v>
      </c>
      <c r="MP15" s="70">
        <v>173.2700000000001</v>
      </c>
      <c r="MQ15" s="70">
        <v>172.5200000000001</v>
      </c>
      <c r="MR15" s="70">
        <v>171.7700000000001</v>
      </c>
      <c r="MS15" s="70">
        <v>171.0200000000001</v>
      </c>
      <c r="MT15" s="70">
        <v>170.2700000000001</v>
      </c>
      <c r="MU15" s="70">
        <v>169.5200000000001</v>
      </c>
      <c r="MV15" s="70">
        <v>168.7700000000001</v>
      </c>
      <c r="MW15" s="70">
        <v>168.0200000000001</v>
      </c>
      <c r="MX15" s="70">
        <v>167.2700000000001</v>
      </c>
      <c r="MY15" s="70">
        <v>166.5200000000001</v>
      </c>
    </row>
    <row r="16" spans="1:376" ht="15.6" x14ac:dyDescent="0.3">
      <c r="A16" s="67" t="s">
        <v>7</v>
      </c>
      <c r="B16" s="72">
        <v>2026</v>
      </c>
      <c r="C16" s="70">
        <v>494.4</v>
      </c>
      <c r="D16" s="70">
        <v>493.38</v>
      </c>
      <c r="E16" s="70">
        <v>492.36</v>
      </c>
      <c r="F16" s="70">
        <v>491.35</v>
      </c>
      <c r="G16" s="70">
        <v>490.33</v>
      </c>
      <c r="H16" s="70">
        <v>489.31</v>
      </c>
      <c r="I16" s="70">
        <v>488.29</v>
      </c>
      <c r="J16" s="70">
        <v>487.27</v>
      </c>
      <c r="K16" s="70">
        <v>486.25</v>
      </c>
      <c r="L16" s="70">
        <v>485.23</v>
      </c>
      <c r="M16" s="70">
        <v>484.21</v>
      </c>
      <c r="N16" s="70">
        <v>483.19</v>
      </c>
      <c r="O16" s="70">
        <v>482.17</v>
      </c>
      <c r="P16" s="70">
        <v>481.15</v>
      </c>
      <c r="Q16" s="70">
        <v>480.14</v>
      </c>
      <c r="R16" s="70">
        <v>479.12</v>
      </c>
      <c r="S16" s="70">
        <v>478.1</v>
      </c>
      <c r="T16" s="70">
        <v>477.08</v>
      </c>
      <c r="U16" s="70">
        <v>476.06</v>
      </c>
      <c r="V16" s="70">
        <v>475.05</v>
      </c>
      <c r="W16" s="70">
        <v>474.03</v>
      </c>
      <c r="X16" s="70">
        <v>473.01</v>
      </c>
      <c r="Y16" s="70">
        <v>471.99</v>
      </c>
      <c r="Z16" s="70">
        <v>470.97</v>
      </c>
      <c r="AA16" s="70">
        <v>469.96</v>
      </c>
      <c r="AB16" s="70">
        <v>468.94</v>
      </c>
      <c r="AC16" s="70">
        <v>467.92</v>
      </c>
      <c r="AD16" s="70">
        <v>466.91</v>
      </c>
      <c r="AE16" s="70">
        <v>465.89</v>
      </c>
      <c r="AF16" s="70">
        <v>464.87</v>
      </c>
      <c r="AG16" s="70">
        <v>463.86</v>
      </c>
      <c r="AH16" s="70">
        <v>462.84</v>
      </c>
      <c r="AI16" s="70">
        <v>461.82</v>
      </c>
      <c r="AJ16" s="70">
        <v>460.81</v>
      </c>
      <c r="AK16" s="70">
        <v>459.79</v>
      </c>
      <c r="AL16" s="70">
        <v>458.77</v>
      </c>
      <c r="AM16" s="70">
        <v>457.76</v>
      </c>
      <c r="AN16" s="70">
        <v>456.74</v>
      </c>
      <c r="AO16" s="70">
        <v>455.73</v>
      </c>
      <c r="AP16" s="70">
        <v>454.71</v>
      </c>
      <c r="AQ16" s="70">
        <v>453.7</v>
      </c>
      <c r="AR16" s="70">
        <v>452.68</v>
      </c>
      <c r="AS16" s="70">
        <v>451.67</v>
      </c>
      <c r="AT16" s="70">
        <v>450.65</v>
      </c>
      <c r="AU16" s="70">
        <v>449.64</v>
      </c>
      <c r="AV16" s="70">
        <v>448.62</v>
      </c>
      <c r="AW16" s="70">
        <v>447.61</v>
      </c>
      <c r="AX16" s="70">
        <v>446.6</v>
      </c>
      <c r="AY16" s="70">
        <v>445.58</v>
      </c>
      <c r="AZ16" s="70">
        <v>444.57</v>
      </c>
      <c r="BA16" s="70">
        <v>443.56</v>
      </c>
      <c r="BB16" s="70">
        <v>442.54</v>
      </c>
      <c r="BC16" s="70">
        <v>441.53</v>
      </c>
      <c r="BD16" s="70">
        <v>440.52</v>
      </c>
      <c r="BE16" s="70">
        <v>439.51</v>
      </c>
      <c r="BF16" s="70">
        <v>438.49</v>
      </c>
      <c r="BG16" s="70">
        <v>437.48</v>
      </c>
      <c r="BH16" s="70">
        <v>436.47</v>
      </c>
      <c r="BI16" s="70">
        <v>435.46</v>
      </c>
      <c r="BJ16" s="70">
        <v>434.45</v>
      </c>
      <c r="BK16" s="70">
        <v>433.43</v>
      </c>
      <c r="BL16" s="70">
        <v>432.42</v>
      </c>
      <c r="BM16" s="70">
        <v>431.42</v>
      </c>
      <c r="BN16" s="70">
        <v>430.41</v>
      </c>
      <c r="BO16" s="70">
        <v>429.4</v>
      </c>
      <c r="BP16" s="70">
        <v>428.39</v>
      </c>
      <c r="BQ16" s="70">
        <v>427.38</v>
      </c>
      <c r="BR16" s="70">
        <v>426.37</v>
      </c>
      <c r="BS16" s="70">
        <v>425.36</v>
      </c>
      <c r="BT16" s="70">
        <v>424.35</v>
      </c>
      <c r="BU16" s="70">
        <v>423.34</v>
      </c>
      <c r="BV16" s="70">
        <v>422.33</v>
      </c>
      <c r="BW16" s="70">
        <v>421.33</v>
      </c>
      <c r="BX16" s="70">
        <v>420.32</v>
      </c>
      <c r="BY16" s="70">
        <v>419.31</v>
      </c>
      <c r="BZ16" s="70">
        <v>418.31</v>
      </c>
      <c r="CA16" s="70">
        <v>417.3</v>
      </c>
      <c r="CB16" s="70">
        <v>416.3</v>
      </c>
      <c r="CC16" s="70">
        <v>415.3</v>
      </c>
      <c r="CD16" s="70">
        <v>414.29</v>
      </c>
      <c r="CE16" s="70">
        <v>413.29</v>
      </c>
      <c r="CF16" s="70">
        <v>412.28</v>
      </c>
      <c r="CG16" s="70">
        <v>411.28</v>
      </c>
      <c r="CH16" s="70">
        <v>410.27</v>
      </c>
      <c r="CI16" s="70">
        <v>409.27</v>
      </c>
      <c r="CJ16" s="70">
        <v>408.27</v>
      </c>
      <c r="CK16" s="70">
        <v>407.27</v>
      </c>
      <c r="CL16" s="70">
        <v>406.27</v>
      </c>
      <c r="CM16" s="70">
        <v>405.27</v>
      </c>
      <c r="CN16" s="70">
        <v>404.27</v>
      </c>
      <c r="CO16" s="70">
        <v>403.27</v>
      </c>
      <c r="CP16" s="70">
        <v>402.27</v>
      </c>
      <c r="CQ16" s="70">
        <v>401.27</v>
      </c>
      <c r="CR16" s="70">
        <v>400.28</v>
      </c>
      <c r="CS16" s="70">
        <v>399.28</v>
      </c>
      <c r="CT16" s="70">
        <v>398.28</v>
      </c>
      <c r="CU16" s="70">
        <v>397.28</v>
      </c>
      <c r="CV16" s="70">
        <v>396.29</v>
      </c>
      <c r="CW16" s="70">
        <v>395.29</v>
      </c>
      <c r="CX16" s="70">
        <v>394.3</v>
      </c>
      <c r="CY16" s="70">
        <v>393.3</v>
      </c>
      <c r="CZ16" s="70">
        <v>392.31</v>
      </c>
      <c r="DA16" s="70">
        <v>391.32</v>
      </c>
      <c r="DB16" s="70">
        <v>390.32</v>
      </c>
      <c r="DC16" s="70">
        <v>389.33</v>
      </c>
      <c r="DD16" s="70">
        <v>388.34</v>
      </c>
      <c r="DE16" s="70">
        <v>387.35</v>
      </c>
      <c r="DF16" s="70">
        <v>386.35</v>
      </c>
      <c r="DG16" s="70">
        <v>385.36</v>
      </c>
      <c r="DH16" s="70">
        <v>384.37</v>
      </c>
      <c r="DI16" s="70">
        <v>383.39</v>
      </c>
      <c r="DJ16" s="70">
        <v>382.4</v>
      </c>
      <c r="DK16" s="70">
        <v>381.41</v>
      </c>
      <c r="DL16" s="70">
        <v>380.43</v>
      </c>
      <c r="DM16" s="70">
        <v>379.44</v>
      </c>
      <c r="DN16" s="70">
        <v>378.45</v>
      </c>
      <c r="DO16" s="70">
        <v>377.47</v>
      </c>
      <c r="DP16" s="70">
        <v>376.48</v>
      </c>
      <c r="DQ16" s="70">
        <v>375.5</v>
      </c>
      <c r="DR16" s="70">
        <v>374.51</v>
      </c>
      <c r="DS16" s="70">
        <v>373.53</v>
      </c>
      <c r="DT16" s="70">
        <v>372.55</v>
      </c>
      <c r="DU16" s="70">
        <v>371.57</v>
      </c>
      <c r="DV16" s="70">
        <v>370.59</v>
      </c>
      <c r="DW16" s="70">
        <v>369.61</v>
      </c>
      <c r="DX16" s="70">
        <v>368.63</v>
      </c>
      <c r="DY16" s="70">
        <v>367.65</v>
      </c>
      <c r="DZ16" s="70">
        <v>366.68</v>
      </c>
      <c r="EA16" s="70">
        <v>365.7</v>
      </c>
      <c r="EB16" s="70">
        <v>364.72</v>
      </c>
      <c r="EC16" s="70">
        <v>363.75</v>
      </c>
      <c r="ED16" s="70">
        <v>362.77</v>
      </c>
      <c r="EE16" s="70">
        <v>361.8</v>
      </c>
      <c r="EF16" s="70">
        <v>360.83</v>
      </c>
      <c r="EG16" s="70">
        <v>359.86</v>
      </c>
      <c r="EH16" s="70">
        <v>358.89</v>
      </c>
      <c r="EI16" s="70">
        <v>357.92</v>
      </c>
      <c r="EJ16" s="70">
        <v>356.96</v>
      </c>
      <c r="EK16" s="70">
        <v>355.99</v>
      </c>
      <c r="EL16" s="70">
        <v>355.02</v>
      </c>
      <c r="EM16" s="70">
        <v>354.06</v>
      </c>
      <c r="EN16" s="70">
        <v>353.09</v>
      </c>
      <c r="EO16" s="70">
        <v>352.13</v>
      </c>
      <c r="EP16" s="70">
        <v>351.17</v>
      </c>
      <c r="EQ16" s="70">
        <v>350.2</v>
      </c>
      <c r="ER16" s="70">
        <v>349.24</v>
      </c>
      <c r="ES16" s="70">
        <v>348.28</v>
      </c>
      <c r="ET16" s="70">
        <v>347.32</v>
      </c>
      <c r="EU16" s="70">
        <v>346.37</v>
      </c>
      <c r="EV16" s="70">
        <v>345.41</v>
      </c>
      <c r="EW16" s="70">
        <v>344.45</v>
      </c>
      <c r="EX16" s="70">
        <v>343.5</v>
      </c>
      <c r="EY16" s="70">
        <v>342.54</v>
      </c>
      <c r="EZ16" s="70">
        <v>341.58</v>
      </c>
      <c r="FA16" s="70">
        <v>340.63</v>
      </c>
      <c r="FB16" s="70">
        <v>339.68</v>
      </c>
      <c r="FC16" s="70">
        <v>338.72</v>
      </c>
      <c r="FD16" s="70">
        <v>337.77</v>
      </c>
      <c r="FE16" s="70">
        <v>336.82</v>
      </c>
      <c r="FF16" s="70">
        <v>335.87</v>
      </c>
      <c r="FG16" s="70">
        <v>334.92</v>
      </c>
      <c r="FH16" s="70">
        <v>333.97</v>
      </c>
      <c r="FI16" s="70">
        <v>333.02</v>
      </c>
      <c r="FJ16" s="70">
        <v>332.07</v>
      </c>
      <c r="FK16" s="70">
        <v>331.12</v>
      </c>
      <c r="FL16" s="70">
        <v>330.18</v>
      </c>
      <c r="FM16" s="70">
        <v>329.23</v>
      </c>
      <c r="FN16" s="70">
        <v>328.28</v>
      </c>
      <c r="FO16" s="70">
        <v>327.33999999999997</v>
      </c>
      <c r="FP16" s="70">
        <v>326.39999999999998</v>
      </c>
      <c r="FQ16" s="70">
        <v>325.45</v>
      </c>
      <c r="FR16" s="70">
        <v>324.51</v>
      </c>
      <c r="FS16" s="70">
        <v>323.57</v>
      </c>
      <c r="FT16" s="70">
        <v>322.63</v>
      </c>
      <c r="FU16" s="70">
        <v>321.69</v>
      </c>
      <c r="FV16" s="70">
        <v>320.75</v>
      </c>
      <c r="FW16" s="70">
        <v>319.81</v>
      </c>
      <c r="FX16" s="70">
        <v>318.88</v>
      </c>
      <c r="FY16" s="70">
        <v>317.94</v>
      </c>
      <c r="FZ16" s="70">
        <v>317</v>
      </c>
      <c r="GA16" s="70">
        <v>316.07</v>
      </c>
      <c r="GB16" s="70">
        <v>315.13</v>
      </c>
      <c r="GC16" s="70">
        <v>314.2</v>
      </c>
      <c r="GD16" s="70">
        <v>313.26</v>
      </c>
      <c r="GE16" s="70">
        <v>312.33999999999997</v>
      </c>
      <c r="GF16" s="70">
        <v>311.41000000000003</v>
      </c>
      <c r="GG16" s="70">
        <v>310.48</v>
      </c>
      <c r="GH16" s="70">
        <v>309.54000000000002</v>
      </c>
      <c r="GI16" s="70">
        <v>308.62</v>
      </c>
      <c r="GJ16" s="70">
        <v>307.7</v>
      </c>
      <c r="GK16" s="70">
        <v>306.76</v>
      </c>
      <c r="GL16" s="70">
        <v>305.85000000000002</v>
      </c>
      <c r="GM16" s="70">
        <v>304.92</v>
      </c>
      <c r="GN16" s="70">
        <v>304</v>
      </c>
      <c r="GO16" s="70">
        <v>303.07</v>
      </c>
      <c r="GP16" s="70">
        <v>302.16000000000003</v>
      </c>
      <c r="GQ16" s="70">
        <v>301.25</v>
      </c>
      <c r="GR16" s="70">
        <v>300.32</v>
      </c>
      <c r="GS16" s="70">
        <v>299.41000000000003</v>
      </c>
      <c r="GT16" s="70">
        <v>298.5</v>
      </c>
      <c r="GU16" s="70">
        <v>297.57</v>
      </c>
      <c r="GV16" s="70">
        <v>296.67</v>
      </c>
      <c r="GW16" s="70">
        <v>295.76</v>
      </c>
      <c r="GX16" s="70">
        <v>294.85000000000002</v>
      </c>
      <c r="GY16" s="70">
        <v>293.94</v>
      </c>
      <c r="GZ16" s="70">
        <v>293.02999999999997</v>
      </c>
      <c r="HA16" s="70">
        <v>292.12</v>
      </c>
      <c r="HB16" s="70">
        <v>291.22000000000003</v>
      </c>
      <c r="HC16" s="70">
        <v>290.31</v>
      </c>
      <c r="HD16" s="70">
        <v>289.41000000000003</v>
      </c>
      <c r="HE16" s="70">
        <v>288.5</v>
      </c>
      <c r="HF16" s="70">
        <v>287.60000000000002</v>
      </c>
      <c r="HG16" s="70">
        <v>286.7</v>
      </c>
      <c r="HH16" s="70">
        <v>285.79000000000002</v>
      </c>
      <c r="HI16" s="70">
        <v>284.89999999999998</v>
      </c>
      <c r="HJ16" s="70">
        <v>284.01</v>
      </c>
      <c r="HK16" s="70">
        <v>283.10000000000002</v>
      </c>
      <c r="HL16" s="70">
        <v>282.22000000000003</v>
      </c>
      <c r="HM16" s="70">
        <v>281.32</v>
      </c>
      <c r="HN16" s="70">
        <v>280.44</v>
      </c>
      <c r="HO16" s="70">
        <v>279.54000000000002</v>
      </c>
      <c r="HP16" s="70">
        <v>278.66000000000003</v>
      </c>
      <c r="HQ16" s="70">
        <v>277.76</v>
      </c>
      <c r="HR16" s="70">
        <v>276.89</v>
      </c>
      <c r="HS16" s="70">
        <v>276</v>
      </c>
      <c r="HT16" s="70">
        <v>275.12</v>
      </c>
      <c r="HU16" s="70">
        <v>274.24</v>
      </c>
      <c r="HV16" s="70">
        <v>273.35000000000002</v>
      </c>
      <c r="HW16" s="70">
        <v>272.47000000000003</v>
      </c>
      <c r="HX16" s="70">
        <v>271.60000000000002</v>
      </c>
      <c r="HY16" s="70">
        <v>270.72000000000003</v>
      </c>
      <c r="HZ16" s="70">
        <v>269.83999999999997</v>
      </c>
      <c r="IA16" s="70">
        <v>268.97000000000003</v>
      </c>
      <c r="IB16" s="70">
        <v>268.08999999999997</v>
      </c>
      <c r="IC16" s="70">
        <v>267.22000000000003</v>
      </c>
      <c r="ID16" s="70">
        <v>266.35000000000002</v>
      </c>
      <c r="IE16" s="70">
        <v>265.47000000000003</v>
      </c>
      <c r="IF16" s="70">
        <v>264.60000000000002</v>
      </c>
      <c r="IG16" s="70">
        <v>263.73</v>
      </c>
      <c r="IH16" s="70">
        <v>262.87</v>
      </c>
      <c r="II16" s="70">
        <v>262</v>
      </c>
      <c r="IJ16" s="70">
        <v>261.13</v>
      </c>
      <c r="IK16" s="70">
        <v>260.26</v>
      </c>
      <c r="IL16" s="70">
        <v>259.41000000000003</v>
      </c>
      <c r="IM16" s="70">
        <v>258.54000000000002</v>
      </c>
      <c r="IN16" s="70">
        <v>257.69</v>
      </c>
      <c r="IO16" s="70">
        <v>256.82</v>
      </c>
      <c r="IP16" s="70">
        <v>255.97</v>
      </c>
      <c r="IQ16" s="70">
        <v>255.11</v>
      </c>
      <c r="IR16" s="70">
        <v>254.26</v>
      </c>
      <c r="IS16" s="70">
        <v>253.4</v>
      </c>
      <c r="IT16" s="70">
        <v>252.55</v>
      </c>
      <c r="IU16" s="70">
        <v>251.7</v>
      </c>
      <c r="IV16" s="70">
        <v>250.85</v>
      </c>
      <c r="IW16" s="70">
        <v>250</v>
      </c>
      <c r="IX16" s="70">
        <v>249.16</v>
      </c>
      <c r="IY16" s="70">
        <v>248.31</v>
      </c>
      <c r="IZ16" s="70">
        <v>247.47</v>
      </c>
      <c r="JA16" s="70">
        <v>246.62</v>
      </c>
      <c r="JB16" s="70">
        <v>245.78</v>
      </c>
      <c r="JC16" s="70">
        <v>244.94</v>
      </c>
      <c r="JD16" s="70">
        <v>244.1</v>
      </c>
      <c r="JE16" s="70">
        <v>243.26</v>
      </c>
      <c r="JF16" s="70">
        <v>242.43</v>
      </c>
      <c r="JG16" s="70">
        <v>241.59</v>
      </c>
      <c r="JH16" s="70">
        <v>240.76</v>
      </c>
      <c r="JI16" s="70">
        <v>239.92</v>
      </c>
      <c r="JJ16" s="70">
        <v>239.09</v>
      </c>
      <c r="JK16" s="70">
        <v>238.26</v>
      </c>
      <c r="JL16" s="70">
        <v>237.43</v>
      </c>
      <c r="JM16" s="70">
        <v>236.6</v>
      </c>
      <c r="JN16" s="70">
        <v>235.77</v>
      </c>
      <c r="JO16" s="70">
        <v>234.94</v>
      </c>
      <c r="JP16" s="70">
        <v>234.12</v>
      </c>
      <c r="JQ16" s="70">
        <v>233.29</v>
      </c>
      <c r="JR16" s="70">
        <v>232.47</v>
      </c>
      <c r="JS16" s="70">
        <v>231.65</v>
      </c>
      <c r="JT16" s="70">
        <v>230.83</v>
      </c>
      <c r="JU16" s="70">
        <v>230.01</v>
      </c>
      <c r="JV16" s="70">
        <v>229.19</v>
      </c>
      <c r="JW16" s="70">
        <v>228.37</v>
      </c>
      <c r="JX16" s="70">
        <v>227.55</v>
      </c>
      <c r="JY16" s="70">
        <v>226.74</v>
      </c>
      <c r="JZ16" s="70">
        <v>225.92</v>
      </c>
      <c r="KA16" s="70">
        <v>225.11</v>
      </c>
      <c r="KB16" s="70">
        <v>224.29</v>
      </c>
      <c r="KC16" s="70">
        <v>223.48</v>
      </c>
      <c r="KD16" s="70">
        <v>222.67</v>
      </c>
      <c r="KE16" s="70">
        <v>221.86</v>
      </c>
      <c r="KF16" s="70">
        <v>221.05</v>
      </c>
      <c r="KG16" s="70">
        <v>220.25</v>
      </c>
      <c r="KH16" s="70">
        <v>219.44</v>
      </c>
      <c r="KI16" s="70">
        <v>218.63</v>
      </c>
      <c r="KJ16" s="70">
        <v>217.83</v>
      </c>
      <c r="KK16" s="70">
        <v>217.03</v>
      </c>
      <c r="KL16" s="70">
        <v>216.23</v>
      </c>
      <c r="KM16" s="70">
        <v>215.43</v>
      </c>
      <c r="KN16" s="70">
        <v>214.63</v>
      </c>
      <c r="KO16" s="70">
        <v>213.83</v>
      </c>
      <c r="KP16" s="70">
        <v>213.04</v>
      </c>
      <c r="KQ16" s="70">
        <v>212.24</v>
      </c>
      <c r="KR16" s="70">
        <v>211.2300000000001</v>
      </c>
      <c r="KS16" s="70">
        <v>210.4800000000001</v>
      </c>
      <c r="KT16" s="70">
        <v>209.7300000000001</v>
      </c>
      <c r="KU16" s="70">
        <v>208.9800000000001</v>
      </c>
      <c r="KV16" s="70">
        <v>208.2300000000001</v>
      </c>
      <c r="KW16" s="70">
        <v>207.4800000000001</v>
      </c>
      <c r="KX16" s="70">
        <v>206.7300000000001</v>
      </c>
      <c r="KY16" s="70">
        <v>205.9800000000001</v>
      </c>
      <c r="KZ16" s="70">
        <v>205.2300000000001</v>
      </c>
      <c r="LA16" s="70">
        <v>204.4800000000001</v>
      </c>
      <c r="LB16" s="70">
        <v>203.7300000000001</v>
      </c>
      <c r="LC16" s="70">
        <v>202.9800000000001</v>
      </c>
      <c r="LD16" s="70">
        <v>202.2300000000001</v>
      </c>
      <c r="LE16" s="70">
        <v>201.4800000000001</v>
      </c>
      <c r="LF16" s="70">
        <v>200.7300000000001</v>
      </c>
      <c r="LG16" s="70">
        <v>199.9800000000001</v>
      </c>
      <c r="LH16" s="70">
        <v>199.2300000000001</v>
      </c>
      <c r="LI16" s="70">
        <v>198.4800000000001</v>
      </c>
      <c r="LJ16" s="70">
        <v>197.7300000000001</v>
      </c>
      <c r="LK16" s="70">
        <v>196.9800000000001</v>
      </c>
      <c r="LL16" s="70">
        <v>196.2300000000001</v>
      </c>
      <c r="LM16" s="70">
        <v>195.4800000000001</v>
      </c>
      <c r="LN16" s="70">
        <v>194.7300000000001</v>
      </c>
      <c r="LO16" s="70">
        <v>193.9800000000001</v>
      </c>
      <c r="LP16" s="70">
        <v>193.2300000000001</v>
      </c>
      <c r="LQ16" s="70">
        <v>192.4800000000001</v>
      </c>
      <c r="LR16" s="70">
        <v>191.7300000000001</v>
      </c>
      <c r="LS16" s="70">
        <v>190.9800000000001</v>
      </c>
      <c r="LT16" s="70">
        <v>190.2300000000001</v>
      </c>
      <c r="LU16" s="70">
        <v>189.4800000000001</v>
      </c>
      <c r="LV16" s="70">
        <v>188.7300000000001</v>
      </c>
      <c r="LW16" s="70">
        <v>187.9800000000001</v>
      </c>
      <c r="LX16" s="70">
        <v>187.2300000000001</v>
      </c>
      <c r="LY16" s="70">
        <v>186.4800000000001</v>
      </c>
      <c r="LZ16" s="70">
        <v>185.7300000000001</v>
      </c>
      <c r="MA16" s="70">
        <v>184.9800000000001</v>
      </c>
      <c r="MB16" s="70">
        <v>184.2300000000001</v>
      </c>
      <c r="MC16" s="70">
        <v>183.4800000000001</v>
      </c>
      <c r="MD16" s="70">
        <v>182.7300000000001</v>
      </c>
      <c r="ME16" s="70">
        <v>181.9800000000001</v>
      </c>
      <c r="MF16" s="70">
        <v>181.2300000000001</v>
      </c>
      <c r="MG16" s="70">
        <v>180.4800000000001</v>
      </c>
      <c r="MH16" s="70">
        <v>179.7300000000001</v>
      </c>
      <c r="MI16" s="70">
        <v>178.9800000000001</v>
      </c>
      <c r="MJ16" s="70">
        <v>178.2300000000001</v>
      </c>
      <c r="MK16" s="70">
        <v>177.4800000000001</v>
      </c>
      <c r="ML16" s="70">
        <v>176.7300000000001</v>
      </c>
      <c r="MM16" s="70">
        <v>175.9800000000001</v>
      </c>
      <c r="MN16" s="70">
        <v>175.2300000000001</v>
      </c>
      <c r="MO16" s="70">
        <v>174.4800000000001</v>
      </c>
      <c r="MP16" s="70">
        <v>173.7300000000001</v>
      </c>
      <c r="MQ16" s="70">
        <v>172.9800000000001</v>
      </c>
      <c r="MR16" s="70">
        <v>172.2300000000001</v>
      </c>
      <c r="MS16" s="70">
        <v>171.4800000000001</v>
      </c>
      <c r="MT16" s="70">
        <v>170.7300000000001</v>
      </c>
      <c r="MU16" s="70">
        <v>169.9800000000001</v>
      </c>
      <c r="MV16" s="70">
        <v>169.2300000000001</v>
      </c>
      <c r="MW16" s="70">
        <v>168.4800000000001</v>
      </c>
      <c r="MX16" s="70">
        <v>167.7300000000001</v>
      </c>
      <c r="MY16" s="70">
        <v>166.9800000000001</v>
      </c>
    </row>
    <row r="17" spans="1:363" ht="15.6" x14ac:dyDescent="0.3">
      <c r="A17" s="67" t="s">
        <v>7</v>
      </c>
      <c r="B17" s="72">
        <v>2027</v>
      </c>
      <c r="C17" s="70">
        <v>495</v>
      </c>
      <c r="D17" s="70">
        <v>493.98</v>
      </c>
      <c r="E17" s="70">
        <v>492.96</v>
      </c>
      <c r="F17" s="70">
        <v>491.94</v>
      </c>
      <c r="G17" s="70">
        <v>490.92</v>
      </c>
      <c r="H17" s="70">
        <v>489.9</v>
      </c>
      <c r="I17" s="70">
        <v>488.88</v>
      </c>
      <c r="J17" s="70">
        <v>487.86</v>
      </c>
      <c r="K17" s="70">
        <v>486.84</v>
      </c>
      <c r="L17" s="70">
        <v>485.82</v>
      </c>
      <c r="M17" s="70">
        <v>484.8</v>
      </c>
      <c r="N17" s="70">
        <v>483.78</v>
      </c>
      <c r="O17" s="70">
        <v>482.77</v>
      </c>
      <c r="P17" s="70">
        <v>481.75</v>
      </c>
      <c r="Q17" s="70">
        <v>480.73</v>
      </c>
      <c r="R17" s="70">
        <v>479.71</v>
      </c>
      <c r="S17" s="70">
        <v>478.69</v>
      </c>
      <c r="T17" s="70">
        <v>477.67</v>
      </c>
      <c r="U17" s="70">
        <v>476.65</v>
      </c>
      <c r="V17" s="70">
        <v>475.64</v>
      </c>
      <c r="W17" s="70">
        <v>474.62</v>
      </c>
      <c r="X17" s="70">
        <v>473.6</v>
      </c>
      <c r="Y17" s="70">
        <v>472.58</v>
      </c>
      <c r="Z17" s="70">
        <v>471.56</v>
      </c>
      <c r="AA17" s="70">
        <v>470.55</v>
      </c>
      <c r="AB17" s="70">
        <v>469.53</v>
      </c>
      <c r="AC17" s="70">
        <v>468.51</v>
      </c>
      <c r="AD17" s="70">
        <v>467.49</v>
      </c>
      <c r="AE17" s="70">
        <v>466.48</v>
      </c>
      <c r="AF17" s="70">
        <v>465.46</v>
      </c>
      <c r="AG17" s="70">
        <v>464.44</v>
      </c>
      <c r="AH17" s="70">
        <v>463.43</v>
      </c>
      <c r="AI17" s="70">
        <v>462.41</v>
      </c>
      <c r="AJ17" s="70">
        <v>461.39</v>
      </c>
      <c r="AK17" s="70">
        <v>460.37</v>
      </c>
      <c r="AL17" s="70">
        <v>459.36</v>
      </c>
      <c r="AM17" s="70">
        <v>458.34</v>
      </c>
      <c r="AN17" s="70">
        <v>457.33</v>
      </c>
      <c r="AO17" s="70">
        <v>456.31</v>
      </c>
      <c r="AP17" s="70">
        <v>455.3</v>
      </c>
      <c r="AQ17" s="70">
        <v>454.28</v>
      </c>
      <c r="AR17" s="70">
        <v>453.26</v>
      </c>
      <c r="AS17" s="70">
        <v>452.25</v>
      </c>
      <c r="AT17" s="70">
        <v>451.23</v>
      </c>
      <c r="AU17" s="70">
        <v>450.22</v>
      </c>
      <c r="AV17" s="70">
        <v>449.21</v>
      </c>
      <c r="AW17" s="70">
        <v>448.19</v>
      </c>
      <c r="AX17" s="70">
        <v>447.18</v>
      </c>
      <c r="AY17" s="70">
        <v>446.16</v>
      </c>
      <c r="AZ17" s="70">
        <v>445.15</v>
      </c>
      <c r="BA17" s="70">
        <v>444.13</v>
      </c>
      <c r="BB17" s="70">
        <v>443.12</v>
      </c>
      <c r="BC17" s="70">
        <v>442.11</v>
      </c>
      <c r="BD17" s="70">
        <v>441.1</v>
      </c>
      <c r="BE17" s="70">
        <v>440.08</v>
      </c>
      <c r="BF17" s="70">
        <v>439.07</v>
      </c>
      <c r="BG17" s="70">
        <v>438.06</v>
      </c>
      <c r="BH17" s="70">
        <v>437.05</v>
      </c>
      <c r="BI17" s="70">
        <v>436.03</v>
      </c>
      <c r="BJ17" s="70">
        <v>435.02</v>
      </c>
      <c r="BK17" s="70">
        <v>434.01</v>
      </c>
      <c r="BL17" s="70">
        <v>433</v>
      </c>
      <c r="BM17" s="70">
        <v>431.99</v>
      </c>
      <c r="BN17" s="70">
        <v>430.98</v>
      </c>
      <c r="BO17" s="70">
        <v>429.97</v>
      </c>
      <c r="BP17" s="70">
        <v>428.96</v>
      </c>
      <c r="BQ17" s="70">
        <v>427.95</v>
      </c>
      <c r="BR17" s="70">
        <v>426.94</v>
      </c>
      <c r="BS17" s="70">
        <v>425.93</v>
      </c>
      <c r="BT17" s="70">
        <v>424.92</v>
      </c>
      <c r="BU17" s="70">
        <v>423.91</v>
      </c>
      <c r="BV17" s="70">
        <v>422.9</v>
      </c>
      <c r="BW17" s="70">
        <v>421.89</v>
      </c>
      <c r="BX17" s="70">
        <v>420.89</v>
      </c>
      <c r="BY17" s="70">
        <v>419.88</v>
      </c>
      <c r="BZ17" s="70">
        <v>418.88</v>
      </c>
      <c r="CA17" s="70">
        <v>417.87</v>
      </c>
      <c r="CB17" s="70">
        <v>416.86</v>
      </c>
      <c r="CC17" s="70">
        <v>415.86</v>
      </c>
      <c r="CD17" s="70">
        <v>414.85</v>
      </c>
      <c r="CE17" s="70">
        <v>413.85</v>
      </c>
      <c r="CF17" s="70">
        <v>412.85</v>
      </c>
      <c r="CG17" s="70">
        <v>411.84</v>
      </c>
      <c r="CH17" s="70">
        <v>410.84</v>
      </c>
      <c r="CI17" s="70">
        <v>409.83</v>
      </c>
      <c r="CJ17" s="70">
        <v>408.83</v>
      </c>
      <c r="CK17" s="70">
        <v>407.83</v>
      </c>
      <c r="CL17" s="70">
        <v>406.83</v>
      </c>
      <c r="CM17" s="70">
        <v>405.83</v>
      </c>
      <c r="CN17" s="70">
        <v>404.83</v>
      </c>
      <c r="CO17" s="70">
        <v>403.83</v>
      </c>
      <c r="CP17" s="70">
        <v>402.83</v>
      </c>
      <c r="CQ17" s="70">
        <v>401.83</v>
      </c>
      <c r="CR17" s="70">
        <v>400.83</v>
      </c>
      <c r="CS17" s="70">
        <v>399.83</v>
      </c>
      <c r="CT17" s="70">
        <v>398.83</v>
      </c>
      <c r="CU17" s="70">
        <v>397.84</v>
      </c>
      <c r="CV17" s="70">
        <v>396.84</v>
      </c>
      <c r="CW17" s="70">
        <v>395.85</v>
      </c>
      <c r="CX17" s="70">
        <v>394.85</v>
      </c>
      <c r="CY17" s="70">
        <v>393.86</v>
      </c>
      <c r="CZ17" s="70">
        <v>392.86</v>
      </c>
      <c r="DA17" s="70">
        <v>391.87</v>
      </c>
      <c r="DB17" s="70">
        <v>390.88</v>
      </c>
      <c r="DC17" s="70">
        <v>389.88</v>
      </c>
      <c r="DD17" s="70">
        <v>388.89</v>
      </c>
      <c r="DE17" s="70">
        <v>387.9</v>
      </c>
      <c r="DF17" s="70">
        <v>386.9</v>
      </c>
      <c r="DG17" s="70">
        <v>385.91</v>
      </c>
      <c r="DH17" s="70">
        <v>384.92</v>
      </c>
      <c r="DI17" s="70">
        <v>383.94</v>
      </c>
      <c r="DJ17" s="70">
        <v>382.95</v>
      </c>
      <c r="DK17" s="70">
        <v>381.96</v>
      </c>
      <c r="DL17" s="70">
        <v>380.97</v>
      </c>
      <c r="DM17" s="70">
        <v>379.99</v>
      </c>
      <c r="DN17" s="70">
        <v>379</v>
      </c>
      <c r="DO17" s="70">
        <v>378.01</v>
      </c>
      <c r="DP17" s="70">
        <v>377.03</v>
      </c>
      <c r="DQ17" s="70">
        <v>376.04</v>
      </c>
      <c r="DR17" s="70">
        <v>375.06</v>
      </c>
      <c r="DS17" s="70">
        <v>374.07</v>
      </c>
      <c r="DT17" s="70">
        <v>373.09</v>
      </c>
      <c r="DU17" s="70">
        <v>372.11</v>
      </c>
      <c r="DV17" s="70">
        <v>371.13</v>
      </c>
      <c r="DW17" s="70">
        <v>370.15</v>
      </c>
      <c r="DX17" s="70">
        <v>369.17</v>
      </c>
      <c r="DY17" s="70">
        <v>368.2</v>
      </c>
      <c r="DZ17" s="70">
        <v>367.22</v>
      </c>
      <c r="EA17" s="70">
        <v>366.24</v>
      </c>
      <c r="EB17" s="70">
        <v>365.27</v>
      </c>
      <c r="EC17" s="70">
        <v>364.29</v>
      </c>
      <c r="ED17" s="70">
        <v>363.31</v>
      </c>
      <c r="EE17" s="70">
        <v>362.34</v>
      </c>
      <c r="EF17" s="70">
        <v>361.37</v>
      </c>
      <c r="EG17" s="70">
        <v>360.4</v>
      </c>
      <c r="EH17" s="70">
        <v>359.43</v>
      </c>
      <c r="EI17" s="70">
        <v>358.46</v>
      </c>
      <c r="EJ17" s="70">
        <v>357.5</v>
      </c>
      <c r="EK17" s="70">
        <v>356.53</v>
      </c>
      <c r="EL17" s="70">
        <v>355.56</v>
      </c>
      <c r="EM17" s="70">
        <v>354.6</v>
      </c>
      <c r="EN17" s="70">
        <v>353.63</v>
      </c>
      <c r="EO17" s="70">
        <v>352.67</v>
      </c>
      <c r="EP17" s="70">
        <v>351.7</v>
      </c>
      <c r="EQ17" s="70">
        <v>350.74</v>
      </c>
      <c r="ER17" s="70">
        <v>349.78</v>
      </c>
      <c r="ES17" s="70">
        <v>348.82</v>
      </c>
      <c r="ET17" s="70">
        <v>347.86</v>
      </c>
      <c r="EU17" s="70">
        <v>346.9</v>
      </c>
      <c r="EV17" s="70">
        <v>345.95</v>
      </c>
      <c r="EW17" s="70">
        <v>344.99</v>
      </c>
      <c r="EX17" s="70">
        <v>344.03</v>
      </c>
      <c r="EY17" s="70">
        <v>343.08</v>
      </c>
      <c r="EZ17" s="70">
        <v>342.12</v>
      </c>
      <c r="FA17" s="70">
        <v>341.16</v>
      </c>
      <c r="FB17" s="70">
        <v>340.21</v>
      </c>
      <c r="FC17" s="70">
        <v>339.26</v>
      </c>
      <c r="FD17" s="70">
        <v>338.3</v>
      </c>
      <c r="FE17" s="70">
        <v>337.35</v>
      </c>
      <c r="FF17" s="70">
        <v>336.4</v>
      </c>
      <c r="FG17" s="70">
        <v>335.45</v>
      </c>
      <c r="FH17" s="70">
        <v>334.5</v>
      </c>
      <c r="FI17" s="70">
        <v>333.55</v>
      </c>
      <c r="FJ17" s="70">
        <v>332.6</v>
      </c>
      <c r="FK17" s="70">
        <v>331.66</v>
      </c>
      <c r="FL17" s="70">
        <v>330.71</v>
      </c>
      <c r="FM17" s="70">
        <v>329.76</v>
      </c>
      <c r="FN17" s="70">
        <v>328.82</v>
      </c>
      <c r="FO17" s="70">
        <v>327.87</v>
      </c>
      <c r="FP17" s="70">
        <v>326.93</v>
      </c>
      <c r="FQ17" s="70">
        <v>325.99</v>
      </c>
      <c r="FR17" s="70">
        <v>325.04000000000002</v>
      </c>
      <c r="FS17" s="70">
        <v>324.10000000000002</v>
      </c>
      <c r="FT17" s="70">
        <v>323.16000000000003</v>
      </c>
      <c r="FU17" s="70">
        <v>322.22000000000003</v>
      </c>
      <c r="FV17" s="70">
        <v>321.27999999999997</v>
      </c>
      <c r="FW17" s="70">
        <v>320.33999999999997</v>
      </c>
      <c r="FX17" s="70">
        <v>319.41000000000003</v>
      </c>
      <c r="FY17" s="70">
        <v>318.47000000000003</v>
      </c>
      <c r="FZ17" s="70">
        <v>317.52999999999997</v>
      </c>
      <c r="GA17" s="70">
        <v>316.60000000000002</v>
      </c>
      <c r="GB17" s="70">
        <v>315.66000000000003</v>
      </c>
      <c r="GC17" s="70">
        <v>314.73</v>
      </c>
      <c r="GD17" s="70">
        <v>313.79000000000002</v>
      </c>
      <c r="GE17" s="70">
        <v>312.87</v>
      </c>
      <c r="GF17" s="70">
        <v>311.94</v>
      </c>
      <c r="GG17" s="70">
        <v>311.01</v>
      </c>
      <c r="GH17" s="70">
        <v>310.07</v>
      </c>
      <c r="GI17" s="70">
        <v>309.14999999999998</v>
      </c>
      <c r="GJ17" s="70">
        <v>308.22000000000003</v>
      </c>
      <c r="GK17" s="70">
        <v>307.29000000000002</v>
      </c>
      <c r="GL17" s="70">
        <v>306.37</v>
      </c>
      <c r="GM17" s="70">
        <v>305.45</v>
      </c>
      <c r="GN17" s="70">
        <v>304.52999999999997</v>
      </c>
      <c r="GO17" s="70">
        <v>303.60000000000002</v>
      </c>
      <c r="GP17" s="70">
        <v>302.69</v>
      </c>
      <c r="GQ17" s="70">
        <v>301.76</v>
      </c>
      <c r="GR17" s="70">
        <v>300.85000000000002</v>
      </c>
      <c r="GS17" s="70">
        <v>299.94</v>
      </c>
      <c r="GT17" s="70">
        <v>299.01</v>
      </c>
      <c r="GU17" s="70">
        <v>298.10000000000002</v>
      </c>
      <c r="GV17" s="70">
        <v>297.19</v>
      </c>
      <c r="GW17" s="70">
        <v>296.27999999999997</v>
      </c>
      <c r="GX17" s="70">
        <v>295.37</v>
      </c>
      <c r="GY17" s="70">
        <v>294.45999999999998</v>
      </c>
      <c r="GZ17" s="70">
        <v>293.54000000000002</v>
      </c>
      <c r="HA17" s="70">
        <v>292.64</v>
      </c>
      <c r="HB17" s="70">
        <v>291.74</v>
      </c>
      <c r="HC17" s="70">
        <v>290.82</v>
      </c>
      <c r="HD17" s="70">
        <v>289.93</v>
      </c>
      <c r="HE17" s="70">
        <v>289.01</v>
      </c>
      <c r="HF17" s="70">
        <v>288.12</v>
      </c>
      <c r="HG17" s="70">
        <v>287.22000000000003</v>
      </c>
      <c r="HH17" s="70">
        <v>286.32</v>
      </c>
      <c r="HI17" s="70">
        <v>285.42</v>
      </c>
      <c r="HJ17" s="70">
        <v>284.52999999999997</v>
      </c>
      <c r="HK17" s="70">
        <v>283.63</v>
      </c>
      <c r="HL17" s="70">
        <v>282.74</v>
      </c>
      <c r="HM17" s="70">
        <v>281.83999999999997</v>
      </c>
      <c r="HN17" s="70">
        <v>280.95</v>
      </c>
      <c r="HO17" s="70">
        <v>280.06</v>
      </c>
      <c r="HP17" s="70">
        <v>279.17</v>
      </c>
      <c r="HQ17" s="70">
        <v>278.29000000000002</v>
      </c>
      <c r="HR17" s="70">
        <v>277.39999999999998</v>
      </c>
      <c r="HS17" s="70">
        <v>276.51</v>
      </c>
      <c r="HT17" s="70">
        <v>275.63</v>
      </c>
      <c r="HU17" s="70">
        <v>274.75</v>
      </c>
      <c r="HV17" s="70">
        <v>273.87</v>
      </c>
      <c r="HW17" s="70">
        <v>272.99</v>
      </c>
      <c r="HX17" s="70">
        <v>272.10000000000002</v>
      </c>
      <c r="HY17" s="70">
        <v>271.23</v>
      </c>
      <c r="HZ17" s="70">
        <v>270.35000000000002</v>
      </c>
      <c r="IA17" s="70">
        <v>269.48</v>
      </c>
      <c r="IB17" s="70">
        <v>268.60000000000002</v>
      </c>
      <c r="IC17" s="70">
        <v>267.73</v>
      </c>
      <c r="ID17" s="70">
        <v>266.85000000000002</v>
      </c>
      <c r="IE17" s="70">
        <v>265.98</v>
      </c>
      <c r="IF17" s="70">
        <v>265.10000000000002</v>
      </c>
      <c r="IG17" s="70">
        <v>264.24</v>
      </c>
      <c r="IH17" s="70">
        <v>263.37</v>
      </c>
      <c r="II17" s="70">
        <v>262.51</v>
      </c>
      <c r="IJ17" s="70">
        <v>261.64</v>
      </c>
      <c r="IK17" s="70">
        <v>260.77999999999997</v>
      </c>
      <c r="IL17" s="70">
        <v>259.91000000000003</v>
      </c>
      <c r="IM17" s="70">
        <v>259.04000000000002</v>
      </c>
      <c r="IN17" s="70">
        <v>258.19</v>
      </c>
      <c r="IO17" s="70">
        <v>257.32</v>
      </c>
      <c r="IP17" s="70">
        <v>256.47000000000003</v>
      </c>
      <c r="IQ17" s="70">
        <v>255.61</v>
      </c>
      <c r="IR17" s="70">
        <v>254.76</v>
      </c>
      <c r="IS17" s="70">
        <v>253.9</v>
      </c>
      <c r="IT17" s="70">
        <v>253.05</v>
      </c>
      <c r="IU17" s="70">
        <v>252.2</v>
      </c>
      <c r="IV17" s="70">
        <v>251.35</v>
      </c>
      <c r="IW17" s="70">
        <v>250.5</v>
      </c>
      <c r="IX17" s="70">
        <v>249.65</v>
      </c>
      <c r="IY17" s="70">
        <v>248.81</v>
      </c>
      <c r="IZ17" s="70">
        <v>247.96</v>
      </c>
      <c r="JA17" s="70">
        <v>247.12</v>
      </c>
      <c r="JB17" s="70">
        <v>246.28</v>
      </c>
      <c r="JC17" s="70">
        <v>245.44</v>
      </c>
      <c r="JD17" s="70">
        <v>244.6</v>
      </c>
      <c r="JE17" s="70">
        <v>243.76</v>
      </c>
      <c r="JF17" s="70">
        <v>242.92</v>
      </c>
      <c r="JG17" s="70">
        <v>242.09</v>
      </c>
      <c r="JH17" s="70">
        <v>241.25</v>
      </c>
      <c r="JI17" s="70">
        <v>240.42</v>
      </c>
      <c r="JJ17" s="70">
        <v>239.58</v>
      </c>
      <c r="JK17" s="70">
        <v>238.75</v>
      </c>
      <c r="JL17" s="70">
        <v>237.92</v>
      </c>
      <c r="JM17" s="70">
        <v>237.09</v>
      </c>
      <c r="JN17" s="70">
        <v>236.26</v>
      </c>
      <c r="JO17" s="70">
        <v>235.43</v>
      </c>
      <c r="JP17" s="70">
        <v>234.61</v>
      </c>
      <c r="JQ17" s="70">
        <v>233.78</v>
      </c>
      <c r="JR17" s="70">
        <v>232.96</v>
      </c>
      <c r="JS17" s="70">
        <v>232.13</v>
      </c>
      <c r="JT17" s="70">
        <v>231.31</v>
      </c>
      <c r="JU17" s="70">
        <v>230.49</v>
      </c>
      <c r="JV17" s="70">
        <v>229.67</v>
      </c>
      <c r="JW17" s="70">
        <v>228.85</v>
      </c>
      <c r="JX17" s="70">
        <v>228.04</v>
      </c>
      <c r="JY17" s="70">
        <v>227.22</v>
      </c>
      <c r="JZ17" s="70">
        <v>226.41</v>
      </c>
      <c r="KA17" s="70">
        <v>225.59</v>
      </c>
      <c r="KB17" s="70">
        <v>224.78</v>
      </c>
      <c r="KC17" s="70">
        <v>223.96</v>
      </c>
      <c r="KD17" s="70">
        <v>223.15</v>
      </c>
      <c r="KE17" s="70">
        <v>222.34</v>
      </c>
      <c r="KF17" s="70">
        <v>221.53</v>
      </c>
      <c r="KG17" s="70">
        <v>220.73</v>
      </c>
      <c r="KH17" s="70">
        <v>219.92</v>
      </c>
      <c r="KI17" s="70">
        <v>219.11</v>
      </c>
      <c r="KJ17" s="70">
        <v>218.31</v>
      </c>
      <c r="KK17" s="70">
        <v>217.5</v>
      </c>
      <c r="KL17" s="70">
        <v>216.7</v>
      </c>
      <c r="KM17" s="70">
        <v>215.9</v>
      </c>
      <c r="KN17" s="70">
        <v>215.1</v>
      </c>
      <c r="KO17" s="70">
        <v>214.31</v>
      </c>
      <c r="KP17" s="70">
        <v>213.51</v>
      </c>
      <c r="KQ17" s="70">
        <v>212.72</v>
      </c>
      <c r="KR17" s="70">
        <v>211.69000000000011</v>
      </c>
      <c r="KS17" s="70">
        <v>210.94000000000011</v>
      </c>
      <c r="KT17" s="70">
        <v>210.19000000000011</v>
      </c>
      <c r="KU17" s="70">
        <v>209.44000000000011</v>
      </c>
      <c r="KV17" s="70">
        <v>208.69000000000011</v>
      </c>
      <c r="KW17" s="70">
        <v>207.94000000000011</v>
      </c>
      <c r="KX17" s="70">
        <v>207.19000000000011</v>
      </c>
      <c r="KY17" s="70">
        <v>206.44000000000011</v>
      </c>
      <c r="KZ17" s="70">
        <v>205.69000000000011</v>
      </c>
      <c r="LA17" s="70">
        <v>204.94000000000011</v>
      </c>
      <c r="LB17" s="70">
        <v>204.19000000000011</v>
      </c>
      <c r="LC17" s="70">
        <v>203.44000000000011</v>
      </c>
      <c r="LD17" s="70">
        <v>202.69000000000011</v>
      </c>
      <c r="LE17" s="70">
        <v>201.94000000000011</v>
      </c>
      <c r="LF17" s="70">
        <v>201.19000000000011</v>
      </c>
      <c r="LG17" s="70">
        <v>200.44000000000011</v>
      </c>
      <c r="LH17" s="70">
        <v>199.69000000000011</v>
      </c>
      <c r="LI17" s="70">
        <v>198.94000000000011</v>
      </c>
      <c r="LJ17" s="70">
        <v>198.19000000000011</v>
      </c>
      <c r="LK17" s="70">
        <v>197.44000000000011</v>
      </c>
      <c r="LL17" s="70">
        <v>196.69000000000011</v>
      </c>
      <c r="LM17" s="70">
        <v>195.94000000000011</v>
      </c>
      <c r="LN17" s="70">
        <v>195.19000000000011</v>
      </c>
      <c r="LO17" s="70">
        <v>194.44000000000011</v>
      </c>
      <c r="LP17" s="70">
        <v>193.69000000000011</v>
      </c>
      <c r="LQ17" s="70">
        <v>192.94000000000011</v>
      </c>
      <c r="LR17" s="70">
        <v>192.19000000000011</v>
      </c>
      <c r="LS17" s="70">
        <v>191.44000000000011</v>
      </c>
      <c r="LT17" s="70">
        <v>190.69000000000011</v>
      </c>
      <c r="LU17" s="70">
        <v>189.94000000000011</v>
      </c>
      <c r="LV17" s="70">
        <v>189.19000000000011</v>
      </c>
      <c r="LW17" s="70">
        <v>188.44000000000011</v>
      </c>
      <c r="LX17" s="70">
        <v>187.69000000000011</v>
      </c>
      <c r="LY17" s="70">
        <v>186.94000000000011</v>
      </c>
      <c r="LZ17" s="70">
        <v>186.19000000000011</v>
      </c>
      <c r="MA17" s="70">
        <v>185.44000000000011</v>
      </c>
      <c r="MB17" s="70">
        <v>184.69000000000011</v>
      </c>
      <c r="MC17" s="70">
        <v>183.94000000000011</v>
      </c>
      <c r="MD17" s="70">
        <v>183.19000000000011</v>
      </c>
      <c r="ME17" s="70">
        <v>182.44000000000011</v>
      </c>
      <c r="MF17" s="70">
        <v>181.69000000000011</v>
      </c>
      <c r="MG17" s="70">
        <v>180.94000000000011</v>
      </c>
      <c r="MH17" s="70">
        <v>180.19000000000011</v>
      </c>
      <c r="MI17" s="70">
        <v>179.44000000000011</v>
      </c>
      <c r="MJ17" s="70">
        <v>178.69000000000011</v>
      </c>
      <c r="MK17" s="70">
        <v>177.94000000000011</v>
      </c>
      <c r="ML17" s="70">
        <v>177.19000000000011</v>
      </c>
      <c r="MM17" s="70">
        <v>176.44000000000011</v>
      </c>
      <c r="MN17" s="70">
        <v>175.69000000000011</v>
      </c>
      <c r="MO17" s="70">
        <v>174.94000000000011</v>
      </c>
      <c r="MP17" s="70">
        <v>174.19000000000011</v>
      </c>
      <c r="MQ17" s="70">
        <v>173.44000000000011</v>
      </c>
      <c r="MR17" s="70">
        <v>172.69000000000011</v>
      </c>
      <c r="MS17" s="70">
        <v>171.94000000000011</v>
      </c>
      <c r="MT17" s="70">
        <v>171.19000000000011</v>
      </c>
      <c r="MU17" s="70">
        <v>170.44000000000011</v>
      </c>
      <c r="MV17" s="70">
        <v>169.69000000000011</v>
      </c>
      <c r="MW17" s="70">
        <v>168.94000000000011</v>
      </c>
      <c r="MX17" s="70">
        <v>168.19000000000011</v>
      </c>
      <c r="MY17" s="70">
        <v>167.44000000000011</v>
      </c>
    </row>
    <row r="18" spans="1:363" ht="15.6" x14ac:dyDescent="0.3">
      <c r="A18" s="67" t="s">
        <v>7</v>
      </c>
      <c r="B18" s="72">
        <v>2028</v>
      </c>
      <c r="C18" s="70">
        <v>495.59</v>
      </c>
      <c r="D18" s="70">
        <v>494.57</v>
      </c>
      <c r="E18" s="70">
        <v>493.55</v>
      </c>
      <c r="F18" s="70">
        <v>492.53</v>
      </c>
      <c r="G18" s="70">
        <v>491.51</v>
      </c>
      <c r="H18" s="70">
        <v>490.49</v>
      </c>
      <c r="I18" s="70">
        <v>489.47</v>
      </c>
      <c r="J18" s="70">
        <v>488.45</v>
      </c>
      <c r="K18" s="70">
        <v>487.43</v>
      </c>
      <c r="L18" s="70">
        <v>486.41</v>
      </c>
      <c r="M18" s="70">
        <v>485.4</v>
      </c>
      <c r="N18" s="70">
        <v>484.38</v>
      </c>
      <c r="O18" s="70">
        <v>483.36</v>
      </c>
      <c r="P18" s="70">
        <v>482.34</v>
      </c>
      <c r="Q18" s="70">
        <v>481.32</v>
      </c>
      <c r="R18" s="70">
        <v>480.3</v>
      </c>
      <c r="S18" s="70">
        <v>479.28</v>
      </c>
      <c r="T18" s="70">
        <v>478.26</v>
      </c>
      <c r="U18" s="70">
        <v>477.24</v>
      </c>
      <c r="V18" s="70">
        <v>476.22</v>
      </c>
      <c r="W18" s="70">
        <v>475.21</v>
      </c>
      <c r="X18" s="70">
        <v>474.19</v>
      </c>
      <c r="Y18" s="70">
        <v>473.17</v>
      </c>
      <c r="Z18" s="70">
        <v>472.15</v>
      </c>
      <c r="AA18" s="70">
        <v>471.13</v>
      </c>
      <c r="AB18" s="70">
        <v>470.11</v>
      </c>
      <c r="AC18" s="70">
        <v>469.1</v>
      </c>
      <c r="AD18" s="70">
        <v>468.08</v>
      </c>
      <c r="AE18" s="70">
        <v>467.06</v>
      </c>
      <c r="AF18" s="70">
        <v>466.04</v>
      </c>
      <c r="AG18" s="70">
        <v>465.03</v>
      </c>
      <c r="AH18" s="70">
        <v>464.01</v>
      </c>
      <c r="AI18" s="70">
        <v>462.99</v>
      </c>
      <c r="AJ18" s="70">
        <v>461.97</v>
      </c>
      <c r="AK18" s="70">
        <v>460.96</v>
      </c>
      <c r="AL18" s="70">
        <v>459.94</v>
      </c>
      <c r="AM18" s="70">
        <v>458.92</v>
      </c>
      <c r="AN18" s="70">
        <v>457.91</v>
      </c>
      <c r="AO18" s="70">
        <v>456.89</v>
      </c>
      <c r="AP18" s="70">
        <v>455.88</v>
      </c>
      <c r="AQ18" s="70">
        <v>454.86</v>
      </c>
      <c r="AR18" s="70">
        <v>453.85</v>
      </c>
      <c r="AS18" s="70">
        <v>452.83</v>
      </c>
      <c r="AT18" s="70">
        <v>451.81</v>
      </c>
      <c r="AU18" s="70">
        <v>450.8</v>
      </c>
      <c r="AV18" s="70">
        <v>449.78</v>
      </c>
      <c r="AW18" s="70">
        <v>448.77</v>
      </c>
      <c r="AX18" s="70">
        <v>447.75</v>
      </c>
      <c r="AY18" s="70">
        <v>446.74</v>
      </c>
      <c r="AZ18" s="70">
        <v>445.72</v>
      </c>
      <c r="BA18" s="70">
        <v>444.71</v>
      </c>
      <c r="BB18" s="70">
        <v>443.7</v>
      </c>
      <c r="BC18" s="70">
        <v>442.68</v>
      </c>
      <c r="BD18" s="70">
        <v>441.67</v>
      </c>
      <c r="BE18" s="70">
        <v>440.66</v>
      </c>
      <c r="BF18" s="70">
        <v>439.64</v>
      </c>
      <c r="BG18" s="70">
        <v>438.63</v>
      </c>
      <c r="BH18" s="70">
        <v>437.62</v>
      </c>
      <c r="BI18" s="70">
        <v>436.61</v>
      </c>
      <c r="BJ18" s="70">
        <v>435.59</v>
      </c>
      <c r="BK18" s="70">
        <v>434.58</v>
      </c>
      <c r="BL18" s="70">
        <v>433.57</v>
      </c>
      <c r="BM18" s="70">
        <v>432.56</v>
      </c>
      <c r="BN18" s="70">
        <v>431.55</v>
      </c>
      <c r="BO18" s="70">
        <v>430.54</v>
      </c>
      <c r="BP18" s="70">
        <v>429.53</v>
      </c>
      <c r="BQ18" s="70">
        <v>428.52</v>
      </c>
      <c r="BR18" s="70">
        <v>427.51</v>
      </c>
      <c r="BS18" s="70">
        <v>426.5</v>
      </c>
      <c r="BT18" s="70">
        <v>425.49</v>
      </c>
      <c r="BU18" s="70">
        <v>424.48</v>
      </c>
      <c r="BV18" s="70">
        <v>423.47</v>
      </c>
      <c r="BW18" s="70">
        <v>422.46</v>
      </c>
      <c r="BX18" s="70">
        <v>421.45</v>
      </c>
      <c r="BY18" s="70">
        <v>420.45</v>
      </c>
      <c r="BZ18" s="70">
        <v>419.44</v>
      </c>
      <c r="CA18" s="70">
        <v>418.43</v>
      </c>
      <c r="CB18" s="70">
        <v>417.43</v>
      </c>
      <c r="CC18" s="70">
        <v>416.42</v>
      </c>
      <c r="CD18" s="70">
        <v>415.42</v>
      </c>
      <c r="CE18" s="70">
        <v>414.41</v>
      </c>
      <c r="CF18" s="70">
        <v>413.41</v>
      </c>
      <c r="CG18" s="70">
        <v>412.4</v>
      </c>
      <c r="CH18" s="70">
        <v>411.4</v>
      </c>
      <c r="CI18" s="70">
        <v>410.39</v>
      </c>
      <c r="CJ18" s="70">
        <v>409.39</v>
      </c>
      <c r="CK18" s="70">
        <v>408.39</v>
      </c>
      <c r="CL18" s="70">
        <v>407.39</v>
      </c>
      <c r="CM18" s="70">
        <v>406.39</v>
      </c>
      <c r="CN18" s="70">
        <v>405.39</v>
      </c>
      <c r="CO18" s="70">
        <v>404.39</v>
      </c>
      <c r="CP18" s="70">
        <v>403.39</v>
      </c>
      <c r="CQ18" s="70">
        <v>402.39</v>
      </c>
      <c r="CR18" s="70">
        <v>401.39</v>
      </c>
      <c r="CS18" s="70">
        <v>400.39</v>
      </c>
      <c r="CT18" s="70">
        <v>399.39</v>
      </c>
      <c r="CU18" s="70">
        <v>398.39</v>
      </c>
      <c r="CV18" s="70">
        <v>397.39</v>
      </c>
      <c r="CW18" s="70">
        <v>396.4</v>
      </c>
      <c r="CX18" s="70">
        <v>395.41</v>
      </c>
      <c r="CY18" s="70">
        <v>394.41</v>
      </c>
      <c r="CZ18" s="70">
        <v>393.42</v>
      </c>
      <c r="DA18" s="70">
        <v>392.42</v>
      </c>
      <c r="DB18" s="70">
        <v>391.43</v>
      </c>
      <c r="DC18" s="70">
        <v>390.43</v>
      </c>
      <c r="DD18" s="70">
        <v>389.44</v>
      </c>
      <c r="DE18" s="70">
        <v>388.45</v>
      </c>
      <c r="DF18" s="70">
        <v>387.45</v>
      </c>
      <c r="DG18" s="70">
        <v>386.46</v>
      </c>
      <c r="DH18" s="70">
        <v>385.47</v>
      </c>
      <c r="DI18" s="70">
        <v>384.48</v>
      </c>
      <c r="DJ18" s="70">
        <v>383.5</v>
      </c>
      <c r="DK18" s="70">
        <v>382.51</v>
      </c>
      <c r="DL18" s="70">
        <v>381.52</v>
      </c>
      <c r="DM18" s="70">
        <v>380.53</v>
      </c>
      <c r="DN18" s="70">
        <v>379.55</v>
      </c>
      <c r="DO18" s="70">
        <v>378.56</v>
      </c>
      <c r="DP18" s="70">
        <v>377.57</v>
      </c>
      <c r="DQ18" s="70">
        <v>376.59</v>
      </c>
      <c r="DR18" s="70">
        <v>375.6</v>
      </c>
      <c r="DS18" s="70">
        <v>374.62</v>
      </c>
      <c r="DT18" s="70">
        <v>373.63</v>
      </c>
      <c r="DU18" s="70">
        <v>372.65</v>
      </c>
      <c r="DV18" s="70">
        <v>371.67</v>
      </c>
      <c r="DW18" s="70">
        <v>370.7</v>
      </c>
      <c r="DX18" s="70">
        <v>369.72</v>
      </c>
      <c r="DY18" s="70">
        <v>368.74</v>
      </c>
      <c r="DZ18" s="70">
        <v>367.76</v>
      </c>
      <c r="EA18" s="70">
        <v>366.78</v>
      </c>
      <c r="EB18" s="70">
        <v>365.81</v>
      </c>
      <c r="EC18" s="70">
        <v>364.83</v>
      </c>
      <c r="ED18" s="70">
        <v>363.85</v>
      </c>
      <c r="EE18" s="70">
        <v>362.88</v>
      </c>
      <c r="EF18" s="70">
        <v>361.91</v>
      </c>
      <c r="EG18" s="70">
        <v>360.94</v>
      </c>
      <c r="EH18" s="70">
        <v>359.97</v>
      </c>
      <c r="EI18" s="70">
        <v>359</v>
      </c>
      <c r="EJ18" s="70">
        <v>358.03</v>
      </c>
      <c r="EK18" s="70">
        <v>357.07</v>
      </c>
      <c r="EL18" s="70">
        <v>356.1</v>
      </c>
      <c r="EM18" s="70">
        <v>355.14</v>
      </c>
      <c r="EN18" s="70">
        <v>354.17</v>
      </c>
      <c r="EO18" s="70">
        <v>353.2</v>
      </c>
      <c r="EP18" s="70">
        <v>352.24</v>
      </c>
      <c r="EQ18" s="70">
        <v>351.28</v>
      </c>
      <c r="ER18" s="70">
        <v>350.32</v>
      </c>
      <c r="ES18" s="70">
        <v>349.36</v>
      </c>
      <c r="ET18" s="70">
        <v>348.4</v>
      </c>
      <c r="EU18" s="70">
        <v>347.44</v>
      </c>
      <c r="EV18" s="70">
        <v>346.48</v>
      </c>
      <c r="EW18" s="70">
        <v>345.52</v>
      </c>
      <c r="EX18" s="70">
        <v>344.57</v>
      </c>
      <c r="EY18" s="70">
        <v>343.61</v>
      </c>
      <c r="EZ18" s="70">
        <v>342.65</v>
      </c>
      <c r="FA18" s="70">
        <v>341.7</v>
      </c>
      <c r="FB18" s="70">
        <v>340.74</v>
      </c>
      <c r="FC18" s="70">
        <v>339.79</v>
      </c>
      <c r="FD18" s="70">
        <v>338.84</v>
      </c>
      <c r="FE18" s="70">
        <v>337.89</v>
      </c>
      <c r="FF18" s="70">
        <v>336.93</v>
      </c>
      <c r="FG18" s="70">
        <v>335.98</v>
      </c>
      <c r="FH18" s="70">
        <v>335.03</v>
      </c>
      <c r="FI18" s="70">
        <v>334.08</v>
      </c>
      <c r="FJ18" s="70">
        <v>333.14</v>
      </c>
      <c r="FK18" s="70">
        <v>332.19</v>
      </c>
      <c r="FL18" s="70">
        <v>331.24</v>
      </c>
      <c r="FM18" s="70">
        <v>330.29</v>
      </c>
      <c r="FN18" s="70">
        <v>329.35</v>
      </c>
      <c r="FO18" s="70">
        <v>328.4</v>
      </c>
      <c r="FP18" s="70">
        <v>327.45999999999998</v>
      </c>
      <c r="FQ18" s="70">
        <v>326.51</v>
      </c>
      <c r="FR18" s="70">
        <v>325.57</v>
      </c>
      <c r="FS18" s="70">
        <v>324.63</v>
      </c>
      <c r="FT18" s="70">
        <v>323.69</v>
      </c>
      <c r="FU18" s="70">
        <v>322.75</v>
      </c>
      <c r="FV18" s="70">
        <v>321.81</v>
      </c>
      <c r="FW18" s="70">
        <v>320.87</v>
      </c>
      <c r="FX18" s="70">
        <v>319.93</v>
      </c>
      <c r="FY18" s="70">
        <v>319</v>
      </c>
      <c r="FZ18" s="70">
        <v>318.06</v>
      </c>
      <c r="GA18" s="70">
        <v>317.12</v>
      </c>
      <c r="GB18" s="70">
        <v>316.19</v>
      </c>
      <c r="GC18" s="70">
        <v>315.26</v>
      </c>
      <c r="GD18" s="70">
        <v>314.32</v>
      </c>
      <c r="GE18" s="70">
        <v>313.39</v>
      </c>
      <c r="GF18" s="70">
        <v>312.45999999999998</v>
      </c>
      <c r="GG18" s="70">
        <v>311.52999999999997</v>
      </c>
      <c r="GH18" s="70">
        <v>310.60000000000002</v>
      </c>
      <c r="GI18" s="70">
        <v>309.68</v>
      </c>
      <c r="GJ18" s="70">
        <v>308.75</v>
      </c>
      <c r="GK18" s="70">
        <v>307.82</v>
      </c>
      <c r="GL18" s="70">
        <v>306.89999999999998</v>
      </c>
      <c r="GM18" s="70">
        <v>305.97000000000003</v>
      </c>
      <c r="GN18" s="70">
        <v>305.04000000000002</v>
      </c>
      <c r="GO18" s="70">
        <v>304.13</v>
      </c>
      <c r="GP18" s="70">
        <v>303.20999999999998</v>
      </c>
      <c r="GQ18" s="70">
        <v>302.29000000000002</v>
      </c>
      <c r="GR18" s="70">
        <v>301.37</v>
      </c>
      <c r="GS18" s="70">
        <v>300.45999999999998</v>
      </c>
      <c r="GT18" s="70">
        <v>299.54000000000002</v>
      </c>
      <c r="GU18" s="70">
        <v>298.63</v>
      </c>
      <c r="GV18" s="70">
        <v>297.70999999999998</v>
      </c>
      <c r="GW18" s="70">
        <v>296.79000000000002</v>
      </c>
      <c r="GX18" s="70">
        <v>295.89</v>
      </c>
      <c r="GY18" s="70">
        <v>294.98</v>
      </c>
      <c r="GZ18" s="70">
        <v>294.07</v>
      </c>
      <c r="HA18" s="70">
        <v>293.16000000000003</v>
      </c>
      <c r="HB18" s="70">
        <v>292.25</v>
      </c>
      <c r="HC18" s="70">
        <v>291.35000000000002</v>
      </c>
      <c r="HD18" s="70">
        <v>290.44</v>
      </c>
      <c r="HE18" s="70">
        <v>289.54000000000002</v>
      </c>
      <c r="HF18" s="70">
        <v>288.64</v>
      </c>
      <c r="HG18" s="70">
        <v>287.74</v>
      </c>
      <c r="HH18" s="70">
        <v>286.83999999999997</v>
      </c>
      <c r="HI18" s="70">
        <v>285.94</v>
      </c>
      <c r="HJ18" s="70">
        <v>285.04000000000002</v>
      </c>
      <c r="HK18" s="70">
        <v>284.14999999999998</v>
      </c>
      <c r="HL18" s="70">
        <v>283.25</v>
      </c>
      <c r="HM18" s="70">
        <v>282.35000000000002</v>
      </c>
      <c r="HN18" s="70">
        <v>281.47000000000003</v>
      </c>
      <c r="HO18" s="70">
        <v>280.57</v>
      </c>
      <c r="HP18" s="70">
        <v>279.69</v>
      </c>
      <c r="HQ18" s="70">
        <v>278.79000000000002</v>
      </c>
      <c r="HR18" s="70">
        <v>277.91000000000003</v>
      </c>
      <c r="HS18" s="70">
        <v>277.02999999999997</v>
      </c>
      <c r="HT18" s="70">
        <v>276.14</v>
      </c>
      <c r="HU18" s="70">
        <v>275.26</v>
      </c>
      <c r="HV18" s="70">
        <v>274.38</v>
      </c>
      <c r="HW18" s="70">
        <v>273.5</v>
      </c>
      <c r="HX18" s="70">
        <v>272.62</v>
      </c>
      <c r="HY18" s="70">
        <v>271.74</v>
      </c>
      <c r="HZ18" s="70">
        <v>270.85000000000002</v>
      </c>
      <c r="IA18" s="70">
        <v>269.98</v>
      </c>
      <c r="IB18" s="70">
        <v>269.10000000000002</v>
      </c>
      <c r="IC18" s="70">
        <v>268.23</v>
      </c>
      <c r="ID18" s="70">
        <v>267.35000000000002</v>
      </c>
      <c r="IE18" s="70">
        <v>266.49</v>
      </c>
      <c r="IF18" s="70">
        <v>265.62</v>
      </c>
      <c r="IG18" s="70">
        <v>264.75</v>
      </c>
      <c r="IH18" s="70">
        <v>263.88</v>
      </c>
      <c r="II18" s="70">
        <v>263.01</v>
      </c>
      <c r="IJ18" s="70">
        <v>262.14999999999998</v>
      </c>
      <c r="IK18" s="70">
        <v>261.27999999999997</v>
      </c>
      <c r="IL18" s="70">
        <v>260.42</v>
      </c>
      <c r="IM18" s="70">
        <v>259.54000000000002</v>
      </c>
      <c r="IN18" s="70">
        <v>258.69</v>
      </c>
      <c r="IO18" s="70">
        <v>257.82</v>
      </c>
      <c r="IP18" s="70">
        <v>256.97000000000003</v>
      </c>
      <c r="IQ18" s="70">
        <v>256.12</v>
      </c>
      <c r="IR18" s="70">
        <v>255.26</v>
      </c>
      <c r="IS18" s="70">
        <v>254.41</v>
      </c>
      <c r="IT18" s="70">
        <v>253.55</v>
      </c>
      <c r="IU18" s="70">
        <v>252.7</v>
      </c>
      <c r="IV18" s="70">
        <v>251.85</v>
      </c>
      <c r="IW18" s="70">
        <v>251</v>
      </c>
      <c r="IX18" s="70">
        <v>250.15</v>
      </c>
      <c r="IY18" s="70">
        <v>249.31</v>
      </c>
      <c r="IZ18" s="70">
        <v>248.46</v>
      </c>
      <c r="JA18" s="70">
        <v>247.62</v>
      </c>
      <c r="JB18" s="70">
        <v>246.77</v>
      </c>
      <c r="JC18" s="70">
        <v>245.93</v>
      </c>
      <c r="JD18" s="70">
        <v>245.09</v>
      </c>
      <c r="JE18" s="70">
        <v>244.25</v>
      </c>
      <c r="JF18" s="70">
        <v>243.42</v>
      </c>
      <c r="JG18" s="70">
        <v>242.58</v>
      </c>
      <c r="JH18" s="70">
        <v>241.74</v>
      </c>
      <c r="JI18" s="70">
        <v>240.91</v>
      </c>
      <c r="JJ18" s="70">
        <v>240.08</v>
      </c>
      <c r="JK18" s="70">
        <v>239.24</v>
      </c>
      <c r="JL18" s="70">
        <v>238.41</v>
      </c>
      <c r="JM18" s="70">
        <v>237.58</v>
      </c>
      <c r="JN18" s="70">
        <v>236.75</v>
      </c>
      <c r="JO18" s="70">
        <v>235.92</v>
      </c>
      <c r="JP18" s="70">
        <v>235.1</v>
      </c>
      <c r="JQ18" s="70">
        <v>234.27</v>
      </c>
      <c r="JR18" s="70">
        <v>233.44</v>
      </c>
      <c r="JS18" s="70">
        <v>232.62</v>
      </c>
      <c r="JT18" s="70">
        <v>231.8</v>
      </c>
      <c r="JU18" s="70">
        <v>230.98</v>
      </c>
      <c r="JV18" s="70">
        <v>230.16</v>
      </c>
      <c r="JW18" s="70">
        <v>229.34</v>
      </c>
      <c r="JX18" s="70">
        <v>228.52</v>
      </c>
      <c r="JY18" s="70">
        <v>227.7</v>
      </c>
      <c r="JZ18" s="70">
        <v>226.89</v>
      </c>
      <c r="KA18" s="70">
        <v>226.07</v>
      </c>
      <c r="KB18" s="70">
        <v>225.26</v>
      </c>
      <c r="KC18" s="70">
        <v>224.45</v>
      </c>
      <c r="KD18" s="70">
        <v>223.63</v>
      </c>
      <c r="KE18" s="70">
        <v>222.82</v>
      </c>
      <c r="KF18" s="70">
        <v>222.01</v>
      </c>
      <c r="KG18" s="70">
        <v>221.2</v>
      </c>
      <c r="KH18" s="70">
        <v>220.4</v>
      </c>
      <c r="KI18" s="70">
        <v>219.59</v>
      </c>
      <c r="KJ18" s="70">
        <v>218.79</v>
      </c>
      <c r="KK18" s="70">
        <v>217.98</v>
      </c>
      <c r="KL18" s="70">
        <v>217.18</v>
      </c>
      <c r="KM18" s="70">
        <v>216.38</v>
      </c>
      <c r="KN18" s="70">
        <v>215.58</v>
      </c>
      <c r="KO18" s="70">
        <v>214.78</v>
      </c>
      <c r="KP18" s="70">
        <v>213.98</v>
      </c>
      <c r="KQ18" s="70">
        <v>213.19</v>
      </c>
      <c r="KR18" s="70">
        <v>212.15000000000012</v>
      </c>
      <c r="KS18" s="70">
        <v>211.40000000000012</v>
      </c>
      <c r="KT18" s="70">
        <v>210.65000000000012</v>
      </c>
      <c r="KU18" s="70">
        <v>209.90000000000012</v>
      </c>
      <c r="KV18" s="70">
        <v>209.15000000000012</v>
      </c>
      <c r="KW18" s="70">
        <v>208.40000000000012</v>
      </c>
      <c r="KX18" s="70">
        <v>207.65000000000012</v>
      </c>
      <c r="KY18" s="70">
        <v>206.90000000000012</v>
      </c>
      <c r="KZ18" s="70">
        <v>206.15000000000012</v>
      </c>
      <c r="LA18" s="70">
        <v>205.40000000000012</v>
      </c>
      <c r="LB18" s="70">
        <v>204.65000000000012</v>
      </c>
      <c r="LC18" s="70">
        <v>203.90000000000012</v>
      </c>
      <c r="LD18" s="70">
        <v>203.15000000000012</v>
      </c>
      <c r="LE18" s="70">
        <v>202.40000000000012</v>
      </c>
      <c r="LF18" s="70">
        <v>201.65000000000012</v>
      </c>
      <c r="LG18" s="70">
        <v>200.90000000000012</v>
      </c>
      <c r="LH18" s="70">
        <v>200.15000000000012</v>
      </c>
      <c r="LI18" s="70">
        <v>199.40000000000012</v>
      </c>
      <c r="LJ18" s="70">
        <v>198.65000000000012</v>
      </c>
      <c r="LK18" s="70">
        <v>197.90000000000012</v>
      </c>
      <c r="LL18" s="70">
        <v>197.15000000000012</v>
      </c>
      <c r="LM18" s="70">
        <v>196.40000000000012</v>
      </c>
      <c r="LN18" s="70">
        <v>195.65000000000012</v>
      </c>
      <c r="LO18" s="70">
        <v>194.90000000000012</v>
      </c>
      <c r="LP18" s="70">
        <v>194.15000000000012</v>
      </c>
      <c r="LQ18" s="70">
        <v>193.40000000000012</v>
      </c>
      <c r="LR18" s="70">
        <v>192.65000000000012</v>
      </c>
      <c r="LS18" s="70">
        <v>191.90000000000012</v>
      </c>
      <c r="LT18" s="70">
        <v>191.15000000000012</v>
      </c>
      <c r="LU18" s="70">
        <v>190.40000000000012</v>
      </c>
      <c r="LV18" s="70">
        <v>189.65000000000012</v>
      </c>
      <c r="LW18" s="70">
        <v>188.90000000000012</v>
      </c>
      <c r="LX18" s="70">
        <v>188.15000000000012</v>
      </c>
      <c r="LY18" s="70">
        <v>187.40000000000012</v>
      </c>
      <c r="LZ18" s="70">
        <v>186.65000000000012</v>
      </c>
      <c r="MA18" s="70">
        <v>185.90000000000012</v>
      </c>
      <c r="MB18" s="70">
        <v>185.15000000000012</v>
      </c>
      <c r="MC18" s="70">
        <v>184.40000000000012</v>
      </c>
      <c r="MD18" s="70">
        <v>183.65000000000012</v>
      </c>
      <c r="ME18" s="70">
        <v>182.90000000000012</v>
      </c>
      <c r="MF18" s="70">
        <v>182.15000000000012</v>
      </c>
      <c r="MG18" s="70">
        <v>181.40000000000012</v>
      </c>
      <c r="MH18" s="70">
        <v>180.65000000000012</v>
      </c>
      <c r="MI18" s="70">
        <v>179.90000000000012</v>
      </c>
      <c r="MJ18" s="70">
        <v>179.15000000000012</v>
      </c>
      <c r="MK18" s="70">
        <v>178.40000000000012</v>
      </c>
      <c r="ML18" s="70">
        <v>177.65000000000012</v>
      </c>
      <c r="MM18" s="70">
        <v>176.90000000000012</v>
      </c>
      <c r="MN18" s="70">
        <v>176.15000000000012</v>
      </c>
      <c r="MO18" s="70">
        <v>175.40000000000012</v>
      </c>
      <c r="MP18" s="70">
        <v>174.65000000000012</v>
      </c>
      <c r="MQ18" s="70">
        <v>173.90000000000012</v>
      </c>
      <c r="MR18" s="70">
        <v>173.15000000000012</v>
      </c>
      <c r="MS18" s="70">
        <v>172.40000000000012</v>
      </c>
      <c r="MT18" s="70">
        <v>171.65000000000012</v>
      </c>
      <c r="MU18" s="70">
        <v>170.90000000000012</v>
      </c>
      <c r="MV18" s="70">
        <v>170.15000000000012</v>
      </c>
      <c r="MW18" s="70">
        <v>169.40000000000012</v>
      </c>
      <c r="MX18" s="70">
        <v>168.65000000000012</v>
      </c>
      <c r="MY18" s="70">
        <v>167.90000000000012</v>
      </c>
    </row>
    <row r="19" spans="1:363" ht="15.6" x14ac:dyDescent="0.3">
      <c r="A19" s="67" t="s">
        <v>7</v>
      </c>
      <c r="B19" s="72">
        <v>2029</v>
      </c>
      <c r="C19" s="70">
        <v>496.19</v>
      </c>
      <c r="D19" s="70">
        <v>495.17</v>
      </c>
      <c r="E19" s="70">
        <v>494.15</v>
      </c>
      <c r="F19" s="70">
        <v>493.13</v>
      </c>
      <c r="G19" s="70">
        <v>492.11</v>
      </c>
      <c r="H19" s="70">
        <v>491.09</v>
      </c>
      <c r="I19" s="70">
        <v>490.06</v>
      </c>
      <c r="J19" s="70">
        <v>489.04</v>
      </c>
      <c r="K19" s="70">
        <v>488.02</v>
      </c>
      <c r="L19" s="70">
        <v>487</v>
      </c>
      <c r="M19" s="70">
        <v>485.98</v>
      </c>
      <c r="N19" s="70">
        <v>484.97</v>
      </c>
      <c r="O19" s="70">
        <v>483.95</v>
      </c>
      <c r="P19" s="70">
        <v>482.93</v>
      </c>
      <c r="Q19" s="70">
        <v>481.91</v>
      </c>
      <c r="R19" s="70">
        <v>480.89</v>
      </c>
      <c r="S19" s="70">
        <v>479.87</v>
      </c>
      <c r="T19" s="70">
        <v>478.85</v>
      </c>
      <c r="U19" s="70">
        <v>477.83</v>
      </c>
      <c r="V19" s="70">
        <v>476.81</v>
      </c>
      <c r="W19" s="70">
        <v>475.79</v>
      </c>
      <c r="X19" s="70">
        <v>474.77</v>
      </c>
      <c r="Y19" s="70">
        <v>473.76</v>
      </c>
      <c r="Z19" s="70">
        <v>472.74</v>
      </c>
      <c r="AA19" s="70">
        <v>471.72</v>
      </c>
      <c r="AB19" s="70">
        <v>470.7</v>
      </c>
      <c r="AC19" s="70">
        <v>469.68</v>
      </c>
      <c r="AD19" s="70">
        <v>468.66</v>
      </c>
      <c r="AE19" s="70">
        <v>467.65</v>
      </c>
      <c r="AF19" s="70">
        <v>466.63</v>
      </c>
      <c r="AG19" s="70">
        <v>465.61</v>
      </c>
      <c r="AH19" s="70">
        <v>464.59</v>
      </c>
      <c r="AI19" s="70">
        <v>463.57</v>
      </c>
      <c r="AJ19" s="70">
        <v>462.56</v>
      </c>
      <c r="AK19" s="70">
        <v>461.54</v>
      </c>
      <c r="AL19" s="70">
        <v>460.52</v>
      </c>
      <c r="AM19" s="70">
        <v>459.5</v>
      </c>
      <c r="AN19" s="70">
        <v>458.49</v>
      </c>
      <c r="AO19" s="70">
        <v>457.47</v>
      </c>
      <c r="AP19" s="70">
        <v>456.46</v>
      </c>
      <c r="AQ19" s="70">
        <v>455.44</v>
      </c>
      <c r="AR19" s="70">
        <v>454.42</v>
      </c>
      <c r="AS19" s="70">
        <v>453.41</v>
      </c>
      <c r="AT19" s="70">
        <v>452.39</v>
      </c>
      <c r="AU19" s="70">
        <v>451.38</v>
      </c>
      <c r="AV19" s="70">
        <v>450.36</v>
      </c>
      <c r="AW19" s="70">
        <v>449.35</v>
      </c>
      <c r="AX19" s="70">
        <v>448.33</v>
      </c>
      <c r="AY19" s="70">
        <v>447.31</v>
      </c>
      <c r="AZ19" s="70">
        <v>446.3</v>
      </c>
      <c r="BA19" s="70">
        <v>445.29</v>
      </c>
      <c r="BB19" s="70">
        <v>444.27</v>
      </c>
      <c r="BC19" s="70">
        <v>443.26</v>
      </c>
      <c r="BD19" s="70">
        <v>442.24</v>
      </c>
      <c r="BE19" s="70">
        <v>441.23</v>
      </c>
      <c r="BF19" s="70">
        <v>440.22</v>
      </c>
      <c r="BG19" s="70">
        <v>439.2</v>
      </c>
      <c r="BH19" s="70">
        <v>438.19</v>
      </c>
      <c r="BI19" s="70">
        <v>437.18</v>
      </c>
      <c r="BJ19" s="70">
        <v>436.16</v>
      </c>
      <c r="BK19" s="70">
        <v>435.15</v>
      </c>
      <c r="BL19" s="70">
        <v>434.14</v>
      </c>
      <c r="BM19" s="70">
        <v>433.13</v>
      </c>
      <c r="BN19" s="70">
        <v>432.12</v>
      </c>
      <c r="BO19" s="70">
        <v>431.11</v>
      </c>
      <c r="BP19" s="70">
        <v>430.1</v>
      </c>
      <c r="BQ19" s="70">
        <v>429.08</v>
      </c>
      <c r="BR19" s="70">
        <v>428.07</v>
      </c>
      <c r="BS19" s="70">
        <v>427.06</v>
      </c>
      <c r="BT19" s="70">
        <v>426.05</v>
      </c>
      <c r="BU19" s="70">
        <v>425.04</v>
      </c>
      <c r="BV19" s="70">
        <v>424.03</v>
      </c>
      <c r="BW19" s="70">
        <v>423.02</v>
      </c>
      <c r="BX19" s="70">
        <v>422.02</v>
      </c>
      <c r="BY19" s="70">
        <v>421.01</v>
      </c>
      <c r="BZ19" s="70">
        <v>420</v>
      </c>
      <c r="CA19" s="70">
        <v>419</v>
      </c>
      <c r="CB19" s="70">
        <v>417.99</v>
      </c>
      <c r="CC19" s="70">
        <v>416.98</v>
      </c>
      <c r="CD19" s="70">
        <v>415.98</v>
      </c>
      <c r="CE19" s="70">
        <v>414.97</v>
      </c>
      <c r="CF19" s="70">
        <v>413.97</v>
      </c>
      <c r="CG19" s="70">
        <v>412.96</v>
      </c>
      <c r="CH19" s="70">
        <v>411.96</v>
      </c>
      <c r="CI19" s="70">
        <v>410.95</v>
      </c>
      <c r="CJ19" s="70">
        <v>409.95</v>
      </c>
      <c r="CK19" s="70">
        <v>408.95</v>
      </c>
      <c r="CL19" s="70">
        <v>407.95</v>
      </c>
      <c r="CM19" s="70">
        <v>406.95</v>
      </c>
      <c r="CN19" s="70">
        <v>405.95</v>
      </c>
      <c r="CO19" s="70">
        <v>404.94</v>
      </c>
      <c r="CP19" s="70">
        <v>403.94</v>
      </c>
      <c r="CQ19" s="70">
        <v>402.94</v>
      </c>
      <c r="CR19" s="70">
        <v>401.94</v>
      </c>
      <c r="CS19" s="70">
        <v>400.94</v>
      </c>
      <c r="CT19" s="70">
        <v>399.94</v>
      </c>
      <c r="CU19" s="70">
        <v>398.94</v>
      </c>
      <c r="CV19" s="70">
        <v>397.95</v>
      </c>
      <c r="CW19" s="70">
        <v>396.95</v>
      </c>
      <c r="CX19" s="70">
        <v>395.96</v>
      </c>
      <c r="CY19" s="70">
        <v>394.96</v>
      </c>
      <c r="CZ19" s="70">
        <v>393.97</v>
      </c>
      <c r="DA19" s="70">
        <v>392.97</v>
      </c>
      <c r="DB19" s="70">
        <v>391.98</v>
      </c>
      <c r="DC19" s="70">
        <v>390.98</v>
      </c>
      <c r="DD19" s="70">
        <v>389.99</v>
      </c>
      <c r="DE19" s="70">
        <v>389</v>
      </c>
      <c r="DF19" s="70">
        <v>388</v>
      </c>
      <c r="DG19" s="70">
        <v>387.01</v>
      </c>
      <c r="DH19" s="70">
        <v>386.02</v>
      </c>
      <c r="DI19" s="70">
        <v>385.03</v>
      </c>
      <c r="DJ19" s="70">
        <v>384.04</v>
      </c>
      <c r="DK19" s="70">
        <v>383.05</v>
      </c>
      <c r="DL19" s="70">
        <v>382.07</v>
      </c>
      <c r="DM19" s="70">
        <v>381.08</v>
      </c>
      <c r="DN19" s="70">
        <v>380.09</v>
      </c>
      <c r="DO19" s="70">
        <v>379.1</v>
      </c>
      <c r="DP19" s="70">
        <v>378.12</v>
      </c>
      <c r="DQ19" s="70">
        <v>377.13</v>
      </c>
      <c r="DR19" s="70">
        <v>376.14</v>
      </c>
      <c r="DS19" s="70">
        <v>375.16</v>
      </c>
      <c r="DT19" s="70">
        <v>374.18</v>
      </c>
      <c r="DU19" s="70">
        <v>373.2</v>
      </c>
      <c r="DV19" s="70">
        <v>372.22</v>
      </c>
      <c r="DW19" s="70">
        <v>371.24</v>
      </c>
      <c r="DX19" s="70">
        <v>370.26</v>
      </c>
      <c r="DY19" s="70">
        <v>369.28</v>
      </c>
      <c r="DZ19" s="70">
        <v>368.3</v>
      </c>
      <c r="EA19" s="70">
        <v>367.32</v>
      </c>
      <c r="EB19" s="70">
        <v>366.35</v>
      </c>
      <c r="EC19" s="70">
        <v>365.37</v>
      </c>
      <c r="ED19" s="70">
        <v>364.39</v>
      </c>
      <c r="EE19" s="70">
        <v>363.42</v>
      </c>
      <c r="EF19" s="70">
        <v>362.45</v>
      </c>
      <c r="EG19" s="70">
        <v>361.48</v>
      </c>
      <c r="EH19" s="70">
        <v>360.51</v>
      </c>
      <c r="EI19" s="70">
        <v>359.54</v>
      </c>
      <c r="EJ19" s="70">
        <v>358.57</v>
      </c>
      <c r="EK19" s="70">
        <v>357.6</v>
      </c>
      <c r="EL19" s="70">
        <v>356.64</v>
      </c>
      <c r="EM19" s="70">
        <v>355.67</v>
      </c>
      <c r="EN19" s="70">
        <v>354.71</v>
      </c>
      <c r="EO19" s="70">
        <v>353.74</v>
      </c>
      <c r="EP19" s="70">
        <v>352.78</v>
      </c>
      <c r="EQ19" s="70">
        <v>351.81</v>
      </c>
      <c r="ER19" s="70">
        <v>350.85</v>
      </c>
      <c r="ES19" s="70">
        <v>349.89</v>
      </c>
      <c r="ET19" s="70">
        <v>348.93</v>
      </c>
      <c r="EU19" s="70">
        <v>347.97</v>
      </c>
      <c r="EV19" s="70">
        <v>347.02</v>
      </c>
      <c r="EW19" s="70">
        <v>346.06</v>
      </c>
      <c r="EX19" s="70">
        <v>345.1</v>
      </c>
      <c r="EY19" s="70">
        <v>344.14</v>
      </c>
      <c r="EZ19" s="70">
        <v>343.19</v>
      </c>
      <c r="FA19" s="70">
        <v>342.23</v>
      </c>
      <c r="FB19" s="70">
        <v>341.28</v>
      </c>
      <c r="FC19" s="70">
        <v>340.32</v>
      </c>
      <c r="FD19" s="70">
        <v>339.37</v>
      </c>
      <c r="FE19" s="70">
        <v>338.42</v>
      </c>
      <c r="FF19" s="70">
        <v>337.47</v>
      </c>
      <c r="FG19" s="70">
        <v>336.52</v>
      </c>
      <c r="FH19" s="70">
        <v>335.57</v>
      </c>
      <c r="FI19" s="70">
        <v>334.62</v>
      </c>
      <c r="FJ19" s="70">
        <v>333.67</v>
      </c>
      <c r="FK19" s="70">
        <v>332.72</v>
      </c>
      <c r="FL19" s="70">
        <v>331.77</v>
      </c>
      <c r="FM19" s="70">
        <v>330.82</v>
      </c>
      <c r="FN19" s="70">
        <v>329.88</v>
      </c>
      <c r="FO19" s="70">
        <v>328.93</v>
      </c>
      <c r="FP19" s="70">
        <v>327.99</v>
      </c>
      <c r="FQ19" s="70">
        <v>327.04000000000002</v>
      </c>
      <c r="FR19" s="70">
        <v>326.10000000000002</v>
      </c>
      <c r="FS19" s="70">
        <v>325.16000000000003</v>
      </c>
      <c r="FT19" s="70">
        <v>324.22000000000003</v>
      </c>
      <c r="FU19" s="70">
        <v>323.27999999999997</v>
      </c>
      <c r="FV19" s="70">
        <v>322.33999999999997</v>
      </c>
      <c r="FW19" s="70">
        <v>321.39999999999998</v>
      </c>
      <c r="FX19" s="70">
        <v>320.45999999999998</v>
      </c>
      <c r="FY19" s="70">
        <v>319.51</v>
      </c>
      <c r="FZ19" s="70">
        <v>318.58999999999997</v>
      </c>
      <c r="GA19" s="70">
        <v>317.64999999999998</v>
      </c>
      <c r="GB19" s="70">
        <v>316.72000000000003</v>
      </c>
      <c r="GC19" s="70">
        <v>315.77999999999997</v>
      </c>
      <c r="GD19" s="70">
        <v>314.85000000000002</v>
      </c>
      <c r="GE19" s="70">
        <v>313.92</v>
      </c>
      <c r="GF19" s="70">
        <v>312.99</v>
      </c>
      <c r="GG19" s="70">
        <v>312.06</v>
      </c>
      <c r="GH19" s="70">
        <v>311.13</v>
      </c>
      <c r="GI19" s="70">
        <v>310.2</v>
      </c>
      <c r="GJ19" s="70">
        <v>309.26</v>
      </c>
      <c r="GK19" s="70">
        <v>308.35000000000002</v>
      </c>
      <c r="GL19" s="70">
        <v>307.42</v>
      </c>
      <c r="GM19" s="70">
        <v>306.5</v>
      </c>
      <c r="GN19" s="70">
        <v>305.57</v>
      </c>
      <c r="GO19" s="70">
        <v>304.64999999999998</v>
      </c>
      <c r="GP19" s="70">
        <v>303.73</v>
      </c>
      <c r="GQ19" s="70">
        <v>302.81</v>
      </c>
      <c r="GR19" s="70">
        <v>301.89999999999998</v>
      </c>
      <c r="GS19" s="70">
        <v>300.98</v>
      </c>
      <c r="GT19" s="70">
        <v>300.06</v>
      </c>
      <c r="GU19" s="70">
        <v>299.14999999999998</v>
      </c>
      <c r="GV19" s="70">
        <v>298.23</v>
      </c>
      <c r="GW19" s="70">
        <v>297.32</v>
      </c>
      <c r="GX19" s="70">
        <v>296.41000000000003</v>
      </c>
      <c r="GY19" s="70">
        <v>295.5</v>
      </c>
      <c r="GZ19" s="70">
        <v>294.58999999999997</v>
      </c>
      <c r="HA19" s="70">
        <v>293.68</v>
      </c>
      <c r="HB19" s="70">
        <v>292.76</v>
      </c>
      <c r="HC19" s="70">
        <v>291.87</v>
      </c>
      <c r="HD19" s="70">
        <v>290.95999999999998</v>
      </c>
      <c r="HE19" s="70">
        <v>290.06</v>
      </c>
      <c r="HF19" s="70">
        <v>289.16000000000003</v>
      </c>
      <c r="HG19" s="70">
        <v>288.25</v>
      </c>
      <c r="HH19" s="70">
        <v>287.35000000000002</v>
      </c>
      <c r="HI19" s="70">
        <v>286.45</v>
      </c>
      <c r="HJ19" s="70">
        <v>285.56</v>
      </c>
      <c r="HK19" s="70">
        <v>284.66000000000003</v>
      </c>
      <c r="HL19" s="70">
        <v>283.76</v>
      </c>
      <c r="HM19" s="70">
        <v>282.87</v>
      </c>
      <c r="HN19" s="70">
        <v>281.98</v>
      </c>
      <c r="HO19" s="70">
        <v>281.08999999999997</v>
      </c>
      <c r="HP19" s="70">
        <v>280.2</v>
      </c>
      <c r="HQ19" s="70">
        <v>279.31</v>
      </c>
      <c r="HR19" s="70">
        <v>278.43</v>
      </c>
      <c r="HS19" s="70">
        <v>277.54000000000002</v>
      </c>
      <c r="HT19" s="70">
        <v>276.64999999999998</v>
      </c>
      <c r="HU19" s="70">
        <v>275.76</v>
      </c>
      <c r="HV19" s="70">
        <v>274.89</v>
      </c>
      <c r="HW19" s="70">
        <v>274.01</v>
      </c>
      <c r="HX19" s="70">
        <v>273.13</v>
      </c>
      <c r="HY19" s="70">
        <v>272.25</v>
      </c>
      <c r="HZ19" s="70">
        <v>271.37</v>
      </c>
      <c r="IA19" s="70">
        <v>270.49</v>
      </c>
      <c r="IB19" s="70">
        <v>269.62</v>
      </c>
      <c r="IC19" s="70">
        <v>268.74</v>
      </c>
      <c r="ID19" s="70">
        <v>267.87</v>
      </c>
      <c r="IE19" s="70">
        <v>267</v>
      </c>
      <c r="IF19" s="70">
        <v>266.12</v>
      </c>
      <c r="IG19" s="70">
        <v>265.25</v>
      </c>
      <c r="IH19" s="70">
        <v>264.38</v>
      </c>
      <c r="II19" s="70">
        <v>263.51</v>
      </c>
      <c r="IJ19" s="70">
        <v>262.64999999999998</v>
      </c>
      <c r="IK19" s="70">
        <v>261.77999999999997</v>
      </c>
      <c r="IL19" s="70">
        <v>260.92</v>
      </c>
      <c r="IM19" s="70">
        <v>260.06</v>
      </c>
      <c r="IN19" s="70">
        <v>259.19</v>
      </c>
      <c r="IO19" s="70">
        <v>258.32</v>
      </c>
      <c r="IP19" s="70">
        <v>257.47000000000003</v>
      </c>
      <c r="IQ19" s="70">
        <v>256.62</v>
      </c>
      <c r="IR19" s="70">
        <v>255.76</v>
      </c>
      <c r="IS19" s="70">
        <v>254.9</v>
      </c>
      <c r="IT19" s="70">
        <v>254.05</v>
      </c>
      <c r="IU19" s="70">
        <v>253.2</v>
      </c>
      <c r="IV19" s="70">
        <v>252.35</v>
      </c>
      <c r="IW19" s="70">
        <v>251.5</v>
      </c>
      <c r="IX19" s="70">
        <v>250.65</v>
      </c>
      <c r="IY19" s="70">
        <v>249.8</v>
      </c>
      <c r="IZ19" s="70">
        <v>248.96</v>
      </c>
      <c r="JA19" s="70">
        <v>248.11</v>
      </c>
      <c r="JB19" s="70">
        <v>247.27</v>
      </c>
      <c r="JC19" s="70">
        <v>246.43</v>
      </c>
      <c r="JD19" s="70">
        <v>245.59</v>
      </c>
      <c r="JE19" s="70">
        <v>244.75</v>
      </c>
      <c r="JF19" s="70">
        <v>243.91</v>
      </c>
      <c r="JG19" s="70">
        <v>243.07</v>
      </c>
      <c r="JH19" s="70">
        <v>242.23</v>
      </c>
      <c r="JI19" s="70">
        <v>241.4</v>
      </c>
      <c r="JJ19" s="70">
        <v>240.57</v>
      </c>
      <c r="JK19" s="70">
        <v>239.73</v>
      </c>
      <c r="JL19" s="70">
        <v>238.9</v>
      </c>
      <c r="JM19" s="70">
        <v>238.07</v>
      </c>
      <c r="JN19" s="70">
        <v>237.24</v>
      </c>
      <c r="JO19" s="70">
        <v>236.41</v>
      </c>
      <c r="JP19" s="70">
        <v>235.58</v>
      </c>
      <c r="JQ19" s="70">
        <v>234.76</v>
      </c>
      <c r="JR19" s="70">
        <v>233.93</v>
      </c>
      <c r="JS19" s="70">
        <v>233.11</v>
      </c>
      <c r="JT19" s="70">
        <v>232.28</v>
      </c>
      <c r="JU19" s="70">
        <v>231.46</v>
      </c>
      <c r="JV19" s="70">
        <v>230.64</v>
      </c>
      <c r="JW19" s="70">
        <v>229.82</v>
      </c>
      <c r="JX19" s="70">
        <v>229</v>
      </c>
      <c r="JY19" s="70">
        <v>228.19</v>
      </c>
      <c r="JZ19" s="70">
        <v>227.37</v>
      </c>
      <c r="KA19" s="70">
        <v>226.55</v>
      </c>
      <c r="KB19" s="70">
        <v>225.74</v>
      </c>
      <c r="KC19" s="70">
        <v>224.93</v>
      </c>
      <c r="KD19" s="70">
        <v>224.11</v>
      </c>
      <c r="KE19" s="70">
        <v>223.3</v>
      </c>
      <c r="KF19" s="70">
        <v>222.49</v>
      </c>
      <c r="KG19" s="70">
        <v>221.68</v>
      </c>
      <c r="KH19" s="70">
        <v>220.87</v>
      </c>
      <c r="KI19" s="70">
        <v>220.07</v>
      </c>
      <c r="KJ19" s="70">
        <v>219.26</v>
      </c>
      <c r="KK19" s="70">
        <v>218.46</v>
      </c>
      <c r="KL19" s="70">
        <v>217.65</v>
      </c>
      <c r="KM19" s="70">
        <v>216.85</v>
      </c>
      <c r="KN19" s="70">
        <v>216.05</v>
      </c>
      <c r="KO19" s="70">
        <v>215.25</v>
      </c>
      <c r="KP19" s="70">
        <v>214.46</v>
      </c>
      <c r="KQ19" s="70">
        <v>213.66</v>
      </c>
      <c r="KR19" s="70">
        <v>212.61000000000013</v>
      </c>
      <c r="KS19" s="70">
        <v>211.86000000000013</v>
      </c>
      <c r="KT19" s="70">
        <v>211.11000000000013</v>
      </c>
      <c r="KU19" s="70">
        <v>210.36000000000013</v>
      </c>
      <c r="KV19" s="70">
        <v>209.61000000000013</v>
      </c>
      <c r="KW19" s="70">
        <v>208.86000000000013</v>
      </c>
      <c r="KX19" s="70">
        <v>208.11000000000013</v>
      </c>
      <c r="KY19" s="70">
        <v>207.36000000000013</v>
      </c>
      <c r="KZ19" s="70">
        <v>206.61000000000013</v>
      </c>
      <c r="LA19" s="70">
        <v>205.86000000000013</v>
      </c>
      <c r="LB19" s="70">
        <v>205.11000000000013</v>
      </c>
      <c r="LC19" s="70">
        <v>204.36000000000013</v>
      </c>
      <c r="LD19" s="70">
        <v>203.61000000000013</v>
      </c>
      <c r="LE19" s="70">
        <v>202.86000000000013</v>
      </c>
      <c r="LF19" s="70">
        <v>202.11000000000013</v>
      </c>
      <c r="LG19" s="70">
        <v>201.36000000000013</v>
      </c>
      <c r="LH19" s="70">
        <v>200.61000000000013</v>
      </c>
      <c r="LI19" s="70">
        <v>199.86000000000013</v>
      </c>
      <c r="LJ19" s="70">
        <v>199.11000000000013</v>
      </c>
      <c r="LK19" s="70">
        <v>198.36000000000013</v>
      </c>
      <c r="LL19" s="70">
        <v>197.61000000000013</v>
      </c>
      <c r="LM19" s="70">
        <v>196.86000000000013</v>
      </c>
      <c r="LN19" s="70">
        <v>196.11000000000013</v>
      </c>
      <c r="LO19" s="70">
        <v>195.36000000000013</v>
      </c>
      <c r="LP19" s="70">
        <v>194.61000000000013</v>
      </c>
      <c r="LQ19" s="70">
        <v>193.86000000000013</v>
      </c>
      <c r="LR19" s="70">
        <v>193.11000000000013</v>
      </c>
      <c r="LS19" s="70">
        <v>192.36000000000013</v>
      </c>
      <c r="LT19" s="70">
        <v>191.61000000000013</v>
      </c>
      <c r="LU19" s="70">
        <v>190.86000000000013</v>
      </c>
      <c r="LV19" s="70">
        <v>190.11000000000013</v>
      </c>
      <c r="LW19" s="70">
        <v>189.36000000000013</v>
      </c>
      <c r="LX19" s="70">
        <v>188.61000000000013</v>
      </c>
      <c r="LY19" s="70">
        <v>187.86000000000013</v>
      </c>
      <c r="LZ19" s="70">
        <v>187.11000000000013</v>
      </c>
      <c r="MA19" s="70">
        <v>186.36000000000013</v>
      </c>
      <c r="MB19" s="70">
        <v>185.61000000000013</v>
      </c>
      <c r="MC19" s="70">
        <v>184.86000000000013</v>
      </c>
      <c r="MD19" s="70">
        <v>184.11000000000013</v>
      </c>
      <c r="ME19" s="70">
        <v>183.36000000000013</v>
      </c>
      <c r="MF19" s="70">
        <v>182.61000000000013</v>
      </c>
      <c r="MG19" s="70">
        <v>181.86000000000013</v>
      </c>
      <c r="MH19" s="70">
        <v>181.11000000000013</v>
      </c>
      <c r="MI19" s="70">
        <v>180.36000000000013</v>
      </c>
      <c r="MJ19" s="70">
        <v>179.61000000000013</v>
      </c>
      <c r="MK19" s="70">
        <v>178.86000000000013</v>
      </c>
      <c r="ML19" s="70">
        <v>178.11000000000013</v>
      </c>
      <c r="MM19" s="70">
        <v>177.36000000000013</v>
      </c>
      <c r="MN19" s="70">
        <v>176.61000000000013</v>
      </c>
      <c r="MO19" s="70">
        <v>175.86000000000013</v>
      </c>
      <c r="MP19" s="70">
        <v>175.11000000000013</v>
      </c>
      <c r="MQ19" s="70">
        <v>174.36000000000013</v>
      </c>
      <c r="MR19" s="70">
        <v>173.61000000000013</v>
      </c>
      <c r="MS19" s="70">
        <v>172.86000000000013</v>
      </c>
      <c r="MT19" s="70">
        <v>172.11000000000013</v>
      </c>
      <c r="MU19" s="70">
        <v>171.36000000000013</v>
      </c>
      <c r="MV19" s="70">
        <v>170.61000000000013</v>
      </c>
      <c r="MW19" s="70">
        <v>169.86000000000013</v>
      </c>
      <c r="MX19" s="70">
        <v>169.11000000000013</v>
      </c>
      <c r="MY19" s="70">
        <v>168.36000000000013</v>
      </c>
    </row>
    <row r="20" spans="1:363" ht="15.6" x14ac:dyDescent="0.3">
      <c r="A20" s="67" t="s">
        <v>7</v>
      </c>
      <c r="B20" s="72">
        <v>2030</v>
      </c>
      <c r="C20" s="70">
        <v>496.78</v>
      </c>
      <c r="D20" s="70">
        <v>495.76</v>
      </c>
      <c r="E20" s="70">
        <v>494.74</v>
      </c>
      <c r="F20" s="70">
        <v>493.72</v>
      </c>
      <c r="G20" s="70">
        <v>492.69</v>
      </c>
      <c r="H20" s="70">
        <v>491.67</v>
      </c>
      <c r="I20" s="70">
        <v>490.65</v>
      </c>
      <c r="J20" s="70">
        <v>489.63</v>
      </c>
      <c r="K20" s="70">
        <v>488.61</v>
      </c>
      <c r="L20" s="70">
        <v>487.59</v>
      </c>
      <c r="M20" s="70">
        <v>486.57</v>
      </c>
      <c r="N20" s="70">
        <v>485.55</v>
      </c>
      <c r="O20" s="70">
        <v>484.53</v>
      </c>
      <c r="P20" s="70">
        <v>483.51</v>
      </c>
      <c r="Q20" s="70">
        <v>482.49</v>
      </c>
      <c r="R20" s="70">
        <v>481.47</v>
      </c>
      <c r="S20" s="70">
        <v>480.45</v>
      </c>
      <c r="T20" s="70">
        <v>479.43</v>
      </c>
      <c r="U20" s="70">
        <v>478.42</v>
      </c>
      <c r="V20" s="70">
        <v>477.4</v>
      </c>
      <c r="W20" s="70">
        <v>476.38</v>
      </c>
      <c r="X20" s="70">
        <v>475.36</v>
      </c>
      <c r="Y20" s="70">
        <v>474.34</v>
      </c>
      <c r="Z20" s="70">
        <v>473.32</v>
      </c>
      <c r="AA20" s="70">
        <v>472.3</v>
      </c>
      <c r="AB20" s="70">
        <v>471.28</v>
      </c>
      <c r="AC20" s="70">
        <v>470.26</v>
      </c>
      <c r="AD20" s="70">
        <v>469.25</v>
      </c>
      <c r="AE20" s="70">
        <v>468.23</v>
      </c>
      <c r="AF20" s="70">
        <v>467.21</v>
      </c>
      <c r="AG20" s="70">
        <v>466.19</v>
      </c>
      <c r="AH20" s="70">
        <v>465.17</v>
      </c>
      <c r="AI20" s="70">
        <v>464.15</v>
      </c>
      <c r="AJ20" s="70">
        <v>463.14</v>
      </c>
      <c r="AK20" s="70">
        <v>462.12</v>
      </c>
      <c r="AL20" s="70">
        <v>461.1</v>
      </c>
      <c r="AM20" s="70">
        <v>460.08</v>
      </c>
      <c r="AN20" s="70">
        <v>459.07</v>
      </c>
      <c r="AO20" s="70">
        <v>458.05</v>
      </c>
      <c r="AP20" s="70">
        <v>457.03</v>
      </c>
      <c r="AQ20" s="70">
        <v>456.02</v>
      </c>
      <c r="AR20" s="70">
        <v>455</v>
      </c>
      <c r="AS20" s="70">
        <v>453.98</v>
      </c>
      <c r="AT20" s="70">
        <v>452.97</v>
      </c>
      <c r="AU20" s="70">
        <v>451.95</v>
      </c>
      <c r="AV20" s="70">
        <v>450.94</v>
      </c>
      <c r="AW20" s="70">
        <v>449.92</v>
      </c>
      <c r="AX20" s="70">
        <v>448.9</v>
      </c>
      <c r="AY20" s="70">
        <v>447.89</v>
      </c>
      <c r="AZ20" s="70">
        <v>446.87</v>
      </c>
      <c r="BA20" s="70">
        <v>445.86</v>
      </c>
      <c r="BB20" s="70">
        <v>444.85</v>
      </c>
      <c r="BC20" s="70">
        <v>443.83</v>
      </c>
      <c r="BD20" s="70">
        <v>442.82</v>
      </c>
      <c r="BE20" s="70">
        <v>441.8</v>
      </c>
      <c r="BF20" s="70">
        <v>440.79</v>
      </c>
      <c r="BG20" s="70">
        <v>439.77</v>
      </c>
      <c r="BH20" s="70">
        <v>438.76</v>
      </c>
      <c r="BI20" s="70">
        <v>437.75</v>
      </c>
      <c r="BJ20" s="70">
        <v>436.73</v>
      </c>
      <c r="BK20" s="70">
        <v>435.72</v>
      </c>
      <c r="BL20" s="70">
        <v>434.71</v>
      </c>
      <c r="BM20" s="70">
        <v>433.7</v>
      </c>
      <c r="BN20" s="70">
        <v>432.68</v>
      </c>
      <c r="BO20" s="70">
        <v>431.67</v>
      </c>
      <c r="BP20" s="70">
        <v>430.66</v>
      </c>
      <c r="BQ20" s="70">
        <v>429.65</v>
      </c>
      <c r="BR20" s="70">
        <v>428.64</v>
      </c>
      <c r="BS20" s="70">
        <v>427.63</v>
      </c>
      <c r="BT20" s="70">
        <v>426.62</v>
      </c>
      <c r="BU20" s="70">
        <v>425.61</v>
      </c>
      <c r="BV20" s="70">
        <v>424.6</v>
      </c>
      <c r="BW20" s="70">
        <v>423.59</v>
      </c>
      <c r="BX20" s="70">
        <v>422.58</v>
      </c>
      <c r="BY20" s="70">
        <v>421.57</v>
      </c>
      <c r="BZ20" s="70">
        <v>420.57</v>
      </c>
      <c r="CA20" s="70">
        <v>419.56</v>
      </c>
      <c r="CB20" s="70">
        <v>418.55</v>
      </c>
      <c r="CC20" s="70">
        <v>417.55</v>
      </c>
      <c r="CD20" s="70">
        <v>416.54</v>
      </c>
      <c r="CE20" s="70">
        <v>415.53</v>
      </c>
      <c r="CF20" s="70">
        <v>414.53</v>
      </c>
      <c r="CG20" s="70">
        <v>413.52</v>
      </c>
      <c r="CH20" s="70">
        <v>412.51</v>
      </c>
      <c r="CI20" s="70">
        <v>411.51</v>
      </c>
      <c r="CJ20" s="70">
        <v>410.51</v>
      </c>
      <c r="CK20" s="70">
        <v>409.5</v>
      </c>
      <c r="CL20" s="70">
        <v>408.5</v>
      </c>
      <c r="CM20" s="70">
        <v>407.5</v>
      </c>
      <c r="CN20" s="70">
        <v>406.5</v>
      </c>
      <c r="CO20" s="70">
        <v>405.5</v>
      </c>
      <c r="CP20" s="70">
        <v>404.5</v>
      </c>
      <c r="CQ20" s="70">
        <v>403.5</v>
      </c>
      <c r="CR20" s="70">
        <v>402.5</v>
      </c>
      <c r="CS20" s="70">
        <v>401.5</v>
      </c>
      <c r="CT20" s="70">
        <v>400.5</v>
      </c>
      <c r="CU20" s="70">
        <v>399.5</v>
      </c>
      <c r="CV20" s="70">
        <v>398.5</v>
      </c>
      <c r="CW20" s="70">
        <v>397.5</v>
      </c>
      <c r="CX20" s="70">
        <v>396.51</v>
      </c>
      <c r="CY20" s="70">
        <v>395.51</v>
      </c>
      <c r="CZ20" s="70">
        <v>394.52</v>
      </c>
      <c r="DA20" s="70">
        <v>393.52</v>
      </c>
      <c r="DB20" s="70">
        <v>392.53</v>
      </c>
      <c r="DC20" s="70">
        <v>391.53</v>
      </c>
      <c r="DD20" s="70">
        <v>390.54</v>
      </c>
      <c r="DE20" s="70">
        <v>389.54</v>
      </c>
      <c r="DF20" s="70">
        <v>388.55</v>
      </c>
      <c r="DG20" s="70">
        <v>387.56</v>
      </c>
      <c r="DH20" s="70">
        <v>386.57</v>
      </c>
      <c r="DI20" s="70">
        <v>385.58</v>
      </c>
      <c r="DJ20" s="70">
        <v>384.59</v>
      </c>
      <c r="DK20" s="70">
        <v>383.6</v>
      </c>
      <c r="DL20" s="70">
        <v>382.61</v>
      </c>
      <c r="DM20" s="70">
        <v>381.62</v>
      </c>
      <c r="DN20" s="70">
        <v>380.63</v>
      </c>
      <c r="DO20" s="70">
        <v>379.65</v>
      </c>
      <c r="DP20" s="70">
        <v>378.66</v>
      </c>
      <c r="DQ20" s="70">
        <v>377.67</v>
      </c>
      <c r="DR20" s="70">
        <v>376.69</v>
      </c>
      <c r="DS20" s="70">
        <v>375.7</v>
      </c>
      <c r="DT20" s="70">
        <v>374.72</v>
      </c>
      <c r="DU20" s="70">
        <v>373.74</v>
      </c>
      <c r="DV20" s="70">
        <v>372.76</v>
      </c>
      <c r="DW20" s="70">
        <v>371.78</v>
      </c>
      <c r="DX20" s="70">
        <v>370.8</v>
      </c>
      <c r="DY20" s="70">
        <v>369.82</v>
      </c>
      <c r="DZ20" s="70">
        <v>368.84</v>
      </c>
      <c r="EA20" s="70">
        <v>367.86</v>
      </c>
      <c r="EB20" s="70">
        <v>366.88</v>
      </c>
      <c r="EC20" s="70">
        <v>365.91</v>
      </c>
      <c r="ED20" s="70">
        <v>364.93</v>
      </c>
      <c r="EE20" s="70">
        <v>363.95</v>
      </c>
      <c r="EF20" s="70">
        <v>362.98</v>
      </c>
      <c r="EG20" s="70">
        <v>362.01</v>
      </c>
      <c r="EH20" s="70">
        <v>361.05</v>
      </c>
      <c r="EI20" s="70">
        <v>360.08</v>
      </c>
      <c r="EJ20" s="70">
        <v>359.11</v>
      </c>
      <c r="EK20" s="70">
        <v>358.14</v>
      </c>
      <c r="EL20" s="70">
        <v>357.17</v>
      </c>
      <c r="EM20" s="70">
        <v>356.21</v>
      </c>
      <c r="EN20" s="70">
        <v>355.24</v>
      </c>
      <c r="EO20" s="70">
        <v>354.28</v>
      </c>
      <c r="EP20" s="70">
        <v>353.31</v>
      </c>
      <c r="EQ20" s="70">
        <v>352.35</v>
      </c>
      <c r="ER20" s="70">
        <v>351.39</v>
      </c>
      <c r="ES20" s="70">
        <v>350.43</v>
      </c>
      <c r="ET20" s="70">
        <v>349.47</v>
      </c>
      <c r="EU20" s="70">
        <v>348.51</v>
      </c>
      <c r="EV20" s="70">
        <v>347.55</v>
      </c>
      <c r="EW20" s="70">
        <v>346.59</v>
      </c>
      <c r="EX20" s="70">
        <v>345.63</v>
      </c>
      <c r="EY20" s="70">
        <v>344.68</v>
      </c>
      <c r="EZ20" s="70">
        <v>343.72</v>
      </c>
      <c r="FA20" s="70">
        <v>342.76</v>
      </c>
      <c r="FB20" s="70">
        <v>341.81</v>
      </c>
      <c r="FC20" s="70">
        <v>340.86</v>
      </c>
      <c r="FD20" s="70">
        <v>339.9</v>
      </c>
      <c r="FE20" s="70">
        <v>338.95</v>
      </c>
      <c r="FF20" s="70">
        <v>338</v>
      </c>
      <c r="FG20" s="70">
        <v>337.05</v>
      </c>
      <c r="FH20" s="70">
        <v>336.1</v>
      </c>
      <c r="FI20" s="70">
        <v>335.15</v>
      </c>
      <c r="FJ20" s="70">
        <v>334.2</v>
      </c>
      <c r="FK20" s="70">
        <v>333.25</v>
      </c>
      <c r="FL20" s="70">
        <v>332.3</v>
      </c>
      <c r="FM20" s="70">
        <v>331.35</v>
      </c>
      <c r="FN20" s="70">
        <v>330.41</v>
      </c>
      <c r="FO20" s="70">
        <v>329.46</v>
      </c>
      <c r="FP20" s="70">
        <v>328.52</v>
      </c>
      <c r="FQ20" s="70">
        <v>327.57</v>
      </c>
      <c r="FR20" s="70">
        <v>326.63</v>
      </c>
      <c r="FS20" s="70">
        <v>325.69</v>
      </c>
      <c r="FT20" s="70">
        <v>324.75</v>
      </c>
      <c r="FU20" s="70">
        <v>323.81</v>
      </c>
      <c r="FV20" s="70">
        <v>322.87</v>
      </c>
      <c r="FW20" s="70">
        <v>321.93</v>
      </c>
      <c r="FX20" s="70">
        <v>320.99</v>
      </c>
      <c r="FY20" s="70">
        <v>320.04000000000002</v>
      </c>
      <c r="FZ20" s="70">
        <v>319.10000000000002</v>
      </c>
      <c r="GA20" s="70">
        <v>318.18</v>
      </c>
      <c r="GB20" s="70">
        <v>317.24</v>
      </c>
      <c r="GC20" s="70">
        <v>316.31</v>
      </c>
      <c r="GD20" s="70">
        <v>315.38</v>
      </c>
      <c r="GE20" s="70">
        <v>314.44</v>
      </c>
      <c r="GF20" s="70">
        <v>313.51</v>
      </c>
      <c r="GG20" s="70">
        <v>312.57</v>
      </c>
      <c r="GH20" s="70">
        <v>311.64999999999998</v>
      </c>
      <c r="GI20" s="70">
        <v>310.72000000000003</v>
      </c>
      <c r="GJ20" s="70">
        <v>309.79000000000002</v>
      </c>
      <c r="GK20" s="70">
        <v>308.87</v>
      </c>
      <c r="GL20" s="70">
        <v>307.94</v>
      </c>
      <c r="GM20" s="70">
        <v>307.01</v>
      </c>
      <c r="GN20" s="70">
        <v>306.10000000000002</v>
      </c>
      <c r="GO20" s="70">
        <v>305.18</v>
      </c>
      <c r="GP20" s="70">
        <v>304.25</v>
      </c>
      <c r="GQ20" s="70">
        <v>303.33999999999997</v>
      </c>
      <c r="GR20" s="70">
        <v>302.42</v>
      </c>
      <c r="GS20" s="70">
        <v>301.5</v>
      </c>
      <c r="GT20" s="70">
        <v>300.57</v>
      </c>
      <c r="GU20" s="70">
        <v>299.67</v>
      </c>
      <c r="GV20" s="70">
        <v>298.75</v>
      </c>
      <c r="GW20" s="70">
        <v>297.83999999999997</v>
      </c>
      <c r="GX20" s="70">
        <v>296.93</v>
      </c>
      <c r="GY20" s="70">
        <v>296.01</v>
      </c>
      <c r="GZ20" s="70">
        <v>295.10000000000002</v>
      </c>
      <c r="HA20" s="70">
        <v>294.2</v>
      </c>
      <c r="HB20" s="70">
        <v>293.29000000000002</v>
      </c>
      <c r="HC20" s="70">
        <v>292.38</v>
      </c>
      <c r="HD20" s="70">
        <v>291.48</v>
      </c>
      <c r="HE20" s="70">
        <v>290.57</v>
      </c>
      <c r="HF20" s="70">
        <v>289.67</v>
      </c>
      <c r="HG20" s="70">
        <v>288.76</v>
      </c>
      <c r="HH20" s="70">
        <v>287.87</v>
      </c>
      <c r="HI20" s="70">
        <v>286.97000000000003</v>
      </c>
      <c r="HJ20" s="70">
        <v>286.07</v>
      </c>
      <c r="HK20" s="70">
        <v>285.17</v>
      </c>
      <c r="HL20" s="70">
        <v>284.27999999999997</v>
      </c>
      <c r="HM20" s="70">
        <v>283.39</v>
      </c>
      <c r="HN20" s="70">
        <v>282.49</v>
      </c>
      <c r="HO20" s="70">
        <v>281.60000000000002</v>
      </c>
      <c r="HP20" s="70">
        <v>280.70999999999998</v>
      </c>
      <c r="HQ20" s="70">
        <v>279.82</v>
      </c>
      <c r="HR20" s="70">
        <v>278.94</v>
      </c>
      <c r="HS20" s="70">
        <v>278.04000000000002</v>
      </c>
      <c r="HT20" s="70">
        <v>277.16000000000003</v>
      </c>
      <c r="HU20" s="70">
        <v>276.27999999999997</v>
      </c>
      <c r="HV20" s="70">
        <v>275.39999999999998</v>
      </c>
      <c r="HW20" s="70">
        <v>274.51</v>
      </c>
      <c r="HX20" s="70">
        <v>273.63</v>
      </c>
      <c r="HY20" s="70">
        <v>272.76</v>
      </c>
      <c r="HZ20" s="70">
        <v>271.88</v>
      </c>
      <c r="IA20" s="70">
        <v>271</v>
      </c>
      <c r="IB20" s="70">
        <v>270.12</v>
      </c>
      <c r="IC20" s="70">
        <v>269.25</v>
      </c>
      <c r="ID20" s="70">
        <v>268.37</v>
      </c>
      <c r="IE20" s="70">
        <v>267.5</v>
      </c>
      <c r="IF20" s="70">
        <v>266.63</v>
      </c>
      <c r="IG20" s="70">
        <v>265.76</v>
      </c>
      <c r="IH20" s="70">
        <v>264.89</v>
      </c>
      <c r="II20" s="70">
        <v>264.01</v>
      </c>
      <c r="IJ20" s="70">
        <v>263.14999999999998</v>
      </c>
      <c r="IK20" s="70">
        <v>262.29000000000002</v>
      </c>
      <c r="IL20" s="70">
        <v>261.42</v>
      </c>
      <c r="IM20" s="70">
        <v>260.56</v>
      </c>
      <c r="IN20" s="70">
        <v>259.7</v>
      </c>
      <c r="IO20" s="70">
        <v>258.82</v>
      </c>
      <c r="IP20" s="70">
        <v>257.98</v>
      </c>
      <c r="IQ20" s="70">
        <v>257.12</v>
      </c>
      <c r="IR20" s="70">
        <v>256.26</v>
      </c>
      <c r="IS20" s="70">
        <v>255.4</v>
      </c>
      <c r="IT20" s="70">
        <v>254.55</v>
      </c>
      <c r="IU20" s="70">
        <v>253.7</v>
      </c>
      <c r="IV20" s="70">
        <v>252.84</v>
      </c>
      <c r="IW20" s="70">
        <v>251.99</v>
      </c>
      <c r="IX20" s="70">
        <v>251.15</v>
      </c>
      <c r="IY20" s="70">
        <v>250.3</v>
      </c>
      <c r="IZ20" s="70">
        <v>249.45</v>
      </c>
      <c r="JA20" s="70">
        <v>248.61</v>
      </c>
      <c r="JB20" s="70">
        <v>247.76</v>
      </c>
      <c r="JC20" s="70">
        <v>246.92</v>
      </c>
      <c r="JD20" s="70">
        <v>246.08</v>
      </c>
      <c r="JE20" s="70">
        <v>245.24</v>
      </c>
      <c r="JF20" s="70">
        <v>244.4</v>
      </c>
      <c r="JG20" s="70">
        <v>243.56</v>
      </c>
      <c r="JH20" s="70">
        <v>242.73</v>
      </c>
      <c r="JI20" s="70">
        <v>241.89</v>
      </c>
      <c r="JJ20" s="70">
        <v>241.06</v>
      </c>
      <c r="JK20" s="70">
        <v>240.22</v>
      </c>
      <c r="JL20" s="70">
        <v>239.39</v>
      </c>
      <c r="JM20" s="70">
        <v>238.56</v>
      </c>
      <c r="JN20" s="70">
        <v>237.73</v>
      </c>
      <c r="JO20" s="70">
        <v>236.9</v>
      </c>
      <c r="JP20" s="70">
        <v>236.07</v>
      </c>
      <c r="JQ20" s="70">
        <v>235.24</v>
      </c>
      <c r="JR20" s="70">
        <v>234.42</v>
      </c>
      <c r="JS20" s="70">
        <v>233.59</v>
      </c>
      <c r="JT20" s="70">
        <v>232.77</v>
      </c>
      <c r="JU20" s="70">
        <v>231.95</v>
      </c>
      <c r="JV20" s="70">
        <v>231.13</v>
      </c>
      <c r="JW20" s="70">
        <v>230.31</v>
      </c>
      <c r="JX20" s="70">
        <v>229.49</v>
      </c>
      <c r="JY20" s="70">
        <v>228.67</v>
      </c>
      <c r="JZ20" s="70">
        <v>227.85</v>
      </c>
      <c r="KA20" s="70">
        <v>227.03</v>
      </c>
      <c r="KB20" s="70">
        <v>226.22</v>
      </c>
      <c r="KC20" s="70">
        <v>225.41</v>
      </c>
      <c r="KD20" s="70">
        <v>224.59</v>
      </c>
      <c r="KE20" s="70">
        <v>223.78</v>
      </c>
      <c r="KF20" s="70">
        <v>222.97</v>
      </c>
      <c r="KG20" s="70">
        <v>222.16</v>
      </c>
      <c r="KH20" s="70">
        <v>221.35</v>
      </c>
      <c r="KI20" s="70">
        <v>220.54</v>
      </c>
      <c r="KJ20" s="70">
        <v>219.74</v>
      </c>
      <c r="KK20" s="70">
        <v>218.93</v>
      </c>
      <c r="KL20" s="70">
        <v>218.13</v>
      </c>
      <c r="KM20" s="70">
        <v>217.32</v>
      </c>
      <c r="KN20" s="70">
        <v>216.52</v>
      </c>
      <c r="KO20" s="70">
        <v>215.72</v>
      </c>
      <c r="KP20" s="70">
        <v>214.93</v>
      </c>
      <c r="KQ20" s="70">
        <v>214.13</v>
      </c>
      <c r="KR20" s="70">
        <v>213.07000000000014</v>
      </c>
      <c r="KS20" s="70">
        <v>212.32000000000014</v>
      </c>
      <c r="KT20" s="70">
        <v>211.57000000000014</v>
      </c>
      <c r="KU20" s="70">
        <v>210.82000000000014</v>
      </c>
      <c r="KV20" s="70">
        <v>210.07000000000014</v>
      </c>
      <c r="KW20" s="70">
        <v>209.32000000000014</v>
      </c>
      <c r="KX20" s="70">
        <v>208.57000000000014</v>
      </c>
      <c r="KY20" s="70">
        <v>207.82000000000014</v>
      </c>
      <c r="KZ20" s="70">
        <v>207.07000000000014</v>
      </c>
      <c r="LA20" s="70">
        <v>206.32000000000014</v>
      </c>
      <c r="LB20" s="70">
        <v>205.57000000000014</v>
      </c>
      <c r="LC20" s="70">
        <v>204.82000000000014</v>
      </c>
      <c r="LD20" s="70">
        <v>204.07000000000014</v>
      </c>
      <c r="LE20" s="70">
        <v>203.32000000000014</v>
      </c>
      <c r="LF20" s="70">
        <v>202.57000000000014</v>
      </c>
      <c r="LG20" s="70">
        <v>201.82000000000014</v>
      </c>
      <c r="LH20" s="70">
        <v>201.07000000000014</v>
      </c>
      <c r="LI20" s="70">
        <v>200.32000000000014</v>
      </c>
      <c r="LJ20" s="70">
        <v>199.57000000000014</v>
      </c>
      <c r="LK20" s="70">
        <v>198.82000000000014</v>
      </c>
      <c r="LL20" s="70">
        <v>198.07000000000014</v>
      </c>
      <c r="LM20" s="70">
        <v>197.32000000000014</v>
      </c>
      <c r="LN20" s="70">
        <v>196.57000000000014</v>
      </c>
      <c r="LO20" s="70">
        <v>195.82000000000014</v>
      </c>
      <c r="LP20" s="70">
        <v>195.07000000000014</v>
      </c>
      <c r="LQ20" s="70">
        <v>194.32000000000014</v>
      </c>
      <c r="LR20" s="70">
        <v>193.57000000000014</v>
      </c>
      <c r="LS20" s="70">
        <v>192.82000000000014</v>
      </c>
      <c r="LT20" s="70">
        <v>192.07000000000014</v>
      </c>
      <c r="LU20" s="70">
        <v>191.32000000000014</v>
      </c>
      <c r="LV20" s="70">
        <v>190.57000000000014</v>
      </c>
      <c r="LW20" s="70">
        <v>189.82000000000014</v>
      </c>
      <c r="LX20" s="70">
        <v>189.07000000000014</v>
      </c>
      <c r="LY20" s="70">
        <v>188.32000000000014</v>
      </c>
      <c r="LZ20" s="70">
        <v>187.57000000000014</v>
      </c>
      <c r="MA20" s="70">
        <v>186.82000000000014</v>
      </c>
      <c r="MB20" s="70">
        <v>186.07000000000014</v>
      </c>
      <c r="MC20" s="70">
        <v>185.32000000000014</v>
      </c>
      <c r="MD20" s="70">
        <v>184.57000000000014</v>
      </c>
      <c r="ME20" s="70">
        <v>183.82000000000014</v>
      </c>
      <c r="MF20" s="70">
        <v>183.07000000000014</v>
      </c>
      <c r="MG20" s="70">
        <v>182.32000000000014</v>
      </c>
      <c r="MH20" s="70">
        <v>181.57000000000014</v>
      </c>
      <c r="MI20" s="70">
        <v>180.82000000000014</v>
      </c>
      <c r="MJ20" s="70">
        <v>180.07000000000014</v>
      </c>
      <c r="MK20" s="70">
        <v>179.32000000000014</v>
      </c>
      <c r="ML20" s="70">
        <v>178.57000000000014</v>
      </c>
      <c r="MM20" s="70">
        <v>177.82000000000014</v>
      </c>
      <c r="MN20" s="70">
        <v>177.07000000000014</v>
      </c>
      <c r="MO20" s="70">
        <v>176.32000000000014</v>
      </c>
      <c r="MP20" s="70">
        <v>175.57000000000014</v>
      </c>
      <c r="MQ20" s="70">
        <v>174.82000000000014</v>
      </c>
      <c r="MR20" s="70">
        <v>174.07000000000014</v>
      </c>
      <c r="MS20" s="70">
        <v>173.32000000000014</v>
      </c>
      <c r="MT20" s="70">
        <v>172.57000000000014</v>
      </c>
      <c r="MU20" s="70">
        <v>171.82000000000014</v>
      </c>
      <c r="MV20" s="70">
        <v>171.07000000000014</v>
      </c>
      <c r="MW20" s="70">
        <v>170.32000000000014</v>
      </c>
      <c r="MX20" s="70">
        <v>169.57000000000014</v>
      </c>
      <c r="MY20" s="70">
        <v>168.82000000000014</v>
      </c>
    </row>
    <row r="21" spans="1:363" ht="15.6" x14ac:dyDescent="0.3">
      <c r="A21" s="67" t="s">
        <v>7</v>
      </c>
      <c r="B21" s="72">
        <v>2031</v>
      </c>
      <c r="C21" s="70">
        <v>497.37</v>
      </c>
      <c r="D21" s="70">
        <v>496.34</v>
      </c>
      <c r="E21" s="70">
        <v>495.32</v>
      </c>
      <c r="F21" s="70">
        <v>494.3</v>
      </c>
      <c r="G21" s="70">
        <v>493.28</v>
      </c>
      <c r="H21" s="70">
        <v>492.26</v>
      </c>
      <c r="I21" s="70">
        <v>491.24</v>
      </c>
      <c r="J21" s="70">
        <v>490.22</v>
      </c>
      <c r="K21" s="70">
        <v>489.2</v>
      </c>
      <c r="L21" s="70">
        <v>488.18</v>
      </c>
      <c r="M21" s="70">
        <v>487.16</v>
      </c>
      <c r="N21" s="70">
        <v>486.14</v>
      </c>
      <c r="O21" s="70">
        <v>485.12</v>
      </c>
      <c r="P21" s="70">
        <v>484.1</v>
      </c>
      <c r="Q21" s="70">
        <v>483.08</v>
      </c>
      <c r="R21" s="70">
        <v>482.06</v>
      </c>
      <c r="S21" s="70">
        <v>481.04</v>
      </c>
      <c r="T21" s="70">
        <v>480.02</v>
      </c>
      <c r="U21" s="70">
        <v>479</v>
      </c>
      <c r="V21" s="70">
        <v>477.98</v>
      </c>
      <c r="W21" s="70">
        <v>476.96</v>
      </c>
      <c r="X21" s="70">
        <v>475.94</v>
      </c>
      <c r="Y21" s="70">
        <v>474.92</v>
      </c>
      <c r="Z21" s="70">
        <v>473.9</v>
      </c>
      <c r="AA21" s="70">
        <v>472.88</v>
      </c>
      <c r="AB21" s="70">
        <v>471.86</v>
      </c>
      <c r="AC21" s="70">
        <v>470.85</v>
      </c>
      <c r="AD21" s="70">
        <v>469.83</v>
      </c>
      <c r="AE21" s="70">
        <v>468.81</v>
      </c>
      <c r="AF21" s="70">
        <v>467.79</v>
      </c>
      <c r="AG21" s="70">
        <v>466.77</v>
      </c>
      <c r="AH21" s="70">
        <v>465.75</v>
      </c>
      <c r="AI21" s="70">
        <v>464.73</v>
      </c>
      <c r="AJ21" s="70">
        <v>463.72</v>
      </c>
      <c r="AK21" s="70">
        <v>462.7</v>
      </c>
      <c r="AL21" s="70">
        <v>461.68</v>
      </c>
      <c r="AM21" s="70">
        <v>460.66</v>
      </c>
      <c r="AN21" s="70">
        <v>459.64</v>
      </c>
      <c r="AO21" s="70">
        <v>458.63</v>
      </c>
      <c r="AP21" s="70">
        <v>457.61</v>
      </c>
      <c r="AQ21" s="70">
        <v>456.59</v>
      </c>
      <c r="AR21" s="70">
        <v>455.58</v>
      </c>
      <c r="AS21" s="70">
        <v>454.56</v>
      </c>
      <c r="AT21" s="70">
        <v>453.54</v>
      </c>
      <c r="AU21" s="70">
        <v>452.53</v>
      </c>
      <c r="AV21" s="70">
        <v>451.51</v>
      </c>
      <c r="AW21" s="70">
        <v>450.49</v>
      </c>
      <c r="AX21" s="70">
        <v>449.48</v>
      </c>
      <c r="AY21" s="70">
        <v>448.46</v>
      </c>
      <c r="AZ21" s="70">
        <v>447.45</v>
      </c>
      <c r="BA21" s="70">
        <v>446.43</v>
      </c>
      <c r="BB21" s="70">
        <v>445.42</v>
      </c>
      <c r="BC21" s="70">
        <v>444.4</v>
      </c>
      <c r="BD21" s="70">
        <v>443.39</v>
      </c>
      <c r="BE21" s="70">
        <v>442.37</v>
      </c>
      <c r="BF21" s="70">
        <v>441.36</v>
      </c>
      <c r="BG21" s="70">
        <v>440.34</v>
      </c>
      <c r="BH21" s="70">
        <v>439.33</v>
      </c>
      <c r="BI21" s="70">
        <v>438.31</v>
      </c>
      <c r="BJ21" s="70">
        <v>437.3</v>
      </c>
      <c r="BK21" s="70">
        <v>436.29</v>
      </c>
      <c r="BL21" s="70">
        <v>435.27</v>
      </c>
      <c r="BM21" s="70">
        <v>434.26</v>
      </c>
      <c r="BN21" s="70">
        <v>433.25</v>
      </c>
      <c r="BO21" s="70">
        <v>432.24</v>
      </c>
      <c r="BP21" s="70">
        <v>431.23</v>
      </c>
      <c r="BQ21" s="70">
        <v>430.22</v>
      </c>
      <c r="BR21" s="70">
        <v>429.2</v>
      </c>
      <c r="BS21" s="70">
        <v>428.19</v>
      </c>
      <c r="BT21" s="70">
        <v>427.18</v>
      </c>
      <c r="BU21" s="70">
        <v>426.17</v>
      </c>
      <c r="BV21" s="70">
        <v>425.16</v>
      </c>
      <c r="BW21" s="70">
        <v>424.15</v>
      </c>
      <c r="BX21" s="70">
        <v>423.14</v>
      </c>
      <c r="BY21" s="70">
        <v>422.13</v>
      </c>
      <c r="BZ21" s="70">
        <v>421.13</v>
      </c>
      <c r="CA21" s="70">
        <v>420.12</v>
      </c>
      <c r="CB21" s="70">
        <v>419.11</v>
      </c>
      <c r="CC21" s="70">
        <v>418.1</v>
      </c>
      <c r="CD21" s="70">
        <v>417.1</v>
      </c>
      <c r="CE21" s="70">
        <v>416.09</v>
      </c>
      <c r="CF21" s="70">
        <v>415.08</v>
      </c>
      <c r="CG21" s="70">
        <v>414.08</v>
      </c>
      <c r="CH21" s="70">
        <v>413.07</v>
      </c>
      <c r="CI21" s="70">
        <v>412.06</v>
      </c>
      <c r="CJ21" s="70">
        <v>411.06</v>
      </c>
      <c r="CK21" s="70">
        <v>410.06</v>
      </c>
      <c r="CL21" s="70">
        <v>409.06</v>
      </c>
      <c r="CM21" s="70">
        <v>408.06</v>
      </c>
      <c r="CN21" s="70">
        <v>407.05</v>
      </c>
      <c r="CO21" s="70">
        <v>406.05</v>
      </c>
      <c r="CP21" s="70">
        <v>405.05</v>
      </c>
      <c r="CQ21" s="70">
        <v>404.05</v>
      </c>
      <c r="CR21" s="70">
        <v>403.05</v>
      </c>
      <c r="CS21" s="70">
        <v>402.05</v>
      </c>
      <c r="CT21" s="70">
        <v>401.05</v>
      </c>
      <c r="CU21" s="70">
        <v>400.05</v>
      </c>
      <c r="CV21" s="70">
        <v>399.05</v>
      </c>
      <c r="CW21" s="70">
        <v>398.05</v>
      </c>
      <c r="CX21" s="70">
        <v>397.06</v>
      </c>
      <c r="CY21" s="70">
        <v>396.06</v>
      </c>
      <c r="CZ21" s="70">
        <v>395.07</v>
      </c>
      <c r="DA21" s="70">
        <v>394.07</v>
      </c>
      <c r="DB21" s="70">
        <v>393.07</v>
      </c>
      <c r="DC21" s="70">
        <v>392.08</v>
      </c>
      <c r="DD21" s="70">
        <v>391.08</v>
      </c>
      <c r="DE21" s="70">
        <v>390.09</v>
      </c>
      <c r="DF21" s="70">
        <v>389.09</v>
      </c>
      <c r="DG21" s="70">
        <v>388.1</v>
      </c>
      <c r="DH21" s="70">
        <v>387.11</v>
      </c>
      <c r="DI21" s="70">
        <v>386.12</v>
      </c>
      <c r="DJ21" s="70">
        <v>385.13</v>
      </c>
      <c r="DK21" s="70">
        <v>384.14</v>
      </c>
      <c r="DL21" s="70">
        <v>383.15</v>
      </c>
      <c r="DM21" s="70">
        <v>382.17</v>
      </c>
      <c r="DN21" s="70">
        <v>381.18</v>
      </c>
      <c r="DO21" s="70">
        <v>380.19</v>
      </c>
      <c r="DP21" s="70">
        <v>379.2</v>
      </c>
      <c r="DQ21" s="70">
        <v>378.21</v>
      </c>
      <c r="DR21" s="70">
        <v>377.23</v>
      </c>
      <c r="DS21" s="70">
        <v>376.24</v>
      </c>
      <c r="DT21" s="70">
        <v>375.26</v>
      </c>
      <c r="DU21" s="70">
        <v>374.28</v>
      </c>
      <c r="DV21" s="70">
        <v>373.3</v>
      </c>
      <c r="DW21" s="70">
        <v>372.32</v>
      </c>
      <c r="DX21" s="70">
        <v>371.34</v>
      </c>
      <c r="DY21" s="70">
        <v>370.36</v>
      </c>
      <c r="DZ21" s="70">
        <v>369.38</v>
      </c>
      <c r="EA21" s="70">
        <v>368.4</v>
      </c>
      <c r="EB21" s="70">
        <v>367.42</v>
      </c>
      <c r="EC21" s="70">
        <v>366.44</v>
      </c>
      <c r="ED21" s="70">
        <v>365.47</v>
      </c>
      <c r="EE21" s="70">
        <v>364.49</v>
      </c>
      <c r="EF21" s="70">
        <v>363.52</v>
      </c>
      <c r="EG21" s="70">
        <v>362.55</v>
      </c>
      <c r="EH21" s="70">
        <v>361.58</v>
      </c>
      <c r="EI21" s="70">
        <v>360.61</v>
      </c>
      <c r="EJ21" s="70">
        <v>359.64</v>
      </c>
      <c r="EK21" s="70">
        <v>358.68</v>
      </c>
      <c r="EL21" s="70">
        <v>357.71</v>
      </c>
      <c r="EM21" s="70">
        <v>356.74</v>
      </c>
      <c r="EN21" s="70">
        <v>355.78</v>
      </c>
      <c r="EO21" s="70">
        <v>354.81</v>
      </c>
      <c r="EP21" s="70">
        <v>353.84</v>
      </c>
      <c r="EQ21" s="70">
        <v>352.88</v>
      </c>
      <c r="ER21" s="70">
        <v>351.92</v>
      </c>
      <c r="ES21" s="70">
        <v>350.96</v>
      </c>
      <c r="ET21" s="70">
        <v>350</v>
      </c>
      <c r="EU21" s="70">
        <v>349.04</v>
      </c>
      <c r="EV21" s="70">
        <v>348.08</v>
      </c>
      <c r="EW21" s="70">
        <v>347.12</v>
      </c>
      <c r="EX21" s="70">
        <v>346.17</v>
      </c>
      <c r="EY21" s="70">
        <v>345.21</v>
      </c>
      <c r="EZ21" s="70">
        <v>344.25</v>
      </c>
      <c r="FA21" s="70">
        <v>343.3</v>
      </c>
      <c r="FB21" s="70">
        <v>342.34</v>
      </c>
      <c r="FC21" s="70">
        <v>341.39</v>
      </c>
      <c r="FD21" s="70">
        <v>340.43</v>
      </c>
      <c r="FE21" s="70">
        <v>339.48</v>
      </c>
      <c r="FF21" s="70">
        <v>338.53</v>
      </c>
      <c r="FG21" s="70">
        <v>337.58</v>
      </c>
      <c r="FH21" s="70">
        <v>336.63</v>
      </c>
      <c r="FI21" s="70">
        <v>335.68</v>
      </c>
      <c r="FJ21" s="70">
        <v>334.73</v>
      </c>
      <c r="FK21" s="70">
        <v>333.78</v>
      </c>
      <c r="FL21" s="70">
        <v>332.83</v>
      </c>
      <c r="FM21" s="70">
        <v>331.88</v>
      </c>
      <c r="FN21" s="70">
        <v>330.94</v>
      </c>
      <c r="FO21" s="70">
        <v>329.99</v>
      </c>
      <c r="FP21" s="70">
        <v>329.04</v>
      </c>
      <c r="FQ21" s="70">
        <v>328.1</v>
      </c>
      <c r="FR21" s="70">
        <v>327.16000000000003</v>
      </c>
      <c r="FS21" s="70">
        <v>326.22000000000003</v>
      </c>
      <c r="FT21" s="70">
        <v>325.26</v>
      </c>
      <c r="FU21" s="70">
        <v>324.32</v>
      </c>
      <c r="FV21" s="70">
        <v>323.39</v>
      </c>
      <c r="FW21" s="70">
        <v>322.45</v>
      </c>
      <c r="FX21" s="70">
        <v>321.51</v>
      </c>
      <c r="FY21" s="70">
        <v>320.57</v>
      </c>
      <c r="FZ21" s="70">
        <v>319.64</v>
      </c>
      <c r="GA21" s="70">
        <v>318.7</v>
      </c>
      <c r="GB21" s="70">
        <v>317.76</v>
      </c>
      <c r="GC21" s="70">
        <v>316.82</v>
      </c>
      <c r="GD21" s="70">
        <v>315.89999999999998</v>
      </c>
      <c r="GE21" s="70">
        <v>314.97000000000003</v>
      </c>
      <c r="GF21" s="70">
        <v>314.04000000000002</v>
      </c>
      <c r="GG21" s="70">
        <v>313.10000000000002</v>
      </c>
      <c r="GH21" s="70">
        <v>312.17</v>
      </c>
      <c r="GI21" s="70">
        <v>311.25</v>
      </c>
      <c r="GJ21" s="70">
        <v>310.32</v>
      </c>
      <c r="GK21" s="70">
        <v>309.39</v>
      </c>
      <c r="GL21" s="70">
        <v>308.47000000000003</v>
      </c>
      <c r="GM21" s="70">
        <v>307.54000000000002</v>
      </c>
      <c r="GN21" s="70">
        <v>306.62</v>
      </c>
      <c r="GO21" s="70">
        <v>305.7</v>
      </c>
      <c r="GP21" s="70">
        <v>304.76</v>
      </c>
      <c r="GQ21" s="70">
        <v>303.85000000000002</v>
      </c>
      <c r="GR21" s="70">
        <v>302.94</v>
      </c>
      <c r="GS21" s="70">
        <v>302.01</v>
      </c>
      <c r="GT21" s="70">
        <v>301.10000000000002</v>
      </c>
      <c r="GU21" s="70">
        <v>300.19</v>
      </c>
      <c r="GV21" s="70">
        <v>299.26</v>
      </c>
      <c r="GW21" s="70">
        <v>298.35000000000002</v>
      </c>
      <c r="GX21" s="70">
        <v>297.44</v>
      </c>
      <c r="GY21" s="70">
        <v>296.52999999999997</v>
      </c>
      <c r="GZ21" s="70">
        <v>295.62</v>
      </c>
      <c r="HA21" s="70">
        <v>294.70999999999998</v>
      </c>
      <c r="HB21" s="70">
        <v>293.81</v>
      </c>
      <c r="HC21" s="70">
        <v>292.89999999999998</v>
      </c>
      <c r="HD21" s="70">
        <v>291.99</v>
      </c>
      <c r="HE21" s="70">
        <v>291.08999999999997</v>
      </c>
      <c r="HF21" s="70">
        <v>290.19</v>
      </c>
      <c r="HG21" s="70">
        <v>289.27999999999997</v>
      </c>
      <c r="HH21" s="70">
        <v>288.38</v>
      </c>
      <c r="HI21" s="70">
        <v>287.48</v>
      </c>
      <c r="HJ21" s="70">
        <v>286.57</v>
      </c>
      <c r="HK21" s="70">
        <v>285.69</v>
      </c>
      <c r="HL21" s="70">
        <v>284.79000000000002</v>
      </c>
      <c r="HM21" s="70">
        <v>283.89999999999998</v>
      </c>
      <c r="HN21" s="70">
        <v>283</v>
      </c>
      <c r="HO21" s="70">
        <v>282.10000000000002</v>
      </c>
      <c r="HP21" s="70">
        <v>281.22000000000003</v>
      </c>
      <c r="HQ21" s="70">
        <v>280.32</v>
      </c>
      <c r="HR21" s="70">
        <v>279.45</v>
      </c>
      <c r="HS21" s="70">
        <v>278.56</v>
      </c>
      <c r="HT21" s="70">
        <v>277.67</v>
      </c>
      <c r="HU21" s="70">
        <v>276.79000000000002</v>
      </c>
      <c r="HV21" s="70">
        <v>275.91000000000003</v>
      </c>
      <c r="HW21" s="70">
        <v>275.01</v>
      </c>
      <c r="HX21" s="70">
        <v>274.14</v>
      </c>
      <c r="HY21" s="70">
        <v>273.26</v>
      </c>
      <c r="HZ21" s="70">
        <v>272.38</v>
      </c>
      <c r="IA21" s="70">
        <v>271.51</v>
      </c>
      <c r="IB21" s="70">
        <v>270.63</v>
      </c>
      <c r="IC21" s="70">
        <v>269.75</v>
      </c>
      <c r="ID21" s="70">
        <v>268.88</v>
      </c>
      <c r="IE21" s="70">
        <v>268</v>
      </c>
      <c r="IF21" s="70">
        <v>267.13</v>
      </c>
      <c r="IG21" s="70">
        <v>266.26</v>
      </c>
      <c r="IH21" s="70">
        <v>265.39</v>
      </c>
      <c r="II21" s="70">
        <v>264.51</v>
      </c>
      <c r="IJ21" s="70">
        <v>263.64999999999998</v>
      </c>
      <c r="IK21" s="70">
        <v>262.79000000000002</v>
      </c>
      <c r="IL21" s="70">
        <v>261.92</v>
      </c>
      <c r="IM21" s="70">
        <v>261.06</v>
      </c>
      <c r="IN21" s="70">
        <v>260.2</v>
      </c>
      <c r="IO21" s="70">
        <v>259.32</v>
      </c>
      <c r="IP21" s="70">
        <v>258.47000000000003</v>
      </c>
      <c r="IQ21" s="70">
        <v>257.62</v>
      </c>
      <c r="IR21" s="70">
        <v>256.76</v>
      </c>
      <c r="IS21" s="70">
        <v>255.9</v>
      </c>
      <c r="IT21" s="70">
        <v>255.05</v>
      </c>
      <c r="IU21" s="70">
        <v>254.19</v>
      </c>
      <c r="IV21" s="70">
        <v>253.34</v>
      </c>
      <c r="IW21" s="70">
        <v>252.49</v>
      </c>
      <c r="IX21" s="70">
        <v>251.64</v>
      </c>
      <c r="IY21" s="70">
        <v>250.79</v>
      </c>
      <c r="IZ21" s="70">
        <v>249.95</v>
      </c>
      <c r="JA21" s="70">
        <v>249.1</v>
      </c>
      <c r="JB21" s="70">
        <v>248.26</v>
      </c>
      <c r="JC21" s="70">
        <v>247.41</v>
      </c>
      <c r="JD21" s="70">
        <v>246.57</v>
      </c>
      <c r="JE21" s="70">
        <v>245.73</v>
      </c>
      <c r="JF21" s="70">
        <v>244.89</v>
      </c>
      <c r="JG21" s="70">
        <v>244.05</v>
      </c>
      <c r="JH21" s="70">
        <v>243.22</v>
      </c>
      <c r="JI21" s="70">
        <v>242.38</v>
      </c>
      <c r="JJ21" s="70">
        <v>241.54</v>
      </c>
      <c r="JK21" s="70">
        <v>240.71</v>
      </c>
      <c r="JL21" s="70">
        <v>239.88</v>
      </c>
      <c r="JM21" s="70">
        <v>239.05</v>
      </c>
      <c r="JN21" s="70">
        <v>238.21</v>
      </c>
      <c r="JO21" s="70">
        <v>237.38</v>
      </c>
      <c r="JP21" s="70">
        <v>236.56</v>
      </c>
      <c r="JQ21" s="70">
        <v>235.73</v>
      </c>
      <c r="JR21" s="70">
        <v>234.9</v>
      </c>
      <c r="JS21" s="70">
        <v>234.08</v>
      </c>
      <c r="JT21" s="70">
        <v>233.25</v>
      </c>
      <c r="JU21" s="70">
        <v>232.43</v>
      </c>
      <c r="JV21" s="70">
        <v>231.61</v>
      </c>
      <c r="JW21" s="70">
        <v>230.79</v>
      </c>
      <c r="JX21" s="70">
        <v>229.97</v>
      </c>
      <c r="JY21" s="70">
        <v>229.15</v>
      </c>
      <c r="JZ21" s="70">
        <v>228.33</v>
      </c>
      <c r="KA21" s="70">
        <v>227.51</v>
      </c>
      <c r="KB21" s="70">
        <v>226.7</v>
      </c>
      <c r="KC21" s="70">
        <v>225.88</v>
      </c>
      <c r="KD21" s="70">
        <v>225.07</v>
      </c>
      <c r="KE21" s="70">
        <v>224.26</v>
      </c>
      <c r="KF21" s="70">
        <v>223.45</v>
      </c>
      <c r="KG21" s="70">
        <v>222.63</v>
      </c>
      <c r="KH21" s="70">
        <v>221.83</v>
      </c>
      <c r="KI21" s="70">
        <v>221.02</v>
      </c>
      <c r="KJ21" s="70">
        <v>220.21</v>
      </c>
      <c r="KK21" s="70">
        <v>219.4</v>
      </c>
      <c r="KL21" s="70">
        <v>218.6</v>
      </c>
      <c r="KM21" s="70">
        <v>217.8</v>
      </c>
      <c r="KN21" s="70">
        <v>217</v>
      </c>
      <c r="KO21" s="70">
        <v>216.2</v>
      </c>
      <c r="KP21" s="70">
        <v>215.4</v>
      </c>
      <c r="KQ21" s="70">
        <v>214.6</v>
      </c>
      <c r="KR21" s="70">
        <v>213.53000000000014</v>
      </c>
      <c r="KS21" s="70">
        <v>212.78000000000014</v>
      </c>
      <c r="KT21" s="70">
        <v>212.03000000000014</v>
      </c>
      <c r="KU21" s="70">
        <v>211.28000000000014</v>
      </c>
      <c r="KV21" s="70">
        <v>210.53000000000014</v>
      </c>
      <c r="KW21" s="70">
        <v>209.78000000000014</v>
      </c>
      <c r="KX21" s="70">
        <v>209.03000000000014</v>
      </c>
      <c r="KY21" s="70">
        <v>208.28000000000014</v>
      </c>
      <c r="KZ21" s="70">
        <v>207.53000000000014</v>
      </c>
      <c r="LA21" s="70">
        <v>206.78000000000014</v>
      </c>
      <c r="LB21" s="70">
        <v>206.03000000000014</v>
      </c>
      <c r="LC21" s="70">
        <v>205.28000000000014</v>
      </c>
      <c r="LD21" s="70">
        <v>204.53000000000014</v>
      </c>
      <c r="LE21" s="70">
        <v>203.78000000000014</v>
      </c>
      <c r="LF21" s="70">
        <v>203.03000000000014</v>
      </c>
      <c r="LG21" s="70">
        <v>202.28000000000014</v>
      </c>
      <c r="LH21" s="70">
        <v>201.53000000000014</v>
      </c>
      <c r="LI21" s="70">
        <v>200.78000000000014</v>
      </c>
      <c r="LJ21" s="70">
        <v>200.03000000000014</v>
      </c>
      <c r="LK21" s="70">
        <v>199.28000000000014</v>
      </c>
      <c r="LL21" s="70">
        <v>198.53000000000014</v>
      </c>
      <c r="LM21" s="70">
        <v>197.78000000000014</v>
      </c>
      <c r="LN21" s="70">
        <v>197.03000000000014</v>
      </c>
      <c r="LO21" s="70">
        <v>196.28000000000014</v>
      </c>
      <c r="LP21" s="70">
        <v>195.53000000000014</v>
      </c>
      <c r="LQ21" s="70">
        <v>194.78000000000014</v>
      </c>
      <c r="LR21" s="70">
        <v>194.03000000000014</v>
      </c>
      <c r="LS21" s="70">
        <v>193.28000000000014</v>
      </c>
      <c r="LT21" s="70">
        <v>192.53000000000014</v>
      </c>
      <c r="LU21" s="70">
        <v>191.78000000000014</v>
      </c>
      <c r="LV21" s="70">
        <v>191.03000000000014</v>
      </c>
      <c r="LW21" s="70">
        <v>190.28000000000014</v>
      </c>
      <c r="LX21" s="70">
        <v>189.53000000000014</v>
      </c>
      <c r="LY21" s="70">
        <v>188.78000000000014</v>
      </c>
      <c r="LZ21" s="70">
        <v>188.03000000000014</v>
      </c>
      <c r="MA21" s="70">
        <v>187.28000000000014</v>
      </c>
      <c r="MB21" s="70">
        <v>186.53000000000014</v>
      </c>
      <c r="MC21" s="70">
        <v>185.78000000000014</v>
      </c>
      <c r="MD21" s="70">
        <v>185.03000000000014</v>
      </c>
      <c r="ME21" s="70">
        <v>184.28000000000014</v>
      </c>
      <c r="MF21" s="70">
        <v>183.53000000000014</v>
      </c>
      <c r="MG21" s="70">
        <v>182.78000000000014</v>
      </c>
      <c r="MH21" s="70">
        <v>182.03000000000014</v>
      </c>
      <c r="MI21" s="70">
        <v>181.28000000000014</v>
      </c>
      <c r="MJ21" s="70">
        <v>180.53000000000014</v>
      </c>
      <c r="MK21" s="70">
        <v>179.78000000000014</v>
      </c>
      <c r="ML21" s="70">
        <v>179.03000000000014</v>
      </c>
      <c r="MM21" s="70">
        <v>178.28000000000014</v>
      </c>
      <c r="MN21" s="70">
        <v>177.53000000000014</v>
      </c>
      <c r="MO21" s="70">
        <v>176.78000000000014</v>
      </c>
      <c r="MP21" s="70">
        <v>176.03000000000014</v>
      </c>
      <c r="MQ21" s="70">
        <v>175.28000000000014</v>
      </c>
      <c r="MR21" s="70">
        <v>174.53000000000014</v>
      </c>
      <c r="MS21" s="70">
        <v>173.78000000000014</v>
      </c>
      <c r="MT21" s="70">
        <v>173.03000000000014</v>
      </c>
      <c r="MU21" s="70">
        <v>172.28000000000014</v>
      </c>
      <c r="MV21" s="70">
        <v>171.53000000000014</v>
      </c>
      <c r="MW21" s="70">
        <v>170.78000000000014</v>
      </c>
      <c r="MX21" s="70">
        <v>170.03000000000014</v>
      </c>
      <c r="MY21" s="70">
        <v>169.28000000000014</v>
      </c>
    </row>
    <row r="22" spans="1:363" ht="15.6" x14ac:dyDescent="0.3">
      <c r="A22" s="67" t="s">
        <v>7</v>
      </c>
      <c r="B22" s="72">
        <v>2032</v>
      </c>
      <c r="C22" s="70">
        <v>497.95</v>
      </c>
      <c r="D22" s="70">
        <v>496.93</v>
      </c>
      <c r="E22" s="70">
        <v>495.91</v>
      </c>
      <c r="F22" s="70">
        <v>494.89</v>
      </c>
      <c r="G22" s="70">
        <v>493.87</v>
      </c>
      <c r="H22" s="70">
        <v>492.85</v>
      </c>
      <c r="I22" s="70">
        <v>491.83</v>
      </c>
      <c r="J22" s="70">
        <v>490.8</v>
      </c>
      <c r="K22" s="70">
        <v>489.78</v>
      </c>
      <c r="L22" s="70">
        <v>488.76</v>
      </c>
      <c r="M22" s="70">
        <v>487.74</v>
      </c>
      <c r="N22" s="70">
        <v>486.72</v>
      </c>
      <c r="O22" s="70">
        <v>485.7</v>
      </c>
      <c r="P22" s="70">
        <v>484.68</v>
      </c>
      <c r="Q22" s="70">
        <v>483.66</v>
      </c>
      <c r="R22" s="70">
        <v>482.64</v>
      </c>
      <c r="S22" s="70">
        <v>481.62</v>
      </c>
      <c r="T22" s="70">
        <v>480.6</v>
      </c>
      <c r="U22" s="70">
        <v>479.58</v>
      </c>
      <c r="V22" s="70">
        <v>478.56</v>
      </c>
      <c r="W22" s="70">
        <v>477.54</v>
      </c>
      <c r="X22" s="70">
        <v>476.52</v>
      </c>
      <c r="Y22" s="70">
        <v>475.5</v>
      </c>
      <c r="Z22" s="70">
        <v>474.48</v>
      </c>
      <c r="AA22" s="70">
        <v>473.46</v>
      </c>
      <c r="AB22" s="70">
        <v>472.44</v>
      </c>
      <c r="AC22" s="70">
        <v>471.42</v>
      </c>
      <c r="AD22" s="70">
        <v>470.4</v>
      </c>
      <c r="AE22" s="70">
        <v>469.39</v>
      </c>
      <c r="AF22" s="70">
        <v>468.37</v>
      </c>
      <c r="AG22" s="70">
        <v>467.35</v>
      </c>
      <c r="AH22" s="70">
        <v>466.33</v>
      </c>
      <c r="AI22" s="70">
        <v>465.31</v>
      </c>
      <c r="AJ22" s="70">
        <v>464.29</v>
      </c>
      <c r="AK22" s="70">
        <v>463.27</v>
      </c>
      <c r="AL22" s="70">
        <v>462.25</v>
      </c>
      <c r="AM22" s="70">
        <v>461.24</v>
      </c>
      <c r="AN22" s="70">
        <v>460.22</v>
      </c>
      <c r="AO22" s="70">
        <v>459.2</v>
      </c>
      <c r="AP22" s="70">
        <v>458.18</v>
      </c>
      <c r="AQ22" s="70">
        <v>457.17</v>
      </c>
      <c r="AR22" s="70">
        <v>456.15</v>
      </c>
      <c r="AS22" s="70">
        <v>455.13</v>
      </c>
      <c r="AT22" s="70">
        <v>454.12</v>
      </c>
      <c r="AU22" s="70">
        <v>453.1</v>
      </c>
      <c r="AV22" s="70">
        <v>452.08</v>
      </c>
      <c r="AW22" s="70">
        <v>451.06</v>
      </c>
      <c r="AX22" s="70">
        <v>450.05</v>
      </c>
      <c r="AY22" s="70">
        <v>449.03</v>
      </c>
      <c r="AZ22" s="70">
        <v>448.02</v>
      </c>
      <c r="BA22" s="70">
        <v>447</v>
      </c>
      <c r="BB22" s="70">
        <v>445.99</v>
      </c>
      <c r="BC22" s="70">
        <v>444.97</v>
      </c>
      <c r="BD22" s="70">
        <v>443.96</v>
      </c>
      <c r="BE22" s="70">
        <v>442.94</v>
      </c>
      <c r="BF22" s="70">
        <v>441.93</v>
      </c>
      <c r="BG22" s="70">
        <v>440.91</v>
      </c>
      <c r="BH22" s="70">
        <v>439.9</v>
      </c>
      <c r="BI22" s="70">
        <v>438.88</v>
      </c>
      <c r="BJ22" s="70">
        <v>437.87</v>
      </c>
      <c r="BK22" s="70">
        <v>436.85</v>
      </c>
      <c r="BL22" s="70">
        <v>435.84</v>
      </c>
      <c r="BM22" s="70">
        <v>434.83</v>
      </c>
      <c r="BN22" s="70">
        <v>433.82</v>
      </c>
      <c r="BO22" s="70">
        <v>432.8</v>
      </c>
      <c r="BP22" s="70">
        <v>431.79</v>
      </c>
      <c r="BQ22" s="70">
        <v>430.78</v>
      </c>
      <c r="BR22" s="70">
        <v>429.77</v>
      </c>
      <c r="BS22" s="70">
        <v>428.76</v>
      </c>
      <c r="BT22" s="70">
        <v>427.74</v>
      </c>
      <c r="BU22" s="70">
        <v>426.73</v>
      </c>
      <c r="BV22" s="70">
        <v>425.72</v>
      </c>
      <c r="BW22" s="70">
        <v>424.71</v>
      </c>
      <c r="BX22" s="70">
        <v>423.7</v>
      </c>
      <c r="BY22" s="70">
        <v>422.69</v>
      </c>
      <c r="BZ22" s="70">
        <v>421.69</v>
      </c>
      <c r="CA22" s="70">
        <v>420.68</v>
      </c>
      <c r="CB22" s="70">
        <v>419.67</v>
      </c>
      <c r="CC22" s="70">
        <v>418.66</v>
      </c>
      <c r="CD22" s="70">
        <v>417.65</v>
      </c>
      <c r="CE22" s="70">
        <v>416.65</v>
      </c>
      <c r="CF22" s="70">
        <v>415.64</v>
      </c>
      <c r="CG22" s="70">
        <v>414.63</v>
      </c>
      <c r="CH22" s="70">
        <v>413.63</v>
      </c>
      <c r="CI22" s="70">
        <v>412.62</v>
      </c>
      <c r="CJ22" s="70">
        <v>411.62</v>
      </c>
      <c r="CK22" s="70">
        <v>410.61</v>
      </c>
      <c r="CL22" s="70">
        <v>409.61</v>
      </c>
      <c r="CM22" s="70">
        <v>408.61</v>
      </c>
      <c r="CN22" s="70">
        <v>407.61</v>
      </c>
      <c r="CO22" s="70">
        <v>406.6</v>
      </c>
      <c r="CP22" s="70">
        <v>405.6</v>
      </c>
      <c r="CQ22" s="70">
        <v>404.6</v>
      </c>
      <c r="CR22" s="70">
        <v>403.6</v>
      </c>
      <c r="CS22" s="70">
        <v>402.6</v>
      </c>
      <c r="CT22" s="70">
        <v>401.6</v>
      </c>
      <c r="CU22" s="70">
        <v>400.6</v>
      </c>
      <c r="CV22" s="70">
        <v>399.6</v>
      </c>
      <c r="CW22" s="70">
        <v>398.6</v>
      </c>
      <c r="CX22" s="70">
        <v>397.61</v>
      </c>
      <c r="CY22" s="70">
        <v>396.61</v>
      </c>
      <c r="CZ22" s="70">
        <v>395.61</v>
      </c>
      <c r="DA22" s="70">
        <v>394.62</v>
      </c>
      <c r="DB22" s="70">
        <v>393.62</v>
      </c>
      <c r="DC22" s="70">
        <v>392.63</v>
      </c>
      <c r="DD22" s="70">
        <v>391.63</v>
      </c>
      <c r="DE22" s="70">
        <v>390.63</v>
      </c>
      <c r="DF22" s="70">
        <v>389.64</v>
      </c>
      <c r="DG22" s="70">
        <v>388.64</v>
      </c>
      <c r="DH22" s="70">
        <v>387.65</v>
      </c>
      <c r="DI22" s="70">
        <v>386.66</v>
      </c>
      <c r="DJ22" s="70">
        <v>385.68</v>
      </c>
      <c r="DK22" s="70">
        <v>384.69</v>
      </c>
      <c r="DL22" s="70">
        <v>383.7</v>
      </c>
      <c r="DM22" s="70">
        <v>382.71</v>
      </c>
      <c r="DN22" s="70">
        <v>381.72</v>
      </c>
      <c r="DO22" s="70">
        <v>380.73</v>
      </c>
      <c r="DP22" s="70">
        <v>379.74</v>
      </c>
      <c r="DQ22" s="70">
        <v>378.75</v>
      </c>
      <c r="DR22" s="70">
        <v>377.77</v>
      </c>
      <c r="DS22" s="70">
        <v>376.78</v>
      </c>
      <c r="DT22" s="70">
        <v>375.8</v>
      </c>
      <c r="DU22" s="70">
        <v>374.82</v>
      </c>
      <c r="DV22" s="70">
        <v>373.84</v>
      </c>
      <c r="DW22" s="70">
        <v>372.85</v>
      </c>
      <c r="DX22" s="70">
        <v>371.87</v>
      </c>
      <c r="DY22" s="70">
        <v>370.89</v>
      </c>
      <c r="DZ22" s="70">
        <v>369.92</v>
      </c>
      <c r="EA22" s="70">
        <v>368.94</v>
      </c>
      <c r="EB22" s="70">
        <v>367.96</v>
      </c>
      <c r="EC22" s="70">
        <v>366.98</v>
      </c>
      <c r="ED22" s="70">
        <v>366</v>
      </c>
      <c r="EE22" s="70">
        <v>365.03</v>
      </c>
      <c r="EF22" s="70">
        <v>364.06</v>
      </c>
      <c r="EG22" s="70">
        <v>363.09</v>
      </c>
      <c r="EH22" s="70">
        <v>362.12</v>
      </c>
      <c r="EI22" s="70">
        <v>361.15</v>
      </c>
      <c r="EJ22" s="70">
        <v>360.18</v>
      </c>
      <c r="EK22" s="70">
        <v>359.21</v>
      </c>
      <c r="EL22" s="70">
        <v>358.24</v>
      </c>
      <c r="EM22" s="70">
        <v>357.28</v>
      </c>
      <c r="EN22" s="70">
        <v>356.31</v>
      </c>
      <c r="EO22" s="70">
        <v>355.34</v>
      </c>
      <c r="EP22" s="70">
        <v>354.38</v>
      </c>
      <c r="EQ22" s="70">
        <v>353.41</v>
      </c>
      <c r="ER22" s="70">
        <v>352.45</v>
      </c>
      <c r="ES22" s="70">
        <v>351.49</v>
      </c>
      <c r="ET22" s="70">
        <v>350.53</v>
      </c>
      <c r="EU22" s="70">
        <v>349.57</v>
      </c>
      <c r="EV22" s="70">
        <v>348.61</v>
      </c>
      <c r="EW22" s="70">
        <v>347.65</v>
      </c>
      <c r="EX22" s="70">
        <v>346.7</v>
      </c>
      <c r="EY22" s="70">
        <v>345.74</v>
      </c>
      <c r="EZ22" s="70">
        <v>344.78</v>
      </c>
      <c r="FA22" s="70">
        <v>343.83</v>
      </c>
      <c r="FB22" s="70">
        <v>342.87</v>
      </c>
      <c r="FC22" s="70">
        <v>341.92</v>
      </c>
      <c r="FD22" s="70">
        <v>340.96</v>
      </c>
      <c r="FE22" s="70">
        <v>340.01</v>
      </c>
      <c r="FF22" s="70">
        <v>339.06</v>
      </c>
      <c r="FG22" s="70">
        <v>338.11</v>
      </c>
      <c r="FH22" s="70">
        <v>337.15</v>
      </c>
      <c r="FI22" s="70">
        <v>336.2</v>
      </c>
      <c r="FJ22" s="70">
        <v>335.25</v>
      </c>
      <c r="FK22" s="70">
        <v>334.31</v>
      </c>
      <c r="FL22" s="70">
        <v>333.36</v>
      </c>
      <c r="FM22" s="70">
        <v>332.41</v>
      </c>
      <c r="FN22" s="70">
        <v>331.46</v>
      </c>
      <c r="FO22" s="70">
        <v>330.52</v>
      </c>
      <c r="FP22" s="70">
        <v>329.57</v>
      </c>
      <c r="FQ22" s="70">
        <v>328.63</v>
      </c>
      <c r="FR22" s="70">
        <v>327.68</v>
      </c>
      <c r="FS22" s="70">
        <v>326.74</v>
      </c>
      <c r="FT22" s="70">
        <v>325.79000000000002</v>
      </c>
      <c r="FU22" s="70">
        <v>324.85000000000002</v>
      </c>
      <c r="FV22" s="70">
        <v>323.92</v>
      </c>
      <c r="FW22" s="70">
        <v>322.98</v>
      </c>
      <c r="FX22" s="70">
        <v>322.04000000000002</v>
      </c>
      <c r="FY22" s="70">
        <v>321.10000000000002</v>
      </c>
      <c r="FZ22" s="70">
        <v>320.16000000000003</v>
      </c>
      <c r="GA22" s="70">
        <v>319.23</v>
      </c>
      <c r="GB22" s="70">
        <v>318.29000000000002</v>
      </c>
      <c r="GC22" s="70">
        <v>317.35000000000002</v>
      </c>
      <c r="GD22" s="70">
        <v>316.42</v>
      </c>
      <c r="GE22" s="70">
        <v>315.49</v>
      </c>
      <c r="GF22" s="70">
        <v>314.56</v>
      </c>
      <c r="GG22" s="70">
        <v>313.63</v>
      </c>
      <c r="GH22" s="70">
        <v>312.7</v>
      </c>
      <c r="GI22" s="70">
        <v>311.76</v>
      </c>
      <c r="GJ22" s="70">
        <v>310.83999999999997</v>
      </c>
      <c r="GK22" s="70">
        <v>309.91000000000003</v>
      </c>
      <c r="GL22" s="70">
        <v>308.99</v>
      </c>
      <c r="GM22" s="70">
        <v>308.06</v>
      </c>
      <c r="GN22" s="70">
        <v>307.14</v>
      </c>
      <c r="GO22" s="70">
        <v>306.22000000000003</v>
      </c>
      <c r="GP22" s="70">
        <v>305.29000000000002</v>
      </c>
      <c r="GQ22" s="70">
        <v>304.37</v>
      </c>
      <c r="GR22" s="70">
        <v>303.45</v>
      </c>
      <c r="GS22" s="70">
        <v>302.54000000000002</v>
      </c>
      <c r="GT22" s="70">
        <v>301.62</v>
      </c>
      <c r="GU22" s="70">
        <v>300.7</v>
      </c>
      <c r="GV22" s="70">
        <v>299.79000000000002</v>
      </c>
      <c r="GW22" s="70">
        <v>298.87</v>
      </c>
      <c r="GX22" s="70">
        <v>297.95999999999998</v>
      </c>
      <c r="GY22" s="70">
        <v>297.04000000000002</v>
      </c>
      <c r="GZ22" s="70">
        <v>296.14</v>
      </c>
      <c r="HA22" s="70">
        <v>295.23</v>
      </c>
      <c r="HB22" s="70">
        <v>294.32</v>
      </c>
      <c r="HC22" s="70">
        <v>293.41000000000003</v>
      </c>
      <c r="HD22" s="70">
        <v>292.51</v>
      </c>
      <c r="HE22" s="70">
        <v>291.60000000000002</v>
      </c>
      <c r="HF22" s="70">
        <v>290.7</v>
      </c>
      <c r="HG22" s="70">
        <v>289.79000000000002</v>
      </c>
      <c r="HH22" s="70">
        <v>288.89</v>
      </c>
      <c r="HI22" s="70">
        <v>287.99</v>
      </c>
      <c r="HJ22" s="70">
        <v>287.10000000000002</v>
      </c>
      <c r="HK22" s="70">
        <v>286.2</v>
      </c>
      <c r="HL22" s="70">
        <v>285.29000000000002</v>
      </c>
      <c r="HM22" s="70">
        <v>284.41000000000003</v>
      </c>
      <c r="HN22" s="70">
        <v>283.51</v>
      </c>
      <c r="HO22" s="70">
        <v>282.62</v>
      </c>
      <c r="HP22" s="70">
        <v>281.73</v>
      </c>
      <c r="HQ22" s="70">
        <v>280.83999999999997</v>
      </c>
      <c r="HR22" s="70">
        <v>279.95</v>
      </c>
      <c r="HS22" s="70">
        <v>279.07</v>
      </c>
      <c r="HT22" s="70">
        <v>278.18</v>
      </c>
      <c r="HU22" s="70">
        <v>277.29000000000002</v>
      </c>
      <c r="HV22" s="70">
        <v>276.41000000000003</v>
      </c>
      <c r="HW22" s="70">
        <v>275.52999999999997</v>
      </c>
      <c r="HX22" s="70">
        <v>274.64999999999998</v>
      </c>
      <c r="HY22" s="70">
        <v>273.76</v>
      </c>
      <c r="HZ22" s="70">
        <v>272.89</v>
      </c>
      <c r="IA22" s="70">
        <v>272.01</v>
      </c>
      <c r="IB22" s="70">
        <v>271.13</v>
      </c>
      <c r="IC22" s="70">
        <v>270.26</v>
      </c>
      <c r="ID22" s="70">
        <v>269.38</v>
      </c>
      <c r="IE22" s="70">
        <v>268.51</v>
      </c>
      <c r="IF22" s="70">
        <v>267.64</v>
      </c>
      <c r="IG22" s="70">
        <v>266.76</v>
      </c>
      <c r="IH22" s="70">
        <v>265.89</v>
      </c>
      <c r="II22" s="70">
        <v>265.01</v>
      </c>
      <c r="IJ22" s="70">
        <v>264.16000000000003</v>
      </c>
      <c r="IK22" s="70">
        <v>263.29000000000002</v>
      </c>
      <c r="IL22" s="70">
        <v>262.42</v>
      </c>
      <c r="IM22" s="70">
        <v>261.56</v>
      </c>
      <c r="IN22" s="70">
        <v>260.7</v>
      </c>
      <c r="IO22" s="70">
        <v>259.82</v>
      </c>
      <c r="IP22" s="70">
        <v>258.97000000000003</v>
      </c>
      <c r="IQ22" s="70">
        <v>258.10000000000002</v>
      </c>
      <c r="IR22" s="70">
        <v>257.25</v>
      </c>
      <c r="IS22" s="70">
        <v>256.39999999999998</v>
      </c>
      <c r="IT22" s="70">
        <v>255.54</v>
      </c>
      <c r="IU22" s="70">
        <v>254.69</v>
      </c>
      <c r="IV22" s="70">
        <v>253.84</v>
      </c>
      <c r="IW22" s="70">
        <v>252.98</v>
      </c>
      <c r="IX22" s="70">
        <v>252.14</v>
      </c>
      <c r="IY22" s="70">
        <v>251.29</v>
      </c>
      <c r="IZ22" s="70">
        <v>250.44</v>
      </c>
      <c r="JA22" s="70">
        <v>249.59</v>
      </c>
      <c r="JB22" s="70">
        <v>248.75</v>
      </c>
      <c r="JC22" s="70">
        <v>247.91</v>
      </c>
      <c r="JD22" s="70">
        <v>247.06</v>
      </c>
      <c r="JE22" s="70">
        <v>246.22</v>
      </c>
      <c r="JF22" s="70">
        <v>245.38</v>
      </c>
      <c r="JG22" s="70">
        <v>244.54</v>
      </c>
      <c r="JH22" s="70">
        <v>243.7</v>
      </c>
      <c r="JI22" s="70">
        <v>242.87</v>
      </c>
      <c r="JJ22" s="70">
        <v>242.03</v>
      </c>
      <c r="JK22" s="70">
        <v>241.2</v>
      </c>
      <c r="JL22" s="70">
        <v>240.36</v>
      </c>
      <c r="JM22" s="70">
        <v>239.53</v>
      </c>
      <c r="JN22" s="70">
        <v>238.7</v>
      </c>
      <c r="JO22" s="70">
        <v>237.87</v>
      </c>
      <c r="JP22" s="70">
        <v>237.04</v>
      </c>
      <c r="JQ22" s="70">
        <v>236.21</v>
      </c>
      <c r="JR22" s="70">
        <v>235.38</v>
      </c>
      <c r="JS22" s="70">
        <v>234.56</v>
      </c>
      <c r="JT22" s="70">
        <v>233.73</v>
      </c>
      <c r="JU22" s="70">
        <v>232.91</v>
      </c>
      <c r="JV22" s="70">
        <v>232.09</v>
      </c>
      <c r="JW22" s="70">
        <v>231.27</v>
      </c>
      <c r="JX22" s="70">
        <v>230.45</v>
      </c>
      <c r="JY22" s="70">
        <v>229.63</v>
      </c>
      <c r="JZ22" s="70">
        <v>228.81</v>
      </c>
      <c r="KA22" s="70">
        <v>227.99</v>
      </c>
      <c r="KB22" s="70">
        <v>227.18</v>
      </c>
      <c r="KC22" s="70">
        <v>226.36</v>
      </c>
      <c r="KD22" s="70">
        <v>225.55</v>
      </c>
      <c r="KE22" s="70">
        <v>224.73</v>
      </c>
      <c r="KF22" s="70">
        <v>223.92</v>
      </c>
      <c r="KG22" s="70">
        <v>223.11</v>
      </c>
      <c r="KH22" s="70">
        <v>222.3</v>
      </c>
      <c r="KI22" s="70">
        <v>221.49</v>
      </c>
      <c r="KJ22" s="70">
        <v>220.68</v>
      </c>
      <c r="KK22" s="70">
        <v>219.88</v>
      </c>
      <c r="KL22" s="70">
        <v>219.07</v>
      </c>
      <c r="KM22" s="70">
        <v>218.27</v>
      </c>
      <c r="KN22" s="70">
        <v>217.47</v>
      </c>
      <c r="KO22" s="70">
        <v>216.67</v>
      </c>
      <c r="KP22" s="70">
        <v>215.87</v>
      </c>
      <c r="KQ22" s="70">
        <v>215.07</v>
      </c>
      <c r="KR22" s="70">
        <v>213.99000000000015</v>
      </c>
      <c r="KS22" s="70">
        <v>213.24000000000015</v>
      </c>
      <c r="KT22" s="70">
        <v>212.49000000000015</v>
      </c>
      <c r="KU22" s="70">
        <v>211.74000000000015</v>
      </c>
      <c r="KV22" s="70">
        <v>210.99000000000015</v>
      </c>
      <c r="KW22" s="70">
        <v>210.24000000000015</v>
      </c>
      <c r="KX22" s="70">
        <v>209.49000000000015</v>
      </c>
      <c r="KY22" s="70">
        <v>208.74000000000015</v>
      </c>
      <c r="KZ22" s="70">
        <v>207.99000000000015</v>
      </c>
      <c r="LA22" s="70">
        <v>207.24000000000015</v>
      </c>
      <c r="LB22" s="70">
        <v>206.49000000000015</v>
      </c>
      <c r="LC22" s="70">
        <v>205.74000000000015</v>
      </c>
      <c r="LD22" s="70">
        <v>204.99000000000015</v>
      </c>
      <c r="LE22" s="70">
        <v>204.24000000000015</v>
      </c>
      <c r="LF22" s="70">
        <v>203.49000000000015</v>
      </c>
      <c r="LG22" s="70">
        <v>202.74000000000015</v>
      </c>
      <c r="LH22" s="70">
        <v>201.99000000000015</v>
      </c>
      <c r="LI22" s="70">
        <v>201.24000000000015</v>
      </c>
      <c r="LJ22" s="70">
        <v>200.49000000000015</v>
      </c>
      <c r="LK22" s="70">
        <v>199.74000000000015</v>
      </c>
      <c r="LL22" s="70">
        <v>198.99000000000015</v>
      </c>
      <c r="LM22" s="70">
        <v>198.24000000000015</v>
      </c>
      <c r="LN22" s="70">
        <v>197.49000000000015</v>
      </c>
      <c r="LO22" s="70">
        <v>196.74000000000015</v>
      </c>
      <c r="LP22" s="70">
        <v>195.99000000000015</v>
      </c>
      <c r="LQ22" s="70">
        <v>195.24000000000015</v>
      </c>
      <c r="LR22" s="70">
        <v>194.49000000000015</v>
      </c>
      <c r="LS22" s="70">
        <v>193.74000000000015</v>
      </c>
      <c r="LT22" s="70">
        <v>192.99000000000015</v>
      </c>
      <c r="LU22" s="70">
        <v>192.24000000000015</v>
      </c>
      <c r="LV22" s="70">
        <v>191.49000000000015</v>
      </c>
      <c r="LW22" s="70">
        <v>190.74000000000015</v>
      </c>
      <c r="LX22" s="70">
        <v>189.99000000000015</v>
      </c>
      <c r="LY22" s="70">
        <v>189.24000000000015</v>
      </c>
      <c r="LZ22" s="70">
        <v>188.49000000000015</v>
      </c>
      <c r="MA22" s="70">
        <v>187.74000000000015</v>
      </c>
      <c r="MB22" s="70">
        <v>186.99000000000015</v>
      </c>
      <c r="MC22" s="70">
        <v>186.24000000000015</v>
      </c>
      <c r="MD22" s="70">
        <v>185.49000000000015</v>
      </c>
      <c r="ME22" s="70">
        <v>184.74000000000015</v>
      </c>
      <c r="MF22" s="70">
        <v>183.99000000000015</v>
      </c>
      <c r="MG22" s="70">
        <v>183.24000000000015</v>
      </c>
      <c r="MH22" s="70">
        <v>182.49000000000015</v>
      </c>
      <c r="MI22" s="70">
        <v>181.74000000000015</v>
      </c>
      <c r="MJ22" s="70">
        <v>180.99000000000015</v>
      </c>
      <c r="MK22" s="70">
        <v>180.24000000000015</v>
      </c>
      <c r="ML22" s="70">
        <v>179.49000000000015</v>
      </c>
      <c r="MM22" s="70">
        <v>178.74000000000015</v>
      </c>
      <c r="MN22" s="70">
        <v>177.99000000000015</v>
      </c>
      <c r="MO22" s="70">
        <v>177.24000000000015</v>
      </c>
      <c r="MP22" s="70">
        <v>176.49000000000015</v>
      </c>
      <c r="MQ22" s="70">
        <v>175.74000000000015</v>
      </c>
      <c r="MR22" s="70">
        <v>174.99000000000015</v>
      </c>
      <c r="MS22" s="70">
        <v>174.24000000000015</v>
      </c>
      <c r="MT22" s="70">
        <v>173.49000000000015</v>
      </c>
      <c r="MU22" s="70">
        <v>172.74000000000015</v>
      </c>
      <c r="MV22" s="70">
        <v>171.99000000000015</v>
      </c>
      <c r="MW22" s="70">
        <v>171.24000000000015</v>
      </c>
      <c r="MX22" s="70">
        <v>170.49000000000015</v>
      </c>
      <c r="MY22" s="70">
        <v>169.74000000000015</v>
      </c>
    </row>
    <row r="23" spans="1:363" ht="15.6" x14ac:dyDescent="0.3">
      <c r="A23" s="67" t="s">
        <v>7</v>
      </c>
      <c r="B23" s="72">
        <v>2033</v>
      </c>
      <c r="C23" s="70">
        <v>498.54</v>
      </c>
      <c r="D23" s="70">
        <v>497.52</v>
      </c>
      <c r="E23" s="70">
        <v>496.49</v>
      </c>
      <c r="F23" s="70">
        <v>495.47</v>
      </c>
      <c r="G23" s="70">
        <v>494.45</v>
      </c>
      <c r="H23" s="70">
        <v>493.43</v>
      </c>
      <c r="I23" s="70">
        <v>492.41</v>
      </c>
      <c r="J23" s="70">
        <v>491.39</v>
      </c>
      <c r="K23" s="70">
        <v>490.37</v>
      </c>
      <c r="L23" s="70">
        <v>489.34</v>
      </c>
      <c r="M23" s="70">
        <v>488.32</v>
      </c>
      <c r="N23" s="70">
        <v>487.3</v>
      </c>
      <c r="O23" s="70">
        <v>486.28</v>
      </c>
      <c r="P23" s="70">
        <v>485.26</v>
      </c>
      <c r="Q23" s="70">
        <v>484.24</v>
      </c>
      <c r="R23" s="70">
        <v>483.22</v>
      </c>
      <c r="S23" s="70">
        <v>482.2</v>
      </c>
      <c r="T23" s="70">
        <v>481.18</v>
      </c>
      <c r="U23" s="70">
        <v>480.16</v>
      </c>
      <c r="V23" s="70">
        <v>479.14</v>
      </c>
      <c r="W23" s="70">
        <v>478.12</v>
      </c>
      <c r="X23" s="70">
        <v>477.1</v>
      </c>
      <c r="Y23" s="70">
        <v>476.08</v>
      </c>
      <c r="Z23" s="70">
        <v>475.06</v>
      </c>
      <c r="AA23" s="70">
        <v>474.04</v>
      </c>
      <c r="AB23" s="70">
        <v>473.02</v>
      </c>
      <c r="AC23" s="70">
        <v>472</v>
      </c>
      <c r="AD23" s="70">
        <v>470.98</v>
      </c>
      <c r="AE23" s="70">
        <v>469.96</v>
      </c>
      <c r="AF23" s="70">
        <v>468.94</v>
      </c>
      <c r="AG23" s="70">
        <v>467.92</v>
      </c>
      <c r="AH23" s="70">
        <v>466.9</v>
      </c>
      <c r="AI23" s="70">
        <v>465.89</v>
      </c>
      <c r="AJ23" s="70">
        <v>464.87</v>
      </c>
      <c r="AK23" s="70">
        <v>463.85</v>
      </c>
      <c r="AL23" s="70">
        <v>462.83</v>
      </c>
      <c r="AM23" s="70">
        <v>461.81</v>
      </c>
      <c r="AN23" s="70">
        <v>460.79</v>
      </c>
      <c r="AO23" s="70">
        <v>459.77</v>
      </c>
      <c r="AP23" s="70">
        <v>458.76</v>
      </c>
      <c r="AQ23" s="70">
        <v>457.74</v>
      </c>
      <c r="AR23" s="70">
        <v>456.72</v>
      </c>
      <c r="AS23" s="70">
        <v>455.7</v>
      </c>
      <c r="AT23" s="70">
        <v>454.69</v>
      </c>
      <c r="AU23" s="70">
        <v>453.67</v>
      </c>
      <c r="AV23" s="70">
        <v>452.65</v>
      </c>
      <c r="AW23" s="70">
        <v>451.63</v>
      </c>
      <c r="AX23" s="70">
        <v>450.62</v>
      </c>
      <c r="AY23" s="70">
        <v>449.6</v>
      </c>
      <c r="AZ23" s="70">
        <v>448.59</v>
      </c>
      <c r="BA23" s="70">
        <v>447.57</v>
      </c>
      <c r="BB23" s="70">
        <v>446.55</v>
      </c>
      <c r="BC23" s="70">
        <v>445.54</v>
      </c>
      <c r="BD23" s="70">
        <v>444.52</v>
      </c>
      <c r="BE23" s="70">
        <v>443.51</v>
      </c>
      <c r="BF23" s="70">
        <v>442.49</v>
      </c>
      <c r="BG23" s="70">
        <v>441.48</v>
      </c>
      <c r="BH23" s="70">
        <v>440.46</v>
      </c>
      <c r="BI23" s="70">
        <v>439.45</v>
      </c>
      <c r="BJ23" s="70">
        <v>438.43</v>
      </c>
      <c r="BK23" s="70">
        <v>437.42</v>
      </c>
      <c r="BL23" s="70">
        <v>436.4</v>
      </c>
      <c r="BM23" s="70">
        <v>435.39</v>
      </c>
      <c r="BN23" s="70">
        <v>434.38</v>
      </c>
      <c r="BO23" s="70">
        <v>433.37</v>
      </c>
      <c r="BP23" s="70">
        <v>432.35</v>
      </c>
      <c r="BQ23" s="70">
        <v>431.34</v>
      </c>
      <c r="BR23" s="70">
        <v>430.33</v>
      </c>
      <c r="BS23" s="70">
        <v>429.32</v>
      </c>
      <c r="BT23" s="70">
        <v>428.3</v>
      </c>
      <c r="BU23" s="70">
        <v>427.29</v>
      </c>
      <c r="BV23" s="70">
        <v>426.28</v>
      </c>
      <c r="BW23" s="70">
        <v>425.27</v>
      </c>
      <c r="BX23" s="70">
        <v>424.26</v>
      </c>
      <c r="BY23" s="70">
        <v>423.25</v>
      </c>
      <c r="BZ23" s="70">
        <v>422.24</v>
      </c>
      <c r="CA23" s="70">
        <v>421.23</v>
      </c>
      <c r="CB23" s="70">
        <v>420.23</v>
      </c>
      <c r="CC23" s="70">
        <v>419.22</v>
      </c>
      <c r="CD23" s="70">
        <v>418.21</v>
      </c>
      <c r="CE23" s="70">
        <v>417.2</v>
      </c>
      <c r="CF23" s="70">
        <v>416.2</v>
      </c>
      <c r="CG23" s="70">
        <v>415.19</v>
      </c>
      <c r="CH23" s="70">
        <v>414.18</v>
      </c>
      <c r="CI23" s="70">
        <v>413.17</v>
      </c>
      <c r="CJ23" s="70">
        <v>412.17</v>
      </c>
      <c r="CK23" s="70">
        <v>411.17</v>
      </c>
      <c r="CL23" s="70">
        <v>410.16</v>
      </c>
      <c r="CM23" s="70">
        <v>409.16</v>
      </c>
      <c r="CN23" s="70">
        <v>408.16</v>
      </c>
      <c r="CO23" s="70">
        <v>407.16</v>
      </c>
      <c r="CP23" s="70">
        <v>406.15</v>
      </c>
      <c r="CQ23" s="70">
        <v>405.15</v>
      </c>
      <c r="CR23" s="70">
        <v>404.15</v>
      </c>
      <c r="CS23" s="70">
        <v>403.15</v>
      </c>
      <c r="CT23" s="70">
        <v>402.15</v>
      </c>
      <c r="CU23" s="70">
        <v>401.14</v>
      </c>
      <c r="CV23" s="70">
        <v>400.15</v>
      </c>
      <c r="CW23" s="70">
        <v>399.15</v>
      </c>
      <c r="CX23" s="70">
        <v>398.15</v>
      </c>
      <c r="CY23" s="70">
        <v>397.16</v>
      </c>
      <c r="CZ23" s="70">
        <v>396.16</v>
      </c>
      <c r="DA23" s="70">
        <v>395.16</v>
      </c>
      <c r="DB23" s="70">
        <v>394.17</v>
      </c>
      <c r="DC23" s="70">
        <v>393.17</v>
      </c>
      <c r="DD23" s="70">
        <v>392.17</v>
      </c>
      <c r="DE23" s="70">
        <v>391.18</v>
      </c>
      <c r="DF23" s="70">
        <v>390.18</v>
      </c>
      <c r="DG23" s="70">
        <v>389.19</v>
      </c>
      <c r="DH23" s="70">
        <v>388.2</v>
      </c>
      <c r="DI23" s="70">
        <v>387.21</v>
      </c>
      <c r="DJ23" s="70">
        <v>386.22</v>
      </c>
      <c r="DK23" s="70">
        <v>385.23</v>
      </c>
      <c r="DL23" s="70">
        <v>384.24</v>
      </c>
      <c r="DM23" s="70">
        <v>383.25</v>
      </c>
      <c r="DN23" s="70">
        <v>382.26</v>
      </c>
      <c r="DO23" s="70">
        <v>381.27</v>
      </c>
      <c r="DP23" s="70">
        <v>380.28</v>
      </c>
      <c r="DQ23" s="70">
        <v>379.29</v>
      </c>
      <c r="DR23" s="70">
        <v>378.31</v>
      </c>
      <c r="DS23" s="70">
        <v>377.32</v>
      </c>
      <c r="DT23" s="70">
        <v>376.34</v>
      </c>
      <c r="DU23" s="70">
        <v>375.35</v>
      </c>
      <c r="DV23" s="70">
        <v>374.37</v>
      </c>
      <c r="DW23" s="70">
        <v>373.39</v>
      </c>
      <c r="DX23" s="70">
        <v>372.41</v>
      </c>
      <c r="DY23" s="70">
        <v>371.43</v>
      </c>
      <c r="DZ23" s="70">
        <v>370.45</v>
      </c>
      <c r="EA23" s="70">
        <v>369.47</v>
      </c>
      <c r="EB23" s="70">
        <v>368.49</v>
      </c>
      <c r="EC23" s="70">
        <v>367.52</v>
      </c>
      <c r="ED23" s="70">
        <v>366.54</v>
      </c>
      <c r="EE23" s="70">
        <v>365.56</v>
      </c>
      <c r="EF23" s="70">
        <v>364.59</v>
      </c>
      <c r="EG23" s="70">
        <v>363.62</v>
      </c>
      <c r="EH23" s="70">
        <v>362.65</v>
      </c>
      <c r="EI23" s="70">
        <v>361.68</v>
      </c>
      <c r="EJ23" s="70">
        <v>360.71</v>
      </c>
      <c r="EK23" s="70">
        <v>359.74</v>
      </c>
      <c r="EL23" s="70">
        <v>358.77</v>
      </c>
      <c r="EM23" s="70">
        <v>357.81</v>
      </c>
      <c r="EN23" s="70">
        <v>356.84</v>
      </c>
      <c r="EO23" s="70">
        <v>355.87</v>
      </c>
      <c r="EP23" s="70">
        <v>354.91</v>
      </c>
      <c r="EQ23" s="70">
        <v>353.94</v>
      </c>
      <c r="ER23" s="70">
        <v>352.98</v>
      </c>
      <c r="ES23" s="70">
        <v>352.02</v>
      </c>
      <c r="ET23" s="70">
        <v>351.06</v>
      </c>
      <c r="EU23" s="70">
        <v>350.1</v>
      </c>
      <c r="EV23" s="70">
        <v>349.14</v>
      </c>
      <c r="EW23" s="70">
        <v>348.18</v>
      </c>
      <c r="EX23" s="70">
        <v>347.23</v>
      </c>
      <c r="EY23" s="70">
        <v>346.27</v>
      </c>
      <c r="EZ23" s="70">
        <v>345.31</v>
      </c>
      <c r="FA23" s="70">
        <v>344.36</v>
      </c>
      <c r="FB23" s="70">
        <v>343.4</v>
      </c>
      <c r="FC23" s="70">
        <v>342.44</v>
      </c>
      <c r="FD23" s="70">
        <v>341.49</v>
      </c>
      <c r="FE23" s="70">
        <v>340.54</v>
      </c>
      <c r="FF23" s="70">
        <v>339.59</v>
      </c>
      <c r="FG23" s="70">
        <v>338.63</v>
      </c>
      <c r="FH23" s="70">
        <v>337.68</v>
      </c>
      <c r="FI23" s="70">
        <v>336.73</v>
      </c>
      <c r="FJ23" s="70">
        <v>335.78</v>
      </c>
      <c r="FK23" s="70">
        <v>334.83</v>
      </c>
      <c r="FL23" s="70">
        <v>333.88</v>
      </c>
      <c r="FM23" s="70">
        <v>332.94</v>
      </c>
      <c r="FN23" s="70">
        <v>331.99</v>
      </c>
      <c r="FO23" s="70">
        <v>331.04</v>
      </c>
      <c r="FP23" s="70">
        <v>330.1</v>
      </c>
      <c r="FQ23" s="70">
        <v>329.15</v>
      </c>
      <c r="FR23" s="70">
        <v>328.21</v>
      </c>
      <c r="FS23" s="70">
        <v>327.26</v>
      </c>
      <c r="FT23" s="70">
        <v>326.32</v>
      </c>
      <c r="FU23" s="70">
        <v>325.38</v>
      </c>
      <c r="FV23" s="70">
        <v>324.44</v>
      </c>
      <c r="FW23" s="70">
        <v>323.5</v>
      </c>
      <c r="FX23" s="70">
        <v>322.56</v>
      </c>
      <c r="FY23" s="70">
        <v>321.62</v>
      </c>
      <c r="FZ23" s="70">
        <v>320.69</v>
      </c>
      <c r="GA23" s="70">
        <v>319.75</v>
      </c>
      <c r="GB23" s="70">
        <v>318.81</v>
      </c>
      <c r="GC23" s="70">
        <v>317.88</v>
      </c>
      <c r="GD23" s="70">
        <v>316.94</v>
      </c>
      <c r="GE23" s="70">
        <v>316.01</v>
      </c>
      <c r="GF23" s="70">
        <v>315.07</v>
      </c>
      <c r="GG23" s="70">
        <v>314.14999999999998</v>
      </c>
      <c r="GH23" s="70">
        <v>313.22000000000003</v>
      </c>
      <c r="GI23" s="70">
        <v>312.29000000000002</v>
      </c>
      <c r="GJ23" s="70">
        <v>311.35000000000002</v>
      </c>
      <c r="GK23" s="70">
        <v>310.43</v>
      </c>
      <c r="GL23" s="70">
        <v>309.51</v>
      </c>
      <c r="GM23" s="70">
        <v>308.57</v>
      </c>
      <c r="GN23" s="70">
        <v>307.66000000000003</v>
      </c>
      <c r="GO23" s="70">
        <v>306.73</v>
      </c>
      <c r="GP23" s="70">
        <v>305.81</v>
      </c>
      <c r="GQ23" s="70">
        <v>304.89</v>
      </c>
      <c r="GR23" s="70">
        <v>303.97000000000003</v>
      </c>
      <c r="GS23" s="70">
        <v>303.04000000000002</v>
      </c>
      <c r="GT23" s="70">
        <v>302.14</v>
      </c>
      <c r="GU23" s="70">
        <v>301.22000000000003</v>
      </c>
      <c r="GV23" s="70">
        <v>300.29000000000002</v>
      </c>
      <c r="GW23" s="70">
        <v>299.39</v>
      </c>
      <c r="GX23" s="70">
        <v>298.48</v>
      </c>
      <c r="GY23" s="70">
        <v>297.56</v>
      </c>
      <c r="GZ23" s="70">
        <v>296.64999999999998</v>
      </c>
      <c r="HA23" s="70">
        <v>295.74</v>
      </c>
      <c r="HB23" s="70">
        <v>294.83999999999997</v>
      </c>
      <c r="HC23" s="70">
        <v>293.93</v>
      </c>
      <c r="HD23" s="70">
        <v>293.01</v>
      </c>
      <c r="HE23" s="70">
        <v>292.12</v>
      </c>
      <c r="HF23" s="70">
        <v>291.20999999999998</v>
      </c>
      <c r="HG23" s="70">
        <v>290.31</v>
      </c>
      <c r="HH23" s="70">
        <v>289.41000000000003</v>
      </c>
      <c r="HI23" s="70">
        <v>288.51</v>
      </c>
      <c r="HJ23" s="70">
        <v>287.60000000000002</v>
      </c>
      <c r="HK23" s="70">
        <v>286.70999999999998</v>
      </c>
      <c r="HL23" s="70">
        <v>285.81</v>
      </c>
      <c r="HM23" s="70">
        <v>284.92</v>
      </c>
      <c r="HN23" s="70">
        <v>284.01</v>
      </c>
      <c r="HO23" s="70">
        <v>283.13</v>
      </c>
      <c r="HP23" s="70">
        <v>282.24</v>
      </c>
      <c r="HQ23" s="70">
        <v>281.35000000000002</v>
      </c>
      <c r="HR23" s="70">
        <v>280.45999999999998</v>
      </c>
      <c r="HS23" s="70">
        <v>279.57</v>
      </c>
      <c r="HT23" s="70">
        <v>278.69</v>
      </c>
      <c r="HU23" s="70">
        <v>277.79000000000002</v>
      </c>
      <c r="HV23" s="70">
        <v>276.92</v>
      </c>
      <c r="HW23" s="70">
        <v>276.04000000000002</v>
      </c>
      <c r="HX23" s="70">
        <v>275.14999999999998</v>
      </c>
      <c r="HY23" s="70">
        <v>274.26</v>
      </c>
      <c r="HZ23" s="70">
        <v>273.39</v>
      </c>
      <c r="IA23" s="70">
        <v>272.51</v>
      </c>
      <c r="IB23" s="70">
        <v>271.64</v>
      </c>
      <c r="IC23" s="70">
        <v>270.76</v>
      </c>
      <c r="ID23" s="70">
        <v>269.89</v>
      </c>
      <c r="IE23" s="70">
        <v>269.01</v>
      </c>
      <c r="IF23" s="70">
        <v>268.14</v>
      </c>
      <c r="IG23" s="70">
        <v>267.26</v>
      </c>
      <c r="IH23" s="70">
        <v>266.39</v>
      </c>
      <c r="II23" s="70">
        <v>265.51</v>
      </c>
      <c r="IJ23" s="70">
        <v>264.66000000000003</v>
      </c>
      <c r="IK23" s="70">
        <v>263.79000000000002</v>
      </c>
      <c r="IL23" s="70">
        <v>262.92</v>
      </c>
      <c r="IM23" s="70">
        <v>262.06</v>
      </c>
      <c r="IN23" s="70">
        <v>261.19</v>
      </c>
      <c r="IO23" s="70">
        <v>260.32</v>
      </c>
      <c r="IP23" s="70">
        <v>259.47000000000003</v>
      </c>
      <c r="IQ23" s="70">
        <v>258.60000000000002</v>
      </c>
      <c r="IR23" s="70">
        <v>257.75</v>
      </c>
      <c r="IS23" s="70">
        <v>256.89</v>
      </c>
      <c r="IT23" s="70">
        <v>256.04000000000002</v>
      </c>
      <c r="IU23" s="70">
        <v>255.18</v>
      </c>
      <c r="IV23" s="70">
        <v>254.33</v>
      </c>
      <c r="IW23" s="70">
        <v>253.48</v>
      </c>
      <c r="IX23" s="70">
        <v>252.63</v>
      </c>
      <c r="IY23" s="70">
        <v>251.78</v>
      </c>
      <c r="IZ23" s="70">
        <v>250.93</v>
      </c>
      <c r="JA23" s="70">
        <v>250.09</v>
      </c>
      <c r="JB23" s="70">
        <v>249.24</v>
      </c>
      <c r="JC23" s="70">
        <v>248.4</v>
      </c>
      <c r="JD23" s="70">
        <v>247.55</v>
      </c>
      <c r="JE23" s="70">
        <v>246.71</v>
      </c>
      <c r="JF23" s="70">
        <v>245.87</v>
      </c>
      <c r="JG23" s="70">
        <v>245.03</v>
      </c>
      <c r="JH23" s="70">
        <v>244.19</v>
      </c>
      <c r="JI23" s="70">
        <v>243.36</v>
      </c>
      <c r="JJ23" s="70">
        <v>242.52</v>
      </c>
      <c r="JK23" s="70">
        <v>241.68</v>
      </c>
      <c r="JL23" s="70">
        <v>240.85</v>
      </c>
      <c r="JM23" s="70">
        <v>240.02</v>
      </c>
      <c r="JN23" s="70">
        <v>239.19</v>
      </c>
      <c r="JO23" s="70">
        <v>238.35</v>
      </c>
      <c r="JP23" s="70">
        <v>237.52</v>
      </c>
      <c r="JQ23" s="70">
        <v>236.7</v>
      </c>
      <c r="JR23" s="70">
        <v>235.87</v>
      </c>
      <c r="JS23" s="70">
        <v>235.04</v>
      </c>
      <c r="JT23" s="70">
        <v>234.22</v>
      </c>
      <c r="JU23" s="70">
        <v>233.39</v>
      </c>
      <c r="JV23" s="70">
        <v>232.57</v>
      </c>
      <c r="JW23" s="70">
        <v>231.75</v>
      </c>
      <c r="JX23" s="70">
        <v>230.93</v>
      </c>
      <c r="JY23" s="70">
        <v>230.11</v>
      </c>
      <c r="JZ23" s="70">
        <v>229.29</v>
      </c>
      <c r="KA23" s="70">
        <v>228.47</v>
      </c>
      <c r="KB23" s="70">
        <v>227.65</v>
      </c>
      <c r="KC23" s="70">
        <v>226.84</v>
      </c>
      <c r="KD23" s="70">
        <v>226.02</v>
      </c>
      <c r="KE23" s="70">
        <v>225.21</v>
      </c>
      <c r="KF23" s="70">
        <v>224.4</v>
      </c>
      <c r="KG23" s="70">
        <v>223.58</v>
      </c>
      <c r="KH23" s="70">
        <v>222.77</v>
      </c>
      <c r="KI23" s="70">
        <v>221.96</v>
      </c>
      <c r="KJ23" s="70">
        <v>221.16</v>
      </c>
      <c r="KK23" s="70">
        <v>220.35</v>
      </c>
      <c r="KL23" s="70">
        <v>219.54</v>
      </c>
      <c r="KM23" s="70">
        <v>218.74</v>
      </c>
      <c r="KN23" s="70">
        <v>217.94</v>
      </c>
      <c r="KO23" s="70">
        <v>217.14</v>
      </c>
      <c r="KP23" s="70">
        <v>216.34</v>
      </c>
      <c r="KQ23" s="70">
        <v>215.54</v>
      </c>
      <c r="KR23" s="70">
        <v>214.45000000000016</v>
      </c>
      <c r="KS23" s="70">
        <v>213.70000000000016</v>
      </c>
      <c r="KT23" s="70">
        <v>212.95000000000016</v>
      </c>
      <c r="KU23" s="70">
        <v>212.20000000000016</v>
      </c>
      <c r="KV23" s="70">
        <v>211.45000000000016</v>
      </c>
      <c r="KW23" s="70">
        <v>210.70000000000016</v>
      </c>
      <c r="KX23" s="70">
        <v>209.95000000000016</v>
      </c>
      <c r="KY23" s="70">
        <v>209.20000000000016</v>
      </c>
      <c r="KZ23" s="70">
        <v>208.45000000000016</v>
      </c>
      <c r="LA23" s="70">
        <v>207.70000000000016</v>
      </c>
      <c r="LB23" s="70">
        <v>206.95000000000016</v>
      </c>
      <c r="LC23" s="70">
        <v>206.20000000000016</v>
      </c>
      <c r="LD23" s="70">
        <v>205.45000000000016</v>
      </c>
      <c r="LE23" s="70">
        <v>204.70000000000016</v>
      </c>
      <c r="LF23" s="70">
        <v>203.95000000000016</v>
      </c>
      <c r="LG23" s="70">
        <v>203.20000000000016</v>
      </c>
      <c r="LH23" s="70">
        <v>202.45000000000016</v>
      </c>
      <c r="LI23" s="70">
        <v>201.70000000000016</v>
      </c>
      <c r="LJ23" s="70">
        <v>200.95000000000016</v>
      </c>
      <c r="LK23" s="70">
        <v>200.20000000000016</v>
      </c>
      <c r="LL23" s="70">
        <v>199.45000000000016</v>
      </c>
      <c r="LM23" s="70">
        <v>198.70000000000016</v>
      </c>
      <c r="LN23" s="70">
        <v>197.95000000000016</v>
      </c>
      <c r="LO23" s="70">
        <v>197.20000000000016</v>
      </c>
      <c r="LP23" s="70">
        <v>196.45000000000016</v>
      </c>
      <c r="LQ23" s="70">
        <v>195.70000000000016</v>
      </c>
      <c r="LR23" s="70">
        <v>194.95000000000016</v>
      </c>
      <c r="LS23" s="70">
        <v>194.20000000000016</v>
      </c>
      <c r="LT23" s="70">
        <v>193.45000000000016</v>
      </c>
      <c r="LU23" s="70">
        <v>192.70000000000016</v>
      </c>
      <c r="LV23" s="70">
        <v>191.95000000000016</v>
      </c>
      <c r="LW23" s="70">
        <v>191.20000000000016</v>
      </c>
      <c r="LX23" s="70">
        <v>190.45000000000016</v>
      </c>
      <c r="LY23" s="70">
        <v>189.70000000000016</v>
      </c>
      <c r="LZ23" s="70">
        <v>188.95000000000016</v>
      </c>
      <c r="MA23" s="70">
        <v>188.20000000000016</v>
      </c>
      <c r="MB23" s="70">
        <v>187.45000000000016</v>
      </c>
      <c r="MC23" s="70">
        <v>186.70000000000016</v>
      </c>
      <c r="MD23" s="70">
        <v>185.95000000000016</v>
      </c>
      <c r="ME23" s="70">
        <v>185.20000000000016</v>
      </c>
      <c r="MF23" s="70">
        <v>184.45000000000016</v>
      </c>
      <c r="MG23" s="70">
        <v>183.70000000000016</v>
      </c>
      <c r="MH23" s="70">
        <v>182.95000000000016</v>
      </c>
      <c r="MI23" s="70">
        <v>182.20000000000016</v>
      </c>
      <c r="MJ23" s="70">
        <v>181.45000000000016</v>
      </c>
      <c r="MK23" s="70">
        <v>180.70000000000016</v>
      </c>
      <c r="ML23" s="70">
        <v>179.95000000000016</v>
      </c>
      <c r="MM23" s="70">
        <v>179.20000000000016</v>
      </c>
      <c r="MN23" s="70">
        <v>178.45000000000016</v>
      </c>
      <c r="MO23" s="70">
        <v>177.70000000000016</v>
      </c>
      <c r="MP23" s="70">
        <v>176.95000000000016</v>
      </c>
      <c r="MQ23" s="70">
        <v>176.20000000000016</v>
      </c>
      <c r="MR23" s="70">
        <v>175.45000000000016</v>
      </c>
      <c r="MS23" s="70">
        <v>174.70000000000016</v>
      </c>
      <c r="MT23" s="70">
        <v>173.95000000000016</v>
      </c>
      <c r="MU23" s="70">
        <v>173.20000000000016</v>
      </c>
      <c r="MV23" s="70">
        <v>172.45000000000016</v>
      </c>
      <c r="MW23" s="70">
        <v>171.70000000000016</v>
      </c>
      <c r="MX23" s="70">
        <v>170.95000000000016</v>
      </c>
      <c r="MY23" s="70">
        <v>170.20000000000016</v>
      </c>
    </row>
    <row r="24" spans="1:363" ht="15.6" x14ac:dyDescent="0.3">
      <c r="A24" s="67" t="s">
        <v>7</v>
      </c>
      <c r="B24" s="72">
        <v>2034</v>
      </c>
      <c r="C24" s="70">
        <v>499.12</v>
      </c>
      <c r="D24" s="70">
        <v>498.1</v>
      </c>
      <c r="E24" s="70">
        <v>497.08</v>
      </c>
      <c r="F24" s="70">
        <v>496.05</v>
      </c>
      <c r="G24" s="70">
        <v>495.03</v>
      </c>
      <c r="H24" s="70">
        <v>494.01</v>
      </c>
      <c r="I24" s="70">
        <v>492.99</v>
      </c>
      <c r="J24" s="70">
        <v>491.97</v>
      </c>
      <c r="K24" s="70">
        <v>490.95</v>
      </c>
      <c r="L24" s="70">
        <v>489.93</v>
      </c>
      <c r="M24" s="70">
        <v>488.9</v>
      </c>
      <c r="N24" s="70">
        <v>487.88</v>
      </c>
      <c r="O24" s="70">
        <v>486.86</v>
      </c>
      <c r="P24" s="70">
        <v>485.84</v>
      </c>
      <c r="Q24" s="70">
        <v>484.82</v>
      </c>
      <c r="R24" s="70">
        <v>483.8</v>
      </c>
      <c r="S24" s="70">
        <v>482.78</v>
      </c>
      <c r="T24" s="70">
        <v>481.76</v>
      </c>
      <c r="U24" s="70">
        <v>480.74</v>
      </c>
      <c r="V24" s="70">
        <v>479.72</v>
      </c>
      <c r="W24" s="70">
        <v>478.7</v>
      </c>
      <c r="X24" s="70">
        <v>477.68</v>
      </c>
      <c r="Y24" s="70">
        <v>476.66</v>
      </c>
      <c r="Z24" s="70">
        <v>475.64</v>
      </c>
      <c r="AA24" s="70">
        <v>474.62</v>
      </c>
      <c r="AB24" s="70">
        <v>473.6</v>
      </c>
      <c r="AC24" s="70">
        <v>472.58</v>
      </c>
      <c r="AD24" s="70">
        <v>471.56</v>
      </c>
      <c r="AE24" s="70">
        <v>470.54</v>
      </c>
      <c r="AF24" s="70">
        <v>469.52</v>
      </c>
      <c r="AG24" s="70">
        <v>468.5</v>
      </c>
      <c r="AH24" s="70">
        <v>467.48</v>
      </c>
      <c r="AI24" s="70">
        <v>466.46</v>
      </c>
      <c r="AJ24" s="70">
        <v>465.44</v>
      </c>
      <c r="AK24" s="70">
        <v>464.42</v>
      </c>
      <c r="AL24" s="70">
        <v>463.4</v>
      </c>
      <c r="AM24" s="70">
        <v>462.38</v>
      </c>
      <c r="AN24" s="70">
        <v>461.36</v>
      </c>
      <c r="AO24" s="70">
        <v>460.35</v>
      </c>
      <c r="AP24" s="70">
        <v>459.33</v>
      </c>
      <c r="AQ24" s="70">
        <v>458.31</v>
      </c>
      <c r="AR24" s="70">
        <v>457.29</v>
      </c>
      <c r="AS24" s="70">
        <v>456.27</v>
      </c>
      <c r="AT24" s="70">
        <v>455.26</v>
      </c>
      <c r="AU24" s="70">
        <v>454.24</v>
      </c>
      <c r="AV24" s="70">
        <v>453.22</v>
      </c>
      <c r="AW24" s="70">
        <v>452.2</v>
      </c>
      <c r="AX24" s="70">
        <v>451.19</v>
      </c>
      <c r="AY24" s="70">
        <v>450.17</v>
      </c>
      <c r="AZ24" s="70">
        <v>449.15</v>
      </c>
      <c r="BA24" s="70">
        <v>448.14</v>
      </c>
      <c r="BB24" s="70">
        <v>447.12</v>
      </c>
      <c r="BC24" s="70">
        <v>446.1</v>
      </c>
      <c r="BD24" s="70">
        <v>445.09</v>
      </c>
      <c r="BE24" s="70">
        <v>444.07</v>
      </c>
      <c r="BF24" s="70">
        <v>443.06</v>
      </c>
      <c r="BG24" s="70">
        <v>442.04</v>
      </c>
      <c r="BH24" s="70">
        <v>441.03</v>
      </c>
      <c r="BI24" s="70">
        <v>440.01</v>
      </c>
      <c r="BJ24" s="70">
        <v>438.99</v>
      </c>
      <c r="BK24" s="70">
        <v>437.98</v>
      </c>
      <c r="BL24" s="70">
        <v>436.97</v>
      </c>
      <c r="BM24" s="70">
        <v>435.95</v>
      </c>
      <c r="BN24" s="70">
        <v>434.94</v>
      </c>
      <c r="BO24" s="70">
        <v>433.93</v>
      </c>
      <c r="BP24" s="70">
        <v>432.91</v>
      </c>
      <c r="BQ24" s="70">
        <v>431.9</v>
      </c>
      <c r="BR24" s="70">
        <v>430.89</v>
      </c>
      <c r="BS24" s="70">
        <v>429.88</v>
      </c>
      <c r="BT24" s="70">
        <v>428.86</v>
      </c>
      <c r="BU24" s="70">
        <v>427.85</v>
      </c>
      <c r="BV24" s="70">
        <v>426.84</v>
      </c>
      <c r="BW24" s="70">
        <v>425.83</v>
      </c>
      <c r="BX24" s="70">
        <v>424.82</v>
      </c>
      <c r="BY24" s="70">
        <v>423.81</v>
      </c>
      <c r="BZ24" s="70">
        <v>422.8</v>
      </c>
      <c r="CA24" s="70">
        <v>421.79</v>
      </c>
      <c r="CB24" s="70">
        <v>420.78</v>
      </c>
      <c r="CC24" s="70">
        <v>419.77</v>
      </c>
      <c r="CD24" s="70">
        <v>418.77</v>
      </c>
      <c r="CE24" s="70">
        <v>417.76</v>
      </c>
      <c r="CF24" s="70">
        <v>416.75</v>
      </c>
      <c r="CG24" s="70">
        <v>415.74</v>
      </c>
      <c r="CH24" s="70">
        <v>414.73</v>
      </c>
      <c r="CI24" s="70">
        <v>413.73</v>
      </c>
      <c r="CJ24" s="70">
        <v>412.72</v>
      </c>
      <c r="CK24" s="70">
        <v>411.72</v>
      </c>
      <c r="CL24" s="70">
        <v>410.72</v>
      </c>
      <c r="CM24" s="70">
        <v>409.71</v>
      </c>
      <c r="CN24" s="70">
        <v>408.71</v>
      </c>
      <c r="CO24" s="70">
        <v>407.71</v>
      </c>
      <c r="CP24" s="70">
        <v>406.7</v>
      </c>
      <c r="CQ24" s="70">
        <v>405.7</v>
      </c>
      <c r="CR24" s="70">
        <v>404.7</v>
      </c>
      <c r="CS24" s="70">
        <v>403.69</v>
      </c>
      <c r="CT24" s="70">
        <v>402.69</v>
      </c>
      <c r="CU24" s="70">
        <v>401.69</v>
      </c>
      <c r="CV24" s="70">
        <v>400.69</v>
      </c>
      <c r="CW24" s="70">
        <v>399.7</v>
      </c>
      <c r="CX24" s="70">
        <v>398.7</v>
      </c>
      <c r="CY24" s="70">
        <v>397.7</v>
      </c>
      <c r="CZ24" s="70">
        <v>396.7</v>
      </c>
      <c r="DA24" s="70">
        <v>395.71</v>
      </c>
      <c r="DB24" s="70">
        <v>394.71</v>
      </c>
      <c r="DC24" s="70">
        <v>393.71</v>
      </c>
      <c r="DD24" s="70">
        <v>392.72</v>
      </c>
      <c r="DE24" s="70">
        <v>391.72</v>
      </c>
      <c r="DF24" s="70">
        <v>390.73</v>
      </c>
      <c r="DG24" s="70">
        <v>389.73</v>
      </c>
      <c r="DH24" s="70">
        <v>388.74</v>
      </c>
      <c r="DI24" s="70">
        <v>387.75</v>
      </c>
      <c r="DJ24" s="70">
        <v>386.76</v>
      </c>
      <c r="DK24" s="70">
        <v>385.77</v>
      </c>
      <c r="DL24" s="70">
        <v>384.78</v>
      </c>
      <c r="DM24" s="70">
        <v>383.79</v>
      </c>
      <c r="DN24" s="70">
        <v>382.8</v>
      </c>
      <c r="DO24" s="70">
        <v>381.81</v>
      </c>
      <c r="DP24" s="70">
        <v>380.82</v>
      </c>
      <c r="DQ24" s="70">
        <v>379.83</v>
      </c>
      <c r="DR24" s="70">
        <v>378.84</v>
      </c>
      <c r="DS24" s="70">
        <v>377.86</v>
      </c>
      <c r="DT24" s="70">
        <v>376.87</v>
      </c>
      <c r="DU24" s="70">
        <v>375.89</v>
      </c>
      <c r="DV24" s="70">
        <v>374.91</v>
      </c>
      <c r="DW24" s="70">
        <v>373.93</v>
      </c>
      <c r="DX24" s="70">
        <v>372.95</v>
      </c>
      <c r="DY24" s="70">
        <v>371.97</v>
      </c>
      <c r="DZ24" s="70">
        <v>370.99</v>
      </c>
      <c r="EA24" s="70">
        <v>370.01</v>
      </c>
      <c r="EB24" s="70">
        <v>369.03</v>
      </c>
      <c r="EC24" s="70">
        <v>368.05</v>
      </c>
      <c r="ED24" s="70">
        <v>367.07</v>
      </c>
      <c r="EE24" s="70">
        <v>366.09</v>
      </c>
      <c r="EF24" s="70">
        <v>365.12</v>
      </c>
      <c r="EG24" s="70">
        <v>364.15</v>
      </c>
      <c r="EH24" s="70">
        <v>363.18</v>
      </c>
      <c r="EI24" s="70">
        <v>362.21</v>
      </c>
      <c r="EJ24" s="70">
        <v>361.24</v>
      </c>
      <c r="EK24" s="70">
        <v>360.27</v>
      </c>
      <c r="EL24" s="70">
        <v>359.31</v>
      </c>
      <c r="EM24" s="70">
        <v>358.34</v>
      </c>
      <c r="EN24" s="70">
        <v>357.37</v>
      </c>
      <c r="EO24" s="70">
        <v>356.41</v>
      </c>
      <c r="EP24" s="70">
        <v>355.44</v>
      </c>
      <c r="EQ24" s="70">
        <v>354.47</v>
      </c>
      <c r="ER24" s="70">
        <v>353.51</v>
      </c>
      <c r="ES24" s="70">
        <v>352.55</v>
      </c>
      <c r="ET24" s="70">
        <v>351.59</v>
      </c>
      <c r="EU24" s="70">
        <v>350.63</v>
      </c>
      <c r="EV24" s="70">
        <v>349.67</v>
      </c>
      <c r="EW24" s="70">
        <v>348.71</v>
      </c>
      <c r="EX24" s="70">
        <v>347.75</v>
      </c>
      <c r="EY24" s="70">
        <v>346.8</v>
      </c>
      <c r="EZ24" s="70">
        <v>345.84</v>
      </c>
      <c r="FA24" s="70">
        <v>344.88</v>
      </c>
      <c r="FB24" s="70">
        <v>343.93</v>
      </c>
      <c r="FC24" s="70">
        <v>342.97</v>
      </c>
      <c r="FD24" s="70">
        <v>342.02</v>
      </c>
      <c r="FE24" s="70">
        <v>341.06</v>
      </c>
      <c r="FF24" s="70">
        <v>340.11</v>
      </c>
      <c r="FG24" s="70">
        <v>339.16</v>
      </c>
      <c r="FH24" s="70">
        <v>338.21</v>
      </c>
      <c r="FI24" s="70">
        <v>337.26</v>
      </c>
      <c r="FJ24" s="70">
        <v>336.31</v>
      </c>
      <c r="FK24" s="70">
        <v>335.36</v>
      </c>
      <c r="FL24" s="70">
        <v>334.41</v>
      </c>
      <c r="FM24" s="70">
        <v>333.46</v>
      </c>
      <c r="FN24" s="70">
        <v>332.51</v>
      </c>
      <c r="FO24" s="70">
        <v>331.57</v>
      </c>
      <c r="FP24" s="70">
        <v>330.62</v>
      </c>
      <c r="FQ24" s="70">
        <v>329.68</v>
      </c>
      <c r="FR24" s="70">
        <v>328.73</v>
      </c>
      <c r="FS24" s="70">
        <v>327.79</v>
      </c>
      <c r="FT24" s="70">
        <v>326.85000000000002</v>
      </c>
      <c r="FU24" s="70">
        <v>325.91000000000003</v>
      </c>
      <c r="FV24" s="70">
        <v>324.95999999999998</v>
      </c>
      <c r="FW24" s="70">
        <v>324.01</v>
      </c>
      <c r="FX24" s="70">
        <v>323.07</v>
      </c>
      <c r="FY24" s="70">
        <v>322.14999999999998</v>
      </c>
      <c r="FZ24" s="70">
        <v>321.20999999999998</v>
      </c>
      <c r="GA24" s="70">
        <v>320.26</v>
      </c>
      <c r="GB24" s="70">
        <v>319.32</v>
      </c>
      <c r="GC24" s="70">
        <v>318.39999999999998</v>
      </c>
      <c r="GD24" s="70">
        <v>317.47000000000003</v>
      </c>
      <c r="GE24" s="70">
        <v>316.52999999999997</v>
      </c>
      <c r="GF24" s="70">
        <v>315.60000000000002</v>
      </c>
      <c r="GG24" s="70">
        <v>314.67</v>
      </c>
      <c r="GH24" s="70">
        <v>313.74</v>
      </c>
      <c r="GI24" s="70">
        <v>312.81</v>
      </c>
      <c r="GJ24" s="70">
        <v>311.88</v>
      </c>
      <c r="GK24" s="70">
        <v>310.95</v>
      </c>
      <c r="GL24" s="70">
        <v>310.01</v>
      </c>
      <c r="GM24" s="70">
        <v>309.10000000000002</v>
      </c>
      <c r="GN24" s="70">
        <v>308.17</v>
      </c>
      <c r="GO24" s="70">
        <v>307.25</v>
      </c>
      <c r="GP24" s="70">
        <v>306.32</v>
      </c>
      <c r="GQ24" s="70">
        <v>305.41000000000003</v>
      </c>
      <c r="GR24" s="70">
        <v>304.49</v>
      </c>
      <c r="GS24" s="70">
        <v>303.57</v>
      </c>
      <c r="GT24" s="70">
        <v>302.64999999999998</v>
      </c>
      <c r="GU24" s="70">
        <v>301.74</v>
      </c>
      <c r="GV24" s="70">
        <v>300.82</v>
      </c>
      <c r="GW24" s="70">
        <v>299.89999999999998</v>
      </c>
      <c r="GX24" s="70">
        <v>298.99</v>
      </c>
      <c r="GY24" s="70">
        <v>298.07</v>
      </c>
      <c r="GZ24" s="70">
        <v>297.17</v>
      </c>
      <c r="HA24" s="70">
        <v>296.26</v>
      </c>
      <c r="HB24" s="70">
        <v>295.35000000000002</v>
      </c>
      <c r="HC24" s="70">
        <v>294.44</v>
      </c>
      <c r="HD24" s="70">
        <v>293.52999999999997</v>
      </c>
      <c r="HE24" s="70">
        <v>292.63</v>
      </c>
      <c r="HF24" s="70">
        <v>291.72000000000003</v>
      </c>
      <c r="HG24" s="70">
        <v>290.82</v>
      </c>
      <c r="HH24" s="70">
        <v>289.92</v>
      </c>
      <c r="HI24" s="70">
        <v>289.01</v>
      </c>
      <c r="HJ24" s="70">
        <v>288.12</v>
      </c>
      <c r="HK24" s="70">
        <v>287.22000000000003</v>
      </c>
      <c r="HL24" s="70">
        <v>286.32</v>
      </c>
      <c r="HM24" s="70">
        <v>285.43</v>
      </c>
      <c r="HN24" s="70">
        <v>284.52999999999997</v>
      </c>
      <c r="HO24" s="70">
        <v>283.64</v>
      </c>
      <c r="HP24" s="70">
        <v>282.75</v>
      </c>
      <c r="HQ24" s="70">
        <v>281.85000000000002</v>
      </c>
      <c r="HR24" s="70">
        <v>280.97000000000003</v>
      </c>
      <c r="HS24" s="70">
        <v>280.07</v>
      </c>
      <c r="HT24" s="70">
        <v>279.19</v>
      </c>
      <c r="HU24" s="70">
        <v>278.31</v>
      </c>
      <c r="HV24" s="70">
        <v>277.42</v>
      </c>
      <c r="HW24" s="70">
        <v>276.54000000000002</v>
      </c>
      <c r="HX24" s="70">
        <v>275.66000000000003</v>
      </c>
      <c r="HY24" s="70">
        <v>274.77999999999997</v>
      </c>
      <c r="HZ24" s="70">
        <v>273.89999999999998</v>
      </c>
      <c r="IA24" s="70">
        <v>273.01</v>
      </c>
      <c r="IB24" s="70">
        <v>272.14</v>
      </c>
      <c r="IC24" s="70">
        <v>271.26</v>
      </c>
      <c r="ID24" s="70">
        <v>270.39</v>
      </c>
      <c r="IE24" s="70">
        <v>269.51</v>
      </c>
      <c r="IF24" s="70">
        <v>268.64</v>
      </c>
      <c r="IG24" s="70">
        <v>267.76</v>
      </c>
      <c r="IH24" s="70">
        <v>266.89</v>
      </c>
      <c r="II24" s="70">
        <v>266.01</v>
      </c>
      <c r="IJ24" s="70">
        <v>265.14999999999998</v>
      </c>
      <c r="IK24" s="70">
        <v>264.29000000000002</v>
      </c>
      <c r="IL24" s="70">
        <v>263.42</v>
      </c>
      <c r="IM24" s="70">
        <v>262.54000000000002</v>
      </c>
      <c r="IN24" s="70">
        <v>261.69</v>
      </c>
      <c r="IO24" s="70">
        <v>260.82</v>
      </c>
      <c r="IP24" s="70">
        <v>259.97000000000003</v>
      </c>
      <c r="IQ24" s="70">
        <v>259.10000000000002</v>
      </c>
      <c r="IR24" s="70">
        <v>258.25</v>
      </c>
      <c r="IS24" s="70">
        <v>257.39</v>
      </c>
      <c r="IT24" s="70">
        <v>256.52999999999997</v>
      </c>
      <c r="IU24" s="70">
        <v>255.68</v>
      </c>
      <c r="IV24" s="70">
        <v>254.82</v>
      </c>
      <c r="IW24" s="70">
        <v>253.97</v>
      </c>
      <c r="IX24" s="70">
        <v>253.12</v>
      </c>
      <c r="IY24" s="70">
        <v>252.27</v>
      </c>
      <c r="IZ24" s="70">
        <v>251.42</v>
      </c>
      <c r="JA24" s="70">
        <v>250.58</v>
      </c>
      <c r="JB24" s="70">
        <v>249.73</v>
      </c>
      <c r="JC24" s="70">
        <v>248.89</v>
      </c>
      <c r="JD24" s="70">
        <v>248.04</v>
      </c>
      <c r="JE24" s="70">
        <v>247.2</v>
      </c>
      <c r="JF24" s="70">
        <v>246.36</v>
      </c>
      <c r="JG24" s="70">
        <v>245.52</v>
      </c>
      <c r="JH24" s="70">
        <v>244.68</v>
      </c>
      <c r="JI24" s="70">
        <v>243.84</v>
      </c>
      <c r="JJ24" s="70">
        <v>243.01</v>
      </c>
      <c r="JK24" s="70">
        <v>242.17</v>
      </c>
      <c r="JL24" s="70">
        <v>241.34</v>
      </c>
      <c r="JM24" s="70">
        <v>240.5</v>
      </c>
      <c r="JN24" s="70">
        <v>239.67</v>
      </c>
      <c r="JO24" s="70">
        <v>238.84</v>
      </c>
      <c r="JP24" s="70">
        <v>238.01</v>
      </c>
      <c r="JQ24" s="70">
        <v>237.18</v>
      </c>
      <c r="JR24" s="70">
        <v>236.35</v>
      </c>
      <c r="JS24" s="70">
        <v>235.52</v>
      </c>
      <c r="JT24" s="70">
        <v>234.7</v>
      </c>
      <c r="JU24" s="70">
        <v>233.87</v>
      </c>
      <c r="JV24" s="70">
        <v>233.05</v>
      </c>
      <c r="JW24" s="70">
        <v>232.23</v>
      </c>
      <c r="JX24" s="70">
        <v>231.4</v>
      </c>
      <c r="JY24" s="70">
        <v>230.58</v>
      </c>
      <c r="JZ24" s="70">
        <v>229.77</v>
      </c>
      <c r="KA24" s="70">
        <v>228.95</v>
      </c>
      <c r="KB24" s="70">
        <v>228.13</v>
      </c>
      <c r="KC24" s="70">
        <v>227.31</v>
      </c>
      <c r="KD24" s="70">
        <v>226.5</v>
      </c>
      <c r="KE24" s="70">
        <v>225.68</v>
      </c>
      <c r="KF24" s="70">
        <v>224.87</v>
      </c>
      <c r="KG24" s="70">
        <v>224.06</v>
      </c>
      <c r="KH24" s="70">
        <v>223.25</v>
      </c>
      <c r="KI24" s="70">
        <v>222.44</v>
      </c>
      <c r="KJ24" s="70">
        <v>221.63</v>
      </c>
      <c r="KK24" s="70">
        <v>220.82</v>
      </c>
      <c r="KL24" s="70">
        <v>220.01</v>
      </c>
      <c r="KM24" s="70">
        <v>219.21</v>
      </c>
      <c r="KN24" s="70">
        <v>218.41</v>
      </c>
      <c r="KO24" s="70">
        <v>217.6</v>
      </c>
      <c r="KP24" s="70">
        <v>216.8</v>
      </c>
      <c r="KQ24" s="70">
        <v>216.01</v>
      </c>
      <c r="KR24" s="70">
        <v>214.91000000000017</v>
      </c>
      <c r="KS24" s="70">
        <v>214.16000000000017</v>
      </c>
      <c r="KT24" s="70">
        <v>213.41000000000017</v>
      </c>
      <c r="KU24" s="70">
        <v>212.66000000000017</v>
      </c>
      <c r="KV24" s="70">
        <v>211.91000000000017</v>
      </c>
      <c r="KW24" s="70">
        <v>211.16000000000017</v>
      </c>
      <c r="KX24" s="70">
        <v>210.41000000000017</v>
      </c>
      <c r="KY24" s="70">
        <v>209.66000000000017</v>
      </c>
      <c r="KZ24" s="70">
        <v>208.91000000000017</v>
      </c>
      <c r="LA24" s="70">
        <v>208.16000000000017</v>
      </c>
      <c r="LB24" s="70">
        <v>207.41000000000017</v>
      </c>
      <c r="LC24" s="70">
        <v>206.66000000000017</v>
      </c>
      <c r="LD24" s="70">
        <v>205.91000000000017</v>
      </c>
      <c r="LE24" s="70">
        <v>205.16000000000017</v>
      </c>
      <c r="LF24" s="70">
        <v>204.41000000000017</v>
      </c>
      <c r="LG24" s="70">
        <v>203.66000000000017</v>
      </c>
      <c r="LH24" s="70">
        <v>202.91000000000017</v>
      </c>
      <c r="LI24" s="70">
        <v>202.16000000000017</v>
      </c>
      <c r="LJ24" s="70">
        <v>201.41000000000017</v>
      </c>
      <c r="LK24" s="70">
        <v>200.66000000000017</v>
      </c>
      <c r="LL24" s="70">
        <v>199.91000000000017</v>
      </c>
      <c r="LM24" s="70">
        <v>199.16000000000017</v>
      </c>
      <c r="LN24" s="70">
        <v>198.41000000000017</v>
      </c>
      <c r="LO24" s="70">
        <v>197.66000000000017</v>
      </c>
      <c r="LP24" s="70">
        <v>196.91000000000017</v>
      </c>
      <c r="LQ24" s="70">
        <v>196.16000000000017</v>
      </c>
      <c r="LR24" s="70">
        <v>195.41000000000017</v>
      </c>
      <c r="LS24" s="70">
        <v>194.66000000000017</v>
      </c>
      <c r="LT24" s="70">
        <v>193.91000000000017</v>
      </c>
      <c r="LU24" s="70">
        <v>193.16000000000017</v>
      </c>
      <c r="LV24" s="70">
        <v>192.41000000000017</v>
      </c>
      <c r="LW24" s="70">
        <v>191.66000000000017</v>
      </c>
      <c r="LX24" s="70">
        <v>190.91000000000017</v>
      </c>
      <c r="LY24" s="70">
        <v>190.16000000000017</v>
      </c>
      <c r="LZ24" s="70">
        <v>189.41000000000017</v>
      </c>
      <c r="MA24" s="70">
        <v>188.66000000000017</v>
      </c>
      <c r="MB24" s="70">
        <v>187.91000000000017</v>
      </c>
      <c r="MC24" s="70">
        <v>187.16000000000017</v>
      </c>
      <c r="MD24" s="70">
        <v>186.41000000000017</v>
      </c>
      <c r="ME24" s="70">
        <v>185.66000000000017</v>
      </c>
      <c r="MF24" s="70">
        <v>184.91000000000017</v>
      </c>
      <c r="MG24" s="70">
        <v>184.16000000000017</v>
      </c>
      <c r="MH24" s="70">
        <v>183.41000000000017</v>
      </c>
      <c r="MI24" s="70">
        <v>182.66000000000017</v>
      </c>
      <c r="MJ24" s="70">
        <v>181.91000000000017</v>
      </c>
      <c r="MK24" s="70">
        <v>181.16000000000017</v>
      </c>
      <c r="ML24" s="70">
        <v>180.41000000000017</v>
      </c>
      <c r="MM24" s="70">
        <v>179.66000000000017</v>
      </c>
      <c r="MN24" s="70">
        <v>178.91000000000017</v>
      </c>
      <c r="MO24" s="70">
        <v>178.16000000000017</v>
      </c>
      <c r="MP24" s="70">
        <v>177.41000000000017</v>
      </c>
      <c r="MQ24" s="70">
        <v>176.66000000000017</v>
      </c>
      <c r="MR24" s="70">
        <v>175.91000000000017</v>
      </c>
      <c r="MS24" s="70">
        <v>175.16000000000017</v>
      </c>
      <c r="MT24" s="70">
        <v>174.41000000000017</v>
      </c>
      <c r="MU24" s="70">
        <v>173.66000000000017</v>
      </c>
      <c r="MV24" s="70">
        <v>172.91000000000017</v>
      </c>
      <c r="MW24" s="70">
        <v>172.16000000000017</v>
      </c>
      <c r="MX24" s="70">
        <v>171.41000000000017</v>
      </c>
      <c r="MY24" s="70">
        <v>170.66000000000017</v>
      </c>
    </row>
    <row r="25" spans="1:363" ht="15.6" x14ac:dyDescent="0.3">
      <c r="A25" s="67" t="s">
        <v>7</v>
      </c>
      <c r="B25" s="72">
        <v>2035</v>
      </c>
      <c r="C25" s="70">
        <v>499.7</v>
      </c>
      <c r="D25" s="70">
        <v>498.68</v>
      </c>
      <c r="E25" s="70">
        <v>497.66</v>
      </c>
      <c r="F25" s="70">
        <v>496.63</v>
      </c>
      <c r="G25" s="70">
        <v>495.61</v>
      </c>
      <c r="H25" s="70">
        <v>494.59</v>
      </c>
      <c r="I25" s="70">
        <v>493.57</v>
      </c>
      <c r="J25" s="70">
        <v>492.55</v>
      </c>
      <c r="K25" s="70">
        <v>491.53</v>
      </c>
      <c r="L25" s="70">
        <v>490.5</v>
      </c>
      <c r="M25" s="70">
        <v>489.48</v>
      </c>
      <c r="N25" s="70">
        <v>488.46</v>
      </c>
      <c r="O25" s="70">
        <v>487.44</v>
      </c>
      <c r="P25" s="70">
        <v>486.42</v>
      </c>
      <c r="Q25" s="70">
        <v>485.4</v>
      </c>
      <c r="R25" s="70">
        <v>484.38</v>
      </c>
      <c r="S25" s="70">
        <v>483.36</v>
      </c>
      <c r="T25" s="70">
        <v>482.33</v>
      </c>
      <c r="U25" s="70">
        <v>481.31</v>
      </c>
      <c r="V25" s="70">
        <v>480.29</v>
      </c>
      <c r="W25" s="70">
        <v>479.27</v>
      </c>
      <c r="X25" s="70">
        <v>478.25</v>
      </c>
      <c r="Y25" s="70">
        <v>477.23</v>
      </c>
      <c r="Z25" s="70">
        <v>476.21</v>
      </c>
      <c r="AA25" s="70">
        <v>475.19</v>
      </c>
      <c r="AB25" s="70">
        <v>474.17</v>
      </c>
      <c r="AC25" s="70">
        <v>473.15</v>
      </c>
      <c r="AD25" s="70">
        <v>472.13</v>
      </c>
      <c r="AE25" s="70">
        <v>471.11</v>
      </c>
      <c r="AF25" s="70">
        <v>470.09</v>
      </c>
      <c r="AG25" s="70">
        <v>469.07</v>
      </c>
      <c r="AH25" s="70">
        <v>468.05</v>
      </c>
      <c r="AI25" s="70">
        <v>467.03</v>
      </c>
      <c r="AJ25" s="70">
        <v>466.01</v>
      </c>
      <c r="AK25" s="70">
        <v>464.99</v>
      </c>
      <c r="AL25" s="70">
        <v>463.97</v>
      </c>
      <c r="AM25" s="70">
        <v>462.95</v>
      </c>
      <c r="AN25" s="70">
        <v>461.93</v>
      </c>
      <c r="AO25" s="70">
        <v>460.91</v>
      </c>
      <c r="AP25" s="70">
        <v>459.9</v>
      </c>
      <c r="AQ25" s="70">
        <v>458.88</v>
      </c>
      <c r="AR25" s="70">
        <v>457.86</v>
      </c>
      <c r="AS25" s="70">
        <v>456.84</v>
      </c>
      <c r="AT25" s="70">
        <v>455.82</v>
      </c>
      <c r="AU25" s="70">
        <v>454.81</v>
      </c>
      <c r="AV25" s="70">
        <v>453.79</v>
      </c>
      <c r="AW25" s="70">
        <v>452.77</v>
      </c>
      <c r="AX25" s="70">
        <v>451.75</v>
      </c>
      <c r="AY25" s="70">
        <v>450.73</v>
      </c>
      <c r="AZ25" s="70">
        <v>449.72</v>
      </c>
      <c r="BA25" s="70">
        <v>448.7</v>
      </c>
      <c r="BB25" s="70">
        <v>447.69</v>
      </c>
      <c r="BC25" s="70">
        <v>446.67</v>
      </c>
      <c r="BD25" s="70">
        <v>445.65</v>
      </c>
      <c r="BE25" s="70">
        <v>444.64</v>
      </c>
      <c r="BF25" s="70">
        <v>443.62</v>
      </c>
      <c r="BG25" s="70">
        <v>442.6</v>
      </c>
      <c r="BH25" s="70">
        <v>441.59</v>
      </c>
      <c r="BI25" s="70">
        <v>440.57</v>
      </c>
      <c r="BJ25" s="70">
        <v>439.56</v>
      </c>
      <c r="BK25" s="70">
        <v>438.54</v>
      </c>
      <c r="BL25" s="70">
        <v>437.53</v>
      </c>
      <c r="BM25" s="70">
        <v>436.51</v>
      </c>
      <c r="BN25" s="70">
        <v>435.5</v>
      </c>
      <c r="BO25" s="70">
        <v>434.49</v>
      </c>
      <c r="BP25" s="70">
        <v>433.47</v>
      </c>
      <c r="BQ25" s="70">
        <v>432.46</v>
      </c>
      <c r="BR25" s="70">
        <v>431.45</v>
      </c>
      <c r="BS25" s="70">
        <v>430.43</v>
      </c>
      <c r="BT25" s="70">
        <v>429.42</v>
      </c>
      <c r="BU25" s="70">
        <v>428.41</v>
      </c>
      <c r="BV25" s="70">
        <v>427.4</v>
      </c>
      <c r="BW25" s="70">
        <v>426.38</v>
      </c>
      <c r="BX25" s="70">
        <v>425.37</v>
      </c>
      <c r="BY25" s="70">
        <v>424.36</v>
      </c>
      <c r="BZ25" s="70">
        <v>423.35</v>
      </c>
      <c r="CA25" s="70">
        <v>422.35</v>
      </c>
      <c r="CB25" s="70">
        <v>421.34</v>
      </c>
      <c r="CC25" s="70">
        <v>420.33</v>
      </c>
      <c r="CD25" s="70">
        <v>419.32</v>
      </c>
      <c r="CE25" s="70">
        <v>418.31</v>
      </c>
      <c r="CF25" s="70">
        <v>417.3</v>
      </c>
      <c r="CG25" s="70">
        <v>416.29</v>
      </c>
      <c r="CH25" s="70">
        <v>415.29</v>
      </c>
      <c r="CI25" s="70">
        <v>414.28</v>
      </c>
      <c r="CJ25" s="70">
        <v>413.27</v>
      </c>
      <c r="CK25" s="70">
        <v>412.27</v>
      </c>
      <c r="CL25" s="70">
        <v>411.26</v>
      </c>
      <c r="CM25" s="70">
        <v>410.26</v>
      </c>
      <c r="CN25" s="70">
        <v>409.26</v>
      </c>
      <c r="CO25" s="70">
        <v>408.25</v>
      </c>
      <c r="CP25" s="70">
        <v>407.25</v>
      </c>
      <c r="CQ25" s="70">
        <v>406.25</v>
      </c>
      <c r="CR25" s="70">
        <v>405.24</v>
      </c>
      <c r="CS25" s="70">
        <v>404.24</v>
      </c>
      <c r="CT25" s="70">
        <v>403.24</v>
      </c>
      <c r="CU25" s="70">
        <v>402.24</v>
      </c>
      <c r="CV25" s="70">
        <v>401.24</v>
      </c>
      <c r="CW25" s="70">
        <v>400.24</v>
      </c>
      <c r="CX25" s="70">
        <v>399.24</v>
      </c>
      <c r="CY25" s="70">
        <v>398.24</v>
      </c>
      <c r="CZ25" s="70">
        <v>397.25</v>
      </c>
      <c r="DA25" s="70">
        <v>396.25</v>
      </c>
      <c r="DB25" s="70">
        <v>395.25</v>
      </c>
      <c r="DC25" s="70">
        <v>394.26</v>
      </c>
      <c r="DD25" s="70">
        <v>393.26</v>
      </c>
      <c r="DE25" s="70">
        <v>392.26</v>
      </c>
      <c r="DF25" s="70">
        <v>391.27</v>
      </c>
      <c r="DG25" s="70">
        <v>390.27</v>
      </c>
      <c r="DH25" s="70">
        <v>389.28</v>
      </c>
      <c r="DI25" s="70">
        <v>388.29</v>
      </c>
      <c r="DJ25" s="70">
        <v>387.3</v>
      </c>
      <c r="DK25" s="70">
        <v>386.31</v>
      </c>
      <c r="DL25" s="70">
        <v>385.32</v>
      </c>
      <c r="DM25" s="70">
        <v>384.33</v>
      </c>
      <c r="DN25" s="70">
        <v>383.34</v>
      </c>
      <c r="DO25" s="70">
        <v>382.35</v>
      </c>
      <c r="DP25" s="70">
        <v>381.36</v>
      </c>
      <c r="DQ25" s="70">
        <v>380.37</v>
      </c>
      <c r="DR25" s="70">
        <v>379.38</v>
      </c>
      <c r="DS25" s="70">
        <v>378.39</v>
      </c>
      <c r="DT25" s="70">
        <v>377.41</v>
      </c>
      <c r="DU25" s="70">
        <v>376.43</v>
      </c>
      <c r="DV25" s="70">
        <v>375.44</v>
      </c>
      <c r="DW25" s="70">
        <v>374.46</v>
      </c>
      <c r="DX25" s="70">
        <v>373.48</v>
      </c>
      <c r="DY25" s="70">
        <v>372.5</v>
      </c>
      <c r="DZ25" s="70">
        <v>371.52</v>
      </c>
      <c r="EA25" s="70">
        <v>370.54</v>
      </c>
      <c r="EB25" s="70">
        <v>369.56</v>
      </c>
      <c r="EC25" s="70">
        <v>368.58</v>
      </c>
      <c r="ED25" s="70">
        <v>367.6</v>
      </c>
      <c r="EE25" s="70">
        <v>366.63</v>
      </c>
      <c r="EF25" s="70">
        <v>365.65</v>
      </c>
      <c r="EG25" s="70">
        <v>364.68</v>
      </c>
      <c r="EH25" s="70">
        <v>363.71</v>
      </c>
      <c r="EI25" s="70">
        <v>362.74</v>
      </c>
      <c r="EJ25" s="70">
        <v>361.77</v>
      </c>
      <c r="EK25" s="70">
        <v>360.8</v>
      </c>
      <c r="EL25" s="70">
        <v>359.84</v>
      </c>
      <c r="EM25" s="70">
        <v>358.87</v>
      </c>
      <c r="EN25" s="70">
        <v>357.9</v>
      </c>
      <c r="EO25" s="70">
        <v>356.93</v>
      </c>
      <c r="EP25" s="70">
        <v>355.97</v>
      </c>
      <c r="EQ25" s="70">
        <v>355</v>
      </c>
      <c r="ER25" s="70">
        <v>354.04</v>
      </c>
      <c r="ES25" s="70">
        <v>353.08</v>
      </c>
      <c r="ET25" s="70">
        <v>352.12</v>
      </c>
      <c r="EU25" s="70">
        <v>351.16</v>
      </c>
      <c r="EV25" s="70">
        <v>350.2</v>
      </c>
      <c r="EW25" s="70">
        <v>349.24</v>
      </c>
      <c r="EX25" s="70">
        <v>348.28</v>
      </c>
      <c r="EY25" s="70">
        <v>347.32</v>
      </c>
      <c r="EZ25" s="70">
        <v>346.37</v>
      </c>
      <c r="FA25" s="70">
        <v>345.41</v>
      </c>
      <c r="FB25" s="70">
        <v>344.45</v>
      </c>
      <c r="FC25" s="70">
        <v>343.5</v>
      </c>
      <c r="FD25" s="70">
        <v>342.54</v>
      </c>
      <c r="FE25" s="70">
        <v>341.59</v>
      </c>
      <c r="FF25" s="70">
        <v>340.64</v>
      </c>
      <c r="FG25" s="70">
        <v>339.69</v>
      </c>
      <c r="FH25" s="70">
        <v>338.73</v>
      </c>
      <c r="FI25" s="70">
        <v>337.78</v>
      </c>
      <c r="FJ25" s="70">
        <v>336.83</v>
      </c>
      <c r="FK25" s="70">
        <v>335.88</v>
      </c>
      <c r="FL25" s="70">
        <v>334.93</v>
      </c>
      <c r="FM25" s="70">
        <v>333.99</v>
      </c>
      <c r="FN25" s="70">
        <v>333.04</v>
      </c>
      <c r="FO25" s="70">
        <v>332.09</v>
      </c>
      <c r="FP25" s="70">
        <v>331.15</v>
      </c>
      <c r="FQ25" s="70">
        <v>330.2</v>
      </c>
      <c r="FR25" s="70">
        <v>329.26</v>
      </c>
      <c r="FS25" s="70">
        <v>328.31</v>
      </c>
      <c r="FT25" s="70">
        <v>327.37</v>
      </c>
      <c r="FU25" s="70">
        <v>326.43</v>
      </c>
      <c r="FV25" s="70">
        <v>325.49</v>
      </c>
      <c r="FW25" s="70">
        <v>324.54000000000002</v>
      </c>
      <c r="FX25" s="70">
        <v>323.60000000000002</v>
      </c>
      <c r="FY25" s="70">
        <v>322.67</v>
      </c>
      <c r="FZ25" s="70">
        <v>321.73</v>
      </c>
      <c r="GA25" s="70">
        <v>320.79000000000002</v>
      </c>
      <c r="GB25" s="70">
        <v>319.85000000000002</v>
      </c>
      <c r="GC25" s="70">
        <v>318.92</v>
      </c>
      <c r="GD25" s="70">
        <v>317.98</v>
      </c>
      <c r="GE25" s="70">
        <v>317.04000000000002</v>
      </c>
      <c r="GF25" s="70">
        <v>316.12</v>
      </c>
      <c r="GG25" s="70">
        <v>315.19</v>
      </c>
      <c r="GH25" s="70">
        <v>314.26</v>
      </c>
      <c r="GI25" s="70">
        <v>313.32</v>
      </c>
      <c r="GJ25" s="70">
        <v>312.39999999999998</v>
      </c>
      <c r="GK25" s="70">
        <v>311.47000000000003</v>
      </c>
      <c r="GL25" s="70">
        <v>310.54000000000002</v>
      </c>
      <c r="GM25" s="70">
        <v>309.62</v>
      </c>
      <c r="GN25" s="70">
        <v>308.69</v>
      </c>
      <c r="GO25" s="70">
        <v>307.76</v>
      </c>
      <c r="GP25" s="70">
        <v>306.85000000000002</v>
      </c>
      <c r="GQ25" s="70">
        <v>305.92</v>
      </c>
      <c r="GR25" s="70">
        <v>305</v>
      </c>
      <c r="GS25" s="70">
        <v>304.08999999999997</v>
      </c>
      <c r="GT25" s="70">
        <v>303.17</v>
      </c>
      <c r="GU25" s="70">
        <v>302.25</v>
      </c>
      <c r="GV25" s="70">
        <v>301.32</v>
      </c>
      <c r="GW25" s="70">
        <v>300.42</v>
      </c>
      <c r="GX25" s="70">
        <v>299.5</v>
      </c>
      <c r="GY25" s="70">
        <v>298.58999999999997</v>
      </c>
      <c r="GZ25" s="70">
        <v>297.68</v>
      </c>
      <c r="HA25" s="70">
        <v>296.76</v>
      </c>
      <c r="HB25" s="70">
        <v>295.85000000000002</v>
      </c>
      <c r="HC25" s="70">
        <v>294.95</v>
      </c>
      <c r="HD25" s="70">
        <v>294.04000000000002</v>
      </c>
      <c r="HE25" s="70">
        <v>293.14</v>
      </c>
      <c r="HF25" s="70">
        <v>292.23</v>
      </c>
      <c r="HG25" s="70">
        <v>291.32</v>
      </c>
      <c r="HH25" s="70">
        <v>290.43</v>
      </c>
      <c r="HI25" s="70">
        <v>289.52999999999997</v>
      </c>
      <c r="HJ25" s="70">
        <v>288.63</v>
      </c>
      <c r="HK25" s="70">
        <v>287.73</v>
      </c>
      <c r="HL25" s="70">
        <v>286.82</v>
      </c>
      <c r="HM25" s="70">
        <v>285.94</v>
      </c>
      <c r="HN25" s="70">
        <v>285.04000000000002</v>
      </c>
      <c r="HO25" s="70">
        <v>284.14999999999998</v>
      </c>
      <c r="HP25" s="70">
        <v>283.26</v>
      </c>
      <c r="HQ25" s="70">
        <v>282.37</v>
      </c>
      <c r="HR25" s="70">
        <v>281.48</v>
      </c>
      <c r="HS25" s="70">
        <v>280.58999999999997</v>
      </c>
      <c r="HT25" s="70">
        <v>279.7</v>
      </c>
      <c r="HU25" s="70">
        <v>278.81</v>
      </c>
      <c r="HV25" s="70">
        <v>277.93</v>
      </c>
      <c r="HW25" s="70">
        <v>277.04000000000002</v>
      </c>
      <c r="HX25" s="70">
        <v>276.16000000000003</v>
      </c>
      <c r="HY25" s="70">
        <v>275.27999999999997</v>
      </c>
      <c r="HZ25" s="70">
        <v>274.39999999999998</v>
      </c>
      <c r="IA25" s="70">
        <v>273.51</v>
      </c>
      <c r="IB25" s="70">
        <v>272.64</v>
      </c>
      <c r="IC25" s="70">
        <v>271.76</v>
      </c>
      <c r="ID25" s="70">
        <v>270.89</v>
      </c>
      <c r="IE25" s="70">
        <v>270.01</v>
      </c>
      <c r="IF25" s="70">
        <v>269.14</v>
      </c>
      <c r="IG25" s="70">
        <v>268.26</v>
      </c>
      <c r="IH25" s="70">
        <v>267.39</v>
      </c>
      <c r="II25" s="70">
        <v>266.51</v>
      </c>
      <c r="IJ25" s="70">
        <v>265.64999999999998</v>
      </c>
      <c r="IK25" s="70">
        <v>264.77999999999997</v>
      </c>
      <c r="IL25" s="70">
        <v>263.92</v>
      </c>
      <c r="IM25" s="70">
        <v>263.04000000000002</v>
      </c>
      <c r="IN25" s="70">
        <v>262.19</v>
      </c>
      <c r="IO25" s="70">
        <v>261.32</v>
      </c>
      <c r="IP25" s="70">
        <v>260.45999999999998</v>
      </c>
      <c r="IQ25" s="70">
        <v>259.60000000000002</v>
      </c>
      <c r="IR25" s="70">
        <v>258.74</v>
      </c>
      <c r="IS25" s="70">
        <v>257.88</v>
      </c>
      <c r="IT25" s="70">
        <v>257.02999999999997</v>
      </c>
      <c r="IU25" s="70">
        <v>256.17</v>
      </c>
      <c r="IV25" s="70">
        <v>255.32</v>
      </c>
      <c r="IW25" s="70">
        <v>254.46</v>
      </c>
      <c r="IX25" s="70">
        <v>253.61</v>
      </c>
      <c r="IY25" s="70">
        <v>252.76</v>
      </c>
      <c r="IZ25" s="70">
        <v>251.91</v>
      </c>
      <c r="JA25" s="70">
        <v>251.07</v>
      </c>
      <c r="JB25" s="70">
        <v>250.22</v>
      </c>
      <c r="JC25" s="70">
        <v>249.38</v>
      </c>
      <c r="JD25" s="70">
        <v>248.53</v>
      </c>
      <c r="JE25" s="70">
        <v>247.69</v>
      </c>
      <c r="JF25" s="70">
        <v>246.85</v>
      </c>
      <c r="JG25" s="70">
        <v>246.01</v>
      </c>
      <c r="JH25" s="70">
        <v>245.17</v>
      </c>
      <c r="JI25" s="70">
        <v>244.33</v>
      </c>
      <c r="JJ25" s="70">
        <v>243.49</v>
      </c>
      <c r="JK25" s="70">
        <v>242.65</v>
      </c>
      <c r="JL25" s="70">
        <v>241.82</v>
      </c>
      <c r="JM25" s="70">
        <v>240.99</v>
      </c>
      <c r="JN25" s="70">
        <v>240.15</v>
      </c>
      <c r="JO25" s="70">
        <v>239.32</v>
      </c>
      <c r="JP25" s="70">
        <v>238.49</v>
      </c>
      <c r="JQ25" s="70">
        <v>237.66</v>
      </c>
      <c r="JR25" s="70">
        <v>236.83</v>
      </c>
      <c r="JS25" s="70">
        <v>236</v>
      </c>
      <c r="JT25" s="70">
        <v>235.18</v>
      </c>
      <c r="JU25" s="70">
        <v>234.35</v>
      </c>
      <c r="JV25" s="70">
        <v>233.53</v>
      </c>
      <c r="JW25" s="70">
        <v>232.7</v>
      </c>
      <c r="JX25" s="70">
        <v>231.88</v>
      </c>
      <c r="JY25" s="70">
        <v>231.06</v>
      </c>
      <c r="JZ25" s="70">
        <v>230.24</v>
      </c>
      <c r="KA25" s="70">
        <v>229.42</v>
      </c>
      <c r="KB25" s="70">
        <v>228.6</v>
      </c>
      <c r="KC25" s="70">
        <v>227.79</v>
      </c>
      <c r="KD25" s="70">
        <v>226.97</v>
      </c>
      <c r="KE25" s="70">
        <v>226.16</v>
      </c>
      <c r="KF25" s="70">
        <v>225.34</v>
      </c>
      <c r="KG25" s="70">
        <v>224.53</v>
      </c>
      <c r="KH25" s="70">
        <v>223.72</v>
      </c>
      <c r="KI25" s="70">
        <v>222.91</v>
      </c>
      <c r="KJ25" s="70">
        <v>222.1</v>
      </c>
      <c r="KK25" s="70">
        <v>221.29</v>
      </c>
      <c r="KL25" s="70">
        <v>220.48</v>
      </c>
      <c r="KM25" s="70">
        <v>219.68</v>
      </c>
      <c r="KN25" s="70">
        <v>218.87</v>
      </c>
      <c r="KO25" s="70">
        <v>218.07</v>
      </c>
      <c r="KP25" s="70">
        <v>217.27</v>
      </c>
      <c r="KQ25" s="70">
        <v>216.47</v>
      </c>
      <c r="KR25" s="70">
        <v>215.37000000000018</v>
      </c>
      <c r="KS25" s="70">
        <v>214.62000000000018</v>
      </c>
      <c r="KT25" s="70">
        <v>213.87000000000018</v>
      </c>
      <c r="KU25" s="70">
        <v>213.12000000000018</v>
      </c>
      <c r="KV25" s="70">
        <v>212.37000000000018</v>
      </c>
      <c r="KW25" s="70">
        <v>211.62000000000018</v>
      </c>
      <c r="KX25" s="70">
        <v>210.87000000000018</v>
      </c>
      <c r="KY25" s="70">
        <v>210.12000000000018</v>
      </c>
      <c r="KZ25" s="70">
        <v>209.37000000000018</v>
      </c>
      <c r="LA25" s="70">
        <v>208.62000000000018</v>
      </c>
      <c r="LB25" s="70">
        <v>207.87000000000018</v>
      </c>
      <c r="LC25" s="70">
        <v>207.12000000000018</v>
      </c>
      <c r="LD25" s="70">
        <v>206.37000000000018</v>
      </c>
      <c r="LE25" s="70">
        <v>205.62000000000018</v>
      </c>
      <c r="LF25" s="70">
        <v>204.87000000000018</v>
      </c>
      <c r="LG25" s="70">
        <v>204.12000000000018</v>
      </c>
      <c r="LH25" s="70">
        <v>203.37000000000018</v>
      </c>
      <c r="LI25" s="70">
        <v>202.62000000000018</v>
      </c>
      <c r="LJ25" s="70">
        <v>201.87000000000018</v>
      </c>
      <c r="LK25" s="70">
        <v>201.12000000000018</v>
      </c>
      <c r="LL25" s="70">
        <v>200.37000000000018</v>
      </c>
      <c r="LM25" s="70">
        <v>199.62000000000018</v>
      </c>
      <c r="LN25" s="70">
        <v>198.87000000000018</v>
      </c>
      <c r="LO25" s="70">
        <v>198.12000000000018</v>
      </c>
      <c r="LP25" s="70">
        <v>197.37000000000018</v>
      </c>
      <c r="LQ25" s="70">
        <v>196.62000000000018</v>
      </c>
      <c r="LR25" s="70">
        <v>195.87000000000018</v>
      </c>
      <c r="LS25" s="70">
        <v>195.12000000000018</v>
      </c>
      <c r="LT25" s="70">
        <v>194.37000000000018</v>
      </c>
      <c r="LU25" s="70">
        <v>193.62000000000018</v>
      </c>
      <c r="LV25" s="70">
        <v>192.87000000000018</v>
      </c>
      <c r="LW25" s="70">
        <v>192.12000000000018</v>
      </c>
      <c r="LX25" s="70">
        <v>191.37000000000018</v>
      </c>
      <c r="LY25" s="70">
        <v>190.62000000000018</v>
      </c>
      <c r="LZ25" s="70">
        <v>189.87000000000018</v>
      </c>
      <c r="MA25" s="70">
        <v>189.12000000000018</v>
      </c>
      <c r="MB25" s="70">
        <v>188.37000000000018</v>
      </c>
      <c r="MC25" s="70">
        <v>187.62000000000018</v>
      </c>
      <c r="MD25" s="70">
        <v>186.87000000000018</v>
      </c>
      <c r="ME25" s="70">
        <v>186.12000000000018</v>
      </c>
      <c r="MF25" s="70">
        <v>185.37000000000018</v>
      </c>
      <c r="MG25" s="70">
        <v>184.62000000000018</v>
      </c>
      <c r="MH25" s="70">
        <v>183.87000000000018</v>
      </c>
      <c r="MI25" s="70">
        <v>183.12000000000018</v>
      </c>
      <c r="MJ25" s="70">
        <v>182.37000000000018</v>
      </c>
      <c r="MK25" s="70">
        <v>181.62000000000018</v>
      </c>
      <c r="ML25" s="70">
        <v>180.87000000000018</v>
      </c>
      <c r="MM25" s="70">
        <v>180.12000000000018</v>
      </c>
      <c r="MN25" s="70">
        <v>179.37000000000018</v>
      </c>
      <c r="MO25" s="70">
        <v>178.62000000000018</v>
      </c>
      <c r="MP25" s="70">
        <v>177.87000000000018</v>
      </c>
      <c r="MQ25" s="70">
        <v>177.12000000000018</v>
      </c>
      <c r="MR25" s="70">
        <v>176.37000000000018</v>
      </c>
      <c r="MS25" s="70">
        <v>175.62000000000018</v>
      </c>
      <c r="MT25" s="70">
        <v>174.87000000000018</v>
      </c>
      <c r="MU25" s="70">
        <v>174.12000000000018</v>
      </c>
      <c r="MV25" s="70">
        <v>173.37000000000018</v>
      </c>
      <c r="MW25" s="70">
        <v>172.62000000000018</v>
      </c>
      <c r="MX25" s="70">
        <v>171.87000000000018</v>
      </c>
      <c r="MY25" s="70">
        <v>171.12000000000018</v>
      </c>
    </row>
    <row r="26" spans="1:363" ht="15.6" x14ac:dyDescent="0.3">
      <c r="A26" s="67" t="s">
        <v>7</v>
      </c>
      <c r="B26" s="72">
        <v>2036</v>
      </c>
      <c r="C26" s="70">
        <v>500.28</v>
      </c>
      <c r="D26" s="70">
        <v>499.26</v>
      </c>
      <c r="E26" s="70">
        <v>498.23</v>
      </c>
      <c r="F26" s="70">
        <v>497.21</v>
      </c>
      <c r="G26" s="70">
        <v>496.19</v>
      </c>
      <c r="H26" s="70">
        <v>495.17</v>
      </c>
      <c r="I26" s="70">
        <v>494.15</v>
      </c>
      <c r="J26" s="70">
        <v>493.12</v>
      </c>
      <c r="K26" s="70">
        <v>492.1</v>
      </c>
      <c r="L26" s="70">
        <v>491.08</v>
      </c>
      <c r="M26" s="70">
        <v>490.06</v>
      </c>
      <c r="N26" s="70">
        <v>489.04</v>
      </c>
      <c r="O26" s="70">
        <v>488.02</v>
      </c>
      <c r="P26" s="70">
        <v>486.99</v>
      </c>
      <c r="Q26" s="70">
        <v>485.97</v>
      </c>
      <c r="R26" s="70">
        <v>484.95</v>
      </c>
      <c r="S26" s="70">
        <v>483.93</v>
      </c>
      <c r="T26" s="70">
        <v>482.91</v>
      </c>
      <c r="U26" s="70">
        <v>481.89</v>
      </c>
      <c r="V26" s="70">
        <v>480.87</v>
      </c>
      <c r="W26" s="70">
        <v>479.85</v>
      </c>
      <c r="X26" s="70">
        <v>478.83</v>
      </c>
      <c r="Y26" s="70">
        <v>477.8</v>
      </c>
      <c r="Z26" s="70">
        <v>476.78</v>
      </c>
      <c r="AA26" s="70">
        <v>475.76</v>
      </c>
      <c r="AB26" s="70">
        <v>474.74</v>
      </c>
      <c r="AC26" s="70">
        <v>473.72</v>
      </c>
      <c r="AD26" s="70">
        <v>472.7</v>
      </c>
      <c r="AE26" s="70">
        <v>471.68</v>
      </c>
      <c r="AF26" s="70">
        <v>470.66</v>
      </c>
      <c r="AG26" s="70">
        <v>469.64</v>
      </c>
      <c r="AH26" s="70">
        <v>468.62</v>
      </c>
      <c r="AI26" s="70">
        <v>467.6</v>
      </c>
      <c r="AJ26" s="70">
        <v>466.58</v>
      </c>
      <c r="AK26" s="70">
        <v>465.56</v>
      </c>
      <c r="AL26" s="70">
        <v>464.54</v>
      </c>
      <c r="AM26" s="70">
        <v>463.52</v>
      </c>
      <c r="AN26" s="70">
        <v>462.5</v>
      </c>
      <c r="AO26" s="70">
        <v>461.48</v>
      </c>
      <c r="AP26" s="70">
        <v>460.46</v>
      </c>
      <c r="AQ26" s="70">
        <v>459.45</v>
      </c>
      <c r="AR26" s="70">
        <v>458.43</v>
      </c>
      <c r="AS26" s="70">
        <v>457.41</v>
      </c>
      <c r="AT26" s="70">
        <v>456.39</v>
      </c>
      <c r="AU26" s="70">
        <v>455.37</v>
      </c>
      <c r="AV26" s="70">
        <v>454.35</v>
      </c>
      <c r="AW26" s="70">
        <v>453.34</v>
      </c>
      <c r="AX26" s="70">
        <v>452.32</v>
      </c>
      <c r="AY26" s="70">
        <v>451.3</v>
      </c>
      <c r="AZ26" s="70">
        <v>450.28</v>
      </c>
      <c r="BA26" s="70">
        <v>449.27</v>
      </c>
      <c r="BB26" s="70">
        <v>448.25</v>
      </c>
      <c r="BC26" s="70">
        <v>447.23</v>
      </c>
      <c r="BD26" s="70">
        <v>446.22</v>
      </c>
      <c r="BE26" s="70">
        <v>445.2</v>
      </c>
      <c r="BF26" s="70">
        <v>444.18</v>
      </c>
      <c r="BG26" s="70">
        <v>443.17</v>
      </c>
      <c r="BH26" s="70">
        <v>442.15</v>
      </c>
      <c r="BI26" s="70">
        <v>441.13</v>
      </c>
      <c r="BJ26" s="70">
        <v>440.12</v>
      </c>
      <c r="BK26" s="70">
        <v>439.1</v>
      </c>
      <c r="BL26" s="70">
        <v>438.09</v>
      </c>
      <c r="BM26" s="70">
        <v>437.07</v>
      </c>
      <c r="BN26" s="70">
        <v>436.06</v>
      </c>
      <c r="BO26" s="70">
        <v>435.04</v>
      </c>
      <c r="BP26" s="70">
        <v>434.03</v>
      </c>
      <c r="BQ26" s="70">
        <v>433.02</v>
      </c>
      <c r="BR26" s="70">
        <v>432</v>
      </c>
      <c r="BS26" s="70">
        <v>430.99</v>
      </c>
      <c r="BT26" s="70">
        <v>429.98</v>
      </c>
      <c r="BU26" s="70">
        <v>428.96</v>
      </c>
      <c r="BV26" s="70">
        <v>427.95</v>
      </c>
      <c r="BW26" s="70">
        <v>426.94</v>
      </c>
      <c r="BX26" s="70">
        <v>425.93</v>
      </c>
      <c r="BY26" s="70">
        <v>424.92</v>
      </c>
      <c r="BZ26" s="70">
        <v>423.91</v>
      </c>
      <c r="CA26" s="70">
        <v>422.9</v>
      </c>
      <c r="CB26" s="70">
        <v>421.89</v>
      </c>
      <c r="CC26" s="70">
        <v>420.88</v>
      </c>
      <c r="CD26" s="70">
        <v>419.87</v>
      </c>
      <c r="CE26" s="70">
        <v>418.86</v>
      </c>
      <c r="CF26" s="70">
        <v>417.85</v>
      </c>
      <c r="CG26" s="70">
        <v>416.84</v>
      </c>
      <c r="CH26" s="70">
        <v>415.84</v>
      </c>
      <c r="CI26" s="70">
        <v>414.83</v>
      </c>
      <c r="CJ26" s="70">
        <v>413.82</v>
      </c>
      <c r="CK26" s="70">
        <v>412.82</v>
      </c>
      <c r="CL26" s="70">
        <v>411.81</v>
      </c>
      <c r="CM26" s="70">
        <v>410.81</v>
      </c>
      <c r="CN26" s="70">
        <v>409.81</v>
      </c>
      <c r="CO26" s="70">
        <v>408.8</v>
      </c>
      <c r="CP26" s="70">
        <v>407.8</v>
      </c>
      <c r="CQ26" s="70">
        <v>406.79</v>
      </c>
      <c r="CR26" s="70">
        <v>405.79</v>
      </c>
      <c r="CS26" s="70">
        <v>404.79</v>
      </c>
      <c r="CT26" s="70">
        <v>403.78</v>
      </c>
      <c r="CU26" s="70">
        <v>402.78</v>
      </c>
      <c r="CV26" s="70">
        <v>401.78</v>
      </c>
      <c r="CW26" s="70">
        <v>400.78</v>
      </c>
      <c r="CX26" s="70">
        <v>399.79</v>
      </c>
      <c r="CY26" s="70">
        <v>398.79</v>
      </c>
      <c r="CZ26" s="70">
        <v>397.79</v>
      </c>
      <c r="DA26" s="70">
        <v>396.79</v>
      </c>
      <c r="DB26" s="70">
        <v>395.79</v>
      </c>
      <c r="DC26" s="70">
        <v>394.8</v>
      </c>
      <c r="DD26" s="70">
        <v>393.8</v>
      </c>
      <c r="DE26" s="70">
        <v>392.8</v>
      </c>
      <c r="DF26" s="70">
        <v>391.81</v>
      </c>
      <c r="DG26" s="70">
        <v>390.81</v>
      </c>
      <c r="DH26" s="70">
        <v>389.82</v>
      </c>
      <c r="DI26" s="70">
        <v>388.83</v>
      </c>
      <c r="DJ26" s="70">
        <v>387.84</v>
      </c>
      <c r="DK26" s="70">
        <v>386.85</v>
      </c>
      <c r="DL26" s="70">
        <v>385.85</v>
      </c>
      <c r="DM26" s="70">
        <v>384.86</v>
      </c>
      <c r="DN26" s="70">
        <v>383.87</v>
      </c>
      <c r="DO26" s="70">
        <v>382.88</v>
      </c>
      <c r="DP26" s="70">
        <v>381.89</v>
      </c>
      <c r="DQ26" s="70">
        <v>380.9</v>
      </c>
      <c r="DR26" s="70">
        <v>379.92</v>
      </c>
      <c r="DS26" s="70">
        <v>378.93</v>
      </c>
      <c r="DT26" s="70">
        <v>377.94</v>
      </c>
      <c r="DU26" s="70">
        <v>376.96</v>
      </c>
      <c r="DV26" s="70">
        <v>375.98</v>
      </c>
      <c r="DW26" s="70">
        <v>375</v>
      </c>
      <c r="DX26" s="70">
        <v>374.02</v>
      </c>
      <c r="DY26" s="70">
        <v>373.03</v>
      </c>
      <c r="DZ26" s="70">
        <v>372.05</v>
      </c>
      <c r="EA26" s="70">
        <v>371.07</v>
      </c>
      <c r="EB26" s="70">
        <v>370.09</v>
      </c>
      <c r="EC26" s="70">
        <v>369.11</v>
      </c>
      <c r="ED26" s="70">
        <v>368.14</v>
      </c>
      <c r="EE26" s="70">
        <v>367.16</v>
      </c>
      <c r="EF26" s="70">
        <v>366.19</v>
      </c>
      <c r="EG26" s="70">
        <v>365.21</v>
      </c>
      <c r="EH26" s="70">
        <v>364.24</v>
      </c>
      <c r="EI26" s="70">
        <v>363.27</v>
      </c>
      <c r="EJ26" s="70">
        <v>362.3</v>
      </c>
      <c r="EK26" s="70">
        <v>361.33</v>
      </c>
      <c r="EL26" s="70">
        <v>360.37</v>
      </c>
      <c r="EM26" s="70">
        <v>359.4</v>
      </c>
      <c r="EN26" s="70">
        <v>358.43</v>
      </c>
      <c r="EO26" s="70">
        <v>357.46</v>
      </c>
      <c r="EP26" s="70">
        <v>356.5</v>
      </c>
      <c r="EQ26" s="70">
        <v>355.53</v>
      </c>
      <c r="ER26" s="70">
        <v>354.57</v>
      </c>
      <c r="ES26" s="70">
        <v>353.61</v>
      </c>
      <c r="ET26" s="70">
        <v>352.65</v>
      </c>
      <c r="EU26" s="70">
        <v>351.69</v>
      </c>
      <c r="EV26" s="70">
        <v>350.73</v>
      </c>
      <c r="EW26" s="70">
        <v>349.77</v>
      </c>
      <c r="EX26" s="70">
        <v>348.81</v>
      </c>
      <c r="EY26" s="70">
        <v>347.85</v>
      </c>
      <c r="EZ26" s="70">
        <v>346.89</v>
      </c>
      <c r="FA26" s="70">
        <v>345.94</v>
      </c>
      <c r="FB26" s="70">
        <v>344.98</v>
      </c>
      <c r="FC26" s="70">
        <v>344.02</v>
      </c>
      <c r="FD26" s="70">
        <v>343.07</v>
      </c>
      <c r="FE26" s="70">
        <v>342.12</v>
      </c>
      <c r="FF26" s="70">
        <v>341.16</v>
      </c>
      <c r="FG26" s="70">
        <v>340.21</v>
      </c>
      <c r="FH26" s="70">
        <v>339.26</v>
      </c>
      <c r="FI26" s="70">
        <v>338.31</v>
      </c>
      <c r="FJ26" s="70">
        <v>337.36</v>
      </c>
      <c r="FK26" s="70">
        <v>336.41</v>
      </c>
      <c r="FL26" s="70">
        <v>335.46</v>
      </c>
      <c r="FM26" s="70">
        <v>334.51</v>
      </c>
      <c r="FN26" s="70">
        <v>333.56</v>
      </c>
      <c r="FO26" s="70">
        <v>332.61</v>
      </c>
      <c r="FP26" s="70">
        <v>331.67</v>
      </c>
      <c r="FQ26" s="70">
        <v>330.72</v>
      </c>
      <c r="FR26" s="70">
        <v>329.78</v>
      </c>
      <c r="FS26" s="70">
        <v>328.83</v>
      </c>
      <c r="FT26" s="70">
        <v>327.89</v>
      </c>
      <c r="FU26" s="70">
        <v>326.95</v>
      </c>
      <c r="FV26" s="70">
        <v>326.01</v>
      </c>
      <c r="FW26" s="70">
        <v>325.07</v>
      </c>
      <c r="FX26" s="70">
        <v>324.13</v>
      </c>
      <c r="FY26" s="70">
        <v>323.19</v>
      </c>
      <c r="FZ26" s="70">
        <v>322.25</v>
      </c>
      <c r="GA26" s="70">
        <v>321.31</v>
      </c>
      <c r="GB26" s="70">
        <v>320.37</v>
      </c>
      <c r="GC26" s="70">
        <v>319.44</v>
      </c>
      <c r="GD26" s="70">
        <v>318.5</v>
      </c>
      <c r="GE26" s="70">
        <v>317.57</v>
      </c>
      <c r="GF26" s="70">
        <v>316.64</v>
      </c>
      <c r="GG26" s="70">
        <v>315.7</v>
      </c>
      <c r="GH26" s="70">
        <v>314.76</v>
      </c>
      <c r="GI26" s="70">
        <v>313.83999999999997</v>
      </c>
      <c r="GJ26" s="70">
        <v>312.91000000000003</v>
      </c>
      <c r="GK26" s="70">
        <v>311.99</v>
      </c>
      <c r="GL26" s="70">
        <v>311.06</v>
      </c>
      <c r="GM26" s="70">
        <v>310.13</v>
      </c>
      <c r="GN26" s="70">
        <v>309.20999999999998</v>
      </c>
      <c r="GO26" s="70">
        <v>308.27999999999997</v>
      </c>
      <c r="GP26" s="70">
        <v>307.35000000000002</v>
      </c>
      <c r="GQ26" s="70">
        <v>306.44</v>
      </c>
      <c r="GR26" s="70">
        <v>305.51</v>
      </c>
      <c r="GS26" s="70">
        <v>304.60000000000002</v>
      </c>
      <c r="GT26" s="70">
        <v>303.68</v>
      </c>
      <c r="GU26" s="70">
        <v>302.76</v>
      </c>
      <c r="GV26" s="70">
        <v>301.85000000000002</v>
      </c>
      <c r="GW26" s="70">
        <v>300.93</v>
      </c>
      <c r="GX26" s="70">
        <v>300.01</v>
      </c>
      <c r="GY26" s="70">
        <v>299.10000000000002</v>
      </c>
      <c r="GZ26" s="70">
        <v>298.19</v>
      </c>
      <c r="HA26" s="70">
        <v>297.27999999999997</v>
      </c>
      <c r="HB26" s="70">
        <v>296.37</v>
      </c>
      <c r="HC26" s="70">
        <v>295.45999999999998</v>
      </c>
      <c r="HD26" s="70">
        <v>294.56</v>
      </c>
      <c r="HE26" s="70">
        <v>293.64999999999998</v>
      </c>
      <c r="HF26" s="70">
        <v>292.74</v>
      </c>
      <c r="HG26" s="70">
        <v>291.83999999999997</v>
      </c>
      <c r="HH26" s="70">
        <v>290.94</v>
      </c>
      <c r="HI26" s="70">
        <v>290.04000000000002</v>
      </c>
      <c r="HJ26" s="70">
        <v>289.13</v>
      </c>
      <c r="HK26" s="70">
        <v>288.24</v>
      </c>
      <c r="HL26" s="70">
        <v>287.33999999999997</v>
      </c>
      <c r="HM26" s="70">
        <v>286.44</v>
      </c>
      <c r="HN26" s="70">
        <v>285.54000000000002</v>
      </c>
      <c r="HO26" s="70">
        <v>284.64999999999998</v>
      </c>
      <c r="HP26" s="70">
        <v>283.76</v>
      </c>
      <c r="HQ26" s="70">
        <v>282.87</v>
      </c>
      <c r="HR26" s="70">
        <v>281.98</v>
      </c>
      <c r="HS26" s="70">
        <v>281.08999999999997</v>
      </c>
      <c r="HT26" s="70">
        <v>280.2</v>
      </c>
      <c r="HU26" s="70">
        <v>279.32</v>
      </c>
      <c r="HV26" s="70">
        <v>278.43</v>
      </c>
      <c r="HW26" s="70">
        <v>277.54000000000002</v>
      </c>
      <c r="HX26" s="70">
        <v>276.66000000000003</v>
      </c>
      <c r="HY26" s="70">
        <v>275.77999999999997</v>
      </c>
      <c r="HZ26" s="70">
        <v>274.89999999999998</v>
      </c>
      <c r="IA26" s="70">
        <v>274.01</v>
      </c>
      <c r="IB26" s="70">
        <v>273.14</v>
      </c>
      <c r="IC26" s="70">
        <v>272.26</v>
      </c>
      <c r="ID26" s="70">
        <v>271.39</v>
      </c>
      <c r="IE26" s="70">
        <v>270.51</v>
      </c>
      <c r="IF26" s="70">
        <v>269.64</v>
      </c>
      <c r="IG26" s="70">
        <v>268.76</v>
      </c>
      <c r="IH26" s="70">
        <v>267.89</v>
      </c>
      <c r="II26" s="70">
        <v>267.01</v>
      </c>
      <c r="IJ26" s="70">
        <v>266.14999999999998</v>
      </c>
      <c r="IK26" s="70">
        <v>265.27999999999997</v>
      </c>
      <c r="IL26" s="70">
        <v>264.41000000000003</v>
      </c>
      <c r="IM26" s="70">
        <v>263.54000000000002</v>
      </c>
      <c r="IN26" s="70">
        <v>262.68</v>
      </c>
      <c r="IO26" s="70">
        <v>261.82</v>
      </c>
      <c r="IP26" s="70">
        <v>260.95999999999998</v>
      </c>
      <c r="IQ26" s="70">
        <v>260.08999999999997</v>
      </c>
      <c r="IR26" s="70">
        <v>259.23</v>
      </c>
      <c r="IS26" s="70">
        <v>258.38</v>
      </c>
      <c r="IT26" s="70">
        <v>257.51</v>
      </c>
      <c r="IU26" s="70">
        <v>256.66000000000003</v>
      </c>
      <c r="IV26" s="70">
        <v>255.81</v>
      </c>
      <c r="IW26" s="70">
        <v>254.95</v>
      </c>
      <c r="IX26" s="70">
        <v>254.1</v>
      </c>
      <c r="IY26" s="70">
        <v>253.25</v>
      </c>
      <c r="IZ26" s="70">
        <v>252.4</v>
      </c>
      <c r="JA26" s="70">
        <v>251.56</v>
      </c>
      <c r="JB26" s="70">
        <v>250.71</v>
      </c>
      <c r="JC26" s="70">
        <v>249.86</v>
      </c>
      <c r="JD26" s="70">
        <v>249.02</v>
      </c>
      <c r="JE26" s="70">
        <v>248.18</v>
      </c>
      <c r="JF26" s="70">
        <v>247.33</v>
      </c>
      <c r="JG26" s="70">
        <v>246.49</v>
      </c>
      <c r="JH26" s="70">
        <v>245.65</v>
      </c>
      <c r="JI26" s="70">
        <v>244.81</v>
      </c>
      <c r="JJ26" s="70">
        <v>243.98</v>
      </c>
      <c r="JK26" s="70">
        <v>243.14</v>
      </c>
      <c r="JL26" s="70">
        <v>242.3</v>
      </c>
      <c r="JM26" s="70">
        <v>241.47</v>
      </c>
      <c r="JN26" s="70">
        <v>240.63</v>
      </c>
      <c r="JO26" s="70">
        <v>239.8</v>
      </c>
      <c r="JP26" s="70">
        <v>238.97</v>
      </c>
      <c r="JQ26" s="70">
        <v>238.14</v>
      </c>
      <c r="JR26" s="70">
        <v>237.31</v>
      </c>
      <c r="JS26" s="70">
        <v>236.48</v>
      </c>
      <c r="JT26" s="70">
        <v>235.65</v>
      </c>
      <c r="JU26" s="70">
        <v>234.83</v>
      </c>
      <c r="JV26" s="70">
        <v>234</v>
      </c>
      <c r="JW26" s="70">
        <v>233.18</v>
      </c>
      <c r="JX26" s="70">
        <v>232.36</v>
      </c>
      <c r="JY26" s="70">
        <v>231.54</v>
      </c>
      <c r="JZ26" s="70">
        <v>230.72</v>
      </c>
      <c r="KA26" s="70">
        <v>229.9</v>
      </c>
      <c r="KB26" s="70">
        <v>229.08</v>
      </c>
      <c r="KC26" s="70">
        <v>228.26</v>
      </c>
      <c r="KD26" s="70">
        <v>227.44</v>
      </c>
      <c r="KE26" s="70">
        <v>226.63</v>
      </c>
      <c r="KF26" s="70">
        <v>225.81</v>
      </c>
      <c r="KG26" s="70">
        <v>225</v>
      </c>
      <c r="KH26" s="70">
        <v>224.19</v>
      </c>
      <c r="KI26" s="70">
        <v>223.38</v>
      </c>
      <c r="KJ26" s="70">
        <v>222.57</v>
      </c>
      <c r="KK26" s="70">
        <v>221.76</v>
      </c>
      <c r="KL26" s="70">
        <v>220.95</v>
      </c>
      <c r="KM26" s="70">
        <v>220.15</v>
      </c>
      <c r="KN26" s="70">
        <v>219.34</v>
      </c>
      <c r="KO26" s="70">
        <v>218.54</v>
      </c>
      <c r="KP26" s="70">
        <v>217.74</v>
      </c>
      <c r="KQ26" s="70">
        <v>216.94</v>
      </c>
      <c r="KR26" s="70">
        <v>215.83000000000018</v>
      </c>
      <c r="KS26" s="70">
        <v>215.08000000000018</v>
      </c>
      <c r="KT26" s="70">
        <v>214.33000000000018</v>
      </c>
      <c r="KU26" s="70">
        <v>213.58000000000018</v>
      </c>
      <c r="KV26" s="70">
        <v>212.83000000000018</v>
      </c>
      <c r="KW26" s="70">
        <v>212.08000000000018</v>
      </c>
      <c r="KX26" s="70">
        <v>211.33000000000018</v>
      </c>
      <c r="KY26" s="70">
        <v>210.58000000000018</v>
      </c>
      <c r="KZ26" s="70">
        <v>209.83000000000018</v>
      </c>
      <c r="LA26" s="70">
        <v>209.08000000000018</v>
      </c>
      <c r="LB26" s="70">
        <v>208.33000000000018</v>
      </c>
      <c r="LC26" s="70">
        <v>207.58000000000018</v>
      </c>
      <c r="LD26" s="70">
        <v>206.83000000000018</v>
      </c>
      <c r="LE26" s="70">
        <v>206.08000000000018</v>
      </c>
      <c r="LF26" s="70">
        <v>205.33000000000018</v>
      </c>
      <c r="LG26" s="70">
        <v>204.58000000000018</v>
      </c>
      <c r="LH26" s="70">
        <v>203.83000000000018</v>
      </c>
      <c r="LI26" s="70">
        <v>203.08000000000018</v>
      </c>
      <c r="LJ26" s="70">
        <v>202.33000000000018</v>
      </c>
      <c r="LK26" s="70">
        <v>201.58000000000018</v>
      </c>
      <c r="LL26" s="70">
        <v>200.83000000000018</v>
      </c>
      <c r="LM26" s="70">
        <v>200.08000000000018</v>
      </c>
      <c r="LN26" s="70">
        <v>199.33000000000018</v>
      </c>
      <c r="LO26" s="70">
        <v>198.58000000000018</v>
      </c>
      <c r="LP26" s="70">
        <v>197.83000000000018</v>
      </c>
      <c r="LQ26" s="70">
        <v>197.08000000000018</v>
      </c>
      <c r="LR26" s="70">
        <v>196.33000000000018</v>
      </c>
      <c r="LS26" s="70">
        <v>195.58000000000018</v>
      </c>
      <c r="LT26" s="70">
        <v>194.83000000000018</v>
      </c>
      <c r="LU26" s="70">
        <v>194.08000000000018</v>
      </c>
      <c r="LV26" s="70">
        <v>193.33000000000018</v>
      </c>
      <c r="LW26" s="70">
        <v>192.58000000000018</v>
      </c>
      <c r="LX26" s="70">
        <v>191.83000000000018</v>
      </c>
      <c r="LY26" s="70">
        <v>191.08000000000018</v>
      </c>
      <c r="LZ26" s="70">
        <v>190.33000000000018</v>
      </c>
      <c r="MA26" s="70">
        <v>189.58000000000018</v>
      </c>
      <c r="MB26" s="70">
        <v>188.83000000000018</v>
      </c>
      <c r="MC26" s="70">
        <v>188.08000000000018</v>
      </c>
      <c r="MD26" s="70">
        <v>187.33000000000018</v>
      </c>
      <c r="ME26" s="70">
        <v>186.58000000000018</v>
      </c>
      <c r="MF26" s="70">
        <v>185.83000000000018</v>
      </c>
      <c r="MG26" s="70">
        <v>185.08000000000018</v>
      </c>
      <c r="MH26" s="70">
        <v>184.33000000000018</v>
      </c>
      <c r="MI26" s="70">
        <v>183.58000000000018</v>
      </c>
      <c r="MJ26" s="70">
        <v>182.83000000000018</v>
      </c>
      <c r="MK26" s="70">
        <v>182.08000000000018</v>
      </c>
      <c r="ML26" s="70">
        <v>181.33000000000018</v>
      </c>
      <c r="MM26" s="70">
        <v>180.58000000000018</v>
      </c>
      <c r="MN26" s="70">
        <v>179.83000000000018</v>
      </c>
      <c r="MO26" s="70">
        <v>179.08000000000018</v>
      </c>
      <c r="MP26" s="70">
        <v>178.33000000000018</v>
      </c>
      <c r="MQ26" s="70">
        <v>177.58000000000018</v>
      </c>
      <c r="MR26" s="70">
        <v>176.83000000000018</v>
      </c>
      <c r="MS26" s="70">
        <v>176.08000000000018</v>
      </c>
      <c r="MT26" s="70">
        <v>175.33000000000018</v>
      </c>
      <c r="MU26" s="70">
        <v>174.58000000000018</v>
      </c>
      <c r="MV26" s="70">
        <v>173.83000000000018</v>
      </c>
      <c r="MW26" s="70">
        <v>173.08000000000018</v>
      </c>
      <c r="MX26" s="70">
        <v>172.33000000000018</v>
      </c>
      <c r="MY26" s="70">
        <v>171.58000000000018</v>
      </c>
    </row>
    <row r="27" spans="1:363" ht="15.6" x14ac:dyDescent="0.3">
      <c r="A27" s="67" t="s">
        <v>7</v>
      </c>
      <c r="B27" s="72">
        <v>2037</v>
      </c>
      <c r="C27" s="70">
        <v>500.85</v>
      </c>
      <c r="D27" s="70">
        <v>499.83</v>
      </c>
      <c r="E27" s="70">
        <v>498.81</v>
      </c>
      <c r="F27" s="70">
        <v>497.79</v>
      </c>
      <c r="G27" s="70">
        <v>496.77</v>
      </c>
      <c r="H27" s="70">
        <v>495.74</v>
      </c>
      <c r="I27" s="70">
        <v>494.72</v>
      </c>
      <c r="J27" s="70">
        <v>493.7</v>
      </c>
      <c r="K27" s="70">
        <v>492.68</v>
      </c>
      <c r="L27" s="70">
        <v>491.65</v>
      </c>
      <c r="M27" s="70">
        <v>490.63</v>
      </c>
      <c r="N27" s="70">
        <v>489.61</v>
      </c>
      <c r="O27" s="70">
        <v>488.59</v>
      </c>
      <c r="P27" s="70">
        <v>487.57</v>
      </c>
      <c r="Q27" s="70">
        <v>486.55</v>
      </c>
      <c r="R27" s="70">
        <v>485.52</v>
      </c>
      <c r="S27" s="70">
        <v>484.5</v>
      </c>
      <c r="T27" s="70">
        <v>483.48</v>
      </c>
      <c r="U27" s="70">
        <v>482.46</v>
      </c>
      <c r="V27" s="70">
        <v>481.44</v>
      </c>
      <c r="W27" s="70">
        <v>480.42</v>
      </c>
      <c r="X27" s="70">
        <v>479.4</v>
      </c>
      <c r="Y27" s="70">
        <v>478.38</v>
      </c>
      <c r="Z27" s="70">
        <v>477.35</v>
      </c>
      <c r="AA27" s="70">
        <v>476.33</v>
      </c>
      <c r="AB27" s="70">
        <v>475.31</v>
      </c>
      <c r="AC27" s="70">
        <v>474.29</v>
      </c>
      <c r="AD27" s="70">
        <v>473.27</v>
      </c>
      <c r="AE27" s="70">
        <v>472.25</v>
      </c>
      <c r="AF27" s="70">
        <v>471.23</v>
      </c>
      <c r="AG27" s="70">
        <v>470.21</v>
      </c>
      <c r="AH27" s="70">
        <v>469.19</v>
      </c>
      <c r="AI27" s="70">
        <v>468.17</v>
      </c>
      <c r="AJ27" s="70">
        <v>467.15</v>
      </c>
      <c r="AK27" s="70">
        <v>466.13</v>
      </c>
      <c r="AL27" s="70">
        <v>465.11</v>
      </c>
      <c r="AM27" s="70">
        <v>464.09</v>
      </c>
      <c r="AN27" s="70">
        <v>463.07</v>
      </c>
      <c r="AO27" s="70">
        <v>462.05</v>
      </c>
      <c r="AP27" s="70">
        <v>461.03</v>
      </c>
      <c r="AQ27" s="70">
        <v>460.01</v>
      </c>
      <c r="AR27" s="70">
        <v>458.99</v>
      </c>
      <c r="AS27" s="70">
        <v>457.97</v>
      </c>
      <c r="AT27" s="70">
        <v>456.95</v>
      </c>
      <c r="AU27" s="70">
        <v>455.94</v>
      </c>
      <c r="AV27" s="70">
        <v>454.92</v>
      </c>
      <c r="AW27" s="70">
        <v>453.9</v>
      </c>
      <c r="AX27" s="70">
        <v>452.88</v>
      </c>
      <c r="AY27" s="70">
        <v>451.86</v>
      </c>
      <c r="AZ27" s="70">
        <v>450.84</v>
      </c>
      <c r="BA27" s="70">
        <v>449.83</v>
      </c>
      <c r="BB27" s="70">
        <v>448.81</v>
      </c>
      <c r="BC27" s="70">
        <v>447.79</v>
      </c>
      <c r="BD27" s="70">
        <v>446.78</v>
      </c>
      <c r="BE27" s="70">
        <v>445.76</v>
      </c>
      <c r="BF27" s="70">
        <v>444.74</v>
      </c>
      <c r="BG27" s="70">
        <v>443.73</v>
      </c>
      <c r="BH27" s="70">
        <v>442.71</v>
      </c>
      <c r="BI27" s="70">
        <v>441.69</v>
      </c>
      <c r="BJ27" s="70">
        <v>440.68</v>
      </c>
      <c r="BK27" s="70">
        <v>439.66</v>
      </c>
      <c r="BL27" s="70">
        <v>438.64</v>
      </c>
      <c r="BM27" s="70">
        <v>437.63</v>
      </c>
      <c r="BN27" s="70">
        <v>436.62</v>
      </c>
      <c r="BO27" s="70">
        <v>435.6</v>
      </c>
      <c r="BP27" s="70">
        <v>434.59</v>
      </c>
      <c r="BQ27" s="70">
        <v>433.57</v>
      </c>
      <c r="BR27" s="70">
        <v>432.56</v>
      </c>
      <c r="BS27" s="70">
        <v>431.55</v>
      </c>
      <c r="BT27" s="70">
        <v>430.53</v>
      </c>
      <c r="BU27" s="70">
        <v>429.52</v>
      </c>
      <c r="BV27" s="70">
        <v>428.51</v>
      </c>
      <c r="BW27" s="70">
        <v>427.49</v>
      </c>
      <c r="BX27" s="70">
        <v>426.48</v>
      </c>
      <c r="BY27" s="70">
        <v>425.47</v>
      </c>
      <c r="BZ27" s="70">
        <v>424.46</v>
      </c>
      <c r="CA27" s="70">
        <v>423.45</v>
      </c>
      <c r="CB27" s="70">
        <v>422.44</v>
      </c>
      <c r="CC27" s="70">
        <v>421.43</v>
      </c>
      <c r="CD27" s="70">
        <v>420.42</v>
      </c>
      <c r="CE27" s="70">
        <v>419.41</v>
      </c>
      <c r="CF27" s="70">
        <v>418.4</v>
      </c>
      <c r="CG27" s="70">
        <v>417.39</v>
      </c>
      <c r="CH27" s="70">
        <v>416.38</v>
      </c>
      <c r="CI27" s="70">
        <v>415.38</v>
      </c>
      <c r="CJ27" s="70">
        <v>414.37</v>
      </c>
      <c r="CK27" s="70">
        <v>413.37</v>
      </c>
      <c r="CL27" s="70">
        <v>412.36</v>
      </c>
      <c r="CM27" s="70">
        <v>411.36</v>
      </c>
      <c r="CN27" s="70">
        <v>410.35</v>
      </c>
      <c r="CO27" s="70">
        <v>409.35</v>
      </c>
      <c r="CP27" s="70">
        <v>408.34</v>
      </c>
      <c r="CQ27" s="70">
        <v>407.34</v>
      </c>
      <c r="CR27" s="70">
        <v>406.33</v>
      </c>
      <c r="CS27" s="70">
        <v>405.33</v>
      </c>
      <c r="CT27" s="70">
        <v>404.33</v>
      </c>
      <c r="CU27" s="70">
        <v>403.32</v>
      </c>
      <c r="CV27" s="70">
        <v>402.33</v>
      </c>
      <c r="CW27" s="70">
        <v>401.33</v>
      </c>
      <c r="CX27" s="70">
        <v>400.33</v>
      </c>
      <c r="CY27" s="70">
        <v>399.33</v>
      </c>
      <c r="CZ27" s="70">
        <v>398.33</v>
      </c>
      <c r="DA27" s="70">
        <v>397.33</v>
      </c>
      <c r="DB27" s="70">
        <v>396.34</v>
      </c>
      <c r="DC27" s="70">
        <v>395.34</v>
      </c>
      <c r="DD27" s="70">
        <v>394.34</v>
      </c>
      <c r="DE27" s="70">
        <v>393.34</v>
      </c>
      <c r="DF27" s="70">
        <v>392.35</v>
      </c>
      <c r="DG27" s="70">
        <v>391.35</v>
      </c>
      <c r="DH27" s="70">
        <v>390.36</v>
      </c>
      <c r="DI27" s="70">
        <v>389.36</v>
      </c>
      <c r="DJ27" s="70">
        <v>388.37</v>
      </c>
      <c r="DK27" s="70">
        <v>387.38</v>
      </c>
      <c r="DL27" s="70">
        <v>386.39</v>
      </c>
      <c r="DM27" s="70">
        <v>385.4</v>
      </c>
      <c r="DN27" s="70">
        <v>384.41</v>
      </c>
      <c r="DO27" s="70">
        <v>383.42</v>
      </c>
      <c r="DP27" s="70">
        <v>382.43</v>
      </c>
      <c r="DQ27" s="70">
        <v>381.44</v>
      </c>
      <c r="DR27" s="70">
        <v>380.45</v>
      </c>
      <c r="DS27" s="70">
        <v>379.46</v>
      </c>
      <c r="DT27" s="70">
        <v>378.48</v>
      </c>
      <c r="DU27" s="70">
        <v>377.49</v>
      </c>
      <c r="DV27" s="70">
        <v>376.51</v>
      </c>
      <c r="DW27" s="70">
        <v>375.53</v>
      </c>
      <c r="DX27" s="70">
        <v>374.55</v>
      </c>
      <c r="DY27" s="70">
        <v>373.57</v>
      </c>
      <c r="DZ27" s="70">
        <v>372.59</v>
      </c>
      <c r="EA27" s="70">
        <v>371.6</v>
      </c>
      <c r="EB27" s="70">
        <v>370.62</v>
      </c>
      <c r="EC27" s="70">
        <v>369.64</v>
      </c>
      <c r="ED27" s="70">
        <v>368.67</v>
      </c>
      <c r="EE27" s="70">
        <v>367.69</v>
      </c>
      <c r="EF27" s="70">
        <v>366.72</v>
      </c>
      <c r="EG27" s="70">
        <v>365.74</v>
      </c>
      <c r="EH27" s="70">
        <v>364.77</v>
      </c>
      <c r="EI27" s="70">
        <v>363.8</v>
      </c>
      <c r="EJ27" s="70">
        <v>362.83</v>
      </c>
      <c r="EK27" s="70">
        <v>361.86</v>
      </c>
      <c r="EL27" s="70">
        <v>360.89</v>
      </c>
      <c r="EM27" s="70">
        <v>359.93</v>
      </c>
      <c r="EN27" s="70">
        <v>358.96</v>
      </c>
      <c r="EO27" s="70">
        <v>357.99</v>
      </c>
      <c r="EP27" s="70">
        <v>357.02</v>
      </c>
      <c r="EQ27" s="70">
        <v>356.06</v>
      </c>
      <c r="ER27" s="70">
        <v>355.1</v>
      </c>
      <c r="ES27" s="70">
        <v>354.13</v>
      </c>
      <c r="ET27" s="70">
        <v>353.17</v>
      </c>
      <c r="EU27" s="70">
        <v>352.21</v>
      </c>
      <c r="EV27" s="70">
        <v>351.25</v>
      </c>
      <c r="EW27" s="70">
        <v>350.29</v>
      </c>
      <c r="EX27" s="70">
        <v>349.33</v>
      </c>
      <c r="EY27" s="70">
        <v>348.38</v>
      </c>
      <c r="EZ27" s="70">
        <v>347.42</v>
      </c>
      <c r="FA27" s="70">
        <v>346.46</v>
      </c>
      <c r="FB27" s="70">
        <v>345.5</v>
      </c>
      <c r="FC27" s="70">
        <v>344.55</v>
      </c>
      <c r="FD27" s="70">
        <v>343.59</v>
      </c>
      <c r="FE27" s="70">
        <v>342.64</v>
      </c>
      <c r="FF27" s="70">
        <v>341.69</v>
      </c>
      <c r="FG27" s="70">
        <v>340.73</v>
      </c>
      <c r="FH27" s="70">
        <v>339.78</v>
      </c>
      <c r="FI27" s="70">
        <v>338.83</v>
      </c>
      <c r="FJ27" s="70">
        <v>337.88</v>
      </c>
      <c r="FK27" s="70">
        <v>336.93</v>
      </c>
      <c r="FL27" s="70">
        <v>335.98</v>
      </c>
      <c r="FM27" s="70">
        <v>335.03</v>
      </c>
      <c r="FN27" s="70">
        <v>334.08</v>
      </c>
      <c r="FO27" s="70">
        <v>333.14</v>
      </c>
      <c r="FP27" s="70">
        <v>332.19</v>
      </c>
      <c r="FQ27" s="70">
        <v>331.24</v>
      </c>
      <c r="FR27" s="70">
        <v>330.3</v>
      </c>
      <c r="FS27" s="70">
        <v>329.35</v>
      </c>
      <c r="FT27" s="70">
        <v>328.41</v>
      </c>
      <c r="FU27" s="70">
        <v>327.47000000000003</v>
      </c>
      <c r="FV27" s="70">
        <v>326.52999999999997</v>
      </c>
      <c r="FW27" s="70">
        <v>325.58999999999997</v>
      </c>
      <c r="FX27" s="70">
        <v>324.64999999999998</v>
      </c>
      <c r="FY27" s="70">
        <v>323.70999999999998</v>
      </c>
      <c r="FZ27" s="70">
        <v>322.76</v>
      </c>
      <c r="GA27" s="70">
        <v>321.82</v>
      </c>
      <c r="GB27" s="70">
        <v>320.89</v>
      </c>
      <c r="GC27" s="70">
        <v>319.95999999999998</v>
      </c>
      <c r="GD27" s="70">
        <v>319.01</v>
      </c>
      <c r="GE27" s="70">
        <v>318.08999999999997</v>
      </c>
      <c r="GF27" s="70">
        <v>317.14999999999998</v>
      </c>
      <c r="GG27" s="70">
        <v>316.22000000000003</v>
      </c>
      <c r="GH27" s="70">
        <v>315.29000000000002</v>
      </c>
      <c r="GI27" s="70">
        <v>314.35000000000002</v>
      </c>
      <c r="GJ27" s="70">
        <v>313.43</v>
      </c>
      <c r="GK27" s="70">
        <v>312.5</v>
      </c>
      <c r="GL27" s="70">
        <v>311.57</v>
      </c>
      <c r="GM27" s="70">
        <v>310.64999999999998</v>
      </c>
      <c r="GN27" s="70">
        <v>309.72000000000003</v>
      </c>
      <c r="GO27" s="70">
        <v>308.79000000000002</v>
      </c>
      <c r="GP27" s="70">
        <v>307.88</v>
      </c>
      <c r="GQ27" s="70">
        <v>306.95</v>
      </c>
      <c r="GR27" s="70">
        <v>306.02999999999997</v>
      </c>
      <c r="GS27" s="70">
        <v>305.10000000000002</v>
      </c>
      <c r="GT27" s="70">
        <v>304.19</v>
      </c>
      <c r="GU27" s="70">
        <v>303.27999999999997</v>
      </c>
      <c r="GV27" s="70">
        <v>302.35000000000002</v>
      </c>
      <c r="GW27" s="70">
        <v>301.44</v>
      </c>
      <c r="GX27" s="70">
        <v>300.52999999999997</v>
      </c>
      <c r="GY27" s="70">
        <v>299.62</v>
      </c>
      <c r="GZ27" s="70">
        <v>298.7</v>
      </c>
      <c r="HA27" s="70">
        <v>297.79000000000002</v>
      </c>
      <c r="HB27" s="70">
        <v>296.88</v>
      </c>
      <c r="HC27" s="70">
        <v>295.97000000000003</v>
      </c>
      <c r="HD27" s="70">
        <v>295.06</v>
      </c>
      <c r="HE27" s="70">
        <v>294.16000000000003</v>
      </c>
      <c r="HF27" s="70">
        <v>293.25</v>
      </c>
      <c r="HG27" s="70">
        <v>292.35000000000002</v>
      </c>
      <c r="HH27" s="70">
        <v>291.44</v>
      </c>
      <c r="HI27" s="70">
        <v>290.54000000000002</v>
      </c>
      <c r="HJ27" s="70">
        <v>289.64</v>
      </c>
      <c r="HK27" s="70">
        <v>288.74</v>
      </c>
      <c r="HL27" s="70">
        <v>287.83999999999997</v>
      </c>
      <c r="HM27" s="70">
        <v>286.95</v>
      </c>
      <c r="HN27" s="70">
        <v>286.04000000000002</v>
      </c>
      <c r="HO27" s="70">
        <v>285.16000000000003</v>
      </c>
      <c r="HP27" s="70">
        <v>284.26</v>
      </c>
      <c r="HQ27" s="70">
        <v>283.38</v>
      </c>
      <c r="HR27" s="70">
        <v>282.48</v>
      </c>
      <c r="HS27" s="70">
        <v>281.60000000000002</v>
      </c>
      <c r="HT27" s="70">
        <v>280.70999999999998</v>
      </c>
      <c r="HU27" s="70">
        <v>279.82</v>
      </c>
      <c r="HV27" s="70">
        <v>278.93</v>
      </c>
      <c r="HW27" s="70">
        <v>278.04000000000002</v>
      </c>
      <c r="HX27" s="70">
        <v>277.17</v>
      </c>
      <c r="HY27" s="70">
        <v>276.27999999999997</v>
      </c>
      <c r="HZ27" s="70">
        <v>275.39999999999998</v>
      </c>
      <c r="IA27" s="70">
        <v>274.51</v>
      </c>
      <c r="IB27" s="70">
        <v>273.64</v>
      </c>
      <c r="IC27" s="70">
        <v>272.76</v>
      </c>
      <c r="ID27" s="70">
        <v>271.89</v>
      </c>
      <c r="IE27" s="70">
        <v>271.01</v>
      </c>
      <c r="IF27" s="70">
        <v>270.14</v>
      </c>
      <c r="IG27" s="70">
        <v>269.26</v>
      </c>
      <c r="IH27" s="70">
        <v>268.39</v>
      </c>
      <c r="II27" s="70">
        <v>267.51</v>
      </c>
      <c r="IJ27" s="70">
        <v>266.64999999999998</v>
      </c>
      <c r="IK27" s="70">
        <v>265.77999999999997</v>
      </c>
      <c r="IL27" s="70">
        <v>264.91000000000003</v>
      </c>
      <c r="IM27" s="70">
        <v>264.04000000000002</v>
      </c>
      <c r="IN27" s="70">
        <v>263.18</v>
      </c>
      <c r="IO27" s="70">
        <v>262.31</v>
      </c>
      <c r="IP27" s="70">
        <v>261.45</v>
      </c>
      <c r="IQ27" s="70">
        <v>260.58999999999997</v>
      </c>
      <c r="IR27" s="70">
        <v>259.73</v>
      </c>
      <c r="IS27" s="70">
        <v>258.87</v>
      </c>
      <c r="IT27" s="70">
        <v>258.01</v>
      </c>
      <c r="IU27" s="70">
        <v>257.14999999999998</v>
      </c>
      <c r="IV27" s="70">
        <v>256.29000000000002</v>
      </c>
      <c r="IW27" s="70">
        <v>255.44</v>
      </c>
      <c r="IX27" s="70">
        <v>254.59</v>
      </c>
      <c r="IY27" s="70">
        <v>253.74</v>
      </c>
      <c r="IZ27" s="70">
        <v>252.89</v>
      </c>
      <c r="JA27" s="70">
        <v>252.04</v>
      </c>
      <c r="JB27" s="70">
        <v>251.2</v>
      </c>
      <c r="JC27" s="70">
        <v>250.35</v>
      </c>
      <c r="JD27" s="70">
        <v>249.51</v>
      </c>
      <c r="JE27" s="70">
        <v>248.66</v>
      </c>
      <c r="JF27" s="70">
        <v>247.82</v>
      </c>
      <c r="JG27" s="70">
        <v>246.98</v>
      </c>
      <c r="JH27" s="70">
        <v>246.14</v>
      </c>
      <c r="JI27" s="70">
        <v>245.3</v>
      </c>
      <c r="JJ27" s="70">
        <v>244.46</v>
      </c>
      <c r="JK27" s="70">
        <v>243.62</v>
      </c>
      <c r="JL27" s="70">
        <v>242.78</v>
      </c>
      <c r="JM27" s="70">
        <v>241.95</v>
      </c>
      <c r="JN27" s="70">
        <v>241.12</v>
      </c>
      <c r="JO27" s="70">
        <v>240.28</v>
      </c>
      <c r="JP27" s="70">
        <v>239.45</v>
      </c>
      <c r="JQ27" s="70">
        <v>238.62</v>
      </c>
      <c r="JR27" s="70">
        <v>237.79</v>
      </c>
      <c r="JS27" s="70">
        <v>236.96</v>
      </c>
      <c r="JT27" s="70">
        <v>236.13</v>
      </c>
      <c r="JU27" s="70">
        <v>235.31</v>
      </c>
      <c r="JV27" s="70">
        <v>234.48</v>
      </c>
      <c r="JW27" s="70">
        <v>233.66</v>
      </c>
      <c r="JX27" s="70">
        <v>232.83</v>
      </c>
      <c r="JY27" s="70">
        <v>232.01</v>
      </c>
      <c r="JZ27" s="70">
        <v>231.19</v>
      </c>
      <c r="KA27" s="70">
        <v>230.37</v>
      </c>
      <c r="KB27" s="70">
        <v>229.55</v>
      </c>
      <c r="KC27" s="70">
        <v>228.73</v>
      </c>
      <c r="KD27" s="70">
        <v>227.92</v>
      </c>
      <c r="KE27" s="70">
        <v>227.1</v>
      </c>
      <c r="KF27" s="70">
        <v>226.29</v>
      </c>
      <c r="KG27" s="70">
        <v>225.47</v>
      </c>
      <c r="KH27" s="70">
        <v>224.66</v>
      </c>
      <c r="KI27" s="70">
        <v>223.85</v>
      </c>
      <c r="KJ27" s="70">
        <v>223.04</v>
      </c>
      <c r="KK27" s="70">
        <v>222.23</v>
      </c>
      <c r="KL27" s="70">
        <v>221.42</v>
      </c>
      <c r="KM27" s="70">
        <v>220.61</v>
      </c>
      <c r="KN27" s="70">
        <v>219.81</v>
      </c>
      <c r="KO27" s="70">
        <v>219</v>
      </c>
      <c r="KP27" s="70">
        <v>218.2</v>
      </c>
      <c r="KQ27" s="70">
        <v>217.4</v>
      </c>
      <c r="KR27" s="70">
        <v>216.29000000000019</v>
      </c>
      <c r="KS27" s="70">
        <v>215.54000000000019</v>
      </c>
      <c r="KT27" s="70">
        <v>214.79000000000019</v>
      </c>
      <c r="KU27" s="70">
        <v>214.04000000000019</v>
      </c>
      <c r="KV27" s="70">
        <v>213.29000000000019</v>
      </c>
      <c r="KW27" s="70">
        <v>212.54000000000019</v>
      </c>
      <c r="KX27" s="70">
        <v>211.79000000000019</v>
      </c>
      <c r="KY27" s="70">
        <v>211.04000000000019</v>
      </c>
      <c r="KZ27" s="70">
        <v>210.29000000000019</v>
      </c>
      <c r="LA27" s="70">
        <v>209.54000000000019</v>
      </c>
      <c r="LB27" s="70">
        <v>208.79000000000019</v>
      </c>
      <c r="LC27" s="70">
        <v>208.04000000000019</v>
      </c>
      <c r="LD27" s="70">
        <v>207.29000000000019</v>
      </c>
      <c r="LE27" s="70">
        <v>206.54000000000019</v>
      </c>
      <c r="LF27" s="70">
        <v>205.79000000000019</v>
      </c>
      <c r="LG27" s="70">
        <v>205.04000000000019</v>
      </c>
      <c r="LH27" s="70">
        <v>204.29000000000019</v>
      </c>
      <c r="LI27" s="70">
        <v>203.54000000000019</v>
      </c>
      <c r="LJ27" s="70">
        <v>202.79000000000019</v>
      </c>
      <c r="LK27" s="70">
        <v>202.04000000000019</v>
      </c>
      <c r="LL27" s="70">
        <v>201.29000000000019</v>
      </c>
      <c r="LM27" s="70">
        <v>200.54000000000019</v>
      </c>
      <c r="LN27" s="70">
        <v>199.79000000000019</v>
      </c>
      <c r="LO27" s="70">
        <v>199.04000000000019</v>
      </c>
      <c r="LP27" s="70">
        <v>198.29000000000019</v>
      </c>
      <c r="LQ27" s="70">
        <v>197.54000000000019</v>
      </c>
      <c r="LR27" s="70">
        <v>196.79000000000019</v>
      </c>
      <c r="LS27" s="70">
        <v>196.04000000000019</v>
      </c>
      <c r="LT27" s="70">
        <v>195.29000000000019</v>
      </c>
      <c r="LU27" s="70">
        <v>194.54000000000019</v>
      </c>
      <c r="LV27" s="70">
        <v>193.79000000000019</v>
      </c>
      <c r="LW27" s="70">
        <v>193.04000000000019</v>
      </c>
      <c r="LX27" s="70">
        <v>192.29000000000019</v>
      </c>
      <c r="LY27" s="70">
        <v>191.54000000000019</v>
      </c>
      <c r="LZ27" s="70">
        <v>190.79000000000019</v>
      </c>
      <c r="MA27" s="70">
        <v>190.04000000000019</v>
      </c>
      <c r="MB27" s="70">
        <v>189.29000000000019</v>
      </c>
      <c r="MC27" s="70">
        <v>188.54000000000019</v>
      </c>
      <c r="MD27" s="70">
        <v>187.79000000000019</v>
      </c>
      <c r="ME27" s="70">
        <v>187.04000000000019</v>
      </c>
      <c r="MF27" s="70">
        <v>186.29000000000019</v>
      </c>
      <c r="MG27" s="70">
        <v>185.54000000000019</v>
      </c>
      <c r="MH27" s="70">
        <v>184.79000000000019</v>
      </c>
      <c r="MI27" s="70">
        <v>184.04000000000019</v>
      </c>
      <c r="MJ27" s="70">
        <v>183.29000000000019</v>
      </c>
      <c r="MK27" s="70">
        <v>182.54000000000019</v>
      </c>
      <c r="ML27" s="70">
        <v>181.79000000000019</v>
      </c>
      <c r="MM27" s="70">
        <v>181.04000000000019</v>
      </c>
      <c r="MN27" s="70">
        <v>180.29000000000019</v>
      </c>
      <c r="MO27" s="70">
        <v>179.54000000000019</v>
      </c>
      <c r="MP27" s="70">
        <v>178.79000000000019</v>
      </c>
      <c r="MQ27" s="70">
        <v>178.04000000000019</v>
      </c>
      <c r="MR27" s="70">
        <v>177.29000000000019</v>
      </c>
      <c r="MS27" s="70">
        <v>176.54000000000019</v>
      </c>
      <c r="MT27" s="70">
        <v>175.79000000000019</v>
      </c>
      <c r="MU27" s="70">
        <v>175.04000000000019</v>
      </c>
      <c r="MV27" s="70">
        <v>174.29000000000019</v>
      </c>
      <c r="MW27" s="70">
        <v>173.54000000000019</v>
      </c>
      <c r="MX27" s="70">
        <v>172.79000000000019</v>
      </c>
      <c r="MY27" s="70">
        <v>172.04000000000019</v>
      </c>
    </row>
    <row r="28" spans="1:363" ht="15.6" x14ac:dyDescent="0.3">
      <c r="A28" s="67" t="s">
        <v>7</v>
      </c>
      <c r="B28" s="72">
        <v>2038</v>
      </c>
      <c r="C28" s="70">
        <v>501.43</v>
      </c>
      <c r="D28" s="70">
        <v>500.41</v>
      </c>
      <c r="E28" s="70">
        <v>499.38</v>
      </c>
      <c r="F28" s="70">
        <v>498.36</v>
      </c>
      <c r="G28" s="70">
        <v>497.34</v>
      </c>
      <c r="H28" s="70">
        <v>496.32</v>
      </c>
      <c r="I28" s="70">
        <v>495.29</v>
      </c>
      <c r="J28" s="70">
        <v>494.27</v>
      </c>
      <c r="K28" s="70">
        <v>493.25</v>
      </c>
      <c r="L28" s="70">
        <v>492.23</v>
      </c>
      <c r="M28" s="70">
        <v>491.21</v>
      </c>
      <c r="N28" s="70">
        <v>490.18</v>
      </c>
      <c r="O28" s="70">
        <v>489.16</v>
      </c>
      <c r="P28" s="70">
        <v>488.14</v>
      </c>
      <c r="Q28" s="70">
        <v>487.12</v>
      </c>
      <c r="R28" s="70">
        <v>486.1</v>
      </c>
      <c r="S28" s="70">
        <v>485.07</v>
      </c>
      <c r="T28" s="70">
        <v>484.05</v>
      </c>
      <c r="U28" s="70">
        <v>483.03</v>
      </c>
      <c r="V28" s="70">
        <v>482.01</v>
      </c>
      <c r="W28" s="70">
        <v>480.99</v>
      </c>
      <c r="X28" s="70">
        <v>479.97</v>
      </c>
      <c r="Y28" s="70">
        <v>478.95</v>
      </c>
      <c r="Z28" s="70">
        <v>477.92</v>
      </c>
      <c r="AA28" s="70">
        <v>476.9</v>
      </c>
      <c r="AB28" s="70">
        <v>475.88</v>
      </c>
      <c r="AC28" s="70">
        <v>474.86</v>
      </c>
      <c r="AD28" s="70">
        <v>473.84</v>
      </c>
      <c r="AE28" s="70">
        <v>472.82</v>
      </c>
      <c r="AF28" s="70">
        <v>471.8</v>
      </c>
      <c r="AG28" s="70">
        <v>470.78</v>
      </c>
      <c r="AH28" s="70">
        <v>469.76</v>
      </c>
      <c r="AI28" s="70">
        <v>468.74</v>
      </c>
      <c r="AJ28" s="70">
        <v>467.71</v>
      </c>
      <c r="AK28" s="70">
        <v>466.69</v>
      </c>
      <c r="AL28" s="70">
        <v>465.67</v>
      </c>
      <c r="AM28" s="70">
        <v>464.65</v>
      </c>
      <c r="AN28" s="70">
        <v>463.63</v>
      </c>
      <c r="AO28" s="70">
        <v>462.61</v>
      </c>
      <c r="AP28" s="70">
        <v>461.59</v>
      </c>
      <c r="AQ28" s="70">
        <v>460.58</v>
      </c>
      <c r="AR28" s="70">
        <v>459.56</v>
      </c>
      <c r="AS28" s="70">
        <v>458.54</v>
      </c>
      <c r="AT28" s="70">
        <v>457.52</v>
      </c>
      <c r="AU28" s="70">
        <v>456.5</v>
      </c>
      <c r="AV28" s="70">
        <v>455.48</v>
      </c>
      <c r="AW28" s="70">
        <v>454.46</v>
      </c>
      <c r="AX28" s="70">
        <v>453.44</v>
      </c>
      <c r="AY28" s="70">
        <v>452.42</v>
      </c>
      <c r="AZ28" s="70">
        <v>451.41</v>
      </c>
      <c r="BA28" s="70">
        <v>450.39</v>
      </c>
      <c r="BB28" s="70">
        <v>449.37</v>
      </c>
      <c r="BC28" s="70">
        <v>448.35</v>
      </c>
      <c r="BD28" s="70">
        <v>447.34</v>
      </c>
      <c r="BE28" s="70">
        <v>446.32</v>
      </c>
      <c r="BF28" s="70">
        <v>445.3</v>
      </c>
      <c r="BG28" s="70">
        <v>444.28</v>
      </c>
      <c r="BH28" s="70">
        <v>443.27</v>
      </c>
      <c r="BI28" s="70">
        <v>442.25</v>
      </c>
      <c r="BJ28" s="70">
        <v>441.23</v>
      </c>
      <c r="BK28" s="70">
        <v>440.22</v>
      </c>
      <c r="BL28" s="70">
        <v>439.2</v>
      </c>
      <c r="BM28" s="70">
        <v>438.19</v>
      </c>
      <c r="BN28" s="70">
        <v>437.17</v>
      </c>
      <c r="BO28" s="70">
        <v>436.16</v>
      </c>
      <c r="BP28" s="70">
        <v>435.14</v>
      </c>
      <c r="BQ28" s="70">
        <v>434.13</v>
      </c>
      <c r="BR28" s="70">
        <v>433.11</v>
      </c>
      <c r="BS28" s="70">
        <v>432.1</v>
      </c>
      <c r="BT28" s="70">
        <v>431.09</v>
      </c>
      <c r="BU28" s="70">
        <v>430.07</v>
      </c>
      <c r="BV28" s="70">
        <v>429.06</v>
      </c>
      <c r="BW28" s="70">
        <v>428.04</v>
      </c>
      <c r="BX28" s="70">
        <v>427.03</v>
      </c>
      <c r="BY28" s="70">
        <v>426.02</v>
      </c>
      <c r="BZ28" s="70">
        <v>425.01</v>
      </c>
      <c r="CA28" s="70">
        <v>424</v>
      </c>
      <c r="CB28" s="70">
        <v>422.99</v>
      </c>
      <c r="CC28" s="70">
        <v>421.98</v>
      </c>
      <c r="CD28" s="70">
        <v>420.97</v>
      </c>
      <c r="CE28" s="70">
        <v>419.96</v>
      </c>
      <c r="CF28" s="70">
        <v>418.95</v>
      </c>
      <c r="CG28" s="70">
        <v>417.94</v>
      </c>
      <c r="CH28" s="70">
        <v>416.93</v>
      </c>
      <c r="CI28" s="70">
        <v>415.92</v>
      </c>
      <c r="CJ28" s="70">
        <v>414.92</v>
      </c>
      <c r="CK28" s="70">
        <v>413.91</v>
      </c>
      <c r="CL28" s="70">
        <v>412.91</v>
      </c>
      <c r="CM28" s="70">
        <v>411.9</v>
      </c>
      <c r="CN28" s="70">
        <v>410.9</v>
      </c>
      <c r="CO28" s="70">
        <v>409.89</v>
      </c>
      <c r="CP28" s="70">
        <v>408.89</v>
      </c>
      <c r="CQ28" s="70">
        <v>407.88</v>
      </c>
      <c r="CR28" s="70">
        <v>406.88</v>
      </c>
      <c r="CS28" s="70">
        <v>405.87</v>
      </c>
      <c r="CT28" s="70">
        <v>404.87</v>
      </c>
      <c r="CU28" s="70">
        <v>403.87</v>
      </c>
      <c r="CV28" s="70">
        <v>402.87</v>
      </c>
      <c r="CW28" s="70">
        <v>401.87</v>
      </c>
      <c r="CX28" s="70">
        <v>400.87</v>
      </c>
      <c r="CY28" s="70">
        <v>399.87</v>
      </c>
      <c r="CZ28" s="70">
        <v>398.87</v>
      </c>
      <c r="DA28" s="70">
        <v>397.87</v>
      </c>
      <c r="DB28" s="70">
        <v>396.87</v>
      </c>
      <c r="DC28" s="70">
        <v>395.88</v>
      </c>
      <c r="DD28" s="70">
        <v>394.88</v>
      </c>
      <c r="DE28" s="70">
        <v>393.88</v>
      </c>
      <c r="DF28" s="70">
        <v>392.88</v>
      </c>
      <c r="DG28" s="70">
        <v>391.89</v>
      </c>
      <c r="DH28" s="70">
        <v>390.89</v>
      </c>
      <c r="DI28" s="70">
        <v>389.9</v>
      </c>
      <c r="DJ28" s="70">
        <v>388.91</v>
      </c>
      <c r="DK28" s="70">
        <v>387.92</v>
      </c>
      <c r="DL28" s="70">
        <v>386.93</v>
      </c>
      <c r="DM28" s="70">
        <v>385.94</v>
      </c>
      <c r="DN28" s="70">
        <v>384.94</v>
      </c>
      <c r="DO28" s="70">
        <v>383.95</v>
      </c>
      <c r="DP28" s="70">
        <v>382.96</v>
      </c>
      <c r="DQ28" s="70">
        <v>381.97</v>
      </c>
      <c r="DR28" s="70">
        <v>380.98</v>
      </c>
      <c r="DS28" s="70">
        <v>379.99</v>
      </c>
      <c r="DT28" s="70">
        <v>379.01</v>
      </c>
      <c r="DU28" s="70">
        <v>378.03</v>
      </c>
      <c r="DV28" s="70">
        <v>377.04</v>
      </c>
      <c r="DW28" s="70">
        <v>376.06</v>
      </c>
      <c r="DX28" s="70">
        <v>375.08</v>
      </c>
      <c r="DY28" s="70">
        <v>374.1</v>
      </c>
      <c r="DZ28" s="70">
        <v>373.12</v>
      </c>
      <c r="EA28" s="70">
        <v>372.13</v>
      </c>
      <c r="EB28" s="70">
        <v>371.15</v>
      </c>
      <c r="EC28" s="70">
        <v>370.17</v>
      </c>
      <c r="ED28" s="70">
        <v>369.2</v>
      </c>
      <c r="EE28" s="70">
        <v>368.22</v>
      </c>
      <c r="EF28" s="70">
        <v>367.24</v>
      </c>
      <c r="EG28" s="70">
        <v>366.27</v>
      </c>
      <c r="EH28" s="70">
        <v>365.3</v>
      </c>
      <c r="EI28" s="70">
        <v>364.33</v>
      </c>
      <c r="EJ28" s="70">
        <v>363.36</v>
      </c>
      <c r="EK28" s="70">
        <v>362.39</v>
      </c>
      <c r="EL28" s="70">
        <v>361.42</v>
      </c>
      <c r="EM28" s="70">
        <v>360.45</v>
      </c>
      <c r="EN28" s="70">
        <v>359.49</v>
      </c>
      <c r="EO28" s="70">
        <v>358.52</v>
      </c>
      <c r="EP28" s="70">
        <v>357.55</v>
      </c>
      <c r="EQ28" s="70">
        <v>356.58</v>
      </c>
      <c r="ER28" s="70">
        <v>355.62</v>
      </c>
      <c r="ES28" s="70">
        <v>354.66</v>
      </c>
      <c r="ET28" s="70">
        <v>353.7</v>
      </c>
      <c r="EU28" s="70">
        <v>352.74</v>
      </c>
      <c r="EV28" s="70">
        <v>351.78</v>
      </c>
      <c r="EW28" s="70">
        <v>350.82</v>
      </c>
      <c r="EX28" s="70">
        <v>349.86</v>
      </c>
      <c r="EY28" s="70">
        <v>348.9</v>
      </c>
      <c r="EZ28" s="70">
        <v>347.94</v>
      </c>
      <c r="FA28" s="70">
        <v>346.99</v>
      </c>
      <c r="FB28" s="70">
        <v>346.03</v>
      </c>
      <c r="FC28" s="70">
        <v>345.07</v>
      </c>
      <c r="FD28" s="70">
        <v>344.12</v>
      </c>
      <c r="FE28" s="70">
        <v>343.16</v>
      </c>
      <c r="FF28" s="70">
        <v>342.21</v>
      </c>
      <c r="FG28" s="70">
        <v>341.26</v>
      </c>
      <c r="FH28" s="70">
        <v>340.3</v>
      </c>
      <c r="FI28" s="70">
        <v>339.35</v>
      </c>
      <c r="FJ28" s="70">
        <v>338.4</v>
      </c>
      <c r="FK28" s="70">
        <v>337.45</v>
      </c>
      <c r="FL28" s="70">
        <v>336.5</v>
      </c>
      <c r="FM28" s="70">
        <v>335.55</v>
      </c>
      <c r="FN28" s="70">
        <v>334.6</v>
      </c>
      <c r="FO28" s="70">
        <v>333.66</v>
      </c>
      <c r="FP28" s="70">
        <v>332.71</v>
      </c>
      <c r="FQ28" s="70">
        <v>331.76</v>
      </c>
      <c r="FR28" s="70">
        <v>330.82</v>
      </c>
      <c r="FS28" s="70">
        <v>329.87</v>
      </c>
      <c r="FT28" s="70">
        <v>328.93</v>
      </c>
      <c r="FU28" s="70">
        <v>327.99</v>
      </c>
      <c r="FV28" s="70">
        <v>327.04000000000002</v>
      </c>
      <c r="FW28" s="70">
        <v>326.10000000000002</v>
      </c>
      <c r="FX28" s="70">
        <v>325.16000000000003</v>
      </c>
      <c r="FY28" s="70">
        <v>324.22000000000003</v>
      </c>
      <c r="FZ28" s="70">
        <v>323.27999999999997</v>
      </c>
      <c r="GA28" s="70">
        <v>322.35000000000002</v>
      </c>
      <c r="GB28" s="70">
        <v>321.41000000000003</v>
      </c>
      <c r="GC28" s="70">
        <v>320.47000000000003</v>
      </c>
      <c r="GD28" s="70">
        <v>319.54000000000002</v>
      </c>
      <c r="GE28" s="70">
        <v>318.60000000000002</v>
      </c>
      <c r="GF28" s="70">
        <v>317.67</v>
      </c>
      <c r="GG28" s="70">
        <v>316.74</v>
      </c>
      <c r="GH28" s="70">
        <v>315.81</v>
      </c>
      <c r="GI28" s="70">
        <v>314.87</v>
      </c>
      <c r="GJ28" s="70">
        <v>313.94</v>
      </c>
      <c r="GK28" s="70">
        <v>313.01</v>
      </c>
      <c r="GL28" s="70">
        <v>312.08999999999997</v>
      </c>
      <c r="GM28" s="70">
        <v>311.16000000000003</v>
      </c>
      <c r="GN28" s="70">
        <v>310.24</v>
      </c>
      <c r="GO28" s="70">
        <v>309.31</v>
      </c>
      <c r="GP28" s="70">
        <v>308.39</v>
      </c>
      <c r="GQ28" s="70">
        <v>307.47000000000003</v>
      </c>
      <c r="GR28" s="70">
        <v>306.54000000000002</v>
      </c>
      <c r="GS28" s="70">
        <v>305.62</v>
      </c>
      <c r="GT28" s="70">
        <v>304.70999999999998</v>
      </c>
      <c r="GU28" s="70">
        <v>303.79000000000002</v>
      </c>
      <c r="GV28" s="70">
        <v>302.87</v>
      </c>
      <c r="GW28" s="70">
        <v>301.95</v>
      </c>
      <c r="GX28" s="70">
        <v>301.04000000000002</v>
      </c>
      <c r="GY28" s="70">
        <v>300.13</v>
      </c>
      <c r="GZ28" s="70">
        <v>299.20999999999998</v>
      </c>
      <c r="HA28" s="70">
        <v>298.29000000000002</v>
      </c>
      <c r="HB28" s="70">
        <v>297.39</v>
      </c>
      <c r="HC28" s="70">
        <v>296.48</v>
      </c>
      <c r="HD28" s="70">
        <v>295.57</v>
      </c>
      <c r="HE28" s="70">
        <v>294.67</v>
      </c>
      <c r="HF28" s="70">
        <v>293.76</v>
      </c>
      <c r="HG28" s="70">
        <v>292.85000000000002</v>
      </c>
      <c r="HH28" s="70">
        <v>291.95</v>
      </c>
      <c r="HI28" s="70">
        <v>291.04000000000002</v>
      </c>
      <c r="HJ28" s="70">
        <v>290.14999999999998</v>
      </c>
      <c r="HK28" s="70">
        <v>289.25</v>
      </c>
      <c r="HL28" s="70">
        <v>288.35000000000002</v>
      </c>
      <c r="HM28" s="70">
        <v>287.45</v>
      </c>
      <c r="HN28" s="70">
        <v>286.56</v>
      </c>
      <c r="HO28" s="70">
        <v>285.66000000000003</v>
      </c>
      <c r="HP28" s="70">
        <v>284.76</v>
      </c>
      <c r="HQ28" s="70">
        <v>283.88</v>
      </c>
      <c r="HR28" s="70">
        <v>282.99</v>
      </c>
      <c r="HS28" s="70">
        <v>282.10000000000002</v>
      </c>
      <c r="HT28" s="70">
        <v>281.20999999999998</v>
      </c>
      <c r="HU28" s="70">
        <v>280.32</v>
      </c>
      <c r="HV28" s="70">
        <v>279.44</v>
      </c>
      <c r="HW28" s="70">
        <v>278.54000000000002</v>
      </c>
      <c r="HX28" s="70">
        <v>277.67</v>
      </c>
      <c r="HY28" s="70">
        <v>276.77999999999997</v>
      </c>
      <c r="HZ28" s="70">
        <v>275.89999999999998</v>
      </c>
      <c r="IA28" s="70">
        <v>275.01</v>
      </c>
      <c r="IB28" s="70">
        <v>274.14</v>
      </c>
      <c r="IC28" s="70">
        <v>273.26</v>
      </c>
      <c r="ID28" s="70">
        <v>272.38</v>
      </c>
      <c r="IE28" s="70">
        <v>271.51</v>
      </c>
      <c r="IF28" s="70">
        <v>270.63</v>
      </c>
      <c r="IG28" s="70">
        <v>269.76</v>
      </c>
      <c r="IH28" s="70">
        <v>268.88</v>
      </c>
      <c r="II28" s="70">
        <v>268.01</v>
      </c>
      <c r="IJ28" s="70">
        <v>267.14</v>
      </c>
      <c r="IK28" s="70">
        <v>266.26</v>
      </c>
      <c r="IL28" s="70">
        <v>265.39999999999998</v>
      </c>
      <c r="IM28" s="70">
        <v>264.54000000000002</v>
      </c>
      <c r="IN28" s="70">
        <v>263.67</v>
      </c>
      <c r="IO28" s="70">
        <v>262.81</v>
      </c>
      <c r="IP28" s="70">
        <v>261.94</v>
      </c>
      <c r="IQ28" s="70">
        <v>261.07</v>
      </c>
      <c r="IR28" s="70">
        <v>260.22000000000003</v>
      </c>
      <c r="IS28" s="70">
        <v>259.35000000000002</v>
      </c>
      <c r="IT28" s="70">
        <v>258.5</v>
      </c>
      <c r="IU28" s="70">
        <v>257.64</v>
      </c>
      <c r="IV28" s="70">
        <v>256.79000000000002</v>
      </c>
      <c r="IW28" s="70">
        <v>255.93</v>
      </c>
      <c r="IX28" s="70">
        <v>255.08</v>
      </c>
      <c r="IY28" s="70">
        <v>254.23</v>
      </c>
      <c r="IZ28" s="70">
        <v>253.38</v>
      </c>
      <c r="JA28" s="70">
        <v>252.53</v>
      </c>
      <c r="JB28" s="70">
        <v>251.68</v>
      </c>
      <c r="JC28" s="70">
        <v>250.84</v>
      </c>
      <c r="JD28" s="70">
        <v>249.99</v>
      </c>
      <c r="JE28" s="70">
        <v>249.15</v>
      </c>
      <c r="JF28" s="70">
        <v>248.3</v>
      </c>
      <c r="JG28" s="70">
        <v>247.46</v>
      </c>
      <c r="JH28" s="70">
        <v>246.62</v>
      </c>
      <c r="JI28" s="70">
        <v>245.78</v>
      </c>
      <c r="JJ28" s="70">
        <v>244.94</v>
      </c>
      <c r="JK28" s="70">
        <v>244.1</v>
      </c>
      <c r="JL28" s="70">
        <v>243.27</v>
      </c>
      <c r="JM28" s="70">
        <v>242.43</v>
      </c>
      <c r="JN28" s="70">
        <v>241.6</v>
      </c>
      <c r="JO28" s="70">
        <v>240.76</v>
      </c>
      <c r="JP28" s="70">
        <v>239.93</v>
      </c>
      <c r="JQ28" s="70">
        <v>239.1</v>
      </c>
      <c r="JR28" s="70">
        <v>238.27</v>
      </c>
      <c r="JS28" s="70">
        <v>237.44</v>
      </c>
      <c r="JT28" s="70">
        <v>236.61</v>
      </c>
      <c r="JU28" s="70">
        <v>235.78</v>
      </c>
      <c r="JV28" s="70">
        <v>234.96</v>
      </c>
      <c r="JW28" s="70">
        <v>234.13</v>
      </c>
      <c r="JX28" s="70">
        <v>233.31</v>
      </c>
      <c r="JY28" s="70">
        <v>232.49</v>
      </c>
      <c r="JZ28" s="70">
        <v>231.66</v>
      </c>
      <c r="KA28" s="70">
        <v>230.84</v>
      </c>
      <c r="KB28" s="70">
        <v>230.02</v>
      </c>
      <c r="KC28" s="70">
        <v>229.21</v>
      </c>
      <c r="KD28" s="70">
        <v>228.39</v>
      </c>
      <c r="KE28" s="70">
        <v>227.57</v>
      </c>
      <c r="KF28" s="70">
        <v>226.76</v>
      </c>
      <c r="KG28" s="70">
        <v>225.94</v>
      </c>
      <c r="KH28" s="70">
        <v>225.13</v>
      </c>
      <c r="KI28" s="70">
        <v>224.31</v>
      </c>
      <c r="KJ28" s="70">
        <v>223.5</v>
      </c>
      <c r="KK28" s="70">
        <v>222.69</v>
      </c>
      <c r="KL28" s="70">
        <v>221.89</v>
      </c>
      <c r="KM28" s="70">
        <v>221.08</v>
      </c>
      <c r="KN28" s="70">
        <v>220.27</v>
      </c>
      <c r="KO28" s="70">
        <v>219.47</v>
      </c>
      <c r="KP28" s="70">
        <v>218.67</v>
      </c>
      <c r="KQ28" s="70">
        <v>217.87</v>
      </c>
      <c r="KR28" s="70">
        <v>216.7500000000002</v>
      </c>
      <c r="KS28" s="70">
        <v>216.0000000000002</v>
      </c>
      <c r="KT28" s="70">
        <v>215.2500000000002</v>
      </c>
      <c r="KU28" s="70">
        <v>214.5000000000002</v>
      </c>
      <c r="KV28" s="70">
        <v>213.7500000000002</v>
      </c>
      <c r="KW28" s="70">
        <v>213.0000000000002</v>
      </c>
      <c r="KX28" s="70">
        <v>212.2500000000002</v>
      </c>
      <c r="KY28" s="70">
        <v>211.5000000000002</v>
      </c>
      <c r="KZ28" s="70">
        <v>210.7500000000002</v>
      </c>
      <c r="LA28" s="70">
        <v>210.0000000000002</v>
      </c>
      <c r="LB28" s="70">
        <v>209.2500000000002</v>
      </c>
      <c r="LC28" s="70">
        <v>208.5000000000002</v>
      </c>
      <c r="LD28" s="70">
        <v>207.7500000000002</v>
      </c>
      <c r="LE28" s="70">
        <v>207.0000000000002</v>
      </c>
      <c r="LF28" s="70">
        <v>206.2500000000002</v>
      </c>
      <c r="LG28" s="70">
        <v>205.5000000000002</v>
      </c>
      <c r="LH28" s="70">
        <v>204.7500000000002</v>
      </c>
      <c r="LI28" s="70">
        <v>204.0000000000002</v>
      </c>
      <c r="LJ28" s="70">
        <v>203.2500000000002</v>
      </c>
      <c r="LK28" s="70">
        <v>202.5000000000002</v>
      </c>
      <c r="LL28" s="70">
        <v>201.7500000000002</v>
      </c>
      <c r="LM28" s="70">
        <v>201.0000000000002</v>
      </c>
      <c r="LN28" s="70">
        <v>200.2500000000002</v>
      </c>
      <c r="LO28" s="70">
        <v>199.5000000000002</v>
      </c>
      <c r="LP28" s="70">
        <v>198.7500000000002</v>
      </c>
      <c r="LQ28" s="70">
        <v>198.0000000000002</v>
      </c>
      <c r="LR28" s="70">
        <v>197.2500000000002</v>
      </c>
      <c r="LS28" s="70">
        <v>196.5000000000002</v>
      </c>
      <c r="LT28" s="70">
        <v>195.7500000000002</v>
      </c>
      <c r="LU28" s="70">
        <v>195.0000000000002</v>
      </c>
      <c r="LV28" s="70">
        <v>194.2500000000002</v>
      </c>
      <c r="LW28" s="70">
        <v>193.5000000000002</v>
      </c>
      <c r="LX28" s="70">
        <v>192.7500000000002</v>
      </c>
      <c r="LY28" s="70">
        <v>192.0000000000002</v>
      </c>
      <c r="LZ28" s="70">
        <v>191.2500000000002</v>
      </c>
      <c r="MA28" s="70">
        <v>190.5000000000002</v>
      </c>
      <c r="MB28" s="70">
        <v>189.7500000000002</v>
      </c>
      <c r="MC28" s="70">
        <v>189.0000000000002</v>
      </c>
      <c r="MD28" s="70">
        <v>188.2500000000002</v>
      </c>
      <c r="ME28" s="70">
        <v>187.5000000000002</v>
      </c>
      <c r="MF28" s="70">
        <v>186.7500000000002</v>
      </c>
      <c r="MG28" s="70">
        <v>186.0000000000002</v>
      </c>
      <c r="MH28" s="70">
        <v>185.2500000000002</v>
      </c>
      <c r="MI28" s="70">
        <v>184.5000000000002</v>
      </c>
      <c r="MJ28" s="70">
        <v>183.7500000000002</v>
      </c>
      <c r="MK28" s="70">
        <v>183.0000000000002</v>
      </c>
      <c r="ML28" s="70">
        <v>182.2500000000002</v>
      </c>
      <c r="MM28" s="70">
        <v>181.5000000000002</v>
      </c>
      <c r="MN28" s="70">
        <v>180.7500000000002</v>
      </c>
      <c r="MO28" s="70">
        <v>180.0000000000002</v>
      </c>
      <c r="MP28" s="70">
        <v>179.2500000000002</v>
      </c>
      <c r="MQ28" s="70">
        <v>178.5000000000002</v>
      </c>
      <c r="MR28" s="70">
        <v>177.7500000000002</v>
      </c>
      <c r="MS28" s="70">
        <v>177.0000000000002</v>
      </c>
      <c r="MT28" s="70">
        <v>176.2500000000002</v>
      </c>
      <c r="MU28" s="70">
        <v>175.5000000000002</v>
      </c>
      <c r="MV28" s="70">
        <v>174.7500000000002</v>
      </c>
      <c r="MW28" s="70">
        <v>174.0000000000002</v>
      </c>
      <c r="MX28" s="70">
        <v>173.2500000000002</v>
      </c>
      <c r="MY28" s="70">
        <v>172.5000000000002</v>
      </c>
    </row>
    <row r="29" spans="1:363" ht="15.6" x14ac:dyDescent="0.3">
      <c r="A29" s="67" t="s">
        <v>7</v>
      </c>
      <c r="B29" s="72">
        <v>2039</v>
      </c>
      <c r="C29" s="70">
        <v>502</v>
      </c>
      <c r="D29" s="70">
        <v>500.98</v>
      </c>
      <c r="E29" s="70">
        <v>499.96</v>
      </c>
      <c r="F29" s="70">
        <v>498.93</v>
      </c>
      <c r="G29" s="70">
        <v>497.91</v>
      </c>
      <c r="H29" s="70">
        <v>496.89</v>
      </c>
      <c r="I29" s="70">
        <v>495.87</v>
      </c>
      <c r="J29" s="70">
        <v>494.84</v>
      </c>
      <c r="K29" s="70">
        <v>493.82</v>
      </c>
      <c r="L29" s="70">
        <v>492.8</v>
      </c>
      <c r="M29" s="70">
        <v>491.78</v>
      </c>
      <c r="N29" s="70">
        <v>490.75</v>
      </c>
      <c r="O29" s="70">
        <v>489.73</v>
      </c>
      <c r="P29" s="70">
        <v>488.71</v>
      </c>
      <c r="Q29" s="70">
        <v>487.69</v>
      </c>
      <c r="R29" s="70">
        <v>486.67</v>
      </c>
      <c r="S29" s="70">
        <v>485.64</v>
      </c>
      <c r="T29" s="70">
        <v>484.62</v>
      </c>
      <c r="U29" s="70">
        <v>483.6</v>
      </c>
      <c r="V29" s="70">
        <v>482.58</v>
      </c>
      <c r="W29" s="70">
        <v>481.56</v>
      </c>
      <c r="X29" s="70">
        <v>480.53</v>
      </c>
      <c r="Y29" s="70">
        <v>479.51</v>
      </c>
      <c r="Z29" s="70">
        <v>478.49</v>
      </c>
      <c r="AA29" s="70">
        <v>477.47</v>
      </c>
      <c r="AB29" s="70">
        <v>476.45</v>
      </c>
      <c r="AC29" s="70">
        <v>475.43</v>
      </c>
      <c r="AD29" s="70">
        <v>474.41</v>
      </c>
      <c r="AE29" s="70">
        <v>473.38</v>
      </c>
      <c r="AF29" s="70">
        <v>472.36</v>
      </c>
      <c r="AG29" s="70">
        <v>471.34</v>
      </c>
      <c r="AH29" s="70">
        <v>470.32</v>
      </c>
      <c r="AI29" s="70">
        <v>469.3</v>
      </c>
      <c r="AJ29" s="70">
        <v>468.28</v>
      </c>
      <c r="AK29" s="70">
        <v>467.26</v>
      </c>
      <c r="AL29" s="70">
        <v>466.24</v>
      </c>
      <c r="AM29" s="70">
        <v>465.22</v>
      </c>
      <c r="AN29" s="70">
        <v>464.2</v>
      </c>
      <c r="AO29" s="70">
        <v>463.18</v>
      </c>
      <c r="AP29" s="70">
        <v>462.16</v>
      </c>
      <c r="AQ29" s="70">
        <v>461.14</v>
      </c>
      <c r="AR29" s="70">
        <v>460.12</v>
      </c>
      <c r="AS29" s="70">
        <v>459.1</v>
      </c>
      <c r="AT29" s="70">
        <v>458.08</v>
      </c>
      <c r="AU29" s="70">
        <v>457.06</v>
      </c>
      <c r="AV29" s="70">
        <v>456.04</v>
      </c>
      <c r="AW29" s="70">
        <v>455.02</v>
      </c>
      <c r="AX29" s="70">
        <v>454</v>
      </c>
      <c r="AY29" s="70">
        <v>452.98</v>
      </c>
      <c r="AZ29" s="70">
        <v>451.96</v>
      </c>
      <c r="BA29" s="70">
        <v>450.95</v>
      </c>
      <c r="BB29" s="70">
        <v>449.93</v>
      </c>
      <c r="BC29" s="70">
        <v>448.91</v>
      </c>
      <c r="BD29" s="70">
        <v>447.89</v>
      </c>
      <c r="BE29" s="70">
        <v>446.88</v>
      </c>
      <c r="BF29" s="70">
        <v>445.86</v>
      </c>
      <c r="BG29" s="70">
        <v>444.84</v>
      </c>
      <c r="BH29" s="70">
        <v>443.82</v>
      </c>
      <c r="BI29" s="70">
        <v>442.81</v>
      </c>
      <c r="BJ29" s="70">
        <v>441.79</v>
      </c>
      <c r="BK29" s="70">
        <v>440.77</v>
      </c>
      <c r="BL29" s="70">
        <v>439.76</v>
      </c>
      <c r="BM29" s="70">
        <v>438.74</v>
      </c>
      <c r="BN29" s="70">
        <v>437.73</v>
      </c>
      <c r="BO29" s="70">
        <v>436.71</v>
      </c>
      <c r="BP29" s="70">
        <v>435.7</v>
      </c>
      <c r="BQ29" s="70">
        <v>434.68</v>
      </c>
      <c r="BR29" s="70">
        <v>433.67</v>
      </c>
      <c r="BS29" s="70">
        <v>432.65</v>
      </c>
      <c r="BT29" s="70">
        <v>431.64</v>
      </c>
      <c r="BU29" s="70">
        <v>430.62</v>
      </c>
      <c r="BV29" s="70">
        <v>429.61</v>
      </c>
      <c r="BW29" s="70">
        <v>428.59</v>
      </c>
      <c r="BX29" s="70">
        <v>427.58</v>
      </c>
      <c r="BY29" s="70">
        <v>426.57</v>
      </c>
      <c r="BZ29" s="70">
        <v>425.56</v>
      </c>
      <c r="CA29" s="70">
        <v>424.55</v>
      </c>
      <c r="CB29" s="70">
        <v>423.54</v>
      </c>
      <c r="CC29" s="70">
        <v>422.53</v>
      </c>
      <c r="CD29" s="70">
        <v>421.52</v>
      </c>
      <c r="CE29" s="70">
        <v>420.51</v>
      </c>
      <c r="CF29" s="70">
        <v>419.5</v>
      </c>
      <c r="CG29" s="70">
        <v>418.49</v>
      </c>
      <c r="CH29" s="70">
        <v>417.48</v>
      </c>
      <c r="CI29" s="70">
        <v>416.47</v>
      </c>
      <c r="CJ29" s="70">
        <v>415.46</v>
      </c>
      <c r="CK29" s="70">
        <v>414.46</v>
      </c>
      <c r="CL29" s="70">
        <v>413.45</v>
      </c>
      <c r="CM29" s="70">
        <v>412.45</v>
      </c>
      <c r="CN29" s="70">
        <v>411.44</v>
      </c>
      <c r="CO29" s="70">
        <v>410.44</v>
      </c>
      <c r="CP29" s="70">
        <v>409.43</v>
      </c>
      <c r="CQ29" s="70">
        <v>408.43</v>
      </c>
      <c r="CR29" s="70">
        <v>407.42</v>
      </c>
      <c r="CS29" s="70">
        <v>406.42</v>
      </c>
      <c r="CT29" s="70">
        <v>405.41</v>
      </c>
      <c r="CU29" s="70">
        <v>404.41</v>
      </c>
      <c r="CV29" s="70">
        <v>403.41</v>
      </c>
      <c r="CW29" s="70">
        <v>402.41</v>
      </c>
      <c r="CX29" s="70">
        <v>401.41</v>
      </c>
      <c r="CY29" s="70">
        <v>400.41</v>
      </c>
      <c r="CZ29" s="70">
        <v>399.41</v>
      </c>
      <c r="DA29" s="70">
        <v>398.41</v>
      </c>
      <c r="DB29" s="70">
        <v>397.41</v>
      </c>
      <c r="DC29" s="70">
        <v>396.41</v>
      </c>
      <c r="DD29" s="70">
        <v>395.42</v>
      </c>
      <c r="DE29" s="70">
        <v>394.42</v>
      </c>
      <c r="DF29" s="70">
        <v>393.42</v>
      </c>
      <c r="DG29" s="70">
        <v>392.42</v>
      </c>
      <c r="DH29" s="70">
        <v>391.43</v>
      </c>
      <c r="DI29" s="70">
        <v>390.44</v>
      </c>
      <c r="DJ29" s="70">
        <v>389.44</v>
      </c>
      <c r="DK29" s="70">
        <v>388.45</v>
      </c>
      <c r="DL29" s="70">
        <v>387.46</v>
      </c>
      <c r="DM29" s="70">
        <v>386.47</v>
      </c>
      <c r="DN29" s="70">
        <v>385.48</v>
      </c>
      <c r="DO29" s="70">
        <v>384.49</v>
      </c>
      <c r="DP29" s="70">
        <v>383.5</v>
      </c>
      <c r="DQ29" s="70">
        <v>382.51</v>
      </c>
      <c r="DR29" s="70">
        <v>381.52</v>
      </c>
      <c r="DS29" s="70">
        <v>380.53</v>
      </c>
      <c r="DT29" s="70">
        <v>379.54</v>
      </c>
      <c r="DU29" s="70">
        <v>378.56</v>
      </c>
      <c r="DV29" s="70">
        <v>377.57</v>
      </c>
      <c r="DW29" s="70">
        <v>376.59</v>
      </c>
      <c r="DX29" s="70">
        <v>375.61</v>
      </c>
      <c r="DY29" s="70">
        <v>374.63</v>
      </c>
      <c r="DZ29" s="70">
        <v>373.65</v>
      </c>
      <c r="EA29" s="70">
        <v>372.66</v>
      </c>
      <c r="EB29" s="70">
        <v>371.68</v>
      </c>
      <c r="EC29" s="70">
        <v>370.7</v>
      </c>
      <c r="ED29" s="70">
        <v>369.72</v>
      </c>
      <c r="EE29" s="70">
        <v>368.74</v>
      </c>
      <c r="EF29" s="70">
        <v>367.77</v>
      </c>
      <c r="EG29" s="70">
        <v>366.8</v>
      </c>
      <c r="EH29" s="70">
        <v>365.83</v>
      </c>
      <c r="EI29" s="70">
        <v>364.86</v>
      </c>
      <c r="EJ29" s="70">
        <v>363.89</v>
      </c>
      <c r="EK29" s="70">
        <v>362.92</v>
      </c>
      <c r="EL29" s="70">
        <v>361.95</v>
      </c>
      <c r="EM29" s="70">
        <v>360.98</v>
      </c>
      <c r="EN29" s="70">
        <v>360.01</v>
      </c>
      <c r="EO29" s="70">
        <v>359.04</v>
      </c>
      <c r="EP29" s="70">
        <v>358.08</v>
      </c>
      <c r="EQ29" s="70">
        <v>357.11</v>
      </c>
      <c r="ER29" s="70">
        <v>356.15</v>
      </c>
      <c r="ES29" s="70">
        <v>355.18</v>
      </c>
      <c r="ET29" s="70">
        <v>354.22</v>
      </c>
      <c r="EU29" s="70">
        <v>353.26</v>
      </c>
      <c r="EV29" s="70">
        <v>352.3</v>
      </c>
      <c r="EW29" s="70">
        <v>351.34</v>
      </c>
      <c r="EX29" s="70">
        <v>350.38</v>
      </c>
      <c r="EY29" s="70">
        <v>349.42</v>
      </c>
      <c r="EZ29" s="70">
        <v>348.47</v>
      </c>
      <c r="FA29" s="70">
        <v>347.51</v>
      </c>
      <c r="FB29" s="70">
        <v>346.55</v>
      </c>
      <c r="FC29" s="70">
        <v>345.59</v>
      </c>
      <c r="FD29" s="70">
        <v>344.64</v>
      </c>
      <c r="FE29" s="70">
        <v>343.69</v>
      </c>
      <c r="FF29" s="70">
        <v>342.73</v>
      </c>
      <c r="FG29" s="70">
        <v>341.78</v>
      </c>
      <c r="FH29" s="70">
        <v>340.83</v>
      </c>
      <c r="FI29" s="70">
        <v>339.87</v>
      </c>
      <c r="FJ29" s="70">
        <v>338.92</v>
      </c>
      <c r="FK29" s="70">
        <v>337.97</v>
      </c>
      <c r="FL29" s="70">
        <v>337.02</v>
      </c>
      <c r="FM29" s="70">
        <v>336.07</v>
      </c>
      <c r="FN29" s="70">
        <v>335.12</v>
      </c>
      <c r="FO29" s="70">
        <v>334.18</v>
      </c>
      <c r="FP29" s="70">
        <v>333.23</v>
      </c>
      <c r="FQ29" s="70">
        <v>332.28</v>
      </c>
      <c r="FR29" s="70">
        <v>331.34</v>
      </c>
      <c r="FS29" s="70">
        <v>330.39</v>
      </c>
      <c r="FT29" s="70">
        <v>329.45</v>
      </c>
      <c r="FU29" s="70">
        <v>328.51</v>
      </c>
      <c r="FV29" s="70">
        <v>327.56</v>
      </c>
      <c r="FW29" s="70">
        <v>326.62</v>
      </c>
      <c r="FX29" s="70">
        <v>325.68</v>
      </c>
      <c r="FY29" s="70">
        <v>324.74</v>
      </c>
      <c r="FZ29" s="70">
        <v>323.79000000000002</v>
      </c>
      <c r="GA29" s="70">
        <v>322.85000000000002</v>
      </c>
      <c r="GB29" s="70">
        <v>321.93</v>
      </c>
      <c r="GC29" s="70">
        <v>320.99</v>
      </c>
      <c r="GD29" s="70">
        <v>320.04000000000002</v>
      </c>
      <c r="GE29" s="70">
        <v>319.12</v>
      </c>
      <c r="GF29" s="70">
        <v>318.19</v>
      </c>
      <c r="GG29" s="70">
        <v>317.25</v>
      </c>
      <c r="GH29" s="70">
        <v>316.32</v>
      </c>
      <c r="GI29" s="70">
        <v>315.39</v>
      </c>
      <c r="GJ29" s="70">
        <v>314.45999999999998</v>
      </c>
      <c r="GK29" s="70">
        <v>313.52999999999997</v>
      </c>
      <c r="GL29" s="70">
        <v>312.60000000000002</v>
      </c>
      <c r="GM29" s="70">
        <v>311.67</v>
      </c>
      <c r="GN29" s="70">
        <v>310.75</v>
      </c>
      <c r="GO29" s="70">
        <v>309.82</v>
      </c>
      <c r="GP29" s="70">
        <v>308.89999999999998</v>
      </c>
      <c r="GQ29" s="70">
        <v>307.98</v>
      </c>
      <c r="GR29" s="70">
        <v>307.06</v>
      </c>
      <c r="GS29" s="70">
        <v>306.14</v>
      </c>
      <c r="GT29" s="70">
        <v>305.22000000000003</v>
      </c>
      <c r="GU29" s="70">
        <v>304.29000000000002</v>
      </c>
      <c r="GV29" s="70">
        <v>303.38</v>
      </c>
      <c r="GW29" s="70">
        <v>302.45999999999998</v>
      </c>
      <c r="GX29" s="70">
        <v>301.54000000000002</v>
      </c>
      <c r="GY29" s="70">
        <v>300.63</v>
      </c>
      <c r="GZ29" s="70">
        <v>299.72000000000003</v>
      </c>
      <c r="HA29" s="70">
        <v>298.81</v>
      </c>
      <c r="HB29" s="70">
        <v>297.89999999999998</v>
      </c>
      <c r="HC29" s="70">
        <v>296.99</v>
      </c>
      <c r="HD29" s="70">
        <v>296.07</v>
      </c>
      <c r="HE29" s="70">
        <v>295.17</v>
      </c>
      <c r="HF29" s="70">
        <v>294.26</v>
      </c>
      <c r="HG29" s="70">
        <v>293.35000000000002</v>
      </c>
      <c r="HH29" s="70">
        <v>292.45999999999998</v>
      </c>
      <c r="HI29" s="70">
        <v>291.54000000000002</v>
      </c>
      <c r="HJ29" s="70">
        <v>290.64999999999998</v>
      </c>
      <c r="HK29" s="70">
        <v>289.75</v>
      </c>
      <c r="HL29" s="70">
        <v>288.85000000000002</v>
      </c>
      <c r="HM29" s="70">
        <v>287.95999999999998</v>
      </c>
      <c r="HN29" s="70">
        <v>287.06</v>
      </c>
      <c r="HO29" s="70">
        <v>286.17</v>
      </c>
      <c r="HP29" s="70">
        <v>285.26</v>
      </c>
      <c r="HQ29" s="70">
        <v>284.38</v>
      </c>
      <c r="HR29" s="70">
        <v>283.49</v>
      </c>
      <c r="HS29" s="70">
        <v>282.60000000000002</v>
      </c>
      <c r="HT29" s="70">
        <v>281.70999999999998</v>
      </c>
      <c r="HU29" s="70">
        <v>280.82</v>
      </c>
      <c r="HV29" s="70">
        <v>279.94</v>
      </c>
      <c r="HW29" s="70">
        <v>279.04000000000002</v>
      </c>
      <c r="HX29" s="70">
        <v>278.17</v>
      </c>
      <c r="HY29" s="70">
        <v>277.27999999999997</v>
      </c>
      <c r="HZ29" s="70">
        <v>276.39999999999998</v>
      </c>
      <c r="IA29" s="70">
        <v>275.51</v>
      </c>
      <c r="IB29" s="70">
        <v>274.64</v>
      </c>
      <c r="IC29" s="70">
        <v>273.76</v>
      </c>
      <c r="ID29" s="70">
        <v>272.88</v>
      </c>
      <c r="IE29" s="70">
        <v>272</v>
      </c>
      <c r="IF29" s="70">
        <v>271.13</v>
      </c>
      <c r="IG29" s="70">
        <v>270.25</v>
      </c>
      <c r="IH29" s="70">
        <v>269.38</v>
      </c>
      <c r="II29" s="70">
        <v>268.51</v>
      </c>
      <c r="IJ29" s="70">
        <v>267.64</v>
      </c>
      <c r="IK29" s="70">
        <v>266.76</v>
      </c>
      <c r="IL29" s="70">
        <v>265.89999999999998</v>
      </c>
      <c r="IM29" s="70">
        <v>265.02999999999997</v>
      </c>
      <c r="IN29" s="70">
        <v>264.16000000000003</v>
      </c>
      <c r="IO29" s="70">
        <v>263.29000000000002</v>
      </c>
      <c r="IP29" s="70">
        <v>262.43</v>
      </c>
      <c r="IQ29" s="70">
        <v>261.57</v>
      </c>
      <c r="IR29" s="70">
        <v>260.70999999999998</v>
      </c>
      <c r="IS29" s="70">
        <v>259.85000000000002</v>
      </c>
      <c r="IT29" s="70">
        <v>258.99</v>
      </c>
      <c r="IU29" s="70">
        <v>258.13</v>
      </c>
      <c r="IV29" s="70">
        <v>257.27999999999997</v>
      </c>
      <c r="IW29" s="70">
        <v>256.42</v>
      </c>
      <c r="IX29" s="70">
        <v>255.57</v>
      </c>
      <c r="IY29" s="70">
        <v>254.72</v>
      </c>
      <c r="IZ29" s="70">
        <v>253.87</v>
      </c>
      <c r="JA29" s="70">
        <v>253.02</v>
      </c>
      <c r="JB29" s="70">
        <v>252.17</v>
      </c>
      <c r="JC29" s="70">
        <v>251.32</v>
      </c>
      <c r="JD29" s="70">
        <v>250.47</v>
      </c>
      <c r="JE29" s="70">
        <v>249.63</v>
      </c>
      <c r="JF29" s="70">
        <v>248.79</v>
      </c>
      <c r="JG29" s="70">
        <v>247.94</v>
      </c>
      <c r="JH29" s="70">
        <v>247.1</v>
      </c>
      <c r="JI29" s="70">
        <v>246.26</v>
      </c>
      <c r="JJ29" s="70">
        <v>245.42</v>
      </c>
      <c r="JK29" s="70">
        <v>244.58</v>
      </c>
      <c r="JL29" s="70">
        <v>243.75</v>
      </c>
      <c r="JM29" s="70">
        <v>242.91</v>
      </c>
      <c r="JN29" s="70">
        <v>242.07</v>
      </c>
      <c r="JO29" s="70">
        <v>241.24</v>
      </c>
      <c r="JP29" s="70">
        <v>240.41</v>
      </c>
      <c r="JQ29" s="70">
        <v>239.57</v>
      </c>
      <c r="JR29" s="70">
        <v>238.74</v>
      </c>
      <c r="JS29" s="70">
        <v>237.91</v>
      </c>
      <c r="JT29" s="70">
        <v>237.09</v>
      </c>
      <c r="JU29" s="70">
        <v>236.26</v>
      </c>
      <c r="JV29" s="70">
        <v>235.43</v>
      </c>
      <c r="JW29" s="70">
        <v>234.61</v>
      </c>
      <c r="JX29" s="70">
        <v>233.78</v>
      </c>
      <c r="JY29" s="70">
        <v>232.96</v>
      </c>
      <c r="JZ29" s="70">
        <v>232.14</v>
      </c>
      <c r="KA29" s="70">
        <v>231.32</v>
      </c>
      <c r="KB29" s="70">
        <v>230.5</v>
      </c>
      <c r="KC29" s="70">
        <v>229.68</v>
      </c>
      <c r="KD29" s="70">
        <v>228.86</v>
      </c>
      <c r="KE29" s="70">
        <v>228.04</v>
      </c>
      <c r="KF29" s="70">
        <v>227.22</v>
      </c>
      <c r="KG29" s="70">
        <v>226.41</v>
      </c>
      <c r="KH29" s="70">
        <v>225.6</v>
      </c>
      <c r="KI29" s="70">
        <v>224.78</v>
      </c>
      <c r="KJ29" s="70">
        <v>223.97</v>
      </c>
      <c r="KK29" s="70">
        <v>223.16</v>
      </c>
      <c r="KL29" s="70">
        <v>222.35</v>
      </c>
      <c r="KM29" s="70">
        <v>221.54</v>
      </c>
      <c r="KN29" s="70">
        <v>220.74</v>
      </c>
      <c r="KO29" s="70">
        <v>219.93</v>
      </c>
      <c r="KP29" s="70">
        <v>219.13</v>
      </c>
      <c r="KQ29" s="70">
        <v>218.33</v>
      </c>
      <c r="KR29" s="70">
        <v>217.21000000000021</v>
      </c>
      <c r="KS29" s="70">
        <v>216.46000000000021</v>
      </c>
      <c r="KT29" s="70">
        <v>215.71000000000021</v>
      </c>
      <c r="KU29" s="70">
        <v>214.96000000000021</v>
      </c>
      <c r="KV29" s="70">
        <v>214.21000000000021</v>
      </c>
      <c r="KW29" s="70">
        <v>213.46000000000021</v>
      </c>
      <c r="KX29" s="70">
        <v>212.71000000000021</v>
      </c>
      <c r="KY29" s="70">
        <v>211.96000000000021</v>
      </c>
      <c r="KZ29" s="70">
        <v>211.21000000000021</v>
      </c>
      <c r="LA29" s="70">
        <v>210.46000000000021</v>
      </c>
      <c r="LB29" s="70">
        <v>209.71000000000021</v>
      </c>
      <c r="LC29" s="70">
        <v>208.96000000000021</v>
      </c>
      <c r="LD29" s="70">
        <v>208.21000000000021</v>
      </c>
      <c r="LE29" s="70">
        <v>207.46000000000021</v>
      </c>
      <c r="LF29" s="70">
        <v>206.71000000000021</v>
      </c>
      <c r="LG29" s="70">
        <v>205.96000000000021</v>
      </c>
      <c r="LH29" s="70">
        <v>205.21000000000021</v>
      </c>
      <c r="LI29" s="70">
        <v>204.46000000000021</v>
      </c>
      <c r="LJ29" s="70">
        <v>203.71000000000021</v>
      </c>
      <c r="LK29" s="70">
        <v>202.96000000000021</v>
      </c>
      <c r="LL29" s="70">
        <v>202.21000000000021</v>
      </c>
      <c r="LM29" s="70">
        <v>201.46000000000021</v>
      </c>
      <c r="LN29" s="70">
        <v>200.71000000000021</v>
      </c>
      <c r="LO29" s="70">
        <v>199.96000000000021</v>
      </c>
      <c r="LP29" s="70">
        <v>199.21000000000021</v>
      </c>
      <c r="LQ29" s="70">
        <v>198.46000000000021</v>
      </c>
      <c r="LR29" s="70">
        <v>197.71000000000021</v>
      </c>
      <c r="LS29" s="70">
        <v>196.96000000000021</v>
      </c>
      <c r="LT29" s="70">
        <v>196.21000000000021</v>
      </c>
      <c r="LU29" s="70">
        <v>195.46000000000021</v>
      </c>
      <c r="LV29" s="70">
        <v>194.71000000000021</v>
      </c>
      <c r="LW29" s="70">
        <v>193.96000000000021</v>
      </c>
      <c r="LX29" s="70">
        <v>193.21000000000021</v>
      </c>
      <c r="LY29" s="70">
        <v>192.46000000000021</v>
      </c>
      <c r="LZ29" s="70">
        <v>191.71000000000021</v>
      </c>
      <c r="MA29" s="70">
        <v>190.96000000000021</v>
      </c>
      <c r="MB29" s="70">
        <v>190.21000000000021</v>
      </c>
      <c r="MC29" s="70">
        <v>189.46000000000021</v>
      </c>
      <c r="MD29" s="70">
        <v>188.71000000000021</v>
      </c>
      <c r="ME29" s="70">
        <v>187.96000000000021</v>
      </c>
      <c r="MF29" s="70">
        <v>187.21000000000021</v>
      </c>
      <c r="MG29" s="70">
        <v>186.46000000000021</v>
      </c>
      <c r="MH29" s="70">
        <v>185.71000000000021</v>
      </c>
      <c r="MI29" s="70">
        <v>184.96000000000021</v>
      </c>
      <c r="MJ29" s="70">
        <v>184.21000000000021</v>
      </c>
      <c r="MK29" s="70">
        <v>183.46000000000021</v>
      </c>
      <c r="ML29" s="70">
        <v>182.71000000000021</v>
      </c>
      <c r="MM29" s="70">
        <v>181.96000000000021</v>
      </c>
      <c r="MN29" s="70">
        <v>181.21000000000021</v>
      </c>
      <c r="MO29" s="70">
        <v>180.46000000000021</v>
      </c>
      <c r="MP29" s="70">
        <v>179.71000000000021</v>
      </c>
      <c r="MQ29" s="70">
        <v>178.96000000000021</v>
      </c>
      <c r="MR29" s="70">
        <v>178.21000000000021</v>
      </c>
      <c r="MS29" s="70">
        <v>177.46000000000021</v>
      </c>
      <c r="MT29" s="70">
        <v>176.71000000000021</v>
      </c>
      <c r="MU29" s="70">
        <v>175.96000000000021</v>
      </c>
      <c r="MV29" s="70">
        <v>175.21000000000021</v>
      </c>
      <c r="MW29" s="70">
        <v>174.46000000000021</v>
      </c>
      <c r="MX29" s="70">
        <v>173.71000000000021</v>
      </c>
      <c r="MY29" s="70">
        <v>172.96000000000021</v>
      </c>
    </row>
    <row r="30" spans="1:363" ht="15.6" x14ac:dyDescent="0.3">
      <c r="A30" s="67" t="s">
        <v>7</v>
      </c>
      <c r="B30" s="72">
        <v>2040</v>
      </c>
      <c r="C30" s="70">
        <v>502.57</v>
      </c>
      <c r="D30" s="70">
        <v>501.55</v>
      </c>
      <c r="E30" s="70">
        <v>500.53</v>
      </c>
      <c r="F30" s="70">
        <v>499.5</v>
      </c>
      <c r="G30" s="70">
        <v>498.48</v>
      </c>
      <c r="H30" s="70">
        <v>497.46</v>
      </c>
      <c r="I30" s="70">
        <v>496.44</v>
      </c>
      <c r="J30" s="70">
        <v>495.41</v>
      </c>
      <c r="K30" s="70">
        <v>494.39</v>
      </c>
      <c r="L30" s="70">
        <v>493.37</v>
      </c>
      <c r="M30" s="70">
        <v>492.34</v>
      </c>
      <c r="N30" s="70">
        <v>491.32</v>
      </c>
      <c r="O30" s="70">
        <v>490.3</v>
      </c>
      <c r="P30" s="70">
        <v>489.28</v>
      </c>
      <c r="Q30" s="70">
        <v>488.26</v>
      </c>
      <c r="R30" s="70">
        <v>487.23</v>
      </c>
      <c r="S30" s="70">
        <v>486.21</v>
      </c>
      <c r="T30" s="70">
        <v>485.19</v>
      </c>
      <c r="U30" s="70">
        <v>484.17</v>
      </c>
      <c r="V30" s="70">
        <v>483.14</v>
      </c>
      <c r="W30" s="70">
        <v>482.12</v>
      </c>
      <c r="X30" s="70">
        <v>481.1</v>
      </c>
      <c r="Y30" s="70">
        <v>480.08</v>
      </c>
      <c r="Z30" s="70">
        <v>479.06</v>
      </c>
      <c r="AA30" s="70">
        <v>478.03</v>
      </c>
      <c r="AB30" s="70">
        <v>477.01</v>
      </c>
      <c r="AC30" s="70">
        <v>475.99</v>
      </c>
      <c r="AD30" s="70">
        <v>474.97</v>
      </c>
      <c r="AE30" s="70">
        <v>473.95</v>
      </c>
      <c r="AF30" s="70">
        <v>472.93</v>
      </c>
      <c r="AG30" s="70">
        <v>471.91</v>
      </c>
      <c r="AH30" s="70">
        <v>470.88</v>
      </c>
      <c r="AI30" s="70">
        <v>469.86</v>
      </c>
      <c r="AJ30" s="70">
        <v>468.84</v>
      </c>
      <c r="AK30" s="70">
        <v>467.82</v>
      </c>
      <c r="AL30" s="70">
        <v>466.8</v>
      </c>
      <c r="AM30" s="70">
        <v>465.78</v>
      </c>
      <c r="AN30" s="70">
        <v>464.76</v>
      </c>
      <c r="AO30" s="70">
        <v>463.74</v>
      </c>
      <c r="AP30" s="70">
        <v>462.72</v>
      </c>
      <c r="AQ30" s="70">
        <v>461.7</v>
      </c>
      <c r="AR30" s="70">
        <v>460.68</v>
      </c>
      <c r="AS30" s="70">
        <v>459.66</v>
      </c>
      <c r="AT30" s="70">
        <v>458.64</v>
      </c>
      <c r="AU30" s="70">
        <v>457.62</v>
      </c>
      <c r="AV30" s="70">
        <v>456.6</v>
      </c>
      <c r="AW30" s="70">
        <v>455.58</v>
      </c>
      <c r="AX30" s="70">
        <v>454.56</v>
      </c>
      <c r="AY30" s="70">
        <v>453.54</v>
      </c>
      <c r="AZ30" s="70">
        <v>452.52</v>
      </c>
      <c r="BA30" s="70">
        <v>451.5</v>
      </c>
      <c r="BB30" s="70">
        <v>450.49</v>
      </c>
      <c r="BC30" s="70">
        <v>449.47</v>
      </c>
      <c r="BD30" s="70">
        <v>448.45</v>
      </c>
      <c r="BE30" s="70">
        <v>447.43</v>
      </c>
      <c r="BF30" s="70">
        <v>446.41</v>
      </c>
      <c r="BG30" s="70">
        <v>445.4</v>
      </c>
      <c r="BH30" s="70">
        <v>444.38</v>
      </c>
      <c r="BI30" s="70">
        <v>443.36</v>
      </c>
      <c r="BJ30" s="70">
        <v>442.34</v>
      </c>
      <c r="BK30" s="70">
        <v>441.32</v>
      </c>
      <c r="BL30" s="70">
        <v>440.31</v>
      </c>
      <c r="BM30" s="70">
        <v>439.29</v>
      </c>
      <c r="BN30" s="70">
        <v>438.28</v>
      </c>
      <c r="BO30" s="70">
        <v>437.26</v>
      </c>
      <c r="BP30" s="70">
        <v>436.25</v>
      </c>
      <c r="BQ30" s="70">
        <v>435.23</v>
      </c>
      <c r="BR30" s="70">
        <v>434.22</v>
      </c>
      <c r="BS30" s="70">
        <v>433.2</v>
      </c>
      <c r="BT30" s="70">
        <v>432.19</v>
      </c>
      <c r="BU30" s="70">
        <v>431.17</v>
      </c>
      <c r="BV30" s="70">
        <v>430.16</v>
      </c>
      <c r="BW30" s="70">
        <v>429.14</v>
      </c>
      <c r="BX30" s="70">
        <v>428.13</v>
      </c>
      <c r="BY30" s="70">
        <v>427.12</v>
      </c>
      <c r="BZ30" s="70">
        <v>426.11</v>
      </c>
      <c r="CA30" s="70">
        <v>425.1</v>
      </c>
      <c r="CB30" s="70">
        <v>424.09</v>
      </c>
      <c r="CC30" s="70">
        <v>423.08</v>
      </c>
      <c r="CD30" s="70">
        <v>422.06</v>
      </c>
      <c r="CE30" s="70">
        <v>421.05</v>
      </c>
      <c r="CF30" s="70">
        <v>420.04</v>
      </c>
      <c r="CG30" s="70">
        <v>419.03</v>
      </c>
      <c r="CH30" s="70">
        <v>418.02</v>
      </c>
      <c r="CI30" s="70">
        <v>417.01</v>
      </c>
      <c r="CJ30" s="70">
        <v>416.01</v>
      </c>
      <c r="CK30" s="70">
        <v>415</v>
      </c>
      <c r="CL30" s="70">
        <v>413.99</v>
      </c>
      <c r="CM30" s="70">
        <v>412.99</v>
      </c>
      <c r="CN30" s="70">
        <v>411.98</v>
      </c>
      <c r="CO30" s="70">
        <v>410.98</v>
      </c>
      <c r="CP30" s="70">
        <v>409.97</v>
      </c>
      <c r="CQ30" s="70">
        <v>408.97</v>
      </c>
      <c r="CR30" s="70">
        <v>407.96</v>
      </c>
      <c r="CS30" s="70">
        <v>406.96</v>
      </c>
      <c r="CT30" s="70">
        <v>405.95</v>
      </c>
      <c r="CU30" s="70">
        <v>404.95</v>
      </c>
      <c r="CV30" s="70">
        <v>403.95</v>
      </c>
      <c r="CW30" s="70">
        <v>402.95</v>
      </c>
      <c r="CX30" s="70">
        <v>401.95</v>
      </c>
      <c r="CY30" s="70">
        <v>400.95</v>
      </c>
      <c r="CZ30" s="70">
        <v>399.95</v>
      </c>
      <c r="DA30" s="70">
        <v>398.95</v>
      </c>
      <c r="DB30" s="70">
        <v>397.95</v>
      </c>
      <c r="DC30" s="70">
        <v>396.95</v>
      </c>
      <c r="DD30" s="70">
        <v>395.95</v>
      </c>
      <c r="DE30" s="70">
        <v>394.95</v>
      </c>
      <c r="DF30" s="70">
        <v>393.96</v>
      </c>
      <c r="DG30" s="70">
        <v>392.96</v>
      </c>
      <c r="DH30" s="70">
        <v>391.96</v>
      </c>
      <c r="DI30" s="70">
        <v>390.97</v>
      </c>
      <c r="DJ30" s="70">
        <v>389.98</v>
      </c>
      <c r="DK30" s="70">
        <v>388.99</v>
      </c>
      <c r="DL30" s="70">
        <v>387.99</v>
      </c>
      <c r="DM30" s="70">
        <v>387</v>
      </c>
      <c r="DN30" s="70">
        <v>386.01</v>
      </c>
      <c r="DO30" s="70">
        <v>385.02</v>
      </c>
      <c r="DP30" s="70">
        <v>384.03</v>
      </c>
      <c r="DQ30" s="70">
        <v>383.04</v>
      </c>
      <c r="DR30" s="70">
        <v>382.05</v>
      </c>
      <c r="DS30" s="70">
        <v>381.06</v>
      </c>
      <c r="DT30" s="70">
        <v>380.07</v>
      </c>
      <c r="DU30" s="70">
        <v>379.09</v>
      </c>
      <c r="DV30" s="70">
        <v>378.1</v>
      </c>
      <c r="DW30" s="70">
        <v>377.12</v>
      </c>
      <c r="DX30" s="70">
        <v>376.14</v>
      </c>
      <c r="DY30" s="70">
        <v>375.16</v>
      </c>
      <c r="DZ30" s="70">
        <v>374.17</v>
      </c>
      <c r="EA30" s="70">
        <v>373.19</v>
      </c>
      <c r="EB30" s="70">
        <v>372.21</v>
      </c>
      <c r="EC30" s="70">
        <v>371.23</v>
      </c>
      <c r="ED30" s="70">
        <v>370.25</v>
      </c>
      <c r="EE30" s="70">
        <v>369.27</v>
      </c>
      <c r="EF30" s="70">
        <v>368.3</v>
      </c>
      <c r="EG30" s="70">
        <v>367.33</v>
      </c>
      <c r="EH30" s="70">
        <v>366.35</v>
      </c>
      <c r="EI30" s="70">
        <v>365.38</v>
      </c>
      <c r="EJ30" s="70">
        <v>364.41</v>
      </c>
      <c r="EK30" s="70">
        <v>363.44</v>
      </c>
      <c r="EL30" s="70">
        <v>362.47</v>
      </c>
      <c r="EM30" s="70">
        <v>361.5</v>
      </c>
      <c r="EN30" s="70">
        <v>360.54</v>
      </c>
      <c r="EO30" s="70">
        <v>359.57</v>
      </c>
      <c r="EP30" s="70">
        <v>358.6</v>
      </c>
      <c r="EQ30" s="70">
        <v>357.63</v>
      </c>
      <c r="ER30" s="70">
        <v>356.67</v>
      </c>
      <c r="ES30" s="70">
        <v>355.71</v>
      </c>
      <c r="ET30" s="70">
        <v>354.75</v>
      </c>
      <c r="EU30" s="70">
        <v>353.78</v>
      </c>
      <c r="EV30" s="70">
        <v>352.82</v>
      </c>
      <c r="EW30" s="70">
        <v>351.86</v>
      </c>
      <c r="EX30" s="70">
        <v>350.9</v>
      </c>
      <c r="EY30" s="70">
        <v>349.95</v>
      </c>
      <c r="EZ30" s="70">
        <v>348.99</v>
      </c>
      <c r="FA30" s="70">
        <v>348.03</v>
      </c>
      <c r="FB30" s="70">
        <v>347.07</v>
      </c>
      <c r="FC30" s="70">
        <v>346.12</v>
      </c>
      <c r="FD30" s="70">
        <v>345.16</v>
      </c>
      <c r="FE30" s="70">
        <v>344.21</v>
      </c>
      <c r="FF30" s="70">
        <v>343.25</v>
      </c>
      <c r="FG30" s="70">
        <v>342.3</v>
      </c>
      <c r="FH30" s="70">
        <v>341.35</v>
      </c>
      <c r="FI30" s="70">
        <v>340.39</v>
      </c>
      <c r="FJ30" s="70">
        <v>339.44</v>
      </c>
      <c r="FK30" s="70">
        <v>338.49</v>
      </c>
      <c r="FL30" s="70">
        <v>337.54</v>
      </c>
      <c r="FM30" s="70">
        <v>336.59</v>
      </c>
      <c r="FN30" s="70">
        <v>335.64</v>
      </c>
      <c r="FO30" s="70">
        <v>334.69</v>
      </c>
      <c r="FP30" s="70">
        <v>333.75</v>
      </c>
      <c r="FQ30" s="70">
        <v>332.8</v>
      </c>
      <c r="FR30" s="70">
        <v>331.86</v>
      </c>
      <c r="FS30" s="70">
        <v>330.91</v>
      </c>
      <c r="FT30" s="70">
        <v>329.97</v>
      </c>
      <c r="FU30" s="70">
        <v>329.02</v>
      </c>
      <c r="FV30" s="70">
        <v>328.08</v>
      </c>
      <c r="FW30" s="70">
        <v>327.14</v>
      </c>
      <c r="FX30" s="70">
        <v>326.2</v>
      </c>
      <c r="FY30" s="70">
        <v>325.26</v>
      </c>
      <c r="FZ30" s="70">
        <v>324.32</v>
      </c>
      <c r="GA30" s="70">
        <v>323.38</v>
      </c>
      <c r="GB30" s="70">
        <v>322.44</v>
      </c>
      <c r="GC30" s="70">
        <v>321.5</v>
      </c>
      <c r="GD30" s="70">
        <v>320.57</v>
      </c>
      <c r="GE30" s="70">
        <v>319.63</v>
      </c>
      <c r="GF30" s="70">
        <v>318.7</v>
      </c>
      <c r="GG30" s="70">
        <v>317.76</v>
      </c>
      <c r="GH30" s="70">
        <v>316.82</v>
      </c>
      <c r="GI30" s="70">
        <v>315.89999999999998</v>
      </c>
      <c r="GJ30" s="70">
        <v>314.97000000000003</v>
      </c>
      <c r="GK30" s="70">
        <v>314.04000000000002</v>
      </c>
      <c r="GL30" s="70">
        <v>313.10000000000002</v>
      </c>
      <c r="GM30" s="70">
        <v>312.19</v>
      </c>
      <c r="GN30" s="70">
        <v>311.26</v>
      </c>
      <c r="GO30" s="70">
        <v>310.33999999999997</v>
      </c>
      <c r="GP30" s="70">
        <v>309.41000000000003</v>
      </c>
      <c r="GQ30" s="70">
        <v>308.49</v>
      </c>
      <c r="GR30" s="70">
        <v>307.57</v>
      </c>
      <c r="GS30" s="70">
        <v>306.64999999999998</v>
      </c>
      <c r="GT30" s="70">
        <v>305.73</v>
      </c>
      <c r="GU30" s="70">
        <v>304.81</v>
      </c>
      <c r="GV30" s="70">
        <v>303.89</v>
      </c>
      <c r="GW30" s="70">
        <v>302.97000000000003</v>
      </c>
      <c r="GX30" s="70">
        <v>302.06</v>
      </c>
      <c r="GY30" s="70">
        <v>301.14</v>
      </c>
      <c r="GZ30" s="70">
        <v>300.23</v>
      </c>
      <c r="HA30" s="70">
        <v>299.32</v>
      </c>
      <c r="HB30" s="70">
        <v>298.41000000000003</v>
      </c>
      <c r="HC30" s="70">
        <v>297.5</v>
      </c>
      <c r="HD30" s="70">
        <v>296.58999999999997</v>
      </c>
      <c r="HE30" s="70">
        <v>295.68</v>
      </c>
      <c r="HF30" s="70">
        <v>294.76</v>
      </c>
      <c r="HG30" s="70">
        <v>293.87</v>
      </c>
      <c r="HH30" s="70">
        <v>292.95999999999998</v>
      </c>
      <c r="HI30" s="70">
        <v>292.06</v>
      </c>
      <c r="HJ30" s="70">
        <v>291.16000000000003</v>
      </c>
      <c r="HK30" s="70">
        <v>290.26</v>
      </c>
      <c r="HL30" s="70">
        <v>289.35000000000002</v>
      </c>
      <c r="HM30" s="70">
        <v>288.45999999999998</v>
      </c>
      <c r="HN30" s="70">
        <v>287.56</v>
      </c>
      <c r="HO30" s="70">
        <v>286.67</v>
      </c>
      <c r="HP30" s="70">
        <v>285.77999999999997</v>
      </c>
      <c r="HQ30" s="70">
        <v>284.88</v>
      </c>
      <c r="HR30" s="70">
        <v>283.99</v>
      </c>
      <c r="HS30" s="70">
        <v>283.10000000000002</v>
      </c>
      <c r="HT30" s="70">
        <v>282.20999999999998</v>
      </c>
      <c r="HU30" s="70">
        <v>281.32</v>
      </c>
      <c r="HV30" s="70">
        <v>280.44</v>
      </c>
      <c r="HW30" s="70">
        <v>279.54000000000002</v>
      </c>
      <c r="HX30" s="70">
        <v>278.66000000000003</v>
      </c>
      <c r="HY30" s="70">
        <v>277.77999999999997</v>
      </c>
      <c r="HZ30" s="70">
        <v>276.89999999999998</v>
      </c>
      <c r="IA30" s="70">
        <v>276.01</v>
      </c>
      <c r="IB30" s="70">
        <v>275.14</v>
      </c>
      <c r="IC30" s="70">
        <v>274.26</v>
      </c>
      <c r="ID30" s="70">
        <v>273.38</v>
      </c>
      <c r="IE30" s="70">
        <v>272.5</v>
      </c>
      <c r="IF30" s="70">
        <v>271.62</v>
      </c>
      <c r="IG30" s="70">
        <v>270.75</v>
      </c>
      <c r="IH30" s="70">
        <v>269.87</v>
      </c>
      <c r="II30" s="70">
        <v>269</v>
      </c>
      <c r="IJ30" s="70">
        <v>268.13</v>
      </c>
      <c r="IK30" s="70">
        <v>267.26</v>
      </c>
      <c r="IL30" s="70">
        <v>266.39</v>
      </c>
      <c r="IM30" s="70">
        <v>265.51</v>
      </c>
      <c r="IN30" s="70">
        <v>264.64999999999998</v>
      </c>
      <c r="IO30" s="70">
        <v>263.79000000000002</v>
      </c>
      <c r="IP30" s="70">
        <v>262.92</v>
      </c>
      <c r="IQ30" s="70">
        <v>262.06</v>
      </c>
      <c r="IR30" s="70">
        <v>261.2</v>
      </c>
      <c r="IS30" s="70">
        <v>260.33999999999997</v>
      </c>
      <c r="IT30" s="70">
        <v>259.48</v>
      </c>
      <c r="IU30" s="70">
        <v>258.62</v>
      </c>
      <c r="IV30" s="70">
        <v>257.76</v>
      </c>
      <c r="IW30" s="70">
        <v>256.91000000000003</v>
      </c>
      <c r="IX30" s="70">
        <v>256.04000000000002</v>
      </c>
      <c r="IY30" s="70">
        <v>255.2</v>
      </c>
      <c r="IZ30" s="70">
        <v>254.35</v>
      </c>
      <c r="JA30" s="70">
        <v>253.5</v>
      </c>
      <c r="JB30" s="70">
        <v>252.65</v>
      </c>
      <c r="JC30" s="70">
        <v>251.81</v>
      </c>
      <c r="JD30" s="70">
        <v>250.96</v>
      </c>
      <c r="JE30" s="70">
        <v>250.11</v>
      </c>
      <c r="JF30" s="70">
        <v>249.27</v>
      </c>
      <c r="JG30" s="70">
        <v>248.42</v>
      </c>
      <c r="JH30" s="70">
        <v>247.58</v>
      </c>
      <c r="JI30" s="70">
        <v>246.74</v>
      </c>
      <c r="JJ30" s="70">
        <v>245.9</v>
      </c>
      <c r="JK30" s="70">
        <v>245.06</v>
      </c>
      <c r="JL30" s="70">
        <v>244.23</v>
      </c>
      <c r="JM30" s="70">
        <v>243.39</v>
      </c>
      <c r="JN30" s="70">
        <v>242.55</v>
      </c>
      <c r="JO30" s="70">
        <v>241.72</v>
      </c>
      <c r="JP30" s="70">
        <v>240.88</v>
      </c>
      <c r="JQ30" s="70">
        <v>240.05</v>
      </c>
      <c r="JR30" s="70">
        <v>239.22</v>
      </c>
      <c r="JS30" s="70">
        <v>238.39</v>
      </c>
      <c r="JT30" s="70">
        <v>237.56</v>
      </c>
      <c r="JU30" s="70">
        <v>236.73</v>
      </c>
      <c r="JV30" s="70">
        <v>235.91</v>
      </c>
      <c r="JW30" s="70">
        <v>235.08</v>
      </c>
      <c r="JX30" s="70">
        <v>234.26</v>
      </c>
      <c r="JY30" s="70">
        <v>233.43</v>
      </c>
      <c r="JZ30" s="70">
        <v>232.61</v>
      </c>
      <c r="KA30" s="70">
        <v>231.79</v>
      </c>
      <c r="KB30" s="70">
        <v>230.97</v>
      </c>
      <c r="KC30" s="70">
        <v>230.15</v>
      </c>
      <c r="KD30" s="70">
        <v>229.33</v>
      </c>
      <c r="KE30" s="70">
        <v>228.51</v>
      </c>
      <c r="KF30" s="70">
        <v>227.69</v>
      </c>
      <c r="KG30" s="70">
        <v>226.88</v>
      </c>
      <c r="KH30" s="70">
        <v>226.06</v>
      </c>
      <c r="KI30" s="70">
        <v>225.25</v>
      </c>
      <c r="KJ30" s="70">
        <v>224.44</v>
      </c>
      <c r="KK30" s="70">
        <v>223.63</v>
      </c>
      <c r="KL30" s="70">
        <v>222.82</v>
      </c>
      <c r="KM30" s="70">
        <v>222.01</v>
      </c>
      <c r="KN30" s="70">
        <v>221.2</v>
      </c>
      <c r="KO30" s="70">
        <v>220.39</v>
      </c>
      <c r="KP30" s="70">
        <v>219.59</v>
      </c>
      <c r="KQ30" s="70">
        <v>218.79</v>
      </c>
      <c r="KR30" s="70">
        <v>217.67000000000021</v>
      </c>
      <c r="KS30" s="70">
        <v>216.92000000000021</v>
      </c>
      <c r="KT30" s="70">
        <v>216.17000000000021</v>
      </c>
      <c r="KU30" s="70">
        <v>215.42000000000021</v>
      </c>
      <c r="KV30" s="70">
        <v>214.67000000000021</v>
      </c>
      <c r="KW30" s="70">
        <v>213.92000000000021</v>
      </c>
      <c r="KX30" s="70">
        <v>213.17000000000021</v>
      </c>
      <c r="KY30" s="70">
        <v>212.42000000000021</v>
      </c>
      <c r="KZ30" s="70">
        <v>211.67000000000021</v>
      </c>
      <c r="LA30" s="70">
        <v>210.92000000000021</v>
      </c>
      <c r="LB30" s="70">
        <v>210.17000000000021</v>
      </c>
      <c r="LC30" s="70">
        <v>209.42000000000021</v>
      </c>
      <c r="LD30" s="70">
        <v>208.67000000000021</v>
      </c>
      <c r="LE30" s="70">
        <v>207.92000000000021</v>
      </c>
      <c r="LF30" s="70">
        <v>207.17000000000021</v>
      </c>
      <c r="LG30" s="70">
        <v>206.42000000000021</v>
      </c>
      <c r="LH30" s="70">
        <v>205.67000000000021</v>
      </c>
      <c r="LI30" s="70">
        <v>204.92000000000021</v>
      </c>
      <c r="LJ30" s="70">
        <v>204.17000000000021</v>
      </c>
      <c r="LK30" s="70">
        <v>203.42000000000021</v>
      </c>
      <c r="LL30" s="70">
        <v>202.67000000000021</v>
      </c>
      <c r="LM30" s="70">
        <v>201.92000000000021</v>
      </c>
      <c r="LN30" s="70">
        <v>201.17000000000021</v>
      </c>
      <c r="LO30" s="70">
        <v>200.42000000000021</v>
      </c>
      <c r="LP30" s="70">
        <v>199.67000000000021</v>
      </c>
      <c r="LQ30" s="70">
        <v>198.92000000000021</v>
      </c>
      <c r="LR30" s="70">
        <v>198.17000000000021</v>
      </c>
      <c r="LS30" s="70">
        <v>197.42000000000021</v>
      </c>
      <c r="LT30" s="70">
        <v>196.67000000000021</v>
      </c>
      <c r="LU30" s="70">
        <v>195.92000000000021</v>
      </c>
      <c r="LV30" s="70">
        <v>195.17000000000021</v>
      </c>
      <c r="LW30" s="70">
        <v>194.42000000000021</v>
      </c>
      <c r="LX30" s="70">
        <v>193.67000000000021</v>
      </c>
      <c r="LY30" s="70">
        <v>192.92000000000021</v>
      </c>
      <c r="LZ30" s="70">
        <v>192.17000000000021</v>
      </c>
      <c r="MA30" s="70">
        <v>191.42000000000021</v>
      </c>
      <c r="MB30" s="70">
        <v>190.67000000000021</v>
      </c>
      <c r="MC30" s="70">
        <v>189.92000000000021</v>
      </c>
      <c r="MD30" s="70">
        <v>189.17000000000021</v>
      </c>
      <c r="ME30" s="70">
        <v>188.42000000000021</v>
      </c>
      <c r="MF30" s="70">
        <v>187.67000000000021</v>
      </c>
      <c r="MG30" s="70">
        <v>186.92000000000021</v>
      </c>
      <c r="MH30" s="70">
        <v>186.17000000000021</v>
      </c>
      <c r="MI30" s="70">
        <v>185.42000000000021</v>
      </c>
      <c r="MJ30" s="70">
        <v>184.67000000000021</v>
      </c>
      <c r="MK30" s="70">
        <v>183.92000000000021</v>
      </c>
      <c r="ML30" s="70">
        <v>183.17000000000021</v>
      </c>
      <c r="MM30" s="70">
        <v>182.42000000000021</v>
      </c>
      <c r="MN30" s="70">
        <v>181.67000000000021</v>
      </c>
      <c r="MO30" s="70">
        <v>180.92000000000021</v>
      </c>
      <c r="MP30" s="70">
        <v>180.17000000000021</v>
      </c>
      <c r="MQ30" s="70">
        <v>179.42000000000021</v>
      </c>
      <c r="MR30" s="70">
        <v>178.67000000000021</v>
      </c>
      <c r="MS30" s="70">
        <v>177.92000000000021</v>
      </c>
      <c r="MT30" s="70">
        <v>177.17000000000021</v>
      </c>
      <c r="MU30" s="70">
        <v>176.42000000000021</v>
      </c>
      <c r="MV30" s="70">
        <v>175.67000000000021</v>
      </c>
      <c r="MW30" s="70">
        <v>174.92000000000021</v>
      </c>
      <c r="MX30" s="70">
        <v>174.17000000000021</v>
      </c>
      <c r="MY30" s="70">
        <v>173.42000000000021</v>
      </c>
    </row>
    <row r="31" spans="1:363" ht="15.6" x14ac:dyDescent="0.3">
      <c r="A31" s="67" t="s">
        <v>7</v>
      </c>
      <c r="B31" s="72">
        <v>2041</v>
      </c>
      <c r="C31" s="70">
        <v>503.14</v>
      </c>
      <c r="D31" s="70">
        <v>502.12</v>
      </c>
      <c r="E31" s="70">
        <v>501.1</v>
      </c>
      <c r="F31" s="70">
        <v>500.07</v>
      </c>
      <c r="G31" s="70">
        <v>499.05</v>
      </c>
      <c r="H31" s="70">
        <v>498.03</v>
      </c>
      <c r="I31" s="70">
        <v>497</v>
      </c>
      <c r="J31" s="70">
        <v>495.98</v>
      </c>
      <c r="K31" s="70">
        <v>494.96</v>
      </c>
      <c r="L31" s="70">
        <v>493.93</v>
      </c>
      <c r="M31" s="70">
        <v>492.91</v>
      </c>
      <c r="N31" s="70">
        <v>491.89</v>
      </c>
      <c r="O31" s="70">
        <v>490.87</v>
      </c>
      <c r="P31" s="70">
        <v>489.84</v>
      </c>
      <c r="Q31" s="70">
        <v>488.82</v>
      </c>
      <c r="R31" s="70">
        <v>487.8</v>
      </c>
      <c r="S31" s="70">
        <v>486.78</v>
      </c>
      <c r="T31" s="70">
        <v>485.75</v>
      </c>
      <c r="U31" s="70">
        <v>484.73</v>
      </c>
      <c r="V31" s="70">
        <v>483.71</v>
      </c>
      <c r="W31" s="70">
        <v>482.69</v>
      </c>
      <c r="X31" s="70">
        <v>481.66</v>
      </c>
      <c r="Y31" s="70">
        <v>480.64</v>
      </c>
      <c r="Z31" s="70">
        <v>479.62</v>
      </c>
      <c r="AA31" s="70">
        <v>478.6</v>
      </c>
      <c r="AB31" s="70">
        <v>477.58</v>
      </c>
      <c r="AC31" s="70">
        <v>476.55</v>
      </c>
      <c r="AD31" s="70">
        <v>475.53</v>
      </c>
      <c r="AE31" s="70">
        <v>474.51</v>
      </c>
      <c r="AF31" s="70">
        <v>473.49</v>
      </c>
      <c r="AG31" s="70">
        <v>472.47</v>
      </c>
      <c r="AH31" s="70">
        <v>471.45</v>
      </c>
      <c r="AI31" s="70">
        <v>470.42</v>
      </c>
      <c r="AJ31" s="70">
        <v>469.4</v>
      </c>
      <c r="AK31" s="70">
        <v>468.38</v>
      </c>
      <c r="AL31" s="70">
        <v>467.36</v>
      </c>
      <c r="AM31" s="70">
        <v>466.34</v>
      </c>
      <c r="AN31" s="70">
        <v>465.32</v>
      </c>
      <c r="AO31" s="70">
        <v>464.3</v>
      </c>
      <c r="AP31" s="70">
        <v>463.28</v>
      </c>
      <c r="AQ31" s="70">
        <v>462.26</v>
      </c>
      <c r="AR31" s="70">
        <v>461.24</v>
      </c>
      <c r="AS31" s="70">
        <v>460.22</v>
      </c>
      <c r="AT31" s="70">
        <v>459.2</v>
      </c>
      <c r="AU31" s="70">
        <v>458.18</v>
      </c>
      <c r="AV31" s="70">
        <v>457.16</v>
      </c>
      <c r="AW31" s="70">
        <v>456.14</v>
      </c>
      <c r="AX31" s="70">
        <v>455.12</v>
      </c>
      <c r="AY31" s="70">
        <v>454.1</v>
      </c>
      <c r="AZ31" s="70">
        <v>453.08</v>
      </c>
      <c r="BA31" s="70">
        <v>452.06</v>
      </c>
      <c r="BB31" s="70">
        <v>451.04</v>
      </c>
      <c r="BC31" s="70">
        <v>450.02</v>
      </c>
      <c r="BD31" s="70">
        <v>449</v>
      </c>
      <c r="BE31" s="70">
        <v>447.99</v>
      </c>
      <c r="BF31" s="70">
        <v>446.97</v>
      </c>
      <c r="BG31" s="70">
        <v>445.95</v>
      </c>
      <c r="BH31" s="70">
        <v>444.93</v>
      </c>
      <c r="BI31" s="70">
        <v>443.91</v>
      </c>
      <c r="BJ31" s="70">
        <v>442.89</v>
      </c>
      <c r="BK31" s="70">
        <v>441.88</v>
      </c>
      <c r="BL31" s="70">
        <v>440.86</v>
      </c>
      <c r="BM31" s="70">
        <v>439.84</v>
      </c>
      <c r="BN31" s="70">
        <v>438.83</v>
      </c>
      <c r="BO31" s="70">
        <v>437.81</v>
      </c>
      <c r="BP31" s="70">
        <v>436.8</v>
      </c>
      <c r="BQ31" s="70">
        <v>435.78</v>
      </c>
      <c r="BR31" s="70">
        <v>434.77</v>
      </c>
      <c r="BS31" s="70">
        <v>433.75</v>
      </c>
      <c r="BT31" s="70">
        <v>432.74</v>
      </c>
      <c r="BU31" s="70">
        <v>431.72</v>
      </c>
      <c r="BV31" s="70">
        <v>430.71</v>
      </c>
      <c r="BW31" s="70">
        <v>429.69</v>
      </c>
      <c r="BX31" s="70">
        <v>428.68</v>
      </c>
      <c r="BY31" s="70">
        <v>427.67</v>
      </c>
      <c r="BZ31" s="70">
        <v>426.66</v>
      </c>
      <c r="CA31" s="70">
        <v>425.64</v>
      </c>
      <c r="CB31" s="70">
        <v>424.63</v>
      </c>
      <c r="CC31" s="70">
        <v>423.62</v>
      </c>
      <c r="CD31" s="70">
        <v>422.61</v>
      </c>
      <c r="CE31" s="70">
        <v>421.6</v>
      </c>
      <c r="CF31" s="70">
        <v>420.59</v>
      </c>
      <c r="CG31" s="70">
        <v>419.58</v>
      </c>
      <c r="CH31" s="70">
        <v>418.57</v>
      </c>
      <c r="CI31" s="70">
        <v>417.56</v>
      </c>
      <c r="CJ31" s="70">
        <v>416.55</v>
      </c>
      <c r="CK31" s="70">
        <v>415.54</v>
      </c>
      <c r="CL31" s="70">
        <v>414.54</v>
      </c>
      <c r="CM31" s="70">
        <v>413.53</v>
      </c>
      <c r="CN31" s="70">
        <v>412.52</v>
      </c>
      <c r="CO31" s="70">
        <v>411.52</v>
      </c>
      <c r="CP31" s="70">
        <v>410.51</v>
      </c>
      <c r="CQ31" s="70">
        <v>409.51</v>
      </c>
      <c r="CR31" s="70">
        <v>408.5</v>
      </c>
      <c r="CS31" s="70">
        <v>407.5</v>
      </c>
      <c r="CT31" s="70">
        <v>406.49</v>
      </c>
      <c r="CU31" s="70">
        <v>405.49</v>
      </c>
      <c r="CV31" s="70">
        <v>404.48</v>
      </c>
      <c r="CW31" s="70">
        <v>403.48</v>
      </c>
      <c r="CX31" s="70">
        <v>402.48</v>
      </c>
      <c r="CY31" s="70">
        <v>401.48</v>
      </c>
      <c r="CZ31" s="70">
        <v>400.48</v>
      </c>
      <c r="DA31" s="70">
        <v>399.48</v>
      </c>
      <c r="DB31" s="70">
        <v>398.49</v>
      </c>
      <c r="DC31" s="70">
        <v>397.49</v>
      </c>
      <c r="DD31" s="70">
        <v>396.49</v>
      </c>
      <c r="DE31" s="70">
        <v>395.49</v>
      </c>
      <c r="DF31" s="70">
        <v>394.49</v>
      </c>
      <c r="DG31" s="70">
        <v>393.49</v>
      </c>
      <c r="DH31" s="70">
        <v>392.5</v>
      </c>
      <c r="DI31" s="70">
        <v>391.5</v>
      </c>
      <c r="DJ31" s="70">
        <v>390.51</v>
      </c>
      <c r="DK31" s="70">
        <v>389.52</v>
      </c>
      <c r="DL31" s="70">
        <v>388.53</v>
      </c>
      <c r="DM31" s="70">
        <v>387.53</v>
      </c>
      <c r="DN31" s="70">
        <v>386.54</v>
      </c>
      <c r="DO31" s="70">
        <v>385.55</v>
      </c>
      <c r="DP31" s="70">
        <v>384.56</v>
      </c>
      <c r="DQ31" s="70">
        <v>383.57</v>
      </c>
      <c r="DR31" s="70">
        <v>382.58</v>
      </c>
      <c r="DS31" s="70">
        <v>381.59</v>
      </c>
      <c r="DT31" s="70">
        <v>380.6</v>
      </c>
      <c r="DU31" s="70">
        <v>379.62</v>
      </c>
      <c r="DV31" s="70">
        <v>378.63</v>
      </c>
      <c r="DW31" s="70">
        <v>377.65</v>
      </c>
      <c r="DX31" s="70">
        <v>376.67</v>
      </c>
      <c r="DY31" s="70">
        <v>375.68</v>
      </c>
      <c r="DZ31" s="70">
        <v>374.7</v>
      </c>
      <c r="EA31" s="70">
        <v>373.72</v>
      </c>
      <c r="EB31" s="70">
        <v>372.74</v>
      </c>
      <c r="EC31" s="70">
        <v>371.76</v>
      </c>
      <c r="ED31" s="70">
        <v>370.78</v>
      </c>
      <c r="EE31" s="70">
        <v>369.8</v>
      </c>
      <c r="EF31" s="70">
        <v>368.82</v>
      </c>
      <c r="EG31" s="70">
        <v>367.85</v>
      </c>
      <c r="EH31" s="70">
        <v>366.88</v>
      </c>
      <c r="EI31" s="70">
        <v>365.91</v>
      </c>
      <c r="EJ31" s="70">
        <v>364.94</v>
      </c>
      <c r="EK31" s="70">
        <v>363.97</v>
      </c>
      <c r="EL31" s="70">
        <v>363</v>
      </c>
      <c r="EM31" s="70">
        <v>362.03</v>
      </c>
      <c r="EN31" s="70">
        <v>361.06</v>
      </c>
      <c r="EO31" s="70">
        <v>360.09</v>
      </c>
      <c r="EP31" s="70">
        <v>359.12</v>
      </c>
      <c r="EQ31" s="70">
        <v>358.16</v>
      </c>
      <c r="ER31" s="70">
        <v>357.19</v>
      </c>
      <c r="ES31" s="70">
        <v>356.23</v>
      </c>
      <c r="ET31" s="70">
        <v>355.27</v>
      </c>
      <c r="EU31" s="70">
        <v>354.31</v>
      </c>
      <c r="EV31" s="70">
        <v>353.35</v>
      </c>
      <c r="EW31" s="70">
        <v>352.39</v>
      </c>
      <c r="EX31" s="70">
        <v>351.43</v>
      </c>
      <c r="EY31" s="70">
        <v>350.47</v>
      </c>
      <c r="EZ31" s="70">
        <v>349.51</v>
      </c>
      <c r="FA31" s="70">
        <v>348.55</v>
      </c>
      <c r="FB31" s="70">
        <v>347.59</v>
      </c>
      <c r="FC31" s="70">
        <v>346.64</v>
      </c>
      <c r="FD31" s="70">
        <v>345.68</v>
      </c>
      <c r="FE31" s="70">
        <v>344.73</v>
      </c>
      <c r="FF31" s="70">
        <v>343.77</v>
      </c>
      <c r="FG31" s="70">
        <v>342.82</v>
      </c>
      <c r="FH31" s="70">
        <v>341.86</v>
      </c>
      <c r="FI31" s="70">
        <v>340.91</v>
      </c>
      <c r="FJ31" s="70">
        <v>339.96</v>
      </c>
      <c r="FK31" s="70">
        <v>339.01</v>
      </c>
      <c r="FL31" s="70">
        <v>338.06</v>
      </c>
      <c r="FM31" s="70">
        <v>337.11</v>
      </c>
      <c r="FN31" s="70">
        <v>336.16</v>
      </c>
      <c r="FO31" s="70">
        <v>335.21</v>
      </c>
      <c r="FP31" s="70">
        <v>334.26</v>
      </c>
      <c r="FQ31" s="70">
        <v>333.32</v>
      </c>
      <c r="FR31" s="70">
        <v>332.37</v>
      </c>
      <c r="FS31" s="70">
        <v>331.43</v>
      </c>
      <c r="FT31" s="70">
        <v>330.48</v>
      </c>
      <c r="FU31" s="70">
        <v>329.54</v>
      </c>
      <c r="FV31" s="70">
        <v>328.6</v>
      </c>
      <c r="FW31" s="70">
        <v>327.64999999999998</v>
      </c>
      <c r="FX31" s="70">
        <v>326.70999999999998</v>
      </c>
      <c r="FY31" s="70">
        <v>325.76</v>
      </c>
      <c r="FZ31" s="70">
        <v>324.82</v>
      </c>
      <c r="GA31" s="70">
        <v>323.89</v>
      </c>
      <c r="GB31" s="70">
        <v>322.95999999999998</v>
      </c>
      <c r="GC31" s="70">
        <v>322.01</v>
      </c>
      <c r="GD31" s="70">
        <v>321.07</v>
      </c>
      <c r="GE31" s="70">
        <v>320.14999999999998</v>
      </c>
      <c r="GF31" s="70">
        <v>319.20999999999998</v>
      </c>
      <c r="GG31" s="70">
        <v>318.27999999999997</v>
      </c>
      <c r="GH31" s="70">
        <v>317.35000000000002</v>
      </c>
      <c r="GI31" s="70">
        <v>316.41000000000003</v>
      </c>
      <c r="GJ31" s="70">
        <v>315.48</v>
      </c>
      <c r="GK31" s="70">
        <v>314.54000000000002</v>
      </c>
      <c r="GL31" s="70">
        <v>313.62</v>
      </c>
      <c r="GM31" s="70">
        <v>312.7</v>
      </c>
      <c r="GN31" s="70">
        <v>311.76</v>
      </c>
      <c r="GO31" s="70">
        <v>310.85000000000002</v>
      </c>
      <c r="GP31" s="70">
        <v>309.92</v>
      </c>
      <c r="GQ31" s="70">
        <v>309</v>
      </c>
      <c r="GR31" s="70">
        <v>308.07</v>
      </c>
      <c r="GS31" s="70">
        <v>307.16000000000003</v>
      </c>
      <c r="GT31" s="70">
        <v>306.24</v>
      </c>
      <c r="GU31" s="70">
        <v>305.32</v>
      </c>
      <c r="GV31" s="70">
        <v>304.39999999999998</v>
      </c>
      <c r="GW31" s="70">
        <v>303.48</v>
      </c>
      <c r="GX31" s="70">
        <v>302.56</v>
      </c>
      <c r="GY31" s="70">
        <v>301.64999999999998</v>
      </c>
      <c r="GZ31" s="70">
        <v>300.74</v>
      </c>
      <c r="HA31" s="70">
        <v>299.82</v>
      </c>
      <c r="HB31" s="70">
        <v>298.91000000000003</v>
      </c>
      <c r="HC31" s="70">
        <v>298</v>
      </c>
      <c r="HD31" s="70">
        <v>297.08999999999997</v>
      </c>
      <c r="HE31" s="70">
        <v>296.18</v>
      </c>
      <c r="HF31" s="70">
        <v>295.27999999999997</v>
      </c>
      <c r="HG31" s="70">
        <v>294.37</v>
      </c>
      <c r="HH31" s="70">
        <v>293.47000000000003</v>
      </c>
      <c r="HI31" s="70">
        <v>292.56</v>
      </c>
      <c r="HJ31" s="70">
        <v>291.66000000000003</v>
      </c>
      <c r="HK31" s="70">
        <v>290.76</v>
      </c>
      <c r="HL31" s="70">
        <v>289.85000000000002</v>
      </c>
      <c r="HM31" s="70">
        <v>288.95999999999998</v>
      </c>
      <c r="HN31" s="70">
        <v>288.07</v>
      </c>
      <c r="HO31" s="70">
        <v>287.17</v>
      </c>
      <c r="HP31" s="70">
        <v>286.27999999999997</v>
      </c>
      <c r="HQ31" s="70">
        <v>285.38</v>
      </c>
      <c r="HR31" s="70">
        <v>284.49</v>
      </c>
      <c r="HS31" s="70">
        <v>283.60000000000002</v>
      </c>
      <c r="HT31" s="70">
        <v>282.70999999999998</v>
      </c>
      <c r="HU31" s="70">
        <v>281.82</v>
      </c>
      <c r="HV31" s="70">
        <v>280.93</v>
      </c>
      <c r="HW31" s="70">
        <v>280.04000000000002</v>
      </c>
      <c r="HX31" s="70">
        <v>279.16000000000003</v>
      </c>
      <c r="HY31" s="70">
        <v>278.27999999999997</v>
      </c>
      <c r="HZ31" s="70">
        <v>277.39</v>
      </c>
      <c r="IA31" s="70">
        <v>276.51</v>
      </c>
      <c r="IB31" s="70">
        <v>275.63</v>
      </c>
      <c r="IC31" s="70">
        <v>274.75</v>
      </c>
      <c r="ID31" s="70">
        <v>273.87</v>
      </c>
      <c r="IE31" s="70">
        <v>272.99</v>
      </c>
      <c r="IF31" s="70">
        <v>272.12</v>
      </c>
      <c r="IG31" s="70">
        <v>271.24</v>
      </c>
      <c r="IH31" s="70">
        <v>270.37</v>
      </c>
      <c r="II31" s="70">
        <v>269.49</v>
      </c>
      <c r="IJ31" s="70">
        <v>268.62</v>
      </c>
      <c r="IK31" s="70">
        <v>267.75</v>
      </c>
      <c r="IL31" s="70">
        <v>266.88</v>
      </c>
      <c r="IM31" s="70">
        <v>266.01</v>
      </c>
      <c r="IN31" s="70">
        <v>265.14</v>
      </c>
      <c r="IO31" s="70">
        <v>264.27999999999997</v>
      </c>
      <c r="IP31" s="70">
        <v>263.41000000000003</v>
      </c>
      <c r="IQ31" s="70">
        <v>262.54000000000002</v>
      </c>
      <c r="IR31" s="70">
        <v>261.69</v>
      </c>
      <c r="IS31" s="70">
        <v>260.82</v>
      </c>
      <c r="IT31" s="70">
        <v>259.97000000000003</v>
      </c>
      <c r="IU31" s="70">
        <v>259.10000000000002</v>
      </c>
      <c r="IV31" s="70">
        <v>258.25</v>
      </c>
      <c r="IW31" s="70">
        <v>257.39</v>
      </c>
      <c r="IX31" s="70">
        <v>256.54000000000002</v>
      </c>
      <c r="IY31" s="70">
        <v>255.69</v>
      </c>
      <c r="IZ31" s="70">
        <v>254.84</v>
      </c>
      <c r="JA31" s="70">
        <v>253.99</v>
      </c>
      <c r="JB31" s="70">
        <v>253.14</v>
      </c>
      <c r="JC31" s="70">
        <v>252.29</v>
      </c>
      <c r="JD31" s="70">
        <v>251.44</v>
      </c>
      <c r="JE31" s="70">
        <v>250.59</v>
      </c>
      <c r="JF31" s="70">
        <v>249.75</v>
      </c>
      <c r="JG31" s="70">
        <v>248.91</v>
      </c>
      <c r="JH31" s="70">
        <v>248.06</v>
      </c>
      <c r="JI31" s="70">
        <v>247.22</v>
      </c>
      <c r="JJ31" s="70">
        <v>246.38</v>
      </c>
      <c r="JK31" s="70">
        <v>245.54</v>
      </c>
      <c r="JL31" s="70">
        <v>244.7</v>
      </c>
      <c r="JM31" s="70">
        <v>243.87</v>
      </c>
      <c r="JN31" s="70">
        <v>243.03</v>
      </c>
      <c r="JO31" s="70">
        <v>242.19</v>
      </c>
      <c r="JP31" s="70">
        <v>241.36</v>
      </c>
      <c r="JQ31" s="70">
        <v>240.53</v>
      </c>
      <c r="JR31" s="70">
        <v>239.69</v>
      </c>
      <c r="JS31" s="70">
        <v>238.86</v>
      </c>
      <c r="JT31" s="70">
        <v>238.03</v>
      </c>
      <c r="JU31" s="70">
        <v>237.21</v>
      </c>
      <c r="JV31" s="70">
        <v>236.38</v>
      </c>
      <c r="JW31" s="70">
        <v>235.55</v>
      </c>
      <c r="JX31" s="70">
        <v>234.73</v>
      </c>
      <c r="JY31" s="70">
        <v>233.9</v>
      </c>
      <c r="JZ31" s="70">
        <v>233.08</v>
      </c>
      <c r="KA31" s="70">
        <v>232.26</v>
      </c>
      <c r="KB31" s="70">
        <v>231.44</v>
      </c>
      <c r="KC31" s="70">
        <v>230.61</v>
      </c>
      <c r="KD31" s="70">
        <v>229.8</v>
      </c>
      <c r="KE31" s="70">
        <v>228.98</v>
      </c>
      <c r="KF31" s="70">
        <v>228.16</v>
      </c>
      <c r="KG31" s="70">
        <v>227.34</v>
      </c>
      <c r="KH31" s="70">
        <v>226.53</v>
      </c>
      <c r="KI31" s="70">
        <v>225.71</v>
      </c>
      <c r="KJ31" s="70">
        <v>224.9</v>
      </c>
      <c r="KK31" s="70">
        <v>224.09</v>
      </c>
      <c r="KL31" s="70">
        <v>223.28</v>
      </c>
      <c r="KM31" s="70">
        <v>222.47</v>
      </c>
      <c r="KN31" s="70">
        <v>221.66</v>
      </c>
      <c r="KO31" s="70">
        <v>220.86</v>
      </c>
      <c r="KP31" s="70">
        <v>220.05</v>
      </c>
      <c r="KQ31" s="70">
        <v>219.25</v>
      </c>
      <c r="KR31" s="70">
        <v>218.13000000000022</v>
      </c>
      <c r="KS31" s="70">
        <v>217.38000000000022</v>
      </c>
      <c r="KT31" s="70">
        <v>216.63000000000022</v>
      </c>
      <c r="KU31" s="70">
        <v>215.88000000000022</v>
      </c>
      <c r="KV31" s="70">
        <v>215.13000000000022</v>
      </c>
      <c r="KW31" s="70">
        <v>214.38000000000022</v>
      </c>
      <c r="KX31" s="70">
        <v>213.63000000000022</v>
      </c>
      <c r="KY31" s="70">
        <v>212.88000000000022</v>
      </c>
      <c r="KZ31" s="70">
        <v>212.13000000000022</v>
      </c>
      <c r="LA31" s="70">
        <v>211.38000000000022</v>
      </c>
      <c r="LB31" s="70">
        <v>210.63000000000022</v>
      </c>
      <c r="LC31" s="70">
        <v>209.88000000000022</v>
      </c>
      <c r="LD31" s="70">
        <v>209.13000000000022</v>
      </c>
      <c r="LE31" s="70">
        <v>208.38000000000022</v>
      </c>
      <c r="LF31" s="70">
        <v>207.63000000000022</v>
      </c>
      <c r="LG31" s="70">
        <v>206.88000000000022</v>
      </c>
      <c r="LH31" s="70">
        <v>206.13000000000022</v>
      </c>
      <c r="LI31" s="70">
        <v>205.38000000000022</v>
      </c>
      <c r="LJ31" s="70">
        <v>204.63000000000022</v>
      </c>
      <c r="LK31" s="70">
        <v>203.88000000000022</v>
      </c>
      <c r="LL31" s="70">
        <v>203.13000000000022</v>
      </c>
      <c r="LM31" s="70">
        <v>202.38000000000022</v>
      </c>
      <c r="LN31" s="70">
        <v>201.63000000000022</v>
      </c>
      <c r="LO31" s="70">
        <v>200.88000000000022</v>
      </c>
      <c r="LP31" s="70">
        <v>200.13000000000022</v>
      </c>
      <c r="LQ31" s="70">
        <v>199.38000000000022</v>
      </c>
      <c r="LR31" s="70">
        <v>198.63000000000022</v>
      </c>
      <c r="LS31" s="70">
        <v>197.88000000000022</v>
      </c>
      <c r="LT31" s="70">
        <v>197.13000000000022</v>
      </c>
      <c r="LU31" s="70">
        <v>196.38000000000022</v>
      </c>
      <c r="LV31" s="70">
        <v>195.63000000000022</v>
      </c>
      <c r="LW31" s="70">
        <v>194.88000000000022</v>
      </c>
      <c r="LX31" s="70">
        <v>194.13000000000022</v>
      </c>
      <c r="LY31" s="70">
        <v>193.38000000000022</v>
      </c>
      <c r="LZ31" s="70">
        <v>192.63000000000022</v>
      </c>
      <c r="MA31" s="70">
        <v>191.88000000000022</v>
      </c>
      <c r="MB31" s="70">
        <v>191.13000000000022</v>
      </c>
      <c r="MC31" s="70">
        <v>190.38000000000022</v>
      </c>
      <c r="MD31" s="70">
        <v>189.63000000000022</v>
      </c>
      <c r="ME31" s="70">
        <v>188.88000000000022</v>
      </c>
      <c r="MF31" s="70">
        <v>188.13000000000022</v>
      </c>
      <c r="MG31" s="70">
        <v>187.38000000000022</v>
      </c>
      <c r="MH31" s="70">
        <v>186.63000000000022</v>
      </c>
      <c r="MI31" s="70">
        <v>185.88000000000022</v>
      </c>
      <c r="MJ31" s="70">
        <v>185.13000000000022</v>
      </c>
      <c r="MK31" s="70">
        <v>184.38000000000022</v>
      </c>
      <c r="ML31" s="70">
        <v>183.63000000000022</v>
      </c>
      <c r="MM31" s="70">
        <v>182.88000000000022</v>
      </c>
      <c r="MN31" s="70">
        <v>182.13000000000022</v>
      </c>
      <c r="MO31" s="70">
        <v>181.38000000000022</v>
      </c>
      <c r="MP31" s="70">
        <v>180.63000000000022</v>
      </c>
      <c r="MQ31" s="70">
        <v>179.88000000000022</v>
      </c>
      <c r="MR31" s="70">
        <v>179.13000000000022</v>
      </c>
      <c r="MS31" s="70">
        <v>178.38000000000022</v>
      </c>
      <c r="MT31" s="70">
        <v>177.63000000000022</v>
      </c>
      <c r="MU31" s="70">
        <v>176.88000000000022</v>
      </c>
      <c r="MV31" s="70">
        <v>176.13000000000022</v>
      </c>
      <c r="MW31" s="70">
        <v>175.38000000000022</v>
      </c>
      <c r="MX31" s="70">
        <v>174.63000000000022</v>
      </c>
      <c r="MY31" s="70">
        <v>173.88000000000022</v>
      </c>
    </row>
    <row r="32" spans="1:363" ht="15.6" x14ac:dyDescent="0.3">
      <c r="A32" s="67" t="s">
        <v>7</v>
      </c>
      <c r="B32" s="72">
        <v>2042</v>
      </c>
      <c r="C32" s="70">
        <v>503.71</v>
      </c>
      <c r="D32" s="70">
        <v>502.69</v>
      </c>
      <c r="E32" s="70">
        <v>501.66</v>
      </c>
      <c r="F32" s="70">
        <v>500.64</v>
      </c>
      <c r="G32" s="70">
        <v>499.62</v>
      </c>
      <c r="H32" s="70">
        <v>498.59</v>
      </c>
      <c r="I32" s="70">
        <v>497.57</v>
      </c>
      <c r="J32" s="70">
        <v>496.55</v>
      </c>
      <c r="K32" s="70">
        <v>495.52</v>
      </c>
      <c r="L32" s="70">
        <v>494.5</v>
      </c>
      <c r="M32" s="70">
        <v>493.48</v>
      </c>
      <c r="N32" s="70">
        <v>492.45</v>
      </c>
      <c r="O32" s="70">
        <v>491.43</v>
      </c>
      <c r="P32" s="70">
        <v>490.41</v>
      </c>
      <c r="Q32" s="70">
        <v>489.39</v>
      </c>
      <c r="R32" s="70">
        <v>488.36</v>
      </c>
      <c r="S32" s="70">
        <v>487.34</v>
      </c>
      <c r="T32" s="70">
        <v>486.32</v>
      </c>
      <c r="U32" s="70">
        <v>485.29</v>
      </c>
      <c r="V32" s="70">
        <v>484.27</v>
      </c>
      <c r="W32" s="70">
        <v>483.25</v>
      </c>
      <c r="X32" s="70">
        <v>482.23</v>
      </c>
      <c r="Y32" s="70">
        <v>481.2</v>
      </c>
      <c r="Z32" s="70">
        <v>480.18</v>
      </c>
      <c r="AA32" s="70">
        <v>479.16</v>
      </c>
      <c r="AB32" s="70">
        <v>478.14</v>
      </c>
      <c r="AC32" s="70">
        <v>477.12</v>
      </c>
      <c r="AD32" s="70">
        <v>476.09</v>
      </c>
      <c r="AE32" s="70">
        <v>475.07</v>
      </c>
      <c r="AF32" s="70">
        <v>474.05</v>
      </c>
      <c r="AG32" s="70">
        <v>473.03</v>
      </c>
      <c r="AH32" s="70">
        <v>472.01</v>
      </c>
      <c r="AI32" s="70">
        <v>470.98</v>
      </c>
      <c r="AJ32" s="70">
        <v>469.96</v>
      </c>
      <c r="AK32" s="70">
        <v>468.94</v>
      </c>
      <c r="AL32" s="70">
        <v>467.92</v>
      </c>
      <c r="AM32" s="70">
        <v>466.9</v>
      </c>
      <c r="AN32" s="70">
        <v>465.88</v>
      </c>
      <c r="AO32" s="70">
        <v>464.86</v>
      </c>
      <c r="AP32" s="70">
        <v>463.83</v>
      </c>
      <c r="AQ32" s="70">
        <v>462.81</v>
      </c>
      <c r="AR32" s="70">
        <v>461.79</v>
      </c>
      <c r="AS32" s="70">
        <v>460.77</v>
      </c>
      <c r="AT32" s="70">
        <v>459.75</v>
      </c>
      <c r="AU32" s="70">
        <v>458.73</v>
      </c>
      <c r="AV32" s="70">
        <v>457.71</v>
      </c>
      <c r="AW32" s="70">
        <v>456.69</v>
      </c>
      <c r="AX32" s="70">
        <v>455.67</v>
      </c>
      <c r="AY32" s="70">
        <v>454.65</v>
      </c>
      <c r="AZ32" s="70">
        <v>453.63</v>
      </c>
      <c r="BA32" s="70">
        <v>452.61</v>
      </c>
      <c r="BB32" s="70">
        <v>451.59</v>
      </c>
      <c r="BC32" s="70">
        <v>450.58</v>
      </c>
      <c r="BD32" s="70">
        <v>449.56</v>
      </c>
      <c r="BE32" s="70">
        <v>448.54</v>
      </c>
      <c r="BF32" s="70">
        <v>447.52</v>
      </c>
      <c r="BG32" s="70">
        <v>446.5</v>
      </c>
      <c r="BH32" s="70">
        <v>445.48</v>
      </c>
      <c r="BI32" s="70">
        <v>444.46</v>
      </c>
      <c r="BJ32" s="70">
        <v>443.45</v>
      </c>
      <c r="BK32" s="70">
        <v>442.43</v>
      </c>
      <c r="BL32" s="70">
        <v>441.41</v>
      </c>
      <c r="BM32" s="70">
        <v>440.39</v>
      </c>
      <c r="BN32" s="70">
        <v>439.38</v>
      </c>
      <c r="BO32" s="70">
        <v>438.36</v>
      </c>
      <c r="BP32" s="70">
        <v>437.35</v>
      </c>
      <c r="BQ32" s="70">
        <v>436.33</v>
      </c>
      <c r="BR32" s="70">
        <v>435.32</v>
      </c>
      <c r="BS32" s="70">
        <v>434.3</v>
      </c>
      <c r="BT32" s="70">
        <v>433.28</v>
      </c>
      <c r="BU32" s="70">
        <v>432.27</v>
      </c>
      <c r="BV32" s="70">
        <v>431.25</v>
      </c>
      <c r="BW32" s="70">
        <v>430.24</v>
      </c>
      <c r="BX32" s="70">
        <v>429.23</v>
      </c>
      <c r="BY32" s="70">
        <v>428.21</v>
      </c>
      <c r="BZ32" s="70">
        <v>427.2</v>
      </c>
      <c r="CA32" s="70">
        <v>426.19</v>
      </c>
      <c r="CB32" s="70">
        <v>425.18</v>
      </c>
      <c r="CC32" s="70">
        <v>424.17</v>
      </c>
      <c r="CD32" s="70">
        <v>423.15</v>
      </c>
      <c r="CE32" s="70">
        <v>422.14</v>
      </c>
      <c r="CF32" s="70">
        <v>421.13</v>
      </c>
      <c r="CG32" s="70">
        <v>420.12</v>
      </c>
      <c r="CH32" s="70">
        <v>419.11</v>
      </c>
      <c r="CI32" s="70">
        <v>418.1</v>
      </c>
      <c r="CJ32" s="70">
        <v>417.09</v>
      </c>
      <c r="CK32" s="70">
        <v>416.08</v>
      </c>
      <c r="CL32" s="70">
        <v>415.08</v>
      </c>
      <c r="CM32" s="70">
        <v>414.07</v>
      </c>
      <c r="CN32" s="70">
        <v>413.06</v>
      </c>
      <c r="CO32" s="70">
        <v>412.06</v>
      </c>
      <c r="CP32" s="70">
        <v>411.05</v>
      </c>
      <c r="CQ32" s="70">
        <v>410.05</v>
      </c>
      <c r="CR32" s="70">
        <v>409.04</v>
      </c>
      <c r="CS32" s="70">
        <v>408.03</v>
      </c>
      <c r="CT32" s="70">
        <v>407.03</v>
      </c>
      <c r="CU32" s="70">
        <v>406.02</v>
      </c>
      <c r="CV32" s="70">
        <v>405.02</v>
      </c>
      <c r="CW32" s="70">
        <v>404.02</v>
      </c>
      <c r="CX32" s="70">
        <v>403.02</v>
      </c>
      <c r="CY32" s="70">
        <v>402.02</v>
      </c>
      <c r="CZ32" s="70">
        <v>401.02</v>
      </c>
      <c r="DA32" s="70">
        <v>400.02</v>
      </c>
      <c r="DB32" s="70">
        <v>399.02</v>
      </c>
      <c r="DC32" s="70">
        <v>398.02</v>
      </c>
      <c r="DD32" s="70">
        <v>397.02</v>
      </c>
      <c r="DE32" s="70">
        <v>396.02</v>
      </c>
      <c r="DF32" s="70">
        <v>395.02</v>
      </c>
      <c r="DG32" s="70">
        <v>394.02</v>
      </c>
      <c r="DH32" s="70">
        <v>393.03</v>
      </c>
      <c r="DI32" s="70">
        <v>392.04</v>
      </c>
      <c r="DJ32" s="70">
        <v>391.04</v>
      </c>
      <c r="DK32" s="70">
        <v>390.05</v>
      </c>
      <c r="DL32" s="70">
        <v>389.06</v>
      </c>
      <c r="DM32" s="70">
        <v>388.06</v>
      </c>
      <c r="DN32" s="70">
        <v>387.07</v>
      </c>
      <c r="DO32" s="70">
        <v>386.08</v>
      </c>
      <c r="DP32" s="70">
        <v>385.09</v>
      </c>
      <c r="DQ32" s="70">
        <v>384.1</v>
      </c>
      <c r="DR32" s="70">
        <v>383.1</v>
      </c>
      <c r="DS32" s="70">
        <v>382.11</v>
      </c>
      <c r="DT32" s="70">
        <v>381.13</v>
      </c>
      <c r="DU32" s="70">
        <v>380.14</v>
      </c>
      <c r="DV32" s="70">
        <v>379.16</v>
      </c>
      <c r="DW32" s="70">
        <v>378.18</v>
      </c>
      <c r="DX32" s="70">
        <v>377.19</v>
      </c>
      <c r="DY32" s="70">
        <v>376.21</v>
      </c>
      <c r="DZ32" s="70">
        <v>375.23</v>
      </c>
      <c r="EA32" s="70">
        <v>374.24</v>
      </c>
      <c r="EB32" s="70">
        <v>373.26</v>
      </c>
      <c r="EC32" s="70">
        <v>372.28</v>
      </c>
      <c r="ED32" s="70">
        <v>371.3</v>
      </c>
      <c r="EE32" s="70">
        <v>370.32</v>
      </c>
      <c r="EF32" s="70">
        <v>369.35</v>
      </c>
      <c r="EG32" s="70">
        <v>368.38</v>
      </c>
      <c r="EH32" s="70">
        <v>367.4</v>
      </c>
      <c r="EI32" s="70">
        <v>366.43</v>
      </c>
      <c r="EJ32" s="70">
        <v>365.46</v>
      </c>
      <c r="EK32" s="70">
        <v>364.49</v>
      </c>
      <c r="EL32" s="70">
        <v>363.52</v>
      </c>
      <c r="EM32" s="70">
        <v>362.55</v>
      </c>
      <c r="EN32" s="70">
        <v>361.58</v>
      </c>
      <c r="EO32" s="70">
        <v>360.61</v>
      </c>
      <c r="EP32" s="70">
        <v>359.64</v>
      </c>
      <c r="EQ32" s="70">
        <v>358.68</v>
      </c>
      <c r="ER32" s="70">
        <v>357.71</v>
      </c>
      <c r="ES32" s="70">
        <v>356.75</v>
      </c>
      <c r="ET32" s="70">
        <v>355.79</v>
      </c>
      <c r="EU32" s="70">
        <v>354.83</v>
      </c>
      <c r="EV32" s="70">
        <v>353.87</v>
      </c>
      <c r="EW32" s="70">
        <v>352.91</v>
      </c>
      <c r="EX32" s="70">
        <v>351.95</v>
      </c>
      <c r="EY32" s="70">
        <v>350.99</v>
      </c>
      <c r="EZ32" s="70">
        <v>350.03</v>
      </c>
      <c r="FA32" s="70">
        <v>349.07</v>
      </c>
      <c r="FB32" s="70">
        <v>348.11</v>
      </c>
      <c r="FC32" s="70">
        <v>347.16</v>
      </c>
      <c r="FD32" s="70">
        <v>346.2</v>
      </c>
      <c r="FE32" s="70">
        <v>345.24</v>
      </c>
      <c r="FF32" s="70">
        <v>344.29</v>
      </c>
      <c r="FG32" s="70">
        <v>343.34</v>
      </c>
      <c r="FH32" s="70">
        <v>342.38</v>
      </c>
      <c r="FI32" s="70">
        <v>341.43</v>
      </c>
      <c r="FJ32" s="70">
        <v>340.48</v>
      </c>
      <c r="FK32" s="70">
        <v>339.53</v>
      </c>
      <c r="FL32" s="70">
        <v>338.58</v>
      </c>
      <c r="FM32" s="70">
        <v>337.63</v>
      </c>
      <c r="FN32" s="70">
        <v>336.68</v>
      </c>
      <c r="FO32" s="70">
        <v>335.73</v>
      </c>
      <c r="FP32" s="70">
        <v>334.78</v>
      </c>
      <c r="FQ32" s="70">
        <v>333.83</v>
      </c>
      <c r="FR32" s="70">
        <v>332.89</v>
      </c>
      <c r="FS32" s="70">
        <v>331.94</v>
      </c>
      <c r="FT32" s="70">
        <v>331</v>
      </c>
      <c r="FU32" s="70">
        <v>330.05</v>
      </c>
      <c r="FV32" s="70">
        <v>329.11</v>
      </c>
      <c r="FW32" s="70">
        <v>328.17</v>
      </c>
      <c r="FX32" s="70">
        <v>327.23</v>
      </c>
      <c r="FY32" s="70">
        <v>326.29000000000002</v>
      </c>
      <c r="FZ32" s="70">
        <v>325.35000000000002</v>
      </c>
      <c r="GA32" s="70">
        <v>324.41000000000003</v>
      </c>
      <c r="GB32" s="70">
        <v>323.47000000000003</v>
      </c>
      <c r="GC32" s="70">
        <v>322.52999999999997</v>
      </c>
      <c r="GD32" s="70">
        <v>321.58999999999997</v>
      </c>
      <c r="GE32" s="70">
        <v>320.66000000000003</v>
      </c>
      <c r="GF32" s="70">
        <v>319.72000000000003</v>
      </c>
      <c r="GG32" s="70">
        <v>318.79000000000002</v>
      </c>
      <c r="GH32" s="70">
        <v>317.85000000000002</v>
      </c>
      <c r="GI32" s="70">
        <v>316.93</v>
      </c>
      <c r="GJ32" s="70">
        <v>315.99</v>
      </c>
      <c r="GK32" s="70">
        <v>315.06</v>
      </c>
      <c r="GL32" s="70">
        <v>314.13</v>
      </c>
      <c r="GM32" s="70">
        <v>313.20999999999998</v>
      </c>
      <c r="GN32" s="70">
        <v>312.27999999999997</v>
      </c>
      <c r="GO32" s="70">
        <v>311.35000000000002</v>
      </c>
      <c r="GP32" s="70">
        <v>310.43</v>
      </c>
      <c r="GQ32" s="70">
        <v>309.51</v>
      </c>
      <c r="GR32" s="70">
        <v>308.57</v>
      </c>
      <c r="GS32" s="70">
        <v>307.66000000000003</v>
      </c>
      <c r="GT32" s="70">
        <v>306.74</v>
      </c>
      <c r="GU32" s="70">
        <v>305.82</v>
      </c>
      <c r="GV32" s="70">
        <v>304.91000000000003</v>
      </c>
      <c r="GW32" s="70">
        <v>303.99</v>
      </c>
      <c r="GX32" s="70">
        <v>303.07</v>
      </c>
      <c r="GY32" s="70">
        <v>302.16000000000003</v>
      </c>
      <c r="GZ32" s="70">
        <v>301.24</v>
      </c>
      <c r="HA32" s="70">
        <v>300.32</v>
      </c>
      <c r="HB32" s="70">
        <v>299.42</v>
      </c>
      <c r="HC32" s="70">
        <v>298.51</v>
      </c>
      <c r="HD32" s="70">
        <v>297.60000000000002</v>
      </c>
      <c r="HE32" s="70">
        <v>296.69</v>
      </c>
      <c r="HF32" s="70">
        <v>295.77999999999997</v>
      </c>
      <c r="HG32" s="70">
        <v>294.87</v>
      </c>
      <c r="HH32" s="70">
        <v>293.97000000000003</v>
      </c>
      <c r="HI32" s="70">
        <v>293.07</v>
      </c>
      <c r="HJ32" s="70">
        <v>292.16000000000003</v>
      </c>
      <c r="HK32" s="70">
        <v>291.26</v>
      </c>
      <c r="HL32" s="70">
        <v>290.35000000000002</v>
      </c>
      <c r="HM32" s="70">
        <v>289.45999999999998</v>
      </c>
      <c r="HN32" s="70">
        <v>288.57</v>
      </c>
      <c r="HO32" s="70">
        <v>287.67</v>
      </c>
      <c r="HP32" s="70">
        <v>286.77999999999997</v>
      </c>
      <c r="HQ32" s="70">
        <v>285.88</v>
      </c>
      <c r="HR32" s="70">
        <v>284.99</v>
      </c>
      <c r="HS32" s="70">
        <v>284.10000000000002</v>
      </c>
      <c r="HT32" s="70">
        <v>283.20999999999998</v>
      </c>
      <c r="HU32" s="70">
        <v>282.32</v>
      </c>
      <c r="HV32" s="70">
        <v>281.43</v>
      </c>
      <c r="HW32" s="70">
        <v>280.54000000000002</v>
      </c>
      <c r="HX32" s="70">
        <v>279.66000000000003</v>
      </c>
      <c r="HY32" s="70">
        <v>278.76</v>
      </c>
      <c r="HZ32" s="70">
        <v>277.89</v>
      </c>
      <c r="IA32" s="70">
        <v>277.01</v>
      </c>
      <c r="IB32" s="70">
        <v>276.13</v>
      </c>
      <c r="IC32" s="70">
        <v>275.25</v>
      </c>
      <c r="ID32" s="70">
        <v>274.37</v>
      </c>
      <c r="IE32" s="70">
        <v>273.49</v>
      </c>
      <c r="IF32" s="70">
        <v>272.60000000000002</v>
      </c>
      <c r="IG32" s="70">
        <v>271.73</v>
      </c>
      <c r="IH32" s="70">
        <v>270.85000000000002</v>
      </c>
      <c r="II32" s="70">
        <v>269.98</v>
      </c>
      <c r="IJ32" s="70">
        <v>269.10000000000002</v>
      </c>
      <c r="IK32" s="70">
        <v>268.24</v>
      </c>
      <c r="IL32" s="70">
        <v>267.37</v>
      </c>
      <c r="IM32" s="70">
        <v>266.5</v>
      </c>
      <c r="IN32" s="70">
        <v>265.63</v>
      </c>
      <c r="IO32" s="70">
        <v>264.76</v>
      </c>
      <c r="IP32" s="70">
        <v>263.89999999999998</v>
      </c>
      <c r="IQ32" s="70">
        <v>263.04000000000002</v>
      </c>
      <c r="IR32" s="70">
        <v>262.17</v>
      </c>
      <c r="IS32" s="70">
        <v>261.31</v>
      </c>
      <c r="IT32" s="70">
        <v>260.45</v>
      </c>
      <c r="IU32" s="70">
        <v>259.58999999999997</v>
      </c>
      <c r="IV32" s="70">
        <v>258.74</v>
      </c>
      <c r="IW32" s="70">
        <v>257.88</v>
      </c>
      <c r="IX32" s="70">
        <v>257.02999999999997</v>
      </c>
      <c r="IY32" s="70">
        <v>256.17</v>
      </c>
      <c r="IZ32" s="70">
        <v>255.32</v>
      </c>
      <c r="JA32" s="70">
        <v>254.47</v>
      </c>
      <c r="JB32" s="70">
        <v>253.62</v>
      </c>
      <c r="JC32" s="70">
        <v>252.77</v>
      </c>
      <c r="JD32" s="70">
        <v>251.92</v>
      </c>
      <c r="JE32" s="70">
        <v>251.08</v>
      </c>
      <c r="JF32" s="70">
        <v>250.23</v>
      </c>
      <c r="JG32" s="70">
        <v>249.39</v>
      </c>
      <c r="JH32" s="70">
        <v>248.54</v>
      </c>
      <c r="JI32" s="70">
        <v>247.7</v>
      </c>
      <c r="JJ32" s="70">
        <v>246.86</v>
      </c>
      <c r="JK32" s="70">
        <v>246.02</v>
      </c>
      <c r="JL32" s="70">
        <v>245.18</v>
      </c>
      <c r="JM32" s="70">
        <v>244.34</v>
      </c>
      <c r="JN32" s="70">
        <v>243.51</v>
      </c>
      <c r="JO32" s="70">
        <v>242.67</v>
      </c>
      <c r="JP32" s="70">
        <v>241.84</v>
      </c>
      <c r="JQ32" s="70">
        <v>241</v>
      </c>
      <c r="JR32" s="70">
        <v>240.17</v>
      </c>
      <c r="JS32" s="70">
        <v>239.34</v>
      </c>
      <c r="JT32" s="70">
        <v>238.51</v>
      </c>
      <c r="JU32" s="70">
        <v>237.68</v>
      </c>
      <c r="JV32" s="70">
        <v>236.85</v>
      </c>
      <c r="JW32" s="70">
        <v>236.02</v>
      </c>
      <c r="JX32" s="70">
        <v>235.2</v>
      </c>
      <c r="JY32" s="70">
        <v>234.37</v>
      </c>
      <c r="JZ32" s="70">
        <v>233.55</v>
      </c>
      <c r="KA32" s="70">
        <v>232.73</v>
      </c>
      <c r="KB32" s="70">
        <v>231.9</v>
      </c>
      <c r="KC32" s="70">
        <v>231.08</v>
      </c>
      <c r="KD32" s="70">
        <v>230.26</v>
      </c>
      <c r="KE32" s="70">
        <v>229.44</v>
      </c>
      <c r="KF32" s="70">
        <v>228.63</v>
      </c>
      <c r="KG32" s="70">
        <v>227.81</v>
      </c>
      <c r="KH32" s="70">
        <v>226.99</v>
      </c>
      <c r="KI32" s="70">
        <v>226.18</v>
      </c>
      <c r="KJ32" s="70">
        <v>225.36</v>
      </c>
      <c r="KK32" s="70">
        <v>224.55</v>
      </c>
      <c r="KL32" s="70">
        <v>223.74</v>
      </c>
      <c r="KM32" s="70">
        <v>222.93</v>
      </c>
      <c r="KN32" s="70">
        <v>222.12</v>
      </c>
      <c r="KO32" s="70">
        <v>221.32</v>
      </c>
      <c r="KP32" s="70">
        <v>220.51</v>
      </c>
      <c r="KQ32" s="70">
        <v>219.71</v>
      </c>
      <c r="KR32" s="70">
        <v>218.59000000000023</v>
      </c>
      <c r="KS32" s="70">
        <v>217.84000000000023</v>
      </c>
      <c r="KT32" s="70">
        <v>217.09000000000023</v>
      </c>
      <c r="KU32" s="70">
        <v>216.34000000000023</v>
      </c>
      <c r="KV32" s="70">
        <v>215.59000000000023</v>
      </c>
      <c r="KW32" s="70">
        <v>214.84000000000023</v>
      </c>
      <c r="KX32" s="70">
        <v>214.09000000000023</v>
      </c>
      <c r="KY32" s="70">
        <v>213.34000000000023</v>
      </c>
      <c r="KZ32" s="70">
        <v>212.59000000000023</v>
      </c>
      <c r="LA32" s="70">
        <v>211.84000000000023</v>
      </c>
      <c r="LB32" s="70">
        <v>211.09000000000023</v>
      </c>
      <c r="LC32" s="70">
        <v>210.34000000000023</v>
      </c>
      <c r="LD32" s="70">
        <v>209.59000000000023</v>
      </c>
      <c r="LE32" s="70">
        <v>208.84000000000023</v>
      </c>
      <c r="LF32" s="70">
        <v>208.09000000000023</v>
      </c>
      <c r="LG32" s="70">
        <v>207.34000000000023</v>
      </c>
      <c r="LH32" s="70">
        <v>206.59000000000023</v>
      </c>
      <c r="LI32" s="70">
        <v>205.84000000000023</v>
      </c>
      <c r="LJ32" s="70">
        <v>205.09000000000023</v>
      </c>
      <c r="LK32" s="70">
        <v>204.34000000000023</v>
      </c>
      <c r="LL32" s="70">
        <v>203.59000000000023</v>
      </c>
      <c r="LM32" s="70">
        <v>202.84000000000023</v>
      </c>
      <c r="LN32" s="70">
        <v>202.09000000000023</v>
      </c>
      <c r="LO32" s="70">
        <v>201.34000000000023</v>
      </c>
      <c r="LP32" s="70">
        <v>200.59000000000023</v>
      </c>
      <c r="LQ32" s="70">
        <v>199.84000000000023</v>
      </c>
      <c r="LR32" s="70">
        <v>199.09000000000023</v>
      </c>
      <c r="LS32" s="70">
        <v>198.34000000000023</v>
      </c>
      <c r="LT32" s="70">
        <v>197.59000000000023</v>
      </c>
      <c r="LU32" s="70">
        <v>196.84000000000023</v>
      </c>
      <c r="LV32" s="70">
        <v>196.09000000000023</v>
      </c>
      <c r="LW32" s="70">
        <v>195.34000000000023</v>
      </c>
      <c r="LX32" s="70">
        <v>194.59000000000023</v>
      </c>
      <c r="LY32" s="70">
        <v>193.84000000000023</v>
      </c>
      <c r="LZ32" s="70">
        <v>193.09000000000023</v>
      </c>
      <c r="MA32" s="70">
        <v>192.34000000000023</v>
      </c>
      <c r="MB32" s="70">
        <v>191.59000000000023</v>
      </c>
      <c r="MC32" s="70">
        <v>190.84000000000023</v>
      </c>
      <c r="MD32" s="70">
        <v>190.09000000000023</v>
      </c>
      <c r="ME32" s="70">
        <v>189.34000000000023</v>
      </c>
      <c r="MF32" s="70">
        <v>188.59000000000023</v>
      </c>
      <c r="MG32" s="70">
        <v>187.84000000000023</v>
      </c>
      <c r="MH32" s="70">
        <v>187.09000000000023</v>
      </c>
      <c r="MI32" s="70">
        <v>186.34000000000023</v>
      </c>
      <c r="MJ32" s="70">
        <v>185.59000000000023</v>
      </c>
      <c r="MK32" s="70">
        <v>184.84000000000023</v>
      </c>
      <c r="ML32" s="70">
        <v>184.09000000000023</v>
      </c>
      <c r="MM32" s="70">
        <v>183.34000000000023</v>
      </c>
      <c r="MN32" s="70">
        <v>182.59000000000023</v>
      </c>
      <c r="MO32" s="70">
        <v>181.84000000000023</v>
      </c>
      <c r="MP32" s="70">
        <v>181.09000000000023</v>
      </c>
      <c r="MQ32" s="70">
        <v>180.34000000000023</v>
      </c>
      <c r="MR32" s="70">
        <v>179.59000000000023</v>
      </c>
      <c r="MS32" s="70">
        <v>178.84000000000023</v>
      </c>
      <c r="MT32" s="70">
        <v>178.09000000000023</v>
      </c>
      <c r="MU32" s="70">
        <v>177.34000000000023</v>
      </c>
      <c r="MV32" s="70">
        <v>176.59000000000023</v>
      </c>
      <c r="MW32" s="70">
        <v>175.84000000000023</v>
      </c>
      <c r="MX32" s="70">
        <v>175.09000000000023</v>
      </c>
      <c r="MY32" s="70">
        <v>174.34000000000023</v>
      </c>
    </row>
    <row r="33" spans="1:363" ht="15.6" x14ac:dyDescent="0.3">
      <c r="A33" s="67" t="s">
        <v>7</v>
      </c>
      <c r="B33" s="72">
        <v>2043</v>
      </c>
      <c r="C33" s="70">
        <v>504.28</v>
      </c>
      <c r="D33" s="70">
        <v>503.25</v>
      </c>
      <c r="E33" s="70">
        <v>502.23</v>
      </c>
      <c r="F33" s="70">
        <v>501.2</v>
      </c>
      <c r="G33" s="70">
        <v>500.18</v>
      </c>
      <c r="H33" s="70">
        <v>499.16</v>
      </c>
      <c r="I33" s="70">
        <v>498.13</v>
      </c>
      <c r="J33" s="70">
        <v>497.11</v>
      </c>
      <c r="K33" s="70">
        <v>496.09</v>
      </c>
      <c r="L33" s="70">
        <v>495.06</v>
      </c>
      <c r="M33" s="70">
        <v>494.04</v>
      </c>
      <c r="N33" s="70">
        <v>493.02</v>
      </c>
      <c r="O33" s="70">
        <v>491.99</v>
      </c>
      <c r="P33" s="70">
        <v>490.97</v>
      </c>
      <c r="Q33" s="70">
        <v>489.95</v>
      </c>
      <c r="R33" s="70">
        <v>488.92</v>
      </c>
      <c r="S33" s="70">
        <v>487.9</v>
      </c>
      <c r="T33" s="70">
        <v>486.88</v>
      </c>
      <c r="U33" s="70">
        <v>485.86</v>
      </c>
      <c r="V33" s="70">
        <v>484.83</v>
      </c>
      <c r="W33" s="70">
        <v>483.81</v>
      </c>
      <c r="X33" s="70">
        <v>482.79</v>
      </c>
      <c r="Y33" s="70">
        <v>481.77</v>
      </c>
      <c r="Z33" s="70">
        <v>480.74</v>
      </c>
      <c r="AA33" s="70">
        <v>479.72</v>
      </c>
      <c r="AB33" s="70">
        <v>478.7</v>
      </c>
      <c r="AC33" s="70">
        <v>477.68</v>
      </c>
      <c r="AD33" s="70">
        <v>476.65</v>
      </c>
      <c r="AE33" s="70">
        <v>475.63</v>
      </c>
      <c r="AF33" s="70">
        <v>474.61</v>
      </c>
      <c r="AG33" s="70">
        <v>473.59</v>
      </c>
      <c r="AH33" s="70">
        <v>472.56</v>
      </c>
      <c r="AI33" s="70">
        <v>471.54</v>
      </c>
      <c r="AJ33" s="70">
        <v>470.52</v>
      </c>
      <c r="AK33" s="70">
        <v>469.5</v>
      </c>
      <c r="AL33" s="70">
        <v>468.48</v>
      </c>
      <c r="AM33" s="70">
        <v>467.45</v>
      </c>
      <c r="AN33" s="70">
        <v>466.43</v>
      </c>
      <c r="AO33" s="70">
        <v>465.41</v>
      </c>
      <c r="AP33" s="70">
        <v>464.39</v>
      </c>
      <c r="AQ33" s="70">
        <v>463.37</v>
      </c>
      <c r="AR33" s="70">
        <v>462.35</v>
      </c>
      <c r="AS33" s="70">
        <v>461.33</v>
      </c>
      <c r="AT33" s="70">
        <v>460.31</v>
      </c>
      <c r="AU33" s="70">
        <v>459.29</v>
      </c>
      <c r="AV33" s="70">
        <v>458.27</v>
      </c>
      <c r="AW33" s="70">
        <v>457.25</v>
      </c>
      <c r="AX33" s="70">
        <v>456.23</v>
      </c>
      <c r="AY33" s="70">
        <v>455.2</v>
      </c>
      <c r="AZ33" s="70">
        <v>454.19</v>
      </c>
      <c r="BA33" s="70">
        <v>453.17</v>
      </c>
      <c r="BB33" s="70">
        <v>452.15</v>
      </c>
      <c r="BC33" s="70">
        <v>451.13</v>
      </c>
      <c r="BD33" s="70">
        <v>450.11</v>
      </c>
      <c r="BE33" s="70">
        <v>449.09</v>
      </c>
      <c r="BF33" s="70">
        <v>448.07</v>
      </c>
      <c r="BG33" s="70">
        <v>447.05</v>
      </c>
      <c r="BH33" s="70">
        <v>446.03</v>
      </c>
      <c r="BI33" s="70">
        <v>445.01</v>
      </c>
      <c r="BJ33" s="70">
        <v>444</v>
      </c>
      <c r="BK33" s="70">
        <v>442.98</v>
      </c>
      <c r="BL33" s="70">
        <v>441.96</v>
      </c>
      <c r="BM33" s="70">
        <v>440.94</v>
      </c>
      <c r="BN33" s="70">
        <v>439.93</v>
      </c>
      <c r="BO33" s="70">
        <v>438.91</v>
      </c>
      <c r="BP33" s="70">
        <v>437.89</v>
      </c>
      <c r="BQ33" s="70">
        <v>436.88</v>
      </c>
      <c r="BR33" s="70">
        <v>435.86</v>
      </c>
      <c r="BS33" s="70">
        <v>434.85</v>
      </c>
      <c r="BT33" s="70">
        <v>433.83</v>
      </c>
      <c r="BU33" s="70">
        <v>432.81</v>
      </c>
      <c r="BV33" s="70">
        <v>431.8</v>
      </c>
      <c r="BW33" s="70">
        <v>430.78</v>
      </c>
      <c r="BX33" s="70">
        <v>429.77</v>
      </c>
      <c r="BY33" s="70">
        <v>428.76</v>
      </c>
      <c r="BZ33" s="70">
        <v>427.75</v>
      </c>
      <c r="CA33" s="70">
        <v>426.73</v>
      </c>
      <c r="CB33" s="70">
        <v>425.72</v>
      </c>
      <c r="CC33" s="70">
        <v>424.71</v>
      </c>
      <c r="CD33" s="70">
        <v>423.7</v>
      </c>
      <c r="CE33" s="70">
        <v>422.68</v>
      </c>
      <c r="CF33" s="70">
        <v>421.67</v>
      </c>
      <c r="CG33" s="70">
        <v>420.66</v>
      </c>
      <c r="CH33" s="70">
        <v>419.65</v>
      </c>
      <c r="CI33" s="70">
        <v>418.64</v>
      </c>
      <c r="CJ33" s="70">
        <v>417.63</v>
      </c>
      <c r="CK33" s="70">
        <v>416.62</v>
      </c>
      <c r="CL33" s="70">
        <v>415.62</v>
      </c>
      <c r="CM33" s="70">
        <v>414.61</v>
      </c>
      <c r="CN33" s="70">
        <v>413.6</v>
      </c>
      <c r="CO33" s="70">
        <v>412.6</v>
      </c>
      <c r="CP33" s="70">
        <v>411.59</v>
      </c>
      <c r="CQ33" s="70">
        <v>410.58</v>
      </c>
      <c r="CR33" s="70">
        <v>409.58</v>
      </c>
      <c r="CS33" s="70">
        <v>408.57</v>
      </c>
      <c r="CT33" s="70">
        <v>407.56</v>
      </c>
      <c r="CU33" s="70">
        <v>406.56</v>
      </c>
      <c r="CV33" s="70">
        <v>405.56</v>
      </c>
      <c r="CW33" s="70">
        <v>404.56</v>
      </c>
      <c r="CX33" s="70">
        <v>403.55</v>
      </c>
      <c r="CY33" s="70">
        <v>402.55</v>
      </c>
      <c r="CZ33" s="70">
        <v>401.55</v>
      </c>
      <c r="DA33" s="70">
        <v>400.55</v>
      </c>
      <c r="DB33" s="70">
        <v>399.55</v>
      </c>
      <c r="DC33" s="70">
        <v>398.55</v>
      </c>
      <c r="DD33" s="70">
        <v>397.55</v>
      </c>
      <c r="DE33" s="70">
        <v>396.55</v>
      </c>
      <c r="DF33" s="70">
        <v>395.55</v>
      </c>
      <c r="DG33" s="70">
        <v>394.55</v>
      </c>
      <c r="DH33" s="70">
        <v>393.56</v>
      </c>
      <c r="DI33" s="70">
        <v>392.57</v>
      </c>
      <c r="DJ33" s="70">
        <v>391.57</v>
      </c>
      <c r="DK33" s="70">
        <v>390.58</v>
      </c>
      <c r="DL33" s="70">
        <v>389.59</v>
      </c>
      <c r="DM33" s="70">
        <v>388.59</v>
      </c>
      <c r="DN33" s="70">
        <v>387.6</v>
      </c>
      <c r="DO33" s="70">
        <v>386.61</v>
      </c>
      <c r="DP33" s="70">
        <v>385.62</v>
      </c>
      <c r="DQ33" s="70">
        <v>384.62</v>
      </c>
      <c r="DR33" s="70">
        <v>383.63</v>
      </c>
      <c r="DS33" s="70">
        <v>382.64</v>
      </c>
      <c r="DT33" s="70">
        <v>381.66</v>
      </c>
      <c r="DU33" s="70">
        <v>380.67</v>
      </c>
      <c r="DV33" s="70">
        <v>379.69</v>
      </c>
      <c r="DW33" s="70">
        <v>378.7</v>
      </c>
      <c r="DX33" s="70">
        <v>377.72</v>
      </c>
      <c r="DY33" s="70">
        <v>376.74</v>
      </c>
      <c r="DZ33" s="70">
        <v>375.75</v>
      </c>
      <c r="EA33" s="70">
        <v>374.77</v>
      </c>
      <c r="EB33" s="70">
        <v>373.79</v>
      </c>
      <c r="EC33" s="70">
        <v>372.81</v>
      </c>
      <c r="ED33" s="70">
        <v>371.83</v>
      </c>
      <c r="EE33" s="70">
        <v>370.84</v>
      </c>
      <c r="EF33" s="70">
        <v>369.87</v>
      </c>
      <c r="EG33" s="70">
        <v>368.9</v>
      </c>
      <c r="EH33" s="70">
        <v>367.93</v>
      </c>
      <c r="EI33" s="70">
        <v>366.95</v>
      </c>
      <c r="EJ33" s="70">
        <v>365.98</v>
      </c>
      <c r="EK33" s="70">
        <v>365.01</v>
      </c>
      <c r="EL33" s="70">
        <v>364.04</v>
      </c>
      <c r="EM33" s="70">
        <v>363.07</v>
      </c>
      <c r="EN33" s="70">
        <v>362.1</v>
      </c>
      <c r="EO33" s="70">
        <v>361.13</v>
      </c>
      <c r="EP33" s="70">
        <v>360.17</v>
      </c>
      <c r="EQ33" s="70">
        <v>359.2</v>
      </c>
      <c r="ER33" s="70">
        <v>358.23</v>
      </c>
      <c r="ES33" s="70">
        <v>357.27</v>
      </c>
      <c r="ET33" s="70">
        <v>356.31</v>
      </c>
      <c r="EU33" s="70">
        <v>355.35</v>
      </c>
      <c r="EV33" s="70">
        <v>354.39</v>
      </c>
      <c r="EW33" s="70">
        <v>353.43</v>
      </c>
      <c r="EX33" s="70">
        <v>352.47</v>
      </c>
      <c r="EY33" s="70">
        <v>351.51</v>
      </c>
      <c r="EZ33" s="70">
        <v>350.55</v>
      </c>
      <c r="FA33" s="70">
        <v>349.59</v>
      </c>
      <c r="FB33" s="70">
        <v>348.63</v>
      </c>
      <c r="FC33" s="70">
        <v>347.67</v>
      </c>
      <c r="FD33" s="70">
        <v>346.72</v>
      </c>
      <c r="FE33" s="70">
        <v>345.76</v>
      </c>
      <c r="FF33" s="70">
        <v>344.81</v>
      </c>
      <c r="FG33" s="70">
        <v>343.85</v>
      </c>
      <c r="FH33" s="70">
        <v>342.9</v>
      </c>
      <c r="FI33" s="70">
        <v>341.95</v>
      </c>
      <c r="FJ33" s="70">
        <v>340.99</v>
      </c>
      <c r="FK33" s="70">
        <v>340.04</v>
      </c>
      <c r="FL33" s="70">
        <v>339.09</v>
      </c>
      <c r="FM33" s="70">
        <v>338.14</v>
      </c>
      <c r="FN33" s="70">
        <v>337.19</v>
      </c>
      <c r="FO33" s="70">
        <v>336.24</v>
      </c>
      <c r="FP33" s="70">
        <v>335.3</v>
      </c>
      <c r="FQ33" s="70">
        <v>334.35</v>
      </c>
      <c r="FR33" s="70">
        <v>333.4</v>
      </c>
      <c r="FS33" s="70">
        <v>332.46</v>
      </c>
      <c r="FT33" s="70">
        <v>331.51</v>
      </c>
      <c r="FU33" s="70">
        <v>330.57</v>
      </c>
      <c r="FV33" s="70">
        <v>329.62</v>
      </c>
      <c r="FW33" s="70">
        <v>328.68</v>
      </c>
      <c r="FX33" s="70">
        <v>327.74</v>
      </c>
      <c r="FY33" s="70">
        <v>326.79000000000002</v>
      </c>
      <c r="FZ33" s="70">
        <v>325.85000000000002</v>
      </c>
      <c r="GA33" s="70">
        <v>324.92</v>
      </c>
      <c r="GB33" s="70">
        <v>323.98</v>
      </c>
      <c r="GC33" s="70">
        <v>323.04000000000002</v>
      </c>
      <c r="GD33" s="70">
        <v>322.10000000000002</v>
      </c>
      <c r="GE33" s="70">
        <v>321.17</v>
      </c>
      <c r="GF33" s="70">
        <v>320.24</v>
      </c>
      <c r="GG33" s="70">
        <v>319.29000000000002</v>
      </c>
      <c r="GH33" s="70">
        <v>318.37</v>
      </c>
      <c r="GI33" s="70">
        <v>317.44</v>
      </c>
      <c r="GJ33" s="70">
        <v>316.5</v>
      </c>
      <c r="GK33" s="70">
        <v>315.57</v>
      </c>
      <c r="GL33" s="70">
        <v>314.64</v>
      </c>
      <c r="GM33" s="70">
        <v>313.72000000000003</v>
      </c>
      <c r="GN33" s="70">
        <v>312.79000000000002</v>
      </c>
      <c r="GO33" s="70">
        <v>311.85000000000002</v>
      </c>
      <c r="GP33" s="70">
        <v>310.94</v>
      </c>
      <c r="GQ33" s="70">
        <v>310.01</v>
      </c>
      <c r="GR33" s="70">
        <v>309.08999999999997</v>
      </c>
      <c r="GS33" s="70">
        <v>308.17</v>
      </c>
      <c r="GT33" s="70">
        <v>307.25</v>
      </c>
      <c r="GU33" s="70">
        <v>306.32</v>
      </c>
      <c r="GV33" s="70">
        <v>305.41000000000003</v>
      </c>
      <c r="GW33" s="70">
        <v>304.49</v>
      </c>
      <c r="GX33" s="70">
        <v>303.57</v>
      </c>
      <c r="GY33" s="70">
        <v>302.66000000000003</v>
      </c>
      <c r="GZ33" s="70">
        <v>301.75</v>
      </c>
      <c r="HA33" s="70">
        <v>300.82</v>
      </c>
      <c r="HB33" s="70">
        <v>299.92</v>
      </c>
      <c r="HC33" s="70">
        <v>299.01</v>
      </c>
      <c r="HD33" s="70">
        <v>298.10000000000002</v>
      </c>
      <c r="HE33" s="70">
        <v>297.19</v>
      </c>
      <c r="HF33" s="70">
        <v>296.27999999999997</v>
      </c>
      <c r="HG33" s="70">
        <v>295.38</v>
      </c>
      <c r="HH33" s="70">
        <v>294.47000000000003</v>
      </c>
      <c r="HI33" s="70">
        <v>293.57</v>
      </c>
      <c r="HJ33" s="70">
        <v>292.66000000000003</v>
      </c>
      <c r="HK33" s="70">
        <v>291.76</v>
      </c>
      <c r="HL33" s="70">
        <v>290.85000000000002</v>
      </c>
      <c r="HM33" s="70">
        <v>289.95999999999998</v>
      </c>
      <c r="HN33" s="70">
        <v>289.07</v>
      </c>
      <c r="HO33" s="70">
        <v>288.17</v>
      </c>
      <c r="HP33" s="70">
        <v>287.26</v>
      </c>
      <c r="HQ33" s="70">
        <v>286.38</v>
      </c>
      <c r="HR33" s="70">
        <v>285.49</v>
      </c>
      <c r="HS33" s="70">
        <v>284.60000000000002</v>
      </c>
      <c r="HT33" s="70">
        <v>283.70999999999998</v>
      </c>
      <c r="HU33" s="70">
        <v>282.82</v>
      </c>
      <c r="HV33" s="70">
        <v>281.93</v>
      </c>
      <c r="HW33" s="70">
        <v>281.04000000000002</v>
      </c>
      <c r="HX33" s="70">
        <v>280.14999999999998</v>
      </c>
      <c r="HY33" s="70">
        <v>279.26</v>
      </c>
      <c r="HZ33" s="70">
        <v>278.39</v>
      </c>
      <c r="IA33" s="70">
        <v>277.5</v>
      </c>
      <c r="IB33" s="70">
        <v>276.62</v>
      </c>
      <c r="IC33" s="70">
        <v>275.74</v>
      </c>
      <c r="ID33" s="70">
        <v>274.85000000000002</v>
      </c>
      <c r="IE33" s="70">
        <v>273.98</v>
      </c>
      <c r="IF33" s="70">
        <v>273.10000000000002</v>
      </c>
      <c r="IG33" s="70">
        <v>272.23</v>
      </c>
      <c r="IH33" s="70">
        <v>271.35000000000002</v>
      </c>
      <c r="II33" s="70">
        <v>270.48</v>
      </c>
      <c r="IJ33" s="70">
        <v>269.60000000000002</v>
      </c>
      <c r="IK33" s="70">
        <v>268.73</v>
      </c>
      <c r="IL33" s="70">
        <v>267.85000000000002</v>
      </c>
      <c r="IM33" s="70">
        <v>266.99</v>
      </c>
      <c r="IN33" s="70">
        <v>266.12</v>
      </c>
      <c r="IO33" s="70">
        <v>265.26</v>
      </c>
      <c r="IP33" s="70">
        <v>264.39</v>
      </c>
      <c r="IQ33" s="70">
        <v>263.51</v>
      </c>
      <c r="IR33" s="70">
        <v>262.66000000000003</v>
      </c>
      <c r="IS33" s="70">
        <v>261.79000000000002</v>
      </c>
      <c r="IT33" s="70">
        <v>260.94</v>
      </c>
      <c r="IU33" s="70">
        <v>260.07</v>
      </c>
      <c r="IV33" s="70">
        <v>259.22000000000003</v>
      </c>
      <c r="IW33" s="70">
        <v>258.35000000000002</v>
      </c>
      <c r="IX33" s="70">
        <v>257.51</v>
      </c>
      <c r="IY33" s="70">
        <v>256.64999999999998</v>
      </c>
      <c r="IZ33" s="70">
        <v>255.8</v>
      </c>
      <c r="JA33" s="70">
        <v>254.95</v>
      </c>
      <c r="JB33" s="70">
        <v>254.1</v>
      </c>
      <c r="JC33" s="70">
        <v>253.25</v>
      </c>
      <c r="JD33" s="70">
        <v>252.4</v>
      </c>
      <c r="JE33" s="70">
        <v>251.56</v>
      </c>
      <c r="JF33" s="70">
        <v>250.71</v>
      </c>
      <c r="JG33" s="70">
        <v>249.86</v>
      </c>
      <c r="JH33" s="70">
        <v>249.02</v>
      </c>
      <c r="JI33" s="70">
        <v>248.18</v>
      </c>
      <c r="JJ33" s="70">
        <v>247.34</v>
      </c>
      <c r="JK33" s="70">
        <v>246.5</v>
      </c>
      <c r="JL33" s="70">
        <v>245.66</v>
      </c>
      <c r="JM33" s="70">
        <v>244.82</v>
      </c>
      <c r="JN33" s="70">
        <v>243.98</v>
      </c>
      <c r="JO33" s="70">
        <v>243.15</v>
      </c>
      <c r="JP33" s="70">
        <v>242.31</v>
      </c>
      <c r="JQ33" s="70">
        <v>241.48</v>
      </c>
      <c r="JR33" s="70">
        <v>240.64</v>
      </c>
      <c r="JS33" s="70">
        <v>239.81</v>
      </c>
      <c r="JT33" s="70">
        <v>238.98</v>
      </c>
      <c r="JU33" s="70">
        <v>238.15</v>
      </c>
      <c r="JV33" s="70">
        <v>237.32</v>
      </c>
      <c r="JW33" s="70">
        <v>236.49</v>
      </c>
      <c r="JX33" s="70">
        <v>235.67</v>
      </c>
      <c r="JY33" s="70">
        <v>234.84</v>
      </c>
      <c r="JZ33" s="70">
        <v>234.02</v>
      </c>
      <c r="KA33" s="70">
        <v>233.19</v>
      </c>
      <c r="KB33" s="70">
        <v>232.37</v>
      </c>
      <c r="KC33" s="70">
        <v>231.55</v>
      </c>
      <c r="KD33" s="70">
        <v>230.73</v>
      </c>
      <c r="KE33" s="70">
        <v>229.91</v>
      </c>
      <c r="KF33" s="70">
        <v>229.09</v>
      </c>
      <c r="KG33" s="70">
        <v>228.27</v>
      </c>
      <c r="KH33" s="70">
        <v>227.46</v>
      </c>
      <c r="KI33" s="70">
        <v>226.64</v>
      </c>
      <c r="KJ33" s="70">
        <v>225.83</v>
      </c>
      <c r="KK33" s="70">
        <v>225.01</v>
      </c>
      <c r="KL33" s="70">
        <v>224.2</v>
      </c>
      <c r="KM33" s="70">
        <v>223.39</v>
      </c>
      <c r="KN33" s="70">
        <v>222.58</v>
      </c>
      <c r="KO33" s="70">
        <v>221.78</v>
      </c>
      <c r="KP33" s="70">
        <v>220.97</v>
      </c>
      <c r="KQ33" s="70">
        <v>220.17</v>
      </c>
      <c r="KR33" s="70">
        <v>219.05000000000024</v>
      </c>
      <c r="KS33" s="70">
        <v>218.30000000000024</v>
      </c>
      <c r="KT33" s="70">
        <v>217.55000000000024</v>
      </c>
      <c r="KU33" s="70">
        <v>216.80000000000024</v>
      </c>
      <c r="KV33" s="70">
        <v>216.05000000000024</v>
      </c>
      <c r="KW33" s="70">
        <v>215.30000000000024</v>
      </c>
      <c r="KX33" s="70">
        <v>214.55000000000024</v>
      </c>
      <c r="KY33" s="70">
        <v>213.80000000000024</v>
      </c>
      <c r="KZ33" s="70">
        <v>213.05000000000024</v>
      </c>
      <c r="LA33" s="70">
        <v>212.30000000000024</v>
      </c>
      <c r="LB33" s="70">
        <v>211.55000000000024</v>
      </c>
      <c r="LC33" s="70">
        <v>210.80000000000024</v>
      </c>
      <c r="LD33" s="70">
        <v>210.05000000000024</v>
      </c>
      <c r="LE33" s="70">
        <v>209.30000000000024</v>
      </c>
      <c r="LF33" s="70">
        <v>208.55000000000024</v>
      </c>
      <c r="LG33" s="70">
        <v>207.80000000000024</v>
      </c>
      <c r="LH33" s="70">
        <v>207.05000000000024</v>
      </c>
      <c r="LI33" s="70">
        <v>206.30000000000024</v>
      </c>
      <c r="LJ33" s="70">
        <v>205.55000000000024</v>
      </c>
      <c r="LK33" s="70">
        <v>204.80000000000024</v>
      </c>
      <c r="LL33" s="70">
        <v>204.05000000000024</v>
      </c>
      <c r="LM33" s="70">
        <v>203.30000000000024</v>
      </c>
      <c r="LN33" s="70">
        <v>202.55000000000024</v>
      </c>
      <c r="LO33" s="70">
        <v>201.80000000000024</v>
      </c>
      <c r="LP33" s="70">
        <v>201.05000000000024</v>
      </c>
      <c r="LQ33" s="70">
        <v>200.30000000000024</v>
      </c>
      <c r="LR33" s="70">
        <v>199.55000000000024</v>
      </c>
      <c r="LS33" s="70">
        <v>198.80000000000024</v>
      </c>
      <c r="LT33" s="70">
        <v>198.05000000000024</v>
      </c>
      <c r="LU33" s="70">
        <v>197.30000000000024</v>
      </c>
      <c r="LV33" s="70">
        <v>196.55000000000024</v>
      </c>
      <c r="LW33" s="70">
        <v>195.80000000000024</v>
      </c>
      <c r="LX33" s="70">
        <v>195.05000000000024</v>
      </c>
      <c r="LY33" s="70">
        <v>194.30000000000024</v>
      </c>
      <c r="LZ33" s="70">
        <v>193.55000000000024</v>
      </c>
      <c r="MA33" s="70">
        <v>192.80000000000024</v>
      </c>
      <c r="MB33" s="70">
        <v>192.05000000000024</v>
      </c>
      <c r="MC33" s="70">
        <v>191.30000000000024</v>
      </c>
      <c r="MD33" s="70">
        <v>190.55000000000024</v>
      </c>
      <c r="ME33" s="70">
        <v>189.80000000000024</v>
      </c>
      <c r="MF33" s="70">
        <v>189.05000000000024</v>
      </c>
      <c r="MG33" s="70">
        <v>188.30000000000024</v>
      </c>
      <c r="MH33" s="70">
        <v>187.55000000000024</v>
      </c>
      <c r="MI33" s="70">
        <v>186.80000000000024</v>
      </c>
      <c r="MJ33" s="70">
        <v>186.05000000000024</v>
      </c>
      <c r="MK33" s="70">
        <v>185.30000000000024</v>
      </c>
      <c r="ML33" s="70">
        <v>184.55000000000024</v>
      </c>
      <c r="MM33" s="70">
        <v>183.80000000000024</v>
      </c>
      <c r="MN33" s="70">
        <v>183.05000000000024</v>
      </c>
      <c r="MO33" s="70">
        <v>182.30000000000024</v>
      </c>
      <c r="MP33" s="70">
        <v>181.55000000000024</v>
      </c>
      <c r="MQ33" s="70">
        <v>180.80000000000024</v>
      </c>
      <c r="MR33" s="70">
        <v>180.05000000000024</v>
      </c>
      <c r="MS33" s="70">
        <v>179.30000000000024</v>
      </c>
      <c r="MT33" s="70">
        <v>178.55000000000024</v>
      </c>
      <c r="MU33" s="70">
        <v>177.80000000000024</v>
      </c>
      <c r="MV33" s="70">
        <v>177.05000000000024</v>
      </c>
      <c r="MW33" s="70">
        <v>176.30000000000024</v>
      </c>
      <c r="MX33" s="70">
        <v>175.55000000000024</v>
      </c>
      <c r="MY33" s="70">
        <v>174.80000000000024</v>
      </c>
    </row>
    <row r="34" spans="1:363" ht="15.6" x14ac:dyDescent="0.3">
      <c r="A34" s="67" t="s">
        <v>7</v>
      </c>
      <c r="B34" s="72">
        <v>2044</v>
      </c>
      <c r="C34" s="70">
        <v>504.84</v>
      </c>
      <c r="D34" s="70">
        <v>503.81</v>
      </c>
      <c r="E34" s="70">
        <v>502.79</v>
      </c>
      <c r="F34" s="70">
        <v>501.77</v>
      </c>
      <c r="G34" s="70">
        <v>500.74</v>
      </c>
      <c r="H34" s="70">
        <v>499.72</v>
      </c>
      <c r="I34" s="70">
        <v>498.7</v>
      </c>
      <c r="J34" s="70">
        <v>497.67</v>
      </c>
      <c r="K34" s="70">
        <v>496.65</v>
      </c>
      <c r="L34" s="70">
        <v>495.63</v>
      </c>
      <c r="M34" s="70">
        <v>494.6</v>
      </c>
      <c r="N34" s="70">
        <v>493.58</v>
      </c>
      <c r="O34" s="70">
        <v>492.56</v>
      </c>
      <c r="P34" s="70">
        <v>491.53</v>
      </c>
      <c r="Q34" s="70">
        <v>490.51</v>
      </c>
      <c r="R34" s="70">
        <v>489.49</v>
      </c>
      <c r="S34" s="70">
        <v>488.46</v>
      </c>
      <c r="T34" s="70">
        <v>487.44</v>
      </c>
      <c r="U34" s="70">
        <v>486.42</v>
      </c>
      <c r="V34" s="70">
        <v>485.39</v>
      </c>
      <c r="W34" s="70">
        <v>484.37</v>
      </c>
      <c r="X34" s="70">
        <v>483.35</v>
      </c>
      <c r="Y34" s="70">
        <v>482.32</v>
      </c>
      <c r="Z34" s="70">
        <v>481.3</v>
      </c>
      <c r="AA34" s="70">
        <v>480.28</v>
      </c>
      <c r="AB34" s="70">
        <v>479.26</v>
      </c>
      <c r="AC34" s="70">
        <v>478.23</v>
      </c>
      <c r="AD34" s="70">
        <v>477.21</v>
      </c>
      <c r="AE34" s="70">
        <v>476.19</v>
      </c>
      <c r="AF34" s="70">
        <v>475.17</v>
      </c>
      <c r="AG34" s="70">
        <v>474.14</v>
      </c>
      <c r="AH34" s="70">
        <v>473.12</v>
      </c>
      <c r="AI34" s="70">
        <v>472.1</v>
      </c>
      <c r="AJ34" s="70">
        <v>471.08</v>
      </c>
      <c r="AK34" s="70">
        <v>470.05</v>
      </c>
      <c r="AL34" s="70">
        <v>469.03</v>
      </c>
      <c r="AM34" s="70">
        <v>468.01</v>
      </c>
      <c r="AN34" s="70">
        <v>466.99</v>
      </c>
      <c r="AO34" s="70">
        <v>465.97</v>
      </c>
      <c r="AP34" s="70">
        <v>464.94</v>
      </c>
      <c r="AQ34" s="70">
        <v>463.92</v>
      </c>
      <c r="AR34" s="70">
        <v>462.9</v>
      </c>
      <c r="AS34" s="70">
        <v>461.88</v>
      </c>
      <c r="AT34" s="70">
        <v>460.86</v>
      </c>
      <c r="AU34" s="70">
        <v>459.84</v>
      </c>
      <c r="AV34" s="70">
        <v>458.82</v>
      </c>
      <c r="AW34" s="70">
        <v>457.8</v>
      </c>
      <c r="AX34" s="70">
        <v>456.78</v>
      </c>
      <c r="AY34" s="70">
        <v>455.76</v>
      </c>
      <c r="AZ34" s="70">
        <v>454.74</v>
      </c>
      <c r="BA34" s="70">
        <v>453.72</v>
      </c>
      <c r="BB34" s="70">
        <v>452.7</v>
      </c>
      <c r="BC34" s="70">
        <v>451.68</v>
      </c>
      <c r="BD34" s="70">
        <v>450.66</v>
      </c>
      <c r="BE34" s="70">
        <v>449.64</v>
      </c>
      <c r="BF34" s="70">
        <v>448.62</v>
      </c>
      <c r="BG34" s="70">
        <v>447.6</v>
      </c>
      <c r="BH34" s="70">
        <v>446.58</v>
      </c>
      <c r="BI34" s="70">
        <v>445.56</v>
      </c>
      <c r="BJ34" s="70">
        <v>444.54</v>
      </c>
      <c r="BK34" s="70">
        <v>443.52</v>
      </c>
      <c r="BL34" s="70">
        <v>442.51</v>
      </c>
      <c r="BM34" s="70">
        <v>441.49</v>
      </c>
      <c r="BN34" s="70">
        <v>440.47</v>
      </c>
      <c r="BO34" s="70">
        <v>439.46</v>
      </c>
      <c r="BP34" s="70">
        <v>438.44</v>
      </c>
      <c r="BQ34" s="70">
        <v>437.42</v>
      </c>
      <c r="BR34" s="70">
        <v>436.41</v>
      </c>
      <c r="BS34" s="70">
        <v>435.39</v>
      </c>
      <c r="BT34" s="70">
        <v>434.37</v>
      </c>
      <c r="BU34" s="70">
        <v>433.36</v>
      </c>
      <c r="BV34" s="70">
        <v>432.34</v>
      </c>
      <c r="BW34" s="70">
        <v>431.33</v>
      </c>
      <c r="BX34" s="70">
        <v>430.31</v>
      </c>
      <c r="BY34" s="70">
        <v>429.3</v>
      </c>
      <c r="BZ34" s="70">
        <v>428.29</v>
      </c>
      <c r="CA34" s="70">
        <v>427.27</v>
      </c>
      <c r="CB34" s="70">
        <v>426.26</v>
      </c>
      <c r="CC34" s="70">
        <v>425.25</v>
      </c>
      <c r="CD34" s="70">
        <v>424.24</v>
      </c>
      <c r="CE34" s="70">
        <v>423.22</v>
      </c>
      <c r="CF34" s="70">
        <v>422.21</v>
      </c>
      <c r="CG34" s="70">
        <v>421.2</v>
      </c>
      <c r="CH34" s="70">
        <v>420.19</v>
      </c>
      <c r="CI34" s="70">
        <v>419.18</v>
      </c>
      <c r="CJ34" s="70">
        <v>418.17</v>
      </c>
      <c r="CK34" s="70">
        <v>417.16</v>
      </c>
      <c r="CL34" s="70">
        <v>416.15</v>
      </c>
      <c r="CM34" s="70">
        <v>415.15</v>
      </c>
      <c r="CN34" s="70">
        <v>414.14</v>
      </c>
      <c r="CO34" s="70">
        <v>413.13</v>
      </c>
      <c r="CP34" s="70">
        <v>412.13</v>
      </c>
      <c r="CQ34" s="70">
        <v>411.12</v>
      </c>
      <c r="CR34" s="70">
        <v>410.11</v>
      </c>
      <c r="CS34" s="70">
        <v>409.11</v>
      </c>
      <c r="CT34" s="70">
        <v>408.1</v>
      </c>
      <c r="CU34" s="70">
        <v>407.09</v>
      </c>
      <c r="CV34" s="70">
        <v>406.09</v>
      </c>
      <c r="CW34" s="70">
        <v>405.09</v>
      </c>
      <c r="CX34" s="70">
        <v>404.09</v>
      </c>
      <c r="CY34" s="70">
        <v>403.09</v>
      </c>
      <c r="CZ34" s="70">
        <v>402.09</v>
      </c>
      <c r="DA34" s="70">
        <v>401.09</v>
      </c>
      <c r="DB34" s="70">
        <v>400.09</v>
      </c>
      <c r="DC34" s="70">
        <v>399.08</v>
      </c>
      <c r="DD34" s="70">
        <v>398.08</v>
      </c>
      <c r="DE34" s="70">
        <v>397.08</v>
      </c>
      <c r="DF34" s="70">
        <v>396.08</v>
      </c>
      <c r="DG34" s="70">
        <v>395.08</v>
      </c>
      <c r="DH34" s="70">
        <v>394.09</v>
      </c>
      <c r="DI34" s="70">
        <v>393.1</v>
      </c>
      <c r="DJ34" s="70">
        <v>392.1</v>
      </c>
      <c r="DK34" s="70">
        <v>391.11</v>
      </c>
      <c r="DL34" s="70">
        <v>390.11</v>
      </c>
      <c r="DM34" s="70">
        <v>389.12</v>
      </c>
      <c r="DN34" s="70">
        <v>388.13</v>
      </c>
      <c r="DO34" s="70">
        <v>387.14</v>
      </c>
      <c r="DP34" s="70">
        <v>386.14</v>
      </c>
      <c r="DQ34" s="70">
        <v>385.15</v>
      </c>
      <c r="DR34" s="70">
        <v>384.16</v>
      </c>
      <c r="DS34" s="70">
        <v>383.17</v>
      </c>
      <c r="DT34" s="70">
        <v>382.18</v>
      </c>
      <c r="DU34" s="70">
        <v>381.2</v>
      </c>
      <c r="DV34" s="70">
        <v>380.21</v>
      </c>
      <c r="DW34" s="70">
        <v>379.23</v>
      </c>
      <c r="DX34" s="70">
        <v>378.24</v>
      </c>
      <c r="DY34" s="70">
        <v>377.26</v>
      </c>
      <c r="DZ34" s="70">
        <v>376.28</v>
      </c>
      <c r="EA34" s="70">
        <v>375.29</v>
      </c>
      <c r="EB34" s="70">
        <v>374.31</v>
      </c>
      <c r="EC34" s="70">
        <v>373.33</v>
      </c>
      <c r="ED34" s="70">
        <v>372.35</v>
      </c>
      <c r="EE34" s="70">
        <v>371.37</v>
      </c>
      <c r="EF34" s="70">
        <v>370.39</v>
      </c>
      <c r="EG34" s="70">
        <v>369.42</v>
      </c>
      <c r="EH34" s="70">
        <v>368.45</v>
      </c>
      <c r="EI34" s="70">
        <v>367.48</v>
      </c>
      <c r="EJ34" s="70">
        <v>366.5</v>
      </c>
      <c r="EK34" s="70">
        <v>365.53</v>
      </c>
      <c r="EL34" s="70">
        <v>364.56</v>
      </c>
      <c r="EM34" s="70">
        <v>363.59</v>
      </c>
      <c r="EN34" s="70">
        <v>362.62</v>
      </c>
      <c r="EO34" s="70">
        <v>361.65</v>
      </c>
      <c r="EP34" s="70">
        <v>360.68</v>
      </c>
      <c r="EQ34" s="70">
        <v>359.72</v>
      </c>
      <c r="ER34" s="70">
        <v>358.75</v>
      </c>
      <c r="ES34" s="70">
        <v>357.79</v>
      </c>
      <c r="ET34" s="70">
        <v>356.83</v>
      </c>
      <c r="EU34" s="70">
        <v>355.87</v>
      </c>
      <c r="EV34" s="70">
        <v>354.9</v>
      </c>
      <c r="EW34" s="70">
        <v>353.94</v>
      </c>
      <c r="EX34" s="70">
        <v>352.98</v>
      </c>
      <c r="EY34" s="70">
        <v>352.02</v>
      </c>
      <c r="EZ34" s="70">
        <v>351.06</v>
      </c>
      <c r="FA34" s="70">
        <v>350.11</v>
      </c>
      <c r="FB34" s="70">
        <v>349.15</v>
      </c>
      <c r="FC34" s="70">
        <v>348.19</v>
      </c>
      <c r="FD34" s="70">
        <v>347.23</v>
      </c>
      <c r="FE34" s="70">
        <v>346.28</v>
      </c>
      <c r="FF34" s="70">
        <v>345.32</v>
      </c>
      <c r="FG34" s="70">
        <v>344.37</v>
      </c>
      <c r="FH34" s="70">
        <v>343.42</v>
      </c>
      <c r="FI34" s="70">
        <v>342.46</v>
      </c>
      <c r="FJ34" s="70">
        <v>341.51</v>
      </c>
      <c r="FK34" s="70">
        <v>340.56</v>
      </c>
      <c r="FL34" s="70">
        <v>339.61</v>
      </c>
      <c r="FM34" s="70">
        <v>338.66</v>
      </c>
      <c r="FN34" s="70">
        <v>337.71</v>
      </c>
      <c r="FO34" s="70">
        <v>336.76</v>
      </c>
      <c r="FP34" s="70">
        <v>335.81</v>
      </c>
      <c r="FQ34" s="70">
        <v>334.86</v>
      </c>
      <c r="FR34" s="70">
        <v>333.92</v>
      </c>
      <c r="FS34" s="70">
        <v>332.97</v>
      </c>
      <c r="FT34" s="70">
        <v>332.03</v>
      </c>
      <c r="FU34" s="70">
        <v>331.08</v>
      </c>
      <c r="FV34" s="70">
        <v>330.14</v>
      </c>
      <c r="FW34" s="70">
        <v>329.19</v>
      </c>
      <c r="FX34" s="70">
        <v>328.25</v>
      </c>
      <c r="FY34" s="70">
        <v>327.31</v>
      </c>
      <c r="FZ34" s="70">
        <v>326.37</v>
      </c>
      <c r="GA34" s="70">
        <v>325.43</v>
      </c>
      <c r="GB34" s="70">
        <v>324.49</v>
      </c>
      <c r="GC34" s="70">
        <v>323.54000000000002</v>
      </c>
      <c r="GD34" s="70">
        <v>322.62</v>
      </c>
      <c r="GE34" s="70">
        <v>321.68</v>
      </c>
      <c r="GF34" s="70">
        <v>320.75</v>
      </c>
      <c r="GG34" s="70">
        <v>319.81</v>
      </c>
      <c r="GH34" s="70">
        <v>318.88</v>
      </c>
      <c r="GI34" s="70">
        <v>317.94</v>
      </c>
      <c r="GJ34" s="70">
        <v>317.01</v>
      </c>
      <c r="GK34" s="70">
        <v>316.07</v>
      </c>
      <c r="GL34" s="70">
        <v>315.14999999999998</v>
      </c>
      <c r="GM34" s="70">
        <v>314.22000000000003</v>
      </c>
      <c r="GN34" s="70">
        <v>313.29000000000002</v>
      </c>
      <c r="GO34" s="70">
        <v>312.37</v>
      </c>
      <c r="GP34" s="70">
        <v>311.45</v>
      </c>
      <c r="GQ34" s="70">
        <v>310.51</v>
      </c>
      <c r="GR34" s="70">
        <v>309.60000000000002</v>
      </c>
      <c r="GS34" s="70">
        <v>308.68</v>
      </c>
      <c r="GT34" s="70">
        <v>307.76</v>
      </c>
      <c r="GU34" s="70">
        <v>306.83999999999997</v>
      </c>
      <c r="GV34" s="70">
        <v>305.92</v>
      </c>
      <c r="GW34" s="70">
        <v>305</v>
      </c>
      <c r="GX34" s="70">
        <v>304.07</v>
      </c>
      <c r="GY34" s="70">
        <v>303.16000000000003</v>
      </c>
      <c r="GZ34" s="70">
        <v>302.25</v>
      </c>
      <c r="HA34" s="70">
        <v>301.33999999999997</v>
      </c>
      <c r="HB34" s="70">
        <v>300.42</v>
      </c>
      <c r="HC34" s="70">
        <v>299.51</v>
      </c>
      <c r="HD34" s="70">
        <v>298.60000000000002</v>
      </c>
      <c r="HE34" s="70">
        <v>297.69</v>
      </c>
      <c r="HF34" s="70">
        <v>296.77999999999997</v>
      </c>
      <c r="HG34" s="70">
        <v>295.88</v>
      </c>
      <c r="HH34" s="70">
        <v>294.97000000000003</v>
      </c>
      <c r="HI34" s="70">
        <v>294.07</v>
      </c>
      <c r="HJ34" s="70">
        <v>293.16000000000003</v>
      </c>
      <c r="HK34" s="70">
        <v>292.26</v>
      </c>
      <c r="HL34" s="70">
        <v>291.35000000000002</v>
      </c>
      <c r="HM34" s="70">
        <v>290.45999999999998</v>
      </c>
      <c r="HN34" s="70">
        <v>289.56</v>
      </c>
      <c r="HO34" s="70">
        <v>288.67</v>
      </c>
      <c r="HP34" s="70">
        <v>287.76</v>
      </c>
      <c r="HQ34" s="70">
        <v>286.88</v>
      </c>
      <c r="HR34" s="70">
        <v>285.98</v>
      </c>
      <c r="HS34" s="70">
        <v>285.08999999999997</v>
      </c>
      <c r="HT34" s="70">
        <v>284.2</v>
      </c>
      <c r="HU34" s="70">
        <v>283.31</v>
      </c>
      <c r="HV34" s="70">
        <v>282.42</v>
      </c>
      <c r="HW34" s="70">
        <v>281.52999999999997</v>
      </c>
      <c r="HX34" s="70">
        <v>280.64999999999998</v>
      </c>
      <c r="HY34" s="70">
        <v>279.76</v>
      </c>
      <c r="HZ34" s="70">
        <v>278.88</v>
      </c>
      <c r="IA34" s="70">
        <v>278</v>
      </c>
      <c r="IB34" s="70">
        <v>277.10000000000002</v>
      </c>
      <c r="IC34" s="70">
        <v>276.23</v>
      </c>
      <c r="ID34" s="70">
        <v>275.35000000000002</v>
      </c>
      <c r="IE34" s="70">
        <v>274.47000000000003</v>
      </c>
      <c r="IF34" s="70">
        <v>273.58999999999997</v>
      </c>
      <c r="IG34" s="70">
        <v>272.72000000000003</v>
      </c>
      <c r="IH34" s="70">
        <v>271.83999999999997</v>
      </c>
      <c r="II34" s="70">
        <v>270.97000000000003</v>
      </c>
      <c r="IJ34" s="70">
        <v>270.08999999999997</v>
      </c>
      <c r="IK34" s="70">
        <v>269.22000000000003</v>
      </c>
      <c r="IL34" s="70">
        <v>268.35000000000002</v>
      </c>
      <c r="IM34" s="70">
        <v>267.48</v>
      </c>
      <c r="IN34" s="70">
        <v>266.60000000000002</v>
      </c>
      <c r="IO34" s="70">
        <v>265.74</v>
      </c>
      <c r="IP34" s="70">
        <v>264.88</v>
      </c>
      <c r="IQ34" s="70">
        <v>264.01</v>
      </c>
      <c r="IR34" s="70">
        <v>263.14999999999998</v>
      </c>
      <c r="IS34" s="70">
        <v>262.27999999999997</v>
      </c>
      <c r="IT34" s="70">
        <v>261.42</v>
      </c>
      <c r="IU34" s="70">
        <v>260.56</v>
      </c>
      <c r="IV34" s="70">
        <v>259.7</v>
      </c>
      <c r="IW34" s="70">
        <v>258.85000000000002</v>
      </c>
      <c r="IX34" s="70">
        <v>257.99</v>
      </c>
      <c r="IY34" s="70">
        <v>257.14</v>
      </c>
      <c r="IZ34" s="70">
        <v>256.27999999999997</v>
      </c>
      <c r="JA34" s="70">
        <v>255.43</v>
      </c>
      <c r="JB34" s="70">
        <v>254.58</v>
      </c>
      <c r="JC34" s="70">
        <v>253.73</v>
      </c>
      <c r="JD34" s="70">
        <v>252.88</v>
      </c>
      <c r="JE34" s="70">
        <v>252.03</v>
      </c>
      <c r="JF34" s="70">
        <v>251.19</v>
      </c>
      <c r="JG34" s="70">
        <v>250.34</v>
      </c>
      <c r="JH34" s="70">
        <v>249.5</v>
      </c>
      <c r="JI34" s="70">
        <v>248.66</v>
      </c>
      <c r="JJ34" s="70">
        <v>247.81</v>
      </c>
      <c r="JK34" s="70">
        <v>246.97</v>
      </c>
      <c r="JL34" s="70">
        <v>246.13</v>
      </c>
      <c r="JM34" s="70">
        <v>245.29</v>
      </c>
      <c r="JN34" s="70">
        <v>244.46</v>
      </c>
      <c r="JO34" s="70">
        <v>243.62</v>
      </c>
      <c r="JP34" s="70">
        <v>242.78</v>
      </c>
      <c r="JQ34" s="70">
        <v>241.95</v>
      </c>
      <c r="JR34" s="70">
        <v>241.11</v>
      </c>
      <c r="JS34" s="70">
        <v>240.28</v>
      </c>
      <c r="JT34" s="70">
        <v>239.45</v>
      </c>
      <c r="JU34" s="70">
        <v>238.62</v>
      </c>
      <c r="JV34" s="70">
        <v>237.79</v>
      </c>
      <c r="JW34" s="70">
        <v>236.96</v>
      </c>
      <c r="JX34" s="70">
        <v>236.14</v>
      </c>
      <c r="JY34" s="70">
        <v>235.31</v>
      </c>
      <c r="JZ34" s="70">
        <v>234.48</v>
      </c>
      <c r="KA34" s="70">
        <v>233.66</v>
      </c>
      <c r="KB34" s="70">
        <v>232.84</v>
      </c>
      <c r="KC34" s="70">
        <v>232.02</v>
      </c>
      <c r="KD34" s="70">
        <v>231.19</v>
      </c>
      <c r="KE34" s="70">
        <v>230.37</v>
      </c>
      <c r="KF34" s="70">
        <v>229.55</v>
      </c>
      <c r="KG34" s="70">
        <v>228.74</v>
      </c>
      <c r="KH34" s="70">
        <v>227.92</v>
      </c>
      <c r="KI34" s="70">
        <v>227.1</v>
      </c>
      <c r="KJ34" s="70">
        <v>226.29</v>
      </c>
      <c r="KK34" s="70">
        <v>225.48</v>
      </c>
      <c r="KL34" s="70">
        <v>224.66</v>
      </c>
      <c r="KM34" s="70">
        <v>223.85</v>
      </c>
      <c r="KN34" s="70">
        <v>223.04</v>
      </c>
      <c r="KO34" s="70">
        <v>222.24</v>
      </c>
      <c r="KP34" s="70">
        <v>221.43</v>
      </c>
      <c r="KQ34" s="70">
        <v>220.63</v>
      </c>
      <c r="KR34" s="70">
        <v>219.51000000000025</v>
      </c>
      <c r="KS34" s="70">
        <v>218.76000000000025</v>
      </c>
      <c r="KT34" s="70">
        <v>218.01000000000025</v>
      </c>
      <c r="KU34" s="70">
        <v>217.26000000000025</v>
      </c>
      <c r="KV34" s="70">
        <v>216.51000000000025</v>
      </c>
      <c r="KW34" s="70">
        <v>215.76000000000025</v>
      </c>
      <c r="KX34" s="70">
        <v>215.01000000000025</v>
      </c>
      <c r="KY34" s="70">
        <v>214.26000000000025</v>
      </c>
      <c r="KZ34" s="70">
        <v>213.51000000000025</v>
      </c>
      <c r="LA34" s="70">
        <v>212.76000000000025</v>
      </c>
      <c r="LB34" s="70">
        <v>212.01000000000025</v>
      </c>
      <c r="LC34" s="70">
        <v>211.26000000000025</v>
      </c>
      <c r="LD34" s="70">
        <v>210.51000000000025</v>
      </c>
      <c r="LE34" s="70">
        <v>209.76000000000025</v>
      </c>
      <c r="LF34" s="70">
        <v>209.01000000000025</v>
      </c>
      <c r="LG34" s="70">
        <v>208.26000000000025</v>
      </c>
      <c r="LH34" s="70">
        <v>207.51000000000025</v>
      </c>
      <c r="LI34" s="70">
        <v>206.76000000000025</v>
      </c>
      <c r="LJ34" s="70">
        <v>206.01000000000025</v>
      </c>
      <c r="LK34" s="70">
        <v>205.26000000000025</v>
      </c>
      <c r="LL34" s="70">
        <v>204.51000000000025</v>
      </c>
      <c r="LM34" s="70">
        <v>203.76000000000025</v>
      </c>
      <c r="LN34" s="70">
        <v>203.01000000000025</v>
      </c>
      <c r="LO34" s="70">
        <v>202.26000000000025</v>
      </c>
      <c r="LP34" s="70">
        <v>201.51000000000025</v>
      </c>
      <c r="LQ34" s="70">
        <v>200.76000000000025</v>
      </c>
      <c r="LR34" s="70">
        <v>200.01000000000025</v>
      </c>
      <c r="LS34" s="70">
        <v>199.26000000000025</v>
      </c>
      <c r="LT34" s="70">
        <v>198.51000000000025</v>
      </c>
      <c r="LU34" s="70">
        <v>197.76000000000025</v>
      </c>
      <c r="LV34" s="70">
        <v>197.01000000000025</v>
      </c>
      <c r="LW34" s="70">
        <v>196.26000000000025</v>
      </c>
      <c r="LX34" s="70">
        <v>195.51000000000025</v>
      </c>
      <c r="LY34" s="70">
        <v>194.76000000000025</v>
      </c>
      <c r="LZ34" s="70">
        <v>194.01000000000025</v>
      </c>
      <c r="MA34" s="70">
        <v>193.26000000000025</v>
      </c>
      <c r="MB34" s="70">
        <v>192.51000000000025</v>
      </c>
      <c r="MC34" s="70">
        <v>191.76000000000025</v>
      </c>
      <c r="MD34" s="70">
        <v>191.01000000000025</v>
      </c>
      <c r="ME34" s="70">
        <v>190.26000000000025</v>
      </c>
      <c r="MF34" s="70">
        <v>189.51000000000025</v>
      </c>
      <c r="MG34" s="70">
        <v>188.76000000000025</v>
      </c>
      <c r="MH34" s="70">
        <v>188.01000000000025</v>
      </c>
      <c r="MI34" s="70">
        <v>187.26000000000025</v>
      </c>
      <c r="MJ34" s="70">
        <v>186.51000000000025</v>
      </c>
      <c r="MK34" s="70">
        <v>185.76000000000025</v>
      </c>
      <c r="ML34" s="70">
        <v>185.01000000000025</v>
      </c>
      <c r="MM34" s="70">
        <v>184.26000000000025</v>
      </c>
      <c r="MN34" s="70">
        <v>183.51000000000025</v>
      </c>
      <c r="MO34" s="70">
        <v>182.76000000000025</v>
      </c>
      <c r="MP34" s="70">
        <v>182.01000000000025</v>
      </c>
      <c r="MQ34" s="70">
        <v>181.26000000000025</v>
      </c>
      <c r="MR34" s="70">
        <v>180.51000000000025</v>
      </c>
      <c r="MS34" s="70">
        <v>179.76000000000025</v>
      </c>
      <c r="MT34" s="70">
        <v>179.01000000000025</v>
      </c>
      <c r="MU34" s="70">
        <v>178.26000000000025</v>
      </c>
      <c r="MV34" s="70">
        <v>177.51000000000025</v>
      </c>
      <c r="MW34" s="70">
        <v>176.76000000000025</v>
      </c>
      <c r="MX34" s="70">
        <v>176.01000000000025</v>
      </c>
      <c r="MY34" s="70">
        <v>175.26000000000025</v>
      </c>
    </row>
    <row r="35" spans="1:363" ht="15.6" x14ac:dyDescent="0.3">
      <c r="A35" s="67" t="s">
        <v>7</v>
      </c>
      <c r="B35" s="72">
        <v>2045</v>
      </c>
      <c r="C35" s="70">
        <v>505.4</v>
      </c>
      <c r="D35" s="70">
        <v>504.38</v>
      </c>
      <c r="E35" s="70">
        <v>503.35</v>
      </c>
      <c r="F35" s="70">
        <v>502.33</v>
      </c>
      <c r="G35" s="70">
        <v>501.3</v>
      </c>
      <c r="H35" s="70">
        <v>500.28</v>
      </c>
      <c r="I35" s="70">
        <v>499.26</v>
      </c>
      <c r="J35" s="70">
        <v>498.23</v>
      </c>
      <c r="K35" s="70">
        <v>497.21</v>
      </c>
      <c r="L35" s="70">
        <v>496.19</v>
      </c>
      <c r="M35" s="70">
        <v>495.16</v>
      </c>
      <c r="N35" s="70">
        <v>494.14</v>
      </c>
      <c r="O35" s="70">
        <v>493.11</v>
      </c>
      <c r="P35" s="70">
        <v>492.09</v>
      </c>
      <c r="Q35" s="70">
        <v>491.07</v>
      </c>
      <c r="R35" s="70">
        <v>490.04</v>
      </c>
      <c r="S35" s="70">
        <v>489.02</v>
      </c>
      <c r="T35" s="70">
        <v>488</v>
      </c>
      <c r="U35" s="70">
        <v>486.97</v>
      </c>
      <c r="V35" s="70">
        <v>485.95</v>
      </c>
      <c r="W35" s="70">
        <v>484.93</v>
      </c>
      <c r="X35" s="70">
        <v>483.9</v>
      </c>
      <c r="Y35" s="70">
        <v>482.88</v>
      </c>
      <c r="Z35" s="70">
        <v>481.86</v>
      </c>
      <c r="AA35" s="70">
        <v>480.84</v>
      </c>
      <c r="AB35" s="70">
        <v>479.81</v>
      </c>
      <c r="AC35" s="70">
        <v>478.79</v>
      </c>
      <c r="AD35" s="70">
        <v>477.77</v>
      </c>
      <c r="AE35" s="70">
        <v>476.74</v>
      </c>
      <c r="AF35" s="70">
        <v>475.72</v>
      </c>
      <c r="AG35" s="70">
        <v>474.7</v>
      </c>
      <c r="AH35" s="70">
        <v>473.67</v>
      </c>
      <c r="AI35" s="70">
        <v>472.65</v>
      </c>
      <c r="AJ35" s="70">
        <v>471.63</v>
      </c>
      <c r="AK35" s="70">
        <v>470.61</v>
      </c>
      <c r="AL35" s="70">
        <v>469.58</v>
      </c>
      <c r="AM35" s="70">
        <v>468.56</v>
      </c>
      <c r="AN35" s="70">
        <v>467.54</v>
      </c>
      <c r="AO35" s="70">
        <v>466.52</v>
      </c>
      <c r="AP35" s="70">
        <v>465.5</v>
      </c>
      <c r="AQ35" s="70">
        <v>464.48</v>
      </c>
      <c r="AR35" s="70">
        <v>463.45</v>
      </c>
      <c r="AS35" s="70">
        <v>462.43</v>
      </c>
      <c r="AT35" s="70">
        <v>461.41</v>
      </c>
      <c r="AU35" s="70">
        <v>460.39</v>
      </c>
      <c r="AV35" s="70">
        <v>459.37</v>
      </c>
      <c r="AW35" s="70">
        <v>458.35</v>
      </c>
      <c r="AX35" s="70">
        <v>457.33</v>
      </c>
      <c r="AY35" s="70">
        <v>456.31</v>
      </c>
      <c r="AZ35" s="70">
        <v>455.29</v>
      </c>
      <c r="BA35" s="70">
        <v>454.27</v>
      </c>
      <c r="BB35" s="70">
        <v>453.25</v>
      </c>
      <c r="BC35" s="70">
        <v>452.23</v>
      </c>
      <c r="BD35" s="70">
        <v>451.21</v>
      </c>
      <c r="BE35" s="70">
        <v>450.19</v>
      </c>
      <c r="BF35" s="70">
        <v>449.17</v>
      </c>
      <c r="BG35" s="70">
        <v>448.15</v>
      </c>
      <c r="BH35" s="70">
        <v>447.13</v>
      </c>
      <c r="BI35" s="70">
        <v>446.11</v>
      </c>
      <c r="BJ35" s="70">
        <v>445.09</v>
      </c>
      <c r="BK35" s="70">
        <v>444.07</v>
      </c>
      <c r="BL35" s="70">
        <v>443.05</v>
      </c>
      <c r="BM35" s="70">
        <v>442.04</v>
      </c>
      <c r="BN35" s="70">
        <v>441.02</v>
      </c>
      <c r="BO35" s="70">
        <v>440</v>
      </c>
      <c r="BP35" s="70">
        <v>438.98</v>
      </c>
      <c r="BQ35" s="70">
        <v>437.97</v>
      </c>
      <c r="BR35" s="70">
        <v>436.95</v>
      </c>
      <c r="BS35" s="70">
        <v>435.93</v>
      </c>
      <c r="BT35" s="70">
        <v>434.92</v>
      </c>
      <c r="BU35" s="70">
        <v>433.9</v>
      </c>
      <c r="BV35" s="70">
        <v>432.89</v>
      </c>
      <c r="BW35" s="70">
        <v>431.87</v>
      </c>
      <c r="BX35" s="70">
        <v>430.86</v>
      </c>
      <c r="BY35" s="70">
        <v>429.84</v>
      </c>
      <c r="BZ35" s="70">
        <v>428.83</v>
      </c>
      <c r="CA35" s="70">
        <v>427.82</v>
      </c>
      <c r="CB35" s="70">
        <v>426.8</v>
      </c>
      <c r="CC35" s="70">
        <v>425.79</v>
      </c>
      <c r="CD35" s="70">
        <v>424.78</v>
      </c>
      <c r="CE35" s="70">
        <v>423.76</v>
      </c>
      <c r="CF35" s="70">
        <v>422.75</v>
      </c>
      <c r="CG35" s="70">
        <v>421.74</v>
      </c>
      <c r="CH35" s="70">
        <v>420.73</v>
      </c>
      <c r="CI35" s="70">
        <v>419.71</v>
      </c>
      <c r="CJ35" s="70">
        <v>418.71</v>
      </c>
      <c r="CK35" s="70">
        <v>417.7</v>
      </c>
      <c r="CL35" s="70">
        <v>416.69</v>
      </c>
      <c r="CM35" s="70">
        <v>415.68</v>
      </c>
      <c r="CN35" s="70">
        <v>414.68</v>
      </c>
      <c r="CO35" s="70">
        <v>413.67</v>
      </c>
      <c r="CP35" s="70">
        <v>412.66</v>
      </c>
      <c r="CQ35" s="70">
        <v>411.65</v>
      </c>
      <c r="CR35" s="70">
        <v>410.65</v>
      </c>
      <c r="CS35" s="70">
        <v>409.64</v>
      </c>
      <c r="CT35" s="70">
        <v>408.63</v>
      </c>
      <c r="CU35" s="70">
        <v>407.63</v>
      </c>
      <c r="CV35" s="70">
        <v>406.62</v>
      </c>
      <c r="CW35" s="70">
        <v>405.62</v>
      </c>
      <c r="CX35" s="70">
        <v>404.62</v>
      </c>
      <c r="CY35" s="70">
        <v>403.62</v>
      </c>
      <c r="CZ35" s="70">
        <v>402.62</v>
      </c>
      <c r="DA35" s="70">
        <v>401.62</v>
      </c>
      <c r="DB35" s="70">
        <v>400.62</v>
      </c>
      <c r="DC35" s="70">
        <v>399.62</v>
      </c>
      <c r="DD35" s="70">
        <v>398.61</v>
      </c>
      <c r="DE35" s="70">
        <v>397.61</v>
      </c>
      <c r="DF35" s="70">
        <v>396.61</v>
      </c>
      <c r="DG35" s="70">
        <v>395.61</v>
      </c>
      <c r="DH35" s="70">
        <v>394.62</v>
      </c>
      <c r="DI35" s="70">
        <v>393.62</v>
      </c>
      <c r="DJ35" s="70">
        <v>392.63</v>
      </c>
      <c r="DK35" s="70">
        <v>391.64</v>
      </c>
      <c r="DL35" s="70">
        <v>390.64</v>
      </c>
      <c r="DM35" s="70">
        <v>389.65</v>
      </c>
      <c r="DN35" s="70">
        <v>388.65</v>
      </c>
      <c r="DO35" s="70">
        <v>387.66</v>
      </c>
      <c r="DP35" s="70">
        <v>386.67</v>
      </c>
      <c r="DQ35" s="70">
        <v>385.68</v>
      </c>
      <c r="DR35" s="70">
        <v>384.68</v>
      </c>
      <c r="DS35" s="70">
        <v>383.69</v>
      </c>
      <c r="DT35" s="70">
        <v>382.71</v>
      </c>
      <c r="DU35" s="70">
        <v>381.72</v>
      </c>
      <c r="DV35" s="70">
        <v>380.74</v>
      </c>
      <c r="DW35" s="70">
        <v>379.75</v>
      </c>
      <c r="DX35" s="70">
        <v>378.77</v>
      </c>
      <c r="DY35" s="70">
        <v>377.78</v>
      </c>
      <c r="DZ35" s="70">
        <v>376.8</v>
      </c>
      <c r="EA35" s="70">
        <v>375.82</v>
      </c>
      <c r="EB35" s="70">
        <v>374.83</v>
      </c>
      <c r="EC35" s="70">
        <v>373.85</v>
      </c>
      <c r="ED35" s="70">
        <v>372.87</v>
      </c>
      <c r="EE35" s="70">
        <v>371.89</v>
      </c>
      <c r="EF35" s="70">
        <v>370.91</v>
      </c>
      <c r="EG35" s="70">
        <v>369.94</v>
      </c>
      <c r="EH35" s="70">
        <v>368.97</v>
      </c>
      <c r="EI35" s="70">
        <v>368</v>
      </c>
      <c r="EJ35" s="70">
        <v>367.02</v>
      </c>
      <c r="EK35" s="70">
        <v>366.05</v>
      </c>
      <c r="EL35" s="70">
        <v>365.08</v>
      </c>
      <c r="EM35" s="70">
        <v>364.11</v>
      </c>
      <c r="EN35" s="70">
        <v>363.14</v>
      </c>
      <c r="EO35" s="70">
        <v>362.17</v>
      </c>
      <c r="EP35" s="70">
        <v>361.2</v>
      </c>
      <c r="EQ35" s="70">
        <v>360.24</v>
      </c>
      <c r="ER35" s="70">
        <v>359.27</v>
      </c>
      <c r="ES35" s="70">
        <v>358.31</v>
      </c>
      <c r="ET35" s="70">
        <v>357.35</v>
      </c>
      <c r="EU35" s="70">
        <v>356.38</v>
      </c>
      <c r="EV35" s="70">
        <v>355.42</v>
      </c>
      <c r="EW35" s="70">
        <v>354.46</v>
      </c>
      <c r="EX35" s="70">
        <v>353.5</v>
      </c>
      <c r="EY35" s="70">
        <v>352.54</v>
      </c>
      <c r="EZ35" s="70">
        <v>351.58</v>
      </c>
      <c r="FA35" s="70">
        <v>350.62</v>
      </c>
      <c r="FB35" s="70">
        <v>349.66</v>
      </c>
      <c r="FC35" s="70">
        <v>348.71</v>
      </c>
      <c r="FD35" s="70">
        <v>347.75</v>
      </c>
      <c r="FE35" s="70">
        <v>346.79</v>
      </c>
      <c r="FF35" s="70">
        <v>345.84</v>
      </c>
      <c r="FG35" s="70">
        <v>344.88</v>
      </c>
      <c r="FH35" s="70">
        <v>343.93</v>
      </c>
      <c r="FI35" s="70">
        <v>342.98</v>
      </c>
      <c r="FJ35" s="70">
        <v>342.02</v>
      </c>
      <c r="FK35" s="70">
        <v>341.07</v>
      </c>
      <c r="FL35" s="70">
        <v>340.12</v>
      </c>
      <c r="FM35" s="70">
        <v>339.17</v>
      </c>
      <c r="FN35" s="70">
        <v>338.22</v>
      </c>
      <c r="FO35" s="70">
        <v>337.27</v>
      </c>
      <c r="FP35" s="70">
        <v>336.32</v>
      </c>
      <c r="FQ35" s="70">
        <v>335.38</v>
      </c>
      <c r="FR35" s="70">
        <v>334.43</v>
      </c>
      <c r="FS35" s="70">
        <v>333.48</v>
      </c>
      <c r="FT35" s="70">
        <v>332.54</v>
      </c>
      <c r="FU35" s="70">
        <v>331.59</v>
      </c>
      <c r="FV35" s="70">
        <v>330.65</v>
      </c>
      <c r="FW35" s="70">
        <v>329.71</v>
      </c>
      <c r="FX35" s="70">
        <v>328.76</v>
      </c>
      <c r="FY35" s="70">
        <v>327.82</v>
      </c>
      <c r="FZ35" s="70">
        <v>326.88</v>
      </c>
      <c r="GA35" s="70">
        <v>325.94</v>
      </c>
      <c r="GB35" s="70">
        <v>325</v>
      </c>
      <c r="GC35" s="70">
        <v>324.06</v>
      </c>
      <c r="GD35" s="70">
        <v>323.13</v>
      </c>
      <c r="GE35" s="70">
        <v>322.19</v>
      </c>
      <c r="GF35" s="70">
        <v>321.25</v>
      </c>
      <c r="GG35" s="70">
        <v>320.32</v>
      </c>
      <c r="GH35" s="70">
        <v>319.39</v>
      </c>
      <c r="GI35" s="70">
        <v>318.45</v>
      </c>
      <c r="GJ35" s="70">
        <v>317.51</v>
      </c>
      <c r="GK35" s="70">
        <v>316.58999999999997</v>
      </c>
      <c r="GL35" s="70">
        <v>315.66000000000003</v>
      </c>
      <c r="GM35" s="70">
        <v>314.73</v>
      </c>
      <c r="GN35" s="70">
        <v>313.79000000000002</v>
      </c>
      <c r="GO35" s="70">
        <v>312.88</v>
      </c>
      <c r="GP35" s="70">
        <v>311.95</v>
      </c>
      <c r="GQ35" s="70">
        <v>311.02999999999997</v>
      </c>
      <c r="GR35" s="70">
        <v>310.10000000000002</v>
      </c>
      <c r="GS35" s="70">
        <v>309.18</v>
      </c>
      <c r="GT35" s="70">
        <v>308.26</v>
      </c>
      <c r="GU35" s="70">
        <v>307.33999999999997</v>
      </c>
      <c r="GV35" s="70">
        <v>306.42</v>
      </c>
      <c r="GW35" s="70">
        <v>305.5</v>
      </c>
      <c r="GX35" s="70">
        <v>304.57</v>
      </c>
      <c r="GY35" s="70">
        <v>303.67</v>
      </c>
      <c r="GZ35" s="70">
        <v>302.75</v>
      </c>
      <c r="HA35" s="70">
        <v>301.83999999999997</v>
      </c>
      <c r="HB35" s="70">
        <v>300.93</v>
      </c>
      <c r="HC35" s="70">
        <v>300.01</v>
      </c>
      <c r="HD35" s="70">
        <v>299.10000000000002</v>
      </c>
      <c r="HE35" s="70">
        <v>298.19</v>
      </c>
      <c r="HF35" s="70">
        <v>297.29000000000002</v>
      </c>
      <c r="HG35" s="70">
        <v>296.38</v>
      </c>
      <c r="HH35" s="70">
        <v>295.47000000000003</v>
      </c>
      <c r="HI35" s="70">
        <v>294.57</v>
      </c>
      <c r="HJ35" s="70">
        <v>293.66000000000003</v>
      </c>
      <c r="HK35" s="70">
        <v>292.76</v>
      </c>
      <c r="HL35" s="70">
        <v>291.85000000000002</v>
      </c>
      <c r="HM35" s="70">
        <v>290.95999999999998</v>
      </c>
      <c r="HN35" s="70">
        <v>290.06</v>
      </c>
      <c r="HO35" s="70">
        <v>289.17</v>
      </c>
      <c r="HP35" s="70">
        <v>288.26</v>
      </c>
      <c r="HQ35" s="70">
        <v>287.37</v>
      </c>
      <c r="HR35" s="70">
        <v>286.48</v>
      </c>
      <c r="HS35" s="70">
        <v>285.58999999999997</v>
      </c>
      <c r="HT35" s="70">
        <v>284.7</v>
      </c>
      <c r="HU35" s="70">
        <v>283.81</v>
      </c>
      <c r="HV35" s="70">
        <v>282.92</v>
      </c>
      <c r="HW35" s="70">
        <v>282.02999999999997</v>
      </c>
      <c r="HX35" s="70">
        <v>281.14</v>
      </c>
      <c r="HY35" s="70">
        <v>280.26</v>
      </c>
      <c r="HZ35" s="70">
        <v>279.37</v>
      </c>
      <c r="IA35" s="70">
        <v>278.49</v>
      </c>
      <c r="IB35" s="70">
        <v>277.60000000000002</v>
      </c>
      <c r="IC35" s="70">
        <v>276.72000000000003</v>
      </c>
      <c r="ID35" s="70">
        <v>275.83999999999997</v>
      </c>
      <c r="IE35" s="70">
        <v>274.95999999999998</v>
      </c>
      <c r="IF35" s="70">
        <v>274.07</v>
      </c>
      <c r="IG35" s="70">
        <v>273.20999999999998</v>
      </c>
      <c r="IH35" s="70">
        <v>272.32</v>
      </c>
      <c r="II35" s="70">
        <v>271.45</v>
      </c>
      <c r="IJ35" s="70">
        <v>270.57</v>
      </c>
      <c r="IK35" s="70">
        <v>269.70999999999998</v>
      </c>
      <c r="IL35" s="70">
        <v>268.83999999999997</v>
      </c>
      <c r="IM35" s="70">
        <v>267.97000000000003</v>
      </c>
      <c r="IN35" s="70">
        <v>267.10000000000002</v>
      </c>
      <c r="IO35" s="70">
        <v>266.23</v>
      </c>
      <c r="IP35" s="70">
        <v>265.35000000000002</v>
      </c>
      <c r="IQ35" s="70">
        <v>264.5</v>
      </c>
      <c r="IR35" s="70">
        <v>263.63</v>
      </c>
      <c r="IS35" s="70">
        <v>262.76</v>
      </c>
      <c r="IT35" s="70">
        <v>261.91000000000003</v>
      </c>
      <c r="IU35" s="70">
        <v>261.04000000000002</v>
      </c>
      <c r="IV35" s="70">
        <v>260.19</v>
      </c>
      <c r="IW35" s="70">
        <v>259.32</v>
      </c>
      <c r="IX35" s="70">
        <v>258.47000000000003</v>
      </c>
      <c r="IY35" s="70">
        <v>257.62</v>
      </c>
      <c r="IZ35" s="70">
        <v>256.76</v>
      </c>
      <c r="JA35" s="70">
        <v>255.91</v>
      </c>
      <c r="JB35" s="70">
        <v>255.06</v>
      </c>
      <c r="JC35" s="70">
        <v>254.21</v>
      </c>
      <c r="JD35" s="70">
        <v>253.36</v>
      </c>
      <c r="JE35" s="70">
        <v>252.51</v>
      </c>
      <c r="JF35" s="70">
        <v>251.67</v>
      </c>
      <c r="JG35" s="70">
        <v>250.82</v>
      </c>
      <c r="JH35" s="70">
        <v>249.98</v>
      </c>
      <c r="JI35" s="70">
        <v>249.13</v>
      </c>
      <c r="JJ35" s="70">
        <v>248.29</v>
      </c>
      <c r="JK35" s="70">
        <v>247.45</v>
      </c>
      <c r="JL35" s="70">
        <v>246.61</v>
      </c>
      <c r="JM35" s="70">
        <v>245.77</v>
      </c>
      <c r="JN35" s="70">
        <v>244.93</v>
      </c>
      <c r="JO35" s="70">
        <v>244.09</v>
      </c>
      <c r="JP35" s="70">
        <v>243.25</v>
      </c>
      <c r="JQ35" s="70">
        <v>242.42</v>
      </c>
      <c r="JR35" s="70">
        <v>241.59</v>
      </c>
      <c r="JS35" s="70">
        <v>240.75</v>
      </c>
      <c r="JT35" s="70">
        <v>239.92</v>
      </c>
      <c r="JU35" s="70">
        <v>239.09</v>
      </c>
      <c r="JV35" s="70">
        <v>238.26</v>
      </c>
      <c r="JW35" s="70">
        <v>237.43</v>
      </c>
      <c r="JX35" s="70">
        <v>236.6</v>
      </c>
      <c r="JY35" s="70">
        <v>235.78</v>
      </c>
      <c r="JZ35" s="70">
        <v>234.95</v>
      </c>
      <c r="KA35" s="70">
        <v>234.13</v>
      </c>
      <c r="KB35" s="70">
        <v>233.3</v>
      </c>
      <c r="KC35" s="70">
        <v>232.48</v>
      </c>
      <c r="KD35" s="70">
        <v>231.66</v>
      </c>
      <c r="KE35" s="70">
        <v>230.84</v>
      </c>
      <c r="KF35" s="70">
        <v>230.02</v>
      </c>
      <c r="KG35" s="70">
        <v>229.2</v>
      </c>
      <c r="KH35" s="70">
        <v>228.38</v>
      </c>
      <c r="KI35" s="70">
        <v>227.57</v>
      </c>
      <c r="KJ35" s="70">
        <v>226.75</v>
      </c>
      <c r="KK35" s="70">
        <v>225.94</v>
      </c>
      <c r="KL35" s="70">
        <v>225.12</v>
      </c>
      <c r="KM35" s="70">
        <v>224.31</v>
      </c>
      <c r="KN35" s="70">
        <v>223.5</v>
      </c>
      <c r="KO35" s="70">
        <v>222.69</v>
      </c>
      <c r="KP35" s="70">
        <v>221.89</v>
      </c>
      <c r="KQ35" s="70">
        <v>221.08</v>
      </c>
      <c r="KR35" s="70">
        <v>219.97000000000025</v>
      </c>
      <c r="KS35" s="70">
        <v>219.22000000000025</v>
      </c>
      <c r="KT35" s="70">
        <v>218.47000000000025</v>
      </c>
      <c r="KU35" s="70">
        <v>217.72000000000025</v>
      </c>
      <c r="KV35" s="70">
        <v>216.97000000000025</v>
      </c>
      <c r="KW35" s="70">
        <v>216.22000000000025</v>
      </c>
      <c r="KX35" s="70">
        <v>215.47000000000025</v>
      </c>
      <c r="KY35" s="70">
        <v>214.72000000000025</v>
      </c>
      <c r="KZ35" s="70">
        <v>213.97000000000025</v>
      </c>
      <c r="LA35" s="70">
        <v>213.22000000000025</v>
      </c>
      <c r="LB35" s="70">
        <v>212.47000000000025</v>
      </c>
      <c r="LC35" s="70">
        <v>211.72000000000025</v>
      </c>
      <c r="LD35" s="70">
        <v>210.97000000000025</v>
      </c>
      <c r="LE35" s="70">
        <v>210.22000000000025</v>
      </c>
      <c r="LF35" s="70">
        <v>209.47000000000025</v>
      </c>
      <c r="LG35" s="70">
        <v>208.72000000000025</v>
      </c>
      <c r="LH35" s="70">
        <v>207.97000000000025</v>
      </c>
      <c r="LI35" s="70">
        <v>207.22000000000025</v>
      </c>
      <c r="LJ35" s="70">
        <v>206.47000000000025</v>
      </c>
      <c r="LK35" s="70">
        <v>205.72000000000025</v>
      </c>
      <c r="LL35" s="70">
        <v>204.97000000000025</v>
      </c>
      <c r="LM35" s="70">
        <v>204.22000000000025</v>
      </c>
      <c r="LN35" s="70">
        <v>203.47000000000025</v>
      </c>
      <c r="LO35" s="70">
        <v>202.72000000000025</v>
      </c>
      <c r="LP35" s="70">
        <v>201.97000000000025</v>
      </c>
      <c r="LQ35" s="70">
        <v>201.22000000000025</v>
      </c>
      <c r="LR35" s="70">
        <v>200.47000000000025</v>
      </c>
      <c r="LS35" s="70">
        <v>199.72000000000025</v>
      </c>
      <c r="LT35" s="70">
        <v>198.97000000000025</v>
      </c>
      <c r="LU35" s="70">
        <v>198.22000000000025</v>
      </c>
      <c r="LV35" s="70">
        <v>197.47000000000025</v>
      </c>
      <c r="LW35" s="70">
        <v>196.72000000000025</v>
      </c>
      <c r="LX35" s="70">
        <v>195.97000000000025</v>
      </c>
      <c r="LY35" s="70">
        <v>195.22000000000025</v>
      </c>
      <c r="LZ35" s="70">
        <v>194.47000000000025</v>
      </c>
      <c r="MA35" s="70">
        <v>193.72000000000025</v>
      </c>
      <c r="MB35" s="70">
        <v>192.97000000000025</v>
      </c>
      <c r="MC35" s="70">
        <v>192.22000000000025</v>
      </c>
      <c r="MD35" s="70">
        <v>191.47000000000025</v>
      </c>
      <c r="ME35" s="70">
        <v>190.72000000000025</v>
      </c>
      <c r="MF35" s="70">
        <v>189.97000000000025</v>
      </c>
      <c r="MG35" s="70">
        <v>189.22000000000025</v>
      </c>
      <c r="MH35" s="70">
        <v>188.47000000000025</v>
      </c>
      <c r="MI35" s="70">
        <v>187.72000000000025</v>
      </c>
      <c r="MJ35" s="70">
        <v>186.97000000000025</v>
      </c>
      <c r="MK35" s="70">
        <v>186.22000000000025</v>
      </c>
      <c r="ML35" s="70">
        <v>185.47000000000025</v>
      </c>
      <c r="MM35" s="70">
        <v>184.72000000000025</v>
      </c>
      <c r="MN35" s="70">
        <v>183.97000000000025</v>
      </c>
      <c r="MO35" s="70">
        <v>183.22000000000025</v>
      </c>
      <c r="MP35" s="70">
        <v>182.47000000000025</v>
      </c>
      <c r="MQ35" s="70">
        <v>181.72000000000025</v>
      </c>
      <c r="MR35" s="70">
        <v>180.97000000000025</v>
      </c>
      <c r="MS35" s="70">
        <v>180.22000000000025</v>
      </c>
      <c r="MT35" s="70">
        <v>179.47000000000025</v>
      </c>
      <c r="MU35" s="70">
        <v>178.72000000000025</v>
      </c>
      <c r="MV35" s="70">
        <v>177.97000000000025</v>
      </c>
      <c r="MW35" s="70">
        <v>177.22000000000025</v>
      </c>
      <c r="MX35" s="70">
        <v>176.47000000000025</v>
      </c>
      <c r="MY35" s="70">
        <v>175.72000000000025</v>
      </c>
    </row>
    <row r="36" spans="1:363" ht="15.6" x14ac:dyDescent="0.3">
      <c r="A36" s="67" t="s">
        <v>7</v>
      </c>
      <c r="B36" s="72">
        <v>2046</v>
      </c>
      <c r="C36" s="70">
        <v>505.96</v>
      </c>
      <c r="D36" s="70">
        <v>504.94</v>
      </c>
      <c r="E36" s="70">
        <v>503.91</v>
      </c>
      <c r="F36" s="70">
        <v>502.89</v>
      </c>
      <c r="G36" s="70">
        <v>501.86</v>
      </c>
      <c r="H36" s="70">
        <v>500.84</v>
      </c>
      <c r="I36" s="70">
        <v>499.81</v>
      </c>
      <c r="J36" s="70">
        <v>498.79</v>
      </c>
      <c r="K36" s="70">
        <v>497.77</v>
      </c>
      <c r="L36" s="70">
        <v>496.74</v>
      </c>
      <c r="M36" s="70">
        <v>495.72</v>
      </c>
      <c r="N36" s="70">
        <v>494.7</v>
      </c>
      <c r="O36" s="70">
        <v>493.67</v>
      </c>
      <c r="P36" s="70">
        <v>492.65</v>
      </c>
      <c r="Q36" s="70">
        <v>491.62</v>
      </c>
      <c r="R36" s="70">
        <v>490.6</v>
      </c>
      <c r="S36" s="70">
        <v>489.58</v>
      </c>
      <c r="T36" s="70">
        <v>488.55</v>
      </c>
      <c r="U36" s="70">
        <v>487.53</v>
      </c>
      <c r="V36" s="70">
        <v>486.51</v>
      </c>
      <c r="W36" s="70">
        <v>485.48</v>
      </c>
      <c r="X36" s="70">
        <v>484.46</v>
      </c>
      <c r="Y36" s="70">
        <v>483.44</v>
      </c>
      <c r="Z36" s="70">
        <v>482.41</v>
      </c>
      <c r="AA36" s="70">
        <v>481.39</v>
      </c>
      <c r="AB36" s="70">
        <v>480.37</v>
      </c>
      <c r="AC36" s="70">
        <v>479.34</v>
      </c>
      <c r="AD36" s="70">
        <v>478.32</v>
      </c>
      <c r="AE36" s="70">
        <v>477.3</v>
      </c>
      <c r="AF36" s="70">
        <v>476.27</v>
      </c>
      <c r="AG36" s="70">
        <v>475.25</v>
      </c>
      <c r="AH36" s="70">
        <v>474.23</v>
      </c>
      <c r="AI36" s="70">
        <v>473.21</v>
      </c>
      <c r="AJ36" s="70">
        <v>472.18</v>
      </c>
      <c r="AK36" s="70">
        <v>471.16</v>
      </c>
      <c r="AL36" s="70">
        <v>470.14</v>
      </c>
      <c r="AM36" s="70">
        <v>469.11</v>
      </c>
      <c r="AN36" s="70">
        <v>468.09</v>
      </c>
      <c r="AO36" s="70">
        <v>467.07</v>
      </c>
      <c r="AP36" s="70">
        <v>466.05</v>
      </c>
      <c r="AQ36" s="70">
        <v>465.03</v>
      </c>
      <c r="AR36" s="70">
        <v>464</v>
      </c>
      <c r="AS36" s="70">
        <v>462.98</v>
      </c>
      <c r="AT36" s="70">
        <v>461.96</v>
      </c>
      <c r="AU36" s="70">
        <v>460.94</v>
      </c>
      <c r="AV36" s="70">
        <v>459.92</v>
      </c>
      <c r="AW36" s="70">
        <v>458.9</v>
      </c>
      <c r="AX36" s="70">
        <v>457.88</v>
      </c>
      <c r="AY36" s="70">
        <v>456.85</v>
      </c>
      <c r="AZ36" s="70">
        <v>455.83</v>
      </c>
      <c r="BA36" s="70">
        <v>454.81</v>
      </c>
      <c r="BB36" s="70">
        <v>453.79</v>
      </c>
      <c r="BC36" s="70">
        <v>452.77</v>
      </c>
      <c r="BD36" s="70">
        <v>451.75</v>
      </c>
      <c r="BE36" s="70">
        <v>450.73</v>
      </c>
      <c r="BF36" s="70">
        <v>449.71</v>
      </c>
      <c r="BG36" s="70">
        <v>448.69</v>
      </c>
      <c r="BH36" s="70">
        <v>447.67</v>
      </c>
      <c r="BI36" s="70">
        <v>446.65</v>
      </c>
      <c r="BJ36" s="70">
        <v>445.63</v>
      </c>
      <c r="BK36" s="70">
        <v>444.61</v>
      </c>
      <c r="BL36" s="70">
        <v>443.6</v>
      </c>
      <c r="BM36" s="70">
        <v>442.58</v>
      </c>
      <c r="BN36" s="70">
        <v>441.56</v>
      </c>
      <c r="BO36" s="70">
        <v>440.55</v>
      </c>
      <c r="BP36" s="70">
        <v>439.53</v>
      </c>
      <c r="BQ36" s="70">
        <v>438.51</v>
      </c>
      <c r="BR36" s="70">
        <v>437.49</v>
      </c>
      <c r="BS36" s="70">
        <v>436.48</v>
      </c>
      <c r="BT36" s="70">
        <v>435.46</v>
      </c>
      <c r="BU36" s="70">
        <v>434.44</v>
      </c>
      <c r="BV36" s="70">
        <v>433.43</v>
      </c>
      <c r="BW36" s="70">
        <v>432.41</v>
      </c>
      <c r="BX36" s="70">
        <v>431.4</v>
      </c>
      <c r="BY36" s="70">
        <v>430.38</v>
      </c>
      <c r="BZ36" s="70">
        <v>429.37</v>
      </c>
      <c r="CA36" s="70">
        <v>428.35</v>
      </c>
      <c r="CB36" s="70">
        <v>427.34</v>
      </c>
      <c r="CC36" s="70">
        <v>426.33</v>
      </c>
      <c r="CD36" s="70">
        <v>425.32</v>
      </c>
      <c r="CE36" s="70">
        <v>424.3</v>
      </c>
      <c r="CF36" s="70">
        <v>423.29</v>
      </c>
      <c r="CG36" s="70">
        <v>422.28</v>
      </c>
      <c r="CH36" s="70">
        <v>421.26</v>
      </c>
      <c r="CI36" s="70">
        <v>420.25</v>
      </c>
      <c r="CJ36" s="70">
        <v>419.24</v>
      </c>
      <c r="CK36" s="70">
        <v>418.23</v>
      </c>
      <c r="CL36" s="70">
        <v>417.23</v>
      </c>
      <c r="CM36" s="70">
        <v>416.22</v>
      </c>
      <c r="CN36" s="70">
        <v>415.21</v>
      </c>
      <c r="CO36" s="70">
        <v>414.2</v>
      </c>
      <c r="CP36" s="70">
        <v>413.19</v>
      </c>
      <c r="CQ36" s="70">
        <v>412.19</v>
      </c>
      <c r="CR36" s="70">
        <v>411.18</v>
      </c>
      <c r="CS36" s="70">
        <v>410.17</v>
      </c>
      <c r="CT36" s="70">
        <v>409.17</v>
      </c>
      <c r="CU36" s="70">
        <v>408.16</v>
      </c>
      <c r="CV36" s="70">
        <v>407.16</v>
      </c>
      <c r="CW36" s="70">
        <v>406.15</v>
      </c>
      <c r="CX36" s="70">
        <v>405.15</v>
      </c>
      <c r="CY36" s="70">
        <v>404.15</v>
      </c>
      <c r="CZ36" s="70">
        <v>403.15</v>
      </c>
      <c r="DA36" s="70">
        <v>402.15</v>
      </c>
      <c r="DB36" s="70">
        <v>401.15</v>
      </c>
      <c r="DC36" s="70">
        <v>400.14</v>
      </c>
      <c r="DD36" s="70">
        <v>399.14</v>
      </c>
      <c r="DE36" s="70">
        <v>398.14</v>
      </c>
      <c r="DF36" s="70">
        <v>397.14</v>
      </c>
      <c r="DG36" s="70">
        <v>396.14</v>
      </c>
      <c r="DH36" s="70">
        <v>395.15</v>
      </c>
      <c r="DI36" s="70">
        <v>394.15</v>
      </c>
      <c r="DJ36" s="70">
        <v>393.16</v>
      </c>
      <c r="DK36" s="70">
        <v>392.16</v>
      </c>
      <c r="DL36" s="70">
        <v>391.17</v>
      </c>
      <c r="DM36" s="70">
        <v>390.17</v>
      </c>
      <c r="DN36" s="70">
        <v>389.18</v>
      </c>
      <c r="DO36" s="70">
        <v>388.19</v>
      </c>
      <c r="DP36" s="70">
        <v>387.19</v>
      </c>
      <c r="DQ36" s="70">
        <v>386.2</v>
      </c>
      <c r="DR36" s="70">
        <v>385.21</v>
      </c>
      <c r="DS36" s="70">
        <v>384.22</v>
      </c>
      <c r="DT36" s="70">
        <v>383.23</v>
      </c>
      <c r="DU36" s="70">
        <v>382.24</v>
      </c>
      <c r="DV36" s="70">
        <v>381.26</v>
      </c>
      <c r="DW36" s="70">
        <v>380.27</v>
      </c>
      <c r="DX36" s="70">
        <v>379.29</v>
      </c>
      <c r="DY36" s="70">
        <v>378.3</v>
      </c>
      <c r="DZ36" s="70">
        <v>377.32</v>
      </c>
      <c r="EA36" s="70">
        <v>376.34</v>
      </c>
      <c r="EB36" s="70">
        <v>375.35</v>
      </c>
      <c r="EC36" s="70">
        <v>374.37</v>
      </c>
      <c r="ED36" s="70">
        <v>373.39</v>
      </c>
      <c r="EE36" s="70">
        <v>372.41</v>
      </c>
      <c r="EF36" s="70">
        <v>371.43</v>
      </c>
      <c r="EG36" s="70">
        <v>370.46</v>
      </c>
      <c r="EH36" s="70">
        <v>369.49</v>
      </c>
      <c r="EI36" s="70">
        <v>368.51</v>
      </c>
      <c r="EJ36" s="70">
        <v>367.54</v>
      </c>
      <c r="EK36" s="70">
        <v>366.57</v>
      </c>
      <c r="EL36" s="70">
        <v>365.6</v>
      </c>
      <c r="EM36" s="70">
        <v>364.63</v>
      </c>
      <c r="EN36" s="70">
        <v>363.66</v>
      </c>
      <c r="EO36" s="70">
        <v>362.69</v>
      </c>
      <c r="EP36" s="70">
        <v>361.72</v>
      </c>
      <c r="EQ36" s="70">
        <v>360.75</v>
      </c>
      <c r="ER36" s="70">
        <v>359.79</v>
      </c>
      <c r="ES36" s="70">
        <v>358.83</v>
      </c>
      <c r="ET36" s="70">
        <v>357.86</v>
      </c>
      <c r="EU36" s="70">
        <v>356.9</v>
      </c>
      <c r="EV36" s="70">
        <v>355.94</v>
      </c>
      <c r="EW36" s="70">
        <v>354.98</v>
      </c>
      <c r="EX36" s="70">
        <v>354.02</v>
      </c>
      <c r="EY36" s="70">
        <v>353.06</v>
      </c>
      <c r="EZ36" s="70">
        <v>352.1</v>
      </c>
      <c r="FA36" s="70">
        <v>351.14</v>
      </c>
      <c r="FB36" s="70">
        <v>350.18</v>
      </c>
      <c r="FC36" s="70">
        <v>349.22</v>
      </c>
      <c r="FD36" s="70">
        <v>348.26</v>
      </c>
      <c r="FE36" s="70">
        <v>347.31</v>
      </c>
      <c r="FF36" s="70">
        <v>346.35</v>
      </c>
      <c r="FG36" s="70">
        <v>345.4</v>
      </c>
      <c r="FH36" s="70">
        <v>344.44</v>
      </c>
      <c r="FI36" s="70">
        <v>343.49</v>
      </c>
      <c r="FJ36" s="70">
        <v>342.54</v>
      </c>
      <c r="FK36" s="70">
        <v>341.59</v>
      </c>
      <c r="FL36" s="70">
        <v>340.63</v>
      </c>
      <c r="FM36" s="70">
        <v>339.68</v>
      </c>
      <c r="FN36" s="70">
        <v>338.73</v>
      </c>
      <c r="FO36" s="70">
        <v>337.78</v>
      </c>
      <c r="FP36" s="70">
        <v>336.83</v>
      </c>
      <c r="FQ36" s="70">
        <v>335.89</v>
      </c>
      <c r="FR36" s="70">
        <v>334.94</v>
      </c>
      <c r="FS36" s="70">
        <v>333.99</v>
      </c>
      <c r="FT36" s="70">
        <v>333.05</v>
      </c>
      <c r="FU36" s="70">
        <v>332.1</v>
      </c>
      <c r="FV36" s="70">
        <v>331.16</v>
      </c>
      <c r="FW36" s="70">
        <v>330.22</v>
      </c>
      <c r="FX36" s="70">
        <v>329.27</v>
      </c>
      <c r="FY36" s="70">
        <v>328.33</v>
      </c>
      <c r="FZ36" s="70">
        <v>327.39</v>
      </c>
      <c r="GA36" s="70">
        <v>326.45</v>
      </c>
      <c r="GB36" s="70">
        <v>325.51</v>
      </c>
      <c r="GC36" s="70">
        <v>324.57</v>
      </c>
      <c r="GD36" s="70">
        <v>323.63</v>
      </c>
      <c r="GE36" s="70">
        <v>322.7</v>
      </c>
      <c r="GF36" s="70">
        <v>321.76</v>
      </c>
      <c r="GG36" s="70">
        <v>320.82</v>
      </c>
      <c r="GH36" s="70">
        <v>319.89</v>
      </c>
      <c r="GI36" s="70">
        <v>318.95999999999998</v>
      </c>
      <c r="GJ36" s="70">
        <v>318.02999999999997</v>
      </c>
      <c r="GK36" s="70">
        <v>317.10000000000002</v>
      </c>
      <c r="GL36" s="70">
        <v>316.17</v>
      </c>
      <c r="GM36" s="70">
        <v>315.24</v>
      </c>
      <c r="GN36" s="70">
        <v>314.31</v>
      </c>
      <c r="GO36" s="70">
        <v>313.38</v>
      </c>
      <c r="GP36" s="70">
        <v>312.45999999999998</v>
      </c>
      <c r="GQ36" s="70">
        <v>311.52999999999997</v>
      </c>
      <c r="GR36" s="70">
        <v>310.60000000000002</v>
      </c>
      <c r="GS36" s="70">
        <v>309.69</v>
      </c>
      <c r="GT36" s="70">
        <v>308.76</v>
      </c>
      <c r="GU36" s="70">
        <v>307.83999999999997</v>
      </c>
      <c r="GV36" s="70">
        <v>306.92</v>
      </c>
      <c r="GW36" s="70">
        <v>306</v>
      </c>
      <c r="GX36" s="70">
        <v>305.08999999999997</v>
      </c>
      <c r="GY36" s="70">
        <v>304.17</v>
      </c>
      <c r="GZ36" s="70">
        <v>303.25</v>
      </c>
      <c r="HA36" s="70">
        <v>302.33999999999997</v>
      </c>
      <c r="HB36" s="70">
        <v>301.43</v>
      </c>
      <c r="HC36" s="70">
        <v>300.51</v>
      </c>
      <c r="HD36" s="70">
        <v>299.60000000000002</v>
      </c>
      <c r="HE36" s="70">
        <v>298.69</v>
      </c>
      <c r="HF36" s="70">
        <v>297.77999999999997</v>
      </c>
      <c r="HG36" s="70">
        <v>296.88</v>
      </c>
      <c r="HH36" s="70">
        <v>295.97000000000003</v>
      </c>
      <c r="HI36" s="70">
        <v>295.07</v>
      </c>
      <c r="HJ36" s="70">
        <v>294.16000000000003</v>
      </c>
      <c r="HK36" s="70">
        <v>293.26</v>
      </c>
      <c r="HL36" s="70">
        <v>292.35000000000002</v>
      </c>
      <c r="HM36" s="70">
        <v>291.45999999999998</v>
      </c>
      <c r="HN36" s="70">
        <v>290.56</v>
      </c>
      <c r="HO36" s="70">
        <v>289.66000000000003</v>
      </c>
      <c r="HP36" s="70">
        <v>288.76</v>
      </c>
      <c r="HQ36" s="70">
        <v>287.87</v>
      </c>
      <c r="HR36" s="70">
        <v>286.98</v>
      </c>
      <c r="HS36" s="70">
        <v>286.07</v>
      </c>
      <c r="HT36" s="70">
        <v>285.19</v>
      </c>
      <c r="HU36" s="70">
        <v>284.29000000000002</v>
      </c>
      <c r="HV36" s="70">
        <v>283.41000000000003</v>
      </c>
      <c r="HW36" s="70">
        <v>282.51</v>
      </c>
      <c r="HX36" s="70">
        <v>281.63</v>
      </c>
      <c r="HY36" s="70">
        <v>280.75</v>
      </c>
      <c r="HZ36" s="70">
        <v>279.85000000000002</v>
      </c>
      <c r="IA36" s="70">
        <v>278.98</v>
      </c>
      <c r="IB36" s="70">
        <v>278.10000000000002</v>
      </c>
      <c r="IC36" s="70">
        <v>277.20999999999998</v>
      </c>
      <c r="ID36" s="70">
        <v>276.32</v>
      </c>
      <c r="IE36" s="70">
        <v>275.45</v>
      </c>
      <c r="IF36" s="70">
        <v>274.57</v>
      </c>
      <c r="IG36" s="70">
        <v>273.69</v>
      </c>
      <c r="IH36" s="70">
        <v>272.82</v>
      </c>
      <c r="II36" s="70">
        <v>271.94</v>
      </c>
      <c r="IJ36" s="70">
        <v>271.07</v>
      </c>
      <c r="IK36" s="70">
        <v>270.19</v>
      </c>
      <c r="IL36" s="70">
        <v>269.32</v>
      </c>
      <c r="IM36" s="70">
        <v>268.45</v>
      </c>
      <c r="IN36" s="70">
        <v>267.57</v>
      </c>
      <c r="IO36" s="70">
        <v>266.70999999999998</v>
      </c>
      <c r="IP36" s="70">
        <v>265.85000000000002</v>
      </c>
      <c r="IQ36" s="70">
        <v>264.98</v>
      </c>
      <c r="IR36" s="70">
        <v>264.10000000000002</v>
      </c>
      <c r="IS36" s="70">
        <v>263.25</v>
      </c>
      <c r="IT36" s="70">
        <v>262.39</v>
      </c>
      <c r="IU36" s="70">
        <v>261.52999999999997</v>
      </c>
      <c r="IV36" s="70">
        <v>260.67</v>
      </c>
      <c r="IW36" s="70">
        <v>259.81</v>
      </c>
      <c r="IX36" s="70">
        <v>258.95</v>
      </c>
      <c r="IY36" s="70">
        <v>258.10000000000002</v>
      </c>
      <c r="IZ36" s="70">
        <v>257.24</v>
      </c>
      <c r="JA36" s="70">
        <v>256.39</v>
      </c>
      <c r="JB36" s="70">
        <v>255.54</v>
      </c>
      <c r="JC36" s="70">
        <v>254.69</v>
      </c>
      <c r="JD36" s="70">
        <v>253.84</v>
      </c>
      <c r="JE36" s="70">
        <v>252.99</v>
      </c>
      <c r="JF36" s="70">
        <v>252.14</v>
      </c>
      <c r="JG36" s="70">
        <v>251.3</v>
      </c>
      <c r="JH36" s="70">
        <v>250.45</v>
      </c>
      <c r="JI36" s="70">
        <v>249.61</v>
      </c>
      <c r="JJ36" s="70">
        <v>248.76</v>
      </c>
      <c r="JK36" s="70">
        <v>247.92</v>
      </c>
      <c r="JL36" s="70">
        <v>247.08</v>
      </c>
      <c r="JM36" s="70">
        <v>246.24</v>
      </c>
      <c r="JN36" s="70">
        <v>245.4</v>
      </c>
      <c r="JO36" s="70">
        <v>244.56</v>
      </c>
      <c r="JP36" s="70">
        <v>243.73</v>
      </c>
      <c r="JQ36" s="70">
        <v>242.89</v>
      </c>
      <c r="JR36" s="70">
        <v>242.06</v>
      </c>
      <c r="JS36" s="70">
        <v>241.22</v>
      </c>
      <c r="JT36" s="70">
        <v>240.39</v>
      </c>
      <c r="JU36" s="70">
        <v>239.56</v>
      </c>
      <c r="JV36" s="70">
        <v>238.73</v>
      </c>
      <c r="JW36" s="70">
        <v>237.9</v>
      </c>
      <c r="JX36" s="70">
        <v>237.07</v>
      </c>
      <c r="JY36" s="70">
        <v>236.24</v>
      </c>
      <c r="JZ36" s="70">
        <v>235.42</v>
      </c>
      <c r="KA36" s="70">
        <v>234.59</v>
      </c>
      <c r="KB36" s="70">
        <v>233.77</v>
      </c>
      <c r="KC36" s="70">
        <v>232.94</v>
      </c>
      <c r="KD36" s="70">
        <v>232.12</v>
      </c>
      <c r="KE36" s="70">
        <v>231.3</v>
      </c>
      <c r="KF36" s="70">
        <v>230.48</v>
      </c>
      <c r="KG36" s="70">
        <v>229.66</v>
      </c>
      <c r="KH36" s="70">
        <v>228.84</v>
      </c>
      <c r="KI36" s="70">
        <v>228.03</v>
      </c>
      <c r="KJ36" s="70">
        <v>227.21</v>
      </c>
      <c r="KK36" s="70">
        <v>226.4</v>
      </c>
      <c r="KL36" s="70">
        <v>225.58</v>
      </c>
      <c r="KM36" s="70">
        <v>224.77</v>
      </c>
      <c r="KN36" s="70">
        <v>223.96</v>
      </c>
      <c r="KO36" s="70">
        <v>223.15</v>
      </c>
      <c r="KP36" s="70">
        <v>222.34</v>
      </c>
      <c r="KQ36" s="70">
        <v>221.54</v>
      </c>
      <c r="KR36" s="70">
        <v>220.43000000000026</v>
      </c>
      <c r="KS36" s="70">
        <v>219.68000000000026</v>
      </c>
      <c r="KT36" s="70">
        <v>218.93000000000026</v>
      </c>
      <c r="KU36" s="70">
        <v>218.18000000000026</v>
      </c>
      <c r="KV36" s="70">
        <v>217.43000000000026</v>
      </c>
      <c r="KW36" s="70">
        <v>216.68000000000026</v>
      </c>
      <c r="KX36" s="70">
        <v>215.93000000000026</v>
      </c>
      <c r="KY36" s="70">
        <v>215.18000000000026</v>
      </c>
      <c r="KZ36" s="70">
        <v>214.43000000000026</v>
      </c>
      <c r="LA36" s="70">
        <v>213.68000000000026</v>
      </c>
      <c r="LB36" s="70">
        <v>212.93000000000026</v>
      </c>
      <c r="LC36" s="70">
        <v>212.18000000000026</v>
      </c>
      <c r="LD36" s="70">
        <v>211.43000000000026</v>
      </c>
      <c r="LE36" s="70">
        <v>210.68000000000026</v>
      </c>
      <c r="LF36" s="70">
        <v>209.93000000000026</v>
      </c>
      <c r="LG36" s="70">
        <v>209.18000000000026</v>
      </c>
      <c r="LH36" s="70">
        <v>208.43000000000026</v>
      </c>
      <c r="LI36" s="70">
        <v>207.68000000000026</v>
      </c>
      <c r="LJ36" s="70">
        <v>206.93000000000026</v>
      </c>
      <c r="LK36" s="70">
        <v>206.18000000000026</v>
      </c>
      <c r="LL36" s="70">
        <v>205.43000000000026</v>
      </c>
      <c r="LM36" s="70">
        <v>204.68000000000026</v>
      </c>
      <c r="LN36" s="70">
        <v>203.93000000000026</v>
      </c>
      <c r="LO36" s="70">
        <v>203.18000000000026</v>
      </c>
      <c r="LP36" s="70">
        <v>202.43000000000026</v>
      </c>
      <c r="LQ36" s="70">
        <v>201.68000000000026</v>
      </c>
      <c r="LR36" s="70">
        <v>200.93000000000026</v>
      </c>
      <c r="LS36" s="70">
        <v>200.18000000000026</v>
      </c>
      <c r="LT36" s="70">
        <v>199.43000000000026</v>
      </c>
      <c r="LU36" s="70">
        <v>198.68000000000026</v>
      </c>
      <c r="LV36" s="70">
        <v>197.93000000000026</v>
      </c>
      <c r="LW36" s="70">
        <v>197.18000000000026</v>
      </c>
      <c r="LX36" s="70">
        <v>196.43000000000026</v>
      </c>
      <c r="LY36" s="70">
        <v>195.68000000000026</v>
      </c>
      <c r="LZ36" s="70">
        <v>194.93000000000026</v>
      </c>
      <c r="MA36" s="70">
        <v>194.18000000000026</v>
      </c>
      <c r="MB36" s="70">
        <v>193.43000000000026</v>
      </c>
      <c r="MC36" s="70">
        <v>192.68000000000026</v>
      </c>
      <c r="MD36" s="70">
        <v>191.93000000000026</v>
      </c>
      <c r="ME36" s="70">
        <v>191.18000000000026</v>
      </c>
      <c r="MF36" s="70">
        <v>190.43000000000026</v>
      </c>
      <c r="MG36" s="70">
        <v>189.68000000000026</v>
      </c>
      <c r="MH36" s="70">
        <v>188.93000000000026</v>
      </c>
      <c r="MI36" s="70">
        <v>188.18000000000026</v>
      </c>
      <c r="MJ36" s="70">
        <v>187.43000000000026</v>
      </c>
      <c r="MK36" s="70">
        <v>186.68000000000026</v>
      </c>
      <c r="ML36" s="70">
        <v>185.93000000000026</v>
      </c>
      <c r="MM36" s="70">
        <v>185.18000000000026</v>
      </c>
      <c r="MN36" s="70">
        <v>184.43000000000026</v>
      </c>
      <c r="MO36" s="70">
        <v>183.68000000000026</v>
      </c>
      <c r="MP36" s="70">
        <v>182.93000000000026</v>
      </c>
      <c r="MQ36" s="70">
        <v>182.18000000000026</v>
      </c>
      <c r="MR36" s="70">
        <v>181.43000000000026</v>
      </c>
      <c r="MS36" s="70">
        <v>180.68000000000026</v>
      </c>
      <c r="MT36" s="70">
        <v>179.93000000000026</v>
      </c>
      <c r="MU36" s="70">
        <v>179.18000000000026</v>
      </c>
      <c r="MV36" s="70">
        <v>178.43000000000026</v>
      </c>
      <c r="MW36" s="70">
        <v>177.68000000000026</v>
      </c>
      <c r="MX36" s="70">
        <v>176.93000000000026</v>
      </c>
      <c r="MY36" s="70">
        <v>176.18000000000026</v>
      </c>
    </row>
    <row r="37" spans="1:363" ht="15.6" x14ac:dyDescent="0.3">
      <c r="A37" s="67" t="s">
        <v>7</v>
      </c>
      <c r="B37" s="72">
        <v>2047</v>
      </c>
      <c r="C37" s="70">
        <v>506.52</v>
      </c>
      <c r="D37" s="70">
        <v>505.49</v>
      </c>
      <c r="E37" s="70">
        <v>504.47</v>
      </c>
      <c r="F37" s="70">
        <v>503.44</v>
      </c>
      <c r="G37" s="70">
        <v>502.42</v>
      </c>
      <c r="H37" s="70">
        <v>501.4</v>
      </c>
      <c r="I37" s="70">
        <v>500.37</v>
      </c>
      <c r="J37" s="70">
        <v>499.35</v>
      </c>
      <c r="K37" s="70">
        <v>498.32</v>
      </c>
      <c r="L37" s="70">
        <v>497.3</v>
      </c>
      <c r="M37" s="70">
        <v>496.28</v>
      </c>
      <c r="N37" s="70">
        <v>495.25</v>
      </c>
      <c r="O37" s="70">
        <v>494.23</v>
      </c>
      <c r="P37" s="70">
        <v>493.2</v>
      </c>
      <c r="Q37" s="70">
        <v>492.18</v>
      </c>
      <c r="R37" s="70">
        <v>491.16</v>
      </c>
      <c r="S37" s="70">
        <v>490.13</v>
      </c>
      <c r="T37" s="70">
        <v>489.11</v>
      </c>
      <c r="U37" s="70">
        <v>488.08</v>
      </c>
      <c r="V37" s="70">
        <v>487.06</v>
      </c>
      <c r="W37" s="70">
        <v>486.04</v>
      </c>
      <c r="X37" s="70">
        <v>485.01</v>
      </c>
      <c r="Y37" s="70">
        <v>483.99</v>
      </c>
      <c r="Z37" s="70">
        <v>482.97</v>
      </c>
      <c r="AA37" s="70">
        <v>481.94</v>
      </c>
      <c r="AB37" s="70">
        <v>480.92</v>
      </c>
      <c r="AC37" s="70">
        <v>479.9</v>
      </c>
      <c r="AD37" s="70">
        <v>478.87</v>
      </c>
      <c r="AE37" s="70">
        <v>477.85</v>
      </c>
      <c r="AF37" s="70">
        <v>476.83</v>
      </c>
      <c r="AG37" s="70">
        <v>475.8</v>
      </c>
      <c r="AH37" s="70">
        <v>474.78</v>
      </c>
      <c r="AI37" s="70">
        <v>473.76</v>
      </c>
      <c r="AJ37" s="70">
        <v>472.73</v>
      </c>
      <c r="AK37" s="70">
        <v>471.71</v>
      </c>
      <c r="AL37" s="70">
        <v>470.69</v>
      </c>
      <c r="AM37" s="70">
        <v>469.66</v>
      </c>
      <c r="AN37" s="70">
        <v>468.64</v>
      </c>
      <c r="AO37" s="70">
        <v>467.62</v>
      </c>
      <c r="AP37" s="70">
        <v>466.6</v>
      </c>
      <c r="AQ37" s="70">
        <v>465.58</v>
      </c>
      <c r="AR37" s="70">
        <v>464.55</v>
      </c>
      <c r="AS37" s="70">
        <v>463.53</v>
      </c>
      <c r="AT37" s="70">
        <v>462.51</v>
      </c>
      <c r="AU37" s="70">
        <v>461.49</v>
      </c>
      <c r="AV37" s="70">
        <v>460.47</v>
      </c>
      <c r="AW37" s="70">
        <v>459.44</v>
      </c>
      <c r="AX37" s="70">
        <v>458.42</v>
      </c>
      <c r="AY37" s="70">
        <v>457.4</v>
      </c>
      <c r="AZ37" s="70">
        <v>456.38</v>
      </c>
      <c r="BA37" s="70">
        <v>455.36</v>
      </c>
      <c r="BB37" s="70">
        <v>454.34</v>
      </c>
      <c r="BC37" s="70">
        <v>453.32</v>
      </c>
      <c r="BD37" s="70">
        <v>452.3</v>
      </c>
      <c r="BE37" s="70">
        <v>451.28</v>
      </c>
      <c r="BF37" s="70">
        <v>450.26</v>
      </c>
      <c r="BG37" s="70">
        <v>449.24</v>
      </c>
      <c r="BH37" s="70">
        <v>448.22</v>
      </c>
      <c r="BI37" s="70">
        <v>447.2</v>
      </c>
      <c r="BJ37" s="70">
        <v>446.18</v>
      </c>
      <c r="BK37" s="70">
        <v>445.16</v>
      </c>
      <c r="BL37" s="70">
        <v>444.14</v>
      </c>
      <c r="BM37" s="70">
        <v>443.12</v>
      </c>
      <c r="BN37" s="70">
        <v>442.1</v>
      </c>
      <c r="BO37" s="70">
        <v>441.09</v>
      </c>
      <c r="BP37" s="70">
        <v>440.07</v>
      </c>
      <c r="BQ37" s="70">
        <v>439.05</v>
      </c>
      <c r="BR37" s="70">
        <v>438.03</v>
      </c>
      <c r="BS37" s="70">
        <v>437.02</v>
      </c>
      <c r="BT37" s="70">
        <v>436</v>
      </c>
      <c r="BU37" s="70">
        <v>434.98</v>
      </c>
      <c r="BV37" s="70">
        <v>433.97</v>
      </c>
      <c r="BW37" s="70">
        <v>432.95</v>
      </c>
      <c r="BX37" s="70">
        <v>431.93</v>
      </c>
      <c r="BY37" s="70">
        <v>430.92</v>
      </c>
      <c r="BZ37" s="70">
        <v>429.91</v>
      </c>
      <c r="CA37" s="70">
        <v>428.89</v>
      </c>
      <c r="CB37" s="70">
        <v>427.88</v>
      </c>
      <c r="CC37" s="70">
        <v>426.87</v>
      </c>
      <c r="CD37" s="70">
        <v>425.85</v>
      </c>
      <c r="CE37" s="70">
        <v>424.84</v>
      </c>
      <c r="CF37" s="70">
        <v>423.83</v>
      </c>
      <c r="CG37" s="70">
        <v>422.81</v>
      </c>
      <c r="CH37" s="70">
        <v>421.8</v>
      </c>
      <c r="CI37" s="70">
        <v>420.79</v>
      </c>
      <c r="CJ37" s="70">
        <v>419.78</v>
      </c>
      <c r="CK37" s="70">
        <v>418.77</v>
      </c>
      <c r="CL37" s="70">
        <v>417.76</v>
      </c>
      <c r="CM37" s="70">
        <v>416.75</v>
      </c>
      <c r="CN37" s="70">
        <v>415.74</v>
      </c>
      <c r="CO37" s="70">
        <v>414.74</v>
      </c>
      <c r="CP37" s="70">
        <v>413.73</v>
      </c>
      <c r="CQ37" s="70">
        <v>412.72</v>
      </c>
      <c r="CR37" s="70">
        <v>411.71</v>
      </c>
      <c r="CS37" s="70">
        <v>410.7</v>
      </c>
      <c r="CT37" s="70">
        <v>409.7</v>
      </c>
      <c r="CU37" s="70">
        <v>408.69</v>
      </c>
      <c r="CV37" s="70">
        <v>407.69</v>
      </c>
      <c r="CW37" s="70">
        <v>406.68</v>
      </c>
      <c r="CX37" s="70">
        <v>405.68</v>
      </c>
      <c r="CY37" s="70">
        <v>404.68</v>
      </c>
      <c r="CZ37" s="70">
        <v>403.68</v>
      </c>
      <c r="DA37" s="70">
        <v>402.68</v>
      </c>
      <c r="DB37" s="70">
        <v>401.67</v>
      </c>
      <c r="DC37" s="70">
        <v>400.67</v>
      </c>
      <c r="DD37" s="70">
        <v>399.67</v>
      </c>
      <c r="DE37" s="70">
        <v>398.67</v>
      </c>
      <c r="DF37" s="70">
        <v>397.67</v>
      </c>
      <c r="DG37" s="70">
        <v>396.67</v>
      </c>
      <c r="DH37" s="70">
        <v>395.67</v>
      </c>
      <c r="DI37" s="70">
        <v>394.68</v>
      </c>
      <c r="DJ37" s="70">
        <v>393.68</v>
      </c>
      <c r="DK37" s="70">
        <v>392.69</v>
      </c>
      <c r="DL37" s="70">
        <v>391.69</v>
      </c>
      <c r="DM37" s="70">
        <v>390.7</v>
      </c>
      <c r="DN37" s="70">
        <v>389.7</v>
      </c>
      <c r="DO37" s="70">
        <v>388.71</v>
      </c>
      <c r="DP37" s="70">
        <v>387.72</v>
      </c>
      <c r="DQ37" s="70">
        <v>386.72</v>
      </c>
      <c r="DR37" s="70">
        <v>385.73</v>
      </c>
      <c r="DS37" s="70">
        <v>384.74</v>
      </c>
      <c r="DT37" s="70">
        <v>383.75</v>
      </c>
      <c r="DU37" s="70">
        <v>382.77</v>
      </c>
      <c r="DV37" s="70">
        <v>381.78</v>
      </c>
      <c r="DW37" s="70">
        <v>380.79</v>
      </c>
      <c r="DX37" s="70">
        <v>379.81</v>
      </c>
      <c r="DY37" s="70">
        <v>378.83</v>
      </c>
      <c r="DZ37" s="70">
        <v>377.84</v>
      </c>
      <c r="EA37" s="70">
        <v>376.86</v>
      </c>
      <c r="EB37" s="70">
        <v>375.87</v>
      </c>
      <c r="EC37" s="70">
        <v>374.89</v>
      </c>
      <c r="ED37" s="70">
        <v>373.91</v>
      </c>
      <c r="EE37" s="70">
        <v>372.93</v>
      </c>
      <c r="EF37" s="70">
        <v>371.95</v>
      </c>
      <c r="EG37" s="70">
        <v>370.98</v>
      </c>
      <c r="EH37" s="70">
        <v>370.01</v>
      </c>
      <c r="EI37" s="70">
        <v>369.03</v>
      </c>
      <c r="EJ37" s="70">
        <v>368.06</v>
      </c>
      <c r="EK37" s="70">
        <v>367.09</v>
      </c>
      <c r="EL37" s="70">
        <v>366.12</v>
      </c>
      <c r="EM37" s="70">
        <v>365.15</v>
      </c>
      <c r="EN37" s="70">
        <v>364.18</v>
      </c>
      <c r="EO37" s="70">
        <v>363.21</v>
      </c>
      <c r="EP37" s="70">
        <v>362.24</v>
      </c>
      <c r="EQ37" s="70">
        <v>361.27</v>
      </c>
      <c r="ER37" s="70">
        <v>360.3</v>
      </c>
      <c r="ES37" s="70">
        <v>359.34</v>
      </c>
      <c r="ET37" s="70">
        <v>358.38</v>
      </c>
      <c r="EU37" s="70">
        <v>357.42</v>
      </c>
      <c r="EV37" s="70">
        <v>356.45</v>
      </c>
      <c r="EW37" s="70">
        <v>355.49</v>
      </c>
      <c r="EX37" s="70">
        <v>354.53</v>
      </c>
      <c r="EY37" s="70">
        <v>353.57</v>
      </c>
      <c r="EZ37" s="70">
        <v>352.61</v>
      </c>
      <c r="FA37" s="70">
        <v>351.65</v>
      </c>
      <c r="FB37" s="70">
        <v>350.69</v>
      </c>
      <c r="FC37" s="70">
        <v>349.73</v>
      </c>
      <c r="FD37" s="70">
        <v>348.78</v>
      </c>
      <c r="FE37" s="70">
        <v>347.82</v>
      </c>
      <c r="FF37" s="70">
        <v>346.87</v>
      </c>
      <c r="FG37" s="70">
        <v>345.91</v>
      </c>
      <c r="FH37" s="70">
        <v>344.96</v>
      </c>
      <c r="FI37" s="70">
        <v>344</v>
      </c>
      <c r="FJ37" s="70">
        <v>343.05</v>
      </c>
      <c r="FK37" s="70">
        <v>342.1</v>
      </c>
      <c r="FL37" s="70">
        <v>341.15</v>
      </c>
      <c r="FM37" s="70">
        <v>340.19</v>
      </c>
      <c r="FN37" s="70">
        <v>339.24</v>
      </c>
      <c r="FO37" s="70">
        <v>338.29</v>
      </c>
      <c r="FP37" s="70">
        <v>337.35</v>
      </c>
      <c r="FQ37" s="70">
        <v>336.4</v>
      </c>
      <c r="FR37" s="70">
        <v>335.45</v>
      </c>
      <c r="FS37" s="70">
        <v>334.5</v>
      </c>
      <c r="FT37" s="70">
        <v>333.56</v>
      </c>
      <c r="FU37" s="70">
        <v>332.61</v>
      </c>
      <c r="FV37" s="70">
        <v>331.67</v>
      </c>
      <c r="FW37" s="70">
        <v>330.72</v>
      </c>
      <c r="FX37" s="70">
        <v>329.78</v>
      </c>
      <c r="FY37" s="70">
        <v>328.84</v>
      </c>
      <c r="FZ37" s="70">
        <v>327.9</v>
      </c>
      <c r="GA37" s="70">
        <v>326.95999999999998</v>
      </c>
      <c r="GB37" s="70">
        <v>326.01</v>
      </c>
      <c r="GC37" s="70">
        <v>325.07</v>
      </c>
      <c r="GD37" s="70">
        <v>324.14</v>
      </c>
      <c r="GE37" s="70">
        <v>323.2</v>
      </c>
      <c r="GF37" s="70">
        <v>322.26</v>
      </c>
      <c r="GG37" s="70">
        <v>321.32</v>
      </c>
      <c r="GH37" s="70">
        <v>320.39999999999998</v>
      </c>
      <c r="GI37" s="70">
        <v>319.47000000000003</v>
      </c>
      <c r="GJ37" s="70">
        <v>318.52999999999997</v>
      </c>
      <c r="GK37" s="70">
        <v>317.60000000000002</v>
      </c>
      <c r="GL37" s="70">
        <v>316.67</v>
      </c>
      <c r="GM37" s="70">
        <v>315.74</v>
      </c>
      <c r="GN37" s="70">
        <v>314.81</v>
      </c>
      <c r="GO37" s="70">
        <v>313.89</v>
      </c>
      <c r="GP37" s="70">
        <v>312.95999999999998</v>
      </c>
      <c r="GQ37" s="70">
        <v>312.02999999999997</v>
      </c>
      <c r="GR37" s="70">
        <v>311.10000000000002</v>
      </c>
      <c r="GS37" s="70">
        <v>310.19</v>
      </c>
      <c r="GT37" s="70">
        <v>309.26</v>
      </c>
      <c r="GU37" s="70">
        <v>308.33999999999997</v>
      </c>
      <c r="GV37" s="70">
        <v>307.42</v>
      </c>
      <c r="GW37" s="70">
        <v>306.51</v>
      </c>
      <c r="GX37" s="70">
        <v>305.58999999999997</v>
      </c>
      <c r="GY37" s="70">
        <v>304.67</v>
      </c>
      <c r="GZ37" s="70">
        <v>303.75</v>
      </c>
      <c r="HA37" s="70">
        <v>302.83999999999997</v>
      </c>
      <c r="HB37" s="70">
        <v>301.93</v>
      </c>
      <c r="HC37" s="70">
        <v>301.01</v>
      </c>
      <c r="HD37" s="70">
        <v>300.10000000000002</v>
      </c>
      <c r="HE37" s="70">
        <v>299.19</v>
      </c>
      <c r="HF37" s="70">
        <v>298.27999999999997</v>
      </c>
      <c r="HG37" s="70">
        <v>297.38</v>
      </c>
      <c r="HH37" s="70">
        <v>296.47000000000003</v>
      </c>
      <c r="HI37" s="70">
        <v>295.56</v>
      </c>
      <c r="HJ37" s="70">
        <v>294.66000000000003</v>
      </c>
      <c r="HK37" s="70">
        <v>293.75</v>
      </c>
      <c r="HL37" s="70">
        <v>292.85000000000002</v>
      </c>
      <c r="HM37" s="70">
        <v>291.95</v>
      </c>
      <c r="HN37" s="70">
        <v>291.04000000000002</v>
      </c>
      <c r="HO37" s="70">
        <v>290.16000000000003</v>
      </c>
      <c r="HP37" s="70">
        <v>289.26</v>
      </c>
      <c r="HQ37" s="70">
        <v>288.35000000000002</v>
      </c>
      <c r="HR37" s="70">
        <v>287.47000000000003</v>
      </c>
      <c r="HS37" s="70">
        <v>286.57</v>
      </c>
      <c r="HT37" s="70">
        <v>285.68</v>
      </c>
      <c r="HU37" s="70">
        <v>284.79000000000002</v>
      </c>
      <c r="HV37" s="70">
        <v>283.89999999999998</v>
      </c>
      <c r="HW37" s="70">
        <v>283.01</v>
      </c>
      <c r="HX37" s="70">
        <v>282.13</v>
      </c>
      <c r="HY37" s="70">
        <v>281.24</v>
      </c>
      <c r="HZ37" s="70">
        <v>280.35000000000002</v>
      </c>
      <c r="IA37" s="70">
        <v>279.47000000000003</v>
      </c>
      <c r="IB37" s="70">
        <v>278.58999999999997</v>
      </c>
      <c r="IC37" s="70">
        <v>277.7</v>
      </c>
      <c r="ID37" s="70">
        <v>276.82</v>
      </c>
      <c r="IE37" s="70">
        <v>275.94</v>
      </c>
      <c r="IF37" s="70">
        <v>275.06</v>
      </c>
      <c r="IG37" s="70">
        <v>274.18</v>
      </c>
      <c r="IH37" s="70">
        <v>273.29000000000002</v>
      </c>
      <c r="II37" s="70">
        <v>272.43</v>
      </c>
      <c r="IJ37" s="70">
        <v>271.54000000000002</v>
      </c>
      <c r="IK37" s="70">
        <v>270.68</v>
      </c>
      <c r="IL37" s="70">
        <v>269.81</v>
      </c>
      <c r="IM37" s="70">
        <v>268.94</v>
      </c>
      <c r="IN37" s="70">
        <v>268.07</v>
      </c>
      <c r="IO37" s="70">
        <v>267.2</v>
      </c>
      <c r="IP37" s="70">
        <v>266.32</v>
      </c>
      <c r="IQ37" s="70">
        <v>265.45999999999998</v>
      </c>
      <c r="IR37" s="70">
        <v>264.60000000000002</v>
      </c>
      <c r="IS37" s="70">
        <v>263.73</v>
      </c>
      <c r="IT37" s="70">
        <v>262.87</v>
      </c>
      <c r="IU37" s="70">
        <v>262.01</v>
      </c>
      <c r="IV37" s="70">
        <v>261.14999999999998</v>
      </c>
      <c r="IW37" s="70">
        <v>260.29000000000002</v>
      </c>
      <c r="IX37" s="70">
        <v>259.43</v>
      </c>
      <c r="IY37" s="70">
        <v>258.57</v>
      </c>
      <c r="IZ37" s="70">
        <v>257.72000000000003</v>
      </c>
      <c r="JA37" s="70">
        <v>256.87</v>
      </c>
      <c r="JB37" s="70">
        <v>256.01</v>
      </c>
      <c r="JC37" s="70">
        <v>255.17</v>
      </c>
      <c r="JD37" s="70">
        <v>254.32</v>
      </c>
      <c r="JE37" s="70">
        <v>253.47</v>
      </c>
      <c r="JF37" s="70">
        <v>252.62</v>
      </c>
      <c r="JG37" s="70">
        <v>251.77</v>
      </c>
      <c r="JH37" s="70">
        <v>250.93</v>
      </c>
      <c r="JI37" s="70">
        <v>250.08</v>
      </c>
      <c r="JJ37" s="70">
        <v>249.24</v>
      </c>
      <c r="JK37" s="70">
        <v>248.39</v>
      </c>
      <c r="JL37" s="70">
        <v>247.55</v>
      </c>
      <c r="JM37" s="70">
        <v>246.71</v>
      </c>
      <c r="JN37" s="70">
        <v>245.87</v>
      </c>
      <c r="JO37" s="70">
        <v>245.03</v>
      </c>
      <c r="JP37" s="70">
        <v>244.2</v>
      </c>
      <c r="JQ37" s="70">
        <v>243.36</v>
      </c>
      <c r="JR37" s="70">
        <v>242.52</v>
      </c>
      <c r="JS37" s="70">
        <v>241.69</v>
      </c>
      <c r="JT37" s="70">
        <v>240.86</v>
      </c>
      <c r="JU37" s="70">
        <v>240.03</v>
      </c>
      <c r="JV37" s="70">
        <v>239.19</v>
      </c>
      <c r="JW37" s="70">
        <v>238.37</v>
      </c>
      <c r="JX37" s="70">
        <v>237.54</v>
      </c>
      <c r="JY37" s="70">
        <v>236.71</v>
      </c>
      <c r="JZ37" s="70">
        <v>235.88</v>
      </c>
      <c r="KA37" s="70">
        <v>235.06</v>
      </c>
      <c r="KB37" s="70">
        <v>234.23</v>
      </c>
      <c r="KC37" s="70">
        <v>233.41</v>
      </c>
      <c r="KD37" s="70">
        <v>232.58</v>
      </c>
      <c r="KE37" s="70">
        <v>231.76</v>
      </c>
      <c r="KF37" s="70">
        <v>230.94</v>
      </c>
      <c r="KG37" s="70">
        <v>230.12</v>
      </c>
      <c r="KH37" s="70">
        <v>229.3</v>
      </c>
      <c r="KI37" s="70">
        <v>228.49</v>
      </c>
      <c r="KJ37" s="70">
        <v>227.67</v>
      </c>
      <c r="KK37" s="70">
        <v>226.85</v>
      </c>
      <c r="KL37" s="70">
        <v>226.04</v>
      </c>
      <c r="KM37" s="70">
        <v>225.23</v>
      </c>
      <c r="KN37" s="70">
        <v>224.42</v>
      </c>
      <c r="KO37" s="70">
        <v>223.61</v>
      </c>
      <c r="KP37" s="70">
        <v>222.8</v>
      </c>
      <c r="KQ37" s="70">
        <v>221.99</v>
      </c>
      <c r="KR37" s="70">
        <v>220.89000000000027</v>
      </c>
      <c r="KS37" s="70">
        <v>220.14000000000027</v>
      </c>
      <c r="KT37" s="70">
        <v>219.39000000000027</v>
      </c>
      <c r="KU37" s="70">
        <v>218.64000000000027</v>
      </c>
      <c r="KV37" s="70">
        <v>217.89000000000027</v>
      </c>
      <c r="KW37" s="70">
        <v>217.14000000000027</v>
      </c>
      <c r="KX37" s="70">
        <v>216.39000000000027</v>
      </c>
      <c r="KY37" s="70">
        <v>215.64000000000027</v>
      </c>
      <c r="KZ37" s="70">
        <v>214.89000000000027</v>
      </c>
      <c r="LA37" s="70">
        <v>214.14000000000027</v>
      </c>
      <c r="LB37" s="70">
        <v>213.39000000000027</v>
      </c>
      <c r="LC37" s="70">
        <v>212.64000000000027</v>
      </c>
      <c r="LD37" s="70">
        <v>211.89000000000027</v>
      </c>
      <c r="LE37" s="70">
        <v>211.14000000000027</v>
      </c>
      <c r="LF37" s="70">
        <v>210.39000000000027</v>
      </c>
      <c r="LG37" s="70">
        <v>209.64000000000027</v>
      </c>
      <c r="LH37" s="70">
        <v>208.89000000000027</v>
      </c>
      <c r="LI37" s="70">
        <v>208.14000000000027</v>
      </c>
      <c r="LJ37" s="70">
        <v>207.39000000000027</v>
      </c>
      <c r="LK37" s="70">
        <v>206.64000000000027</v>
      </c>
      <c r="LL37" s="70">
        <v>205.89000000000027</v>
      </c>
      <c r="LM37" s="70">
        <v>205.14000000000027</v>
      </c>
      <c r="LN37" s="70">
        <v>204.39000000000027</v>
      </c>
      <c r="LO37" s="70">
        <v>203.64000000000027</v>
      </c>
      <c r="LP37" s="70">
        <v>202.89000000000027</v>
      </c>
      <c r="LQ37" s="70">
        <v>202.14000000000027</v>
      </c>
      <c r="LR37" s="70">
        <v>201.39000000000027</v>
      </c>
      <c r="LS37" s="70">
        <v>200.64000000000027</v>
      </c>
      <c r="LT37" s="70">
        <v>199.89000000000027</v>
      </c>
      <c r="LU37" s="70">
        <v>199.14000000000027</v>
      </c>
      <c r="LV37" s="70">
        <v>198.39000000000027</v>
      </c>
      <c r="LW37" s="70">
        <v>197.64000000000027</v>
      </c>
      <c r="LX37" s="70">
        <v>196.89000000000027</v>
      </c>
      <c r="LY37" s="70">
        <v>196.14000000000027</v>
      </c>
      <c r="LZ37" s="70">
        <v>195.39000000000027</v>
      </c>
      <c r="MA37" s="70">
        <v>194.64000000000027</v>
      </c>
      <c r="MB37" s="70">
        <v>193.89000000000027</v>
      </c>
      <c r="MC37" s="70">
        <v>193.14000000000027</v>
      </c>
      <c r="MD37" s="70">
        <v>192.39000000000027</v>
      </c>
      <c r="ME37" s="70">
        <v>191.64000000000027</v>
      </c>
      <c r="MF37" s="70">
        <v>190.89000000000027</v>
      </c>
      <c r="MG37" s="70">
        <v>190.14000000000027</v>
      </c>
      <c r="MH37" s="70">
        <v>189.39000000000027</v>
      </c>
      <c r="MI37" s="70">
        <v>188.64000000000027</v>
      </c>
      <c r="MJ37" s="70">
        <v>187.89000000000027</v>
      </c>
      <c r="MK37" s="70">
        <v>187.14000000000027</v>
      </c>
      <c r="ML37" s="70">
        <v>186.39000000000027</v>
      </c>
      <c r="MM37" s="70">
        <v>185.64000000000027</v>
      </c>
      <c r="MN37" s="70">
        <v>184.89000000000027</v>
      </c>
      <c r="MO37" s="70">
        <v>184.14000000000027</v>
      </c>
      <c r="MP37" s="70">
        <v>183.39000000000027</v>
      </c>
      <c r="MQ37" s="70">
        <v>182.64000000000027</v>
      </c>
      <c r="MR37" s="70">
        <v>181.89000000000027</v>
      </c>
      <c r="MS37" s="70">
        <v>181.14000000000027</v>
      </c>
      <c r="MT37" s="70">
        <v>180.39000000000027</v>
      </c>
      <c r="MU37" s="70">
        <v>179.64000000000027</v>
      </c>
      <c r="MV37" s="70">
        <v>178.89000000000027</v>
      </c>
      <c r="MW37" s="70">
        <v>178.14000000000027</v>
      </c>
      <c r="MX37" s="70">
        <v>177.39000000000027</v>
      </c>
      <c r="MY37" s="70">
        <v>176.64000000000027</v>
      </c>
    </row>
    <row r="38" spans="1:363" ht="15.6" x14ac:dyDescent="0.3">
      <c r="A38" s="67" t="s">
        <v>7</v>
      </c>
      <c r="B38" s="72">
        <v>2048</v>
      </c>
      <c r="C38" s="70">
        <v>507.07</v>
      </c>
      <c r="D38" s="70">
        <v>506.05</v>
      </c>
      <c r="E38" s="70">
        <v>505.02</v>
      </c>
      <c r="F38" s="70">
        <v>504</v>
      </c>
      <c r="G38" s="70">
        <v>502.98</v>
      </c>
      <c r="H38" s="70">
        <v>501.95</v>
      </c>
      <c r="I38" s="70">
        <v>500.93</v>
      </c>
      <c r="J38" s="70">
        <v>499.9</v>
      </c>
      <c r="K38" s="70">
        <v>498.88</v>
      </c>
      <c r="L38" s="70">
        <v>497.85</v>
      </c>
      <c r="M38" s="70">
        <v>496.83</v>
      </c>
      <c r="N38" s="70">
        <v>495.81</v>
      </c>
      <c r="O38" s="70">
        <v>494.78</v>
      </c>
      <c r="P38" s="70">
        <v>493.76</v>
      </c>
      <c r="Q38" s="70">
        <v>492.73</v>
      </c>
      <c r="R38" s="70">
        <v>491.71</v>
      </c>
      <c r="S38" s="70">
        <v>490.68</v>
      </c>
      <c r="T38" s="70">
        <v>489.66</v>
      </c>
      <c r="U38" s="70">
        <v>488.64</v>
      </c>
      <c r="V38" s="70">
        <v>487.61</v>
      </c>
      <c r="W38" s="70">
        <v>486.59</v>
      </c>
      <c r="X38" s="70">
        <v>485.57</v>
      </c>
      <c r="Y38" s="70">
        <v>484.54</v>
      </c>
      <c r="Z38" s="70">
        <v>483.52</v>
      </c>
      <c r="AA38" s="70">
        <v>482.49</v>
      </c>
      <c r="AB38" s="70">
        <v>481.47</v>
      </c>
      <c r="AC38" s="70">
        <v>480.45</v>
      </c>
      <c r="AD38" s="70">
        <v>479.42</v>
      </c>
      <c r="AE38" s="70">
        <v>478.4</v>
      </c>
      <c r="AF38" s="70">
        <v>477.38</v>
      </c>
      <c r="AG38" s="70">
        <v>476.35</v>
      </c>
      <c r="AH38" s="70">
        <v>475.33</v>
      </c>
      <c r="AI38" s="70">
        <v>474.31</v>
      </c>
      <c r="AJ38" s="70">
        <v>473.28</v>
      </c>
      <c r="AK38" s="70">
        <v>472.26</v>
      </c>
      <c r="AL38" s="70">
        <v>471.24</v>
      </c>
      <c r="AM38" s="70">
        <v>470.21</v>
      </c>
      <c r="AN38" s="70">
        <v>469.19</v>
      </c>
      <c r="AO38" s="70">
        <v>468.17</v>
      </c>
      <c r="AP38" s="70">
        <v>467.15</v>
      </c>
      <c r="AQ38" s="70">
        <v>466.12</v>
      </c>
      <c r="AR38" s="70">
        <v>465.1</v>
      </c>
      <c r="AS38" s="70">
        <v>464.08</v>
      </c>
      <c r="AT38" s="70">
        <v>463.06</v>
      </c>
      <c r="AU38" s="70">
        <v>462.03</v>
      </c>
      <c r="AV38" s="70">
        <v>461.01</v>
      </c>
      <c r="AW38" s="70">
        <v>459.99</v>
      </c>
      <c r="AX38" s="70">
        <v>458.97</v>
      </c>
      <c r="AY38" s="70">
        <v>457.95</v>
      </c>
      <c r="AZ38" s="70">
        <v>456.93</v>
      </c>
      <c r="BA38" s="70">
        <v>455.91</v>
      </c>
      <c r="BB38" s="70">
        <v>454.88</v>
      </c>
      <c r="BC38" s="70">
        <v>453.86</v>
      </c>
      <c r="BD38" s="70">
        <v>452.84</v>
      </c>
      <c r="BE38" s="70">
        <v>451.82</v>
      </c>
      <c r="BF38" s="70">
        <v>450.8</v>
      </c>
      <c r="BG38" s="70">
        <v>449.78</v>
      </c>
      <c r="BH38" s="70">
        <v>448.76</v>
      </c>
      <c r="BI38" s="70">
        <v>447.74</v>
      </c>
      <c r="BJ38" s="70">
        <v>446.72</v>
      </c>
      <c r="BK38" s="70">
        <v>445.7</v>
      </c>
      <c r="BL38" s="70">
        <v>444.68</v>
      </c>
      <c r="BM38" s="70">
        <v>443.66</v>
      </c>
      <c r="BN38" s="70">
        <v>442.65</v>
      </c>
      <c r="BO38" s="70">
        <v>441.63</v>
      </c>
      <c r="BP38" s="70">
        <v>440.61</v>
      </c>
      <c r="BQ38" s="70">
        <v>439.59</v>
      </c>
      <c r="BR38" s="70">
        <v>438.57</v>
      </c>
      <c r="BS38" s="70">
        <v>437.56</v>
      </c>
      <c r="BT38" s="70">
        <v>436.54</v>
      </c>
      <c r="BU38" s="70">
        <v>435.52</v>
      </c>
      <c r="BV38" s="70">
        <v>434.5</v>
      </c>
      <c r="BW38" s="70">
        <v>433.49</v>
      </c>
      <c r="BX38" s="70">
        <v>432.47</v>
      </c>
      <c r="BY38" s="70">
        <v>431.46</v>
      </c>
      <c r="BZ38" s="70">
        <v>430.44</v>
      </c>
      <c r="CA38" s="70">
        <v>429.43</v>
      </c>
      <c r="CB38" s="70">
        <v>428.42</v>
      </c>
      <c r="CC38" s="70">
        <v>427.4</v>
      </c>
      <c r="CD38" s="70">
        <v>426.39</v>
      </c>
      <c r="CE38" s="70">
        <v>425.37</v>
      </c>
      <c r="CF38" s="70">
        <v>424.36</v>
      </c>
      <c r="CG38" s="70">
        <v>423.35</v>
      </c>
      <c r="CH38" s="70">
        <v>422.33</v>
      </c>
      <c r="CI38" s="70">
        <v>421.32</v>
      </c>
      <c r="CJ38" s="70">
        <v>420.31</v>
      </c>
      <c r="CK38" s="70">
        <v>419.3</v>
      </c>
      <c r="CL38" s="70">
        <v>418.29</v>
      </c>
      <c r="CM38" s="70">
        <v>417.28</v>
      </c>
      <c r="CN38" s="70">
        <v>416.28</v>
      </c>
      <c r="CO38" s="70">
        <v>415.27</v>
      </c>
      <c r="CP38" s="70">
        <v>414.26</v>
      </c>
      <c r="CQ38" s="70">
        <v>413.25</v>
      </c>
      <c r="CR38" s="70">
        <v>412.24</v>
      </c>
      <c r="CS38" s="70">
        <v>411.23</v>
      </c>
      <c r="CT38" s="70">
        <v>410.23</v>
      </c>
      <c r="CU38" s="70">
        <v>409.22</v>
      </c>
      <c r="CV38" s="70">
        <v>408.22</v>
      </c>
      <c r="CW38" s="70">
        <v>407.21</v>
      </c>
      <c r="CX38" s="70">
        <v>406.21</v>
      </c>
      <c r="CY38" s="70">
        <v>405.21</v>
      </c>
      <c r="CZ38" s="70">
        <v>404.21</v>
      </c>
      <c r="DA38" s="70">
        <v>403.2</v>
      </c>
      <c r="DB38" s="70">
        <v>402.2</v>
      </c>
      <c r="DC38" s="70">
        <v>401.2</v>
      </c>
      <c r="DD38" s="70">
        <v>400.2</v>
      </c>
      <c r="DE38" s="70">
        <v>399.2</v>
      </c>
      <c r="DF38" s="70">
        <v>398.19</v>
      </c>
      <c r="DG38" s="70">
        <v>397.19</v>
      </c>
      <c r="DH38" s="70">
        <v>396.2</v>
      </c>
      <c r="DI38" s="70">
        <v>395.2</v>
      </c>
      <c r="DJ38" s="70">
        <v>394.21</v>
      </c>
      <c r="DK38" s="70">
        <v>393.21</v>
      </c>
      <c r="DL38" s="70">
        <v>392.22</v>
      </c>
      <c r="DM38" s="70">
        <v>391.22</v>
      </c>
      <c r="DN38" s="70">
        <v>390.23</v>
      </c>
      <c r="DO38" s="70">
        <v>389.23</v>
      </c>
      <c r="DP38" s="70">
        <v>388.24</v>
      </c>
      <c r="DQ38" s="70">
        <v>387.25</v>
      </c>
      <c r="DR38" s="70">
        <v>386.25</v>
      </c>
      <c r="DS38" s="70">
        <v>385.26</v>
      </c>
      <c r="DT38" s="70">
        <v>384.27</v>
      </c>
      <c r="DU38" s="70">
        <v>383.29</v>
      </c>
      <c r="DV38" s="70">
        <v>382.3</v>
      </c>
      <c r="DW38" s="70">
        <v>381.31</v>
      </c>
      <c r="DX38" s="70">
        <v>380.33</v>
      </c>
      <c r="DY38" s="70">
        <v>379.34</v>
      </c>
      <c r="DZ38" s="70">
        <v>378.36</v>
      </c>
      <c r="EA38" s="70">
        <v>377.38</v>
      </c>
      <c r="EB38" s="70">
        <v>376.39</v>
      </c>
      <c r="EC38" s="70">
        <v>375.41</v>
      </c>
      <c r="ED38" s="70">
        <v>374.43</v>
      </c>
      <c r="EE38" s="70">
        <v>373.44</v>
      </c>
      <c r="EF38" s="70">
        <v>372.47</v>
      </c>
      <c r="EG38" s="70">
        <v>371.5</v>
      </c>
      <c r="EH38" s="70">
        <v>370.52</v>
      </c>
      <c r="EI38" s="70">
        <v>369.55</v>
      </c>
      <c r="EJ38" s="70">
        <v>368.58</v>
      </c>
      <c r="EK38" s="70">
        <v>367.61</v>
      </c>
      <c r="EL38" s="70">
        <v>366.63</v>
      </c>
      <c r="EM38" s="70">
        <v>365.66</v>
      </c>
      <c r="EN38" s="70">
        <v>364.69</v>
      </c>
      <c r="EO38" s="70">
        <v>363.72</v>
      </c>
      <c r="EP38" s="70">
        <v>362.75</v>
      </c>
      <c r="EQ38" s="70">
        <v>361.78</v>
      </c>
      <c r="ER38" s="70">
        <v>360.82</v>
      </c>
      <c r="ES38" s="70">
        <v>359.86</v>
      </c>
      <c r="ET38" s="70">
        <v>358.89</v>
      </c>
      <c r="EU38" s="70">
        <v>357.93</v>
      </c>
      <c r="EV38" s="70">
        <v>356.97</v>
      </c>
      <c r="EW38" s="70">
        <v>356.01</v>
      </c>
      <c r="EX38" s="70">
        <v>355.04</v>
      </c>
      <c r="EY38" s="70">
        <v>354.08</v>
      </c>
      <c r="EZ38" s="70">
        <v>353.12</v>
      </c>
      <c r="FA38" s="70">
        <v>352.16</v>
      </c>
      <c r="FB38" s="70">
        <v>351.21</v>
      </c>
      <c r="FC38" s="70">
        <v>350.25</v>
      </c>
      <c r="FD38" s="70">
        <v>349.29</v>
      </c>
      <c r="FE38" s="70">
        <v>348.33</v>
      </c>
      <c r="FF38" s="70">
        <v>347.38</v>
      </c>
      <c r="FG38" s="70">
        <v>346.42</v>
      </c>
      <c r="FH38" s="70">
        <v>345.47</v>
      </c>
      <c r="FI38" s="70">
        <v>344.51</v>
      </c>
      <c r="FJ38" s="70">
        <v>343.56</v>
      </c>
      <c r="FK38" s="70">
        <v>342.61</v>
      </c>
      <c r="FL38" s="70">
        <v>341.66</v>
      </c>
      <c r="FM38" s="70">
        <v>340.7</v>
      </c>
      <c r="FN38" s="70">
        <v>339.75</v>
      </c>
      <c r="FO38" s="70">
        <v>338.8</v>
      </c>
      <c r="FP38" s="70">
        <v>337.86</v>
      </c>
      <c r="FQ38" s="70">
        <v>336.91</v>
      </c>
      <c r="FR38" s="70">
        <v>335.96</v>
      </c>
      <c r="FS38" s="70">
        <v>335.01</v>
      </c>
      <c r="FT38" s="70">
        <v>334.07</v>
      </c>
      <c r="FU38" s="70">
        <v>333.12</v>
      </c>
      <c r="FV38" s="70">
        <v>332.18</v>
      </c>
      <c r="FW38" s="70">
        <v>331.23</v>
      </c>
      <c r="FX38" s="70">
        <v>330.29</v>
      </c>
      <c r="FY38" s="70">
        <v>329.35</v>
      </c>
      <c r="FZ38" s="70">
        <v>328.41</v>
      </c>
      <c r="GA38" s="70">
        <v>327.45999999999998</v>
      </c>
      <c r="GB38" s="70">
        <v>326.51</v>
      </c>
      <c r="GC38" s="70">
        <v>325.58999999999997</v>
      </c>
      <c r="GD38" s="70">
        <v>324.64999999999998</v>
      </c>
      <c r="GE38" s="70">
        <v>323.70999999999998</v>
      </c>
      <c r="GF38" s="70">
        <v>322.76</v>
      </c>
      <c r="GG38" s="70">
        <v>321.83999999999997</v>
      </c>
      <c r="GH38" s="70">
        <v>320.89999999999998</v>
      </c>
      <c r="GI38" s="70">
        <v>319.97000000000003</v>
      </c>
      <c r="GJ38" s="70">
        <v>319.04000000000002</v>
      </c>
      <c r="GK38" s="70">
        <v>318.10000000000002</v>
      </c>
      <c r="GL38" s="70">
        <v>317.17</v>
      </c>
      <c r="GM38" s="70">
        <v>316.24</v>
      </c>
      <c r="GN38" s="70">
        <v>315.32</v>
      </c>
      <c r="GO38" s="70">
        <v>314.39</v>
      </c>
      <c r="GP38" s="70">
        <v>313.45999999999998</v>
      </c>
      <c r="GQ38" s="70">
        <v>312.54000000000002</v>
      </c>
      <c r="GR38" s="70">
        <v>311.60000000000002</v>
      </c>
      <c r="GS38" s="70">
        <v>310.69</v>
      </c>
      <c r="GT38" s="70">
        <v>309.76</v>
      </c>
      <c r="GU38" s="70">
        <v>308.85000000000002</v>
      </c>
      <c r="GV38" s="70">
        <v>307.93</v>
      </c>
      <c r="GW38" s="70">
        <v>307.01</v>
      </c>
      <c r="GX38" s="70">
        <v>306.08999999999997</v>
      </c>
      <c r="GY38" s="70">
        <v>305.17</v>
      </c>
      <c r="GZ38" s="70">
        <v>304.25</v>
      </c>
      <c r="HA38" s="70">
        <v>303.33999999999997</v>
      </c>
      <c r="HB38" s="70">
        <v>302.43</v>
      </c>
      <c r="HC38" s="70">
        <v>301.51</v>
      </c>
      <c r="HD38" s="70">
        <v>300.60000000000002</v>
      </c>
      <c r="HE38" s="70">
        <v>299.69</v>
      </c>
      <c r="HF38" s="70">
        <v>298.77999999999997</v>
      </c>
      <c r="HG38" s="70">
        <v>297.87</v>
      </c>
      <c r="HH38" s="70">
        <v>296.95999999999998</v>
      </c>
      <c r="HI38" s="70">
        <v>296.06</v>
      </c>
      <c r="HJ38" s="70">
        <v>295.14999999999998</v>
      </c>
      <c r="HK38" s="70">
        <v>294.25</v>
      </c>
      <c r="HL38" s="70">
        <v>293.35000000000002</v>
      </c>
      <c r="HM38" s="70">
        <v>292.45</v>
      </c>
      <c r="HN38" s="70">
        <v>291.54000000000002</v>
      </c>
      <c r="HO38" s="70">
        <v>290.64999999999998</v>
      </c>
      <c r="HP38" s="70">
        <v>289.75</v>
      </c>
      <c r="HQ38" s="70">
        <v>288.85000000000002</v>
      </c>
      <c r="HR38" s="70">
        <v>287.95999999999998</v>
      </c>
      <c r="HS38" s="70">
        <v>287.07</v>
      </c>
      <c r="HT38" s="70">
        <v>286.18</v>
      </c>
      <c r="HU38" s="70">
        <v>285.27999999999997</v>
      </c>
      <c r="HV38" s="70">
        <v>284.39</v>
      </c>
      <c r="HW38" s="70">
        <v>283.5</v>
      </c>
      <c r="HX38" s="70">
        <v>282.62</v>
      </c>
      <c r="HY38" s="70">
        <v>281.73</v>
      </c>
      <c r="HZ38" s="70">
        <v>280.83999999999997</v>
      </c>
      <c r="IA38" s="70">
        <v>279.95999999999998</v>
      </c>
      <c r="IB38" s="70">
        <v>279.07</v>
      </c>
      <c r="IC38" s="70">
        <v>278.19</v>
      </c>
      <c r="ID38" s="70">
        <v>277.31</v>
      </c>
      <c r="IE38" s="70">
        <v>276.43</v>
      </c>
      <c r="IF38" s="70">
        <v>275.54000000000002</v>
      </c>
      <c r="IG38" s="70">
        <v>274.67</v>
      </c>
      <c r="IH38" s="70">
        <v>273.79000000000002</v>
      </c>
      <c r="II38" s="70">
        <v>272.91000000000003</v>
      </c>
      <c r="IJ38" s="70">
        <v>272.04000000000002</v>
      </c>
      <c r="IK38" s="70">
        <v>271.16000000000003</v>
      </c>
      <c r="IL38" s="70">
        <v>270.29000000000002</v>
      </c>
      <c r="IM38" s="70">
        <v>269.42</v>
      </c>
      <c r="IN38" s="70">
        <v>268.54000000000002</v>
      </c>
      <c r="IO38" s="70">
        <v>267.68</v>
      </c>
      <c r="IP38" s="70">
        <v>266.81</v>
      </c>
      <c r="IQ38" s="70">
        <v>265.94</v>
      </c>
      <c r="IR38" s="70">
        <v>265.07</v>
      </c>
      <c r="IS38" s="70">
        <v>264.20999999999998</v>
      </c>
      <c r="IT38" s="70">
        <v>263.35000000000002</v>
      </c>
      <c r="IU38" s="70">
        <v>262.49</v>
      </c>
      <c r="IV38" s="70">
        <v>261.63</v>
      </c>
      <c r="IW38" s="70">
        <v>260.76</v>
      </c>
      <c r="IX38" s="70">
        <v>259.91000000000003</v>
      </c>
      <c r="IY38" s="70">
        <v>259.06</v>
      </c>
      <c r="IZ38" s="70">
        <v>258.2</v>
      </c>
      <c r="JA38" s="70">
        <v>257.35000000000002</v>
      </c>
      <c r="JB38" s="70">
        <v>256.49</v>
      </c>
      <c r="JC38" s="70">
        <v>255.64</v>
      </c>
      <c r="JD38" s="70">
        <v>254.79</v>
      </c>
      <c r="JE38" s="70">
        <v>253.94</v>
      </c>
      <c r="JF38" s="70">
        <v>253.09</v>
      </c>
      <c r="JG38" s="70">
        <v>252.24</v>
      </c>
      <c r="JH38" s="70">
        <v>251.4</v>
      </c>
      <c r="JI38" s="70">
        <v>250.55</v>
      </c>
      <c r="JJ38" s="70">
        <v>249.71</v>
      </c>
      <c r="JK38" s="70">
        <v>248.87</v>
      </c>
      <c r="JL38" s="70">
        <v>248.02</v>
      </c>
      <c r="JM38" s="70">
        <v>247.18</v>
      </c>
      <c r="JN38" s="70">
        <v>246.34</v>
      </c>
      <c r="JO38" s="70">
        <v>245.5</v>
      </c>
      <c r="JP38" s="70">
        <v>244.67</v>
      </c>
      <c r="JQ38" s="70">
        <v>243.83</v>
      </c>
      <c r="JR38" s="70">
        <v>242.99</v>
      </c>
      <c r="JS38" s="70">
        <v>242.16</v>
      </c>
      <c r="JT38" s="70">
        <v>241.32</v>
      </c>
      <c r="JU38" s="70">
        <v>240.49</v>
      </c>
      <c r="JV38" s="70">
        <v>239.66</v>
      </c>
      <c r="JW38" s="70">
        <v>238.83</v>
      </c>
      <c r="JX38" s="70">
        <v>238</v>
      </c>
      <c r="JY38" s="70">
        <v>237.17</v>
      </c>
      <c r="JZ38" s="70">
        <v>236.35</v>
      </c>
      <c r="KA38" s="70">
        <v>235.52</v>
      </c>
      <c r="KB38" s="70">
        <v>234.69</v>
      </c>
      <c r="KC38" s="70">
        <v>233.87</v>
      </c>
      <c r="KD38" s="70">
        <v>233.05</v>
      </c>
      <c r="KE38" s="70">
        <v>232.22</v>
      </c>
      <c r="KF38" s="70">
        <v>231.4</v>
      </c>
      <c r="KG38" s="70">
        <v>230.58</v>
      </c>
      <c r="KH38" s="70">
        <v>229.76</v>
      </c>
      <c r="KI38" s="70">
        <v>228.94</v>
      </c>
      <c r="KJ38" s="70">
        <v>228.13</v>
      </c>
      <c r="KK38" s="70">
        <v>227.31</v>
      </c>
      <c r="KL38" s="70">
        <v>226.5</v>
      </c>
      <c r="KM38" s="70">
        <v>225.68</v>
      </c>
      <c r="KN38" s="70">
        <v>224.87</v>
      </c>
      <c r="KO38" s="70">
        <v>224.06</v>
      </c>
      <c r="KP38" s="70">
        <v>223.25</v>
      </c>
      <c r="KQ38" s="70">
        <v>222.45</v>
      </c>
      <c r="KR38" s="70">
        <v>221.35000000000028</v>
      </c>
      <c r="KS38" s="70">
        <v>220.60000000000028</v>
      </c>
      <c r="KT38" s="70">
        <v>219.85000000000028</v>
      </c>
      <c r="KU38" s="70">
        <v>219.10000000000028</v>
      </c>
      <c r="KV38" s="70">
        <v>218.35000000000028</v>
      </c>
      <c r="KW38" s="70">
        <v>217.60000000000028</v>
      </c>
      <c r="KX38" s="70">
        <v>216.85000000000028</v>
      </c>
      <c r="KY38" s="70">
        <v>216.10000000000028</v>
      </c>
      <c r="KZ38" s="70">
        <v>215.35000000000028</v>
      </c>
      <c r="LA38" s="70">
        <v>214.60000000000028</v>
      </c>
      <c r="LB38" s="70">
        <v>213.85000000000028</v>
      </c>
      <c r="LC38" s="70">
        <v>213.10000000000028</v>
      </c>
      <c r="LD38" s="70">
        <v>212.35000000000028</v>
      </c>
      <c r="LE38" s="70">
        <v>211.60000000000028</v>
      </c>
      <c r="LF38" s="70">
        <v>210.85000000000028</v>
      </c>
      <c r="LG38" s="70">
        <v>210.10000000000028</v>
      </c>
      <c r="LH38" s="70">
        <v>209.35000000000028</v>
      </c>
      <c r="LI38" s="70">
        <v>208.60000000000028</v>
      </c>
      <c r="LJ38" s="70">
        <v>207.85000000000028</v>
      </c>
      <c r="LK38" s="70">
        <v>207.10000000000028</v>
      </c>
      <c r="LL38" s="70">
        <v>206.35000000000028</v>
      </c>
      <c r="LM38" s="70">
        <v>205.60000000000028</v>
      </c>
      <c r="LN38" s="70">
        <v>204.85000000000028</v>
      </c>
      <c r="LO38" s="70">
        <v>204.10000000000028</v>
      </c>
      <c r="LP38" s="70">
        <v>203.35000000000028</v>
      </c>
      <c r="LQ38" s="70">
        <v>202.60000000000028</v>
      </c>
      <c r="LR38" s="70">
        <v>201.85000000000028</v>
      </c>
      <c r="LS38" s="70">
        <v>201.10000000000028</v>
      </c>
      <c r="LT38" s="70">
        <v>200.35000000000028</v>
      </c>
      <c r="LU38" s="70">
        <v>199.60000000000028</v>
      </c>
      <c r="LV38" s="70">
        <v>198.85000000000028</v>
      </c>
      <c r="LW38" s="70">
        <v>198.10000000000028</v>
      </c>
      <c r="LX38" s="70">
        <v>197.35000000000028</v>
      </c>
      <c r="LY38" s="70">
        <v>196.60000000000028</v>
      </c>
      <c r="LZ38" s="70">
        <v>195.85000000000028</v>
      </c>
      <c r="MA38" s="70">
        <v>195.10000000000028</v>
      </c>
      <c r="MB38" s="70">
        <v>194.35000000000028</v>
      </c>
      <c r="MC38" s="70">
        <v>193.60000000000028</v>
      </c>
      <c r="MD38" s="70">
        <v>192.85000000000028</v>
      </c>
      <c r="ME38" s="70">
        <v>192.10000000000028</v>
      </c>
      <c r="MF38" s="70">
        <v>191.35000000000028</v>
      </c>
      <c r="MG38" s="70">
        <v>190.60000000000028</v>
      </c>
      <c r="MH38" s="70">
        <v>189.85000000000028</v>
      </c>
      <c r="MI38" s="70">
        <v>189.10000000000028</v>
      </c>
      <c r="MJ38" s="70">
        <v>188.35000000000028</v>
      </c>
      <c r="MK38" s="70">
        <v>187.60000000000028</v>
      </c>
      <c r="ML38" s="70">
        <v>186.85000000000028</v>
      </c>
      <c r="MM38" s="70">
        <v>186.10000000000028</v>
      </c>
      <c r="MN38" s="70">
        <v>185.35000000000028</v>
      </c>
      <c r="MO38" s="70">
        <v>184.60000000000028</v>
      </c>
      <c r="MP38" s="70">
        <v>183.85000000000028</v>
      </c>
      <c r="MQ38" s="70">
        <v>183.10000000000028</v>
      </c>
      <c r="MR38" s="70">
        <v>182.35000000000028</v>
      </c>
      <c r="MS38" s="70">
        <v>181.60000000000028</v>
      </c>
      <c r="MT38" s="70">
        <v>180.85000000000028</v>
      </c>
      <c r="MU38" s="70">
        <v>180.10000000000028</v>
      </c>
      <c r="MV38" s="70">
        <v>179.35000000000028</v>
      </c>
      <c r="MW38" s="70">
        <v>178.60000000000028</v>
      </c>
      <c r="MX38" s="70">
        <v>177.85000000000028</v>
      </c>
      <c r="MY38" s="70">
        <v>177.10000000000028</v>
      </c>
    </row>
    <row r="39" spans="1:363" ht="15.6" x14ac:dyDescent="0.3">
      <c r="A39" s="67" t="s">
        <v>7</v>
      </c>
      <c r="B39" s="72">
        <v>2049</v>
      </c>
      <c r="C39" s="70">
        <v>507.63</v>
      </c>
      <c r="D39" s="70">
        <v>506.6</v>
      </c>
      <c r="E39" s="70">
        <v>505.58</v>
      </c>
      <c r="F39" s="70">
        <v>504.55</v>
      </c>
      <c r="G39" s="70">
        <v>503.53</v>
      </c>
      <c r="H39" s="70">
        <v>502.5</v>
      </c>
      <c r="I39" s="70">
        <v>501.48</v>
      </c>
      <c r="J39" s="70">
        <v>500.46</v>
      </c>
      <c r="K39" s="70">
        <v>499.43</v>
      </c>
      <c r="L39" s="70">
        <v>498.41</v>
      </c>
      <c r="M39" s="70">
        <v>497.38</v>
      </c>
      <c r="N39" s="70">
        <v>496.36</v>
      </c>
      <c r="O39" s="70">
        <v>495.33</v>
      </c>
      <c r="P39" s="70">
        <v>494.31</v>
      </c>
      <c r="Q39" s="70">
        <v>493.28</v>
      </c>
      <c r="R39" s="70">
        <v>492.26</v>
      </c>
      <c r="S39" s="70">
        <v>491.24</v>
      </c>
      <c r="T39" s="70">
        <v>490.21</v>
      </c>
      <c r="U39" s="70">
        <v>489.19</v>
      </c>
      <c r="V39" s="70">
        <v>488.16</v>
      </c>
      <c r="W39" s="70">
        <v>487.14</v>
      </c>
      <c r="X39" s="70">
        <v>486.12</v>
      </c>
      <c r="Y39" s="70">
        <v>485.09</v>
      </c>
      <c r="Z39" s="70">
        <v>484.07</v>
      </c>
      <c r="AA39" s="70">
        <v>483.04</v>
      </c>
      <c r="AB39" s="70">
        <v>482.02</v>
      </c>
      <c r="AC39" s="70">
        <v>481</v>
      </c>
      <c r="AD39" s="70">
        <v>479.97</v>
      </c>
      <c r="AE39" s="70">
        <v>478.95</v>
      </c>
      <c r="AF39" s="70">
        <v>477.92</v>
      </c>
      <c r="AG39" s="70">
        <v>476.9</v>
      </c>
      <c r="AH39" s="70">
        <v>475.88</v>
      </c>
      <c r="AI39" s="70">
        <v>474.85</v>
      </c>
      <c r="AJ39" s="70">
        <v>473.83</v>
      </c>
      <c r="AK39" s="70">
        <v>472.81</v>
      </c>
      <c r="AL39" s="70">
        <v>471.78</v>
      </c>
      <c r="AM39" s="70">
        <v>470.76</v>
      </c>
      <c r="AN39" s="70">
        <v>469.74</v>
      </c>
      <c r="AO39" s="70">
        <v>468.71</v>
      </c>
      <c r="AP39" s="70">
        <v>467.69</v>
      </c>
      <c r="AQ39" s="70">
        <v>466.67</v>
      </c>
      <c r="AR39" s="70">
        <v>465.65</v>
      </c>
      <c r="AS39" s="70">
        <v>464.62</v>
      </c>
      <c r="AT39" s="70">
        <v>463.6</v>
      </c>
      <c r="AU39" s="70">
        <v>462.58</v>
      </c>
      <c r="AV39" s="70">
        <v>461.56</v>
      </c>
      <c r="AW39" s="70">
        <v>460.53</v>
      </c>
      <c r="AX39" s="70">
        <v>459.51</v>
      </c>
      <c r="AY39" s="70">
        <v>458.49</v>
      </c>
      <c r="AZ39" s="70">
        <v>457.47</v>
      </c>
      <c r="BA39" s="70">
        <v>456.45</v>
      </c>
      <c r="BB39" s="70">
        <v>455.43</v>
      </c>
      <c r="BC39" s="70">
        <v>454.41</v>
      </c>
      <c r="BD39" s="70">
        <v>453.39</v>
      </c>
      <c r="BE39" s="70">
        <v>452.36</v>
      </c>
      <c r="BF39" s="70">
        <v>451.34</v>
      </c>
      <c r="BG39" s="70">
        <v>450.32</v>
      </c>
      <c r="BH39" s="70">
        <v>449.3</v>
      </c>
      <c r="BI39" s="70">
        <v>448.28</v>
      </c>
      <c r="BJ39" s="70">
        <v>447.26</v>
      </c>
      <c r="BK39" s="70">
        <v>446.24</v>
      </c>
      <c r="BL39" s="70">
        <v>445.22</v>
      </c>
      <c r="BM39" s="70">
        <v>444.2</v>
      </c>
      <c r="BN39" s="70">
        <v>443.19</v>
      </c>
      <c r="BO39" s="70">
        <v>442.17</v>
      </c>
      <c r="BP39" s="70">
        <v>441.15</v>
      </c>
      <c r="BQ39" s="70">
        <v>440.13</v>
      </c>
      <c r="BR39" s="70">
        <v>439.11</v>
      </c>
      <c r="BS39" s="70">
        <v>438.09</v>
      </c>
      <c r="BT39" s="70">
        <v>437.08</v>
      </c>
      <c r="BU39" s="70">
        <v>436.06</v>
      </c>
      <c r="BV39" s="70">
        <v>435.04</v>
      </c>
      <c r="BW39" s="70">
        <v>434.02</v>
      </c>
      <c r="BX39" s="70">
        <v>433.01</v>
      </c>
      <c r="BY39" s="70">
        <v>431.99</v>
      </c>
      <c r="BZ39" s="70">
        <v>430.98</v>
      </c>
      <c r="CA39" s="70">
        <v>429.96</v>
      </c>
      <c r="CB39" s="70">
        <v>428.95</v>
      </c>
      <c r="CC39" s="70">
        <v>427.94</v>
      </c>
      <c r="CD39" s="70">
        <v>426.92</v>
      </c>
      <c r="CE39" s="70">
        <v>425.91</v>
      </c>
      <c r="CF39" s="70">
        <v>424.89</v>
      </c>
      <c r="CG39" s="70">
        <v>423.88</v>
      </c>
      <c r="CH39" s="70">
        <v>422.87</v>
      </c>
      <c r="CI39" s="70">
        <v>421.85</v>
      </c>
      <c r="CJ39" s="70">
        <v>420.84</v>
      </c>
      <c r="CK39" s="70">
        <v>419.83</v>
      </c>
      <c r="CL39" s="70">
        <v>418.82</v>
      </c>
      <c r="CM39" s="70">
        <v>417.82</v>
      </c>
      <c r="CN39" s="70">
        <v>416.81</v>
      </c>
      <c r="CO39" s="70">
        <v>415.8</v>
      </c>
      <c r="CP39" s="70">
        <v>414.79</v>
      </c>
      <c r="CQ39" s="70">
        <v>413.78</v>
      </c>
      <c r="CR39" s="70">
        <v>412.77</v>
      </c>
      <c r="CS39" s="70">
        <v>411.76</v>
      </c>
      <c r="CT39" s="70">
        <v>410.75</v>
      </c>
      <c r="CU39" s="70">
        <v>409.75</v>
      </c>
      <c r="CV39" s="70">
        <v>408.74</v>
      </c>
      <c r="CW39" s="70">
        <v>407.74</v>
      </c>
      <c r="CX39" s="70">
        <v>406.74</v>
      </c>
      <c r="CY39" s="70">
        <v>405.73</v>
      </c>
      <c r="CZ39" s="70">
        <v>404.73</v>
      </c>
      <c r="DA39" s="70">
        <v>403.73</v>
      </c>
      <c r="DB39" s="70">
        <v>402.73</v>
      </c>
      <c r="DC39" s="70">
        <v>401.72</v>
      </c>
      <c r="DD39" s="70">
        <v>400.72</v>
      </c>
      <c r="DE39" s="70">
        <v>399.72</v>
      </c>
      <c r="DF39" s="70">
        <v>398.72</v>
      </c>
      <c r="DG39" s="70">
        <v>397.72</v>
      </c>
      <c r="DH39" s="70">
        <v>396.72</v>
      </c>
      <c r="DI39" s="70">
        <v>395.73</v>
      </c>
      <c r="DJ39" s="70">
        <v>394.73</v>
      </c>
      <c r="DK39" s="70">
        <v>393.73</v>
      </c>
      <c r="DL39" s="70">
        <v>392.74</v>
      </c>
      <c r="DM39" s="70">
        <v>391.74</v>
      </c>
      <c r="DN39" s="70">
        <v>390.75</v>
      </c>
      <c r="DO39" s="70">
        <v>389.76</v>
      </c>
      <c r="DP39" s="70">
        <v>388.76</v>
      </c>
      <c r="DQ39" s="70">
        <v>387.77</v>
      </c>
      <c r="DR39" s="70">
        <v>386.77</v>
      </c>
      <c r="DS39" s="70">
        <v>385.78</v>
      </c>
      <c r="DT39" s="70">
        <v>384.79</v>
      </c>
      <c r="DU39" s="70">
        <v>383.81</v>
      </c>
      <c r="DV39" s="70">
        <v>382.82</v>
      </c>
      <c r="DW39" s="70">
        <v>381.83</v>
      </c>
      <c r="DX39" s="70">
        <v>380.85</v>
      </c>
      <c r="DY39" s="70">
        <v>379.86</v>
      </c>
      <c r="DZ39" s="70">
        <v>378.88</v>
      </c>
      <c r="EA39" s="70">
        <v>377.89</v>
      </c>
      <c r="EB39" s="70">
        <v>376.91</v>
      </c>
      <c r="EC39" s="70">
        <v>375.93</v>
      </c>
      <c r="ED39" s="70">
        <v>374.94</v>
      </c>
      <c r="EE39" s="70">
        <v>373.96</v>
      </c>
      <c r="EF39" s="70">
        <v>372.99</v>
      </c>
      <c r="EG39" s="70">
        <v>372.01</v>
      </c>
      <c r="EH39" s="70">
        <v>371.04</v>
      </c>
      <c r="EI39" s="70">
        <v>370.07</v>
      </c>
      <c r="EJ39" s="70">
        <v>369.09</v>
      </c>
      <c r="EK39" s="70">
        <v>368.12</v>
      </c>
      <c r="EL39" s="70">
        <v>367.15</v>
      </c>
      <c r="EM39" s="70">
        <v>366.18</v>
      </c>
      <c r="EN39" s="70">
        <v>365.21</v>
      </c>
      <c r="EO39" s="70">
        <v>364.24</v>
      </c>
      <c r="EP39" s="70">
        <v>363.27</v>
      </c>
      <c r="EQ39" s="70">
        <v>362.3</v>
      </c>
      <c r="ER39" s="70">
        <v>361.33</v>
      </c>
      <c r="ES39" s="70">
        <v>360.37</v>
      </c>
      <c r="ET39" s="70">
        <v>359.41</v>
      </c>
      <c r="EU39" s="70">
        <v>358.44</v>
      </c>
      <c r="EV39" s="70">
        <v>357.48</v>
      </c>
      <c r="EW39" s="70">
        <v>356.52</v>
      </c>
      <c r="EX39" s="70">
        <v>355.56</v>
      </c>
      <c r="EY39" s="70">
        <v>354.6</v>
      </c>
      <c r="EZ39" s="70">
        <v>353.64</v>
      </c>
      <c r="FA39" s="70">
        <v>352.68</v>
      </c>
      <c r="FB39" s="70">
        <v>351.72</v>
      </c>
      <c r="FC39" s="70">
        <v>350.76</v>
      </c>
      <c r="FD39" s="70">
        <v>349.8</v>
      </c>
      <c r="FE39" s="70">
        <v>348.85</v>
      </c>
      <c r="FF39" s="70">
        <v>347.89</v>
      </c>
      <c r="FG39" s="70">
        <v>346.93</v>
      </c>
      <c r="FH39" s="70">
        <v>345.98</v>
      </c>
      <c r="FI39" s="70">
        <v>345.02</v>
      </c>
      <c r="FJ39" s="70">
        <v>344.07</v>
      </c>
      <c r="FK39" s="70">
        <v>343.12</v>
      </c>
      <c r="FL39" s="70">
        <v>342.17</v>
      </c>
      <c r="FM39" s="70">
        <v>341.21</v>
      </c>
      <c r="FN39" s="70">
        <v>340.26</v>
      </c>
      <c r="FO39" s="70">
        <v>339.31</v>
      </c>
      <c r="FP39" s="70">
        <v>338.36</v>
      </c>
      <c r="FQ39" s="70">
        <v>337.42</v>
      </c>
      <c r="FR39" s="70">
        <v>336.47</v>
      </c>
      <c r="FS39" s="70">
        <v>335.52</v>
      </c>
      <c r="FT39" s="70">
        <v>334.57</v>
      </c>
      <c r="FU39" s="70">
        <v>333.63</v>
      </c>
      <c r="FV39" s="70">
        <v>332.68</v>
      </c>
      <c r="FW39" s="70">
        <v>331.74</v>
      </c>
      <c r="FX39" s="70">
        <v>330.8</v>
      </c>
      <c r="FY39" s="70">
        <v>329.85</v>
      </c>
      <c r="FZ39" s="70">
        <v>328.91</v>
      </c>
      <c r="GA39" s="70">
        <v>327.97</v>
      </c>
      <c r="GB39" s="70">
        <v>327.02999999999997</v>
      </c>
      <c r="GC39" s="70">
        <v>326.08999999999997</v>
      </c>
      <c r="GD39" s="70">
        <v>325.14999999999998</v>
      </c>
      <c r="GE39" s="70">
        <v>324.22000000000003</v>
      </c>
      <c r="GF39" s="70">
        <v>323.27999999999997</v>
      </c>
      <c r="GG39" s="70">
        <v>322.33999999999997</v>
      </c>
      <c r="GH39" s="70">
        <v>321.41000000000003</v>
      </c>
      <c r="GI39" s="70">
        <v>320.47000000000003</v>
      </c>
      <c r="GJ39" s="70">
        <v>319.54000000000002</v>
      </c>
      <c r="GK39" s="70">
        <v>318.60000000000002</v>
      </c>
      <c r="GL39" s="70">
        <v>317.68</v>
      </c>
      <c r="GM39" s="70">
        <v>316.75</v>
      </c>
      <c r="GN39" s="70">
        <v>315.82</v>
      </c>
      <c r="GO39" s="70">
        <v>314.89</v>
      </c>
      <c r="GP39" s="70">
        <v>313.95999999999998</v>
      </c>
      <c r="GQ39" s="70">
        <v>313.04000000000002</v>
      </c>
      <c r="GR39" s="70">
        <v>312.10000000000002</v>
      </c>
      <c r="GS39" s="70">
        <v>311.19</v>
      </c>
      <c r="GT39" s="70">
        <v>310.26</v>
      </c>
      <c r="GU39" s="70">
        <v>309.35000000000002</v>
      </c>
      <c r="GV39" s="70">
        <v>308.43</v>
      </c>
      <c r="GW39" s="70">
        <v>307.51</v>
      </c>
      <c r="GX39" s="70">
        <v>306.58999999999997</v>
      </c>
      <c r="GY39" s="70">
        <v>305.67</v>
      </c>
      <c r="GZ39" s="70">
        <v>304.75</v>
      </c>
      <c r="HA39" s="70">
        <v>303.83999999999997</v>
      </c>
      <c r="HB39" s="70">
        <v>302.92</v>
      </c>
      <c r="HC39" s="70">
        <v>302.01</v>
      </c>
      <c r="HD39" s="70">
        <v>301.10000000000002</v>
      </c>
      <c r="HE39" s="70">
        <v>300.19</v>
      </c>
      <c r="HF39" s="70">
        <v>299.27999999999997</v>
      </c>
      <c r="HG39" s="70">
        <v>298.37</v>
      </c>
      <c r="HH39" s="70">
        <v>297.45999999999998</v>
      </c>
      <c r="HI39" s="70">
        <v>296.54000000000002</v>
      </c>
      <c r="HJ39" s="70">
        <v>295.64999999999998</v>
      </c>
      <c r="HK39" s="70">
        <v>294.74</v>
      </c>
      <c r="HL39" s="70">
        <v>293.83999999999997</v>
      </c>
      <c r="HM39" s="70">
        <v>292.94</v>
      </c>
      <c r="HN39" s="70">
        <v>292.04000000000002</v>
      </c>
      <c r="HO39" s="70">
        <v>291.14</v>
      </c>
      <c r="HP39" s="70">
        <v>290.25</v>
      </c>
      <c r="HQ39" s="70">
        <v>289.35000000000002</v>
      </c>
      <c r="HR39" s="70">
        <v>288.45</v>
      </c>
      <c r="HS39" s="70">
        <v>287.56</v>
      </c>
      <c r="HT39" s="70">
        <v>286.67</v>
      </c>
      <c r="HU39" s="70">
        <v>285.77999999999997</v>
      </c>
      <c r="HV39" s="70">
        <v>284.88</v>
      </c>
      <c r="HW39" s="70">
        <v>283.99</v>
      </c>
      <c r="HX39" s="70">
        <v>283.10000000000002</v>
      </c>
      <c r="HY39" s="70">
        <v>282.22000000000003</v>
      </c>
      <c r="HZ39" s="70">
        <v>281.32</v>
      </c>
      <c r="IA39" s="70">
        <v>280.45</v>
      </c>
      <c r="IB39" s="70">
        <v>279.56</v>
      </c>
      <c r="IC39" s="70">
        <v>278.68</v>
      </c>
      <c r="ID39" s="70">
        <v>277.79000000000002</v>
      </c>
      <c r="IE39" s="70">
        <v>276.91000000000003</v>
      </c>
      <c r="IF39" s="70">
        <v>276.02999999999997</v>
      </c>
      <c r="IG39" s="70">
        <v>275.14999999999998</v>
      </c>
      <c r="IH39" s="70">
        <v>274.27999999999997</v>
      </c>
      <c r="II39" s="70">
        <v>273.39999999999998</v>
      </c>
      <c r="IJ39" s="70">
        <v>272.51</v>
      </c>
      <c r="IK39" s="70">
        <v>271.64999999999998</v>
      </c>
      <c r="IL39" s="70">
        <v>270.76</v>
      </c>
      <c r="IM39" s="70">
        <v>269.89999999999998</v>
      </c>
      <c r="IN39" s="70">
        <v>269.02999999999997</v>
      </c>
      <c r="IO39" s="70">
        <v>268.16000000000003</v>
      </c>
      <c r="IP39" s="70">
        <v>267.29000000000002</v>
      </c>
      <c r="IQ39" s="70">
        <v>266.43</v>
      </c>
      <c r="IR39" s="70">
        <v>265.56</v>
      </c>
      <c r="IS39" s="70">
        <v>264.69</v>
      </c>
      <c r="IT39" s="70">
        <v>263.82</v>
      </c>
      <c r="IU39" s="70">
        <v>262.97000000000003</v>
      </c>
      <c r="IV39" s="70">
        <v>262.10000000000002</v>
      </c>
      <c r="IW39" s="70">
        <v>261.25</v>
      </c>
      <c r="IX39" s="70">
        <v>260.39</v>
      </c>
      <c r="IY39" s="70">
        <v>259.52999999999997</v>
      </c>
      <c r="IZ39" s="70">
        <v>258.68</v>
      </c>
      <c r="JA39" s="70">
        <v>257.82</v>
      </c>
      <c r="JB39" s="70">
        <v>256.97000000000003</v>
      </c>
      <c r="JC39" s="70">
        <v>256.12</v>
      </c>
      <c r="JD39" s="70">
        <v>255.27</v>
      </c>
      <c r="JE39" s="70">
        <v>254.42</v>
      </c>
      <c r="JF39" s="70">
        <v>253.57</v>
      </c>
      <c r="JG39" s="70">
        <v>252.72</v>
      </c>
      <c r="JH39" s="70">
        <v>251.87</v>
      </c>
      <c r="JI39" s="70">
        <v>251.03</v>
      </c>
      <c r="JJ39" s="70">
        <v>250.18</v>
      </c>
      <c r="JK39" s="70">
        <v>249.34</v>
      </c>
      <c r="JL39" s="70">
        <v>248.49</v>
      </c>
      <c r="JM39" s="70">
        <v>247.65</v>
      </c>
      <c r="JN39" s="70">
        <v>246.81</v>
      </c>
      <c r="JO39" s="70">
        <v>245.97</v>
      </c>
      <c r="JP39" s="70">
        <v>245.13</v>
      </c>
      <c r="JQ39" s="70">
        <v>244.3</v>
      </c>
      <c r="JR39" s="70">
        <v>243.46</v>
      </c>
      <c r="JS39" s="70">
        <v>242.62</v>
      </c>
      <c r="JT39" s="70">
        <v>241.79</v>
      </c>
      <c r="JU39" s="70">
        <v>240.96</v>
      </c>
      <c r="JV39" s="70">
        <v>240.13</v>
      </c>
      <c r="JW39" s="70">
        <v>239.29</v>
      </c>
      <c r="JX39" s="70">
        <v>238.47</v>
      </c>
      <c r="JY39" s="70">
        <v>237.64</v>
      </c>
      <c r="JZ39" s="70">
        <v>236.81</v>
      </c>
      <c r="KA39" s="70">
        <v>235.98</v>
      </c>
      <c r="KB39" s="70">
        <v>235.16</v>
      </c>
      <c r="KC39" s="70">
        <v>234.33</v>
      </c>
      <c r="KD39" s="70">
        <v>233.51</v>
      </c>
      <c r="KE39" s="70">
        <v>232.68</v>
      </c>
      <c r="KF39" s="70">
        <v>231.86</v>
      </c>
      <c r="KG39" s="70">
        <v>231.04</v>
      </c>
      <c r="KH39" s="70">
        <v>230.22</v>
      </c>
      <c r="KI39" s="70">
        <v>229.4</v>
      </c>
      <c r="KJ39" s="70">
        <v>228.58</v>
      </c>
      <c r="KK39" s="70">
        <v>227.77</v>
      </c>
      <c r="KL39" s="70">
        <v>226.95</v>
      </c>
      <c r="KM39" s="70">
        <v>226.14</v>
      </c>
      <c r="KN39" s="70">
        <v>225.33</v>
      </c>
      <c r="KO39" s="70">
        <v>224.52</v>
      </c>
      <c r="KP39" s="70">
        <v>223.71</v>
      </c>
      <c r="KQ39" s="70">
        <v>222.9</v>
      </c>
      <c r="KR39" s="70">
        <v>221.81000000000029</v>
      </c>
      <c r="KS39" s="70">
        <v>221.06000000000029</v>
      </c>
      <c r="KT39" s="70">
        <v>220.31000000000029</v>
      </c>
      <c r="KU39" s="70">
        <v>219.56000000000029</v>
      </c>
      <c r="KV39" s="70">
        <v>218.81000000000029</v>
      </c>
      <c r="KW39" s="70">
        <v>218.06000000000029</v>
      </c>
      <c r="KX39" s="70">
        <v>217.31000000000029</v>
      </c>
      <c r="KY39" s="70">
        <v>216.56000000000029</v>
      </c>
      <c r="KZ39" s="70">
        <v>215.81000000000029</v>
      </c>
      <c r="LA39" s="70">
        <v>215.06000000000029</v>
      </c>
      <c r="LB39" s="70">
        <v>214.31000000000029</v>
      </c>
      <c r="LC39" s="70">
        <v>213.56000000000029</v>
      </c>
      <c r="LD39" s="70">
        <v>212.81000000000029</v>
      </c>
      <c r="LE39" s="70">
        <v>212.06000000000029</v>
      </c>
      <c r="LF39" s="70">
        <v>211.31000000000029</v>
      </c>
      <c r="LG39" s="70">
        <v>210.56000000000029</v>
      </c>
      <c r="LH39" s="70">
        <v>209.81000000000029</v>
      </c>
      <c r="LI39" s="70">
        <v>209.06000000000029</v>
      </c>
      <c r="LJ39" s="70">
        <v>208.31000000000029</v>
      </c>
      <c r="LK39" s="70">
        <v>207.56000000000029</v>
      </c>
      <c r="LL39" s="70">
        <v>206.81000000000029</v>
      </c>
      <c r="LM39" s="70">
        <v>206.06000000000029</v>
      </c>
      <c r="LN39" s="70">
        <v>205.31000000000029</v>
      </c>
      <c r="LO39" s="70">
        <v>204.56000000000029</v>
      </c>
      <c r="LP39" s="70">
        <v>203.81000000000029</v>
      </c>
      <c r="LQ39" s="70">
        <v>203.06000000000029</v>
      </c>
      <c r="LR39" s="70">
        <v>202.31000000000029</v>
      </c>
      <c r="LS39" s="70">
        <v>201.56000000000029</v>
      </c>
      <c r="LT39" s="70">
        <v>200.81000000000029</v>
      </c>
      <c r="LU39" s="70">
        <v>200.06000000000029</v>
      </c>
      <c r="LV39" s="70">
        <v>199.31000000000029</v>
      </c>
      <c r="LW39" s="70">
        <v>198.56000000000029</v>
      </c>
      <c r="LX39" s="70">
        <v>197.81000000000029</v>
      </c>
      <c r="LY39" s="70">
        <v>197.06000000000029</v>
      </c>
      <c r="LZ39" s="70">
        <v>196.31000000000029</v>
      </c>
      <c r="MA39" s="70">
        <v>195.56000000000029</v>
      </c>
      <c r="MB39" s="70">
        <v>194.81000000000029</v>
      </c>
      <c r="MC39" s="70">
        <v>194.06000000000029</v>
      </c>
      <c r="MD39" s="70">
        <v>193.31000000000029</v>
      </c>
      <c r="ME39" s="70">
        <v>192.56000000000029</v>
      </c>
      <c r="MF39" s="70">
        <v>191.81000000000029</v>
      </c>
      <c r="MG39" s="70">
        <v>191.06000000000029</v>
      </c>
      <c r="MH39" s="70">
        <v>190.31000000000029</v>
      </c>
      <c r="MI39" s="70">
        <v>189.56000000000029</v>
      </c>
      <c r="MJ39" s="70">
        <v>188.81000000000029</v>
      </c>
      <c r="MK39" s="70">
        <v>188.06000000000029</v>
      </c>
      <c r="ML39" s="70">
        <v>187.31000000000029</v>
      </c>
      <c r="MM39" s="70">
        <v>186.56000000000029</v>
      </c>
      <c r="MN39" s="70">
        <v>185.81000000000029</v>
      </c>
      <c r="MO39" s="70">
        <v>185.06000000000029</v>
      </c>
      <c r="MP39" s="70">
        <v>184.31000000000029</v>
      </c>
      <c r="MQ39" s="70">
        <v>183.56000000000029</v>
      </c>
      <c r="MR39" s="70">
        <v>182.81000000000029</v>
      </c>
      <c r="MS39" s="70">
        <v>182.06000000000029</v>
      </c>
      <c r="MT39" s="70">
        <v>181.31000000000029</v>
      </c>
      <c r="MU39" s="70">
        <v>180.56000000000029</v>
      </c>
      <c r="MV39" s="70">
        <v>179.81000000000029</v>
      </c>
      <c r="MW39" s="70">
        <v>179.06000000000029</v>
      </c>
      <c r="MX39" s="70">
        <v>178.31000000000029</v>
      </c>
      <c r="MY39" s="70">
        <v>177.56000000000029</v>
      </c>
    </row>
    <row r="40" spans="1:363" ht="15.6" x14ac:dyDescent="0.3">
      <c r="A40" s="67" t="s">
        <v>7</v>
      </c>
      <c r="B40" s="72">
        <v>2050</v>
      </c>
      <c r="C40" s="70">
        <v>508.18</v>
      </c>
      <c r="D40" s="70">
        <v>507.16</v>
      </c>
      <c r="E40" s="70">
        <v>506.13</v>
      </c>
      <c r="F40" s="70">
        <v>505.11</v>
      </c>
      <c r="G40" s="70">
        <v>504.08</v>
      </c>
      <c r="H40" s="70">
        <v>503.06</v>
      </c>
      <c r="I40" s="70">
        <v>502.03</v>
      </c>
      <c r="J40" s="70">
        <v>501.01</v>
      </c>
      <c r="K40" s="70">
        <v>499.98</v>
      </c>
      <c r="L40" s="70">
        <v>498.96</v>
      </c>
      <c r="M40" s="70">
        <v>497.93</v>
      </c>
      <c r="N40" s="70">
        <v>496.91</v>
      </c>
      <c r="O40" s="70">
        <v>495.88</v>
      </c>
      <c r="P40" s="70">
        <v>494.86</v>
      </c>
      <c r="Q40" s="70">
        <v>493.83</v>
      </c>
      <c r="R40" s="70">
        <v>492.81</v>
      </c>
      <c r="S40" s="70">
        <v>491.79</v>
      </c>
      <c r="T40" s="70">
        <v>490.76</v>
      </c>
      <c r="U40" s="70">
        <v>489.74</v>
      </c>
      <c r="V40" s="70">
        <v>488.71</v>
      </c>
      <c r="W40" s="70">
        <v>487.69</v>
      </c>
      <c r="X40" s="70">
        <v>486.66</v>
      </c>
      <c r="Y40" s="70">
        <v>485.64</v>
      </c>
      <c r="Z40" s="70">
        <v>484.62</v>
      </c>
      <c r="AA40" s="70">
        <v>483.59</v>
      </c>
      <c r="AB40" s="70">
        <v>482.57</v>
      </c>
      <c r="AC40" s="70">
        <v>481.54</v>
      </c>
      <c r="AD40" s="70">
        <v>480.52</v>
      </c>
      <c r="AE40" s="70">
        <v>479.5</v>
      </c>
      <c r="AF40" s="70">
        <v>478.47</v>
      </c>
      <c r="AG40" s="70">
        <v>477.45</v>
      </c>
      <c r="AH40" s="70">
        <v>476.42</v>
      </c>
      <c r="AI40" s="70">
        <v>475.4</v>
      </c>
      <c r="AJ40" s="70">
        <v>474.38</v>
      </c>
      <c r="AK40" s="70">
        <v>473.35</v>
      </c>
      <c r="AL40" s="70">
        <v>472.33</v>
      </c>
      <c r="AM40" s="70">
        <v>471.3</v>
      </c>
      <c r="AN40" s="70">
        <v>470.28</v>
      </c>
      <c r="AO40" s="70">
        <v>469.26</v>
      </c>
      <c r="AP40" s="70">
        <v>468.24</v>
      </c>
      <c r="AQ40" s="70">
        <v>467.21</v>
      </c>
      <c r="AR40" s="70">
        <v>466.19</v>
      </c>
      <c r="AS40" s="70">
        <v>465.17</v>
      </c>
      <c r="AT40" s="70">
        <v>464.15</v>
      </c>
      <c r="AU40" s="70">
        <v>463.12</v>
      </c>
      <c r="AV40" s="70">
        <v>462.1</v>
      </c>
      <c r="AW40" s="70">
        <v>461.08</v>
      </c>
      <c r="AX40" s="70">
        <v>460.06</v>
      </c>
      <c r="AY40" s="70">
        <v>459.03</v>
      </c>
      <c r="AZ40" s="70">
        <v>458.01</v>
      </c>
      <c r="BA40" s="70">
        <v>456.99</v>
      </c>
      <c r="BB40" s="70">
        <v>455.97</v>
      </c>
      <c r="BC40" s="70">
        <v>454.95</v>
      </c>
      <c r="BD40" s="70">
        <v>453.93</v>
      </c>
      <c r="BE40" s="70">
        <v>452.91</v>
      </c>
      <c r="BF40" s="70">
        <v>451.88</v>
      </c>
      <c r="BG40" s="70">
        <v>450.86</v>
      </c>
      <c r="BH40" s="70">
        <v>449.84</v>
      </c>
      <c r="BI40" s="70">
        <v>448.82</v>
      </c>
      <c r="BJ40" s="70">
        <v>447.8</v>
      </c>
      <c r="BK40" s="70">
        <v>446.78</v>
      </c>
      <c r="BL40" s="70">
        <v>445.76</v>
      </c>
      <c r="BM40" s="70">
        <v>444.74</v>
      </c>
      <c r="BN40" s="70">
        <v>443.72</v>
      </c>
      <c r="BO40" s="70">
        <v>442.7</v>
      </c>
      <c r="BP40" s="70">
        <v>441.69</v>
      </c>
      <c r="BQ40" s="70">
        <v>440.67</v>
      </c>
      <c r="BR40" s="70">
        <v>439.65</v>
      </c>
      <c r="BS40" s="70">
        <v>438.63</v>
      </c>
      <c r="BT40" s="70">
        <v>437.61</v>
      </c>
      <c r="BU40" s="70">
        <v>436.59</v>
      </c>
      <c r="BV40" s="70">
        <v>435.58</v>
      </c>
      <c r="BW40" s="70">
        <v>434.56</v>
      </c>
      <c r="BX40" s="70">
        <v>433.54</v>
      </c>
      <c r="BY40" s="70">
        <v>432.53</v>
      </c>
      <c r="BZ40" s="70">
        <v>431.51</v>
      </c>
      <c r="CA40" s="70">
        <v>430.5</v>
      </c>
      <c r="CB40" s="70">
        <v>429.48</v>
      </c>
      <c r="CC40" s="70">
        <v>428.47</v>
      </c>
      <c r="CD40" s="70">
        <v>427.45</v>
      </c>
      <c r="CE40" s="70">
        <v>426.44</v>
      </c>
      <c r="CF40" s="70">
        <v>425.43</v>
      </c>
      <c r="CG40" s="70">
        <v>424.41</v>
      </c>
      <c r="CH40" s="70">
        <v>423.4</v>
      </c>
      <c r="CI40" s="70">
        <v>422.38</v>
      </c>
      <c r="CJ40" s="70">
        <v>421.37</v>
      </c>
      <c r="CK40" s="70">
        <v>420.36</v>
      </c>
      <c r="CL40" s="70">
        <v>419.35</v>
      </c>
      <c r="CM40" s="70">
        <v>418.35</v>
      </c>
      <c r="CN40" s="70">
        <v>417.34</v>
      </c>
      <c r="CO40" s="70">
        <v>416.33</v>
      </c>
      <c r="CP40" s="70">
        <v>415.32</v>
      </c>
      <c r="CQ40" s="70">
        <v>414.31</v>
      </c>
      <c r="CR40" s="70">
        <v>413.3</v>
      </c>
      <c r="CS40" s="70">
        <v>412.29</v>
      </c>
      <c r="CT40" s="70">
        <v>411.28</v>
      </c>
      <c r="CU40" s="70">
        <v>410.27</v>
      </c>
      <c r="CV40" s="70">
        <v>409.27</v>
      </c>
      <c r="CW40" s="70">
        <v>408.27</v>
      </c>
      <c r="CX40" s="70">
        <v>407.26</v>
      </c>
      <c r="CY40" s="70">
        <v>406.26</v>
      </c>
      <c r="CZ40" s="70">
        <v>405.26</v>
      </c>
      <c r="DA40" s="70">
        <v>404.25</v>
      </c>
      <c r="DB40" s="70">
        <v>403.25</v>
      </c>
      <c r="DC40" s="70">
        <v>402.25</v>
      </c>
      <c r="DD40" s="70">
        <v>401.25</v>
      </c>
      <c r="DE40" s="70">
        <v>400.24</v>
      </c>
      <c r="DF40" s="70">
        <v>399.24</v>
      </c>
      <c r="DG40" s="70">
        <v>398.24</v>
      </c>
      <c r="DH40" s="70">
        <v>397.24</v>
      </c>
      <c r="DI40" s="70">
        <v>396.25</v>
      </c>
      <c r="DJ40" s="70">
        <v>395.25</v>
      </c>
      <c r="DK40" s="70">
        <v>394.26</v>
      </c>
      <c r="DL40" s="70">
        <v>393.26</v>
      </c>
      <c r="DM40" s="70">
        <v>392.27</v>
      </c>
      <c r="DN40" s="70">
        <v>391.27</v>
      </c>
      <c r="DO40" s="70">
        <v>390.28</v>
      </c>
      <c r="DP40" s="70">
        <v>389.28</v>
      </c>
      <c r="DQ40" s="70">
        <v>388.29</v>
      </c>
      <c r="DR40" s="70">
        <v>387.29</v>
      </c>
      <c r="DS40" s="70">
        <v>386.3</v>
      </c>
      <c r="DT40" s="70">
        <v>385.31</v>
      </c>
      <c r="DU40" s="70">
        <v>384.32</v>
      </c>
      <c r="DV40" s="70">
        <v>383.34</v>
      </c>
      <c r="DW40" s="70">
        <v>382.35</v>
      </c>
      <c r="DX40" s="70">
        <v>381.37</v>
      </c>
      <c r="DY40" s="70">
        <v>380.38</v>
      </c>
      <c r="DZ40" s="70">
        <v>379.4</v>
      </c>
      <c r="EA40" s="70">
        <v>378.41</v>
      </c>
      <c r="EB40" s="70">
        <v>377.43</v>
      </c>
      <c r="EC40" s="70">
        <v>376.44</v>
      </c>
      <c r="ED40" s="70">
        <v>375.46</v>
      </c>
      <c r="EE40" s="70">
        <v>374.48</v>
      </c>
      <c r="EF40" s="70">
        <v>373.5</v>
      </c>
      <c r="EG40" s="70">
        <v>372.53</v>
      </c>
      <c r="EH40" s="70">
        <v>371.55</v>
      </c>
      <c r="EI40" s="70">
        <v>370.58</v>
      </c>
      <c r="EJ40" s="70">
        <v>369.61</v>
      </c>
      <c r="EK40" s="70">
        <v>368.63</v>
      </c>
      <c r="EL40" s="70">
        <v>367.66</v>
      </c>
      <c r="EM40" s="70">
        <v>366.69</v>
      </c>
      <c r="EN40" s="70">
        <v>365.72</v>
      </c>
      <c r="EO40" s="70">
        <v>364.75</v>
      </c>
      <c r="EP40" s="70">
        <v>363.78</v>
      </c>
      <c r="EQ40" s="70">
        <v>362.81</v>
      </c>
      <c r="ER40" s="70">
        <v>361.85</v>
      </c>
      <c r="ES40" s="70">
        <v>360.88</v>
      </c>
      <c r="ET40" s="70">
        <v>359.92</v>
      </c>
      <c r="EU40" s="70">
        <v>358.95</v>
      </c>
      <c r="EV40" s="70">
        <v>357.99</v>
      </c>
      <c r="EW40" s="70">
        <v>357.03</v>
      </c>
      <c r="EX40" s="70">
        <v>356.07</v>
      </c>
      <c r="EY40" s="70">
        <v>355.11</v>
      </c>
      <c r="EZ40" s="70">
        <v>354.15</v>
      </c>
      <c r="FA40" s="70">
        <v>353.19</v>
      </c>
      <c r="FB40" s="70">
        <v>352.23</v>
      </c>
      <c r="FC40" s="70">
        <v>351.27</v>
      </c>
      <c r="FD40" s="70">
        <v>350.31</v>
      </c>
      <c r="FE40" s="70">
        <v>349.36</v>
      </c>
      <c r="FF40" s="70">
        <v>348.4</v>
      </c>
      <c r="FG40" s="70">
        <v>347.44</v>
      </c>
      <c r="FH40" s="70">
        <v>346.49</v>
      </c>
      <c r="FI40" s="70">
        <v>345.53</v>
      </c>
      <c r="FJ40" s="70">
        <v>344.58</v>
      </c>
      <c r="FK40" s="70">
        <v>343.63</v>
      </c>
      <c r="FL40" s="70">
        <v>342.67</v>
      </c>
      <c r="FM40" s="70">
        <v>341.72</v>
      </c>
      <c r="FN40" s="70">
        <v>340.77</v>
      </c>
      <c r="FO40" s="70">
        <v>339.82</v>
      </c>
      <c r="FP40" s="70">
        <v>338.87</v>
      </c>
      <c r="FQ40" s="70">
        <v>337.92</v>
      </c>
      <c r="FR40" s="70">
        <v>336.97</v>
      </c>
      <c r="FS40" s="70">
        <v>336.03</v>
      </c>
      <c r="FT40" s="70">
        <v>335.08</v>
      </c>
      <c r="FU40" s="70">
        <v>334.14</v>
      </c>
      <c r="FV40" s="70">
        <v>333.19</v>
      </c>
      <c r="FW40" s="70">
        <v>332.25</v>
      </c>
      <c r="FX40" s="70">
        <v>331.3</v>
      </c>
      <c r="FY40" s="70">
        <v>330.36</v>
      </c>
      <c r="FZ40" s="70">
        <v>329.42</v>
      </c>
      <c r="GA40" s="70">
        <v>328.47</v>
      </c>
      <c r="GB40" s="70">
        <v>327.52999999999997</v>
      </c>
      <c r="GC40" s="70">
        <v>326.60000000000002</v>
      </c>
      <c r="GD40" s="70">
        <v>325.66000000000003</v>
      </c>
      <c r="GE40" s="70">
        <v>324.72000000000003</v>
      </c>
      <c r="GF40" s="70">
        <v>323.77999999999997</v>
      </c>
      <c r="GG40" s="70">
        <v>322.85000000000002</v>
      </c>
      <c r="GH40" s="70">
        <v>321.91000000000003</v>
      </c>
      <c r="GI40" s="70">
        <v>320.98</v>
      </c>
      <c r="GJ40" s="70">
        <v>320.04000000000002</v>
      </c>
      <c r="GK40" s="70">
        <v>319.10000000000002</v>
      </c>
      <c r="GL40" s="70">
        <v>318.18</v>
      </c>
      <c r="GM40" s="70">
        <v>317.25</v>
      </c>
      <c r="GN40" s="70">
        <v>316.32</v>
      </c>
      <c r="GO40" s="70">
        <v>315.39</v>
      </c>
      <c r="GP40" s="70">
        <v>314.45999999999998</v>
      </c>
      <c r="GQ40" s="70">
        <v>313.54000000000002</v>
      </c>
      <c r="GR40" s="70">
        <v>312.60000000000002</v>
      </c>
      <c r="GS40" s="70">
        <v>311.69</v>
      </c>
      <c r="GT40" s="70">
        <v>310.76</v>
      </c>
      <c r="GU40" s="70">
        <v>309.83999999999997</v>
      </c>
      <c r="GV40" s="70">
        <v>308.92</v>
      </c>
      <c r="GW40" s="70">
        <v>308</v>
      </c>
      <c r="GX40" s="70">
        <v>307.07</v>
      </c>
      <c r="GY40" s="70">
        <v>306.17</v>
      </c>
      <c r="GZ40" s="70">
        <v>305.25</v>
      </c>
      <c r="HA40" s="70">
        <v>304.32</v>
      </c>
      <c r="HB40" s="70">
        <v>303.42</v>
      </c>
      <c r="HC40" s="70">
        <v>302.51</v>
      </c>
      <c r="HD40" s="70">
        <v>301.58999999999997</v>
      </c>
      <c r="HE40" s="70">
        <v>300.68</v>
      </c>
      <c r="HF40" s="70">
        <v>299.76</v>
      </c>
      <c r="HG40" s="70">
        <v>298.85000000000002</v>
      </c>
      <c r="HH40" s="70">
        <v>297.95999999999998</v>
      </c>
      <c r="HI40" s="70">
        <v>297.04000000000002</v>
      </c>
      <c r="HJ40" s="70">
        <v>296.14</v>
      </c>
      <c r="HK40" s="70">
        <v>295.24</v>
      </c>
      <c r="HL40" s="70">
        <v>294.33999999999997</v>
      </c>
      <c r="HM40" s="70">
        <v>293.43</v>
      </c>
      <c r="HN40" s="70">
        <v>292.52999999999997</v>
      </c>
      <c r="HO40" s="70">
        <v>291.64</v>
      </c>
      <c r="HP40" s="70">
        <v>290.74</v>
      </c>
      <c r="HQ40" s="70">
        <v>289.83999999999997</v>
      </c>
      <c r="HR40" s="70">
        <v>288.95</v>
      </c>
      <c r="HS40" s="70">
        <v>288.04000000000002</v>
      </c>
      <c r="HT40" s="70">
        <v>287.16000000000003</v>
      </c>
      <c r="HU40" s="70">
        <v>286.26</v>
      </c>
      <c r="HV40" s="70">
        <v>285.37</v>
      </c>
      <c r="HW40" s="70">
        <v>284.48</v>
      </c>
      <c r="HX40" s="70">
        <v>283.58999999999997</v>
      </c>
      <c r="HY40" s="70">
        <v>282.70999999999998</v>
      </c>
      <c r="HZ40" s="70">
        <v>281.82</v>
      </c>
      <c r="IA40" s="70">
        <v>280.93</v>
      </c>
      <c r="IB40" s="70">
        <v>280.04000000000002</v>
      </c>
      <c r="IC40" s="70">
        <v>279.16000000000003</v>
      </c>
      <c r="ID40" s="70">
        <v>278.27999999999997</v>
      </c>
      <c r="IE40" s="70">
        <v>277.39999999999998</v>
      </c>
      <c r="IF40" s="70">
        <v>276.51</v>
      </c>
      <c r="IG40" s="70">
        <v>275.64</v>
      </c>
      <c r="IH40" s="70">
        <v>274.76</v>
      </c>
      <c r="II40" s="70">
        <v>273.88</v>
      </c>
      <c r="IJ40" s="70">
        <v>273.01</v>
      </c>
      <c r="IK40" s="70">
        <v>272.13</v>
      </c>
      <c r="IL40" s="70">
        <v>271.26</v>
      </c>
      <c r="IM40" s="70">
        <v>270.38</v>
      </c>
      <c r="IN40" s="70">
        <v>269.51</v>
      </c>
      <c r="IO40" s="70">
        <v>268.64</v>
      </c>
      <c r="IP40" s="70">
        <v>267.76</v>
      </c>
      <c r="IQ40" s="70">
        <v>266.91000000000003</v>
      </c>
      <c r="IR40" s="70">
        <v>266.04000000000002</v>
      </c>
      <c r="IS40" s="70">
        <v>265.17</v>
      </c>
      <c r="IT40" s="70">
        <v>264.31</v>
      </c>
      <c r="IU40" s="70">
        <v>263.45</v>
      </c>
      <c r="IV40" s="70">
        <v>262.57</v>
      </c>
      <c r="IW40" s="70">
        <v>261.72000000000003</v>
      </c>
      <c r="IX40" s="70">
        <v>260.87</v>
      </c>
      <c r="IY40" s="70">
        <v>260.01</v>
      </c>
      <c r="IZ40" s="70">
        <v>259.14999999999998</v>
      </c>
      <c r="JA40" s="70">
        <v>258.29000000000002</v>
      </c>
      <c r="JB40" s="70">
        <v>257.44</v>
      </c>
      <c r="JC40" s="70">
        <v>256.58999999999997</v>
      </c>
      <c r="JD40" s="70">
        <v>255.74</v>
      </c>
      <c r="JE40" s="70">
        <v>254.89</v>
      </c>
      <c r="JF40" s="70">
        <v>254.04</v>
      </c>
      <c r="JG40" s="70">
        <v>253.19</v>
      </c>
      <c r="JH40" s="70">
        <v>252.34</v>
      </c>
      <c r="JI40" s="70">
        <v>251.5</v>
      </c>
      <c r="JJ40" s="70">
        <v>250.65</v>
      </c>
      <c r="JK40" s="70">
        <v>249.81</v>
      </c>
      <c r="JL40" s="70">
        <v>248.96</v>
      </c>
      <c r="JM40" s="70">
        <v>248.12</v>
      </c>
      <c r="JN40" s="70">
        <v>247.28</v>
      </c>
      <c r="JO40" s="70">
        <v>246.44</v>
      </c>
      <c r="JP40" s="70">
        <v>245.6</v>
      </c>
      <c r="JQ40" s="70">
        <v>244.76</v>
      </c>
      <c r="JR40" s="70">
        <v>243.93</v>
      </c>
      <c r="JS40" s="70">
        <v>243.09</v>
      </c>
      <c r="JT40" s="70">
        <v>242.26</v>
      </c>
      <c r="JU40" s="70">
        <v>241.42</v>
      </c>
      <c r="JV40" s="70">
        <v>240.59</v>
      </c>
      <c r="JW40" s="70">
        <v>239.76</v>
      </c>
      <c r="JX40" s="70">
        <v>238.93</v>
      </c>
      <c r="JY40" s="70">
        <v>238.1</v>
      </c>
      <c r="JZ40" s="70">
        <v>237.27</v>
      </c>
      <c r="KA40" s="70">
        <v>236.44</v>
      </c>
      <c r="KB40" s="70">
        <v>235.62</v>
      </c>
      <c r="KC40" s="70">
        <v>234.79</v>
      </c>
      <c r="KD40" s="70">
        <v>233.97</v>
      </c>
      <c r="KE40" s="70">
        <v>233.14</v>
      </c>
      <c r="KF40" s="70">
        <v>232.32</v>
      </c>
      <c r="KG40" s="70">
        <v>231.5</v>
      </c>
      <c r="KH40" s="70">
        <v>230.68</v>
      </c>
      <c r="KI40" s="70">
        <v>229.86</v>
      </c>
      <c r="KJ40" s="70">
        <v>229.04</v>
      </c>
      <c r="KK40" s="70">
        <v>228.22</v>
      </c>
      <c r="KL40" s="70">
        <v>227.41</v>
      </c>
      <c r="KM40" s="70">
        <v>226.59</v>
      </c>
      <c r="KN40" s="70">
        <v>225.78</v>
      </c>
      <c r="KO40" s="70">
        <v>224.97</v>
      </c>
      <c r="KP40" s="70">
        <v>224.16</v>
      </c>
      <c r="KQ40" s="70">
        <v>223.35</v>
      </c>
      <c r="KR40" s="70">
        <v>222.27000000000029</v>
      </c>
      <c r="KS40" s="70">
        <v>221.52000000000029</v>
      </c>
      <c r="KT40" s="70">
        <v>220.77000000000029</v>
      </c>
      <c r="KU40" s="70">
        <v>220.02000000000029</v>
      </c>
      <c r="KV40" s="70">
        <v>219.27000000000029</v>
      </c>
      <c r="KW40" s="70">
        <v>218.52000000000029</v>
      </c>
      <c r="KX40" s="70">
        <v>217.77000000000029</v>
      </c>
      <c r="KY40" s="70">
        <v>217.02000000000029</v>
      </c>
      <c r="KZ40" s="70">
        <v>216.27000000000029</v>
      </c>
      <c r="LA40" s="70">
        <v>215.52000000000029</v>
      </c>
      <c r="LB40" s="70">
        <v>214.77000000000029</v>
      </c>
      <c r="LC40" s="70">
        <v>214.02000000000029</v>
      </c>
      <c r="LD40" s="70">
        <v>213.27000000000029</v>
      </c>
      <c r="LE40" s="70">
        <v>212.52000000000029</v>
      </c>
      <c r="LF40" s="70">
        <v>211.77000000000029</v>
      </c>
      <c r="LG40" s="70">
        <v>211.02000000000029</v>
      </c>
      <c r="LH40" s="70">
        <v>210.27000000000029</v>
      </c>
      <c r="LI40" s="70">
        <v>209.52000000000029</v>
      </c>
      <c r="LJ40" s="70">
        <v>208.77000000000029</v>
      </c>
      <c r="LK40" s="70">
        <v>208.02000000000029</v>
      </c>
      <c r="LL40" s="70">
        <v>207.27000000000029</v>
      </c>
      <c r="LM40" s="70">
        <v>206.52000000000029</v>
      </c>
      <c r="LN40" s="70">
        <v>205.77000000000029</v>
      </c>
      <c r="LO40" s="70">
        <v>205.02000000000029</v>
      </c>
      <c r="LP40" s="70">
        <v>204.27000000000029</v>
      </c>
      <c r="LQ40" s="70">
        <v>203.52000000000029</v>
      </c>
      <c r="LR40" s="70">
        <v>202.77000000000029</v>
      </c>
      <c r="LS40" s="70">
        <v>202.02000000000029</v>
      </c>
      <c r="LT40" s="70">
        <v>201.27000000000029</v>
      </c>
      <c r="LU40" s="70">
        <v>200.52000000000029</v>
      </c>
      <c r="LV40" s="70">
        <v>199.77000000000029</v>
      </c>
      <c r="LW40" s="70">
        <v>199.02000000000029</v>
      </c>
      <c r="LX40" s="70">
        <v>198.27000000000029</v>
      </c>
      <c r="LY40" s="70">
        <v>197.52000000000029</v>
      </c>
      <c r="LZ40" s="70">
        <v>196.77000000000029</v>
      </c>
      <c r="MA40" s="70">
        <v>196.02000000000029</v>
      </c>
      <c r="MB40" s="70">
        <v>195.27000000000029</v>
      </c>
      <c r="MC40" s="70">
        <v>194.52000000000029</v>
      </c>
      <c r="MD40" s="70">
        <v>193.77000000000029</v>
      </c>
      <c r="ME40" s="70">
        <v>193.02000000000029</v>
      </c>
      <c r="MF40" s="70">
        <v>192.27000000000029</v>
      </c>
      <c r="MG40" s="70">
        <v>191.52000000000029</v>
      </c>
      <c r="MH40" s="70">
        <v>190.77000000000029</v>
      </c>
      <c r="MI40" s="70">
        <v>190.02000000000029</v>
      </c>
      <c r="MJ40" s="70">
        <v>189.27000000000029</v>
      </c>
      <c r="MK40" s="70">
        <v>188.52000000000029</v>
      </c>
      <c r="ML40" s="70">
        <v>187.77000000000029</v>
      </c>
      <c r="MM40" s="70">
        <v>187.02000000000029</v>
      </c>
      <c r="MN40" s="70">
        <v>186.27000000000029</v>
      </c>
      <c r="MO40" s="70">
        <v>185.52000000000029</v>
      </c>
      <c r="MP40" s="70">
        <v>184.77000000000029</v>
      </c>
      <c r="MQ40" s="70">
        <v>184.02000000000029</v>
      </c>
      <c r="MR40" s="70">
        <v>183.27000000000029</v>
      </c>
      <c r="MS40" s="70">
        <v>182.52000000000029</v>
      </c>
      <c r="MT40" s="70">
        <v>181.77000000000029</v>
      </c>
      <c r="MU40" s="70">
        <v>181.02000000000029</v>
      </c>
      <c r="MV40" s="70">
        <v>180.27000000000029</v>
      </c>
      <c r="MW40" s="70">
        <v>179.52000000000029</v>
      </c>
      <c r="MX40" s="70">
        <v>178.77000000000029</v>
      </c>
      <c r="MY40" s="70">
        <v>178.02000000000029</v>
      </c>
    </row>
    <row r="41" spans="1:363" ht="15.6" x14ac:dyDescent="0.3">
      <c r="A41" s="67" t="s">
        <v>7</v>
      </c>
      <c r="B41" s="72">
        <v>2051</v>
      </c>
      <c r="C41" s="70">
        <v>508.73</v>
      </c>
      <c r="D41" s="70">
        <v>507.71</v>
      </c>
      <c r="E41" s="70">
        <v>506.68</v>
      </c>
      <c r="F41" s="70">
        <v>505.66</v>
      </c>
      <c r="G41" s="70">
        <v>504.63</v>
      </c>
      <c r="H41" s="70">
        <v>503.61</v>
      </c>
      <c r="I41" s="70">
        <v>502.58</v>
      </c>
      <c r="J41" s="70">
        <v>501.56</v>
      </c>
      <c r="K41" s="70">
        <v>500.53</v>
      </c>
      <c r="L41" s="70">
        <v>499.51</v>
      </c>
      <c r="M41" s="70">
        <v>498.48</v>
      </c>
      <c r="N41" s="70">
        <v>497.46</v>
      </c>
      <c r="O41" s="70">
        <v>496.43</v>
      </c>
      <c r="P41" s="70">
        <v>495.41</v>
      </c>
      <c r="Q41" s="70">
        <v>494.38</v>
      </c>
      <c r="R41" s="70">
        <v>493.36</v>
      </c>
      <c r="S41" s="70">
        <v>492.33</v>
      </c>
      <c r="T41" s="70">
        <v>491.31</v>
      </c>
      <c r="U41" s="70">
        <v>490.28</v>
      </c>
      <c r="V41" s="70">
        <v>489.26</v>
      </c>
      <c r="W41" s="70">
        <v>488.24</v>
      </c>
      <c r="X41" s="70">
        <v>487.21</v>
      </c>
      <c r="Y41" s="70">
        <v>486.19</v>
      </c>
      <c r="Z41" s="70">
        <v>485.16</v>
      </c>
      <c r="AA41" s="70">
        <v>484.14</v>
      </c>
      <c r="AB41" s="70">
        <v>483.11</v>
      </c>
      <c r="AC41" s="70">
        <v>482.09</v>
      </c>
      <c r="AD41" s="70">
        <v>481.07</v>
      </c>
      <c r="AE41" s="70">
        <v>480.04</v>
      </c>
      <c r="AF41" s="70">
        <v>479.02</v>
      </c>
      <c r="AG41" s="70">
        <v>477.99</v>
      </c>
      <c r="AH41" s="70">
        <v>476.97</v>
      </c>
      <c r="AI41" s="70">
        <v>475.94</v>
      </c>
      <c r="AJ41" s="70">
        <v>474.92</v>
      </c>
      <c r="AK41" s="70">
        <v>473.9</v>
      </c>
      <c r="AL41" s="70">
        <v>472.87</v>
      </c>
      <c r="AM41" s="70">
        <v>471.85</v>
      </c>
      <c r="AN41" s="70">
        <v>470.82</v>
      </c>
      <c r="AO41" s="70">
        <v>469.8</v>
      </c>
      <c r="AP41" s="70">
        <v>468.78</v>
      </c>
      <c r="AQ41" s="70">
        <v>467.76</v>
      </c>
      <c r="AR41" s="70">
        <v>466.73</v>
      </c>
      <c r="AS41" s="70">
        <v>465.71</v>
      </c>
      <c r="AT41" s="70">
        <v>464.69</v>
      </c>
      <c r="AU41" s="70">
        <v>463.66</v>
      </c>
      <c r="AV41" s="70">
        <v>462.64</v>
      </c>
      <c r="AW41" s="70">
        <v>461.62</v>
      </c>
      <c r="AX41" s="70">
        <v>460.6</v>
      </c>
      <c r="AY41" s="70">
        <v>459.57</v>
      </c>
      <c r="AZ41" s="70">
        <v>458.55</v>
      </c>
      <c r="BA41" s="70">
        <v>457.53</v>
      </c>
      <c r="BB41" s="70">
        <v>456.51</v>
      </c>
      <c r="BC41" s="70">
        <v>455.49</v>
      </c>
      <c r="BD41" s="70">
        <v>454.47</v>
      </c>
      <c r="BE41" s="70">
        <v>453.44</v>
      </c>
      <c r="BF41" s="70">
        <v>452.42</v>
      </c>
      <c r="BG41" s="70">
        <v>451.4</v>
      </c>
      <c r="BH41" s="70">
        <v>450.38</v>
      </c>
      <c r="BI41" s="70">
        <v>449.36</v>
      </c>
      <c r="BJ41" s="70">
        <v>448.34</v>
      </c>
      <c r="BK41" s="70">
        <v>447.32</v>
      </c>
      <c r="BL41" s="70">
        <v>446.3</v>
      </c>
      <c r="BM41" s="70">
        <v>445.28</v>
      </c>
      <c r="BN41" s="70">
        <v>444.26</v>
      </c>
      <c r="BO41" s="70">
        <v>443.24</v>
      </c>
      <c r="BP41" s="70">
        <v>442.22</v>
      </c>
      <c r="BQ41" s="70">
        <v>441.2</v>
      </c>
      <c r="BR41" s="70">
        <v>440.18</v>
      </c>
      <c r="BS41" s="70">
        <v>439.17</v>
      </c>
      <c r="BT41" s="70">
        <v>438.15</v>
      </c>
      <c r="BU41" s="70">
        <v>437.13</v>
      </c>
      <c r="BV41" s="70">
        <v>436.11</v>
      </c>
      <c r="BW41" s="70">
        <v>435.09</v>
      </c>
      <c r="BX41" s="70">
        <v>434.08</v>
      </c>
      <c r="BY41" s="70">
        <v>433.06</v>
      </c>
      <c r="BZ41" s="70">
        <v>432.05</v>
      </c>
      <c r="CA41" s="70">
        <v>431.03</v>
      </c>
      <c r="CB41" s="70">
        <v>430.02</v>
      </c>
      <c r="CC41" s="70">
        <v>429</v>
      </c>
      <c r="CD41" s="70">
        <v>427.99</v>
      </c>
      <c r="CE41" s="70">
        <v>426.97</v>
      </c>
      <c r="CF41" s="70">
        <v>425.96</v>
      </c>
      <c r="CG41" s="70">
        <v>424.94</v>
      </c>
      <c r="CH41" s="70">
        <v>423.93</v>
      </c>
      <c r="CI41" s="70">
        <v>422.91</v>
      </c>
      <c r="CJ41" s="70">
        <v>421.9</v>
      </c>
      <c r="CK41" s="70">
        <v>420.89</v>
      </c>
      <c r="CL41" s="70">
        <v>419.88</v>
      </c>
      <c r="CM41" s="70">
        <v>418.87</v>
      </c>
      <c r="CN41" s="70">
        <v>417.86</v>
      </c>
      <c r="CO41" s="70">
        <v>416.85</v>
      </c>
      <c r="CP41" s="70">
        <v>415.85</v>
      </c>
      <c r="CQ41" s="70">
        <v>414.84</v>
      </c>
      <c r="CR41" s="70">
        <v>413.83</v>
      </c>
      <c r="CS41" s="70">
        <v>412.82</v>
      </c>
      <c r="CT41" s="70">
        <v>411.81</v>
      </c>
      <c r="CU41" s="70">
        <v>410.8</v>
      </c>
      <c r="CV41" s="70">
        <v>409.8</v>
      </c>
      <c r="CW41" s="70">
        <v>408.79</v>
      </c>
      <c r="CX41" s="70">
        <v>407.79</v>
      </c>
      <c r="CY41" s="70">
        <v>406.78</v>
      </c>
      <c r="CZ41" s="70">
        <v>405.78</v>
      </c>
      <c r="DA41" s="70">
        <v>404.78</v>
      </c>
      <c r="DB41" s="70">
        <v>403.78</v>
      </c>
      <c r="DC41" s="70">
        <v>402.77</v>
      </c>
      <c r="DD41" s="70">
        <v>401.77</v>
      </c>
      <c r="DE41" s="70">
        <v>400.77</v>
      </c>
      <c r="DF41" s="70">
        <v>399.76</v>
      </c>
      <c r="DG41" s="70">
        <v>398.76</v>
      </c>
      <c r="DH41" s="70">
        <v>397.77</v>
      </c>
      <c r="DI41" s="70">
        <v>396.77</v>
      </c>
      <c r="DJ41" s="70">
        <v>395.77</v>
      </c>
      <c r="DK41" s="70">
        <v>394.78</v>
      </c>
      <c r="DL41" s="70">
        <v>393.78</v>
      </c>
      <c r="DM41" s="70">
        <v>392.79</v>
      </c>
      <c r="DN41" s="70">
        <v>391.79</v>
      </c>
      <c r="DO41" s="70">
        <v>390.79</v>
      </c>
      <c r="DP41" s="70">
        <v>389.8</v>
      </c>
      <c r="DQ41" s="70">
        <v>388.81</v>
      </c>
      <c r="DR41" s="70">
        <v>387.81</v>
      </c>
      <c r="DS41" s="70">
        <v>386.82</v>
      </c>
      <c r="DT41" s="70">
        <v>385.83</v>
      </c>
      <c r="DU41" s="70">
        <v>384.84</v>
      </c>
      <c r="DV41" s="70">
        <v>383.86</v>
      </c>
      <c r="DW41" s="70">
        <v>382.87</v>
      </c>
      <c r="DX41" s="70">
        <v>381.88</v>
      </c>
      <c r="DY41" s="70">
        <v>380.9</v>
      </c>
      <c r="DZ41" s="70">
        <v>379.91</v>
      </c>
      <c r="EA41" s="70">
        <v>378.93</v>
      </c>
      <c r="EB41" s="70">
        <v>377.94</v>
      </c>
      <c r="EC41" s="70">
        <v>376.96</v>
      </c>
      <c r="ED41" s="70">
        <v>375.97</v>
      </c>
      <c r="EE41" s="70">
        <v>374.99</v>
      </c>
      <c r="EF41" s="70">
        <v>374.02</v>
      </c>
      <c r="EG41" s="70">
        <v>373.04</v>
      </c>
      <c r="EH41" s="70">
        <v>372.07</v>
      </c>
      <c r="EI41" s="70">
        <v>371.09</v>
      </c>
      <c r="EJ41" s="70">
        <v>370.12</v>
      </c>
      <c r="EK41" s="70">
        <v>369.15</v>
      </c>
      <c r="EL41" s="70">
        <v>368.18</v>
      </c>
      <c r="EM41" s="70">
        <v>367.2</v>
      </c>
      <c r="EN41" s="70">
        <v>366.23</v>
      </c>
      <c r="EO41" s="70">
        <v>365.26</v>
      </c>
      <c r="EP41" s="70">
        <v>364.29</v>
      </c>
      <c r="EQ41" s="70">
        <v>363.32</v>
      </c>
      <c r="ER41" s="70">
        <v>362.36</v>
      </c>
      <c r="ES41" s="70">
        <v>361.39</v>
      </c>
      <c r="ET41" s="70">
        <v>360.43</v>
      </c>
      <c r="EU41" s="70">
        <v>359.47</v>
      </c>
      <c r="EV41" s="70">
        <v>358.5</v>
      </c>
      <c r="EW41" s="70">
        <v>357.54</v>
      </c>
      <c r="EX41" s="70">
        <v>356.58</v>
      </c>
      <c r="EY41" s="70">
        <v>355.62</v>
      </c>
      <c r="EZ41" s="70">
        <v>354.66</v>
      </c>
      <c r="FA41" s="70">
        <v>353.7</v>
      </c>
      <c r="FB41" s="70">
        <v>352.74</v>
      </c>
      <c r="FC41" s="70">
        <v>351.78</v>
      </c>
      <c r="FD41" s="70">
        <v>350.82</v>
      </c>
      <c r="FE41" s="70">
        <v>349.86</v>
      </c>
      <c r="FF41" s="70">
        <v>348.91</v>
      </c>
      <c r="FG41" s="70">
        <v>347.95</v>
      </c>
      <c r="FH41" s="70">
        <v>347</v>
      </c>
      <c r="FI41" s="70">
        <v>346.04</v>
      </c>
      <c r="FJ41" s="70">
        <v>345.09</v>
      </c>
      <c r="FK41" s="70">
        <v>344.13</v>
      </c>
      <c r="FL41" s="70">
        <v>343.18</v>
      </c>
      <c r="FM41" s="70">
        <v>342.23</v>
      </c>
      <c r="FN41" s="70">
        <v>341.28</v>
      </c>
      <c r="FO41" s="70">
        <v>340.33</v>
      </c>
      <c r="FP41" s="70">
        <v>339.38</v>
      </c>
      <c r="FQ41" s="70">
        <v>338.43</v>
      </c>
      <c r="FR41" s="70">
        <v>337.48</v>
      </c>
      <c r="FS41" s="70">
        <v>336.53</v>
      </c>
      <c r="FT41" s="70">
        <v>335.59</v>
      </c>
      <c r="FU41" s="70">
        <v>334.64</v>
      </c>
      <c r="FV41" s="70">
        <v>333.69</v>
      </c>
      <c r="FW41" s="70">
        <v>332.75</v>
      </c>
      <c r="FX41" s="70">
        <v>331.81</v>
      </c>
      <c r="FY41" s="70">
        <v>330.86</v>
      </c>
      <c r="FZ41" s="70">
        <v>329.92</v>
      </c>
      <c r="GA41" s="70">
        <v>328.98</v>
      </c>
      <c r="GB41" s="70">
        <v>328.04</v>
      </c>
      <c r="GC41" s="70">
        <v>327.10000000000002</v>
      </c>
      <c r="GD41" s="70">
        <v>326.16000000000003</v>
      </c>
      <c r="GE41" s="70">
        <v>325.22000000000003</v>
      </c>
      <c r="GF41" s="70">
        <v>324.27999999999997</v>
      </c>
      <c r="GG41" s="70">
        <v>323.35000000000002</v>
      </c>
      <c r="GH41" s="70">
        <v>322.41000000000003</v>
      </c>
      <c r="GI41" s="70">
        <v>321.48</v>
      </c>
      <c r="GJ41" s="70">
        <v>320.54000000000002</v>
      </c>
      <c r="GK41" s="70">
        <v>319.60000000000002</v>
      </c>
      <c r="GL41" s="70">
        <v>318.68</v>
      </c>
      <c r="GM41" s="70">
        <v>317.75</v>
      </c>
      <c r="GN41" s="70">
        <v>316.82</v>
      </c>
      <c r="GO41" s="70">
        <v>315.89</v>
      </c>
      <c r="GP41" s="70">
        <v>314.95999999999998</v>
      </c>
      <c r="GQ41" s="70">
        <v>314.04000000000002</v>
      </c>
      <c r="GR41" s="70">
        <v>313.10000000000002</v>
      </c>
      <c r="GS41" s="70">
        <v>312.19</v>
      </c>
      <c r="GT41" s="70">
        <v>311.26</v>
      </c>
      <c r="GU41" s="70">
        <v>310.33999999999997</v>
      </c>
      <c r="GV41" s="70">
        <v>309.42</v>
      </c>
      <c r="GW41" s="70">
        <v>308.5</v>
      </c>
      <c r="GX41" s="70">
        <v>307.57</v>
      </c>
      <c r="GY41" s="70">
        <v>306.66000000000003</v>
      </c>
      <c r="GZ41" s="70">
        <v>305.75</v>
      </c>
      <c r="HA41" s="70">
        <v>304.82</v>
      </c>
      <c r="HB41" s="70">
        <v>303.92</v>
      </c>
      <c r="HC41" s="70">
        <v>303</v>
      </c>
      <c r="HD41" s="70">
        <v>302.08999999999997</v>
      </c>
      <c r="HE41" s="70">
        <v>301.18</v>
      </c>
      <c r="HF41" s="70">
        <v>300.26</v>
      </c>
      <c r="HG41" s="70">
        <v>299.35000000000002</v>
      </c>
      <c r="HH41" s="70">
        <v>298.45</v>
      </c>
      <c r="HI41" s="70">
        <v>297.54000000000002</v>
      </c>
      <c r="HJ41" s="70">
        <v>296.64</v>
      </c>
      <c r="HK41" s="70">
        <v>295.73</v>
      </c>
      <c r="HL41" s="70">
        <v>294.82</v>
      </c>
      <c r="HM41" s="70">
        <v>293.93</v>
      </c>
      <c r="HN41" s="70">
        <v>293.02999999999997</v>
      </c>
      <c r="HO41" s="70">
        <v>292.13</v>
      </c>
      <c r="HP41" s="70">
        <v>291.23</v>
      </c>
      <c r="HQ41" s="70">
        <v>290.32</v>
      </c>
      <c r="HR41" s="70">
        <v>289.43</v>
      </c>
      <c r="HS41" s="70">
        <v>288.54000000000002</v>
      </c>
      <c r="HT41" s="70">
        <v>287.64999999999998</v>
      </c>
      <c r="HU41" s="70">
        <v>286.75</v>
      </c>
      <c r="HV41" s="70">
        <v>285.85000000000002</v>
      </c>
      <c r="HW41" s="70">
        <v>284.97000000000003</v>
      </c>
      <c r="HX41" s="70">
        <v>284.07</v>
      </c>
      <c r="HY41" s="70">
        <v>283.19</v>
      </c>
      <c r="HZ41" s="70">
        <v>282.31</v>
      </c>
      <c r="IA41" s="70">
        <v>281.42</v>
      </c>
      <c r="IB41" s="70">
        <v>280.52999999999997</v>
      </c>
      <c r="IC41" s="70">
        <v>279.64999999999998</v>
      </c>
      <c r="ID41" s="70">
        <v>278.76</v>
      </c>
      <c r="IE41" s="70">
        <v>277.88</v>
      </c>
      <c r="IF41" s="70">
        <v>277</v>
      </c>
      <c r="IG41" s="70">
        <v>276.12</v>
      </c>
      <c r="IH41" s="70">
        <v>275.24</v>
      </c>
      <c r="II41" s="70">
        <v>274.35000000000002</v>
      </c>
      <c r="IJ41" s="70">
        <v>273.49</v>
      </c>
      <c r="IK41" s="70">
        <v>272.60000000000002</v>
      </c>
      <c r="IL41" s="70">
        <v>271.74</v>
      </c>
      <c r="IM41" s="70">
        <v>270.87</v>
      </c>
      <c r="IN41" s="70">
        <v>269.99</v>
      </c>
      <c r="IO41" s="70">
        <v>269.12</v>
      </c>
      <c r="IP41" s="70">
        <v>268.25</v>
      </c>
      <c r="IQ41" s="70">
        <v>267.38</v>
      </c>
      <c r="IR41" s="70">
        <v>266.51</v>
      </c>
      <c r="IS41" s="70">
        <v>265.64999999999998</v>
      </c>
      <c r="IT41" s="70">
        <v>264.79000000000002</v>
      </c>
      <c r="IU41" s="70">
        <v>263.92</v>
      </c>
      <c r="IV41" s="70">
        <v>263.06</v>
      </c>
      <c r="IW41" s="70">
        <v>262.2</v>
      </c>
      <c r="IX41" s="70">
        <v>261.33999999999997</v>
      </c>
      <c r="IY41" s="70">
        <v>260.48</v>
      </c>
      <c r="IZ41" s="70">
        <v>259.63</v>
      </c>
      <c r="JA41" s="70">
        <v>258.76</v>
      </c>
      <c r="JB41" s="70">
        <v>257.92</v>
      </c>
      <c r="JC41" s="70">
        <v>257.06</v>
      </c>
      <c r="JD41" s="70">
        <v>256.20999999999998</v>
      </c>
      <c r="JE41" s="70">
        <v>255.36</v>
      </c>
      <c r="JF41" s="70">
        <v>254.51</v>
      </c>
      <c r="JG41" s="70">
        <v>253.66</v>
      </c>
      <c r="JH41" s="70">
        <v>252.81</v>
      </c>
      <c r="JI41" s="70">
        <v>251.97</v>
      </c>
      <c r="JJ41" s="70">
        <v>251.12</v>
      </c>
      <c r="JK41" s="70">
        <v>250.28</v>
      </c>
      <c r="JL41" s="70">
        <v>249.43</v>
      </c>
      <c r="JM41" s="70">
        <v>248.59</v>
      </c>
      <c r="JN41" s="70">
        <v>247.75</v>
      </c>
      <c r="JO41" s="70">
        <v>246.91</v>
      </c>
      <c r="JP41" s="70">
        <v>246.07</v>
      </c>
      <c r="JQ41" s="70">
        <v>245.23</v>
      </c>
      <c r="JR41" s="70">
        <v>244.39</v>
      </c>
      <c r="JS41" s="70">
        <v>243.55</v>
      </c>
      <c r="JT41" s="70">
        <v>242.72</v>
      </c>
      <c r="JU41" s="70">
        <v>241.89</v>
      </c>
      <c r="JV41" s="70">
        <v>241.05</v>
      </c>
      <c r="JW41" s="70">
        <v>240.22</v>
      </c>
      <c r="JX41" s="70">
        <v>239.39</v>
      </c>
      <c r="JY41" s="70">
        <v>238.56</v>
      </c>
      <c r="JZ41" s="70">
        <v>237.73</v>
      </c>
      <c r="KA41" s="70">
        <v>236.9</v>
      </c>
      <c r="KB41" s="70">
        <v>236.08</v>
      </c>
      <c r="KC41" s="70">
        <v>235.25</v>
      </c>
      <c r="KD41" s="70">
        <v>234.42</v>
      </c>
      <c r="KE41" s="70">
        <v>233.6</v>
      </c>
      <c r="KF41" s="70">
        <v>232.78</v>
      </c>
      <c r="KG41" s="70">
        <v>231.95</v>
      </c>
      <c r="KH41" s="70">
        <v>231.13</v>
      </c>
      <c r="KI41" s="70">
        <v>230.31</v>
      </c>
      <c r="KJ41" s="70">
        <v>229.5</v>
      </c>
      <c r="KK41" s="70">
        <v>228.68</v>
      </c>
      <c r="KL41" s="70">
        <v>227.86</v>
      </c>
      <c r="KM41" s="70">
        <v>227.05</v>
      </c>
      <c r="KN41" s="70">
        <v>226.23</v>
      </c>
      <c r="KO41" s="70">
        <v>225.42</v>
      </c>
      <c r="KP41" s="70">
        <v>224.61</v>
      </c>
      <c r="KQ41" s="70">
        <v>223.8</v>
      </c>
      <c r="KR41" s="70">
        <v>222.7300000000003</v>
      </c>
      <c r="KS41" s="70">
        <v>221.9800000000003</v>
      </c>
      <c r="KT41" s="70">
        <v>221.2300000000003</v>
      </c>
      <c r="KU41" s="70">
        <v>220.4800000000003</v>
      </c>
      <c r="KV41" s="70">
        <v>219.7300000000003</v>
      </c>
      <c r="KW41" s="70">
        <v>218.9800000000003</v>
      </c>
      <c r="KX41" s="70">
        <v>218.2300000000003</v>
      </c>
      <c r="KY41" s="70">
        <v>217.4800000000003</v>
      </c>
      <c r="KZ41" s="70">
        <v>216.7300000000003</v>
      </c>
      <c r="LA41" s="70">
        <v>215.9800000000003</v>
      </c>
      <c r="LB41" s="70">
        <v>215.2300000000003</v>
      </c>
      <c r="LC41" s="70">
        <v>214.4800000000003</v>
      </c>
      <c r="LD41" s="70">
        <v>213.7300000000003</v>
      </c>
      <c r="LE41" s="70">
        <v>212.9800000000003</v>
      </c>
      <c r="LF41" s="70">
        <v>212.2300000000003</v>
      </c>
      <c r="LG41" s="70">
        <v>211.4800000000003</v>
      </c>
      <c r="LH41" s="70">
        <v>210.7300000000003</v>
      </c>
      <c r="LI41" s="70">
        <v>209.9800000000003</v>
      </c>
      <c r="LJ41" s="70">
        <v>209.2300000000003</v>
      </c>
      <c r="LK41" s="70">
        <v>208.4800000000003</v>
      </c>
      <c r="LL41" s="70">
        <v>207.7300000000003</v>
      </c>
      <c r="LM41" s="70">
        <v>206.9800000000003</v>
      </c>
      <c r="LN41" s="70">
        <v>206.2300000000003</v>
      </c>
      <c r="LO41" s="70">
        <v>205.4800000000003</v>
      </c>
      <c r="LP41" s="70">
        <v>204.7300000000003</v>
      </c>
      <c r="LQ41" s="70">
        <v>203.9800000000003</v>
      </c>
      <c r="LR41" s="70">
        <v>203.2300000000003</v>
      </c>
      <c r="LS41" s="70">
        <v>202.4800000000003</v>
      </c>
      <c r="LT41" s="70">
        <v>201.7300000000003</v>
      </c>
      <c r="LU41" s="70">
        <v>200.9800000000003</v>
      </c>
      <c r="LV41" s="70">
        <v>200.2300000000003</v>
      </c>
      <c r="LW41" s="70">
        <v>199.4800000000003</v>
      </c>
      <c r="LX41" s="70">
        <v>198.7300000000003</v>
      </c>
      <c r="LY41" s="70">
        <v>197.9800000000003</v>
      </c>
      <c r="LZ41" s="70">
        <v>197.2300000000003</v>
      </c>
      <c r="MA41" s="70">
        <v>196.4800000000003</v>
      </c>
      <c r="MB41" s="70">
        <v>195.7300000000003</v>
      </c>
      <c r="MC41" s="70">
        <v>194.9800000000003</v>
      </c>
      <c r="MD41" s="70">
        <v>194.2300000000003</v>
      </c>
      <c r="ME41" s="70">
        <v>193.4800000000003</v>
      </c>
      <c r="MF41" s="70">
        <v>192.7300000000003</v>
      </c>
      <c r="MG41" s="70">
        <v>191.9800000000003</v>
      </c>
      <c r="MH41" s="70">
        <v>191.2300000000003</v>
      </c>
      <c r="MI41" s="70">
        <v>190.4800000000003</v>
      </c>
      <c r="MJ41" s="70">
        <v>189.7300000000003</v>
      </c>
      <c r="MK41" s="70">
        <v>188.9800000000003</v>
      </c>
      <c r="ML41" s="70">
        <v>188.2300000000003</v>
      </c>
      <c r="MM41" s="70">
        <v>187.4800000000003</v>
      </c>
      <c r="MN41" s="70">
        <v>186.7300000000003</v>
      </c>
      <c r="MO41" s="70">
        <v>185.9800000000003</v>
      </c>
      <c r="MP41" s="70">
        <v>185.2300000000003</v>
      </c>
      <c r="MQ41" s="70">
        <v>184.4800000000003</v>
      </c>
      <c r="MR41" s="70">
        <v>183.7300000000003</v>
      </c>
      <c r="MS41" s="70">
        <v>182.9800000000003</v>
      </c>
      <c r="MT41" s="70">
        <v>182.2300000000003</v>
      </c>
      <c r="MU41" s="70">
        <v>181.4800000000003</v>
      </c>
      <c r="MV41" s="70">
        <v>180.7300000000003</v>
      </c>
      <c r="MW41" s="70">
        <v>179.9800000000003</v>
      </c>
      <c r="MX41" s="70">
        <v>179.2300000000003</v>
      </c>
      <c r="MY41" s="70">
        <v>178.4800000000003</v>
      </c>
    </row>
    <row r="42" spans="1:363" ht="15.6" x14ac:dyDescent="0.3">
      <c r="A42" s="67" t="s">
        <v>7</v>
      </c>
      <c r="B42" s="72">
        <v>2052</v>
      </c>
      <c r="C42" s="70">
        <v>509.28</v>
      </c>
      <c r="D42" s="70">
        <v>508.25</v>
      </c>
      <c r="E42" s="70">
        <v>507.23</v>
      </c>
      <c r="F42" s="70">
        <v>506.2</v>
      </c>
      <c r="G42" s="70">
        <v>505.18</v>
      </c>
      <c r="H42" s="70">
        <v>504.15</v>
      </c>
      <c r="I42" s="70">
        <v>503.13</v>
      </c>
      <c r="J42" s="70">
        <v>502.1</v>
      </c>
      <c r="K42" s="70">
        <v>501.08</v>
      </c>
      <c r="L42" s="70">
        <v>500.05</v>
      </c>
      <c r="M42" s="70">
        <v>499.03</v>
      </c>
      <c r="N42" s="70">
        <v>498</v>
      </c>
      <c r="O42" s="70">
        <v>496.98</v>
      </c>
      <c r="P42" s="70">
        <v>495.95</v>
      </c>
      <c r="Q42" s="70">
        <v>494.93</v>
      </c>
      <c r="R42" s="70">
        <v>493.9</v>
      </c>
      <c r="S42" s="70">
        <v>492.88</v>
      </c>
      <c r="T42" s="70">
        <v>491.85</v>
      </c>
      <c r="U42" s="70">
        <v>490.83</v>
      </c>
      <c r="V42" s="70">
        <v>489.81</v>
      </c>
      <c r="W42" s="70">
        <v>488.78</v>
      </c>
      <c r="X42" s="70">
        <v>487.76</v>
      </c>
      <c r="Y42" s="70">
        <v>486.73</v>
      </c>
      <c r="Z42" s="70">
        <v>485.71</v>
      </c>
      <c r="AA42" s="70">
        <v>484.68</v>
      </c>
      <c r="AB42" s="70">
        <v>483.66</v>
      </c>
      <c r="AC42" s="70">
        <v>482.63</v>
      </c>
      <c r="AD42" s="70">
        <v>481.61</v>
      </c>
      <c r="AE42" s="70">
        <v>480.58</v>
      </c>
      <c r="AF42" s="70">
        <v>479.56</v>
      </c>
      <c r="AG42" s="70">
        <v>478.54</v>
      </c>
      <c r="AH42" s="70">
        <v>477.51</v>
      </c>
      <c r="AI42" s="70">
        <v>476.49</v>
      </c>
      <c r="AJ42" s="70">
        <v>475.46</v>
      </c>
      <c r="AK42" s="70">
        <v>474.44</v>
      </c>
      <c r="AL42" s="70">
        <v>473.41</v>
      </c>
      <c r="AM42" s="70">
        <v>472.39</v>
      </c>
      <c r="AN42" s="70">
        <v>471.37</v>
      </c>
      <c r="AO42" s="70">
        <v>470.34</v>
      </c>
      <c r="AP42" s="70">
        <v>469.32</v>
      </c>
      <c r="AQ42" s="70">
        <v>468.3</v>
      </c>
      <c r="AR42" s="70">
        <v>467.27</v>
      </c>
      <c r="AS42" s="70">
        <v>466.25</v>
      </c>
      <c r="AT42" s="70">
        <v>465.23</v>
      </c>
      <c r="AU42" s="70">
        <v>464.2</v>
      </c>
      <c r="AV42" s="70">
        <v>463.18</v>
      </c>
      <c r="AW42" s="70">
        <v>462.16</v>
      </c>
      <c r="AX42" s="70">
        <v>461.14</v>
      </c>
      <c r="AY42" s="70">
        <v>460.11</v>
      </c>
      <c r="AZ42" s="70">
        <v>459.09</v>
      </c>
      <c r="BA42" s="70">
        <v>458.07</v>
      </c>
      <c r="BB42" s="70">
        <v>457.05</v>
      </c>
      <c r="BC42" s="70">
        <v>456.02</v>
      </c>
      <c r="BD42" s="70">
        <v>455</v>
      </c>
      <c r="BE42" s="70">
        <v>453.98</v>
      </c>
      <c r="BF42" s="70">
        <v>452.96</v>
      </c>
      <c r="BG42" s="70">
        <v>451.94</v>
      </c>
      <c r="BH42" s="70">
        <v>450.92</v>
      </c>
      <c r="BI42" s="70">
        <v>449.9</v>
      </c>
      <c r="BJ42" s="70">
        <v>448.87</v>
      </c>
      <c r="BK42" s="70">
        <v>447.85</v>
      </c>
      <c r="BL42" s="70">
        <v>446.83</v>
      </c>
      <c r="BM42" s="70">
        <v>445.81</v>
      </c>
      <c r="BN42" s="70">
        <v>444.79</v>
      </c>
      <c r="BO42" s="70">
        <v>443.78</v>
      </c>
      <c r="BP42" s="70">
        <v>442.76</v>
      </c>
      <c r="BQ42" s="70">
        <v>441.74</v>
      </c>
      <c r="BR42" s="70">
        <v>440.72</v>
      </c>
      <c r="BS42" s="70">
        <v>439.7</v>
      </c>
      <c r="BT42" s="70">
        <v>438.68</v>
      </c>
      <c r="BU42" s="70">
        <v>437.66</v>
      </c>
      <c r="BV42" s="70">
        <v>436.64</v>
      </c>
      <c r="BW42" s="70">
        <v>435.62</v>
      </c>
      <c r="BX42" s="70">
        <v>434.61</v>
      </c>
      <c r="BY42" s="70">
        <v>433.59</v>
      </c>
      <c r="BZ42" s="70">
        <v>432.58</v>
      </c>
      <c r="CA42" s="70">
        <v>431.56</v>
      </c>
      <c r="CB42" s="70">
        <v>430.55</v>
      </c>
      <c r="CC42" s="70">
        <v>429.53</v>
      </c>
      <c r="CD42" s="70">
        <v>428.52</v>
      </c>
      <c r="CE42" s="70">
        <v>427.5</v>
      </c>
      <c r="CF42" s="70">
        <v>426.49</v>
      </c>
      <c r="CG42" s="70">
        <v>425.47</v>
      </c>
      <c r="CH42" s="70">
        <v>424.46</v>
      </c>
      <c r="CI42" s="70">
        <v>423.44</v>
      </c>
      <c r="CJ42" s="70">
        <v>422.43</v>
      </c>
      <c r="CK42" s="70">
        <v>421.42</v>
      </c>
      <c r="CL42" s="70">
        <v>420.41</v>
      </c>
      <c r="CM42" s="70">
        <v>419.4</v>
      </c>
      <c r="CN42" s="70">
        <v>418.39</v>
      </c>
      <c r="CO42" s="70">
        <v>417.38</v>
      </c>
      <c r="CP42" s="70">
        <v>416.37</v>
      </c>
      <c r="CQ42" s="70">
        <v>415.36</v>
      </c>
      <c r="CR42" s="70">
        <v>414.35</v>
      </c>
      <c r="CS42" s="70">
        <v>413.34</v>
      </c>
      <c r="CT42" s="70">
        <v>412.33</v>
      </c>
      <c r="CU42" s="70">
        <v>411.32</v>
      </c>
      <c r="CV42" s="70">
        <v>410.32</v>
      </c>
      <c r="CW42" s="70">
        <v>409.32</v>
      </c>
      <c r="CX42" s="70">
        <v>408.31</v>
      </c>
      <c r="CY42" s="70">
        <v>407.31</v>
      </c>
      <c r="CZ42" s="70">
        <v>406.3</v>
      </c>
      <c r="DA42" s="70">
        <v>405.3</v>
      </c>
      <c r="DB42" s="70">
        <v>404.3</v>
      </c>
      <c r="DC42" s="70">
        <v>403.29</v>
      </c>
      <c r="DD42" s="70">
        <v>402.29</v>
      </c>
      <c r="DE42" s="70">
        <v>401.29</v>
      </c>
      <c r="DF42" s="70">
        <v>400.29</v>
      </c>
      <c r="DG42" s="70">
        <v>399.28</v>
      </c>
      <c r="DH42" s="70">
        <v>398.29</v>
      </c>
      <c r="DI42" s="70">
        <v>397.29</v>
      </c>
      <c r="DJ42" s="70">
        <v>396.29</v>
      </c>
      <c r="DK42" s="70">
        <v>395.3</v>
      </c>
      <c r="DL42" s="70">
        <v>394.3</v>
      </c>
      <c r="DM42" s="70">
        <v>393.3</v>
      </c>
      <c r="DN42" s="70">
        <v>392.31</v>
      </c>
      <c r="DO42" s="70">
        <v>391.31</v>
      </c>
      <c r="DP42" s="70">
        <v>390.32</v>
      </c>
      <c r="DQ42" s="70">
        <v>389.32</v>
      </c>
      <c r="DR42" s="70">
        <v>388.33</v>
      </c>
      <c r="DS42" s="70">
        <v>387.33</v>
      </c>
      <c r="DT42" s="70">
        <v>386.35</v>
      </c>
      <c r="DU42" s="70">
        <v>385.36</v>
      </c>
      <c r="DV42" s="70">
        <v>384.37</v>
      </c>
      <c r="DW42" s="70">
        <v>383.38</v>
      </c>
      <c r="DX42" s="70">
        <v>382.4</v>
      </c>
      <c r="DY42" s="70">
        <v>381.41</v>
      </c>
      <c r="DZ42" s="70">
        <v>380.43</v>
      </c>
      <c r="EA42" s="70">
        <v>379.44</v>
      </c>
      <c r="EB42" s="70">
        <v>378.46</v>
      </c>
      <c r="EC42" s="70">
        <v>377.47</v>
      </c>
      <c r="ED42" s="70">
        <v>376.49</v>
      </c>
      <c r="EE42" s="70">
        <v>375.51</v>
      </c>
      <c r="EF42" s="70">
        <v>374.53</v>
      </c>
      <c r="EG42" s="70">
        <v>373.55</v>
      </c>
      <c r="EH42" s="70">
        <v>372.58</v>
      </c>
      <c r="EI42" s="70">
        <v>371.61</v>
      </c>
      <c r="EJ42" s="70">
        <v>370.63</v>
      </c>
      <c r="EK42" s="70">
        <v>369.66</v>
      </c>
      <c r="EL42" s="70">
        <v>368.69</v>
      </c>
      <c r="EM42" s="70">
        <v>367.72</v>
      </c>
      <c r="EN42" s="70">
        <v>366.74</v>
      </c>
      <c r="EO42" s="70">
        <v>365.77</v>
      </c>
      <c r="EP42" s="70">
        <v>364.8</v>
      </c>
      <c r="EQ42" s="70">
        <v>363.83</v>
      </c>
      <c r="ER42" s="70">
        <v>362.87</v>
      </c>
      <c r="ES42" s="70">
        <v>361.9</v>
      </c>
      <c r="ET42" s="70">
        <v>360.94</v>
      </c>
      <c r="EU42" s="70">
        <v>359.98</v>
      </c>
      <c r="EV42" s="70">
        <v>359.01</v>
      </c>
      <c r="EW42" s="70">
        <v>358.05</v>
      </c>
      <c r="EX42" s="70">
        <v>357.09</v>
      </c>
      <c r="EY42" s="70">
        <v>356.13</v>
      </c>
      <c r="EZ42" s="70">
        <v>355.17</v>
      </c>
      <c r="FA42" s="70">
        <v>354.21</v>
      </c>
      <c r="FB42" s="70">
        <v>353.25</v>
      </c>
      <c r="FC42" s="70">
        <v>352.29</v>
      </c>
      <c r="FD42" s="70">
        <v>351.33</v>
      </c>
      <c r="FE42" s="70">
        <v>350.37</v>
      </c>
      <c r="FF42" s="70">
        <v>349.42</v>
      </c>
      <c r="FG42" s="70">
        <v>348.46</v>
      </c>
      <c r="FH42" s="70">
        <v>347.5</v>
      </c>
      <c r="FI42" s="70">
        <v>346.55</v>
      </c>
      <c r="FJ42" s="70">
        <v>345.59</v>
      </c>
      <c r="FK42" s="70">
        <v>344.64</v>
      </c>
      <c r="FL42" s="70">
        <v>343.69</v>
      </c>
      <c r="FM42" s="70">
        <v>342.74</v>
      </c>
      <c r="FN42" s="70">
        <v>341.78</v>
      </c>
      <c r="FO42" s="70">
        <v>340.83</v>
      </c>
      <c r="FP42" s="70">
        <v>339.88</v>
      </c>
      <c r="FQ42" s="70">
        <v>338.93</v>
      </c>
      <c r="FR42" s="70">
        <v>337.99</v>
      </c>
      <c r="FS42" s="70">
        <v>337.04</v>
      </c>
      <c r="FT42" s="70">
        <v>336.09</v>
      </c>
      <c r="FU42" s="70">
        <v>335.14</v>
      </c>
      <c r="FV42" s="70">
        <v>334.2</v>
      </c>
      <c r="FW42" s="70">
        <v>333.25</v>
      </c>
      <c r="FX42" s="70">
        <v>332.31</v>
      </c>
      <c r="FY42" s="70">
        <v>331.37</v>
      </c>
      <c r="FZ42" s="70">
        <v>330.42</v>
      </c>
      <c r="GA42" s="70">
        <v>329.48</v>
      </c>
      <c r="GB42" s="70">
        <v>328.54</v>
      </c>
      <c r="GC42" s="70">
        <v>327.60000000000002</v>
      </c>
      <c r="GD42" s="70">
        <v>326.66000000000003</v>
      </c>
      <c r="GE42" s="70">
        <v>325.72000000000003</v>
      </c>
      <c r="GF42" s="70">
        <v>324.79000000000002</v>
      </c>
      <c r="GG42" s="70">
        <v>323.85000000000002</v>
      </c>
      <c r="GH42" s="70">
        <v>322.91000000000003</v>
      </c>
      <c r="GI42" s="70">
        <v>321.98</v>
      </c>
      <c r="GJ42" s="70">
        <v>321.04000000000002</v>
      </c>
      <c r="GK42" s="70">
        <v>320.10000000000002</v>
      </c>
      <c r="GL42" s="70">
        <v>319.18</v>
      </c>
      <c r="GM42" s="70">
        <v>318.25</v>
      </c>
      <c r="GN42" s="70">
        <v>317.32</v>
      </c>
      <c r="GO42" s="70">
        <v>316.39</v>
      </c>
      <c r="GP42" s="70">
        <v>315.45999999999998</v>
      </c>
      <c r="GQ42" s="70">
        <v>314.54000000000002</v>
      </c>
      <c r="GR42" s="70">
        <v>313.60000000000002</v>
      </c>
      <c r="GS42" s="70">
        <v>312.69</v>
      </c>
      <c r="GT42" s="70">
        <v>311.76</v>
      </c>
      <c r="GU42" s="70">
        <v>310.83999999999997</v>
      </c>
      <c r="GV42" s="70">
        <v>309.92</v>
      </c>
      <c r="GW42" s="70">
        <v>309</v>
      </c>
      <c r="GX42" s="70">
        <v>308.07</v>
      </c>
      <c r="GY42" s="70">
        <v>307.16000000000003</v>
      </c>
      <c r="GZ42" s="70">
        <v>306.24</v>
      </c>
      <c r="HA42" s="70">
        <v>305.32</v>
      </c>
      <c r="HB42" s="70">
        <v>304.41000000000003</v>
      </c>
      <c r="HC42" s="70">
        <v>303.5</v>
      </c>
      <c r="HD42" s="70">
        <v>302.57</v>
      </c>
      <c r="HE42" s="70">
        <v>301.67</v>
      </c>
      <c r="HF42" s="70">
        <v>300.76</v>
      </c>
      <c r="HG42" s="70">
        <v>299.85000000000002</v>
      </c>
      <c r="HH42" s="70">
        <v>298.94</v>
      </c>
      <c r="HI42" s="70">
        <v>298.02999999999997</v>
      </c>
      <c r="HJ42" s="70">
        <v>297.13</v>
      </c>
      <c r="HK42" s="70">
        <v>296.22000000000003</v>
      </c>
      <c r="HL42" s="70">
        <v>295.32</v>
      </c>
      <c r="HM42" s="70">
        <v>294.42</v>
      </c>
      <c r="HN42" s="70">
        <v>293.51</v>
      </c>
      <c r="HO42" s="70">
        <v>292.62</v>
      </c>
      <c r="HP42" s="70">
        <v>291.72000000000003</v>
      </c>
      <c r="HQ42" s="70">
        <v>290.82</v>
      </c>
      <c r="HR42" s="70">
        <v>289.92</v>
      </c>
      <c r="HS42" s="70">
        <v>289.02999999999997</v>
      </c>
      <c r="HT42" s="70">
        <v>288.13</v>
      </c>
      <c r="HU42" s="70">
        <v>287.24</v>
      </c>
      <c r="HV42" s="70">
        <v>286.35000000000002</v>
      </c>
      <c r="HW42" s="70">
        <v>285.45999999999998</v>
      </c>
      <c r="HX42" s="70">
        <v>284.57</v>
      </c>
      <c r="HY42" s="70">
        <v>283.68</v>
      </c>
      <c r="HZ42" s="70">
        <v>282.79000000000002</v>
      </c>
      <c r="IA42" s="70">
        <v>281.89999999999998</v>
      </c>
      <c r="IB42" s="70">
        <v>281.01</v>
      </c>
      <c r="IC42" s="70">
        <v>280.13</v>
      </c>
      <c r="ID42" s="70">
        <v>279.25</v>
      </c>
      <c r="IE42" s="70">
        <v>278.37</v>
      </c>
      <c r="IF42" s="70">
        <v>277.49</v>
      </c>
      <c r="IG42" s="70">
        <v>276.60000000000002</v>
      </c>
      <c r="IH42" s="70">
        <v>275.72000000000003</v>
      </c>
      <c r="II42" s="70">
        <v>274.85000000000002</v>
      </c>
      <c r="IJ42" s="70">
        <v>273.97000000000003</v>
      </c>
      <c r="IK42" s="70">
        <v>273.08999999999997</v>
      </c>
      <c r="IL42" s="70">
        <v>272.22000000000003</v>
      </c>
      <c r="IM42" s="70">
        <v>271.35000000000002</v>
      </c>
      <c r="IN42" s="70">
        <v>270.47000000000003</v>
      </c>
      <c r="IO42" s="70">
        <v>269.60000000000002</v>
      </c>
      <c r="IP42" s="70">
        <v>268.73</v>
      </c>
      <c r="IQ42" s="70">
        <v>267.85000000000002</v>
      </c>
      <c r="IR42" s="70">
        <v>266.99</v>
      </c>
      <c r="IS42" s="70">
        <v>266.13</v>
      </c>
      <c r="IT42" s="70">
        <v>265.26</v>
      </c>
      <c r="IU42" s="70">
        <v>264.39999999999998</v>
      </c>
      <c r="IV42" s="70">
        <v>263.54000000000002</v>
      </c>
      <c r="IW42" s="70">
        <v>262.68</v>
      </c>
      <c r="IX42" s="70">
        <v>261.82</v>
      </c>
      <c r="IY42" s="70">
        <v>260.95999999999998</v>
      </c>
      <c r="IZ42" s="70">
        <v>260.10000000000002</v>
      </c>
      <c r="JA42" s="70">
        <v>259.24</v>
      </c>
      <c r="JB42" s="70">
        <v>258.39</v>
      </c>
      <c r="JC42" s="70">
        <v>257.54000000000002</v>
      </c>
      <c r="JD42" s="70">
        <v>256.68</v>
      </c>
      <c r="JE42" s="70">
        <v>255.83</v>
      </c>
      <c r="JF42" s="70">
        <v>254.98</v>
      </c>
      <c r="JG42" s="70">
        <v>254.13</v>
      </c>
      <c r="JH42" s="70">
        <v>253.28</v>
      </c>
      <c r="JI42" s="70">
        <v>252.44</v>
      </c>
      <c r="JJ42" s="70">
        <v>251.59</v>
      </c>
      <c r="JK42" s="70">
        <v>250.74</v>
      </c>
      <c r="JL42" s="70">
        <v>249.9</v>
      </c>
      <c r="JM42" s="70">
        <v>249.06</v>
      </c>
      <c r="JN42" s="70">
        <v>248.21</v>
      </c>
      <c r="JO42" s="70">
        <v>247.37</v>
      </c>
      <c r="JP42" s="70">
        <v>246.53</v>
      </c>
      <c r="JQ42" s="70">
        <v>245.69</v>
      </c>
      <c r="JR42" s="70">
        <v>244.85</v>
      </c>
      <c r="JS42" s="70">
        <v>244.02</v>
      </c>
      <c r="JT42" s="70">
        <v>243.18</v>
      </c>
      <c r="JU42" s="70">
        <v>242.35</v>
      </c>
      <c r="JV42" s="70">
        <v>241.51</v>
      </c>
      <c r="JW42" s="70">
        <v>240.68</v>
      </c>
      <c r="JX42" s="70">
        <v>239.85</v>
      </c>
      <c r="JY42" s="70">
        <v>239.02</v>
      </c>
      <c r="JZ42" s="70">
        <v>238.19</v>
      </c>
      <c r="KA42" s="70">
        <v>237.36</v>
      </c>
      <c r="KB42" s="70">
        <v>236.53</v>
      </c>
      <c r="KC42" s="70">
        <v>235.71</v>
      </c>
      <c r="KD42" s="70">
        <v>234.88</v>
      </c>
      <c r="KE42" s="70">
        <v>234.06</v>
      </c>
      <c r="KF42" s="70">
        <v>233.23</v>
      </c>
      <c r="KG42" s="70">
        <v>232.41</v>
      </c>
      <c r="KH42" s="70">
        <v>231.59</v>
      </c>
      <c r="KI42" s="70">
        <v>230.77</v>
      </c>
      <c r="KJ42" s="70">
        <v>229.95</v>
      </c>
      <c r="KK42" s="70">
        <v>229.13</v>
      </c>
      <c r="KL42" s="70">
        <v>228.31</v>
      </c>
      <c r="KM42" s="70">
        <v>227.5</v>
      </c>
      <c r="KN42" s="70">
        <v>226.68</v>
      </c>
      <c r="KO42" s="70">
        <v>225.87</v>
      </c>
      <c r="KP42" s="70">
        <v>225.06</v>
      </c>
      <c r="KQ42" s="70">
        <v>224.25</v>
      </c>
      <c r="KR42" s="70">
        <v>223.19000000000031</v>
      </c>
      <c r="KS42" s="70">
        <v>222.44000000000031</v>
      </c>
      <c r="KT42" s="70">
        <v>221.69000000000031</v>
      </c>
      <c r="KU42" s="70">
        <v>220.94000000000031</v>
      </c>
      <c r="KV42" s="70">
        <v>220.19000000000031</v>
      </c>
      <c r="KW42" s="70">
        <v>219.44000000000031</v>
      </c>
      <c r="KX42" s="70">
        <v>218.69000000000031</v>
      </c>
      <c r="KY42" s="70">
        <v>217.94000000000031</v>
      </c>
      <c r="KZ42" s="70">
        <v>217.19000000000031</v>
      </c>
      <c r="LA42" s="70">
        <v>216.44000000000031</v>
      </c>
      <c r="LB42" s="70">
        <v>215.69000000000031</v>
      </c>
      <c r="LC42" s="70">
        <v>214.94000000000031</v>
      </c>
      <c r="LD42" s="70">
        <v>214.19000000000031</v>
      </c>
      <c r="LE42" s="70">
        <v>213.44000000000031</v>
      </c>
      <c r="LF42" s="70">
        <v>212.69000000000031</v>
      </c>
      <c r="LG42" s="70">
        <v>211.94000000000031</v>
      </c>
      <c r="LH42" s="70">
        <v>211.19000000000031</v>
      </c>
      <c r="LI42" s="70">
        <v>210.44000000000031</v>
      </c>
      <c r="LJ42" s="70">
        <v>209.69000000000031</v>
      </c>
      <c r="LK42" s="70">
        <v>208.94000000000031</v>
      </c>
      <c r="LL42" s="70">
        <v>208.19000000000031</v>
      </c>
      <c r="LM42" s="70">
        <v>207.44000000000031</v>
      </c>
      <c r="LN42" s="70">
        <v>206.69000000000031</v>
      </c>
      <c r="LO42" s="70">
        <v>205.94000000000031</v>
      </c>
      <c r="LP42" s="70">
        <v>205.19000000000031</v>
      </c>
      <c r="LQ42" s="70">
        <v>204.44000000000031</v>
      </c>
      <c r="LR42" s="70">
        <v>203.69000000000031</v>
      </c>
      <c r="LS42" s="70">
        <v>202.94000000000031</v>
      </c>
      <c r="LT42" s="70">
        <v>202.19000000000031</v>
      </c>
      <c r="LU42" s="70">
        <v>201.44000000000031</v>
      </c>
      <c r="LV42" s="70">
        <v>200.69000000000031</v>
      </c>
      <c r="LW42" s="70">
        <v>199.94000000000031</v>
      </c>
      <c r="LX42" s="70">
        <v>199.19000000000031</v>
      </c>
      <c r="LY42" s="70">
        <v>198.44000000000031</v>
      </c>
      <c r="LZ42" s="70">
        <v>197.69000000000031</v>
      </c>
      <c r="MA42" s="70">
        <v>196.94000000000031</v>
      </c>
      <c r="MB42" s="70">
        <v>196.19000000000031</v>
      </c>
      <c r="MC42" s="70">
        <v>195.44000000000031</v>
      </c>
      <c r="MD42" s="70">
        <v>194.69000000000031</v>
      </c>
      <c r="ME42" s="70">
        <v>193.94000000000031</v>
      </c>
      <c r="MF42" s="70">
        <v>193.19000000000031</v>
      </c>
      <c r="MG42" s="70">
        <v>192.44000000000031</v>
      </c>
      <c r="MH42" s="70">
        <v>191.69000000000031</v>
      </c>
      <c r="MI42" s="70">
        <v>190.94000000000031</v>
      </c>
      <c r="MJ42" s="70">
        <v>190.19000000000031</v>
      </c>
      <c r="MK42" s="70">
        <v>189.44000000000031</v>
      </c>
      <c r="ML42" s="70">
        <v>188.69000000000031</v>
      </c>
      <c r="MM42" s="70">
        <v>187.94000000000031</v>
      </c>
      <c r="MN42" s="70">
        <v>187.19000000000031</v>
      </c>
      <c r="MO42" s="70">
        <v>186.44000000000031</v>
      </c>
      <c r="MP42" s="70">
        <v>185.69000000000031</v>
      </c>
      <c r="MQ42" s="70">
        <v>184.94000000000031</v>
      </c>
      <c r="MR42" s="70">
        <v>184.19000000000031</v>
      </c>
      <c r="MS42" s="70">
        <v>183.44000000000031</v>
      </c>
      <c r="MT42" s="70">
        <v>182.69000000000031</v>
      </c>
      <c r="MU42" s="70">
        <v>181.94000000000031</v>
      </c>
      <c r="MV42" s="70">
        <v>181.19000000000031</v>
      </c>
      <c r="MW42" s="70">
        <v>180.44000000000031</v>
      </c>
      <c r="MX42" s="70">
        <v>179.69000000000031</v>
      </c>
      <c r="MY42" s="70">
        <v>178.94000000000031</v>
      </c>
    </row>
    <row r="43" spans="1:363" ht="15.6" x14ac:dyDescent="0.3">
      <c r="A43" s="67" t="s">
        <v>7</v>
      </c>
      <c r="B43" s="72">
        <v>2053</v>
      </c>
      <c r="C43" s="70">
        <v>509.83</v>
      </c>
      <c r="D43" s="70">
        <v>508.8</v>
      </c>
      <c r="E43" s="70">
        <v>507.78</v>
      </c>
      <c r="F43" s="70">
        <v>506.75</v>
      </c>
      <c r="G43" s="70">
        <v>505.72</v>
      </c>
      <c r="H43" s="70">
        <v>504.7</v>
      </c>
      <c r="I43" s="70">
        <v>503.67</v>
      </c>
      <c r="J43" s="70">
        <v>502.65</v>
      </c>
      <c r="K43" s="70">
        <v>501.62</v>
      </c>
      <c r="L43" s="70">
        <v>500.6</v>
      </c>
      <c r="M43" s="70">
        <v>499.57</v>
      </c>
      <c r="N43" s="70">
        <v>498.55</v>
      </c>
      <c r="O43" s="70">
        <v>497.52</v>
      </c>
      <c r="P43" s="70">
        <v>496.5</v>
      </c>
      <c r="Q43" s="70">
        <v>495.47</v>
      </c>
      <c r="R43" s="70">
        <v>494.45</v>
      </c>
      <c r="S43" s="70">
        <v>493.42</v>
      </c>
      <c r="T43" s="70">
        <v>492.4</v>
      </c>
      <c r="U43" s="70">
        <v>491.37</v>
      </c>
      <c r="V43" s="70">
        <v>490.35</v>
      </c>
      <c r="W43" s="70">
        <v>489.32</v>
      </c>
      <c r="X43" s="70">
        <v>488.3</v>
      </c>
      <c r="Y43" s="70">
        <v>487.27</v>
      </c>
      <c r="Z43" s="70">
        <v>486.25</v>
      </c>
      <c r="AA43" s="70">
        <v>485.23</v>
      </c>
      <c r="AB43" s="70">
        <v>484.2</v>
      </c>
      <c r="AC43" s="70">
        <v>483.18</v>
      </c>
      <c r="AD43" s="70">
        <v>482.15</v>
      </c>
      <c r="AE43" s="70">
        <v>481.13</v>
      </c>
      <c r="AF43" s="70">
        <v>480.1</v>
      </c>
      <c r="AG43" s="70">
        <v>479.08</v>
      </c>
      <c r="AH43" s="70">
        <v>478.05</v>
      </c>
      <c r="AI43" s="70">
        <v>477.03</v>
      </c>
      <c r="AJ43" s="70">
        <v>476</v>
      </c>
      <c r="AK43" s="70">
        <v>474.98</v>
      </c>
      <c r="AL43" s="70">
        <v>473.95</v>
      </c>
      <c r="AM43" s="70">
        <v>472.93</v>
      </c>
      <c r="AN43" s="70">
        <v>471.91</v>
      </c>
      <c r="AO43" s="70">
        <v>470.88</v>
      </c>
      <c r="AP43" s="70">
        <v>469.86</v>
      </c>
      <c r="AQ43" s="70">
        <v>468.84</v>
      </c>
      <c r="AR43" s="70">
        <v>467.81</v>
      </c>
      <c r="AS43" s="70">
        <v>466.79</v>
      </c>
      <c r="AT43" s="70">
        <v>465.77</v>
      </c>
      <c r="AU43" s="70">
        <v>464.74</v>
      </c>
      <c r="AV43" s="70">
        <v>463.72</v>
      </c>
      <c r="AW43" s="70">
        <v>462.7</v>
      </c>
      <c r="AX43" s="70">
        <v>461.67</v>
      </c>
      <c r="AY43" s="70">
        <v>460.65</v>
      </c>
      <c r="AZ43" s="70">
        <v>459.63</v>
      </c>
      <c r="BA43" s="70">
        <v>458.61</v>
      </c>
      <c r="BB43" s="70">
        <v>457.58</v>
      </c>
      <c r="BC43" s="70">
        <v>456.56</v>
      </c>
      <c r="BD43" s="70">
        <v>455.54</v>
      </c>
      <c r="BE43" s="70">
        <v>454.52</v>
      </c>
      <c r="BF43" s="70">
        <v>453.5</v>
      </c>
      <c r="BG43" s="70">
        <v>452.47</v>
      </c>
      <c r="BH43" s="70">
        <v>451.45</v>
      </c>
      <c r="BI43" s="70">
        <v>450.43</v>
      </c>
      <c r="BJ43" s="70">
        <v>449.41</v>
      </c>
      <c r="BK43" s="70">
        <v>448.39</v>
      </c>
      <c r="BL43" s="70">
        <v>447.37</v>
      </c>
      <c r="BM43" s="70">
        <v>446.35</v>
      </c>
      <c r="BN43" s="70">
        <v>445.33</v>
      </c>
      <c r="BO43" s="70">
        <v>444.31</v>
      </c>
      <c r="BP43" s="70">
        <v>443.29</v>
      </c>
      <c r="BQ43" s="70">
        <v>442.27</v>
      </c>
      <c r="BR43" s="70">
        <v>441.25</v>
      </c>
      <c r="BS43" s="70">
        <v>440.23</v>
      </c>
      <c r="BT43" s="70">
        <v>439.21</v>
      </c>
      <c r="BU43" s="70">
        <v>438.19</v>
      </c>
      <c r="BV43" s="70">
        <v>437.17</v>
      </c>
      <c r="BW43" s="70">
        <v>436.16</v>
      </c>
      <c r="BX43" s="70">
        <v>435.14</v>
      </c>
      <c r="BY43" s="70">
        <v>434.12</v>
      </c>
      <c r="BZ43" s="70">
        <v>433.11</v>
      </c>
      <c r="CA43" s="70">
        <v>432.09</v>
      </c>
      <c r="CB43" s="70">
        <v>431.08</v>
      </c>
      <c r="CC43" s="70">
        <v>430.06</v>
      </c>
      <c r="CD43" s="70">
        <v>429.05</v>
      </c>
      <c r="CE43" s="70">
        <v>428.03</v>
      </c>
      <c r="CF43" s="70">
        <v>427.01</v>
      </c>
      <c r="CG43" s="70">
        <v>426</v>
      </c>
      <c r="CH43" s="70">
        <v>424.98</v>
      </c>
      <c r="CI43" s="70">
        <v>423.97</v>
      </c>
      <c r="CJ43" s="70">
        <v>422.96</v>
      </c>
      <c r="CK43" s="70">
        <v>421.95</v>
      </c>
      <c r="CL43" s="70">
        <v>420.94</v>
      </c>
      <c r="CM43" s="70">
        <v>419.93</v>
      </c>
      <c r="CN43" s="70">
        <v>418.92</v>
      </c>
      <c r="CO43" s="70">
        <v>417.91</v>
      </c>
      <c r="CP43" s="70">
        <v>416.9</v>
      </c>
      <c r="CQ43" s="70">
        <v>415.89</v>
      </c>
      <c r="CR43" s="70">
        <v>414.88</v>
      </c>
      <c r="CS43" s="70">
        <v>413.87</v>
      </c>
      <c r="CT43" s="70">
        <v>412.86</v>
      </c>
      <c r="CU43" s="70">
        <v>411.85</v>
      </c>
      <c r="CV43" s="70">
        <v>410.84</v>
      </c>
      <c r="CW43" s="70">
        <v>409.84</v>
      </c>
      <c r="CX43" s="70">
        <v>408.83</v>
      </c>
      <c r="CY43" s="70">
        <v>407.83</v>
      </c>
      <c r="CZ43" s="70">
        <v>406.83</v>
      </c>
      <c r="DA43" s="70">
        <v>405.82</v>
      </c>
      <c r="DB43" s="70">
        <v>404.82</v>
      </c>
      <c r="DC43" s="70">
        <v>403.81</v>
      </c>
      <c r="DD43" s="70">
        <v>402.81</v>
      </c>
      <c r="DE43" s="70">
        <v>401.81</v>
      </c>
      <c r="DF43" s="70">
        <v>400.81</v>
      </c>
      <c r="DG43" s="70">
        <v>399.8</v>
      </c>
      <c r="DH43" s="70">
        <v>398.81</v>
      </c>
      <c r="DI43" s="70">
        <v>397.81</v>
      </c>
      <c r="DJ43" s="70">
        <v>396.81</v>
      </c>
      <c r="DK43" s="70">
        <v>395.81</v>
      </c>
      <c r="DL43" s="70">
        <v>394.82</v>
      </c>
      <c r="DM43" s="70">
        <v>393.82</v>
      </c>
      <c r="DN43" s="70">
        <v>392.83</v>
      </c>
      <c r="DO43" s="70">
        <v>391.83</v>
      </c>
      <c r="DP43" s="70">
        <v>390.83</v>
      </c>
      <c r="DQ43" s="70">
        <v>389.84</v>
      </c>
      <c r="DR43" s="70">
        <v>388.84</v>
      </c>
      <c r="DS43" s="70">
        <v>387.85</v>
      </c>
      <c r="DT43" s="70">
        <v>386.86</v>
      </c>
      <c r="DU43" s="70">
        <v>385.87</v>
      </c>
      <c r="DV43" s="70">
        <v>384.89</v>
      </c>
      <c r="DW43" s="70">
        <v>383.9</v>
      </c>
      <c r="DX43" s="70">
        <v>382.91</v>
      </c>
      <c r="DY43" s="70">
        <v>381.93</v>
      </c>
      <c r="DZ43" s="70">
        <v>380.94</v>
      </c>
      <c r="EA43" s="70">
        <v>379.95</v>
      </c>
      <c r="EB43" s="70">
        <v>378.97</v>
      </c>
      <c r="EC43" s="70">
        <v>377.98</v>
      </c>
      <c r="ED43" s="70">
        <v>377</v>
      </c>
      <c r="EE43" s="70">
        <v>376.02</v>
      </c>
      <c r="EF43" s="70">
        <v>375.04</v>
      </c>
      <c r="EG43" s="70">
        <v>374.07</v>
      </c>
      <c r="EH43" s="70">
        <v>373.09</v>
      </c>
      <c r="EI43" s="70">
        <v>372.12</v>
      </c>
      <c r="EJ43" s="70">
        <v>371.14</v>
      </c>
      <c r="EK43" s="70">
        <v>370.17</v>
      </c>
      <c r="EL43" s="70">
        <v>369.2</v>
      </c>
      <c r="EM43" s="70">
        <v>368.23</v>
      </c>
      <c r="EN43" s="70">
        <v>367.25</v>
      </c>
      <c r="EO43" s="70">
        <v>366.28</v>
      </c>
      <c r="EP43" s="70">
        <v>365.31</v>
      </c>
      <c r="EQ43" s="70">
        <v>364.34</v>
      </c>
      <c r="ER43" s="70">
        <v>363.38</v>
      </c>
      <c r="ES43" s="70">
        <v>362.41</v>
      </c>
      <c r="ET43" s="70">
        <v>361.45</v>
      </c>
      <c r="EU43" s="70">
        <v>360.48</v>
      </c>
      <c r="EV43" s="70">
        <v>359.52</v>
      </c>
      <c r="EW43" s="70">
        <v>358.56</v>
      </c>
      <c r="EX43" s="70">
        <v>357.6</v>
      </c>
      <c r="EY43" s="70">
        <v>356.63</v>
      </c>
      <c r="EZ43" s="70">
        <v>355.67</v>
      </c>
      <c r="FA43" s="70">
        <v>354.71</v>
      </c>
      <c r="FB43" s="70">
        <v>353.75</v>
      </c>
      <c r="FC43" s="70">
        <v>352.79</v>
      </c>
      <c r="FD43" s="70">
        <v>351.84</v>
      </c>
      <c r="FE43" s="70">
        <v>350.88</v>
      </c>
      <c r="FF43" s="70">
        <v>349.92</v>
      </c>
      <c r="FG43" s="70">
        <v>348.97</v>
      </c>
      <c r="FH43" s="70">
        <v>348.01</v>
      </c>
      <c r="FI43" s="70">
        <v>347.05</v>
      </c>
      <c r="FJ43" s="70">
        <v>346.1</v>
      </c>
      <c r="FK43" s="70">
        <v>345.15</v>
      </c>
      <c r="FL43" s="70">
        <v>344.19</v>
      </c>
      <c r="FM43" s="70">
        <v>343.24</v>
      </c>
      <c r="FN43" s="70">
        <v>342.29</v>
      </c>
      <c r="FO43" s="70">
        <v>341.34</v>
      </c>
      <c r="FP43" s="70">
        <v>340.39</v>
      </c>
      <c r="FQ43" s="70">
        <v>339.44</v>
      </c>
      <c r="FR43" s="70">
        <v>338.49</v>
      </c>
      <c r="FS43" s="70">
        <v>337.54</v>
      </c>
      <c r="FT43" s="70">
        <v>336.59</v>
      </c>
      <c r="FU43" s="70">
        <v>335.65</v>
      </c>
      <c r="FV43" s="70">
        <v>334.7</v>
      </c>
      <c r="FW43" s="70">
        <v>333.76</v>
      </c>
      <c r="FX43" s="70">
        <v>332.81</v>
      </c>
      <c r="FY43" s="70">
        <v>331.87</v>
      </c>
      <c r="FZ43" s="70">
        <v>330.92</v>
      </c>
      <c r="GA43" s="70">
        <v>329.98</v>
      </c>
      <c r="GB43" s="70">
        <v>329.04</v>
      </c>
      <c r="GC43" s="70">
        <v>328.1</v>
      </c>
      <c r="GD43" s="70">
        <v>327.16000000000003</v>
      </c>
      <c r="GE43" s="70">
        <v>326.22000000000003</v>
      </c>
      <c r="GF43" s="70">
        <v>325.29000000000002</v>
      </c>
      <c r="GG43" s="70">
        <v>324.35000000000002</v>
      </c>
      <c r="GH43" s="70">
        <v>323.41000000000003</v>
      </c>
      <c r="GI43" s="70">
        <v>322.48</v>
      </c>
      <c r="GJ43" s="70">
        <v>321.54000000000002</v>
      </c>
      <c r="GK43" s="70">
        <v>320.60000000000002</v>
      </c>
      <c r="GL43" s="70">
        <v>319.68</v>
      </c>
      <c r="GM43" s="70">
        <v>318.75</v>
      </c>
      <c r="GN43" s="70">
        <v>317.82</v>
      </c>
      <c r="GO43" s="70">
        <v>316.89</v>
      </c>
      <c r="GP43" s="70">
        <v>315.95999999999998</v>
      </c>
      <c r="GQ43" s="70">
        <v>315.02999999999997</v>
      </c>
      <c r="GR43" s="70">
        <v>314.10000000000002</v>
      </c>
      <c r="GS43" s="70">
        <v>313.18</v>
      </c>
      <c r="GT43" s="70">
        <v>312.26</v>
      </c>
      <c r="GU43" s="70">
        <v>311.33999999999997</v>
      </c>
      <c r="GV43" s="70">
        <v>310.41000000000003</v>
      </c>
      <c r="GW43" s="70">
        <v>309.49</v>
      </c>
      <c r="GX43" s="70">
        <v>308.57</v>
      </c>
      <c r="GY43" s="70">
        <v>307.64999999999998</v>
      </c>
      <c r="GZ43" s="70">
        <v>306.74</v>
      </c>
      <c r="HA43" s="70">
        <v>305.82</v>
      </c>
      <c r="HB43" s="70">
        <v>304.89999999999998</v>
      </c>
      <c r="HC43" s="70">
        <v>303.99</v>
      </c>
      <c r="HD43" s="70">
        <v>303.07</v>
      </c>
      <c r="HE43" s="70">
        <v>302.16000000000003</v>
      </c>
      <c r="HF43" s="70">
        <v>301.25</v>
      </c>
      <c r="HG43" s="70">
        <v>300.33999999999997</v>
      </c>
      <c r="HH43" s="70">
        <v>299.43</v>
      </c>
      <c r="HI43" s="70">
        <v>298.51</v>
      </c>
      <c r="HJ43" s="70">
        <v>297.62</v>
      </c>
      <c r="HK43" s="70">
        <v>296.70999999999998</v>
      </c>
      <c r="HL43" s="70">
        <v>295.81</v>
      </c>
      <c r="HM43" s="70">
        <v>294.91000000000003</v>
      </c>
      <c r="HN43" s="70">
        <v>294</v>
      </c>
      <c r="HO43" s="70">
        <v>293.10000000000002</v>
      </c>
      <c r="HP43" s="70">
        <v>292.20999999999998</v>
      </c>
      <c r="HQ43" s="70">
        <v>291.31</v>
      </c>
      <c r="HR43" s="70">
        <v>290.41000000000003</v>
      </c>
      <c r="HS43" s="70">
        <v>289.51</v>
      </c>
      <c r="HT43" s="70">
        <v>288.62</v>
      </c>
      <c r="HU43" s="70">
        <v>287.73</v>
      </c>
      <c r="HV43" s="70">
        <v>286.82</v>
      </c>
      <c r="HW43" s="70">
        <v>285.94</v>
      </c>
      <c r="HX43" s="70">
        <v>285.04000000000002</v>
      </c>
      <c r="HY43" s="70">
        <v>284.16000000000003</v>
      </c>
      <c r="HZ43" s="70">
        <v>283.27999999999997</v>
      </c>
      <c r="IA43" s="70">
        <v>282.39</v>
      </c>
      <c r="IB43" s="70">
        <v>281.5</v>
      </c>
      <c r="IC43" s="70">
        <v>280.62</v>
      </c>
      <c r="ID43" s="70">
        <v>279.73</v>
      </c>
      <c r="IE43" s="70">
        <v>278.85000000000002</v>
      </c>
      <c r="IF43" s="70">
        <v>277.97000000000003</v>
      </c>
      <c r="IG43" s="70">
        <v>277.08999999999997</v>
      </c>
      <c r="IH43" s="70">
        <v>276.20999999999998</v>
      </c>
      <c r="II43" s="70">
        <v>275.32</v>
      </c>
      <c r="IJ43" s="70">
        <v>274.45</v>
      </c>
      <c r="IK43" s="70">
        <v>273.57</v>
      </c>
      <c r="IL43" s="70">
        <v>272.7</v>
      </c>
      <c r="IM43" s="70">
        <v>271.82</v>
      </c>
      <c r="IN43" s="70">
        <v>270.95</v>
      </c>
      <c r="IO43" s="70">
        <v>270.07</v>
      </c>
      <c r="IP43" s="70">
        <v>269.20999999999998</v>
      </c>
      <c r="IQ43" s="70">
        <v>268.33999999999997</v>
      </c>
      <c r="IR43" s="70">
        <v>267.47000000000003</v>
      </c>
      <c r="IS43" s="70">
        <v>266.60000000000002</v>
      </c>
      <c r="IT43" s="70">
        <v>265.74</v>
      </c>
      <c r="IU43" s="70">
        <v>264.87</v>
      </c>
      <c r="IV43" s="70">
        <v>264.01</v>
      </c>
      <c r="IW43" s="70">
        <v>263.14999999999998</v>
      </c>
      <c r="IX43" s="70">
        <v>262.29000000000002</v>
      </c>
      <c r="IY43" s="70">
        <v>261.43</v>
      </c>
      <c r="IZ43" s="70">
        <v>260.57</v>
      </c>
      <c r="JA43" s="70">
        <v>259.72000000000003</v>
      </c>
      <c r="JB43" s="70">
        <v>258.85000000000002</v>
      </c>
      <c r="JC43" s="70">
        <v>258.01</v>
      </c>
      <c r="JD43" s="70">
        <v>257.14999999999998</v>
      </c>
      <c r="JE43" s="70">
        <v>256.29000000000002</v>
      </c>
      <c r="JF43" s="70">
        <v>255.45</v>
      </c>
      <c r="JG43" s="70">
        <v>254.6</v>
      </c>
      <c r="JH43" s="70">
        <v>253.75</v>
      </c>
      <c r="JI43" s="70">
        <v>252.9</v>
      </c>
      <c r="JJ43" s="70">
        <v>252.06</v>
      </c>
      <c r="JK43" s="70">
        <v>251.21</v>
      </c>
      <c r="JL43" s="70">
        <v>250.37</v>
      </c>
      <c r="JM43" s="70">
        <v>249.52</v>
      </c>
      <c r="JN43" s="70">
        <v>248.68</v>
      </c>
      <c r="JO43" s="70">
        <v>247.84</v>
      </c>
      <c r="JP43" s="70">
        <v>247</v>
      </c>
      <c r="JQ43" s="70">
        <v>246.16</v>
      </c>
      <c r="JR43" s="70">
        <v>245.32</v>
      </c>
      <c r="JS43" s="70">
        <v>244.48</v>
      </c>
      <c r="JT43" s="70">
        <v>243.64</v>
      </c>
      <c r="JU43" s="70">
        <v>242.81</v>
      </c>
      <c r="JV43" s="70">
        <v>241.98</v>
      </c>
      <c r="JW43" s="70">
        <v>241.14</v>
      </c>
      <c r="JX43" s="70">
        <v>240.31</v>
      </c>
      <c r="JY43" s="70">
        <v>239.48</v>
      </c>
      <c r="JZ43" s="70">
        <v>238.65</v>
      </c>
      <c r="KA43" s="70">
        <v>237.82</v>
      </c>
      <c r="KB43" s="70">
        <v>236.99</v>
      </c>
      <c r="KC43" s="70">
        <v>236.16</v>
      </c>
      <c r="KD43" s="70">
        <v>235.34</v>
      </c>
      <c r="KE43" s="70">
        <v>234.51</v>
      </c>
      <c r="KF43" s="70">
        <v>233.69</v>
      </c>
      <c r="KG43" s="70">
        <v>232.86</v>
      </c>
      <c r="KH43" s="70">
        <v>232.04</v>
      </c>
      <c r="KI43" s="70">
        <v>231.22</v>
      </c>
      <c r="KJ43" s="70">
        <v>230.4</v>
      </c>
      <c r="KK43" s="70">
        <v>229.58</v>
      </c>
      <c r="KL43" s="70">
        <v>228.77</v>
      </c>
      <c r="KM43" s="70">
        <v>227.95</v>
      </c>
      <c r="KN43" s="70">
        <v>227.14</v>
      </c>
      <c r="KO43" s="70">
        <v>226.32</v>
      </c>
      <c r="KP43" s="70">
        <v>225.51</v>
      </c>
      <c r="KQ43" s="70">
        <v>224.7</v>
      </c>
      <c r="KR43" s="70">
        <v>223.65000000000032</v>
      </c>
      <c r="KS43" s="70">
        <v>222.90000000000032</v>
      </c>
      <c r="KT43" s="70">
        <v>222.15000000000032</v>
      </c>
      <c r="KU43" s="70">
        <v>221.40000000000032</v>
      </c>
      <c r="KV43" s="70">
        <v>220.65000000000032</v>
      </c>
      <c r="KW43" s="70">
        <v>219.90000000000032</v>
      </c>
      <c r="KX43" s="70">
        <v>219.15000000000032</v>
      </c>
      <c r="KY43" s="70">
        <v>218.40000000000032</v>
      </c>
      <c r="KZ43" s="70">
        <v>217.65000000000032</v>
      </c>
      <c r="LA43" s="70">
        <v>216.90000000000032</v>
      </c>
      <c r="LB43" s="70">
        <v>216.15000000000032</v>
      </c>
      <c r="LC43" s="70">
        <v>215.40000000000032</v>
      </c>
      <c r="LD43" s="70">
        <v>214.65000000000032</v>
      </c>
      <c r="LE43" s="70">
        <v>213.90000000000032</v>
      </c>
      <c r="LF43" s="70">
        <v>213.15000000000032</v>
      </c>
      <c r="LG43" s="70">
        <v>212.40000000000032</v>
      </c>
      <c r="LH43" s="70">
        <v>211.65000000000032</v>
      </c>
      <c r="LI43" s="70">
        <v>210.90000000000032</v>
      </c>
      <c r="LJ43" s="70">
        <v>210.15000000000032</v>
      </c>
      <c r="LK43" s="70">
        <v>209.40000000000032</v>
      </c>
      <c r="LL43" s="70">
        <v>208.65000000000032</v>
      </c>
      <c r="LM43" s="70">
        <v>207.90000000000032</v>
      </c>
      <c r="LN43" s="70">
        <v>207.15000000000032</v>
      </c>
      <c r="LO43" s="70">
        <v>206.40000000000032</v>
      </c>
      <c r="LP43" s="70">
        <v>205.65000000000032</v>
      </c>
      <c r="LQ43" s="70">
        <v>204.90000000000032</v>
      </c>
      <c r="LR43" s="70">
        <v>204.15000000000032</v>
      </c>
      <c r="LS43" s="70">
        <v>203.40000000000032</v>
      </c>
      <c r="LT43" s="70">
        <v>202.65000000000032</v>
      </c>
      <c r="LU43" s="70">
        <v>201.90000000000032</v>
      </c>
      <c r="LV43" s="70">
        <v>201.15000000000032</v>
      </c>
      <c r="LW43" s="70">
        <v>200.40000000000032</v>
      </c>
      <c r="LX43" s="70">
        <v>199.65000000000032</v>
      </c>
      <c r="LY43" s="70">
        <v>198.90000000000032</v>
      </c>
      <c r="LZ43" s="70">
        <v>198.15000000000032</v>
      </c>
      <c r="MA43" s="70">
        <v>197.40000000000032</v>
      </c>
      <c r="MB43" s="70">
        <v>196.65000000000032</v>
      </c>
      <c r="MC43" s="70">
        <v>195.90000000000032</v>
      </c>
      <c r="MD43" s="70">
        <v>195.15000000000032</v>
      </c>
      <c r="ME43" s="70">
        <v>194.40000000000032</v>
      </c>
      <c r="MF43" s="70">
        <v>193.65000000000032</v>
      </c>
      <c r="MG43" s="70">
        <v>192.90000000000032</v>
      </c>
      <c r="MH43" s="70">
        <v>192.15000000000032</v>
      </c>
      <c r="MI43" s="70">
        <v>191.40000000000032</v>
      </c>
      <c r="MJ43" s="70">
        <v>190.65000000000032</v>
      </c>
      <c r="MK43" s="70">
        <v>189.90000000000032</v>
      </c>
      <c r="ML43" s="70">
        <v>189.15000000000032</v>
      </c>
      <c r="MM43" s="70">
        <v>188.40000000000032</v>
      </c>
      <c r="MN43" s="70">
        <v>187.65000000000032</v>
      </c>
      <c r="MO43" s="70">
        <v>186.90000000000032</v>
      </c>
      <c r="MP43" s="70">
        <v>186.15000000000032</v>
      </c>
      <c r="MQ43" s="70">
        <v>185.40000000000032</v>
      </c>
      <c r="MR43" s="70">
        <v>184.65000000000032</v>
      </c>
      <c r="MS43" s="70">
        <v>183.90000000000032</v>
      </c>
      <c r="MT43" s="70">
        <v>183.15000000000032</v>
      </c>
      <c r="MU43" s="70">
        <v>182.40000000000032</v>
      </c>
      <c r="MV43" s="70">
        <v>181.65000000000032</v>
      </c>
      <c r="MW43" s="70">
        <v>180.90000000000032</v>
      </c>
      <c r="MX43" s="70">
        <v>180.15000000000032</v>
      </c>
      <c r="MY43" s="70">
        <v>179.40000000000032</v>
      </c>
    </row>
    <row r="44" spans="1:363" ht="15.6" x14ac:dyDescent="0.3">
      <c r="A44" s="67" t="s">
        <v>7</v>
      </c>
      <c r="B44" s="72">
        <v>2054</v>
      </c>
      <c r="C44" s="70">
        <v>510.37</v>
      </c>
      <c r="D44" s="70">
        <v>509.35</v>
      </c>
      <c r="E44" s="70">
        <v>508.32</v>
      </c>
      <c r="F44" s="70">
        <v>507.29</v>
      </c>
      <c r="G44" s="70">
        <v>506.27</v>
      </c>
      <c r="H44" s="70">
        <v>505.24</v>
      </c>
      <c r="I44" s="70">
        <v>504.22</v>
      </c>
      <c r="J44" s="70">
        <v>503.19</v>
      </c>
      <c r="K44" s="70">
        <v>502.17</v>
      </c>
      <c r="L44" s="70">
        <v>501.14</v>
      </c>
      <c r="M44" s="70">
        <v>500.12</v>
      </c>
      <c r="N44" s="70">
        <v>499.09</v>
      </c>
      <c r="O44" s="70">
        <v>498.07</v>
      </c>
      <c r="P44" s="70">
        <v>497.04</v>
      </c>
      <c r="Q44" s="70">
        <v>496.02</v>
      </c>
      <c r="R44" s="70">
        <v>494.99</v>
      </c>
      <c r="S44" s="70">
        <v>493.97</v>
      </c>
      <c r="T44" s="70">
        <v>492.94</v>
      </c>
      <c r="U44" s="70">
        <v>491.92</v>
      </c>
      <c r="V44" s="70">
        <v>490.89</v>
      </c>
      <c r="W44" s="70">
        <v>489.87</v>
      </c>
      <c r="X44" s="70">
        <v>488.84</v>
      </c>
      <c r="Y44" s="70">
        <v>487.82</v>
      </c>
      <c r="Z44" s="70">
        <v>486.79</v>
      </c>
      <c r="AA44" s="70">
        <v>485.77</v>
      </c>
      <c r="AB44" s="70">
        <v>484.74</v>
      </c>
      <c r="AC44" s="70">
        <v>483.72</v>
      </c>
      <c r="AD44" s="70">
        <v>482.69</v>
      </c>
      <c r="AE44" s="70">
        <v>481.67</v>
      </c>
      <c r="AF44" s="70">
        <v>480.64</v>
      </c>
      <c r="AG44" s="70">
        <v>479.62</v>
      </c>
      <c r="AH44" s="70">
        <v>478.59</v>
      </c>
      <c r="AI44" s="70">
        <v>477.57</v>
      </c>
      <c r="AJ44" s="70">
        <v>476.54</v>
      </c>
      <c r="AK44" s="70">
        <v>475.52</v>
      </c>
      <c r="AL44" s="70">
        <v>474.49</v>
      </c>
      <c r="AM44" s="70">
        <v>473.47</v>
      </c>
      <c r="AN44" s="70">
        <v>472.44</v>
      </c>
      <c r="AO44" s="70">
        <v>471.42</v>
      </c>
      <c r="AP44" s="70">
        <v>470.4</v>
      </c>
      <c r="AQ44" s="70">
        <v>469.37</v>
      </c>
      <c r="AR44" s="70">
        <v>468.35</v>
      </c>
      <c r="AS44" s="70">
        <v>467.33</v>
      </c>
      <c r="AT44" s="70">
        <v>466.3</v>
      </c>
      <c r="AU44" s="70">
        <v>465.28</v>
      </c>
      <c r="AV44" s="70">
        <v>464.26</v>
      </c>
      <c r="AW44" s="70">
        <v>463.23</v>
      </c>
      <c r="AX44" s="70">
        <v>462.21</v>
      </c>
      <c r="AY44" s="70">
        <v>461.19</v>
      </c>
      <c r="AZ44" s="70">
        <v>460.16</v>
      </c>
      <c r="BA44" s="70">
        <v>459.14</v>
      </c>
      <c r="BB44" s="70">
        <v>458.12</v>
      </c>
      <c r="BC44" s="70">
        <v>457.1</v>
      </c>
      <c r="BD44" s="70">
        <v>456.07</v>
      </c>
      <c r="BE44" s="70">
        <v>455.05</v>
      </c>
      <c r="BF44" s="70">
        <v>454.03</v>
      </c>
      <c r="BG44" s="70">
        <v>453.01</v>
      </c>
      <c r="BH44" s="70">
        <v>451.99</v>
      </c>
      <c r="BI44" s="70">
        <v>450.96</v>
      </c>
      <c r="BJ44" s="70">
        <v>449.94</v>
      </c>
      <c r="BK44" s="70">
        <v>448.92</v>
      </c>
      <c r="BL44" s="70">
        <v>447.9</v>
      </c>
      <c r="BM44" s="70">
        <v>446.88</v>
      </c>
      <c r="BN44" s="70">
        <v>445.86</v>
      </c>
      <c r="BO44" s="70">
        <v>444.84</v>
      </c>
      <c r="BP44" s="70">
        <v>443.82</v>
      </c>
      <c r="BQ44" s="70">
        <v>442.8</v>
      </c>
      <c r="BR44" s="70">
        <v>441.78</v>
      </c>
      <c r="BS44" s="70">
        <v>440.76</v>
      </c>
      <c r="BT44" s="70">
        <v>439.74</v>
      </c>
      <c r="BU44" s="70">
        <v>438.72</v>
      </c>
      <c r="BV44" s="70">
        <v>437.7</v>
      </c>
      <c r="BW44" s="70">
        <v>436.69</v>
      </c>
      <c r="BX44" s="70">
        <v>435.67</v>
      </c>
      <c r="BY44" s="70">
        <v>434.65</v>
      </c>
      <c r="BZ44" s="70">
        <v>433.64</v>
      </c>
      <c r="CA44" s="70">
        <v>432.62</v>
      </c>
      <c r="CB44" s="70">
        <v>431.6</v>
      </c>
      <c r="CC44" s="70">
        <v>430.59</v>
      </c>
      <c r="CD44" s="70">
        <v>429.57</v>
      </c>
      <c r="CE44" s="70">
        <v>428.56</v>
      </c>
      <c r="CF44" s="70">
        <v>427.54</v>
      </c>
      <c r="CG44" s="70">
        <v>426.53</v>
      </c>
      <c r="CH44" s="70">
        <v>425.51</v>
      </c>
      <c r="CI44" s="70">
        <v>424.49</v>
      </c>
      <c r="CJ44" s="70">
        <v>423.48</v>
      </c>
      <c r="CK44" s="70">
        <v>422.47</v>
      </c>
      <c r="CL44" s="70">
        <v>421.46</v>
      </c>
      <c r="CM44" s="70">
        <v>420.45</v>
      </c>
      <c r="CN44" s="70">
        <v>419.44</v>
      </c>
      <c r="CO44" s="70">
        <v>418.43</v>
      </c>
      <c r="CP44" s="70">
        <v>417.42</v>
      </c>
      <c r="CQ44" s="70">
        <v>416.41</v>
      </c>
      <c r="CR44" s="70">
        <v>415.4</v>
      </c>
      <c r="CS44" s="70">
        <v>414.39</v>
      </c>
      <c r="CT44" s="70">
        <v>413.38</v>
      </c>
      <c r="CU44" s="70">
        <v>412.37</v>
      </c>
      <c r="CV44" s="70">
        <v>411.36</v>
      </c>
      <c r="CW44" s="70">
        <v>410.36</v>
      </c>
      <c r="CX44" s="70">
        <v>409.36</v>
      </c>
      <c r="CY44" s="70">
        <v>408.35</v>
      </c>
      <c r="CZ44" s="70">
        <v>407.35</v>
      </c>
      <c r="DA44" s="70">
        <v>406.34</v>
      </c>
      <c r="DB44" s="70">
        <v>405.34</v>
      </c>
      <c r="DC44" s="70">
        <v>404.33</v>
      </c>
      <c r="DD44" s="70">
        <v>403.33</v>
      </c>
      <c r="DE44" s="70">
        <v>402.33</v>
      </c>
      <c r="DF44" s="70">
        <v>401.32</v>
      </c>
      <c r="DG44" s="70">
        <v>400.32</v>
      </c>
      <c r="DH44" s="70">
        <v>399.32</v>
      </c>
      <c r="DI44" s="70">
        <v>398.33</v>
      </c>
      <c r="DJ44" s="70">
        <v>397.33</v>
      </c>
      <c r="DK44" s="70">
        <v>396.33</v>
      </c>
      <c r="DL44" s="70">
        <v>395.33</v>
      </c>
      <c r="DM44" s="70">
        <v>394.34</v>
      </c>
      <c r="DN44" s="70">
        <v>393.34</v>
      </c>
      <c r="DO44" s="70">
        <v>392.35</v>
      </c>
      <c r="DP44" s="70">
        <v>391.35</v>
      </c>
      <c r="DQ44" s="70">
        <v>390.35</v>
      </c>
      <c r="DR44" s="70">
        <v>389.36</v>
      </c>
      <c r="DS44" s="70">
        <v>388.36</v>
      </c>
      <c r="DT44" s="70">
        <v>387.38</v>
      </c>
      <c r="DU44" s="70">
        <v>386.39</v>
      </c>
      <c r="DV44" s="70">
        <v>385.4</v>
      </c>
      <c r="DW44" s="70">
        <v>384.41</v>
      </c>
      <c r="DX44" s="70">
        <v>383.43</v>
      </c>
      <c r="DY44" s="70">
        <v>382.44</v>
      </c>
      <c r="DZ44" s="70">
        <v>381.45</v>
      </c>
      <c r="EA44" s="70">
        <v>380.47</v>
      </c>
      <c r="EB44" s="70">
        <v>379.48</v>
      </c>
      <c r="EC44" s="70">
        <v>378.5</v>
      </c>
      <c r="ED44" s="70">
        <v>377.51</v>
      </c>
      <c r="EE44" s="70">
        <v>376.53</v>
      </c>
      <c r="EF44" s="70">
        <v>375.55</v>
      </c>
      <c r="EG44" s="70">
        <v>374.58</v>
      </c>
      <c r="EH44" s="70">
        <v>373.6</v>
      </c>
      <c r="EI44" s="70">
        <v>372.63</v>
      </c>
      <c r="EJ44" s="70">
        <v>371.65</v>
      </c>
      <c r="EK44" s="70">
        <v>370.68</v>
      </c>
      <c r="EL44" s="70">
        <v>369.71</v>
      </c>
      <c r="EM44" s="70">
        <v>368.74</v>
      </c>
      <c r="EN44" s="70">
        <v>367.76</v>
      </c>
      <c r="EO44" s="70">
        <v>366.79</v>
      </c>
      <c r="EP44" s="70">
        <v>365.82</v>
      </c>
      <c r="EQ44" s="70">
        <v>364.85</v>
      </c>
      <c r="ER44" s="70">
        <v>363.88</v>
      </c>
      <c r="ES44" s="70">
        <v>362.92</v>
      </c>
      <c r="ET44" s="70">
        <v>361.96</v>
      </c>
      <c r="EU44" s="70">
        <v>360.99</v>
      </c>
      <c r="EV44" s="70">
        <v>360.03</v>
      </c>
      <c r="EW44" s="70">
        <v>359.07</v>
      </c>
      <c r="EX44" s="70">
        <v>358.1</v>
      </c>
      <c r="EY44" s="70">
        <v>357.14</v>
      </c>
      <c r="EZ44" s="70">
        <v>356.18</v>
      </c>
      <c r="FA44" s="70">
        <v>355.22</v>
      </c>
      <c r="FB44" s="70">
        <v>354.26</v>
      </c>
      <c r="FC44" s="70">
        <v>353.3</v>
      </c>
      <c r="FD44" s="70">
        <v>352.34</v>
      </c>
      <c r="FE44" s="70">
        <v>351.38</v>
      </c>
      <c r="FF44" s="70">
        <v>350.43</v>
      </c>
      <c r="FG44" s="70">
        <v>349.47</v>
      </c>
      <c r="FH44" s="70">
        <v>348.51</v>
      </c>
      <c r="FI44" s="70">
        <v>347.56</v>
      </c>
      <c r="FJ44" s="70">
        <v>346.6</v>
      </c>
      <c r="FK44" s="70">
        <v>345.65</v>
      </c>
      <c r="FL44" s="70">
        <v>344.7</v>
      </c>
      <c r="FM44" s="70">
        <v>343.74</v>
      </c>
      <c r="FN44" s="70">
        <v>342.79</v>
      </c>
      <c r="FO44" s="70">
        <v>341.84</v>
      </c>
      <c r="FP44" s="70">
        <v>340.89</v>
      </c>
      <c r="FQ44" s="70">
        <v>339.94</v>
      </c>
      <c r="FR44" s="70">
        <v>338.99</v>
      </c>
      <c r="FS44" s="70">
        <v>338.04</v>
      </c>
      <c r="FT44" s="70">
        <v>337.1</v>
      </c>
      <c r="FU44" s="70">
        <v>336.15</v>
      </c>
      <c r="FV44" s="70">
        <v>335.2</v>
      </c>
      <c r="FW44" s="70">
        <v>334.26</v>
      </c>
      <c r="FX44" s="70">
        <v>333.31</v>
      </c>
      <c r="FY44" s="70">
        <v>332.37</v>
      </c>
      <c r="FZ44" s="70">
        <v>331.43</v>
      </c>
      <c r="GA44" s="70">
        <v>330.48</v>
      </c>
      <c r="GB44" s="70">
        <v>329.54</v>
      </c>
      <c r="GC44" s="70">
        <v>328.6</v>
      </c>
      <c r="GD44" s="70">
        <v>327.66000000000003</v>
      </c>
      <c r="GE44" s="70">
        <v>326.72000000000003</v>
      </c>
      <c r="GF44" s="70">
        <v>325.77999999999997</v>
      </c>
      <c r="GG44" s="70">
        <v>324.85000000000002</v>
      </c>
      <c r="GH44" s="70">
        <v>323.91000000000003</v>
      </c>
      <c r="GI44" s="70">
        <v>322.98</v>
      </c>
      <c r="GJ44" s="70">
        <v>322.04000000000002</v>
      </c>
      <c r="GK44" s="70">
        <v>321.10000000000002</v>
      </c>
      <c r="GL44" s="70">
        <v>320.17</v>
      </c>
      <c r="GM44" s="70">
        <v>319.24</v>
      </c>
      <c r="GN44" s="70">
        <v>318.31</v>
      </c>
      <c r="GO44" s="70">
        <v>317.38</v>
      </c>
      <c r="GP44" s="70">
        <v>316.45999999999998</v>
      </c>
      <c r="GQ44" s="70">
        <v>315.52999999999997</v>
      </c>
      <c r="GR44" s="70">
        <v>314.60000000000002</v>
      </c>
      <c r="GS44" s="70">
        <v>313.68</v>
      </c>
      <c r="GT44" s="70">
        <v>312.75</v>
      </c>
      <c r="GU44" s="70">
        <v>311.82</v>
      </c>
      <c r="GV44" s="70">
        <v>310.91000000000003</v>
      </c>
      <c r="GW44" s="70">
        <v>309.99</v>
      </c>
      <c r="GX44" s="70">
        <v>309.07</v>
      </c>
      <c r="GY44" s="70">
        <v>308.14999999999998</v>
      </c>
      <c r="GZ44" s="70">
        <v>307.23</v>
      </c>
      <c r="HA44" s="70">
        <v>306.31</v>
      </c>
      <c r="HB44" s="70">
        <v>305.39999999999998</v>
      </c>
      <c r="HC44" s="70">
        <v>304.48</v>
      </c>
      <c r="HD44" s="70">
        <v>303.57</v>
      </c>
      <c r="HE44" s="70">
        <v>302.64999999999998</v>
      </c>
      <c r="HF44" s="70">
        <v>301.74</v>
      </c>
      <c r="HG44" s="70">
        <v>300.82</v>
      </c>
      <c r="HH44" s="70">
        <v>299.92</v>
      </c>
      <c r="HI44" s="70">
        <v>299.01</v>
      </c>
      <c r="HJ44" s="70">
        <v>298.10000000000002</v>
      </c>
      <c r="HK44" s="70">
        <v>297.2</v>
      </c>
      <c r="HL44" s="70">
        <v>296.29000000000002</v>
      </c>
      <c r="HM44" s="70">
        <v>295.39</v>
      </c>
      <c r="HN44" s="70">
        <v>294.49</v>
      </c>
      <c r="HO44" s="70">
        <v>293.58999999999997</v>
      </c>
      <c r="HP44" s="70">
        <v>292.69</v>
      </c>
      <c r="HQ44" s="70">
        <v>291.79000000000002</v>
      </c>
      <c r="HR44" s="70">
        <v>290.89999999999998</v>
      </c>
      <c r="HS44" s="70">
        <v>290</v>
      </c>
      <c r="HT44" s="70">
        <v>289.10000000000002</v>
      </c>
      <c r="HU44" s="70">
        <v>288.20999999999998</v>
      </c>
      <c r="HV44" s="70">
        <v>287.32</v>
      </c>
      <c r="HW44" s="70">
        <v>286.43</v>
      </c>
      <c r="HX44" s="70">
        <v>285.54000000000002</v>
      </c>
      <c r="HY44" s="70">
        <v>284.64999999999998</v>
      </c>
      <c r="HZ44" s="70">
        <v>283.76</v>
      </c>
      <c r="IA44" s="70">
        <v>282.87</v>
      </c>
      <c r="IB44" s="70">
        <v>281.98</v>
      </c>
      <c r="IC44" s="70">
        <v>281.10000000000002</v>
      </c>
      <c r="ID44" s="70">
        <v>280.20999999999998</v>
      </c>
      <c r="IE44" s="70">
        <v>279.32</v>
      </c>
      <c r="IF44" s="70">
        <v>278.45</v>
      </c>
      <c r="IG44" s="70">
        <v>277.57</v>
      </c>
      <c r="IH44" s="70">
        <v>276.69</v>
      </c>
      <c r="II44" s="70">
        <v>275.81</v>
      </c>
      <c r="IJ44" s="70">
        <v>274.93</v>
      </c>
      <c r="IK44" s="70">
        <v>274.04000000000002</v>
      </c>
      <c r="IL44" s="70">
        <v>273.18</v>
      </c>
      <c r="IM44" s="70">
        <v>272.29000000000002</v>
      </c>
      <c r="IN44" s="70">
        <v>271.43</v>
      </c>
      <c r="IO44" s="70">
        <v>270.56</v>
      </c>
      <c r="IP44" s="70">
        <v>269.68</v>
      </c>
      <c r="IQ44" s="70">
        <v>268.81</v>
      </c>
      <c r="IR44" s="70">
        <v>267.95</v>
      </c>
      <c r="IS44" s="70">
        <v>267.07</v>
      </c>
      <c r="IT44" s="70">
        <v>266.20999999999998</v>
      </c>
      <c r="IU44" s="70">
        <v>265.35000000000002</v>
      </c>
      <c r="IV44" s="70">
        <v>264.48</v>
      </c>
      <c r="IW44" s="70">
        <v>263.62</v>
      </c>
      <c r="IX44" s="70">
        <v>262.76</v>
      </c>
      <c r="IY44" s="70">
        <v>261.89999999999998</v>
      </c>
      <c r="IZ44" s="70">
        <v>261.04000000000002</v>
      </c>
      <c r="JA44" s="70">
        <v>260.19</v>
      </c>
      <c r="JB44" s="70">
        <v>259.32</v>
      </c>
      <c r="JC44" s="70">
        <v>258.48</v>
      </c>
      <c r="JD44" s="70">
        <v>257.62</v>
      </c>
      <c r="JE44" s="70">
        <v>256.76</v>
      </c>
      <c r="JF44" s="70">
        <v>255.92</v>
      </c>
      <c r="JG44" s="70">
        <v>255.07</v>
      </c>
      <c r="JH44" s="70">
        <v>254.22</v>
      </c>
      <c r="JI44" s="70">
        <v>253.37</v>
      </c>
      <c r="JJ44" s="70">
        <v>252.52</v>
      </c>
      <c r="JK44" s="70">
        <v>251.68</v>
      </c>
      <c r="JL44" s="70">
        <v>250.83</v>
      </c>
      <c r="JM44" s="70">
        <v>249.99</v>
      </c>
      <c r="JN44" s="70">
        <v>249.14</v>
      </c>
      <c r="JO44" s="70">
        <v>248.3</v>
      </c>
      <c r="JP44" s="70">
        <v>247.46</v>
      </c>
      <c r="JQ44" s="70">
        <v>246.62</v>
      </c>
      <c r="JR44" s="70">
        <v>245.78</v>
      </c>
      <c r="JS44" s="70">
        <v>244.94</v>
      </c>
      <c r="JT44" s="70">
        <v>244.11</v>
      </c>
      <c r="JU44" s="70">
        <v>243.27</v>
      </c>
      <c r="JV44" s="70">
        <v>242.44</v>
      </c>
      <c r="JW44" s="70">
        <v>241.6</v>
      </c>
      <c r="JX44" s="70">
        <v>240.77</v>
      </c>
      <c r="JY44" s="70">
        <v>239.94</v>
      </c>
      <c r="JZ44" s="70">
        <v>239.11</v>
      </c>
      <c r="KA44" s="70">
        <v>238.28</v>
      </c>
      <c r="KB44" s="70">
        <v>237.45</v>
      </c>
      <c r="KC44" s="70">
        <v>236.62</v>
      </c>
      <c r="KD44" s="70">
        <v>235.79</v>
      </c>
      <c r="KE44" s="70">
        <v>234.97</v>
      </c>
      <c r="KF44" s="70">
        <v>234.14</v>
      </c>
      <c r="KG44" s="70">
        <v>233.32</v>
      </c>
      <c r="KH44" s="70">
        <v>232.5</v>
      </c>
      <c r="KI44" s="70">
        <v>231.67</v>
      </c>
      <c r="KJ44" s="70">
        <v>230.85</v>
      </c>
      <c r="KK44" s="70">
        <v>230.03</v>
      </c>
      <c r="KL44" s="70">
        <v>229.22</v>
      </c>
      <c r="KM44" s="70">
        <v>228.4</v>
      </c>
      <c r="KN44" s="70">
        <v>227.58</v>
      </c>
      <c r="KO44" s="70">
        <v>226.77</v>
      </c>
      <c r="KP44" s="70">
        <v>225.96</v>
      </c>
      <c r="KQ44" s="70">
        <v>225.15</v>
      </c>
      <c r="KR44" s="70">
        <v>224.11000000000033</v>
      </c>
      <c r="KS44" s="70">
        <v>223.36000000000033</v>
      </c>
      <c r="KT44" s="70">
        <v>222.61000000000033</v>
      </c>
      <c r="KU44" s="70">
        <v>221.86000000000033</v>
      </c>
      <c r="KV44" s="70">
        <v>221.11000000000033</v>
      </c>
      <c r="KW44" s="70">
        <v>220.36000000000033</v>
      </c>
      <c r="KX44" s="70">
        <v>219.61000000000033</v>
      </c>
      <c r="KY44" s="70">
        <v>218.86000000000033</v>
      </c>
      <c r="KZ44" s="70">
        <v>218.11000000000033</v>
      </c>
      <c r="LA44" s="70">
        <v>217.36000000000033</v>
      </c>
      <c r="LB44" s="70">
        <v>216.61000000000033</v>
      </c>
      <c r="LC44" s="70">
        <v>215.86000000000033</v>
      </c>
      <c r="LD44" s="70">
        <v>215.11000000000033</v>
      </c>
      <c r="LE44" s="70">
        <v>214.36000000000033</v>
      </c>
      <c r="LF44" s="70">
        <v>213.61000000000033</v>
      </c>
      <c r="LG44" s="70">
        <v>212.86000000000033</v>
      </c>
      <c r="LH44" s="70">
        <v>212.11000000000033</v>
      </c>
      <c r="LI44" s="70">
        <v>211.36000000000033</v>
      </c>
      <c r="LJ44" s="70">
        <v>210.61000000000033</v>
      </c>
      <c r="LK44" s="70">
        <v>209.86000000000033</v>
      </c>
      <c r="LL44" s="70">
        <v>209.11000000000033</v>
      </c>
      <c r="LM44" s="70">
        <v>208.36000000000033</v>
      </c>
      <c r="LN44" s="70">
        <v>207.61000000000033</v>
      </c>
      <c r="LO44" s="70">
        <v>206.86000000000033</v>
      </c>
      <c r="LP44" s="70">
        <v>206.11000000000033</v>
      </c>
      <c r="LQ44" s="70">
        <v>205.36000000000033</v>
      </c>
      <c r="LR44" s="70">
        <v>204.61000000000033</v>
      </c>
      <c r="LS44" s="70">
        <v>203.86000000000033</v>
      </c>
      <c r="LT44" s="70">
        <v>203.11000000000033</v>
      </c>
      <c r="LU44" s="70">
        <v>202.36000000000033</v>
      </c>
      <c r="LV44" s="70">
        <v>201.61000000000033</v>
      </c>
      <c r="LW44" s="70">
        <v>200.86000000000033</v>
      </c>
      <c r="LX44" s="70">
        <v>200.11000000000033</v>
      </c>
      <c r="LY44" s="70">
        <v>199.36000000000033</v>
      </c>
      <c r="LZ44" s="70">
        <v>198.61000000000033</v>
      </c>
      <c r="MA44" s="70">
        <v>197.86000000000033</v>
      </c>
      <c r="MB44" s="70">
        <v>197.11000000000033</v>
      </c>
      <c r="MC44" s="70">
        <v>196.36000000000033</v>
      </c>
      <c r="MD44" s="70">
        <v>195.61000000000033</v>
      </c>
      <c r="ME44" s="70">
        <v>194.86000000000033</v>
      </c>
      <c r="MF44" s="70">
        <v>194.11000000000033</v>
      </c>
      <c r="MG44" s="70">
        <v>193.36000000000033</v>
      </c>
      <c r="MH44" s="70">
        <v>192.61000000000033</v>
      </c>
      <c r="MI44" s="70">
        <v>191.86000000000033</v>
      </c>
      <c r="MJ44" s="70">
        <v>191.11000000000033</v>
      </c>
      <c r="MK44" s="70">
        <v>190.36000000000033</v>
      </c>
      <c r="ML44" s="70">
        <v>189.61000000000033</v>
      </c>
      <c r="MM44" s="70">
        <v>188.86000000000033</v>
      </c>
      <c r="MN44" s="70">
        <v>188.11000000000033</v>
      </c>
      <c r="MO44" s="70">
        <v>187.36000000000033</v>
      </c>
      <c r="MP44" s="70">
        <v>186.61000000000033</v>
      </c>
      <c r="MQ44" s="70">
        <v>185.86000000000033</v>
      </c>
      <c r="MR44" s="70">
        <v>185.11000000000033</v>
      </c>
      <c r="MS44" s="70">
        <v>184.36000000000033</v>
      </c>
      <c r="MT44" s="70">
        <v>183.61000000000033</v>
      </c>
      <c r="MU44" s="70">
        <v>182.86000000000033</v>
      </c>
      <c r="MV44" s="70">
        <v>182.11000000000033</v>
      </c>
      <c r="MW44" s="70">
        <v>181.36000000000033</v>
      </c>
      <c r="MX44" s="70">
        <v>180.61000000000033</v>
      </c>
      <c r="MY44" s="70">
        <v>179.86000000000033</v>
      </c>
    </row>
    <row r="45" spans="1:363" ht="15.6" x14ac:dyDescent="0.3">
      <c r="A45" s="67" t="s">
        <v>7</v>
      </c>
      <c r="B45" s="72">
        <v>2055</v>
      </c>
      <c r="C45" s="70">
        <v>510.91</v>
      </c>
      <c r="D45" s="70">
        <v>509.89</v>
      </c>
      <c r="E45" s="70">
        <v>508.86</v>
      </c>
      <c r="F45" s="70">
        <v>507.84</v>
      </c>
      <c r="G45" s="70">
        <v>506.81</v>
      </c>
      <c r="H45" s="70">
        <v>505.79</v>
      </c>
      <c r="I45" s="70">
        <v>504.76</v>
      </c>
      <c r="J45" s="70">
        <v>503.74</v>
      </c>
      <c r="K45" s="70">
        <v>502.71</v>
      </c>
      <c r="L45" s="70">
        <v>501.68</v>
      </c>
      <c r="M45" s="70">
        <v>500.66</v>
      </c>
      <c r="N45" s="70">
        <v>499.63</v>
      </c>
      <c r="O45" s="70">
        <v>498.61</v>
      </c>
      <c r="P45" s="70">
        <v>497.58</v>
      </c>
      <c r="Q45" s="70">
        <v>496.56</v>
      </c>
      <c r="R45" s="70">
        <v>495.53</v>
      </c>
      <c r="S45" s="70">
        <v>494.51</v>
      </c>
      <c r="T45" s="70">
        <v>493.48</v>
      </c>
      <c r="U45" s="70">
        <v>492.46</v>
      </c>
      <c r="V45" s="70">
        <v>491.43</v>
      </c>
      <c r="W45" s="70">
        <v>490.41</v>
      </c>
      <c r="X45" s="70">
        <v>489.38</v>
      </c>
      <c r="Y45" s="70">
        <v>488.36</v>
      </c>
      <c r="Z45" s="70">
        <v>487.33</v>
      </c>
      <c r="AA45" s="70">
        <v>486.31</v>
      </c>
      <c r="AB45" s="70">
        <v>485.28</v>
      </c>
      <c r="AC45" s="70">
        <v>484.26</v>
      </c>
      <c r="AD45" s="70">
        <v>483.23</v>
      </c>
      <c r="AE45" s="70">
        <v>482.21</v>
      </c>
      <c r="AF45" s="70">
        <v>481.18</v>
      </c>
      <c r="AG45" s="70">
        <v>480.16</v>
      </c>
      <c r="AH45" s="70">
        <v>479.13</v>
      </c>
      <c r="AI45" s="70">
        <v>478.11</v>
      </c>
      <c r="AJ45" s="70">
        <v>477.08</v>
      </c>
      <c r="AK45" s="70">
        <v>476.06</v>
      </c>
      <c r="AL45" s="70">
        <v>475.03</v>
      </c>
      <c r="AM45" s="70">
        <v>474.01</v>
      </c>
      <c r="AN45" s="70">
        <v>472.98</v>
      </c>
      <c r="AO45" s="70">
        <v>471.96</v>
      </c>
      <c r="AP45" s="70">
        <v>470.93</v>
      </c>
      <c r="AQ45" s="70">
        <v>469.91</v>
      </c>
      <c r="AR45" s="70">
        <v>468.89</v>
      </c>
      <c r="AS45" s="70">
        <v>467.86</v>
      </c>
      <c r="AT45" s="70">
        <v>466.84</v>
      </c>
      <c r="AU45" s="70">
        <v>465.81</v>
      </c>
      <c r="AV45" s="70">
        <v>464.79</v>
      </c>
      <c r="AW45" s="70">
        <v>463.77</v>
      </c>
      <c r="AX45" s="70">
        <v>462.74</v>
      </c>
      <c r="AY45" s="70">
        <v>461.72</v>
      </c>
      <c r="AZ45" s="70">
        <v>460.7</v>
      </c>
      <c r="BA45" s="70">
        <v>459.67</v>
      </c>
      <c r="BB45" s="70">
        <v>458.65</v>
      </c>
      <c r="BC45" s="70">
        <v>457.63</v>
      </c>
      <c r="BD45" s="70">
        <v>456.61</v>
      </c>
      <c r="BE45" s="70">
        <v>455.58</v>
      </c>
      <c r="BF45" s="70">
        <v>454.56</v>
      </c>
      <c r="BG45" s="70">
        <v>453.54</v>
      </c>
      <c r="BH45" s="70">
        <v>452.52</v>
      </c>
      <c r="BI45" s="70">
        <v>451.5</v>
      </c>
      <c r="BJ45" s="70">
        <v>450.47</v>
      </c>
      <c r="BK45" s="70">
        <v>449.45</v>
      </c>
      <c r="BL45" s="70">
        <v>448.43</v>
      </c>
      <c r="BM45" s="70">
        <v>447.41</v>
      </c>
      <c r="BN45" s="70">
        <v>446.39</v>
      </c>
      <c r="BO45" s="70">
        <v>445.37</v>
      </c>
      <c r="BP45" s="70">
        <v>444.35</v>
      </c>
      <c r="BQ45" s="70">
        <v>443.33</v>
      </c>
      <c r="BR45" s="70">
        <v>442.31</v>
      </c>
      <c r="BS45" s="70">
        <v>441.29</v>
      </c>
      <c r="BT45" s="70">
        <v>440.27</v>
      </c>
      <c r="BU45" s="70">
        <v>439.25</v>
      </c>
      <c r="BV45" s="70">
        <v>438.23</v>
      </c>
      <c r="BW45" s="70">
        <v>437.21</v>
      </c>
      <c r="BX45" s="70">
        <v>436.2</v>
      </c>
      <c r="BY45" s="70">
        <v>435.18</v>
      </c>
      <c r="BZ45" s="70">
        <v>434.16</v>
      </c>
      <c r="CA45" s="70">
        <v>433.15</v>
      </c>
      <c r="CB45" s="70">
        <v>432.13</v>
      </c>
      <c r="CC45" s="70">
        <v>431.11</v>
      </c>
      <c r="CD45" s="70">
        <v>430.1</v>
      </c>
      <c r="CE45" s="70">
        <v>429.08</v>
      </c>
      <c r="CF45" s="70">
        <v>428.07</v>
      </c>
      <c r="CG45" s="70">
        <v>427.05</v>
      </c>
      <c r="CH45" s="70">
        <v>426.04</v>
      </c>
      <c r="CI45" s="70">
        <v>425.02</v>
      </c>
      <c r="CJ45" s="70">
        <v>424.01</v>
      </c>
      <c r="CK45" s="70">
        <v>423</v>
      </c>
      <c r="CL45" s="70">
        <v>421.99</v>
      </c>
      <c r="CM45" s="70">
        <v>420.97</v>
      </c>
      <c r="CN45" s="70">
        <v>419.96</v>
      </c>
      <c r="CO45" s="70">
        <v>418.95</v>
      </c>
      <c r="CP45" s="70">
        <v>417.94</v>
      </c>
      <c r="CQ45" s="70">
        <v>416.93</v>
      </c>
      <c r="CR45" s="70">
        <v>415.92</v>
      </c>
      <c r="CS45" s="70">
        <v>414.91</v>
      </c>
      <c r="CT45" s="70">
        <v>413.9</v>
      </c>
      <c r="CU45" s="70">
        <v>412.89</v>
      </c>
      <c r="CV45" s="70">
        <v>411.88</v>
      </c>
      <c r="CW45" s="70">
        <v>410.88</v>
      </c>
      <c r="CX45" s="70">
        <v>409.87</v>
      </c>
      <c r="CY45" s="70">
        <v>408.87</v>
      </c>
      <c r="CZ45" s="70">
        <v>407.87</v>
      </c>
      <c r="DA45" s="70">
        <v>406.86</v>
      </c>
      <c r="DB45" s="70">
        <v>405.86</v>
      </c>
      <c r="DC45" s="70">
        <v>404.85</v>
      </c>
      <c r="DD45" s="70">
        <v>403.85</v>
      </c>
      <c r="DE45" s="70">
        <v>402.84</v>
      </c>
      <c r="DF45" s="70">
        <v>401.84</v>
      </c>
      <c r="DG45" s="70">
        <v>400.84</v>
      </c>
      <c r="DH45" s="70">
        <v>399.84</v>
      </c>
      <c r="DI45" s="70">
        <v>398.84</v>
      </c>
      <c r="DJ45" s="70">
        <v>397.84</v>
      </c>
      <c r="DK45" s="70">
        <v>396.85</v>
      </c>
      <c r="DL45" s="70">
        <v>395.85</v>
      </c>
      <c r="DM45" s="70">
        <v>394.85</v>
      </c>
      <c r="DN45" s="70">
        <v>393.86</v>
      </c>
      <c r="DO45" s="70">
        <v>392.86</v>
      </c>
      <c r="DP45" s="70">
        <v>391.86</v>
      </c>
      <c r="DQ45" s="70">
        <v>390.87</v>
      </c>
      <c r="DR45" s="70">
        <v>389.87</v>
      </c>
      <c r="DS45" s="70">
        <v>388.88</v>
      </c>
      <c r="DT45" s="70">
        <v>387.89</v>
      </c>
      <c r="DU45" s="70">
        <v>386.9</v>
      </c>
      <c r="DV45" s="70">
        <v>385.91</v>
      </c>
      <c r="DW45" s="70">
        <v>384.92</v>
      </c>
      <c r="DX45" s="70">
        <v>383.94</v>
      </c>
      <c r="DY45" s="70">
        <v>382.95</v>
      </c>
      <c r="DZ45" s="70">
        <v>381.96</v>
      </c>
      <c r="EA45" s="70">
        <v>380.98</v>
      </c>
      <c r="EB45" s="70">
        <v>379.99</v>
      </c>
      <c r="EC45" s="70">
        <v>379.01</v>
      </c>
      <c r="ED45" s="70">
        <v>378.02</v>
      </c>
      <c r="EE45" s="70">
        <v>377.04</v>
      </c>
      <c r="EF45" s="70">
        <v>376.06</v>
      </c>
      <c r="EG45" s="70">
        <v>375.09</v>
      </c>
      <c r="EH45" s="70">
        <v>374.11</v>
      </c>
      <c r="EI45" s="70">
        <v>373.14</v>
      </c>
      <c r="EJ45" s="70">
        <v>372.16</v>
      </c>
      <c r="EK45" s="70">
        <v>371.19</v>
      </c>
      <c r="EL45" s="70">
        <v>370.22</v>
      </c>
      <c r="EM45" s="70">
        <v>369.24</v>
      </c>
      <c r="EN45" s="70">
        <v>368.27</v>
      </c>
      <c r="EO45" s="70">
        <v>367.3</v>
      </c>
      <c r="EP45" s="70">
        <v>366.33</v>
      </c>
      <c r="EQ45" s="70">
        <v>365.36</v>
      </c>
      <c r="ER45" s="70">
        <v>364.39</v>
      </c>
      <c r="ES45" s="70">
        <v>363.43</v>
      </c>
      <c r="ET45" s="70">
        <v>362.46</v>
      </c>
      <c r="EU45" s="70">
        <v>361.5</v>
      </c>
      <c r="EV45" s="70">
        <v>360.53</v>
      </c>
      <c r="EW45" s="70">
        <v>359.57</v>
      </c>
      <c r="EX45" s="70">
        <v>358.61</v>
      </c>
      <c r="EY45" s="70">
        <v>357.65</v>
      </c>
      <c r="EZ45" s="70">
        <v>356.69</v>
      </c>
      <c r="FA45" s="70">
        <v>355.72</v>
      </c>
      <c r="FB45" s="70">
        <v>354.76</v>
      </c>
      <c r="FC45" s="70">
        <v>353.8</v>
      </c>
      <c r="FD45" s="70">
        <v>352.85</v>
      </c>
      <c r="FE45" s="70">
        <v>351.89</v>
      </c>
      <c r="FF45" s="70">
        <v>350.93</v>
      </c>
      <c r="FG45" s="70">
        <v>349.97</v>
      </c>
      <c r="FH45" s="70">
        <v>349.02</v>
      </c>
      <c r="FI45" s="70">
        <v>348.06</v>
      </c>
      <c r="FJ45" s="70">
        <v>347.11</v>
      </c>
      <c r="FK45" s="70">
        <v>346.15</v>
      </c>
      <c r="FL45" s="70">
        <v>345.2</v>
      </c>
      <c r="FM45" s="70">
        <v>344.25</v>
      </c>
      <c r="FN45" s="70">
        <v>343.29</v>
      </c>
      <c r="FO45" s="70">
        <v>342.34</v>
      </c>
      <c r="FP45" s="70">
        <v>341.39</v>
      </c>
      <c r="FQ45" s="70">
        <v>340.44</v>
      </c>
      <c r="FR45" s="70">
        <v>339.49</v>
      </c>
      <c r="FS45" s="70">
        <v>338.55</v>
      </c>
      <c r="FT45" s="70">
        <v>337.6</v>
      </c>
      <c r="FU45" s="70">
        <v>336.65</v>
      </c>
      <c r="FV45" s="70">
        <v>335.7</v>
      </c>
      <c r="FW45" s="70">
        <v>334.76</v>
      </c>
      <c r="FX45" s="70">
        <v>333.81</v>
      </c>
      <c r="FY45" s="70">
        <v>332.87</v>
      </c>
      <c r="FZ45" s="70">
        <v>331.93</v>
      </c>
      <c r="GA45" s="70">
        <v>330.98</v>
      </c>
      <c r="GB45" s="70">
        <v>330.04</v>
      </c>
      <c r="GC45" s="70">
        <v>329.1</v>
      </c>
      <c r="GD45" s="70">
        <v>328.16</v>
      </c>
      <c r="GE45" s="70">
        <v>327.22000000000003</v>
      </c>
      <c r="GF45" s="70">
        <v>326.27999999999997</v>
      </c>
      <c r="GG45" s="70">
        <v>325.35000000000002</v>
      </c>
      <c r="GH45" s="70">
        <v>324.41000000000003</v>
      </c>
      <c r="GI45" s="70">
        <v>323.47000000000003</v>
      </c>
      <c r="GJ45" s="70">
        <v>322.54000000000002</v>
      </c>
      <c r="GK45" s="70">
        <v>321.60000000000002</v>
      </c>
      <c r="GL45" s="70">
        <v>320.67</v>
      </c>
      <c r="GM45" s="70">
        <v>319.74</v>
      </c>
      <c r="GN45" s="70">
        <v>318.81</v>
      </c>
      <c r="GO45" s="70">
        <v>317.88</v>
      </c>
      <c r="GP45" s="70">
        <v>316.95</v>
      </c>
      <c r="GQ45" s="70">
        <v>316.01</v>
      </c>
      <c r="GR45" s="70">
        <v>315.10000000000002</v>
      </c>
      <c r="GS45" s="70">
        <v>314.17</v>
      </c>
      <c r="GT45" s="70">
        <v>313.25</v>
      </c>
      <c r="GU45" s="70">
        <v>312.32</v>
      </c>
      <c r="GV45" s="70">
        <v>311.39999999999998</v>
      </c>
      <c r="GW45" s="70">
        <v>310.48</v>
      </c>
      <c r="GX45" s="70">
        <v>309.56</v>
      </c>
      <c r="GY45" s="70">
        <v>308.64</v>
      </c>
      <c r="GZ45" s="70">
        <v>307.72000000000003</v>
      </c>
      <c r="HA45" s="70">
        <v>306.79000000000002</v>
      </c>
      <c r="HB45" s="70">
        <v>305.89</v>
      </c>
      <c r="HC45" s="70">
        <v>304.97000000000003</v>
      </c>
      <c r="HD45" s="70">
        <v>304.06</v>
      </c>
      <c r="HE45" s="70">
        <v>303.14</v>
      </c>
      <c r="HF45" s="70">
        <v>302.23</v>
      </c>
      <c r="HG45" s="70">
        <v>301.32</v>
      </c>
      <c r="HH45" s="70">
        <v>300.41000000000003</v>
      </c>
      <c r="HI45" s="70">
        <v>299.5</v>
      </c>
      <c r="HJ45" s="70">
        <v>298.60000000000002</v>
      </c>
      <c r="HK45" s="70">
        <v>297.69</v>
      </c>
      <c r="HL45" s="70">
        <v>296.79000000000002</v>
      </c>
      <c r="HM45" s="70">
        <v>295.88</v>
      </c>
      <c r="HN45" s="70">
        <v>294.98</v>
      </c>
      <c r="HO45" s="70">
        <v>294.07</v>
      </c>
      <c r="HP45" s="70">
        <v>293.18</v>
      </c>
      <c r="HQ45" s="70">
        <v>292.27999999999997</v>
      </c>
      <c r="HR45" s="70">
        <v>291.38</v>
      </c>
      <c r="HS45" s="70">
        <v>290.49</v>
      </c>
      <c r="HT45" s="70">
        <v>289.58999999999997</v>
      </c>
      <c r="HU45" s="70">
        <v>288.7</v>
      </c>
      <c r="HV45" s="70">
        <v>287.79000000000002</v>
      </c>
      <c r="HW45" s="70">
        <v>286.91000000000003</v>
      </c>
      <c r="HX45" s="70">
        <v>286.01</v>
      </c>
      <c r="HY45" s="70">
        <v>285.13</v>
      </c>
      <c r="HZ45" s="70">
        <v>284.24</v>
      </c>
      <c r="IA45" s="70">
        <v>283.35000000000002</v>
      </c>
      <c r="IB45" s="70">
        <v>282.47000000000003</v>
      </c>
      <c r="IC45" s="70">
        <v>281.57</v>
      </c>
      <c r="ID45" s="70">
        <v>280.69</v>
      </c>
      <c r="IE45" s="70">
        <v>279.81</v>
      </c>
      <c r="IF45" s="70">
        <v>278.93</v>
      </c>
      <c r="IG45" s="70">
        <v>278.04000000000002</v>
      </c>
      <c r="IH45" s="70">
        <v>277.16000000000003</v>
      </c>
      <c r="II45" s="70">
        <v>276.27999999999997</v>
      </c>
      <c r="IJ45" s="70">
        <v>275.41000000000003</v>
      </c>
      <c r="IK45" s="70">
        <v>274.52999999999997</v>
      </c>
      <c r="IL45" s="70">
        <v>273.64999999999998</v>
      </c>
      <c r="IM45" s="70">
        <v>272.77999999999997</v>
      </c>
      <c r="IN45" s="70">
        <v>271.89999999999998</v>
      </c>
      <c r="IO45" s="70">
        <v>271.02999999999997</v>
      </c>
      <c r="IP45" s="70">
        <v>270.16000000000003</v>
      </c>
      <c r="IQ45" s="70">
        <v>269.29000000000002</v>
      </c>
      <c r="IR45" s="70">
        <v>268.42</v>
      </c>
      <c r="IS45" s="70">
        <v>267.54000000000002</v>
      </c>
      <c r="IT45" s="70">
        <v>266.69</v>
      </c>
      <c r="IU45" s="70">
        <v>265.82</v>
      </c>
      <c r="IV45" s="70">
        <v>264.95999999999998</v>
      </c>
      <c r="IW45" s="70">
        <v>264.08999999999997</v>
      </c>
      <c r="IX45" s="70">
        <v>263.23</v>
      </c>
      <c r="IY45" s="70">
        <v>262.37</v>
      </c>
      <c r="IZ45" s="70">
        <v>261.51</v>
      </c>
      <c r="JA45" s="70">
        <v>260.66000000000003</v>
      </c>
      <c r="JB45" s="70">
        <v>259.79000000000002</v>
      </c>
      <c r="JC45" s="70">
        <v>258.95</v>
      </c>
      <c r="JD45" s="70">
        <v>258.08999999999997</v>
      </c>
      <c r="JE45" s="70">
        <v>257.24</v>
      </c>
      <c r="JF45" s="70">
        <v>256.39</v>
      </c>
      <c r="JG45" s="70">
        <v>255.53</v>
      </c>
      <c r="JH45" s="70">
        <v>254.68</v>
      </c>
      <c r="JI45" s="70">
        <v>253.84</v>
      </c>
      <c r="JJ45" s="70">
        <v>252.99</v>
      </c>
      <c r="JK45" s="70">
        <v>252.14</v>
      </c>
      <c r="JL45" s="70">
        <v>251.3</v>
      </c>
      <c r="JM45" s="70">
        <v>250.45</v>
      </c>
      <c r="JN45" s="70">
        <v>249.61</v>
      </c>
      <c r="JO45" s="70">
        <v>248.76</v>
      </c>
      <c r="JP45" s="70">
        <v>247.92</v>
      </c>
      <c r="JQ45" s="70">
        <v>247.08</v>
      </c>
      <c r="JR45" s="70">
        <v>246.24</v>
      </c>
      <c r="JS45" s="70">
        <v>245.4</v>
      </c>
      <c r="JT45" s="70">
        <v>244.57</v>
      </c>
      <c r="JU45" s="70">
        <v>243.73</v>
      </c>
      <c r="JV45" s="70">
        <v>242.89</v>
      </c>
      <c r="JW45" s="70">
        <v>242.06</v>
      </c>
      <c r="JX45" s="70">
        <v>241.23</v>
      </c>
      <c r="JY45" s="70">
        <v>240.39</v>
      </c>
      <c r="JZ45" s="70">
        <v>239.56</v>
      </c>
      <c r="KA45" s="70">
        <v>238.73</v>
      </c>
      <c r="KB45" s="70">
        <v>237.9</v>
      </c>
      <c r="KC45" s="70">
        <v>237.08</v>
      </c>
      <c r="KD45" s="70">
        <v>236.25</v>
      </c>
      <c r="KE45" s="70">
        <v>235.42</v>
      </c>
      <c r="KF45" s="70">
        <v>234.6</v>
      </c>
      <c r="KG45" s="70">
        <v>233.77</v>
      </c>
      <c r="KH45" s="70">
        <v>232.95</v>
      </c>
      <c r="KI45" s="70">
        <v>232.13</v>
      </c>
      <c r="KJ45" s="70">
        <v>231.3</v>
      </c>
      <c r="KK45" s="70">
        <v>230.49</v>
      </c>
      <c r="KL45" s="70">
        <v>229.67</v>
      </c>
      <c r="KM45" s="70">
        <v>228.85</v>
      </c>
      <c r="KN45" s="70">
        <v>228.03</v>
      </c>
      <c r="KO45" s="70">
        <v>227.22</v>
      </c>
      <c r="KP45" s="70">
        <v>226.41</v>
      </c>
      <c r="KQ45" s="70">
        <v>225.6</v>
      </c>
      <c r="KR45" s="70">
        <v>224.57000000000033</v>
      </c>
      <c r="KS45" s="70">
        <v>223.82000000000033</v>
      </c>
      <c r="KT45" s="70">
        <v>223.07000000000033</v>
      </c>
      <c r="KU45" s="70">
        <v>222.32000000000033</v>
      </c>
      <c r="KV45" s="70">
        <v>221.57000000000033</v>
      </c>
      <c r="KW45" s="70">
        <v>220.82000000000033</v>
      </c>
      <c r="KX45" s="70">
        <v>220.07000000000033</v>
      </c>
      <c r="KY45" s="70">
        <v>219.32000000000033</v>
      </c>
      <c r="KZ45" s="70">
        <v>218.57000000000033</v>
      </c>
      <c r="LA45" s="70">
        <v>217.82000000000033</v>
      </c>
      <c r="LB45" s="70">
        <v>217.07000000000033</v>
      </c>
      <c r="LC45" s="70">
        <v>216.32000000000033</v>
      </c>
      <c r="LD45" s="70">
        <v>215.57000000000033</v>
      </c>
      <c r="LE45" s="70">
        <v>214.82000000000033</v>
      </c>
      <c r="LF45" s="70">
        <v>214.07000000000033</v>
      </c>
      <c r="LG45" s="70">
        <v>213.32000000000033</v>
      </c>
      <c r="LH45" s="70">
        <v>212.57000000000033</v>
      </c>
      <c r="LI45" s="70">
        <v>211.82000000000033</v>
      </c>
      <c r="LJ45" s="70">
        <v>211.07000000000033</v>
      </c>
      <c r="LK45" s="70">
        <v>210.32000000000033</v>
      </c>
      <c r="LL45" s="70">
        <v>209.57000000000033</v>
      </c>
      <c r="LM45" s="70">
        <v>208.82000000000033</v>
      </c>
      <c r="LN45" s="70">
        <v>208.07000000000033</v>
      </c>
      <c r="LO45" s="70">
        <v>207.32000000000033</v>
      </c>
      <c r="LP45" s="70">
        <v>206.57000000000033</v>
      </c>
      <c r="LQ45" s="70">
        <v>205.82000000000033</v>
      </c>
      <c r="LR45" s="70">
        <v>205.07000000000033</v>
      </c>
      <c r="LS45" s="70">
        <v>204.32000000000033</v>
      </c>
      <c r="LT45" s="70">
        <v>203.57000000000033</v>
      </c>
      <c r="LU45" s="70">
        <v>202.82000000000033</v>
      </c>
      <c r="LV45" s="70">
        <v>202.07000000000033</v>
      </c>
      <c r="LW45" s="70">
        <v>201.32000000000033</v>
      </c>
      <c r="LX45" s="70">
        <v>200.57000000000033</v>
      </c>
      <c r="LY45" s="70">
        <v>199.82000000000033</v>
      </c>
      <c r="LZ45" s="70">
        <v>199.07000000000033</v>
      </c>
      <c r="MA45" s="70">
        <v>198.32000000000033</v>
      </c>
      <c r="MB45" s="70">
        <v>197.57000000000033</v>
      </c>
      <c r="MC45" s="70">
        <v>196.82000000000033</v>
      </c>
      <c r="MD45" s="70">
        <v>196.07000000000033</v>
      </c>
      <c r="ME45" s="70">
        <v>195.32000000000033</v>
      </c>
      <c r="MF45" s="70">
        <v>194.57000000000033</v>
      </c>
      <c r="MG45" s="70">
        <v>193.82000000000033</v>
      </c>
      <c r="MH45" s="70">
        <v>193.07000000000033</v>
      </c>
      <c r="MI45" s="70">
        <v>192.32000000000033</v>
      </c>
      <c r="MJ45" s="70">
        <v>191.57000000000033</v>
      </c>
      <c r="MK45" s="70">
        <v>190.82000000000033</v>
      </c>
      <c r="ML45" s="70">
        <v>190.07000000000033</v>
      </c>
      <c r="MM45" s="70">
        <v>189.32000000000033</v>
      </c>
      <c r="MN45" s="70">
        <v>188.57000000000033</v>
      </c>
      <c r="MO45" s="70">
        <v>187.82000000000033</v>
      </c>
      <c r="MP45" s="70">
        <v>187.07000000000033</v>
      </c>
      <c r="MQ45" s="70">
        <v>186.32000000000033</v>
      </c>
      <c r="MR45" s="70">
        <v>185.57000000000033</v>
      </c>
      <c r="MS45" s="70">
        <v>184.82000000000033</v>
      </c>
      <c r="MT45" s="70">
        <v>184.07000000000033</v>
      </c>
      <c r="MU45" s="70">
        <v>183.32000000000033</v>
      </c>
      <c r="MV45" s="70">
        <v>182.57000000000033</v>
      </c>
      <c r="MW45" s="70">
        <v>181.82000000000033</v>
      </c>
      <c r="MX45" s="70">
        <v>181.07000000000033</v>
      </c>
      <c r="MY45" s="70">
        <v>180.32000000000033</v>
      </c>
    </row>
    <row r="46" spans="1:363" ht="15.6" x14ac:dyDescent="0.3">
      <c r="A46" s="67" t="s">
        <v>7</v>
      </c>
      <c r="B46" s="72">
        <v>2056</v>
      </c>
      <c r="C46" s="70">
        <v>511.46</v>
      </c>
      <c r="D46" s="70">
        <v>510.43</v>
      </c>
      <c r="E46" s="70">
        <v>509.4</v>
      </c>
      <c r="F46" s="70">
        <v>508.38</v>
      </c>
      <c r="G46" s="70">
        <v>507.35</v>
      </c>
      <c r="H46" s="70">
        <v>506.33</v>
      </c>
      <c r="I46" s="70">
        <v>505.3</v>
      </c>
      <c r="J46" s="70">
        <v>504.28</v>
      </c>
      <c r="K46" s="70">
        <v>503.25</v>
      </c>
      <c r="L46" s="70">
        <v>502.22</v>
      </c>
      <c r="M46" s="70">
        <v>501.2</v>
      </c>
      <c r="N46" s="70">
        <v>500.17</v>
      </c>
      <c r="O46" s="70">
        <v>499.15</v>
      </c>
      <c r="P46" s="70">
        <v>498.12</v>
      </c>
      <c r="Q46" s="70">
        <v>497.1</v>
      </c>
      <c r="R46" s="70">
        <v>496.07</v>
      </c>
      <c r="S46" s="70">
        <v>495.05</v>
      </c>
      <c r="T46" s="70">
        <v>494.02</v>
      </c>
      <c r="U46" s="70">
        <v>493</v>
      </c>
      <c r="V46" s="70">
        <v>491.97</v>
      </c>
      <c r="W46" s="70">
        <v>490.94</v>
      </c>
      <c r="X46" s="70">
        <v>489.92</v>
      </c>
      <c r="Y46" s="70">
        <v>488.89</v>
      </c>
      <c r="Z46" s="70">
        <v>487.87</v>
      </c>
      <c r="AA46" s="70">
        <v>486.84</v>
      </c>
      <c r="AB46" s="70">
        <v>485.82</v>
      </c>
      <c r="AC46" s="70">
        <v>484.79</v>
      </c>
      <c r="AD46" s="70">
        <v>483.77</v>
      </c>
      <c r="AE46" s="70">
        <v>482.74</v>
      </c>
      <c r="AF46" s="70">
        <v>481.72</v>
      </c>
      <c r="AG46" s="70">
        <v>480.69</v>
      </c>
      <c r="AH46" s="70">
        <v>479.67</v>
      </c>
      <c r="AI46" s="70">
        <v>478.64</v>
      </c>
      <c r="AJ46" s="70">
        <v>477.62</v>
      </c>
      <c r="AK46" s="70">
        <v>476.59</v>
      </c>
      <c r="AL46" s="70">
        <v>475.57</v>
      </c>
      <c r="AM46" s="70">
        <v>474.54</v>
      </c>
      <c r="AN46" s="70">
        <v>473.52</v>
      </c>
      <c r="AO46" s="70">
        <v>472.49</v>
      </c>
      <c r="AP46" s="70">
        <v>471.47</v>
      </c>
      <c r="AQ46" s="70">
        <v>470.44</v>
      </c>
      <c r="AR46" s="70">
        <v>469.42</v>
      </c>
      <c r="AS46" s="70">
        <v>468.4</v>
      </c>
      <c r="AT46" s="70">
        <v>467.37</v>
      </c>
      <c r="AU46" s="70">
        <v>466.35</v>
      </c>
      <c r="AV46" s="70">
        <v>465.32</v>
      </c>
      <c r="AW46" s="70">
        <v>464.3</v>
      </c>
      <c r="AX46" s="70">
        <v>463.28</v>
      </c>
      <c r="AY46" s="70">
        <v>462.25</v>
      </c>
      <c r="AZ46" s="70">
        <v>461.23</v>
      </c>
      <c r="BA46" s="70">
        <v>460.21</v>
      </c>
      <c r="BB46" s="70">
        <v>459.18</v>
      </c>
      <c r="BC46" s="70">
        <v>458.16</v>
      </c>
      <c r="BD46" s="70">
        <v>457.14</v>
      </c>
      <c r="BE46" s="70">
        <v>456.12</v>
      </c>
      <c r="BF46" s="70">
        <v>455.09</v>
      </c>
      <c r="BG46" s="70">
        <v>454.07</v>
      </c>
      <c r="BH46" s="70">
        <v>453.05</v>
      </c>
      <c r="BI46" s="70">
        <v>452.03</v>
      </c>
      <c r="BJ46" s="70">
        <v>451</v>
      </c>
      <c r="BK46" s="70">
        <v>449.98</v>
      </c>
      <c r="BL46" s="70">
        <v>448.96</v>
      </c>
      <c r="BM46" s="70">
        <v>447.94</v>
      </c>
      <c r="BN46" s="70">
        <v>446.92</v>
      </c>
      <c r="BO46" s="70">
        <v>445.9</v>
      </c>
      <c r="BP46" s="70">
        <v>444.88</v>
      </c>
      <c r="BQ46" s="70">
        <v>443.86</v>
      </c>
      <c r="BR46" s="70">
        <v>442.84</v>
      </c>
      <c r="BS46" s="70">
        <v>441.82</v>
      </c>
      <c r="BT46" s="70">
        <v>440.8</v>
      </c>
      <c r="BU46" s="70">
        <v>439.78</v>
      </c>
      <c r="BV46" s="70">
        <v>438.76</v>
      </c>
      <c r="BW46" s="70">
        <v>437.74</v>
      </c>
      <c r="BX46" s="70">
        <v>436.72</v>
      </c>
      <c r="BY46" s="70">
        <v>435.71</v>
      </c>
      <c r="BZ46" s="70">
        <v>434.69</v>
      </c>
      <c r="CA46" s="70">
        <v>433.67</v>
      </c>
      <c r="CB46" s="70">
        <v>432.66</v>
      </c>
      <c r="CC46" s="70">
        <v>431.64</v>
      </c>
      <c r="CD46" s="70">
        <v>430.62</v>
      </c>
      <c r="CE46" s="70">
        <v>429.61</v>
      </c>
      <c r="CF46" s="70">
        <v>428.59</v>
      </c>
      <c r="CG46" s="70">
        <v>427.57</v>
      </c>
      <c r="CH46" s="70">
        <v>426.56</v>
      </c>
      <c r="CI46" s="70">
        <v>425.54</v>
      </c>
      <c r="CJ46" s="70">
        <v>424.53</v>
      </c>
      <c r="CK46" s="70">
        <v>423.52</v>
      </c>
      <c r="CL46" s="70">
        <v>422.51</v>
      </c>
      <c r="CM46" s="70">
        <v>421.5</v>
      </c>
      <c r="CN46" s="70">
        <v>420.49</v>
      </c>
      <c r="CO46" s="70">
        <v>419.47</v>
      </c>
      <c r="CP46" s="70">
        <v>418.46</v>
      </c>
      <c r="CQ46" s="70">
        <v>417.45</v>
      </c>
      <c r="CR46" s="70">
        <v>416.44</v>
      </c>
      <c r="CS46" s="70">
        <v>415.43</v>
      </c>
      <c r="CT46" s="70">
        <v>414.42</v>
      </c>
      <c r="CU46" s="70">
        <v>413.41</v>
      </c>
      <c r="CV46" s="70">
        <v>412.4</v>
      </c>
      <c r="CW46" s="70">
        <v>411.4</v>
      </c>
      <c r="CX46" s="70">
        <v>410.39</v>
      </c>
      <c r="CY46" s="70">
        <v>409.39</v>
      </c>
      <c r="CZ46" s="70">
        <v>408.38</v>
      </c>
      <c r="DA46" s="70">
        <v>407.38</v>
      </c>
      <c r="DB46" s="70">
        <v>406.37</v>
      </c>
      <c r="DC46" s="70">
        <v>405.37</v>
      </c>
      <c r="DD46" s="70">
        <v>404.37</v>
      </c>
      <c r="DE46" s="70">
        <v>403.36</v>
      </c>
      <c r="DF46" s="70">
        <v>402.36</v>
      </c>
      <c r="DG46" s="70">
        <v>401.35</v>
      </c>
      <c r="DH46" s="70">
        <v>400.35</v>
      </c>
      <c r="DI46" s="70">
        <v>399.36</v>
      </c>
      <c r="DJ46" s="70">
        <v>398.36</v>
      </c>
      <c r="DK46" s="70">
        <v>397.36</v>
      </c>
      <c r="DL46" s="70">
        <v>396.36</v>
      </c>
      <c r="DM46" s="70">
        <v>395.37</v>
      </c>
      <c r="DN46" s="70">
        <v>394.37</v>
      </c>
      <c r="DO46" s="70">
        <v>393.37</v>
      </c>
      <c r="DP46" s="70">
        <v>392.38</v>
      </c>
      <c r="DQ46" s="70">
        <v>391.38</v>
      </c>
      <c r="DR46" s="70">
        <v>390.38</v>
      </c>
      <c r="DS46" s="70">
        <v>389.39</v>
      </c>
      <c r="DT46" s="70">
        <v>388.4</v>
      </c>
      <c r="DU46" s="70">
        <v>387.41</v>
      </c>
      <c r="DV46" s="70">
        <v>386.42</v>
      </c>
      <c r="DW46" s="70">
        <v>385.44</v>
      </c>
      <c r="DX46" s="70">
        <v>384.45</v>
      </c>
      <c r="DY46" s="70">
        <v>383.46</v>
      </c>
      <c r="DZ46" s="70">
        <v>382.47</v>
      </c>
      <c r="EA46" s="70">
        <v>381.49</v>
      </c>
      <c r="EB46" s="70">
        <v>380.5</v>
      </c>
      <c r="EC46" s="70">
        <v>379.52</v>
      </c>
      <c r="ED46" s="70">
        <v>378.53</v>
      </c>
      <c r="EE46" s="70">
        <v>377.55</v>
      </c>
      <c r="EF46" s="70">
        <v>376.57</v>
      </c>
      <c r="EG46" s="70">
        <v>375.59</v>
      </c>
      <c r="EH46" s="70">
        <v>374.62</v>
      </c>
      <c r="EI46" s="70">
        <v>373.64</v>
      </c>
      <c r="EJ46" s="70">
        <v>372.67</v>
      </c>
      <c r="EK46" s="70">
        <v>371.7</v>
      </c>
      <c r="EL46" s="70">
        <v>370.72</v>
      </c>
      <c r="EM46" s="70">
        <v>369.75</v>
      </c>
      <c r="EN46" s="70">
        <v>368.78</v>
      </c>
      <c r="EO46" s="70">
        <v>367.81</v>
      </c>
      <c r="EP46" s="70">
        <v>366.83</v>
      </c>
      <c r="EQ46" s="70">
        <v>365.86</v>
      </c>
      <c r="ER46" s="70">
        <v>364.9</v>
      </c>
      <c r="ES46" s="70">
        <v>363.93</v>
      </c>
      <c r="ET46" s="70">
        <v>362.97</v>
      </c>
      <c r="EU46" s="70">
        <v>362</v>
      </c>
      <c r="EV46" s="70">
        <v>361.04</v>
      </c>
      <c r="EW46" s="70">
        <v>360.08</v>
      </c>
      <c r="EX46" s="70">
        <v>359.11</v>
      </c>
      <c r="EY46" s="70">
        <v>358.15</v>
      </c>
      <c r="EZ46" s="70">
        <v>357.19</v>
      </c>
      <c r="FA46" s="70">
        <v>356.23</v>
      </c>
      <c r="FB46" s="70">
        <v>355.27</v>
      </c>
      <c r="FC46" s="70">
        <v>354.31</v>
      </c>
      <c r="FD46" s="70">
        <v>353.35</v>
      </c>
      <c r="FE46" s="70">
        <v>352.39</v>
      </c>
      <c r="FF46" s="70">
        <v>351.43</v>
      </c>
      <c r="FG46" s="70">
        <v>350.48</v>
      </c>
      <c r="FH46" s="70">
        <v>349.52</v>
      </c>
      <c r="FI46" s="70">
        <v>348.57</v>
      </c>
      <c r="FJ46" s="70">
        <v>347.61</v>
      </c>
      <c r="FK46" s="70">
        <v>346.66</v>
      </c>
      <c r="FL46" s="70">
        <v>345.7</v>
      </c>
      <c r="FM46" s="70">
        <v>344.75</v>
      </c>
      <c r="FN46" s="70">
        <v>343.8</v>
      </c>
      <c r="FO46" s="70">
        <v>342.84</v>
      </c>
      <c r="FP46" s="70">
        <v>341.89</v>
      </c>
      <c r="FQ46" s="70">
        <v>340.94</v>
      </c>
      <c r="FR46" s="70">
        <v>339.99</v>
      </c>
      <c r="FS46" s="70">
        <v>339.05</v>
      </c>
      <c r="FT46" s="70">
        <v>338.1</v>
      </c>
      <c r="FU46" s="70">
        <v>337.15</v>
      </c>
      <c r="FV46" s="70">
        <v>336.2</v>
      </c>
      <c r="FW46" s="70">
        <v>335.26</v>
      </c>
      <c r="FX46" s="70">
        <v>334.31</v>
      </c>
      <c r="FY46" s="70">
        <v>333.37</v>
      </c>
      <c r="FZ46" s="70">
        <v>332.42</v>
      </c>
      <c r="GA46" s="70">
        <v>331.48</v>
      </c>
      <c r="GB46" s="70">
        <v>330.54</v>
      </c>
      <c r="GC46" s="70">
        <v>329.6</v>
      </c>
      <c r="GD46" s="70">
        <v>328.66</v>
      </c>
      <c r="GE46" s="70">
        <v>327.72</v>
      </c>
      <c r="GF46" s="70">
        <v>326.77999999999997</v>
      </c>
      <c r="GG46" s="70">
        <v>325.83999999999997</v>
      </c>
      <c r="GH46" s="70">
        <v>324.91000000000003</v>
      </c>
      <c r="GI46" s="70">
        <v>323.97000000000003</v>
      </c>
      <c r="GJ46" s="70">
        <v>323.02999999999997</v>
      </c>
      <c r="GK46" s="70">
        <v>322.10000000000002</v>
      </c>
      <c r="GL46" s="70">
        <v>321.17</v>
      </c>
      <c r="GM46" s="70">
        <v>320.23</v>
      </c>
      <c r="GN46" s="70">
        <v>319.29000000000002</v>
      </c>
      <c r="GO46" s="70">
        <v>318.37</v>
      </c>
      <c r="GP46" s="70">
        <v>317.45</v>
      </c>
      <c r="GQ46" s="70">
        <v>316.51</v>
      </c>
      <c r="GR46" s="70">
        <v>315.58999999999997</v>
      </c>
      <c r="GS46" s="70">
        <v>314.67</v>
      </c>
      <c r="GT46" s="70">
        <v>313.74</v>
      </c>
      <c r="GU46" s="70">
        <v>312.82</v>
      </c>
      <c r="GV46" s="70">
        <v>311.89</v>
      </c>
      <c r="GW46" s="70">
        <v>310.97000000000003</v>
      </c>
      <c r="GX46" s="70">
        <v>310.04000000000002</v>
      </c>
      <c r="GY46" s="70">
        <v>309.13</v>
      </c>
      <c r="GZ46" s="70">
        <v>308.20999999999998</v>
      </c>
      <c r="HA46" s="70">
        <v>307.29000000000002</v>
      </c>
      <c r="HB46" s="70">
        <v>306.38</v>
      </c>
      <c r="HC46" s="70">
        <v>305.45999999999998</v>
      </c>
      <c r="HD46" s="70">
        <v>304.54000000000002</v>
      </c>
      <c r="HE46" s="70">
        <v>303.63</v>
      </c>
      <c r="HF46" s="70">
        <v>302.72000000000003</v>
      </c>
      <c r="HG46" s="70">
        <v>301.81</v>
      </c>
      <c r="HH46" s="70">
        <v>300.89999999999998</v>
      </c>
      <c r="HI46" s="70">
        <v>299.99</v>
      </c>
      <c r="HJ46" s="70">
        <v>299.07</v>
      </c>
      <c r="HK46" s="70">
        <v>298.18</v>
      </c>
      <c r="HL46" s="70">
        <v>297.26</v>
      </c>
      <c r="HM46" s="70">
        <v>296.37</v>
      </c>
      <c r="HN46" s="70">
        <v>295.47000000000003</v>
      </c>
      <c r="HO46" s="70">
        <v>294.56</v>
      </c>
      <c r="HP46" s="70">
        <v>293.66000000000003</v>
      </c>
      <c r="HQ46" s="70">
        <v>292.76</v>
      </c>
      <c r="HR46" s="70">
        <v>291.87</v>
      </c>
      <c r="HS46" s="70">
        <v>290.97000000000003</v>
      </c>
      <c r="HT46" s="70">
        <v>290.07</v>
      </c>
      <c r="HU46" s="70">
        <v>289.18</v>
      </c>
      <c r="HV46" s="70">
        <v>288.29000000000002</v>
      </c>
      <c r="HW46" s="70">
        <v>287.39</v>
      </c>
      <c r="HX46" s="70">
        <v>286.5</v>
      </c>
      <c r="HY46" s="70">
        <v>285.60000000000002</v>
      </c>
      <c r="HZ46" s="70">
        <v>284.72000000000003</v>
      </c>
      <c r="IA46" s="70">
        <v>283.82</v>
      </c>
      <c r="IB46" s="70">
        <v>282.95</v>
      </c>
      <c r="IC46" s="70">
        <v>282.06</v>
      </c>
      <c r="ID46" s="70">
        <v>281.17</v>
      </c>
      <c r="IE46" s="70">
        <v>280.29000000000002</v>
      </c>
      <c r="IF46" s="70">
        <v>279.41000000000003</v>
      </c>
      <c r="IG46" s="70">
        <v>278.51</v>
      </c>
      <c r="IH46" s="70">
        <v>277.64</v>
      </c>
      <c r="II46" s="70">
        <v>276.76</v>
      </c>
      <c r="IJ46" s="70">
        <v>275.88</v>
      </c>
      <c r="IK46" s="70">
        <v>275.01</v>
      </c>
      <c r="IL46" s="70">
        <v>274.13</v>
      </c>
      <c r="IM46" s="70">
        <v>273.25</v>
      </c>
      <c r="IN46" s="70">
        <v>272.38</v>
      </c>
      <c r="IO46" s="70">
        <v>271.51</v>
      </c>
      <c r="IP46" s="70">
        <v>270.63</v>
      </c>
      <c r="IQ46" s="70">
        <v>269.76</v>
      </c>
      <c r="IR46" s="70">
        <v>268.89</v>
      </c>
      <c r="IS46" s="70">
        <v>268.01</v>
      </c>
      <c r="IT46" s="70">
        <v>267.16000000000003</v>
      </c>
      <c r="IU46" s="70">
        <v>266.29000000000002</v>
      </c>
      <c r="IV46" s="70">
        <v>265.43</v>
      </c>
      <c r="IW46" s="70">
        <v>264.57</v>
      </c>
      <c r="IX46" s="70">
        <v>263.7</v>
      </c>
      <c r="IY46" s="70">
        <v>262.83999999999997</v>
      </c>
      <c r="IZ46" s="70">
        <v>261.98</v>
      </c>
      <c r="JA46" s="70">
        <v>261.13</v>
      </c>
      <c r="JB46" s="70">
        <v>260.26</v>
      </c>
      <c r="JC46" s="70">
        <v>259.41000000000003</v>
      </c>
      <c r="JD46" s="70">
        <v>258.56</v>
      </c>
      <c r="JE46" s="70">
        <v>257.7</v>
      </c>
      <c r="JF46" s="70">
        <v>256.85000000000002</v>
      </c>
      <c r="JG46" s="70">
        <v>256</v>
      </c>
      <c r="JH46" s="70">
        <v>255.15</v>
      </c>
      <c r="JI46" s="70">
        <v>254.3</v>
      </c>
      <c r="JJ46" s="70">
        <v>253.45</v>
      </c>
      <c r="JK46" s="70">
        <v>252.61</v>
      </c>
      <c r="JL46" s="70">
        <v>251.76</v>
      </c>
      <c r="JM46" s="70">
        <v>250.91</v>
      </c>
      <c r="JN46" s="70">
        <v>250.07</v>
      </c>
      <c r="JO46" s="70">
        <v>249.23</v>
      </c>
      <c r="JP46" s="70">
        <v>248.38</v>
      </c>
      <c r="JQ46" s="70">
        <v>247.54</v>
      </c>
      <c r="JR46" s="70">
        <v>246.7</v>
      </c>
      <c r="JS46" s="70">
        <v>245.86</v>
      </c>
      <c r="JT46" s="70">
        <v>245.02</v>
      </c>
      <c r="JU46" s="70">
        <v>244.19</v>
      </c>
      <c r="JV46" s="70">
        <v>243.35</v>
      </c>
      <c r="JW46" s="70">
        <v>242.52</v>
      </c>
      <c r="JX46" s="70">
        <v>241.68</v>
      </c>
      <c r="JY46" s="70">
        <v>240.85</v>
      </c>
      <c r="JZ46" s="70">
        <v>240.02</v>
      </c>
      <c r="KA46" s="70">
        <v>239.19</v>
      </c>
      <c r="KB46" s="70">
        <v>238.36</v>
      </c>
      <c r="KC46" s="70">
        <v>237.53</v>
      </c>
      <c r="KD46" s="70">
        <v>236.7</v>
      </c>
      <c r="KE46" s="70">
        <v>235.87</v>
      </c>
      <c r="KF46" s="70">
        <v>235.05</v>
      </c>
      <c r="KG46" s="70">
        <v>234.22</v>
      </c>
      <c r="KH46" s="70">
        <v>233.4</v>
      </c>
      <c r="KI46" s="70">
        <v>232.58</v>
      </c>
      <c r="KJ46" s="70">
        <v>231.75</v>
      </c>
      <c r="KK46" s="70">
        <v>230.93</v>
      </c>
      <c r="KL46" s="70">
        <v>230.12</v>
      </c>
      <c r="KM46" s="70">
        <v>229.3</v>
      </c>
      <c r="KN46" s="70">
        <v>228.48</v>
      </c>
      <c r="KO46" s="70">
        <v>227.67</v>
      </c>
      <c r="KP46" s="70">
        <v>226.85</v>
      </c>
      <c r="KQ46" s="70">
        <v>226.04</v>
      </c>
      <c r="KR46" s="70">
        <v>225.03000000000034</v>
      </c>
      <c r="KS46" s="70">
        <v>224.28000000000034</v>
      </c>
      <c r="KT46" s="70">
        <v>223.53000000000034</v>
      </c>
      <c r="KU46" s="70">
        <v>222.78000000000034</v>
      </c>
      <c r="KV46" s="70">
        <v>222.03000000000034</v>
      </c>
      <c r="KW46" s="70">
        <v>221.28000000000034</v>
      </c>
      <c r="KX46" s="70">
        <v>220.53000000000034</v>
      </c>
      <c r="KY46" s="70">
        <v>219.78000000000034</v>
      </c>
      <c r="KZ46" s="70">
        <v>219.03000000000034</v>
      </c>
      <c r="LA46" s="70">
        <v>218.28000000000034</v>
      </c>
      <c r="LB46" s="70">
        <v>217.53000000000034</v>
      </c>
      <c r="LC46" s="70">
        <v>216.78000000000034</v>
      </c>
      <c r="LD46" s="70">
        <v>216.03000000000034</v>
      </c>
      <c r="LE46" s="70">
        <v>215.28000000000034</v>
      </c>
      <c r="LF46" s="70">
        <v>214.53000000000034</v>
      </c>
      <c r="LG46" s="70">
        <v>213.78000000000034</v>
      </c>
      <c r="LH46" s="70">
        <v>213.03000000000034</v>
      </c>
      <c r="LI46" s="70">
        <v>212.28000000000034</v>
      </c>
      <c r="LJ46" s="70">
        <v>211.53000000000034</v>
      </c>
      <c r="LK46" s="70">
        <v>210.78000000000034</v>
      </c>
      <c r="LL46" s="70">
        <v>210.03000000000034</v>
      </c>
      <c r="LM46" s="70">
        <v>209.28000000000034</v>
      </c>
      <c r="LN46" s="70">
        <v>208.53000000000034</v>
      </c>
      <c r="LO46" s="70">
        <v>207.78000000000034</v>
      </c>
      <c r="LP46" s="70">
        <v>207.03000000000034</v>
      </c>
      <c r="LQ46" s="70">
        <v>206.28000000000034</v>
      </c>
      <c r="LR46" s="70">
        <v>205.53000000000034</v>
      </c>
      <c r="LS46" s="70">
        <v>204.78000000000034</v>
      </c>
      <c r="LT46" s="70">
        <v>204.03000000000034</v>
      </c>
      <c r="LU46" s="70">
        <v>203.28000000000034</v>
      </c>
      <c r="LV46" s="70">
        <v>202.53000000000034</v>
      </c>
      <c r="LW46" s="70">
        <v>201.78000000000034</v>
      </c>
      <c r="LX46" s="70">
        <v>201.03000000000034</v>
      </c>
      <c r="LY46" s="70">
        <v>200.28000000000034</v>
      </c>
      <c r="LZ46" s="70">
        <v>199.53000000000034</v>
      </c>
      <c r="MA46" s="70">
        <v>198.78000000000034</v>
      </c>
      <c r="MB46" s="70">
        <v>198.03000000000034</v>
      </c>
      <c r="MC46" s="70">
        <v>197.28000000000034</v>
      </c>
      <c r="MD46" s="70">
        <v>196.53000000000034</v>
      </c>
      <c r="ME46" s="70">
        <v>195.78000000000034</v>
      </c>
      <c r="MF46" s="70">
        <v>195.03000000000034</v>
      </c>
      <c r="MG46" s="70">
        <v>194.28000000000034</v>
      </c>
      <c r="MH46" s="70">
        <v>193.53000000000034</v>
      </c>
      <c r="MI46" s="70">
        <v>192.78000000000034</v>
      </c>
      <c r="MJ46" s="70">
        <v>192.03000000000034</v>
      </c>
      <c r="MK46" s="70">
        <v>191.28000000000034</v>
      </c>
      <c r="ML46" s="70">
        <v>190.53000000000034</v>
      </c>
      <c r="MM46" s="70">
        <v>189.78000000000034</v>
      </c>
      <c r="MN46" s="70">
        <v>189.03000000000034</v>
      </c>
      <c r="MO46" s="70">
        <v>188.28000000000034</v>
      </c>
      <c r="MP46" s="70">
        <v>187.53000000000034</v>
      </c>
      <c r="MQ46" s="70">
        <v>186.78000000000034</v>
      </c>
      <c r="MR46" s="70">
        <v>186.03000000000034</v>
      </c>
      <c r="MS46" s="70">
        <v>185.28000000000034</v>
      </c>
      <c r="MT46" s="70">
        <v>184.53000000000034</v>
      </c>
      <c r="MU46" s="70">
        <v>183.78000000000034</v>
      </c>
      <c r="MV46" s="70">
        <v>183.03000000000034</v>
      </c>
      <c r="MW46" s="70">
        <v>182.28000000000034</v>
      </c>
      <c r="MX46" s="70">
        <v>181.53000000000034</v>
      </c>
      <c r="MY46" s="70">
        <v>180.78000000000034</v>
      </c>
    </row>
    <row r="47" spans="1:363" ht="15.6" x14ac:dyDescent="0.3">
      <c r="A47" s="67" t="s">
        <v>7</v>
      </c>
      <c r="B47" s="72">
        <v>2057</v>
      </c>
      <c r="C47" s="70">
        <v>512</v>
      </c>
      <c r="D47" s="70">
        <v>510.97</v>
      </c>
      <c r="E47" s="70">
        <v>509.94</v>
      </c>
      <c r="F47" s="70">
        <v>508.92</v>
      </c>
      <c r="G47" s="70">
        <v>507.89</v>
      </c>
      <c r="H47" s="70">
        <v>506.87</v>
      </c>
      <c r="I47" s="70">
        <v>505.84</v>
      </c>
      <c r="J47" s="70">
        <v>504.81</v>
      </c>
      <c r="K47" s="70">
        <v>503.79</v>
      </c>
      <c r="L47" s="70">
        <v>502.76</v>
      </c>
      <c r="M47" s="70">
        <v>501.74</v>
      </c>
      <c r="N47" s="70">
        <v>500.71</v>
      </c>
      <c r="O47" s="70">
        <v>499.69</v>
      </c>
      <c r="P47" s="70">
        <v>498.66</v>
      </c>
      <c r="Q47" s="70">
        <v>497.64</v>
      </c>
      <c r="R47" s="70">
        <v>496.61</v>
      </c>
      <c r="S47" s="70">
        <v>495.58</v>
      </c>
      <c r="T47" s="70">
        <v>494.56</v>
      </c>
      <c r="U47" s="70">
        <v>493.53</v>
      </c>
      <c r="V47" s="70">
        <v>492.51</v>
      </c>
      <c r="W47" s="70">
        <v>491.48</v>
      </c>
      <c r="X47" s="70">
        <v>490.46</v>
      </c>
      <c r="Y47" s="70">
        <v>489.43</v>
      </c>
      <c r="Z47" s="70">
        <v>488.41</v>
      </c>
      <c r="AA47" s="70">
        <v>487.38</v>
      </c>
      <c r="AB47" s="70">
        <v>486.35</v>
      </c>
      <c r="AC47" s="70">
        <v>485.33</v>
      </c>
      <c r="AD47" s="70">
        <v>484.3</v>
      </c>
      <c r="AE47" s="70">
        <v>483.28</v>
      </c>
      <c r="AF47" s="70">
        <v>482.25</v>
      </c>
      <c r="AG47" s="70">
        <v>481.23</v>
      </c>
      <c r="AH47" s="70">
        <v>480.2</v>
      </c>
      <c r="AI47" s="70">
        <v>479.18</v>
      </c>
      <c r="AJ47" s="70">
        <v>478.15</v>
      </c>
      <c r="AK47" s="70">
        <v>477.13</v>
      </c>
      <c r="AL47" s="70">
        <v>476.1</v>
      </c>
      <c r="AM47" s="70">
        <v>475.07</v>
      </c>
      <c r="AN47" s="70">
        <v>474.05</v>
      </c>
      <c r="AO47" s="70">
        <v>473.03</v>
      </c>
      <c r="AP47" s="70">
        <v>472</v>
      </c>
      <c r="AQ47" s="70">
        <v>470.98</v>
      </c>
      <c r="AR47" s="70">
        <v>469.95</v>
      </c>
      <c r="AS47" s="70">
        <v>468.93</v>
      </c>
      <c r="AT47" s="70">
        <v>467.9</v>
      </c>
      <c r="AU47" s="70">
        <v>466.88</v>
      </c>
      <c r="AV47" s="70">
        <v>465.86</v>
      </c>
      <c r="AW47" s="70">
        <v>464.83</v>
      </c>
      <c r="AX47" s="70">
        <v>463.81</v>
      </c>
      <c r="AY47" s="70">
        <v>462.78</v>
      </c>
      <c r="AZ47" s="70">
        <v>461.76</v>
      </c>
      <c r="BA47" s="70">
        <v>460.74</v>
      </c>
      <c r="BB47" s="70">
        <v>459.71</v>
      </c>
      <c r="BC47" s="70">
        <v>458.69</v>
      </c>
      <c r="BD47" s="70">
        <v>457.67</v>
      </c>
      <c r="BE47" s="70">
        <v>456.65</v>
      </c>
      <c r="BF47" s="70">
        <v>455.62</v>
      </c>
      <c r="BG47" s="70">
        <v>454.6</v>
      </c>
      <c r="BH47" s="70">
        <v>453.58</v>
      </c>
      <c r="BI47" s="70">
        <v>452.55</v>
      </c>
      <c r="BJ47" s="70">
        <v>451.53</v>
      </c>
      <c r="BK47" s="70">
        <v>450.51</v>
      </c>
      <c r="BL47" s="70">
        <v>449.49</v>
      </c>
      <c r="BM47" s="70">
        <v>448.47</v>
      </c>
      <c r="BN47" s="70">
        <v>447.45</v>
      </c>
      <c r="BO47" s="70">
        <v>446.43</v>
      </c>
      <c r="BP47" s="70">
        <v>445.41</v>
      </c>
      <c r="BQ47" s="70">
        <v>444.39</v>
      </c>
      <c r="BR47" s="70">
        <v>443.37</v>
      </c>
      <c r="BS47" s="70">
        <v>442.35</v>
      </c>
      <c r="BT47" s="70">
        <v>441.33</v>
      </c>
      <c r="BU47" s="70">
        <v>440.31</v>
      </c>
      <c r="BV47" s="70">
        <v>439.29</v>
      </c>
      <c r="BW47" s="70">
        <v>438.27</v>
      </c>
      <c r="BX47" s="70">
        <v>437.25</v>
      </c>
      <c r="BY47" s="70">
        <v>436.23</v>
      </c>
      <c r="BZ47" s="70">
        <v>435.21</v>
      </c>
      <c r="CA47" s="70">
        <v>434.2</v>
      </c>
      <c r="CB47" s="70">
        <v>433.18</v>
      </c>
      <c r="CC47" s="70">
        <v>432.16</v>
      </c>
      <c r="CD47" s="70">
        <v>431.15</v>
      </c>
      <c r="CE47" s="70">
        <v>430.13</v>
      </c>
      <c r="CF47" s="70">
        <v>429.11</v>
      </c>
      <c r="CG47" s="70">
        <v>428.1</v>
      </c>
      <c r="CH47" s="70">
        <v>427.08</v>
      </c>
      <c r="CI47" s="70">
        <v>426.06</v>
      </c>
      <c r="CJ47" s="70">
        <v>425.05</v>
      </c>
      <c r="CK47" s="70">
        <v>424.04</v>
      </c>
      <c r="CL47" s="70">
        <v>423.03</v>
      </c>
      <c r="CM47" s="70">
        <v>422.02</v>
      </c>
      <c r="CN47" s="70">
        <v>421.01</v>
      </c>
      <c r="CO47" s="70">
        <v>419.99</v>
      </c>
      <c r="CP47" s="70">
        <v>418.98</v>
      </c>
      <c r="CQ47" s="70">
        <v>417.97</v>
      </c>
      <c r="CR47" s="70">
        <v>416.96</v>
      </c>
      <c r="CS47" s="70">
        <v>415.95</v>
      </c>
      <c r="CT47" s="70">
        <v>414.94</v>
      </c>
      <c r="CU47" s="70">
        <v>413.93</v>
      </c>
      <c r="CV47" s="70">
        <v>412.92</v>
      </c>
      <c r="CW47" s="70">
        <v>411.92</v>
      </c>
      <c r="CX47" s="70">
        <v>410.91</v>
      </c>
      <c r="CY47" s="70">
        <v>409.91</v>
      </c>
      <c r="CZ47" s="70">
        <v>408.9</v>
      </c>
      <c r="DA47" s="70">
        <v>407.89</v>
      </c>
      <c r="DB47" s="70">
        <v>406.89</v>
      </c>
      <c r="DC47" s="70">
        <v>405.89</v>
      </c>
      <c r="DD47" s="70">
        <v>404.88</v>
      </c>
      <c r="DE47" s="70">
        <v>403.88</v>
      </c>
      <c r="DF47" s="70">
        <v>402.87</v>
      </c>
      <c r="DG47" s="70">
        <v>401.87</v>
      </c>
      <c r="DH47" s="70">
        <v>400.87</v>
      </c>
      <c r="DI47" s="70">
        <v>399.87</v>
      </c>
      <c r="DJ47" s="70">
        <v>398.87</v>
      </c>
      <c r="DK47" s="70">
        <v>397.87</v>
      </c>
      <c r="DL47" s="70">
        <v>396.88</v>
      </c>
      <c r="DM47" s="70">
        <v>395.88</v>
      </c>
      <c r="DN47" s="70">
        <v>394.88</v>
      </c>
      <c r="DO47" s="70">
        <v>393.89</v>
      </c>
      <c r="DP47" s="70">
        <v>392.89</v>
      </c>
      <c r="DQ47" s="70">
        <v>391.89</v>
      </c>
      <c r="DR47" s="70">
        <v>390.9</v>
      </c>
      <c r="DS47" s="70">
        <v>389.9</v>
      </c>
      <c r="DT47" s="70">
        <v>388.91</v>
      </c>
      <c r="DU47" s="70">
        <v>387.92</v>
      </c>
      <c r="DV47" s="70">
        <v>386.93</v>
      </c>
      <c r="DW47" s="70">
        <v>385.95</v>
      </c>
      <c r="DX47" s="70">
        <v>384.96</v>
      </c>
      <c r="DY47" s="70">
        <v>383.97</v>
      </c>
      <c r="DZ47" s="70">
        <v>382.98</v>
      </c>
      <c r="EA47" s="70">
        <v>382</v>
      </c>
      <c r="EB47" s="70">
        <v>381.01</v>
      </c>
      <c r="EC47" s="70">
        <v>380.02</v>
      </c>
      <c r="ED47" s="70">
        <v>379.04</v>
      </c>
      <c r="EE47" s="70">
        <v>378.05</v>
      </c>
      <c r="EF47" s="70">
        <v>377.08</v>
      </c>
      <c r="EG47" s="70">
        <v>376.1</v>
      </c>
      <c r="EH47" s="70">
        <v>375.13</v>
      </c>
      <c r="EI47" s="70">
        <v>374.15</v>
      </c>
      <c r="EJ47" s="70">
        <v>373.18</v>
      </c>
      <c r="EK47" s="70">
        <v>372.2</v>
      </c>
      <c r="EL47" s="70">
        <v>371.23</v>
      </c>
      <c r="EM47" s="70">
        <v>370.26</v>
      </c>
      <c r="EN47" s="70">
        <v>369.28</v>
      </c>
      <c r="EO47" s="70">
        <v>368.31</v>
      </c>
      <c r="EP47" s="70">
        <v>367.34</v>
      </c>
      <c r="EQ47" s="70">
        <v>366.37</v>
      </c>
      <c r="ER47" s="70">
        <v>365.4</v>
      </c>
      <c r="ES47" s="70">
        <v>364.44</v>
      </c>
      <c r="ET47" s="70">
        <v>363.47</v>
      </c>
      <c r="EU47" s="70">
        <v>362.51</v>
      </c>
      <c r="EV47" s="70">
        <v>361.54</v>
      </c>
      <c r="EW47" s="70">
        <v>360.58</v>
      </c>
      <c r="EX47" s="70">
        <v>359.62</v>
      </c>
      <c r="EY47" s="70">
        <v>358.66</v>
      </c>
      <c r="EZ47" s="70">
        <v>357.69</v>
      </c>
      <c r="FA47" s="70">
        <v>356.73</v>
      </c>
      <c r="FB47" s="70">
        <v>355.77</v>
      </c>
      <c r="FC47" s="70">
        <v>354.81</v>
      </c>
      <c r="FD47" s="70">
        <v>353.85</v>
      </c>
      <c r="FE47" s="70">
        <v>352.89</v>
      </c>
      <c r="FF47" s="70">
        <v>351.94</v>
      </c>
      <c r="FG47" s="70">
        <v>350.98</v>
      </c>
      <c r="FH47" s="70">
        <v>350.02</v>
      </c>
      <c r="FI47" s="70">
        <v>349.07</v>
      </c>
      <c r="FJ47" s="70">
        <v>348.11</v>
      </c>
      <c r="FK47" s="70">
        <v>347.16</v>
      </c>
      <c r="FL47" s="70">
        <v>346.2</v>
      </c>
      <c r="FM47" s="70">
        <v>345.25</v>
      </c>
      <c r="FN47" s="70">
        <v>344.3</v>
      </c>
      <c r="FO47" s="70">
        <v>343.34</v>
      </c>
      <c r="FP47" s="70">
        <v>342.39</v>
      </c>
      <c r="FQ47" s="70">
        <v>341.44</v>
      </c>
      <c r="FR47" s="70">
        <v>340.49</v>
      </c>
      <c r="FS47" s="70">
        <v>339.54</v>
      </c>
      <c r="FT47" s="70">
        <v>338.6</v>
      </c>
      <c r="FU47" s="70">
        <v>337.65</v>
      </c>
      <c r="FV47" s="70">
        <v>336.7</v>
      </c>
      <c r="FW47" s="70">
        <v>335.76</v>
      </c>
      <c r="FX47" s="70">
        <v>334.81</v>
      </c>
      <c r="FY47" s="70">
        <v>333.87</v>
      </c>
      <c r="FZ47" s="70">
        <v>332.92</v>
      </c>
      <c r="GA47" s="70">
        <v>331.98</v>
      </c>
      <c r="GB47" s="70">
        <v>331.04</v>
      </c>
      <c r="GC47" s="70">
        <v>330.09</v>
      </c>
      <c r="GD47" s="70">
        <v>329.15</v>
      </c>
      <c r="GE47" s="70">
        <v>328.21</v>
      </c>
      <c r="GF47" s="70">
        <v>327.27999999999997</v>
      </c>
      <c r="GG47" s="70">
        <v>326.33999999999997</v>
      </c>
      <c r="GH47" s="70">
        <v>325.39999999999998</v>
      </c>
      <c r="GI47" s="70">
        <v>324.45999999999998</v>
      </c>
      <c r="GJ47" s="70">
        <v>323.52999999999997</v>
      </c>
      <c r="GK47" s="70">
        <v>322.58999999999997</v>
      </c>
      <c r="GL47" s="70">
        <v>321.66000000000003</v>
      </c>
      <c r="GM47" s="70">
        <v>320.73</v>
      </c>
      <c r="GN47" s="70">
        <v>319.79000000000002</v>
      </c>
      <c r="GO47" s="70">
        <v>318.87</v>
      </c>
      <c r="GP47" s="70">
        <v>317.94</v>
      </c>
      <c r="GQ47" s="70">
        <v>317.01</v>
      </c>
      <c r="GR47" s="70">
        <v>316.07</v>
      </c>
      <c r="GS47" s="70">
        <v>315.16000000000003</v>
      </c>
      <c r="GT47" s="70">
        <v>314.23</v>
      </c>
      <c r="GU47" s="70">
        <v>313.31</v>
      </c>
      <c r="GV47" s="70">
        <v>312.38</v>
      </c>
      <c r="GW47" s="70">
        <v>311.45999999999998</v>
      </c>
      <c r="GX47" s="70">
        <v>310.54000000000002</v>
      </c>
      <c r="GY47" s="70">
        <v>309.62</v>
      </c>
      <c r="GZ47" s="70">
        <v>308.7</v>
      </c>
      <c r="HA47" s="70">
        <v>307.77999999999997</v>
      </c>
      <c r="HB47" s="70">
        <v>306.87</v>
      </c>
      <c r="HC47" s="70">
        <v>305.95</v>
      </c>
      <c r="HD47" s="70">
        <v>305.04000000000002</v>
      </c>
      <c r="HE47" s="70">
        <v>304.12</v>
      </c>
      <c r="HF47" s="70">
        <v>303.20999999999998</v>
      </c>
      <c r="HG47" s="70">
        <v>302.29000000000002</v>
      </c>
      <c r="HH47" s="70">
        <v>301.39</v>
      </c>
      <c r="HI47" s="70">
        <v>300.48</v>
      </c>
      <c r="HJ47" s="70">
        <v>299.57</v>
      </c>
      <c r="HK47" s="70">
        <v>298.66000000000003</v>
      </c>
      <c r="HL47" s="70">
        <v>297.76</v>
      </c>
      <c r="HM47" s="70">
        <v>296.85000000000002</v>
      </c>
      <c r="HN47" s="70">
        <v>295.95</v>
      </c>
      <c r="HO47" s="70">
        <v>295.04000000000002</v>
      </c>
      <c r="HP47" s="70">
        <v>294.14999999999998</v>
      </c>
      <c r="HQ47" s="70">
        <v>293.25</v>
      </c>
      <c r="HR47" s="70">
        <v>292.35000000000002</v>
      </c>
      <c r="HS47" s="70">
        <v>291.45</v>
      </c>
      <c r="HT47" s="70">
        <v>290.56</v>
      </c>
      <c r="HU47" s="70">
        <v>289.66000000000003</v>
      </c>
      <c r="HV47" s="70">
        <v>288.76</v>
      </c>
      <c r="HW47" s="70">
        <v>287.87</v>
      </c>
      <c r="HX47" s="70">
        <v>286.98</v>
      </c>
      <c r="HY47" s="70">
        <v>286.08999999999997</v>
      </c>
      <c r="HZ47" s="70">
        <v>285.2</v>
      </c>
      <c r="IA47" s="70">
        <v>284.31</v>
      </c>
      <c r="IB47" s="70">
        <v>283.43</v>
      </c>
      <c r="IC47" s="70">
        <v>282.54000000000002</v>
      </c>
      <c r="ID47" s="70">
        <v>281.64999999999998</v>
      </c>
      <c r="IE47" s="70">
        <v>280.76</v>
      </c>
      <c r="IF47" s="70">
        <v>279.88</v>
      </c>
      <c r="IG47" s="70">
        <v>279</v>
      </c>
      <c r="IH47" s="70">
        <v>278.12</v>
      </c>
      <c r="II47" s="70">
        <v>277.24</v>
      </c>
      <c r="IJ47" s="70">
        <v>276.35000000000002</v>
      </c>
      <c r="IK47" s="70">
        <v>275.48</v>
      </c>
      <c r="IL47" s="70">
        <v>274.60000000000002</v>
      </c>
      <c r="IM47" s="70">
        <v>273.73</v>
      </c>
      <c r="IN47" s="70">
        <v>272.85000000000002</v>
      </c>
      <c r="IO47" s="70">
        <v>271.98</v>
      </c>
      <c r="IP47" s="70">
        <v>271.10000000000002</v>
      </c>
      <c r="IQ47" s="70">
        <v>270.24</v>
      </c>
      <c r="IR47" s="70">
        <v>269.37</v>
      </c>
      <c r="IS47" s="70">
        <v>268.5</v>
      </c>
      <c r="IT47" s="70">
        <v>267.63</v>
      </c>
      <c r="IU47" s="70">
        <v>266.76</v>
      </c>
      <c r="IV47" s="70">
        <v>265.89999999999998</v>
      </c>
      <c r="IW47" s="70">
        <v>265.02999999999997</v>
      </c>
      <c r="IX47" s="70">
        <v>264.17</v>
      </c>
      <c r="IY47" s="70">
        <v>263.31</v>
      </c>
      <c r="IZ47" s="70">
        <v>262.45</v>
      </c>
      <c r="JA47" s="70">
        <v>261.58999999999997</v>
      </c>
      <c r="JB47" s="70">
        <v>260.74</v>
      </c>
      <c r="JC47" s="70">
        <v>259.88</v>
      </c>
      <c r="JD47" s="70">
        <v>259.02999999999997</v>
      </c>
      <c r="JE47" s="70">
        <v>258.17</v>
      </c>
      <c r="JF47" s="70">
        <v>257.32</v>
      </c>
      <c r="JG47" s="70">
        <v>256.47000000000003</v>
      </c>
      <c r="JH47" s="70">
        <v>255.61</v>
      </c>
      <c r="JI47" s="70">
        <v>254.76</v>
      </c>
      <c r="JJ47" s="70">
        <v>253.92</v>
      </c>
      <c r="JK47" s="70">
        <v>253.07</v>
      </c>
      <c r="JL47" s="70">
        <v>252.22</v>
      </c>
      <c r="JM47" s="70">
        <v>251.38</v>
      </c>
      <c r="JN47" s="70">
        <v>250.53</v>
      </c>
      <c r="JO47" s="70">
        <v>249.69</v>
      </c>
      <c r="JP47" s="70">
        <v>248.84</v>
      </c>
      <c r="JQ47" s="70">
        <v>248</v>
      </c>
      <c r="JR47" s="70">
        <v>247.16</v>
      </c>
      <c r="JS47" s="70">
        <v>246.32</v>
      </c>
      <c r="JT47" s="70">
        <v>245.48</v>
      </c>
      <c r="JU47" s="70">
        <v>244.65</v>
      </c>
      <c r="JV47" s="70">
        <v>243.81</v>
      </c>
      <c r="JW47" s="70">
        <v>242.97</v>
      </c>
      <c r="JX47" s="70">
        <v>242.14</v>
      </c>
      <c r="JY47" s="70">
        <v>241.31</v>
      </c>
      <c r="JZ47" s="70">
        <v>240.47</v>
      </c>
      <c r="KA47" s="70">
        <v>239.64</v>
      </c>
      <c r="KB47" s="70">
        <v>238.81</v>
      </c>
      <c r="KC47" s="70">
        <v>237.98</v>
      </c>
      <c r="KD47" s="70">
        <v>237.15</v>
      </c>
      <c r="KE47" s="70">
        <v>236.33</v>
      </c>
      <c r="KF47" s="70">
        <v>235.5</v>
      </c>
      <c r="KG47" s="70">
        <v>234.67</v>
      </c>
      <c r="KH47" s="70">
        <v>233.85</v>
      </c>
      <c r="KI47" s="70">
        <v>233.03</v>
      </c>
      <c r="KJ47" s="70">
        <v>232.2</v>
      </c>
      <c r="KK47" s="70">
        <v>231.38</v>
      </c>
      <c r="KL47" s="70">
        <v>230.56</v>
      </c>
      <c r="KM47" s="70">
        <v>229.74</v>
      </c>
      <c r="KN47" s="70">
        <v>228.93</v>
      </c>
      <c r="KO47" s="70">
        <v>228.11</v>
      </c>
      <c r="KP47" s="70">
        <v>227.3</v>
      </c>
      <c r="KQ47" s="70">
        <v>226.49</v>
      </c>
      <c r="KR47" s="70">
        <v>225.49000000000035</v>
      </c>
      <c r="KS47" s="70">
        <v>224.74000000000035</v>
      </c>
      <c r="KT47" s="70">
        <v>223.99000000000035</v>
      </c>
      <c r="KU47" s="70">
        <v>223.24000000000035</v>
      </c>
      <c r="KV47" s="70">
        <v>222.49000000000035</v>
      </c>
      <c r="KW47" s="70">
        <v>221.74000000000035</v>
      </c>
      <c r="KX47" s="70">
        <v>220.99000000000035</v>
      </c>
      <c r="KY47" s="70">
        <v>220.24000000000035</v>
      </c>
      <c r="KZ47" s="70">
        <v>219.49000000000035</v>
      </c>
      <c r="LA47" s="70">
        <v>218.74000000000035</v>
      </c>
      <c r="LB47" s="70">
        <v>217.99000000000035</v>
      </c>
      <c r="LC47" s="70">
        <v>217.24000000000035</v>
      </c>
      <c r="LD47" s="70">
        <v>216.49000000000035</v>
      </c>
      <c r="LE47" s="70">
        <v>215.74000000000035</v>
      </c>
      <c r="LF47" s="70">
        <v>214.99000000000035</v>
      </c>
      <c r="LG47" s="70">
        <v>214.24000000000035</v>
      </c>
      <c r="LH47" s="70">
        <v>213.49000000000035</v>
      </c>
      <c r="LI47" s="70">
        <v>212.74000000000035</v>
      </c>
      <c r="LJ47" s="70">
        <v>211.99000000000035</v>
      </c>
      <c r="LK47" s="70">
        <v>211.24000000000035</v>
      </c>
      <c r="LL47" s="70">
        <v>210.49000000000035</v>
      </c>
      <c r="LM47" s="70">
        <v>209.74000000000035</v>
      </c>
      <c r="LN47" s="70">
        <v>208.99000000000035</v>
      </c>
      <c r="LO47" s="70">
        <v>208.24000000000035</v>
      </c>
      <c r="LP47" s="70">
        <v>207.49000000000035</v>
      </c>
      <c r="LQ47" s="70">
        <v>206.74000000000035</v>
      </c>
      <c r="LR47" s="70">
        <v>205.99000000000035</v>
      </c>
      <c r="LS47" s="70">
        <v>205.24000000000035</v>
      </c>
      <c r="LT47" s="70">
        <v>204.49000000000035</v>
      </c>
      <c r="LU47" s="70">
        <v>203.74000000000035</v>
      </c>
      <c r="LV47" s="70">
        <v>202.99000000000035</v>
      </c>
      <c r="LW47" s="70">
        <v>202.24000000000035</v>
      </c>
      <c r="LX47" s="70">
        <v>201.49000000000035</v>
      </c>
      <c r="LY47" s="70">
        <v>200.74000000000035</v>
      </c>
      <c r="LZ47" s="70">
        <v>199.99000000000035</v>
      </c>
      <c r="MA47" s="70">
        <v>199.24000000000035</v>
      </c>
      <c r="MB47" s="70">
        <v>198.49000000000035</v>
      </c>
      <c r="MC47" s="70">
        <v>197.74000000000035</v>
      </c>
      <c r="MD47" s="70">
        <v>196.99000000000035</v>
      </c>
      <c r="ME47" s="70">
        <v>196.24000000000035</v>
      </c>
      <c r="MF47" s="70">
        <v>195.49000000000035</v>
      </c>
      <c r="MG47" s="70">
        <v>194.74000000000035</v>
      </c>
      <c r="MH47" s="70">
        <v>193.99000000000035</v>
      </c>
      <c r="MI47" s="70">
        <v>193.24000000000035</v>
      </c>
      <c r="MJ47" s="70">
        <v>192.49000000000035</v>
      </c>
      <c r="MK47" s="70">
        <v>191.74000000000035</v>
      </c>
      <c r="ML47" s="70">
        <v>190.99000000000035</v>
      </c>
      <c r="MM47" s="70">
        <v>190.24000000000035</v>
      </c>
      <c r="MN47" s="70">
        <v>189.49000000000035</v>
      </c>
      <c r="MO47" s="70">
        <v>188.74000000000035</v>
      </c>
      <c r="MP47" s="70">
        <v>187.99000000000035</v>
      </c>
      <c r="MQ47" s="70">
        <v>187.24000000000035</v>
      </c>
      <c r="MR47" s="70">
        <v>186.49000000000035</v>
      </c>
      <c r="MS47" s="70">
        <v>185.74000000000035</v>
      </c>
      <c r="MT47" s="70">
        <v>184.99000000000035</v>
      </c>
      <c r="MU47" s="70">
        <v>184.24000000000035</v>
      </c>
      <c r="MV47" s="70">
        <v>183.49000000000035</v>
      </c>
      <c r="MW47" s="70">
        <v>182.74000000000035</v>
      </c>
      <c r="MX47" s="70">
        <v>181.99000000000035</v>
      </c>
      <c r="MY47" s="70">
        <v>181.24000000000035</v>
      </c>
    </row>
    <row r="48" spans="1:363" ht="15.6" x14ac:dyDescent="0.3">
      <c r="A48" s="67" t="s">
        <v>7</v>
      </c>
      <c r="B48" s="72">
        <v>2058</v>
      </c>
      <c r="C48" s="70">
        <v>512.53</v>
      </c>
      <c r="D48" s="70">
        <v>511.51</v>
      </c>
      <c r="E48" s="70">
        <v>510.48</v>
      </c>
      <c r="F48" s="70">
        <v>509.46</v>
      </c>
      <c r="G48" s="70">
        <v>508.43</v>
      </c>
      <c r="H48" s="70">
        <v>507.4</v>
      </c>
      <c r="I48" s="70">
        <v>506.38</v>
      </c>
      <c r="J48" s="70">
        <v>505.35</v>
      </c>
      <c r="K48" s="70">
        <v>504.33</v>
      </c>
      <c r="L48" s="70">
        <v>503.3</v>
      </c>
      <c r="M48" s="70">
        <v>502.27</v>
      </c>
      <c r="N48" s="70">
        <v>501.25</v>
      </c>
      <c r="O48" s="70">
        <v>500.22</v>
      </c>
      <c r="P48" s="70">
        <v>499.2</v>
      </c>
      <c r="Q48" s="70">
        <v>498.17</v>
      </c>
      <c r="R48" s="70">
        <v>497.15</v>
      </c>
      <c r="S48" s="70">
        <v>496.12</v>
      </c>
      <c r="T48" s="70">
        <v>495.09</v>
      </c>
      <c r="U48" s="70">
        <v>494.07</v>
      </c>
      <c r="V48" s="70">
        <v>493.04</v>
      </c>
      <c r="W48" s="70">
        <v>492.02</v>
      </c>
      <c r="X48" s="70">
        <v>490.99</v>
      </c>
      <c r="Y48" s="70">
        <v>489.97</v>
      </c>
      <c r="Z48" s="70">
        <v>488.94</v>
      </c>
      <c r="AA48" s="70">
        <v>487.91</v>
      </c>
      <c r="AB48" s="70">
        <v>486.89</v>
      </c>
      <c r="AC48" s="70">
        <v>485.86</v>
      </c>
      <c r="AD48" s="70">
        <v>484.84</v>
      </c>
      <c r="AE48" s="70">
        <v>483.81</v>
      </c>
      <c r="AF48" s="70">
        <v>482.79</v>
      </c>
      <c r="AG48" s="70">
        <v>481.76</v>
      </c>
      <c r="AH48" s="70">
        <v>480.73</v>
      </c>
      <c r="AI48" s="70">
        <v>479.71</v>
      </c>
      <c r="AJ48" s="70">
        <v>478.68</v>
      </c>
      <c r="AK48" s="70">
        <v>477.66</v>
      </c>
      <c r="AL48" s="70">
        <v>476.63</v>
      </c>
      <c r="AM48" s="70">
        <v>475.61</v>
      </c>
      <c r="AN48" s="70">
        <v>474.58</v>
      </c>
      <c r="AO48" s="70">
        <v>473.56</v>
      </c>
      <c r="AP48" s="70">
        <v>472.53</v>
      </c>
      <c r="AQ48" s="70">
        <v>471.51</v>
      </c>
      <c r="AR48" s="70">
        <v>470.48</v>
      </c>
      <c r="AS48" s="70">
        <v>469.46</v>
      </c>
      <c r="AT48" s="70">
        <v>468.44</v>
      </c>
      <c r="AU48" s="70">
        <v>467.41</v>
      </c>
      <c r="AV48" s="70">
        <v>466.39</v>
      </c>
      <c r="AW48" s="70">
        <v>465.36</v>
      </c>
      <c r="AX48" s="70">
        <v>464.34</v>
      </c>
      <c r="AY48" s="70">
        <v>463.31</v>
      </c>
      <c r="AZ48" s="70">
        <v>462.29</v>
      </c>
      <c r="BA48" s="70">
        <v>461.27</v>
      </c>
      <c r="BB48" s="70">
        <v>460.24</v>
      </c>
      <c r="BC48" s="70">
        <v>459.22</v>
      </c>
      <c r="BD48" s="70">
        <v>458.2</v>
      </c>
      <c r="BE48" s="70">
        <v>457.17</v>
      </c>
      <c r="BF48" s="70">
        <v>456.15</v>
      </c>
      <c r="BG48" s="70">
        <v>455.13</v>
      </c>
      <c r="BH48" s="70">
        <v>454.1</v>
      </c>
      <c r="BI48" s="70">
        <v>453.08</v>
      </c>
      <c r="BJ48" s="70">
        <v>452.06</v>
      </c>
      <c r="BK48" s="70">
        <v>451.04</v>
      </c>
      <c r="BL48" s="70">
        <v>450.01</v>
      </c>
      <c r="BM48" s="70">
        <v>448.99</v>
      </c>
      <c r="BN48" s="70">
        <v>447.97</v>
      </c>
      <c r="BO48" s="70">
        <v>446.95</v>
      </c>
      <c r="BP48" s="70">
        <v>445.93</v>
      </c>
      <c r="BQ48" s="70">
        <v>444.91</v>
      </c>
      <c r="BR48" s="70">
        <v>443.89</v>
      </c>
      <c r="BS48" s="70">
        <v>442.87</v>
      </c>
      <c r="BT48" s="70">
        <v>441.85</v>
      </c>
      <c r="BU48" s="70">
        <v>440.83</v>
      </c>
      <c r="BV48" s="70">
        <v>439.81</v>
      </c>
      <c r="BW48" s="70">
        <v>438.79</v>
      </c>
      <c r="BX48" s="70">
        <v>437.77</v>
      </c>
      <c r="BY48" s="70">
        <v>436.75</v>
      </c>
      <c r="BZ48" s="70">
        <v>435.74</v>
      </c>
      <c r="CA48" s="70">
        <v>434.72</v>
      </c>
      <c r="CB48" s="70">
        <v>433.7</v>
      </c>
      <c r="CC48" s="70">
        <v>432.69</v>
      </c>
      <c r="CD48" s="70">
        <v>431.67</v>
      </c>
      <c r="CE48" s="70">
        <v>430.65</v>
      </c>
      <c r="CF48" s="70">
        <v>429.63</v>
      </c>
      <c r="CG48" s="70">
        <v>428.62</v>
      </c>
      <c r="CH48" s="70">
        <v>427.6</v>
      </c>
      <c r="CI48" s="70">
        <v>426.58</v>
      </c>
      <c r="CJ48" s="70">
        <v>425.57</v>
      </c>
      <c r="CK48" s="70">
        <v>424.56</v>
      </c>
      <c r="CL48" s="70">
        <v>423.55</v>
      </c>
      <c r="CM48" s="70">
        <v>422.54</v>
      </c>
      <c r="CN48" s="70">
        <v>421.52</v>
      </c>
      <c r="CO48" s="70">
        <v>420.51</v>
      </c>
      <c r="CP48" s="70">
        <v>419.5</v>
      </c>
      <c r="CQ48" s="70">
        <v>418.49</v>
      </c>
      <c r="CR48" s="70">
        <v>417.48</v>
      </c>
      <c r="CS48" s="70">
        <v>416.47</v>
      </c>
      <c r="CT48" s="70">
        <v>415.46</v>
      </c>
      <c r="CU48" s="70">
        <v>414.44</v>
      </c>
      <c r="CV48" s="70">
        <v>413.44</v>
      </c>
      <c r="CW48" s="70">
        <v>412.43</v>
      </c>
      <c r="CX48" s="70">
        <v>411.43</v>
      </c>
      <c r="CY48" s="70">
        <v>410.42</v>
      </c>
      <c r="CZ48" s="70">
        <v>409.42</v>
      </c>
      <c r="DA48" s="70">
        <v>408.41</v>
      </c>
      <c r="DB48" s="70">
        <v>407.4</v>
      </c>
      <c r="DC48" s="70">
        <v>406.4</v>
      </c>
      <c r="DD48" s="70">
        <v>405.39</v>
      </c>
      <c r="DE48" s="70">
        <v>404.39</v>
      </c>
      <c r="DF48" s="70">
        <v>403.39</v>
      </c>
      <c r="DG48" s="70">
        <v>402.38</v>
      </c>
      <c r="DH48" s="70">
        <v>401.38</v>
      </c>
      <c r="DI48" s="70">
        <v>400.38</v>
      </c>
      <c r="DJ48" s="70">
        <v>399.38</v>
      </c>
      <c r="DK48" s="70">
        <v>398.39</v>
      </c>
      <c r="DL48" s="70">
        <v>397.39</v>
      </c>
      <c r="DM48" s="70">
        <v>396.39</v>
      </c>
      <c r="DN48" s="70">
        <v>395.39</v>
      </c>
      <c r="DO48" s="70">
        <v>394.4</v>
      </c>
      <c r="DP48" s="70">
        <v>393.4</v>
      </c>
      <c r="DQ48" s="70">
        <v>392.4</v>
      </c>
      <c r="DR48" s="70">
        <v>391.41</v>
      </c>
      <c r="DS48" s="70">
        <v>390.41</v>
      </c>
      <c r="DT48" s="70">
        <v>389.42</v>
      </c>
      <c r="DU48" s="70">
        <v>388.43</v>
      </c>
      <c r="DV48" s="70">
        <v>387.44</v>
      </c>
      <c r="DW48" s="70">
        <v>386.45</v>
      </c>
      <c r="DX48" s="70">
        <v>385.47</v>
      </c>
      <c r="DY48" s="70">
        <v>384.48</v>
      </c>
      <c r="DZ48" s="70">
        <v>383.49</v>
      </c>
      <c r="EA48" s="70">
        <v>382.5</v>
      </c>
      <c r="EB48" s="70">
        <v>381.52</v>
      </c>
      <c r="EC48" s="70">
        <v>380.53</v>
      </c>
      <c r="ED48" s="70">
        <v>379.55</v>
      </c>
      <c r="EE48" s="70">
        <v>378.56</v>
      </c>
      <c r="EF48" s="70">
        <v>377.58</v>
      </c>
      <c r="EG48" s="70">
        <v>376.61</v>
      </c>
      <c r="EH48" s="70">
        <v>375.63</v>
      </c>
      <c r="EI48" s="70">
        <v>374.66</v>
      </c>
      <c r="EJ48" s="70">
        <v>373.68</v>
      </c>
      <c r="EK48" s="70">
        <v>372.71</v>
      </c>
      <c r="EL48" s="70">
        <v>371.73</v>
      </c>
      <c r="EM48" s="70">
        <v>370.76</v>
      </c>
      <c r="EN48" s="70">
        <v>369.79</v>
      </c>
      <c r="EO48" s="70">
        <v>368.82</v>
      </c>
      <c r="EP48" s="70">
        <v>367.84</v>
      </c>
      <c r="EQ48" s="70">
        <v>366.87</v>
      </c>
      <c r="ER48" s="70">
        <v>365.91</v>
      </c>
      <c r="ES48" s="70">
        <v>364.94</v>
      </c>
      <c r="ET48" s="70">
        <v>363.98</v>
      </c>
      <c r="EU48" s="70">
        <v>363.01</v>
      </c>
      <c r="EV48" s="70">
        <v>362.05</v>
      </c>
      <c r="EW48" s="70">
        <v>361.08</v>
      </c>
      <c r="EX48" s="70">
        <v>360.12</v>
      </c>
      <c r="EY48" s="70">
        <v>359.16</v>
      </c>
      <c r="EZ48" s="70">
        <v>358.2</v>
      </c>
      <c r="FA48" s="70">
        <v>357.23</v>
      </c>
      <c r="FB48" s="70">
        <v>356.27</v>
      </c>
      <c r="FC48" s="70">
        <v>355.31</v>
      </c>
      <c r="FD48" s="70">
        <v>354.35</v>
      </c>
      <c r="FE48" s="70">
        <v>353.4</v>
      </c>
      <c r="FF48" s="70">
        <v>352.44</v>
      </c>
      <c r="FG48" s="70">
        <v>351.48</v>
      </c>
      <c r="FH48" s="70">
        <v>350.52</v>
      </c>
      <c r="FI48" s="70">
        <v>349.57</v>
      </c>
      <c r="FJ48" s="70">
        <v>348.61</v>
      </c>
      <c r="FK48" s="70">
        <v>347.66</v>
      </c>
      <c r="FL48" s="70">
        <v>346.7</v>
      </c>
      <c r="FM48" s="70">
        <v>345.75</v>
      </c>
      <c r="FN48" s="70">
        <v>344.8</v>
      </c>
      <c r="FO48" s="70">
        <v>343.84</v>
      </c>
      <c r="FP48" s="70">
        <v>342.89</v>
      </c>
      <c r="FQ48" s="70">
        <v>341.94</v>
      </c>
      <c r="FR48" s="70">
        <v>340.99</v>
      </c>
      <c r="FS48" s="70">
        <v>340.04</v>
      </c>
      <c r="FT48" s="70">
        <v>339.09</v>
      </c>
      <c r="FU48" s="70">
        <v>338.15</v>
      </c>
      <c r="FV48" s="70">
        <v>337.2</v>
      </c>
      <c r="FW48" s="70">
        <v>336.25</v>
      </c>
      <c r="FX48" s="70">
        <v>335.31</v>
      </c>
      <c r="FY48" s="70">
        <v>334.36</v>
      </c>
      <c r="FZ48" s="70">
        <v>333.42</v>
      </c>
      <c r="GA48" s="70">
        <v>332.47</v>
      </c>
      <c r="GB48" s="70">
        <v>331.53</v>
      </c>
      <c r="GC48" s="70">
        <v>330.59</v>
      </c>
      <c r="GD48" s="70">
        <v>329.65</v>
      </c>
      <c r="GE48" s="70">
        <v>328.71</v>
      </c>
      <c r="GF48" s="70">
        <v>327.77</v>
      </c>
      <c r="GG48" s="70">
        <v>326.82</v>
      </c>
      <c r="GH48" s="70">
        <v>325.89</v>
      </c>
      <c r="GI48" s="70">
        <v>324.95999999999998</v>
      </c>
      <c r="GJ48" s="70">
        <v>324.01</v>
      </c>
      <c r="GK48" s="70">
        <v>323.08999999999997</v>
      </c>
      <c r="GL48" s="70">
        <v>322.14999999999998</v>
      </c>
      <c r="GM48" s="70">
        <v>321.22000000000003</v>
      </c>
      <c r="GN48" s="70">
        <v>320.29000000000002</v>
      </c>
      <c r="GO48" s="70">
        <v>319.35000000000002</v>
      </c>
      <c r="GP48" s="70">
        <v>318.43</v>
      </c>
      <c r="GQ48" s="70">
        <v>317.5</v>
      </c>
      <c r="GR48" s="70">
        <v>316.57</v>
      </c>
      <c r="GS48" s="70">
        <v>315.64999999999998</v>
      </c>
      <c r="GT48" s="70">
        <v>314.72000000000003</v>
      </c>
      <c r="GU48" s="70">
        <v>313.79000000000002</v>
      </c>
      <c r="GV48" s="70">
        <v>312.87</v>
      </c>
      <c r="GW48" s="70">
        <v>311.95</v>
      </c>
      <c r="GX48" s="70">
        <v>311.02999999999997</v>
      </c>
      <c r="GY48" s="70">
        <v>310.10000000000002</v>
      </c>
      <c r="GZ48" s="70">
        <v>309.19</v>
      </c>
      <c r="HA48" s="70">
        <v>308.26</v>
      </c>
      <c r="HB48" s="70">
        <v>307.35000000000002</v>
      </c>
      <c r="HC48" s="70">
        <v>306.44</v>
      </c>
      <c r="HD48" s="70">
        <v>305.51</v>
      </c>
      <c r="HE48" s="70">
        <v>304.60000000000002</v>
      </c>
      <c r="HF48" s="70">
        <v>303.7</v>
      </c>
      <c r="HG48" s="70">
        <v>302.77999999999997</v>
      </c>
      <c r="HH48" s="70">
        <v>301.87</v>
      </c>
      <c r="HI48" s="70">
        <v>300.95999999999998</v>
      </c>
      <c r="HJ48" s="70">
        <v>300.04000000000002</v>
      </c>
      <c r="HK48" s="70">
        <v>299.14999999999998</v>
      </c>
      <c r="HL48" s="70">
        <v>298.24</v>
      </c>
      <c r="HM48" s="70">
        <v>297.33999999999997</v>
      </c>
      <c r="HN48" s="70">
        <v>296.43</v>
      </c>
      <c r="HO48" s="70">
        <v>295.52999999999997</v>
      </c>
      <c r="HP48" s="70">
        <v>294.63</v>
      </c>
      <c r="HQ48" s="70">
        <v>293.73</v>
      </c>
      <c r="HR48" s="70">
        <v>292.82</v>
      </c>
      <c r="HS48" s="70">
        <v>291.94</v>
      </c>
      <c r="HT48" s="70">
        <v>291.04000000000002</v>
      </c>
      <c r="HU48" s="70">
        <v>290.14</v>
      </c>
      <c r="HV48" s="70">
        <v>289.25</v>
      </c>
      <c r="HW48" s="70">
        <v>288.35000000000002</v>
      </c>
      <c r="HX48" s="70">
        <v>287.45999999999998</v>
      </c>
      <c r="HY48" s="70">
        <v>286.57</v>
      </c>
      <c r="HZ48" s="70">
        <v>285.68</v>
      </c>
      <c r="IA48" s="70">
        <v>284.79000000000002</v>
      </c>
      <c r="IB48" s="70">
        <v>283.89999999999998</v>
      </c>
      <c r="IC48" s="70">
        <v>283.01</v>
      </c>
      <c r="ID48" s="70">
        <v>282.13</v>
      </c>
      <c r="IE48" s="70">
        <v>281.24</v>
      </c>
      <c r="IF48" s="70">
        <v>280.35000000000002</v>
      </c>
      <c r="IG48" s="70">
        <v>279.48</v>
      </c>
      <c r="IH48" s="70">
        <v>278.58999999999997</v>
      </c>
      <c r="II48" s="70">
        <v>277.70999999999998</v>
      </c>
      <c r="IJ48" s="70">
        <v>276.82</v>
      </c>
      <c r="IK48" s="70">
        <v>275.95999999999998</v>
      </c>
      <c r="IL48" s="70">
        <v>275.07</v>
      </c>
      <c r="IM48" s="70">
        <v>274.2</v>
      </c>
      <c r="IN48" s="70">
        <v>273.32</v>
      </c>
      <c r="IO48" s="70">
        <v>272.45</v>
      </c>
      <c r="IP48" s="70">
        <v>271.57</v>
      </c>
      <c r="IQ48" s="70">
        <v>270.70999999999998</v>
      </c>
      <c r="IR48" s="70">
        <v>269.83999999999997</v>
      </c>
      <c r="IS48" s="70">
        <v>268.97000000000003</v>
      </c>
      <c r="IT48" s="70">
        <v>268.10000000000002</v>
      </c>
      <c r="IU48" s="70">
        <v>267.23</v>
      </c>
      <c r="IV48" s="70">
        <v>266.37</v>
      </c>
      <c r="IW48" s="70">
        <v>265.5</v>
      </c>
      <c r="IX48" s="70">
        <v>264.64</v>
      </c>
      <c r="IY48" s="70">
        <v>263.77999999999997</v>
      </c>
      <c r="IZ48" s="70">
        <v>262.92</v>
      </c>
      <c r="JA48" s="70">
        <v>262.06</v>
      </c>
      <c r="JB48" s="70">
        <v>261.2</v>
      </c>
      <c r="JC48" s="70">
        <v>260.35000000000002</v>
      </c>
      <c r="JD48" s="70">
        <v>259.49</v>
      </c>
      <c r="JE48" s="70">
        <v>258.64</v>
      </c>
      <c r="JF48" s="70">
        <v>257.77999999999997</v>
      </c>
      <c r="JG48" s="70">
        <v>256.93</v>
      </c>
      <c r="JH48" s="70">
        <v>256.07</v>
      </c>
      <c r="JI48" s="70">
        <v>255.23</v>
      </c>
      <c r="JJ48" s="70">
        <v>254.38</v>
      </c>
      <c r="JK48" s="70">
        <v>253.53</v>
      </c>
      <c r="JL48" s="70">
        <v>252.68</v>
      </c>
      <c r="JM48" s="70">
        <v>251.84</v>
      </c>
      <c r="JN48" s="70">
        <v>250.99</v>
      </c>
      <c r="JO48" s="70">
        <v>250.15</v>
      </c>
      <c r="JP48" s="70">
        <v>249.3</v>
      </c>
      <c r="JQ48" s="70">
        <v>248.46</v>
      </c>
      <c r="JR48" s="70">
        <v>247.62</v>
      </c>
      <c r="JS48" s="70">
        <v>246.78</v>
      </c>
      <c r="JT48" s="70">
        <v>245.94</v>
      </c>
      <c r="JU48" s="70">
        <v>245.1</v>
      </c>
      <c r="JV48" s="70">
        <v>244.26</v>
      </c>
      <c r="JW48" s="70">
        <v>243.43</v>
      </c>
      <c r="JX48" s="70">
        <v>242.59</v>
      </c>
      <c r="JY48" s="70">
        <v>241.76</v>
      </c>
      <c r="JZ48" s="70">
        <v>240.93</v>
      </c>
      <c r="KA48" s="70">
        <v>240.1</v>
      </c>
      <c r="KB48" s="70">
        <v>239.26</v>
      </c>
      <c r="KC48" s="70">
        <v>238.43</v>
      </c>
      <c r="KD48" s="70">
        <v>237.6</v>
      </c>
      <c r="KE48" s="70">
        <v>236.78</v>
      </c>
      <c r="KF48" s="70">
        <v>235.95</v>
      </c>
      <c r="KG48" s="70">
        <v>235.12</v>
      </c>
      <c r="KH48" s="70">
        <v>234.3</v>
      </c>
      <c r="KI48" s="70">
        <v>233.47</v>
      </c>
      <c r="KJ48" s="70">
        <v>232.65</v>
      </c>
      <c r="KK48" s="70">
        <v>231.83</v>
      </c>
      <c r="KL48" s="70">
        <v>231.01</v>
      </c>
      <c r="KM48" s="70">
        <v>230.19</v>
      </c>
      <c r="KN48" s="70">
        <v>229.37</v>
      </c>
      <c r="KO48" s="70">
        <v>228.56</v>
      </c>
      <c r="KP48" s="70">
        <v>227.74</v>
      </c>
      <c r="KQ48" s="70">
        <v>226.93</v>
      </c>
      <c r="KR48" s="70">
        <v>225.95000000000036</v>
      </c>
      <c r="KS48" s="70">
        <v>225.20000000000036</v>
      </c>
      <c r="KT48" s="70">
        <v>224.45000000000036</v>
      </c>
      <c r="KU48" s="70">
        <v>223.70000000000036</v>
      </c>
      <c r="KV48" s="70">
        <v>222.95000000000036</v>
      </c>
      <c r="KW48" s="70">
        <v>222.20000000000036</v>
      </c>
      <c r="KX48" s="70">
        <v>221.45000000000036</v>
      </c>
      <c r="KY48" s="70">
        <v>220.70000000000036</v>
      </c>
      <c r="KZ48" s="70">
        <v>219.95000000000036</v>
      </c>
      <c r="LA48" s="70">
        <v>219.20000000000036</v>
      </c>
      <c r="LB48" s="70">
        <v>218.45000000000036</v>
      </c>
      <c r="LC48" s="70">
        <v>217.70000000000036</v>
      </c>
      <c r="LD48" s="70">
        <v>216.95000000000036</v>
      </c>
      <c r="LE48" s="70">
        <v>216.20000000000036</v>
      </c>
      <c r="LF48" s="70">
        <v>215.45000000000036</v>
      </c>
      <c r="LG48" s="70">
        <v>214.70000000000036</v>
      </c>
      <c r="LH48" s="70">
        <v>213.95000000000036</v>
      </c>
      <c r="LI48" s="70">
        <v>213.20000000000036</v>
      </c>
      <c r="LJ48" s="70">
        <v>212.45000000000036</v>
      </c>
      <c r="LK48" s="70">
        <v>211.70000000000036</v>
      </c>
      <c r="LL48" s="70">
        <v>210.95000000000036</v>
      </c>
      <c r="LM48" s="70">
        <v>210.20000000000036</v>
      </c>
      <c r="LN48" s="70">
        <v>209.45000000000036</v>
      </c>
      <c r="LO48" s="70">
        <v>208.70000000000036</v>
      </c>
      <c r="LP48" s="70">
        <v>207.95000000000036</v>
      </c>
      <c r="LQ48" s="70">
        <v>207.20000000000036</v>
      </c>
      <c r="LR48" s="70">
        <v>206.45000000000036</v>
      </c>
      <c r="LS48" s="70">
        <v>205.70000000000036</v>
      </c>
      <c r="LT48" s="70">
        <v>204.95000000000036</v>
      </c>
      <c r="LU48" s="70">
        <v>204.20000000000036</v>
      </c>
      <c r="LV48" s="70">
        <v>203.45000000000036</v>
      </c>
      <c r="LW48" s="70">
        <v>202.70000000000036</v>
      </c>
      <c r="LX48" s="70">
        <v>201.95000000000036</v>
      </c>
      <c r="LY48" s="70">
        <v>201.20000000000036</v>
      </c>
      <c r="LZ48" s="70">
        <v>200.45000000000036</v>
      </c>
      <c r="MA48" s="70">
        <v>199.70000000000036</v>
      </c>
      <c r="MB48" s="70">
        <v>198.95000000000036</v>
      </c>
      <c r="MC48" s="70">
        <v>198.20000000000036</v>
      </c>
      <c r="MD48" s="70">
        <v>197.45000000000036</v>
      </c>
      <c r="ME48" s="70">
        <v>196.70000000000036</v>
      </c>
      <c r="MF48" s="70">
        <v>195.95000000000036</v>
      </c>
      <c r="MG48" s="70">
        <v>195.20000000000036</v>
      </c>
      <c r="MH48" s="70">
        <v>194.45000000000036</v>
      </c>
      <c r="MI48" s="70">
        <v>193.70000000000036</v>
      </c>
      <c r="MJ48" s="70">
        <v>192.95000000000036</v>
      </c>
      <c r="MK48" s="70">
        <v>192.20000000000036</v>
      </c>
      <c r="ML48" s="70">
        <v>191.45000000000036</v>
      </c>
      <c r="MM48" s="70">
        <v>190.70000000000036</v>
      </c>
      <c r="MN48" s="70">
        <v>189.95000000000036</v>
      </c>
      <c r="MO48" s="70">
        <v>189.20000000000036</v>
      </c>
      <c r="MP48" s="70">
        <v>188.45000000000036</v>
      </c>
      <c r="MQ48" s="70">
        <v>187.70000000000036</v>
      </c>
      <c r="MR48" s="70">
        <v>186.95000000000036</v>
      </c>
      <c r="MS48" s="70">
        <v>186.20000000000036</v>
      </c>
      <c r="MT48" s="70">
        <v>185.45000000000036</v>
      </c>
      <c r="MU48" s="70">
        <v>184.70000000000036</v>
      </c>
      <c r="MV48" s="70">
        <v>183.95000000000036</v>
      </c>
      <c r="MW48" s="70">
        <v>183.20000000000036</v>
      </c>
      <c r="MX48" s="70">
        <v>182.45000000000036</v>
      </c>
      <c r="MY48" s="70">
        <v>181.70000000000036</v>
      </c>
    </row>
    <row r="49" spans="1:363" ht="15.6" x14ac:dyDescent="0.3">
      <c r="A49" s="67" t="s">
        <v>7</v>
      </c>
      <c r="B49" s="72">
        <v>2059</v>
      </c>
      <c r="C49" s="70">
        <v>513.07000000000005</v>
      </c>
      <c r="D49" s="70">
        <v>512.03</v>
      </c>
      <c r="E49" s="70">
        <v>511.02</v>
      </c>
      <c r="F49" s="70">
        <v>509.99</v>
      </c>
      <c r="G49" s="70">
        <v>508.97</v>
      </c>
      <c r="H49" s="70">
        <v>507.94</v>
      </c>
      <c r="I49" s="70">
        <v>506.91</v>
      </c>
      <c r="J49" s="70">
        <v>505.89</v>
      </c>
      <c r="K49" s="70">
        <v>504.86</v>
      </c>
      <c r="L49" s="70">
        <v>503.84</v>
      </c>
      <c r="M49" s="70">
        <v>502.81</v>
      </c>
      <c r="N49" s="70">
        <v>501.78</v>
      </c>
      <c r="O49" s="70">
        <v>500.76</v>
      </c>
      <c r="P49" s="70">
        <v>499.73</v>
      </c>
      <c r="Q49" s="70">
        <v>498.71</v>
      </c>
      <c r="R49" s="70">
        <v>497.68</v>
      </c>
      <c r="S49" s="70">
        <v>496.65</v>
      </c>
      <c r="T49" s="70">
        <v>495.63</v>
      </c>
      <c r="U49" s="70">
        <v>494.6</v>
      </c>
      <c r="V49" s="70">
        <v>493.58</v>
      </c>
      <c r="W49" s="70">
        <v>492.55</v>
      </c>
      <c r="X49" s="70">
        <v>491.52</v>
      </c>
      <c r="Y49" s="70">
        <v>490.5</v>
      </c>
      <c r="Z49" s="70">
        <v>489.47</v>
      </c>
      <c r="AA49" s="70">
        <v>488.45</v>
      </c>
      <c r="AB49" s="70">
        <v>487.42</v>
      </c>
      <c r="AC49" s="70">
        <v>486.39</v>
      </c>
      <c r="AD49" s="70">
        <v>485.37</v>
      </c>
      <c r="AE49" s="70">
        <v>484.34</v>
      </c>
      <c r="AF49" s="70">
        <v>483.32</v>
      </c>
      <c r="AG49" s="70">
        <v>482.29</v>
      </c>
      <c r="AH49" s="70">
        <v>481.27</v>
      </c>
      <c r="AI49" s="70">
        <v>480.24</v>
      </c>
      <c r="AJ49" s="70">
        <v>479.21</v>
      </c>
      <c r="AK49" s="70">
        <v>478.19</v>
      </c>
      <c r="AL49" s="70">
        <v>477.16</v>
      </c>
      <c r="AM49" s="70">
        <v>476.14</v>
      </c>
      <c r="AN49" s="70">
        <v>475.11</v>
      </c>
      <c r="AO49" s="70">
        <v>474.09</v>
      </c>
      <c r="AP49" s="70">
        <v>473.06</v>
      </c>
      <c r="AQ49" s="70">
        <v>472.04</v>
      </c>
      <c r="AR49" s="70">
        <v>471.01</v>
      </c>
      <c r="AS49" s="70">
        <v>469.99</v>
      </c>
      <c r="AT49" s="70">
        <v>468.96</v>
      </c>
      <c r="AU49" s="70">
        <v>467.94</v>
      </c>
      <c r="AV49" s="70">
        <v>466.91</v>
      </c>
      <c r="AW49" s="70">
        <v>465.89</v>
      </c>
      <c r="AX49" s="70">
        <v>464.87</v>
      </c>
      <c r="AY49" s="70">
        <v>463.84</v>
      </c>
      <c r="AZ49" s="70">
        <v>462.82</v>
      </c>
      <c r="BA49" s="70">
        <v>461.79</v>
      </c>
      <c r="BB49" s="70">
        <v>460.77</v>
      </c>
      <c r="BC49" s="70">
        <v>459.75</v>
      </c>
      <c r="BD49" s="70">
        <v>458.72</v>
      </c>
      <c r="BE49" s="70">
        <v>457.7</v>
      </c>
      <c r="BF49" s="70">
        <v>456.68</v>
      </c>
      <c r="BG49" s="70">
        <v>455.65</v>
      </c>
      <c r="BH49" s="70">
        <v>454.63</v>
      </c>
      <c r="BI49" s="70">
        <v>453.61</v>
      </c>
      <c r="BJ49" s="70">
        <v>452.58</v>
      </c>
      <c r="BK49" s="70">
        <v>451.56</v>
      </c>
      <c r="BL49" s="70">
        <v>450.54</v>
      </c>
      <c r="BM49" s="70">
        <v>449.52</v>
      </c>
      <c r="BN49" s="70">
        <v>448.5</v>
      </c>
      <c r="BO49" s="70">
        <v>447.48</v>
      </c>
      <c r="BP49" s="70">
        <v>446.46</v>
      </c>
      <c r="BQ49" s="70">
        <v>445.44</v>
      </c>
      <c r="BR49" s="70">
        <v>444.41</v>
      </c>
      <c r="BS49" s="70">
        <v>443.39</v>
      </c>
      <c r="BT49" s="70">
        <v>442.37</v>
      </c>
      <c r="BU49" s="70">
        <v>441.35</v>
      </c>
      <c r="BV49" s="70">
        <v>440.33</v>
      </c>
      <c r="BW49" s="70">
        <v>439.31</v>
      </c>
      <c r="BX49" s="70">
        <v>438.29</v>
      </c>
      <c r="BY49" s="70">
        <v>437.28</v>
      </c>
      <c r="BZ49" s="70">
        <v>436.26</v>
      </c>
      <c r="CA49" s="70">
        <v>435.24</v>
      </c>
      <c r="CB49" s="70">
        <v>434.22</v>
      </c>
      <c r="CC49" s="70">
        <v>433.21</v>
      </c>
      <c r="CD49" s="70">
        <v>432.19</v>
      </c>
      <c r="CE49" s="70">
        <v>431.17</v>
      </c>
      <c r="CF49" s="70">
        <v>430.15</v>
      </c>
      <c r="CG49" s="70">
        <v>429.14</v>
      </c>
      <c r="CH49" s="70">
        <v>428.12</v>
      </c>
      <c r="CI49" s="70">
        <v>427.1</v>
      </c>
      <c r="CJ49" s="70">
        <v>426.09</v>
      </c>
      <c r="CK49" s="70">
        <v>425.08</v>
      </c>
      <c r="CL49" s="70">
        <v>424.07</v>
      </c>
      <c r="CM49" s="70">
        <v>423.05</v>
      </c>
      <c r="CN49" s="70">
        <v>422.04</v>
      </c>
      <c r="CO49" s="70">
        <v>421.03</v>
      </c>
      <c r="CP49" s="70">
        <v>420.02</v>
      </c>
      <c r="CQ49" s="70">
        <v>419.01</v>
      </c>
      <c r="CR49" s="70">
        <v>417.99</v>
      </c>
      <c r="CS49" s="70">
        <v>416.98</v>
      </c>
      <c r="CT49" s="70">
        <v>415.97</v>
      </c>
      <c r="CU49" s="70">
        <v>414.96</v>
      </c>
      <c r="CV49" s="70">
        <v>413.95</v>
      </c>
      <c r="CW49" s="70">
        <v>412.95</v>
      </c>
      <c r="CX49" s="70">
        <v>411.94</v>
      </c>
      <c r="CY49" s="70">
        <v>410.94</v>
      </c>
      <c r="CZ49" s="70">
        <v>409.93</v>
      </c>
      <c r="DA49" s="70">
        <v>408.92</v>
      </c>
      <c r="DB49" s="70">
        <v>407.92</v>
      </c>
      <c r="DC49" s="70">
        <v>406.91</v>
      </c>
      <c r="DD49" s="70">
        <v>405.91</v>
      </c>
      <c r="DE49" s="70">
        <v>404.9</v>
      </c>
      <c r="DF49" s="70">
        <v>403.9</v>
      </c>
      <c r="DG49" s="70">
        <v>402.89</v>
      </c>
      <c r="DH49" s="70">
        <v>401.89</v>
      </c>
      <c r="DI49" s="70">
        <v>400.89</v>
      </c>
      <c r="DJ49" s="70">
        <v>399.9</v>
      </c>
      <c r="DK49" s="70">
        <v>398.9</v>
      </c>
      <c r="DL49" s="70">
        <v>397.9</v>
      </c>
      <c r="DM49" s="70">
        <v>396.9</v>
      </c>
      <c r="DN49" s="70">
        <v>395.9</v>
      </c>
      <c r="DO49" s="70">
        <v>394.91</v>
      </c>
      <c r="DP49" s="70">
        <v>393.91</v>
      </c>
      <c r="DQ49" s="70">
        <v>392.91</v>
      </c>
      <c r="DR49" s="70">
        <v>391.91</v>
      </c>
      <c r="DS49" s="70">
        <v>390.92</v>
      </c>
      <c r="DT49" s="70">
        <v>389.93</v>
      </c>
      <c r="DU49" s="70">
        <v>388.94</v>
      </c>
      <c r="DV49" s="70">
        <v>387.95</v>
      </c>
      <c r="DW49" s="70">
        <v>386.96</v>
      </c>
      <c r="DX49" s="70">
        <v>385.97</v>
      </c>
      <c r="DY49" s="70">
        <v>384.99</v>
      </c>
      <c r="DZ49" s="70">
        <v>384</v>
      </c>
      <c r="EA49" s="70">
        <v>383.01</v>
      </c>
      <c r="EB49" s="70">
        <v>382.02</v>
      </c>
      <c r="EC49" s="70">
        <v>381.04</v>
      </c>
      <c r="ED49" s="70">
        <v>380.05</v>
      </c>
      <c r="EE49" s="70">
        <v>379.07</v>
      </c>
      <c r="EF49" s="70">
        <v>378.09</v>
      </c>
      <c r="EG49" s="70">
        <v>377.11</v>
      </c>
      <c r="EH49" s="70">
        <v>376.14</v>
      </c>
      <c r="EI49" s="70">
        <v>375.16</v>
      </c>
      <c r="EJ49" s="70">
        <v>374.19</v>
      </c>
      <c r="EK49" s="70">
        <v>373.21</v>
      </c>
      <c r="EL49" s="70">
        <v>372.24</v>
      </c>
      <c r="EM49" s="70">
        <v>371.26</v>
      </c>
      <c r="EN49" s="70">
        <v>370.29</v>
      </c>
      <c r="EO49" s="70">
        <v>369.32</v>
      </c>
      <c r="EP49" s="70">
        <v>368.35</v>
      </c>
      <c r="EQ49" s="70">
        <v>367.37</v>
      </c>
      <c r="ER49" s="70">
        <v>366.41</v>
      </c>
      <c r="ES49" s="70">
        <v>365.44</v>
      </c>
      <c r="ET49" s="70">
        <v>364.48</v>
      </c>
      <c r="EU49" s="70">
        <v>363.51</v>
      </c>
      <c r="EV49" s="70">
        <v>362.55</v>
      </c>
      <c r="EW49" s="70">
        <v>361.58</v>
      </c>
      <c r="EX49" s="70">
        <v>360.62</v>
      </c>
      <c r="EY49" s="70">
        <v>359.66</v>
      </c>
      <c r="EZ49" s="70">
        <v>358.7</v>
      </c>
      <c r="FA49" s="70">
        <v>357.73</v>
      </c>
      <c r="FB49" s="70">
        <v>356.77</v>
      </c>
      <c r="FC49" s="70">
        <v>355.81</v>
      </c>
      <c r="FD49" s="70">
        <v>354.85</v>
      </c>
      <c r="FE49" s="70">
        <v>353.89</v>
      </c>
      <c r="FF49" s="70">
        <v>352.94</v>
      </c>
      <c r="FG49" s="70">
        <v>351.98</v>
      </c>
      <c r="FH49" s="70">
        <v>351.02</v>
      </c>
      <c r="FI49" s="70">
        <v>350.07</v>
      </c>
      <c r="FJ49" s="70">
        <v>349.11</v>
      </c>
      <c r="FK49" s="70">
        <v>348.15</v>
      </c>
      <c r="FL49" s="70">
        <v>347.2</v>
      </c>
      <c r="FM49" s="70">
        <v>346.25</v>
      </c>
      <c r="FN49" s="70">
        <v>345.29</v>
      </c>
      <c r="FO49" s="70">
        <v>344.34</v>
      </c>
      <c r="FP49" s="70">
        <v>343.39</v>
      </c>
      <c r="FQ49" s="70">
        <v>342.44</v>
      </c>
      <c r="FR49" s="70">
        <v>341.49</v>
      </c>
      <c r="FS49" s="70">
        <v>340.54</v>
      </c>
      <c r="FT49" s="70">
        <v>339.59</v>
      </c>
      <c r="FU49" s="70">
        <v>338.64</v>
      </c>
      <c r="FV49" s="70">
        <v>337.69</v>
      </c>
      <c r="FW49" s="70">
        <v>336.75</v>
      </c>
      <c r="FX49" s="70">
        <v>335.8</v>
      </c>
      <c r="FY49" s="70">
        <v>334.86</v>
      </c>
      <c r="FZ49" s="70">
        <v>333.91</v>
      </c>
      <c r="GA49" s="70">
        <v>332.97</v>
      </c>
      <c r="GB49" s="70">
        <v>332.03</v>
      </c>
      <c r="GC49" s="70">
        <v>331.08</v>
      </c>
      <c r="GD49" s="70">
        <v>330.14</v>
      </c>
      <c r="GE49" s="70">
        <v>329.2</v>
      </c>
      <c r="GF49" s="70">
        <v>328.26</v>
      </c>
      <c r="GG49" s="70">
        <v>327.32</v>
      </c>
      <c r="GH49" s="70">
        <v>326.39</v>
      </c>
      <c r="GI49" s="70">
        <v>325.45</v>
      </c>
      <c r="GJ49" s="70">
        <v>324.51</v>
      </c>
      <c r="GK49" s="70">
        <v>323.57</v>
      </c>
      <c r="GL49" s="70">
        <v>322.64999999999998</v>
      </c>
      <c r="GM49" s="70">
        <v>321.70999999999998</v>
      </c>
      <c r="GN49" s="70">
        <v>320.77999999999997</v>
      </c>
      <c r="GO49" s="70">
        <v>319.85000000000002</v>
      </c>
      <c r="GP49" s="70">
        <v>318.92</v>
      </c>
      <c r="GQ49" s="70">
        <v>317.99</v>
      </c>
      <c r="GR49" s="70">
        <v>317.06</v>
      </c>
      <c r="GS49" s="70">
        <v>316.14</v>
      </c>
      <c r="GT49" s="70">
        <v>315.20999999999998</v>
      </c>
      <c r="GU49" s="70">
        <v>314.29000000000002</v>
      </c>
      <c r="GV49" s="70">
        <v>313.35000000000002</v>
      </c>
      <c r="GW49" s="70">
        <v>312.44</v>
      </c>
      <c r="GX49" s="70">
        <v>311.51</v>
      </c>
      <c r="GY49" s="70">
        <v>310.60000000000002</v>
      </c>
      <c r="GZ49" s="70">
        <v>309.68</v>
      </c>
      <c r="HA49" s="70">
        <v>308.76</v>
      </c>
      <c r="HB49" s="70">
        <v>307.83999999999997</v>
      </c>
      <c r="HC49" s="70">
        <v>306.93</v>
      </c>
      <c r="HD49" s="70">
        <v>306.01</v>
      </c>
      <c r="HE49" s="70">
        <v>305.10000000000002</v>
      </c>
      <c r="HF49" s="70">
        <v>304.18</v>
      </c>
      <c r="HG49" s="70">
        <v>303.26</v>
      </c>
      <c r="HH49" s="70">
        <v>302.35000000000002</v>
      </c>
      <c r="HI49" s="70">
        <v>301.45</v>
      </c>
      <c r="HJ49" s="70">
        <v>300.54000000000002</v>
      </c>
      <c r="HK49" s="70">
        <v>299.63</v>
      </c>
      <c r="HL49" s="70">
        <v>298.73</v>
      </c>
      <c r="HM49" s="70">
        <v>297.82</v>
      </c>
      <c r="HN49" s="70">
        <v>296.92</v>
      </c>
      <c r="HO49" s="70">
        <v>296.01</v>
      </c>
      <c r="HP49" s="70">
        <v>295.10000000000002</v>
      </c>
      <c r="HQ49" s="70">
        <v>294.20999999999998</v>
      </c>
      <c r="HR49" s="70">
        <v>293.31</v>
      </c>
      <c r="HS49" s="70">
        <v>292.42</v>
      </c>
      <c r="HT49" s="70">
        <v>291.51</v>
      </c>
      <c r="HU49" s="70">
        <v>290.62</v>
      </c>
      <c r="HV49" s="70">
        <v>289.73</v>
      </c>
      <c r="HW49" s="70">
        <v>288.82</v>
      </c>
      <c r="HX49" s="70">
        <v>287.94</v>
      </c>
      <c r="HY49" s="70">
        <v>287.04000000000002</v>
      </c>
      <c r="HZ49" s="70">
        <v>286.16000000000003</v>
      </c>
      <c r="IA49" s="70">
        <v>285.26</v>
      </c>
      <c r="IB49" s="70">
        <v>284.38</v>
      </c>
      <c r="IC49" s="70">
        <v>283.49</v>
      </c>
      <c r="ID49" s="70">
        <v>282.60000000000002</v>
      </c>
      <c r="IE49" s="70">
        <v>281.72000000000003</v>
      </c>
      <c r="IF49" s="70">
        <v>280.83999999999997</v>
      </c>
      <c r="IG49" s="70">
        <v>279.95</v>
      </c>
      <c r="IH49" s="70">
        <v>279.07</v>
      </c>
      <c r="II49" s="70">
        <v>278.19</v>
      </c>
      <c r="IJ49" s="70">
        <v>277.31</v>
      </c>
      <c r="IK49" s="70">
        <v>276.43</v>
      </c>
      <c r="IL49" s="70">
        <v>275.54000000000002</v>
      </c>
      <c r="IM49" s="70">
        <v>274.67</v>
      </c>
      <c r="IN49" s="70">
        <v>273.79000000000002</v>
      </c>
      <c r="IO49" s="70">
        <v>272.92</v>
      </c>
      <c r="IP49" s="70">
        <v>272.04000000000002</v>
      </c>
      <c r="IQ49" s="70">
        <v>271.18</v>
      </c>
      <c r="IR49" s="70">
        <v>270.31</v>
      </c>
      <c r="IS49" s="70">
        <v>269.44</v>
      </c>
      <c r="IT49" s="70">
        <v>268.57</v>
      </c>
      <c r="IU49" s="70">
        <v>267.7</v>
      </c>
      <c r="IV49" s="70">
        <v>266.83999999999997</v>
      </c>
      <c r="IW49" s="70">
        <v>265.97000000000003</v>
      </c>
      <c r="IX49" s="70">
        <v>265.10000000000002</v>
      </c>
      <c r="IY49" s="70">
        <v>264.25</v>
      </c>
      <c r="IZ49" s="70">
        <v>263.39</v>
      </c>
      <c r="JA49" s="70">
        <v>262.52999999999997</v>
      </c>
      <c r="JB49" s="70">
        <v>261.67</v>
      </c>
      <c r="JC49" s="70">
        <v>260.81</v>
      </c>
      <c r="JD49" s="70">
        <v>259.95</v>
      </c>
      <c r="JE49" s="70">
        <v>259.10000000000002</v>
      </c>
      <c r="JF49" s="70">
        <v>258.24</v>
      </c>
      <c r="JG49" s="70">
        <v>257.39</v>
      </c>
      <c r="JH49" s="70">
        <v>256.54000000000002</v>
      </c>
      <c r="JI49" s="70">
        <v>255.69</v>
      </c>
      <c r="JJ49" s="70">
        <v>254.84</v>
      </c>
      <c r="JK49" s="70">
        <v>253.99</v>
      </c>
      <c r="JL49" s="70">
        <v>253.14</v>
      </c>
      <c r="JM49" s="70">
        <v>252.3</v>
      </c>
      <c r="JN49" s="70">
        <v>251.45</v>
      </c>
      <c r="JO49" s="70">
        <v>250.6</v>
      </c>
      <c r="JP49" s="70">
        <v>249.76</v>
      </c>
      <c r="JQ49" s="70">
        <v>248.92</v>
      </c>
      <c r="JR49" s="70">
        <v>248.08</v>
      </c>
      <c r="JS49" s="70">
        <v>247.23</v>
      </c>
      <c r="JT49" s="70">
        <v>246.4</v>
      </c>
      <c r="JU49" s="70">
        <v>245.56</v>
      </c>
      <c r="JV49" s="70">
        <v>244.72</v>
      </c>
      <c r="JW49" s="70">
        <v>243.88</v>
      </c>
      <c r="JX49" s="70">
        <v>243.05</v>
      </c>
      <c r="JY49" s="70">
        <v>242.21</v>
      </c>
      <c r="JZ49" s="70">
        <v>241.38</v>
      </c>
      <c r="KA49" s="70">
        <v>240.55</v>
      </c>
      <c r="KB49" s="70">
        <v>239.72</v>
      </c>
      <c r="KC49" s="70">
        <v>238.88</v>
      </c>
      <c r="KD49" s="70">
        <v>238.06</v>
      </c>
      <c r="KE49" s="70">
        <v>237.23</v>
      </c>
      <c r="KF49" s="70">
        <v>236.4</v>
      </c>
      <c r="KG49" s="70">
        <v>235.57</v>
      </c>
      <c r="KH49" s="70">
        <v>234.75</v>
      </c>
      <c r="KI49" s="70">
        <v>233.92</v>
      </c>
      <c r="KJ49" s="70">
        <v>233.1</v>
      </c>
      <c r="KK49" s="70">
        <v>232.28</v>
      </c>
      <c r="KL49" s="70">
        <v>231.46</v>
      </c>
      <c r="KM49" s="70">
        <v>230.64</v>
      </c>
      <c r="KN49" s="70">
        <v>229.82</v>
      </c>
      <c r="KO49" s="70">
        <v>229</v>
      </c>
      <c r="KP49" s="70">
        <v>228.19</v>
      </c>
      <c r="KQ49" s="70">
        <v>227.37</v>
      </c>
      <c r="KR49" s="70">
        <v>226.41000000000037</v>
      </c>
      <c r="KS49" s="70">
        <v>225.66000000000037</v>
      </c>
      <c r="KT49" s="70">
        <v>224.91000000000037</v>
      </c>
      <c r="KU49" s="70">
        <v>224.16000000000037</v>
      </c>
      <c r="KV49" s="70">
        <v>223.41000000000037</v>
      </c>
      <c r="KW49" s="70">
        <v>222.66000000000037</v>
      </c>
      <c r="KX49" s="70">
        <v>221.91000000000037</v>
      </c>
      <c r="KY49" s="70">
        <v>221.16000000000037</v>
      </c>
      <c r="KZ49" s="70">
        <v>220.41000000000037</v>
      </c>
      <c r="LA49" s="70">
        <v>219.66000000000037</v>
      </c>
      <c r="LB49" s="70">
        <v>218.91000000000037</v>
      </c>
      <c r="LC49" s="70">
        <v>218.16000000000037</v>
      </c>
      <c r="LD49" s="70">
        <v>217.41000000000037</v>
      </c>
      <c r="LE49" s="70">
        <v>216.66000000000037</v>
      </c>
      <c r="LF49" s="70">
        <v>215.91000000000037</v>
      </c>
      <c r="LG49" s="70">
        <v>215.16000000000037</v>
      </c>
      <c r="LH49" s="70">
        <v>214.41000000000037</v>
      </c>
      <c r="LI49" s="70">
        <v>213.66000000000037</v>
      </c>
      <c r="LJ49" s="70">
        <v>212.91000000000037</v>
      </c>
      <c r="LK49" s="70">
        <v>212.16000000000037</v>
      </c>
      <c r="LL49" s="70">
        <v>211.41000000000037</v>
      </c>
      <c r="LM49" s="70">
        <v>210.66000000000037</v>
      </c>
      <c r="LN49" s="70">
        <v>209.91000000000037</v>
      </c>
      <c r="LO49" s="70">
        <v>209.16000000000037</v>
      </c>
      <c r="LP49" s="70">
        <v>208.41000000000037</v>
      </c>
      <c r="LQ49" s="70">
        <v>207.66000000000037</v>
      </c>
      <c r="LR49" s="70">
        <v>206.91000000000037</v>
      </c>
      <c r="LS49" s="70">
        <v>206.16000000000037</v>
      </c>
      <c r="LT49" s="70">
        <v>205.41000000000037</v>
      </c>
      <c r="LU49" s="70">
        <v>204.66000000000037</v>
      </c>
      <c r="LV49" s="70">
        <v>203.91000000000037</v>
      </c>
      <c r="LW49" s="70">
        <v>203.16000000000037</v>
      </c>
      <c r="LX49" s="70">
        <v>202.41000000000037</v>
      </c>
      <c r="LY49" s="70">
        <v>201.66000000000037</v>
      </c>
      <c r="LZ49" s="70">
        <v>200.91000000000037</v>
      </c>
      <c r="MA49" s="70">
        <v>200.16000000000037</v>
      </c>
      <c r="MB49" s="70">
        <v>199.41000000000037</v>
      </c>
      <c r="MC49" s="70">
        <v>198.66000000000037</v>
      </c>
      <c r="MD49" s="70">
        <v>197.91000000000037</v>
      </c>
      <c r="ME49" s="70">
        <v>197.16000000000037</v>
      </c>
      <c r="MF49" s="70">
        <v>196.41000000000037</v>
      </c>
      <c r="MG49" s="70">
        <v>195.66000000000037</v>
      </c>
      <c r="MH49" s="70">
        <v>194.91000000000037</v>
      </c>
      <c r="MI49" s="70">
        <v>194.16000000000037</v>
      </c>
      <c r="MJ49" s="70">
        <v>193.41000000000037</v>
      </c>
      <c r="MK49" s="70">
        <v>192.66000000000037</v>
      </c>
      <c r="ML49" s="70">
        <v>191.91000000000037</v>
      </c>
      <c r="MM49" s="70">
        <v>191.16000000000037</v>
      </c>
      <c r="MN49" s="70">
        <v>190.41000000000037</v>
      </c>
      <c r="MO49" s="70">
        <v>189.66000000000037</v>
      </c>
      <c r="MP49" s="70">
        <v>188.91000000000037</v>
      </c>
      <c r="MQ49" s="70">
        <v>188.16000000000037</v>
      </c>
      <c r="MR49" s="70">
        <v>187.41000000000037</v>
      </c>
      <c r="MS49" s="70">
        <v>186.66000000000037</v>
      </c>
      <c r="MT49" s="70">
        <v>185.91000000000037</v>
      </c>
      <c r="MU49" s="70">
        <v>185.16000000000037</v>
      </c>
      <c r="MV49" s="70">
        <v>184.41000000000037</v>
      </c>
      <c r="MW49" s="70">
        <v>183.66000000000037</v>
      </c>
      <c r="MX49" s="70">
        <v>182.91000000000037</v>
      </c>
      <c r="MY49" s="70">
        <v>182.16000000000037</v>
      </c>
    </row>
    <row r="50" spans="1:363" ht="15.6" x14ac:dyDescent="0.3">
      <c r="A50" s="67" t="s">
        <v>7</v>
      </c>
      <c r="B50" s="72">
        <v>2060</v>
      </c>
      <c r="C50" s="70">
        <v>513.59</v>
      </c>
      <c r="D50" s="70">
        <v>512.58000000000004</v>
      </c>
      <c r="E50" s="70">
        <v>511.55</v>
      </c>
      <c r="F50" s="70">
        <v>510.53</v>
      </c>
      <c r="G50" s="70">
        <v>509.5</v>
      </c>
      <c r="H50" s="70">
        <v>508.47</v>
      </c>
      <c r="I50" s="70">
        <v>507.45</v>
      </c>
      <c r="J50" s="70">
        <v>506.42</v>
      </c>
      <c r="K50" s="70">
        <v>505.39</v>
      </c>
      <c r="L50" s="70">
        <v>504.37</v>
      </c>
      <c r="M50" s="70">
        <v>503.34</v>
      </c>
      <c r="N50" s="70">
        <v>502.32</v>
      </c>
      <c r="O50" s="70">
        <v>501.29</v>
      </c>
      <c r="P50" s="70">
        <v>500.26</v>
      </c>
      <c r="Q50" s="70">
        <v>499.24</v>
      </c>
      <c r="R50" s="70">
        <v>498.21</v>
      </c>
      <c r="S50" s="70">
        <v>497.19</v>
      </c>
      <c r="T50" s="70">
        <v>496.16</v>
      </c>
      <c r="U50" s="70">
        <v>495.13</v>
      </c>
      <c r="V50" s="70">
        <v>494.11</v>
      </c>
      <c r="W50" s="70">
        <v>493.08</v>
      </c>
      <c r="X50" s="70">
        <v>492.06</v>
      </c>
      <c r="Y50" s="70">
        <v>491.03</v>
      </c>
      <c r="Z50" s="70">
        <v>490</v>
      </c>
      <c r="AA50" s="70">
        <v>488.98</v>
      </c>
      <c r="AB50" s="70">
        <v>487.95</v>
      </c>
      <c r="AC50" s="70">
        <v>486.93</v>
      </c>
      <c r="AD50" s="70">
        <v>485.9</v>
      </c>
      <c r="AE50" s="70">
        <v>484.87</v>
      </c>
      <c r="AF50" s="70">
        <v>483.85</v>
      </c>
      <c r="AG50" s="70">
        <v>482.82</v>
      </c>
      <c r="AH50" s="70">
        <v>481.8</v>
      </c>
      <c r="AI50" s="70">
        <v>480.77</v>
      </c>
      <c r="AJ50" s="70">
        <v>479.74</v>
      </c>
      <c r="AK50" s="70">
        <v>478.72</v>
      </c>
      <c r="AL50" s="70">
        <v>477.69</v>
      </c>
      <c r="AM50" s="70">
        <v>476.67</v>
      </c>
      <c r="AN50" s="70">
        <v>475.64</v>
      </c>
      <c r="AO50" s="70">
        <v>474.62</v>
      </c>
      <c r="AP50" s="70">
        <v>473.59</v>
      </c>
      <c r="AQ50" s="70">
        <v>472.57</v>
      </c>
      <c r="AR50" s="70">
        <v>471.54</v>
      </c>
      <c r="AS50" s="70">
        <v>470.52</v>
      </c>
      <c r="AT50" s="70">
        <v>469.49</v>
      </c>
      <c r="AU50" s="70">
        <v>468.47</v>
      </c>
      <c r="AV50" s="70">
        <v>467.44</v>
      </c>
      <c r="AW50" s="70">
        <v>466.42</v>
      </c>
      <c r="AX50" s="70">
        <v>465.39</v>
      </c>
      <c r="AY50" s="70">
        <v>464.37</v>
      </c>
      <c r="AZ50" s="70">
        <v>463.34</v>
      </c>
      <c r="BA50" s="70">
        <v>462.32</v>
      </c>
      <c r="BB50" s="70">
        <v>461.3</v>
      </c>
      <c r="BC50" s="70">
        <v>460.27</v>
      </c>
      <c r="BD50" s="70">
        <v>459.25</v>
      </c>
      <c r="BE50" s="70">
        <v>458.23</v>
      </c>
      <c r="BF50" s="70">
        <v>457.2</v>
      </c>
      <c r="BG50" s="70">
        <v>456.18</v>
      </c>
      <c r="BH50" s="70">
        <v>455.16</v>
      </c>
      <c r="BI50" s="70">
        <v>454.13</v>
      </c>
      <c r="BJ50" s="70">
        <v>453.11</v>
      </c>
      <c r="BK50" s="70">
        <v>452.08</v>
      </c>
      <c r="BL50" s="70">
        <v>451.06</v>
      </c>
      <c r="BM50" s="70">
        <v>450.04</v>
      </c>
      <c r="BN50" s="70">
        <v>449.02</v>
      </c>
      <c r="BO50" s="70">
        <v>448</v>
      </c>
      <c r="BP50" s="70">
        <v>446.98</v>
      </c>
      <c r="BQ50" s="70">
        <v>445.96</v>
      </c>
      <c r="BR50" s="70">
        <v>444.94</v>
      </c>
      <c r="BS50" s="70">
        <v>443.92</v>
      </c>
      <c r="BT50" s="70">
        <v>442.89</v>
      </c>
      <c r="BU50" s="70">
        <v>441.87</v>
      </c>
      <c r="BV50" s="70">
        <v>440.85</v>
      </c>
      <c r="BW50" s="70">
        <v>439.83</v>
      </c>
      <c r="BX50" s="70">
        <v>438.81</v>
      </c>
      <c r="BY50" s="70">
        <v>437.8</v>
      </c>
      <c r="BZ50" s="70">
        <v>436.78</v>
      </c>
      <c r="CA50" s="70">
        <v>435.76</v>
      </c>
      <c r="CB50" s="70">
        <v>434.74</v>
      </c>
      <c r="CC50" s="70">
        <v>433.73</v>
      </c>
      <c r="CD50" s="70">
        <v>432.71</v>
      </c>
      <c r="CE50" s="70">
        <v>431.69</v>
      </c>
      <c r="CF50" s="70">
        <v>430.67</v>
      </c>
      <c r="CG50" s="70">
        <v>429.66</v>
      </c>
      <c r="CH50" s="70">
        <v>428.64</v>
      </c>
      <c r="CI50" s="70">
        <v>427.62</v>
      </c>
      <c r="CJ50" s="70">
        <v>426.61</v>
      </c>
      <c r="CK50" s="70">
        <v>425.6</v>
      </c>
      <c r="CL50" s="70">
        <v>424.58</v>
      </c>
      <c r="CM50" s="70">
        <v>423.57</v>
      </c>
      <c r="CN50" s="70">
        <v>422.56</v>
      </c>
      <c r="CO50" s="70">
        <v>421.55</v>
      </c>
      <c r="CP50" s="70">
        <v>420.53</v>
      </c>
      <c r="CQ50" s="70">
        <v>419.52</v>
      </c>
      <c r="CR50" s="70">
        <v>418.51</v>
      </c>
      <c r="CS50" s="70">
        <v>417.5</v>
      </c>
      <c r="CT50" s="70">
        <v>416.49</v>
      </c>
      <c r="CU50" s="70">
        <v>415.47</v>
      </c>
      <c r="CV50" s="70">
        <v>414.47</v>
      </c>
      <c r="CW50" s="70">
        <v>413.46</v>
      </c>
      <c r="CX50" s="70">
        <v>412.45</v>
      </c>
      <c r="CY50" s="70">
        <v>411.45</v>
      </c>
      <c r="CZ50" s="70">
        <v>410.44</v>
      </c>
      <c r="DA50" s="70">
        <v>409.44</v>
      </c>
      <c r="DB50" s="70">
        <v>408.43</v>
      </c>
      <c r="DC50" s="70">
        <v>407.42</v>
      </c>
      <c r="DD50" s="70">
        <v>406.42</v>
      </c>
      <c r="DE50" s="70">
        <v>405.41</v>
      </c>
      <c r="DF50" s="70">
        <v>404.41</v>
      </c>
      <c r="DG50" s="70">
        <v>403.4</v>
      </c>
      <c r="DH50" s="70">
        <v>402.4</v>
      </c>
      <c r="DI50" s="70">
        <v>401.4</v>
      </c>
      <c r="DJ50" s="70">
        <v>400.41</v>
      </c>
      <c r="DK50" s="70">
        <v>399.41</v>
      </c>
      <c r="DL50" s="70">
        <v>398.41</v>
      </c>
      <c r="DM50" s="70">
        <v>397.41</v>
      </c>
      <c r="DN50" s="70">
        <v>396.41</v>
      </c>
      <c r="DO50" s="70">
        <v>395.41</v>
      </c>
      <c r="DP50" s="70">
        <v>394.42</v>
      </c>
      <c r="DQ50" s="70">
        <v>393.42</v>
      </c>
      <c r="DR50" s="70">
        <v>392.42</v>
      </c>
      <c r="DS50" s="70">
        <v>391.43</v>
      </c>
      <c r="DT50" s="70">
        <v>390.44</v>
      </c>
      <c r="DU50" s="70">
        <v>389.45</v>
      </c>
      <c r="DV50" s="70">
        <v>388.46</v>
      </c>
      <c r="DW50" s="70">
        <v>387.47</v>
      </c>
      <c r="DX50" s="70">
        <v>386.48</v>
      </c>
      <c r="DY50" s="70">
        <v>385.49</v>
      </c>
      <c r="DZ50" s="70">
        <v>384.5</v>
      </c>
      <c r="EA50" s="70">
        <v>383.52</v>
      </c>
      <c r="EB50" s="70">
        <v>382.53</v>
      </c>
      <c r="EC50" s="70">
        <v>381.54</v>
      </c>
      <c r="ED50" s="70">
        <v>380.56</v>
      </c>
      <c r="EE50" s="70">
        <v>379.57</v>
      </c>
      <c r="EF50" s="70">
        <v>378.59</v>
      </c>
      <c r="EG50" s="70">
        <v>377.62</v>
      </c>
      <c r="EH50" s="70">
        <v>376.64</v>
      </c>
      <c r="EI50" s="70">
        <v>375.66</v>
      </c>
      <c r="EJ50" s="70">
        <v>374.69</v>
      </c>
      <c r="EK50" s="70">
        <v>373.71</v>
      </c>
      <c r="EL50" s="70">
        <v>372.74</v>
      </c>
      <c r="EM50" s="70">
        <v>371.77</v>
      </c>
      <c r="EN50" s="70">
        <v>370.79</v>
      </c>
      <c r="EO50" s="70">
        <v>369.82</v>
      </c>
      <c r="EP50" s="70">
        <v>368.85</v>
      </c>
      <c r="EQ50" s="70">
        <v>367.88</v>
      </c>
      <c r="ER50" s="70">
        <v>366.91</v>
      </c>
      <c r="ES50" s="70">
        <v>365.94</v>
      </c>
      <c r="ET50" s="70">
        <v>364.98</v>
      </c>
      <c r="EU50" s="70">
        <v>364.01</v>
      </c>
      <c r="EV50" s="70">
        <v>363.05</v>
      </c>
      <c r="EW50" s="70">
        <v>362.08</v>
      </c>
      <c r="EX50" s="70">
        <v>361.12</v>
      </c>
      <c r="EY50" s="70">
        <v>360.16</v>
      </c>
      <c r="EZ50" s="70">
        <v>359.2</v>
      </c>
      <c r="FA50" s="70">
        <v>358.23</v>
      </c>
      <c r="FB50" s="70">
        <v>357.27</v>
      </c>
      <c r="FC50" s="70">
        <v>356.31</v>
      </c>
      <c r="FD50" s="70">
        <v>355.35</v>
      </c>
      <c r="FE50" s="70">
        <v>354.39</v>
      </c>
      <c r="FF50" s="70">
        <v>353.44</v>
      </c>
      <c r="FG50" s="70">
        <v>352.48</v>
      </c>
      <c r="FH50" s="70">
        <v>351.52</v>
      </c>
      <c r="FI50" s="70">
        <v>350.56</v>
      </c>
      <c r="FJ50" s="70">
        <v>349.61</v>
      </c>
      <c r="FK50" s="70">
        <v>348.65</v>
      </c>
      <c r="FL50" s="70">
        <v>347.7</v>
      </c>
      <c r="FM50" s="70">
        <v>346.74</v>
      </c>
      <c r="FN50" s="70">
        <v>345.79</v>
      </c>
      <c r="FO50" s="70">
        <v>344.84</v>
      </c>
      <c r="FP50" s="70">
        <v>343.89</v>
      </c>
      <c r="FQ50" s="70">
        <v>342.93</v>
      </c>
      <c r="FR50" s="70">
        <v>341.98</v>
      </c>
      <c r="FS50" s="70">
        <v>341.03</v>
      </c>
      <c r="FT50" s="70">
        <v>340.09</v>
      </c>
      <c r="FU50" s="70">
        <v>339.14</v>
      </c>
      <c r="FV50" s="70">
        <v>338.19</v>
      </c>
      <c r="FW50" s="70">
        <v>337.24</v>
      </c>
      <c r="FX50" s="70">
        <v>336.3</v>
      </c>
      <c r="FY50" s="70">
        <v>335.35</v>
      </c>
      <c r="FZ50" s="70">
        <v>334.41</v>
      </c>
      <c r="GA50" s="70">
        <v>333.46</v>
      </c>
      <c r="GB50" s="70">
        <v>332.52</v>
      </c>
      <c r="GC50" s="70">
        <v>331.58</v>
      </c>
      <c r="GD50" s="70">
        <v>330.64</v>
      </c>
      <c r="GE50" s="70">
        <v>329.7</v>
      </c>
      <c r="GF50" s="70">
        <v>328.76</v>
      </c>
      <c r="GG50" s="70">
        <v>327.82</v>
      </c>
      <c r="GH50" s="70">
        <v>326.88</v>
      </c>
      <c r="GI50" s="70">
        <v>325.94</v>
      </c>
      <c r="GJ50" s="70">
        <v>325.01</v>
      </c>
      <c r="GK50" s="70">
        <v>324.07</v>
      </c>
      <c r="GL50" s="70">
        <v>323.14</v>
      </c>
      <c r="GM50" s="70">
        <v>322.2</v>
      </c>
      <c r="GN50" s="70">
        <v>321.26</v>
      </c>
      <c r="GO50" s="70">
        <v>320.33999999999997</v>
      </c>
      <c r="GP50" s="70">
        <v>319.41000000000003</v>
      </c>
      <c r="GQ50" s="70">
        <v>318.48</v>
      </c>
      <c r="GR50" s="70">
        <v>317.54000000000002</v>
      </c>
      <c r="GS50" s="70">
        <v>316.63</v>
      </c>
      <c r="GT50" s="70">
        <v>315.7</v>
      </c>
      <c r="GU50" s="70">
        <v>314.77999999999997</v>
      </c>
      <c r="GV50" s="70">
        <v>313.85000000000002</v>
      </c>
      <c r="GW50" s="70">
        <v>312.93</v>
      </c>
      <c r="GX50" s="70">
        <v>312.01</v>
      </c>
      <c r="GY50" s="70">
        <v>311.07</v>
      </c>
      <c r="GZ50" s="70">
        <v>310.16000000000003</v>
      </c>
      <c r="HA50" s="70">
        <v>309.25</v>
      </c>
      <c r="HB50" s="70">
        <v>308.32</v>
      </c>
      <c r="HC50" s="70">
        <v>307.41000000000003</v>
      </c>
      <c r="HD50" s="70">
        <v>306.5</v>
      </c>
      <c r="HE50" s="70">
        <v>305.57</v>
      </c>
      <c r="HF50" s="70">
        <v>304.67</v>
      </c>
      <c r="HG50" s="70">
        <v>303.75</v>
      </c>
      <c r="HH50" s="70">
        <v>302.83999999999997</v>
      </c>
      <c r="HI50" s="70">
        <v>301.93</v>
      </c>
      <c r="HJ50" s="70">
        <v>301.01</v>
      </c>
      <c r="HK50" s="70">
        <v>300.10000000000002</v>
      </c>
      <c r="HL50" s="70">
        <v>299.20999999999998</v>
      </c>
      <c r="HM50" s="70">
        <v>298.29000000000002</v>
      </c>
      <c r="HN50" s="70">
        <v>297.39999999999998</v>
      </c>
      <c r="HO50" s="70">
        <v>296.5</v>
      </c>
      <c r="HP50" s="70">
        <v>295.58999999999997</v>
      </c>
      <c r="HQ50" s="70">
        <v>294.69</v>
      </c>
      <c r="HR50" s="70">
        <v>293.79000000000002</v>
      </c>
      <c r="HS50" s="70">
        <v>292.89999999999998</v>
      </c>
      <c r="HT50" s="70">
        <v>292</v>
      </c>
      <c r="HU50" s="70">
        <v>291.10000000000002</v>
      </c>
      <c r="HV50" s="70">
        <v>290.20999999999998</v>
      </c>
      <c r="HW50" s="70">
        <v>289.31</v>
      </c>
      <c r="HX50" s="70">
        <v>288.42</v>
      </c>
      <c r="HY50" s="70">
        <v>287.52999999999997</v>
      </c>
      <c r="HZ50" s="70">
        <v>286.64</v>
      </c>
      <c r="IA50" s="70">
        <v>285.75</v>
      </c>
      <c r="IB50" s="70">
        <v>284.85000000000002</v>
      </c>
      <c r="IC50" s="70">
        <v>283.97000000000003</v>
      </c>
      <c r="ID50" s="70">
        <v>283.07</v>
      </c>
      <c r="IE50" s="70">
        <v>282.2</v>
      </c>
      <c r="IF50" s="70">
        <v>281.31</v>
      </c>
      <c r="IG50" s="70">
        <v>280.43</v>
      </c>
      <c r="IH50" s="70">
        <v>279.54000000000002</v>
      </c>
      <c r="II50" s="70">
        <v>278.66000000000003</v>
      </c>
      <c r="IJ50" s="70">
        <v>277.77999999999997</v>
      </c>
      <c r="IK50" s="70">
        <v>276.89999999999998</v>
      </c>
      <c r="IL50" s="70">
        <v>276.01</v>
      </c>
      <c r="IM50" s="70">
        <v>275.14999999999998</v>
      </c>
      <c r="IN50" s="70">
        <v>274.26</v>
      </c>
      <c r="IO50" s="70">
        <v>273.39</v>
      </c>
      <c r="IP50" s="70">
        <v>272.51</v>
      </c>
      <c r="IQ50" s="70">
        <v>271.64999999999998</v>
      </c>
      <c r="IR50" s="70">
        <v>270.77999999999997</v>
      </c>
      <c r="IS50" s="70">
        <v>269.91000000000003</v>
      </c>
      <c r="IT50" s="70">
        <v>269.04000000000002</v>
      </c>
      <c r="IU50" s="70">
        <v>268.17</v>
      </c>
      <c r="IV50" s="70">
        <v>267.29000000000002</v>
      </c>
      <c r="IW50" s="70">
        <v>266.44</v>
      </c>
      <c r="IX50" s="70">
        <v>265.57</v>
      </c>
      <c r="IY50" s="70">
        <v>264.70999999999998</v>
      </c>
      <c r="IZ50" s="70">
        <v>263.85000000000002</v>
      </c>
      <c r="JA50" s="70">
        <v>262.99</v>
      </c>
      <c r="JB50" s="70">
        <v>262.13</v>
      </c>
      <c r="JC50" s="70">
        <v>261.26</v>
      </c>
      <c r="JD50" s="70">
        <v>260.42</v>
      </c>
      <c r="JE50" s="70">
        <v>259.56</v>
      </c>
      <c r="JF50" s="70">
        <v>258.70999999999998</v>
      </c>
      <c r="JG50" s="70">
        <v>257.85000000000002</v>
      </c>
      <c r="JH50" s="70">
        <v>257</v>
      </c>
      <c r="JI50" s="70">
        <v>256.14999999999998</v>
      </c>
      <c r="JJ50" s="70">
        <v>255.3</v>
      </c>
      <c r="JK50" s="70">
        <v>254.45</v>
      </c>
      <c r="JL50" s="70">
        <v>253.6</v>
      </c>
      <c r="JM50" s="70">
        <v>252.75</v>
      </c>
      <c r="JN50" s="70">
        <v>251.91</v>
      </c>
      <c r="JO50" s="70">
        <v>251.06</v>
      </c>
      <c r="JP50" s="70">
        <v>250.22</v>
      </c>
      <c r="JQ50" s="70">
        <v>249.37</v>
      </c>
      <c r="JR50" s="70">
        <v>248.53</v>
      </c>
      <c r="JS50" s="70">
        <v>247.69</v>
      </c>
      <c r="JT50" s="70">
        <v>246.85</v>
      </c>
      <c r="JU50" s="70">
        <v>246.01</v>
      </c>
      <c r="JV50" s="70">
        <v>245.17</v>
      </c>
      <c r="JW50" s="70">
        <v>244.34</v>
      </c>
      <c r="JX50" s="70">
        <v>243.5</v>
      </c>
      <c r="JY50" s="70">
        <v>242.67</v>
      </c>
      <c r="JZ50" s="70">
        <v>241.83</v>
      </c>
      <c r="KA50" s="70">
        <v>241</v>
      </c>
      <c r="KB50" s="70">
        <v>240.17</v>
      </c>
      <c r="KC50" s="70">
        <v>239.33</v>
      </c>
      <c r="KD50" s="70">
        <v>238.5</v>
      </c>
      <c r="KE50" s="70">
        <v>237.67</v>
      </c>
      <c r="KF50" s="70">
        <v>236.85</v>
      </c>
      <c r="KG50" s="70">
        <v>236.02</v>
      </c>
      <c r="KH50" s="70">
        <v>235.19</v>
      </c>
      <c r="KI50" s="70">
        <v>234.37</v>
      </c>
      <c r="KJ50" s="70">
        <v>233.54</v>
      </c>
      <c r="KK50" s="70">
        <v>232.72</v>
      </c>
      <c r="KL50" s="70">
        <v>231.9</v>
      </c>
      <c r="KM50" s="70">
        <v>231.08</v>
      </c>
      <c r="KN50" s="70">
        <v>230.26</v>
      </c>
      <c r="KO50" s="70">
        <v>229.44</v>
      </c>
      <c r="KP50" s="70">
        <v>228.63</v>
      </c>
      <c r="KQ50" s="70">
        <v>227.81</v>
      </c>
      <c r="KR50" s="70">
        <v>226.87000000000037</v>
      </c>
      <c r="KS50" s="70">
        <v>226.12000000000037</v>
      </c>
      <c r="KT50" s="70">
        <v>225.37000000000037</v>
      </c>
      <c r="KU50" s="70">
        <v>224.62000000000037</v>
      </c>
      <c r="KV50" s="70">
        <v>223.87000000000037</v>
      </c>
      <c r="KW50" s="70">
        <v>223.12000000000037</v>
      </c>
      <c r="KX50" s="70">
        <v>222.37000000000037</v>
      </c>
      <c r="KY50" s="70">
        <v>221.62000000000037</v>
      </c>
      <c r="KZ50" s="70">
        <v>220.87000000000037</v>
      </c>
      <c r="LA50" s="70">
        <v>220.12000000000037</v>
      </c>
      <c r="LB50" s="70">
        <v>219.37000000000037</v>
      </c>
      <c r="LC50" s="70">
        <v>218.62000000000037</v>
      </c>
      <c r="LD50" s="70">
        <v>217.87000000000037</v>
      </c>
      <c r="LE50" s="70">
        <v>217.12000000000037</v>
      </c>
      <c r="LF50" s="70">
        <v>216.37000000000037</v>
      </c>
      <c r="LG50" s="70">
        <v>215.62000000000037</v>
      </c>
      <c r="LH50" s="70">
        <v>214.87000000000037</v>
      </c>
      <c r="LI50" s="70">
        <v>214.12000000000037</v>
      </c>
      <c r="LJ50" s="70">
        <v>213.37000000000037</v>
      </c>
      <c r="LK50" s="70">
        <v>212.62000000000037</v>
      </c>
      <c r="LL50" s="70">
        <v>211.87000000000037</v>
      </c>
      <c r="LM50" s="70">
        <v>211.12000000000037</v>
      </c>
      <c r="LN50" s="70">
        <v>210.37000000000037</v>
      </c>
      <c r="LO50" s="70">
        <v>209.62000000000037</v>
      </c>
      <c r="LP50" s="70">
        <v>208.87000000000037</v>
      </c>
      <c r="LQ50" s="70">
        <v>208.12000000000037</v>
      </c>
      <c r="LR50" s="70">
        <v>207.37000000000037</v>
      </c>
      <c r="LS50" s="70">
        <v>206.62000000000037</v>
      </c>
      <c r="LT50" s="70">
        <v>205.87000000000037</v>
      </c>
      <c r="LU50" s="70">
        <v>205.12000000000037</v>
      </c>
      <c r="LV50" s="70">
        <v>204.37000000000037</v>
      </c>
      <c r="LW50" s="70">
        <v>203.62000000000037</v>
      </c>
      <c r="LX50" s="70">
        <v>202.87000000000037</v>
      </c>
      <c r="LY50" s="70">
        <v>202.12000000000037</v>
      </c>
      <c r="LZ50" s="70">
        <v>201.37000000000037</v>
      </c>
      <c r="MA50" s="70">
        <v>200.62000000000037</v>
      </c>
      <c r="MB50" s="70">
        <v>199.87000000000037</v>
      </c>
      <c r="MC50" s="70">
        <v>199.12000000000037</v>
      </c>
      <c r="MD50" s="70">
        <v>198.37000000000037</v>
      </c>
      <c r="ME50" s="70">
        <v>197.62000000000037</v>
      </c>
      <c r="MF50" s="70">
        <v>196.87000000000037</v>
      </c>
      <c r="MG50" s="70">
        <v>196.12000000000037</v>
      </c>
      <c r="MH50" s="70">
        <v>195.37000000000037</v>
      </c>
      <c r="MI50" s="70">
        <v>194.62000000000037</v>
      </c>
      <c r="MJ50" s="70">
        <v>193.87000000000037</v>
      </c>
      <c r="MK50" s="70">
        <v>193.12000000000037</v>
      </c>
      <c r="ML50" s="70">
        <v>192.37000000000037</v>
      </c>
      <c r="MM50" s="70">
        <v>191.62000000000037</v>
      </c>
      <c r="MN50" s="70">
        <v>190.87000000000037</v>
      </c>
      <c r="MO50" s="70">
        <v>190.12000000000037</v>
      </c>
      <c r="MP50" s="70">
        <v>189.37000000000037</v>
      </c>
      <c r="MQ50" s="70">
        <v>188.62000000000037</v>
      </c>
      <c r="MR50" s="70">
        <v>187.87000000000037</v>
      </c>
      <c r="MS50" s="70">
        <v>187.12000000000037</v>
      </c>
      <c r="MT50" s="70">
        <v>186.37000000000037</v>
      </c>
      <c r="MU50" s="70">
        <v>185.62000000000037</v>
      </c>
      <c r="MV50" s="70">
        <v>184.87000000000037</v>
      </c>
      <c r="MW50" s="70">
        <v>184.12000000000037</v>
      </c>
      <c r="MX50" s="70">
        <v>183.37000000000037</v>
      </c>
      <c r="MY50" s="70">
        <v>182.62000000000037</v>
      </c>
    </row>
    <row r="51" spans="1:363" ht="15.6" x14ac:dyDescent="0.3">
      <c r="A51" s="67" t="s">
        <v>7</v>
      </c>
      <c r="B51" s="72">
        <v>2061</v>
      </c>
      <c r="C51" s="70">
        <v>514.14</v>
      </c>
      <c r="D51" s="70">
        <v>513.11</v>
      </c>
      <c r="E51" s="70">
        <v>512.08000000000004</v>
      </c>
      <c r="F51" s="70">
        <v>511.06</v>
      </c>
      <c r="G51" s="70">
        <v>510.03</v>
      </c>
      <c r="H51" s="70">
        <v>509.01</v>
      </c>
      <c r="I51" s="70">
        <v>507.98</v>
      </c>
      <c r="J51" s="70">
        <v>506.95</v>
      </c>
      <c r="K51" s="70">
        <v>505.93</v>
      </c>
      <c r="L51" s="70">
        <v>504.9</v>
      </c>
      <c r="M51" s="70">
        <v>503.87</v>
      </c>
      <c r="N51" s="70">
        <v>502.85</v>
      </c>
      <c r="O51" s="70">
        <v>501.82</v>
      </c>
      <c r="P51" s="70">
        <v>500.8</v>
      </c>
      <c r="Q51" s="70">
        <v>499.77</v>
      </c>
      <c r="R51" s="70">
        <v>498.74</v>
      </c>
      <c r="S51" s="70">
        <v>497.72</v>
      </c>
      <c r="T51" s="70">
        <v>496.69</v>
      </c>
      <c r="U51" s="70">
        <v>495.66</v>
      </c>
      <c r="V51" s="70">
        <v>494.64</v>
      </c>
      <c r="W51" s="70">
        <v>493.61</v>
      </c>
      <c r="X51" s="70">
        <v>492.59</v>
      </c>
      <c r="Y51" s="70">
        <v>491.56</v>
      </c>
      <c r="Z51" s="70">
        <v>490.53</v>
      </c>
      <c r="AA51" s="70">
        <v>489.51</v>
      </c>
      <c r="AB51" s="70">
        <v>488.48</v>
      </c>
      <c r="AC51" s="70">
        <v>487.45</v>
      </c>
      <c r="AD51" s="70">
        <v>486.43</v>
      </c>
      <c r="AE51" s="70">
        <v>485.4</v>
      </c>
      <c r="AF51" s="70">
        <v>484.38</v>
      </c>
      <c r="AG51" s="70">
        <v>483.35</v>
      </c>
      <c r="AH51" s="70">
        <v>482.32</v>
      </c>
      <c r="AI51" s="70">
        <v>481.3</v>
      </c>
      <c r="AJ51" s="70">
        <v>480.27</v>
      </c>
      <c r="AK51" s="70">
        <v>479.25</v>
      </c>
      <c r="AL51" s="70">
        <v>478.22</v>
      </c>
      <c r="AM51" s="70">
        <v>477.19</v>
      </c>
      <c r="AN51" s="70">
        <v>476.17</v>
      </c>
      <c r="AO51" s="70">
        <v>475.14</v>
      </c>
      <c r="AP51" s="70">
        <v>474.12</v>
      </c>
      <c r="AQ51" s="70">
        <v>473.09</v>
      </c>
      <c r="AR51" s="70">
        <v>472.07</v>
      </c>
      <c r="AS51" s="70">
        <v>471.04</v>
      </c>
      <c r="AT51" s="70">
        <v>470.02</v>
      </c>
      <c r="AU51" s="70">
        <v>468.99</v>
      </c>
      <c r="AV51" s="70">
        <v>467.97</v>
      </c>
      <c r="AW51" s="70">
        <v>466.94</v>
      </c>
      <c r="AX51" s="70">
        <v>465.92</v>
      </c>
      <c r="AY51" s="70">
        <v>464.89</v>
      </c>
      <c r="AZ51" s="70">
        <v>463.87</v>
      </c>
      <c r="BA51" s="70">
        <v>462.85</v>
      </c>
      <c r="BB51" s="70">
        <v>461.82</v>
      </c>
      <c r="BC51" s="70">
        <v>460.8</v>
      </c>
      <c r="BD51" s="70">
        <v>459.77</v>
      </c>
      <c r="BE51" s="70">
        <v>458.75</v>
      </c>
      <c r="BF51" s="70">
        <v>457.73</v>
      </c>
      <c r="BG51" s="70">
        <v>456.7</v>
      </c>
      <c r="BH51" s="70">
        <v>455.68</v>
      </c>
      <c r="BI51" s="70">
        <v>454.65</v>
      </c>
      <c r="BJ51" s="70">
        <v>453.63</v>
      </c>
      <c r="BK51" s="70">
        <v>452.61</v>
      </c>
      <c r="BL51" s="70">
        <v>451.59</v>
      </c>
      <c r="BM51" s="70">
        <v>450.56</v>
      </c>
      <c r="BN51" s="70">
        <v>449.54</v>
      </c>
      <c r="BO51" s="70">
        <v>448.52</v>
      </c>
      <c r="BP51" s="70">
        <v>447.5</v>
      </c>
      <c r="BQ51" s="70">
        <v>446.48</v>
      </c>
      <c r="BR51" s="70">
        <v>445.46</v>
      </c>
      <c r="BS51" s="70">
        <v>444.44</v>
      </c>
      <c r="BT51" s="70">
        <v>443.42</v>
      </c>
      <c r="BU51" s="70">
        <v>442.39</v>
      </c>
      <c r="BV51" s="70">
        <v>441.37</v>
      </c>
      <c r="BW51" s="70">
        <v>440.35</v>
      </c>
      <c r="BX51" s="70">
        <v>439.33</v>
      </c>
      <c r="BY51" s="70">
        <v>438.32</v>
      </c>
      <c r="BZ51" s="70">
        <v>437.3</v>
      </c>
      <c r="CA51" s="70">
        <v>436.28</v>
      </c>
      <c r="CB51" s="70">
        <v>435.26</v>
      </c>
      <c r="CC51" s="70">
        <v>434.24</v>
      </c>
      <c r="CD51" s="70">
        <v>433.23</v>
      </c>
      <c r="CE51" s="70">
        <v>432.21</v>
      </c>
      <c r="CF51" s="70">
        <v>431.19</v>
      </c>
      <c r="CG51" s="70">
        <v>430.17</v>
      </c>
      <c r="CH51" s="70">
        <v>429.16</v>
      </c>
      <c r="CI51" s="70">
        <v>428.14</v>
      </c>
      <c r="CJ51" s="70">
        <v>427.13</v>
      </c>
      <c r="CK51" s="70">
        <v>426.11</v>
      </c>
      <c r="CL51" s="70">
        <v>425.1</v>
      </c>
      <c r="CM51" s="70">
        <v>424.09</v>
      </c>
      <c r="CN51" s="70">
        <v>423.07</v>
      </c>
      <c r="CO51" s="70">
        <v>422.06</v>
      </c>
      <c r="CP51" s="70">
        <v>421.05</v>
      </c>
      <c r="CQ51" s="70">
        <v>420.04</v>
      </c>
      <c r="CR51" s="70">
        <v>419.02</v>
      </c>
      <c r="CS51" s="70">
        <v>418.01</v>
      </c>
      <c r="CT51" s="70">
        <v>417</v>
      </c>
      <c r="CU51" s="70">
        <v>415.99</v>
      </c>
      <c r="CV51" s="70">
        <v>414.98</v>
      </c>
      <c r="CW51" s="70">
        <v>413.97</v>
      </c>
      <c r="CX51" s="70">
        <v>412.97</v>
      </c>
      <c r="CY51" s="70">
        <v>411.96</v>
      </c>
      <c r="CZ51" s="70">
        <v>410.95</v>
      </c>
      <c r="DA51" s="70">
        <v>409.95</v>
      </c>
      <c r="DB51" s="70">
        <v>408.94</v>
      </c>
      <c r="DC51" s="70">
        <v>407.94</v>
      </c>
      <c r="DD51" s="70">
        <v>406.93</v>
      </c>
      <c r="DE51" s="70">
        <v>405.92</v>
      </c>
      <c r="DF51" s="70">
        <v>404.92</v>
      </c>
      <c r="DG51" s="70">
        <v>403.91</v>
      </c>
      <c r="DH51" s="70">
        <v>402.91</v>
      </c>
      <c r="DI51" s="70">
        <v>401.91</v>
      </c>
      <c r="DJ51" s="70">
        <v>400.91</v>
      </c>
      <c r="DK51" s="70">
        <v>399.92</v>
      </c>
      <c r="DL51" s="70">
        <v>398.92</v>
      </c>
      <c r="DM51" s="70">
        <v>397.92</v>
      </c>
      <c r="DN51" s="70">
        <v>396.92</v>
      </c>
      <c r="DO51" s="70">
        <v>395.92</v>
      </c>
      <c r="DP51" s="70">
        <v>394.92</v>
      </c>
      <c r="DQ51" s="70">
        <v>393.93</v>
      </c>
      <c r="DR51" s="70">
        <v>392.93</v>
      </c>
      <c r="DS51" s="70">
        <v>391.93</v>
      </c>
      <c r="DT51" s="70">
        <v>390.94</v>
      </c>
      <c r="DU51" s="70">
        <v>389.95</v>
      </c>
      <c r="DV51" s="70">
        <v>388.96</v>
      </c>
      <c r="DW51" s="70">
        <v>387.97</v>
      </c>
      <c r="DX51" s="70">
        <v>386.98</v>
      </c>
      <c r="DY51" s="70">
        <v>386</v>
      </c>
      <c r="DZ51" s="70">
        <v>385.01</v>
      </c>
      <c r="EA51" s="70">
        <v>384.02</v>
      </c>
      <c r="EB51" s="70">
        <v>383.03</v>
      </c>
      <c r="EC51" s="70">
        <v>382.05</v>
      </c>
      <c r="ED51" s="70">
        <v>381.06</v>
      </c>
      <c r="EE51" s="70">
        <v>380.07</v>
      </c>
      <c r="EF51" s="70">
        <v>379.1</v>
      </c>
      <c r="EG51" s="70">
        <v>378.12</v>
      </c>
      <c r="EH51" s="70">
        <v>377.14</v>
      </c>
      <c r="EI51" s="70">
        <v>376.17</v>
      </c>
      <c r="EJ51" s="70">
        <v>375.19</v>
      </c>
      <c r="EK51" s="70">
        <v>374.22</v>
      </c>
      <c r="EL51" s="70">
        <v>373.24</v>
      </c>
      <c r="EM51" s="70">
        <v>372.27</v>
      </c>
      <c r="EN51" s="70">
        <v>371.29</v>
      </c>
      <c r="EO51" s="70">
        <v>370.32</v>
      </c>
      <c r="EP51" s="70">
        <v>369.35</v>
      </c>
      <c r="EQ51" s="70">
        <v>368.38</v>
      </c>
      <c r="ER51" s="70">
        <v>367.41</v>
      </c>
      <c r="ES51" s="70">
        <v>366.44</v>
      </c>
      <c r="ET51" s="70">
        <v>365.48</v>
      </c>
      <c r="EU51" s="70">
        <v>364.51</v>
      </c>
      <c r="EV51" s="70">
        <v>363.55</v>
      </c>
      <c r="EW51" s="70">
        <v>362.58</v>
      </c>
      <c r="EX51" s="70">
        <v>361.62</v>
      </c>
      <c r="EY51" s="70">
        <v>360.66</v>
      </c>
      <c r="EZ51" s="70">
        <v>359.69</v>
      </c>
      <c r="FA51" s="70">
        <v>358.73</v>
      </c>
      <c r="FB51" s="70">
        <v>357.77</v>
      </c>
      <c r="FC51" s="70">
        <v>356.81</v>
      </c>
      <c r="FD51" s="70">
        <v>355.85</v>
      </c>
      <c r="FE51" s="70">
        <v>354.89</v>
      </c>
      <c r="FF51" s="70">
        <v>353.93</v>
      </c>
      <c r="FG51" s="70">
        <v>352.97</v>
      </c>
      <c r="FH51" s="70">
        <v>352.02</v>
      </c>
      <c r="FI51" s="70">
        <v>351.06</v>
      </c>
      <c r="FJ51" s="70">
        <v>350.1</v>
      </c>
      <c r="FK51" s="70">
        <v>349.15</v>
      </c>
      <c r="FL51" s="70">
        <v>348.19</v>
      </c>
      <c r="FM51" s="70">
        <v>347.24</v>
      </c>
      <c r="FN51" s="70">
        <v>346.29</v>
      </c>
      <c r="FO51" s="70">
        <v>345.33</v>
      </c>
      <c r="FP51" s="70">
        <v>344.38</v>
      </c>
      <c r="FQ51" s="70">
        <v>343.43</v>
      </c>
      <c r="FR51" s="70">
        <v>342.48</v>
      </c>
      <c r="FS51" s="70">
        <v>341.53</v>
      </c>
      <c r="FT51" s="70">
        <v>340.58</v>
      </c>
      <c r="FU51" s="70">
        <v>339.63</v>
      </c>
      <c r="FV51" s="70">
        <v>338.68</v>
      </c>
      <c r="FW51" s="70">
        <v>337.74</v>
      </c>
      <c r="FX51" s="70">
        <v>336.79</v>
      </c>
      <c r="FY51" s="70">
        <v>335.84</v>
      </c>
      <c r="FZ51" s="70">
        <v>334.9</v>
      </c>
      <c r="GA51" s="70">
        <v>333.95</v>
      </c>
      <c r="GB51" s="70">
        <v>333.01</v>
      </c>
      <c r="GC51" s="70">
        <v>332.07</v>
      </c>
      <c r="GD51" s="70">
        <v>331.13</v>
      </c>
      <c r="GE51" s="70">
        <v>330.19</v>
      </c>
      <c r="GF51" s="70">
        <v>329.25</v>
      </c>
      <c r="GG51" s="70">
        <v>328.31</v>
      </c>
      <c r="GH51" s="70">
        <v>327.37</v>
      </c>
      <c r="GI51" s="70">
        <v>326.43</v>
      </c>
      <c r="GJ51" s="70">
        <v>325.5</v>
      </c>
      <c r="GK51" s="70">
        <v>324.56</v>
      </c>
      <c r="GL51" s="70">
        <v>323.63</v>
      </c>
      <c r="GM51" s="70">
        <v>322.69</v>
      </c>
      <c r="GN51" s="70">
        <v>321.76</v>
      </c>
      <c r="GO51" s="70">
        <v>320.82</v>
      </c>
      <c r="GP51" s="70">
        <v>319.89999999999998</v>
      </c>
      <c r="GQ51" s="70">
        <v>318.97000000000003</v>
      </c>
      <c r="GR51" s="70">
        <v>318.04000000000002</v>
      </c>
      <c r="GS51" s="70">
        <v>317.10000000000002</v>
      </c>
      <c r="GT51" s="70">
        <v>316.19</v>
      </c>
      <c r="GU51" s="70">
        <v>315.26</v>
      </c>
      <c r="GV51" s="70">
        <v>314.33999999999997</v>
      </c>
      <c r="GW51" s="70">
        <v>313.41000000000003</v>
      </c>
      <c r="GX51" s="70">
        <v>312.49</v>
      </c>
      <c r="GY51" s="70">
        <v>311.57</v>
      </c>
      <c r="GZ51" s="70">
        <v>310.64999999999998</v>
      </c>
      <c r="HA51" s="70">
        <v>309.73</v>
      </c>
      <c r="HB51" s="70">
        <v>308.81</v>
      </c>
      <c r="HC51" s="70">
        <v>307.89999999999998</v>
      </c>
      <c r="HD51" s="70">
        <v>306.98</v>
      </c>
      <c r="HE51" s="70">
        <v>306.06</v>
      </c>
      <c r="HF51" s="70">
        <v>305.14999999999998</v>
      </c>
      <c r="HG51" s="70">
        <v>304.24</v>
      </c>
      <c r="HH51" s="70">
        <v>303.32</v>
      </c>
      <c r="HI51" s="70">
        <v>302.41000000000003</v>
      </c>
      <c r="HJ51" s="70">
        <v>301.5</v>
      </c>
      <c r="HK51" s="70">
        <v>300.60000000000002</v>
      </c>
      <c r="HL51" s="70">
        <v>299.69</v>
      </c>
      <c r="HM51" s="70">
        <v>298.77999999999997</v>
      </c>
      <c r="HN51" s="70">
        <v>297.88</v>
      </c>
      <c r="HO51" s="70">
        <v>296.98</v>
      </c>
      <c r="HP51" s="70">
        <v>296.07</v>
      </c>
      <c r="HQ51" s="70">
        <v>295.17</v>
      </c>
      <c r="HR51" s="70">
        <v>294.26</v>
      </c>
      <c r="HS51" s="70">
        <v>293.37</v>
      </c>
      <c r="HT51" s="70">
        <v>292.48</v>
      </c>
      <c r="HU51" s="70">
        <v>291.57</v>
      </c>
      <c r="HV51" s="70">
        <v>290.68</v>
      </c>
      <c r="HW51" s="70">
        <v>289.79000000000002</v>
      </c>
      <c r="HX51" s="70">
        <v>288.89999999999998</v>
      </c>
      <c r="HY51" s="70">
        <v>288</v>
      </c>
      <c r="HZ51" s="70">
        <v>287.10000000000002</v>
      </c>
      <c r="IA51" s="70">
        <v>286.22000000000003</v>
      </c>
      <c r="IB51" s="70">
        <v>285.32</v>
      </c>
      <c r="IC51" s="70">
        <v>284.44</v>
      </c>
      <c r="ID51" s="70">
        <v>283.56</v>
      </c>
      <c r="IE51" s="70">
        <v>282.67</v>
      </c>
      <c r="IF51" s="70">
        <v>281.77999999999997</v>
      </c>
      <c r="IG51" s="70">
        <v>280.89999999999998</v>
      </c>
      <c r="IH51" s="70">
        <v>280.01</v>
      </c>
      <c r="II51" s="70">
        <v>279.13</v>
      </c>
      <c r="IJ51" s="70">
        <v>278.25</v>
      </c>
      <c r="IK51" s="70">
        <v>277.37</v>
      </c>
      <c r="IL51" s="70">
        <v>276.49</v>
      </c>
      <c r="IM51" s="70">
        <v>275.62</v>
      </c>
      <c r="IN51" s="70">
        <v>274.74</v>
      </c>
      <c r="IO51" s="70">
        <v>273.85000000000002</v>
      </c>
      <c r="IP51" s="70">
        <v>272.99</v>
      </c>
      <c r="IQ51" s="70">
        <v>272.12</v>
      </c>
      <c r="IR51" s="70">
        <v>271.24</v>
      </c>
      <c r="IS51" s="70">
        <v>270.37</v>
      </c>
      <c r="IT51" s="70">
        <v>269.5</v>
      </c>
      <c r="IU51" s="70">
        <v>268.64</v>
      </c>
      <c r="IV51" s="70">
        <v>267.76</v>
      </c>
      <c r="IW51" s="70">
        <v>266.89999999999998</v>
      </c>
      <c r="IX51" s="70">
        <v>266.04000000000002</v>
      </c>
      <c r="IY51" s="70">
        <v>265.18</v>
      </c>
      <c r="IZ51" s="70">
        <v>264.32</v>
      </c>
      <c r="JA51" s="70">
        <v>263.45999999999998</v>
      </c>
      <c r="JB51" s="70">
        <v>262.60000000000002</v>
      </c>
      <c r="JC51" s="70">
        <v>261.74</v>
      </c>
      <c r="JD51" s="70">
        <v>260.88</v>
      </c>
      <c r="JE51" s="70">
        <v>260.01</v>
      </c>
      <c r="JF51" s="70">
        <v>259.17</v>
      </c>
      <c r="JG51" s="70">
        <v>258.31</v>
      </c>
      <c r="JH51" s="70">
        <v>257.45999999999998</v>
      </c>
      <c r="JI51" s="70">
        <v>256.60000000000002</v>
      </c>
      <c r="JJ51" s="70">
        <v>255.76</v>
      </c>
      <c r="JK51" s="70">
        <v>254.91</v>
      </c>
      <c r="JL51" s="70">
        <v>254.06</v>
      </c>
      <c r="JM51" s="70">
        <v>253.21</v>
      </c>
      <c r="JN51" s="70">
        <v>252.36</v>
      </c>
      <c r="JO51" s="70">
        <v>251.52</v>
      </c>
      <c r="JP51" s="70">
        <v>250.67</v>
      </c>
      <c r="JQ51" s="70">
        <v>249.83</v>
      </c>
      <c r="JR51" s="70">
        <v>248.99</v>
      </c>
      <c r="JS51" s="70">
        <v>248.14</v>
      </c>
      <c r="JT51" s="70">
        <v>247.3</v>
      </c>
      <c r="JU51" s="70">
        <v>246.46</v>
      </c>
      <c r="JV51" s="70">
        <v>245.63</v>
      </c>
      <c r="JW51" s="70">
        <v>244.79</v>
      </c>
      <c r="JX51" s="70">
        <v>243.95</v>
      </c>
      <c r="JY51" s="70">
        <v>243.12</v>
      </c>
      <c r="JZ51" s="70">
        <v>242.28</v>
      </c>
      <c r="KA51" s="70">
        <v>241.45</v>
      </c>
      <c r="KB51" s="70">
        <v>240.62</v>
      </c>
      <c r="KC51" s="70">
        <v>239.78</v>
      </c>
      <c r="KD51" s="70">
        <v>238.95</v>
      </c>
      <c r="KE51" s="70">
        <v>238.12</v>
      </c>
      <c r="KF51" s="70">
        <v>237.29</v>
      </c>
      <c r="KG51" s="70">
        <v>236.47</v>
      </c>
      <c r="KH51" s="70">
        <v>235.64</v>
      </c>
      <c r="KI51" s="70">
        <v>234.81</v>
      </c>
      <c r="KJ51" s="70">
        <v>233.99</v>
      </c>
      <c r="KK51" s="70">
        <v>233.17</v>
      </c>
      <c r="KL51" s="70">
        <v>232.34</v>
      </c>
      <c r="KM51" s="70">
        <v>231.52</v>
      </c>
      <c r="KN51" s="70">
        <v>230.7</v>
      </c>
      <c r="KO51" s="70">
        <v>229.89</v>
      </c>
      <c r="KP51" s="70">
        <v>229.07</v>
      </c>
      <c r="KQ51" s="70">
        <v>228.25</v>
      </c>
      <c r="KR51" s="70">
        <v>227.33000000000038</v>
      </c>
      <c r="KS51" s="70">
        <v>226.58000000000038</v>
      </c>
      <c r="KT51" s="70">
        <v>225.83000000000038</v>
      </c>
      <c r="KU51" s="70">
        <v>225.08000000000038</v>
      </c>
      <c r="KV51" s="70">
        <v>224.33000000000038</v>
      </c>
      <c r="KW51" s="70">
        <v>223.58000000000038</v>
      </c>
      <c r="KX51" s="70">
        <v>222.83000000000038</v>
      </c>
      <c r="KY51" s="70">
        <v>222.08000000000038</v>
      </c>
      <c r="KZ51" s="70">
        <v>221.33000000000038</v>
      </c>
      <c r="LA51" s="70">
        <v>220.58000000000038</v>
      </c>
      <c r="LB51" s="70">
        <v>219.83000000000038</v>
      </c>
      <c r="LC51" s="70">
        <v>219.08000000000038</v>
      </c>
      <c r="LD51" s="70">
        <v>218.33000000000038</v>
      </c>
      <c r="LE51" s="70">
        <v>217.58000000000038</v>
      </c>
      <c r="LF51" s="70">
        <v>216.83000000000038</v>
      </c>
      <c r="LG51" s="70">
        <v>216.08000000000038</v>
      </c>
      <c r="LH51" s="70">
        <v>215.33000000000038</v>
      </c>
      <c r="LI51" s="70">
        <v>214.58000000000038</v>
      </c>
      <c r="LJ51" s="70">
        <v>213.83000000000038</v>
      </c>
      <c r="LK51" s="70">
        <v>213.08000000000038</v>
      </c>
      <c r="LL51" s="70">
        <v>212.33000000000038</v>
      </c>
      <c r="LM51" s="70">
        <v>211.58000000000038</v>
      </c>
      <c r="LN51" s="70">
        <v>210.83000000000038</v>
      </c>
      <c r="LO51" s="70">
        <v>210.08000000000038</v>
      </c>
      <c r="LP51" s="70">
        <v>209.33000000000038</v>
      </c>
      <c r="LQ51" s="70">
        <v>208.58000000000038</v>
      </c>
      <c r="LR51" s="70">
        <v>207.83000000000038</v>
      </c>
      <c r="LS51" s="70">
        <v>207.08000000000038</v>
      </c>
      <c r="LT51" s="70">
        <v>206.33000000000038</v>
      </c>
      <c r="LU51" s="70">
        <v>205.58000000000038</v>
      </c>
      <c r="LV51" s="70">
        <v>204.83000000000038</v>
      </c>
      <c r="LW51" s="70">
        <v>204.08000000000038</v>
      </c>
      <c r="LX51" s="70">
        <v>203.33000000000038</v>
      </c>
      <c r="LY51" s="70">
        <v>202.58000000000038</v>
      </c>
      <c r="LZ51" s="70">
        <v>201.83000000000038</v>
      </c>
      <c r="MA51" s="70">
        <v>201.08000000000038</v>
      </c>
      <c r="MB51" s="70">
        <v>200.33000000000038</v>
      </c>
      <c r="MC51" s="70">
        <v>199.58000000000038</v>
      </c>
      <c r="MD51" s="70">
        <v>198.83000000000038</v>
      </c>
      <c r="ME51" s="70">
        <v>198.08000000000038</v>
      </c>
      <c r="MF51" s="70">
        <v>197.33000000000038</v>
      </c>
      <c r="MG51" s="70">
        <v>196.58000000000038</v>
      </c>
      <c r="MH51" s="70">
        <v>195.83000000000038</v>
      </c>
      <c r="MI51" s="70">
        <v>195.08000000000038</v>
      </c>
      <c r="MJ51" s="70">
        <v>194.33000000000038</v>
      </c>
      <c r="MK51" s="70">
        <v>193.58000000000038</v>
      </c>
      <c r="ML51" s="70">
        <v>192.83000000000038</v>
      </c>
      <c r="MM51" s="70">
        <v>192.08000000000038</v>
      </c>
      <c r="MN51" s="70">
        <v>191.33000000000038</v>
      </c>
      <c r="MO51" s="70">
        <v>190.58000000000038</v>
      </c>
      <c r="MP51" s="70">
        <v>189.83000000000038</v>
      </c>
      <c r="MQ51" s="70">
        <v>189.08000000000038</v>
      </c>
      <c r="MR51" s="70">
        <v>188.33000000000038</v>
      </c>
      <c r="MS51" s="70">
        <v>187.58000000000038</v>
      </c>
      <c r="MT51" s="70">
        <v>186.83000000000038</v>
      </c>
      <c r="MU51" s="70">
        <v>186.08000000000038</v>
      </c>
      <c r="MV51" s="70">
        <v>185.33000000000038</v>
      </c>
      <c r="MW51" s="70">
        <v>184.58000000000038</v>
      </c>
      <c r="MX51" s="70">
        <v>183.83000000000038</v>
      </c>
      <c r="MY51" s="70">
        <v>183.08000000000038</v>
      </c>
    </row>
    <row r="52" spans="1:363" ht="15.6" x14ac:dyDescent="0.3">
      <c r="A52" s="67" t="s">
        <v>7</v>
      </c>
      <c r="B52" s="72">
        <v>2062</v>
      </c>
      <c r="C52" s="70">
        <v>514.66999999999996</v>
      </c>
      <c r="D52" s="70">
        <v>513.64</v>
      </c>
      <c r="E52" s="70">
        <v>512.62</v>
      </c>
      <c r="F52" s="70">
        <v>511.59</v>
      </c>
      <c r="G52" s="70">
        <v>510.56</v>
      </c>
      <c r="H52" s="70">
        <v>509.54</v>
      </c>
      <c r="I52" s="70">
        <v>508.51</v>
      </c>
      <c r="J52" s="70">
        <v>507.48</v>
      </c>
      <c r="K52" s="70">
        <v>506.46</v>
      </c>
      <c r="L52" s="70">
        <v>505.43</v>
      </c>
      <c r="M52" s="70">
        <v>504.4</v>
      </c>
      <c r="N52" s="70">
        <v>503.38</v>
      </c>
      <c r="O52" s="70">
        <v>502.35</v>
      </c>
      <c r="P52" s="70">
        <v>501.32</v>
      </c>
      <c r="Q52" s="70">
        <v>500.3</v>
      </c>
      <c r="R52" s="70">
        <v>499.27</v>
      </c>
      <c r="S52" s="70">
        <v>498.25</v>
      </c>
      <c r="T52" s="70">
        <v>497.22</v>
      </c>
      <c r="U52" s="70">
        <v>496.19</v>
      </c>
      <c r="V52" s="70">
        <v>495.17</v>
      </c>
      <c r="W52" s="70">
        <v>494.14</v>
      </c>
      <c r="X52" s="70">
        <v>493.11</v>
      </c>
      <c r="Y52" s="70">
        <v>492.09</v>
      </c>
      <c r="Z52" s="70">
        <v>491.06</v>
      </c>
      <c r="AA52" s="70">
        <v>490.03</v>
      </c>
      <c r="AB52" s="70">
        <v>489.01</v>
      </c>
      <c r="AC52" s="70">
        <v>487.98</v>
      </c>
      <c r="AD52" s="70">
        <v>486.96</v>
      </c>
      <c r="AE52" s="70">
        <v>485.93</v>
      </c>
      <c r="AF52" s="70">
        <v>484.9</v>
      </c>
      <c r="AG52" s="70">
        <v>483.88</v>
      </c>
      <c r="AH52" s="70">
        <v>482.85</v>
      </c>
      <c r="AI52" s="70">
        <v>481.82</v>
      </c>
      <c r="AJ52" s="70">
        <v>480.8</v>
      </c>
      <c r="AK52" s="70">
        <v>479.77</v>
      </c>
      <c r="AL52" s="70">
        <v>478.75</v>
      </c>
      <c r="AM52" s="70">
        <v>477.72</v>
      </c>
      <c r="AN52" s="70">
        <v>476.69</v>
      </c>
      <c r="AO52" s="70">
        <v>475.67</v>
      </c>
      <c r="AP52" s="70">
        <v>474.64</v>
      </c>
      <c r="AQ52" s="70">
        <v>473.62</v>
      </c>
      <c r="AR52" s="70">
        <v>472.59</v>
      </c>
      <c r="AS52" s="70">
        <v>471.57</v>
      </c>
      <c r="AT52" s="70">
        <v>470.54</v>
      </c>
      <c r="AU52" s="70">
        <v>469.52</v>
      </c>
      <c r="AV52" s="70">
        <v>468.49</v>
      </c>
      <c r="AW52" s="70">
        <v>467.47</v>
      </c>
      <c r="AX52" s="70">
        <v>466.44</v>
      </c>
      <c r="AY52" s="70">
        <v>465.42</v>
      </c>
      <c r="AZ52" s="70">
        <v>464.39</v>
      </c>
      <c r="BA52" s="70">
        <v>463.37</v>
      </c>
      <c r="BB52" s="70">
        <v>462.34</v>
      </c>
      <c r="BC52" s="70">
        <v>461.32</v>
      </c>
      <c r="BD52" s="70">
        <v>460.3</v>
      </c>
      <c r="BE52" s="70">
        <v>459.27</v>
      </c>
      <c r="BF52" s="70">
        <v>458.25</v>
      </c>
      <c r="BG52" s="70">
        <v>457.22</v>
      </c>
      <c r="BH52" s="70">
        <v>456.2</v>
      </c>
      <c r="BI52" s="70">
        <v>455.18</v>
      </c>
      <c r="BJ52" s="70">
        <v>454.15</v>
      </c>
      <c r="BK52" s="70">
        <v>453.13</v>
      </c>
      <c r="BL52" s="70">
        <v>452.11</v>
      </c>
      <c r="BM52" s="70">
        <v>451.08</v>
      </c>
      <c r="BN52" s="70">
        <v>450.06</v>
      </c>
      <c r="BO52" s="70">
        <v>449.04</v>
      </c>
      <c r="BP52" s="70">
        <v>448.02</v>
      </c>
      <c r="BQ52" s="70">
        <v>447</v>
      </c>
      <c r="BR52" s="70">
        <v>445.98</v>
      </c>
      <c r="BS52" s="70">
        <v>444.96</v>
      </c>
      <c r="BT52" s="70">
        <v>443.93</v>
      </c>
      <c r="BU52" s="70">
        <v>442.91</v>
      </c>
      <c r="BV52" s="70">
        <v>441.89</v>
      </c>
      <c r="BW52" s="70">
        <v>440.87</v>
      </c>
      <c r="BX52" s="70">
        <v>439.85</v>
      </c>
      <c r="BY52" s="70">
        <v>438.83</v>
      </c>
      <c r="BZ52" s="70">
        <v>437.81</v>
      </c>
      <c r="CA52" s="70">
        <v>436.8</v>
      </c>
      <c r="CB52" s="70">
        <v>435.78</v>
      </c>
      <c r="CC52" s="70">
        <v>434.76</v>
      </c>
      <c r="CD52" s="70">
        <v>433.74</v>
      </c>
      <c r="CE52" s="70">
        <v>432.72</v>
      </c>
      <c r="CF52" s="70">
        <v>431.71</v>
      </c>
      <c r="CG52" s="70">
        <v>430.69</v>
      </c>
      <c r="CH52" s="70">
        <v>429.67</v>
      </c>
      <c r="CI52" s="70">
        <v>428.65</v>
      </c>
      <c r="CJ52" s="70">
        <v>427.64</v>
      </c>
      <c r="CK52" s="70">
        <v>426.63</v>
      </c>
      <c r="CL52" s="70">
        <v>425.61</v>
      </c>
      <c r="CM52" s="70">
        <v>424.6</v>
      </c>
      <c r="CN52" s="70">
        <v>423.59</v>
      </c>
      <c r="CO52" s="70">
        <v>422.57</v>
      </c>
      <c r="CP52" s="70">
        <v>421.56</v>
      </c>
      <c r="CQ52" s="70">
        <v>420.55</v>
      </c>
      <c r="CR52" s="70">
        <v>419.54</v>
      </c>
      <c r="CS52" s="70">
        <v>418.52</v>
      </c>
      <c r="CT52" s="70">
        <v>417.51</v>
      </c>
      <c r="CU52" s="70">
        <v>416.5</v>
      </c>
      <c r="CV52" s="70">
        <v>415.49</v>
      </c>
      <c r="CW52" s="70">
        <v>414.48</v>
      </c>
      <c r="CX52" s="70">
        <v>413.48</v>
      </c>
      <c r="CY52" s="70">
        <v>412.47</v>
      </c>
      <c r="CZ52" s="70">
        <v>411.46</v>
      </c>
      <c r="DA52" s="70">
        <v>410.46</v>
      </c>
      <c r="DB52" s="70">
        <v>409.45</v>
      </c>
      <c r="DC52" s="70">
        <v>408.45</v>
      </c>
      <c r="DD52" s="70">
        <v>407.44</v>
      </c>
      <c r="DE52" s="70">
        <v>406.43</v>
      </c>
      <c r="DF52" s="70">
        <v>405.43</v>
      </c>
      <c r="DG52" s="70">
        <v>404.42</v>
      </c>
      <c r="DH52" s="70">
        <v>403.42</v>
      </c>
      <c r="DI52" s="70">
        <v>402.42</v>
      </c>
      <c r="DJ52" s="70">
        <v>401.42</v>
      </c>
      <c r="DK52" s="70">
        <v>400.42</v>
      </c>
      <c r="DL52" s="70">
        <v>399.42</v>
      </c>
      <c r="DM52" s="70">
        <v>398.42</v>
      </c>
      <c r="DN52" s="70">
        <v>397.43</v>
      </c>
      <c r="DO52" s="70">
        <v>396.43</v>
      </c>
      <c r="DP52" s="70">
        <v>395.43</v>
      </c>
      <c r="DQ52" s="70">
        <v>394.43</v>
      </c>
      <c r="DR52" s="70">
        <v>393.43</v>
      </c>
      <c r="DS52" s="70">
        <v>392.44</v>
      </c>
      <c r="DT52" s="70">
        <v>391.45</v>
      </c>
      <c r="DU52" s="70">
        <v>390.46</v>
      </c>
      <c r="DV52" s="70">
        <v>389.47</v>
      </c>
      <c r="DW52" s="70">
        <v>388.48</v>
      </c>
      <c r="DX52" s="70">
        <v>387.49</v>
      </c>
      <c r="DY52" s="70">
        <v>386.5</v>
      </c>
      <c r="DZ52" s="70">
        <v>385.51</v>
      </c>
      <c r="EA52" s="70">
        <v>384.52</v>
      </c>
      <c r="EB52" s="70">
        <v>383.53</v>
      </c>
      <c r="EC52" s="70">
        <v>382.55</v>
      </c>
      <c r="ED52" s="70">
        <v>381.56</v>
      </c>
      <c r="EE52" s="70">
        <v>380.57</v>
      </c>
      <c r="EF52" s="70">
        <v>379.6</v>
      </c>
      <c r="EG52" s="70">
        <v>378.62</v>
      </c>
      <c r="EH52" s="70">
        <v>377.64</v>
      </c>
      <c r="EI52" s="70">
        <v>376.67</v>
      </c>
      <c r="EJ52" s="70">
        <v>375.69</v>
      </c>
      <c r="EK52" s="70">
        <v>374.72</v>
      </c>
      <c r="EL52" s="70">
        <v>373.74</v>
      </c>
      <c r="EM52" s="70">
        <v>372.77</v>
      </c>
      <c r="EN52" s="70">
        <v>371.79</v>
      </c>
      <c r="EO52" s="70">
        <v>370.82</v>
      </c>
      <c r="EP52" s="70">
        <v>369.85</v>
      </c>
      <c r="EQ52" s="70">
        <v>368.88</v>
      </c>
      <c r="ER52" s="70">
        <v>367.91</v>
      </c>
      <c r="ES52" s="70">
        <v>366.94</v>
      </c>
      <c r="ET52" s="70">
        <v>365.98</v>
      </c>
      <c r="EU52" s="70">
        <v>365.01</v>
      </c>
      <c r="EV52" s="70">
        <v>364.05</v>
      </c>
      <c r="EW52" s="70">
        <v>363.08</v>
      </c>
      <c r="EX52" s="70">
        <v>362.12</v>
      </c>
      <c r="EY52" s="70">
        <v>361.15</v>
      </c>
      <c r="EZ52" s="70">
        <v>360.19</v>
      </c>
      <c r="FA52" s="70">
        <v>359.23</v>
      </c>
      <c r="FB52" s="70">
        <v>358.27</v>
      </c>
      <c r="FC52" s="70">
        <v>357.31</v>
      </c>
      <c r="FD52" s="70">
        <v>356.35</v>
      </c>
      <c r="FE52" s="70">
        <v>355.39</v>
      </c>
      <c r="FF52" s="70">
        <v>354.43</v>
      </c>
      <c r="FG52" s="70">
        <v>353.47</v>
      </c>
      <c r="FH52" s="70">
        <v>352.51</v>
      </c>
      <c r="FI52" s="70">
        <v>351.56</v>
      </c>
      <c r="FJ52" s="70">
        <v>350.6</v>
      </c>
      <c r="FK52" s="70">
        <v>349.64</v>
      </c>
      <c r="FL52" s="70">
        <v>348.69</v>
      </c>
      <c r="FM52" s="70">
        <v>347.73</v>
      </c>
      <c r="FN52" s="70">
        <v>346.78</v>
      </c>
      <c r="FO52" s="70">
        <v>345.83</v>
      </c>
      <c r="FP52" s="70">
        <v>344.88</v>
      </c>
      <c r="FQ52" s="70">
        <v>343.92</v>
      </c>
      <c r="FR52" s="70">
        <v>342.97</v>
      </c>
      <c r="FS52" s="70">
        <v>342.02</v>
      </c>
      <c r="FT52" s="70">
        <v>341.07</v>
      </c>
      <c r="FU52" s="70">
        <v>340.12</v>
      </c>
      <c r="FV52" s="70">
        <v>339.18</v>
      </c>
      <c r="FW52" s="70">
        <v>338.23</v>
      </c>
      <c r="FX52" s="70">
        <v>337.28</v>
      </c>
      <c r="FY52" s="70">
        <v>336.34</v>
      </c>
      <c r="FZ52" s="70">
        <v>335.39</v>
      </c>
      <c r="GA52" s="70">
        <v>334.45</v>
      </c>
      <c r="GB52" s="70">
        <v>333.5</v>
      </c>
      <c r="GC52" s="70">
        <v>332.56</v>
      </c>
      <c r="GD52" s="70">
        <v>331.62</v>
      </c>
      <c r="GE52" s="70">
        <v>330.68</v>
      </c>
      <c r="GF52" s="70">
        <v>329.74</v>
      </c>
      <c r="GG52" s="70">
        <v>328.8</v>
      </c>
      <c r="GH52" s="70">
        <v>327.86</v>
      </c>
      <c r="GI52" s="70">
        <v>326.92</v>
      </c>
      <c r="GJ52" s="70">
        <v>325.99</v>
      </c>
      <c r="GK52" s="70">
        <v>325.04000000000002</v>
      </c>
      <c r="GL52" s="70">
        <v>324.10000000000002</v>
      </c>
      <c r="GM52" s="70">
        <v>323.18</v>
      </c>
      <c r="GN52" s="70">
        <v>322.25</v>
      </c>
      <c r="GO52" s="70">
        <v>321.32</v>
      </c>
      <c r="GP52" s="70">
        <v>320.39</v>
      </c>
      <c r="GQ52" s="70">
        <v>319.45999999999998</v>
      </c>
      <c r="GR52" s="70">
        <v>318.52999999999997</v>
      </c>
      <c r="GS52" s="70">
        <v>317.60000000000002</v>
      </c>
      <c r="GT52" s="70">
        <v>316.67</v>
      </c>
      <c r="GU52" s="70">
        <v>315.75</v>
      </c>
      <c r="GV52" s="70">
        <v>314.82</v>
      </c>
      <c r="GW52" s="70">
        <v>313.89999999999998</v>
      </c>
      <c r="GX52" s="70">
        <v>312.98</v>
      </c>
      <c r="GY52" s="70">
        <v>312.04000000000002</v>
      </c>
      <c r="GZ52" s="70">
        <v>311.13</v>
      </c>
      <c r="HA52" s="70">
        <v>310.20999999999998</v>
      </c>
      <c r="HB52" s="70">
        <v>309.29000000000002</v>
      </c>
      <c r="HC52" s="70">
        <v>308.38</v>
      </c>
      <c r="HD52" s="70">
        <v>307.45999999999998</v>
      </c>
      <c r="HE52" s="70">
        <v>306.54000000000002</v>
      </c>
      <c r="HF52" s="70">
        <v>305.63</v>
      </c>
      <c r="HG52" s="70">
        <v>304.72000000000003</v>
      </c>
      <c r="HH52" s="70">
        <v>303.81</v>
      </c>
      <c r="HI52" s="70">
        <v>302.89999999999998</v>
      </c>
      <c r="HJ52" s="70">
        <v>301.99</v>
      </c>
      <c r="HK52" s="70">
        <v>301.07</v>
      </c>
      <c r="HL52" s="70">
        <v>300.17</v>
      </c>
      <c r="HM52" s="70">
        <v>299.26</v>
      </c>
      <c r="HN52" s="70">
        <v>298.35000000000002</v>
      </c>
      <c r="HO52" s="70">
        <v>297.45999999999998</v>
      </c>
      <c r="HP52" s="70">
        <v>296.54000000000002</v>
      </c>
      <c r="HQ52" s="70">
        <v>295.64999999999998</v>
      </c>
      <c r="HR52" s="70">
        <v>294.75</v>
      </c>
      <c r="HS52" s="70">
        <v>293.85000000000002</v>
      </c>
      <c r="HT52" s="70">
        <v>292.95</v>
      </c>
      <c r="HU52" s="70">
        <v>292.06</v>
      </c>
      <c r="HV52" s="70">
        <v>291.16000000000003</v>
      </c>
      <c r="HW52" s="70">
        <v>290.26</v>
      </c>
      <c r="HX52" s="70">
        <v>289.37</v>
      </c>
      <c r="HY52" s="70">
        <v>288.48</v>
      </c>
      <c r="HZ52" s="70">
        <v>287.58999999999997</v>
      </c>
      <c r="IA52" s="70">
        <v>286.7</v>
      </c>
      <c r="IB52" s="70">
        <v>285.81</v>
      </c>
      <c r="IC52" s="70">
        <v>284.92</v>
      </c>
      <c r="ID52" s="70">
        <v>284.02999999999997</v>
      </c>
      <c r="IE52" s="70">
        <v>283.14</v>
      </c>
      <c r="IF52" s="70">
        <v>282.26</v>
      </c>
      <c r="IG52" s="70">
        <v>281.37</v>
      </c>
      <c r="IH52" s="70">
        <v>280.49</v>
      </c>
      <c r="II52" s="70">
        <v>279.60000000000002</v>
      </c>
      <c r="IJ52" s="70">
        <v>278.72000000000003</v>
      </c>
      <c r="IK52" s="70">
        <v>277.83999999999997</v>
      </c>
      <c r="IL52" s="70">
        <v>276.95999999999998</v>
      </c>
      <c r="IM52" s="70">
        <v>276.07</v>
      </c>
      <c r="IN52" s="70">
        <v>275.20999999999998</v>
      </c>
      <c r="IO52" s="70">
        <v>274.32</v>
      </c>
      <c r="IP52" s="70">
        <v>273.45999999999998</v>
      </c>
      <c r="IQ52" s="70">
        <v>272.57</v>
      </c>
      <c r="IR52" s="70">
        <v>271.70999999999998</v>
      </c>
      <c r="IS52" s="70">
        <v>270.83999999999997</v>
      </c>
      <c r="IT52" s="70">
        <v>269.97000000000003</v>
      </c>
      <c r="IU52" s="70">
        <v>269.10000000000002</v>
      </c>
      <c r="IV52" s="70">
        <v>268.23</v>
      </c>
      <c r="IW52" s="70">
        <v>267.37</v>
      </c>
      <c r="IX52" s="70">
        <v>266.5</v>
      </c>
      <c r="IY52" s="70">
        <v>265.64</v>
      </c>
      <c r="IZ52" s="70">
        <v>264.77999999999997</v>
      </c>
      <c r="JA52" s="70">
        <v>263.92</v>
      </c>
      <c r="JB52" s="70">
        <v>263.06</v>
      </c>
      <c r="JC52" s="70">
        <v>262.2</v>
      </c>
      <c r="JD52" s="70">
        <v>261.33999999999997</v>
      </c>
      <c r="JE52" s="70">
        <v>260.48</v>
      </c>
      <c r="JF52" s="70">
        <v>259.63</v>
      </c>
      <c r="JG52" s="70">
        <v>258.76</v>
      </c>
      <c r="JH52" s="70">
        <v>257.92</v>
      </c>
      <c r="JI52" s="70">
        <v>257.07</v>
      </c>
      <c r="JJ52" s="70">
        <v>256.22000000000003</v>
      </c>
      <c r="JK52" s="70">
        <v>255.37</v>
      </c>
      <c r="JL52" s="70">
        <v>254.52</v>
      </c>
      <c r="JM52" s="70">
        <v>253.67</v>
      </c>
      <c r="JN52" s="70">
        <v>252.82</v>
      </c>
      <c r="JO52" s="70">
        <v>251.97</v>
      </c>
      <c r="JP52" s="70">
        <v>251.13</v>
      </c>
      <c r="JQ52" s="70">
        <v>250.28</v>
      </c>
      <c r="JR52" s="70">
        <v>249.44</v>
      </c>
      <c r="JS52" s="70">
        <v>248.6</v>
      </c>
      <c r="JT52" s="70">
        <v>247.76</v>
      </c>
      <c r="JU52" s="70">
        <v>246.92</v>
      </c>
      <c r="JV52" s="70">
        <v>246.08</v>
      </c>
      <c r="JW52" s="70">
        <v>245.24</v>
      </c>
      <c r="JX52" s="70">
        <v>244.4</v>
      </c>
      <c r="JY52" s="70">
        <v>243.57</v>
      </c>
      <c r="JZ52" s="70">
        <v>242.73</v>
      </c>
      <c r="KA52" s="70">
        <v>241.9</v>
      </c>
      <c r="KB52" s="70">
        <v>241.06</v>
      </c>
      <c r="KC52" s="70">
        <v>240.23</v>
      </c>
      <c r="KD52" s="70">
        <v>239.4</v>
      </c>
      <c r="KE52" s="70">
        <v>238.57</v>
      </c>
      <c r="KF52" s="70">
        <v>237.74</v>
      </c>
      <c r="KG52" s="70">
        <v>236.91</v>
      </c>
      <c r="KH52" s="70">
        <v>236.08</v>
      </c>
      <c r="KI52" s="70">
        <v>235.26</v>
      </c>
      <c r="KJ52" s="70">
        <v>234.43</v>
      </c>
      <c r="KK52" s="70">
        <v>233.61</v>
      </c>
      <c r="KL52" s="70">
        <v>232.79</v>
      </c>
      <c r="KM52" s="70">
        <v>231.97</v>
      </c>
      <c r="KN52" s="70">
        <v>231.15</v>
      </c>
      <c r="KO52" s="70">
        <v>230.33</v>
      </c>
      <c r="KP52" s="70">
        <v>229.51</v>
      </c>
      <c r="KQ52" s="70">
        <v>228.69</v>
      </c>
      <c r="KR52" s="70">
        <v>227.79000000000039</v>
      </c>
      <c r="KS52" s="70">
        <v>227.04000000000039</v>
      </c>
      <c r="KT52" s="70">
        <v>226.29000000000039</v>
      </c>
      <c r="KU52" s="70">
        <v>225.54000000000039</v>
      </c>
      <c r="KV52" s="70">
        <v>224.79000000000039</v>
      </c>
      <c r="KW52" s="70">
        <v>224.04000000000039</v>
      </c>
      <c r="KX52" s="70">
        <v>223.29000000000039</v>
      </c>
      <c r="KY52" s="70">
        <v>222.54000000000039</v>
      </c>
      <c r="KZ52" s="70">
        <v>221.79000000000039</v>
      </c>
      <c r="LA52" s="70">
        <v>221.04000000000039</v>
      </c>
      <c r="LB52" s="70">
        <v>220.29000000000039</v>
      </c>
      <c r="LC52" s="70">
        <v>219.54000000000039</v>
      </c>
      <c r="LD52" s="70">
        <v>218.79000000000039</v>
      </c>
      <c r="LE52" s="70">
        <v>218.04000000000039</v>
      </c>
      <c r="LF52" s="70">
        <v>217.29000000000039</v>
      </c>
      <c r="LG52" s="70">
        <v>216.54000000000039</v>
      </c>
      <c r="LH52" s="70">
        <v>215.79000000000039</v>
      </c>
      <c r="LI52" s="70">
        <v>215.04000000000039</v>
      </c>
      <c r="LJ52" s="70">
        <v>214.29000000000039</v>
      </c>
      <c r="LK52" s="70">
        <v>213.54000000000039</v>
      </c>
      <c r="LL52" s="70">
        <v>212.79000000000039</v>
      </c>
      <c r="LM52" s="70">
        <v>212.04000000000039</v>
      </c>
      <c r="LN52" s="70">
        <v>211.29000000000039</v>
      </c>
      <c r="LO52" s="70">
        <v>210.54000000000039</v>
      </c>
      <c r="LP52" s="70">
        <v>209.79000000000039</v>
      </c>
      <c r="LQ52" s="70">
        <v>209.04000000000039</v>
      </c>
      <c r="LR52" s="70">
        <v>208.29000000000039</v>
      </c>
      <c r="LS52" s="70">
        <v>207.54000000000039</v>
      </c>
      <c r="LT52" s="70">
        <v>206.79000000000039</v>
      </c>
      <c r="LU52" s="70">
        <v>206.04000000000039</v>
      </c>
      <c r="LV52" s="70">
        <v>205.29000000000039</v>
      </c>
      <c r="LW52" s="70">
        <v>204.54000000000039</v>
      </c>
      <c r="LX52" s="70">
        <v>203.79000000000039</v>
      </c>
      <c r="LY52" s="70">
        <v>203.04000000000039</v>
      </c>
      <c r="LZ52" s="70">
        <v>202.29000000000039</v>
      </c>
      <c r="MA52" s="70">
        <v>201.54000000000039</v>
      </c>
      <c r="MB52" s="70">
        <v>200.79000000000039</v>
      </c>
      <c r="MC52" s="70">
        <v>200.04000000000039</v>
      </c>
      <c r="MD52" s="70">
        <v>199.29000000000039</v>
      </c>
      <c r="ME52" s="70">
        <v>198.54000000000039</v>
      </c>
      <c r="MF52" s="70">
        <v>197.79000000000039</v>
      </c>
      <c r="MG52" s="70">
        <v>197.04000000000039</v>
      </c>
      <c r="MH52" s="70">
        <v>196.29000000000039</v>
      </c>
      <c r="MI52" s="70">
        <v>195.54000000000039</v>
      </c>
      <c r="MJ52" s="70">
        <v>194.79000000000039</v>
      </c>
      <c r="MK52" s="70">
        <v>194.04000000000039</v>
      </c>
      <c r="ML52" s="70">
        <v>193.29000000000039</v>
      </c>
      <c r="MM52" s="70">
        <v>192.54000000000039</v>
      </c>
      <c r="MN52" s="70">
        <v>191.79000000000039</v>
      </c>
      <c r="MO52" s="70">
        <v>191.04000000000039</v>
      </c>
      <c r="MP52" s="70">
        <v>190.29000000000039</v>
      </c>
      <c r="MQ52" s="70">
        <v>189.54000000000039</v>
      </c>
      <c r="MR52" s="70">
        <v>188.79000000000039</v>
      </c>
      <c r="MS52" s="70">
        <v>188.04000000000039</v>
      </c>
      <c r="MT52" s="70">
        <v>187.29000000000039</v>
      </c>
      <c r="MU52" s="70">
        <v>186.54000000000039</v>
      </c>
      <c r="MV52" s="70">
        <v>185.79000000000039</v>
      </c>
      <c r="MW52" s="70">
        <v>185.04000000000039</v>
      </c>
      <c r="MX52" s="70">
        <v>184.29000000000039</v>
      </c>
      <c r="MY52" s="70">
        <v>183.54000000000039</v>
      </c>
    </row>
    <row r="53" spans="1:363" ht="15.6" x14ac:dyDescent="0.3">
      <c r="A53" s="67" t="s">
        <v>7</v>
      </c>
      <c r="B53" s="72">
        <v>2063</v>
      </c>
      <c r="C53" s="70">
        <v>515.20000000000005</v>
      </c>
      <c r="D53" s="70">
        <v>514.16999999999996</v>
      </c>
      <c r="E53" s="70">
        <v>513.14</v>
      </c>
      <c r="F53" s="70">
        <v>512.12</v>
      </c>
      <c r="G53" s="70">
        <v>511.09</v>
      </c>
      <c r="H53" s="70">
        <v>510.06</v>
      </c>
      <c r="I53" s="70">
        <v>509.04</v>
      </c>
      <c r="J53" s="70">
        <v>508.01</v>
      </c>
      <c r="K53" s="70">
        <v>506.98</v>
      </c>
      <c r="L53" s="70">
        <v>505.96</v>
      </c>
      <c r="M53" s="70">
        <v>504.93</v>
      </c>
      <c r="N53" s="70">
        <v>503.91</v>
      </c>
      <c r="O53" s="70">
        <v>502.88</v>
      </c>
      <c r="P53" s="70">
        <v>501.85</v>
      </c>
      <c r="Q53" s="70">
        <v>500.83</v>
      </c>
      <c r="R53" s="70">
        <v>499.8</v>
      </c>
      <c r="S53" s="70">
        <v>498.77</v>
      </c>
      <c r="T53" s="70">
        <v>497.75</v>
      </c>
      <c r="U53" s="70">
        <v>496.72</v>
      </c>
      <c r="V53" s="70">
        <v>495.69</v>
      </c>
      <c r="W53" s="70">
        <v>494.67</v>
      </c>
      <c r="X53" s="70">
        <v>493.64</v>
      </c>
      <c r="Y53" s="70">
        <v>492.61</v>
      </c>
      <c r="Z53" s="70">
        <v>491.59</v>
      </c>
      <c r="AA53" s="70">
        <v>490.56</v>
      </c>
      <c r="AB53" s="70">
        <v>489.53</v>
      </c>
      <c r="AC53" s="70">
        <v>488.51</v>
      </c>
      <c r="AD53" s="70">
        <v>487.48</v>
      </c>
      <c r="AE53" s="70">
        <v>486.45</v>
      </c>
      <c r="AF53" s="70">
        <v>485.43</v>
      </c>
      <c r="AG53" s="70">
        <v>484.4</v>
      </c>
      <c r="AH53" s="70">
        <v>483.38</v>
      </c>
      <c r="AI53" s="70">
        <v>482.35</v>
      </c>
      <c r="AJ53" s="70">
        <v>481.32</v>
      </c>
      <c r="AK53" s="70">
        <v>480.3</v>
      </c>
      <c r="AL53" s="70">
        <v>479.27</v>
      </c>
      <c r="AM53" s="70">
        <v>478.24</v>
      </c>
      <c r="AN53" s="70">
        <v>477.22</v>
      </c>
      <c r="AO53" s="70">
        <v>476.19</v>
      </c>
      <c r="AP53" s="70">
        <v>475.17</v>
      </c>
      <c r="AQ53" s="70">
        <v>474.14</v>
      </c>
      <c r="AR53" s="70">
        <v>473.12</v>
      </c>
      <c r="AS53" s="70">
        <v>472.09</v>
      </c>
      <c r="AT53" s="70">
        <v>471.06</v>
      </c>
      <c r="AU53" s="70">
        <v>470.04</v>
      </c>
      <c r="AV53" s="70">
        <v>469.01</v>
      </c>
      <c r="AW53" s="70">
        <v>467.99</v>
      </c>
      <c r="AX53" s="70">
        <v>466.96</v>
      </c>
      <c r="AY53" s="70">
        <v>465.94</v>
      </c>
      <c r="AZ53" s="70">
        <v>464.91</v>
      </c>
      <c r="BA53" s="70">
        <v>463.89</v>
      </c>
      <c r="BB53" s="70">
        <v>462.87</v>
      </c>
      <c r="BC53" s="70">
        <v>461.84</v>
      </c>
      <c r="BD53" s="70">
        <v>460.82</v>
      </c>
      <c r="BE53" s="70">
        <v>459.79</v>
      </c>
      <c r="BF53" s="70">
        <v>458.77</v>
      </c>
      <c r="BG53" s="70">
        <v>457.74</v>
      </c>
      <c r="BH53" s="70">
        <v>456.72</v>
      </c>
      <c r="BI53" s="70">
        <v>455.7</v>
      </c>
      <c r="BJ53" s="70">
        <v>454.67</v>
      </c>
      <c r="BK53" s="70">
        <v>453.65</v>
      </c>
      <c r="BL53" s="70">
        <v>452.63</v>
      </c>
      <c r="BM53" s="70">
        <v>451.6</v>
      </c>
      <c r="BN53" s="70">
        <v>450.58</v>
      </c>
      <c r="BO53" s="70">
        <v>449.56</v>
      </c>
      <c r="BP53" s="70">
        <v>448.54</v>
      </c>
      <c r="BQ53" s="70">
        <v>447.52</v>
      </c>
      <c r="BR53" s="70">
        <v>446.49</v>
      </c>
      <c r="BS53" s="70">
        <v>445.47</v>
      </c>
      <c r="BT53" s="70">
        <v>444.45</v>
      </c>
      <c r="BU53" s="70">
        <v>443.43</v>
      </c>
      <c r="BV53" s="70">
        <v>442.41</v>
      </c>
      <c r="BW53" s="70">
        <v>441.39</v>
      </c>
      <c r="BX53" s="70">
        <v>440.37</v>
      </c>
      <c r="BY53" s="70">
        <v>439.35</v>
      </c>
      <c r="BZ53" s="70">
        <v>438.33</v>
      </c>
      <c r="CA53" s="70">
        <v>437.31</v>
      </c>
      <c r="CB53" s="70">
        <v>436.29</v>
      </c>
      <c r="CC53" s="70">
        <v>435.28</v>
      </c>
      <c r="CD53" s="70">
        <v>434.26</v>
      </c>
      <c r="CE53" s="70">
        <v>433.24</v>
      </c>
      <c r="CF53" s="70">
        <v>432.22</v>
      </c>
      <c r="CG53" s="70">
        <v>431.2</v>
      </c>
      <c r="CH53" s="70">
        <v>430.18</v>
      </c>
      <c r="CI53" s="70">
        <v>429.17</v>
      </c>
      <c r="CJ53" s="70">
        <v>428.15</v>
      </c>
      <c r="CK53" s="70">
        <v>427.14</v>
      </c>
      <c r="CL53" s="70">
        <v>426.13</v>
      </c>
      <c r="CM53" s="70">
        <v>425.11</v>
      </c>
      <c r="CN53" s="70">
        <v>424.1</v>
      </c>
      <c r="CO53" s="70">
        <v>423.09</v>
      </c>
      <c r="CP53" s="70">
        <v>422.07</v>
      </c>
      <c r="CQ53" s="70">
        <v>421.06</v>
      </c>
      <c r="CR53" s="70">
        <v>420.05</v>
      </c>
      <c r="CS53" s="70">
        <v>419.03</v>
      </c>
      <c r="CT53" s="70">
        <v>418.02</v>
      </c>
      <c r="CU53" s="70">
        <v>417.01</v>
      </c>
      <c r="CV53" s="70">
        <v>416</v>
      </c>
      <c r="CW53" s="70">
        <v>414.99</v>
      </c>
      <c r="CX53" s="70">
        <v>413.99</v>
      </c>
      <c r="CY53" s="70">
        <v>412.98</v>
      </c>
      <c r="CZ53" s="70">
        <v>411.97</v>
      </c>
      <c r="DA53" s="70">
        <v>410.97</v>
      </c>
      <c r="DB53" s="70">
        <v>409.96</v>
      </c>
      <c r="DC53" s="70">
        <v>408.95</v>
      </c>
      <c r="DD53" s="70">
        <v>407.95</v>
      </c>
      <c r="DE53" s="70">
        <v>406.94</v>
      </c>
      <c r="DF53" s="70">
        <v>405.93</v>
      </c>
      <c r="DG53" s="70">
        <v>404.93</v>
      </c>
      <c r="DH53" s="70">
        <v>403.93</v>
      </c>
      <c r="DI53" s="70">
        <v>402.93</v>
      </c>
      <c r="DJ53" s="70">
        <v>401.93</v>
      </c>
      <c r="DK53" s="70">
        <v>400.93</v>
      </c>
      <c r="DL53" s="70">
        <v>399.93</v>
      </c>
      <c r="DM53" s="70">
        <v>398.93</v>
      </c>
      <c r="DN53" s="70">
        <v>397.93</v>
      </c>
      <c r="DO53" s="70">
        <v>396.93</v>
      </c>
      <c r="DP53" s="70">
        <v>395.93</v>
      </c>
      <c r="DQ53" s="70">
        <v>394.94</v>
      </c>
      <c r="DR53" s="70">
        <v>393.94</v>
      </c>
      <c r="DS53" s="70">
        <v>392.94</v>
      </c>
      <c r="DT53" s="70">
        <v>391.95</v>
      </c>
      <c r="DU53" s="70">
        <v>390.96</v>
      </c>
      <c r="DV53" s="70">
        <v>389.97</v>
      </c>
      <c r="DW53" s="70">
        <v>388.98</v>
      </c>
      <c r="DX53" s="70">
        <v>387.99</v>
      </c>
      <c r="DY53" s="70">
        <v>387</v>
      </c>
      <c r="DZ53" s="70">
        <v>386.01</v>
      </c>
      <c r="EA53" s="70">
        <v>385.02</v>
      </c>
      <c r="EB53" s="70">
        <v>384.04</v>
      </c>
      <c r="EC53" s="70">
        <v>383.05</v>
      </c>
      <c r="ED53" s="70">
        <v>382.06</v>
      </c>
      <c r="EE53" s="70">
        <v>381.08</v>
      </c>
      <c r="EF53" s="70">
        <v>380.1</v>
      </c>
      <c r="EG53" s="70">
        <v>379.12</v>
      </c>
      <c r="EH53" s="70">
        <v>378.14</v>
      </c>
      <c r="EI53" s="70">
        <v>377.17</v>
      </c>
      <c r="EJ53" s="70">
        <v>376.19</v>
      </c>
      <c r="EK53" s="70">
        <v>375.22</v>
      </c>
      <c r="EL53" s="70">
        <v>374.24</v>
      </c>
      <c r="EM53" s="70">
        <v>373.27</v>
      </c>
      <c r="EN53" s="70">
        <v>372.29</v>
      </c>
      <c r="EO53" s="70">
        <v>371.32</v>
      </c>
      <c r="EP53" s="70">
        <v>370.35</v>
      </c>
      <c r="EQ53" s="70">
        <v>369.37</v>
      </c>
      <c r="ER53" s="70">
        <v>368.41</v>
      </c>
      <c r="ES53" s="70">
        <v>367.44</v>
      </c>
      <c r="ET53" s="70">
        <v>366.47</v>
      </c>
      <c r="EU53" s="70">
        <v>365.51</v>
      </c>
      <c r="EV53" s="70">
        <v>364.54</v>
      </c>
      <c r="EW53" s="70">
        <v>363.58</v>
      </c>
      <c r="EX53" s="70">
        <v>362.62</v>
      </c>
      <c r="EY53" s="70">
        <v>361.65</v>
      </c>
      <c r="EZ53" s="70">
        <v>360.69</v>
      </c>
      <c r="FA53" s="70">
        <v>359.73</v>
      </c>
      <c r="FB53" s="70">
        <v>358.76</v>
      </c>
      <c r="FC53" s="70">
        <v>357.8</v>
      </c>
      <c r="FD53" s="70">
        <v>356.84</v>
      </c>
      <c r="FE53" s="70">
        <v>355.88</v>
      </c>
      <c r="FF53" s="70">
        <v>354.92</v>
      </c>
      <c r="FG53" s="70">
        <v>353.97</v>
      </c>
      <c r="FH53" s="70">
        <v>353.01</v>
      </c>
      <c r="FI53" s="70">
        <v>352.05</v>
      </c>
      <c r="FJ53" s="70">
        <v>351.09</v>
      </c>
      <c r="FK53" s="70">
        <v>350.14</v>
      </c>
      <c r="FL53" s="70">
        <v>349.18</v>
      </c>
      <c r="FM53" s="70">
        <v>348.23</v>
      </c>
      <c r="FN53" s="70">
        <v>347.27</v>
      </c>
      <c r="FO53" s="70">
        <v>346.32</v>
      </c>
      <c r="FP53" s="70">
        <v>345.37</v>
      </c>
      <c r="FQ53" s="70">
        <v>344.42</v>
      </c>
      <c r="FR53" s="70">
        <v>343.47</v>
      </c>
      <c r="FS53" s="70">
        <v>342.52</v>
      </c>
      <c r="FT53" s="70">
        <v>341.57</v>
      </c>
      <c r="FU53" s="70">
        <v>340.62</v>
      </c>
      <c r="FV53" s="70">
        <v>339.67</v>
      </c>
      <c r="FW53" s="70">
        <v>338.72</v>
      </c>
      <c r="FX53" s="70">
        <v>337.77</v>
      </c>
      <c r="FY53" s="70">
        <v>336.83</v>
      </c>
      <c r="FZ53" s="70">
        <v>335.88</v>
      </c>
      <c r="GA53" s="70">
        <v>334.94</v>
      </c>
      <c r="GB53" s="70">
        <v>333.99</v>
      </c>
      <c r="GC53" s="70">
        <v>333.05</v>
      </c>
      <c r="GD53" s="70">
        <v>332.11</v>
      </c>
      <c r="GE53" s="70">
        <v>331.17</v>
      </c>
      <c r="GF53" s="70">
        <v>330.23</v>
      </c>
      <c r="GG53" s="70">
        <v>329.29</v>
      </c>
      <c r="GH53" s="70">
        <v>328.35</v>
      </c>
      <c r="GI53" s="70">
        <v>327.41000000000003</v>
      </c>
      <c r="GJ53" s="70">
        <v>326.47000000000003</v>
      </c>
      <c r="GK53" s="70">
        <v>325.54000000000002</v>
      </c>
      <c r="GL53" s="70">
        <v>324.60000000000002</v>
      </c>
      <c r="GM53" s="70">
        <v>323.67</v>
      </c>
      <c r="GN53" s="70">
        <v>322.74</v>
      </c>
      <c r="GO53" s="70">
        <v>321.79000000000002</v>
      </c>
      <c r="GP53" s="70">
        <v>320.87</v>
      </c>
      <c r="GQ53" s="70">
        <v>319.94</v>
      </c>
      <c r="GR53" s="70">
        <v>319.01</v>
      </c>
      <c r="GS53" s="70">
        <v>318.08999999999997</v>
      </c>
      <c r="GT53" s="70">
        <v>317.16000000000003</v>
      </c>
      <c r="GU53" s="70">
        <v>316.23</v>
      </c>
      <c r="GV53" s="70">
        <v>315.31</v>
      </c>
      <c r="GW53" s="70">
        <v>314.38</v>
      </c>
      <c r="GX53" s="70">
        <v>313.45999999999998</v>
      </c>
      <c r="GY53" s="70">
        <v>312.54000000000002</v>
      </c>
      <c r="GZ53" s="70">
        <v>311.62</v>
      </c>
      <c r="HA53" s="70">
        <v>310.7</v>
      </c>
      <c r="HB53" s="70">
        <v>309.77999999999997</v>
      </c>
      <c r="HC53" s="70">
        <v>308.85000000000002</v>
      </c>
      <c r="HD53" s="70">
        <v>307.94</v>
      </c>
      <c r="HE53" s="70">
        <v>307.02999999999997</v>
      </c>
      <c r="HF53" s="70">
        <v>306.10000000000002</v>
      </c>
      <c r="HG53" s="70">
        <v>305.2</v>
      </c>
      <c r="HH53" s="70">
        <v>304.29000000000002</v>
      </c>
      <c r="HI53" s="70">
        <v>303.38</v>
      </c>
      <c r="HJ53" s="70">
        <v>302.47000000000003</v>
      </c>
      <c r="HK53" s="70">
        <v>301.56</v>
      </c>
      <c r="HL53" s="70">
        <v>300.64999999999998</v>
      </c>
      <c r="HM53" s="70">
        <v>299.74</v>
      </c>
      <c r="HN53" s="70">
        <v>298.83999999999997</v>
      </c>
      <c r="HO53" s="70">
        <v>297.93</v>
      </c>
      <c r="HP53" s="70">
        <v>297.02999999999997</v>
      </c>
      <c r="HQ53" s="70">
        <v>296.13</v>
      </c>
      <c r="HR53" s="70">
        <v>295.23</v>
      </c>
      <c r="HS53" s="70">
        <v>294.32</v>
      </c>
      <c r="HT53" s="70">
        <v>293.43</v>
      </c>
      <c r="HU53" s="70">
        <v>292.52999999999997</v>
      </c>
      <c r="HV53" s="70">
        <v>291.64</v>
      </c>
      <c r="HW53" s="70">
        <v>290.74</v>
      </c>
      <c r="HX53" s="70">
        <v>289.85000000000002</v>
      </c>
      <c r="HY53" s="70">
        <v>288.95</v>
      </c>
      <c r="HZ53" s="70">
        <v>288.06</v>
      </c>
      <c r="IA53" s="70">
        <v>287.17</v>
      </c>
      <c r="IB53" s="70">
        <v>286.27999999999997</v>
      </c>
      <c r="IC53" s="70">
        <v>285.39</v>
      </c>
      <c r="ID53" s="70">
        <v>284.5</v>
      </c>
      <c r="IE53" s="70">
        <v>283.60000000000002</v>
      </c>
      <c r="IF53" s="70">
        <v>282.73</v>
      </c>
      <c r="IG53" s="70">
        <v>281.83999999999997</v>
      </c>
      <c r="IH53" s="70">
        <v>280.95999999999998</v>
      </c>
      <c r="II53" s="70">
        <v>280.07</v>
      </c>
      <c r="IJ53" s="70">
        <v>279.19</v>
      </c>
      <c r="IK53" s="70">
        <v>278.31</v>
      </c>
      <c r="IL53" s="70">
        <v>277.43</v>
      </c>
      <c r="IM53" s="70">
        <v>276.54000000000002</v>
      </c>
      <c r="IN53" s="70">
        <v>275.68</v>
      </c>
      <c r="IO53" s="70">
        <v>274.79000000000002</v>
      </c>
      <c r="IP53" s="70">
        <v>273.92</v>
      </c>
      <c r="IQ53" s="70">
        <v>273.04000000000002</v>
      </c>
      <c r="IR53" s="70">
        <v>272.18</v>
      </c>
      <c r="IS53" s="70">
        <v>271.31</v>
      </c>
      <c r="IT53" s="70">
        <v>270.43</v>
      </c>
      <c r="IU53" s="70">
        <v>269.57</v>
      </c>
      <c r="IV53" s="70">
        <v>268.7</v>
      </c>
      <c r="IW53" s="70">
        <v>267.82</v>
      </c>
      <c r="IX53" s="70">
        <v>266.97000000000003</v>
      </c>
      <c r="IY53" s="70">
        <v>266.10000000000002</v>
      </c>
      <c r="IZ53" s="70">
        <v>265.24</v>
      </c>
      <c r="JA53" s="70">
        <v>264.38</v>
      </c>
      <c r="JB53" s="70">
        <v>263.51</v>
      </c>
      <c r="JC53" s="70">
        <v>262.66000000000003</v>
      </c>
      <c r="JD53" s="70">
        <v>261.79000000000002</v>
      </c>
      <c r="JE53" s="70">
        <v>260.94</v>
      </c>
      <c r="JF53" s="70">
        <v>260.08999999999997</v>
      </c>
      <c r="JG53" s="70">
        <v>259.23</v>
      </c>
      <c r="JH53" s="70">
        <v>258.38</v>
      </c>
      <c r="JI53" s="70">
        <v>257.52999999999997</v>
      </c>
      <c r="JJ53" s="70">
        <v>256.67</v>
      </c>
      <c r="JK53" s="70">
        <v>255.82</v>
      </c>
      <c r="JL53" s="70">
        <v>254.97</v>
      </c>
      <c r="JM53" s="70">
        <v>254.12</v>
      </c>
      <c r="JN53" s="70">
        <v>253.28</v>
      </c>
      <c r="JO53" s="70">
        <v>252.43</v>
      </c>
      <c r="JP53" s="70">
        <v>251.58</v>
      </c>
      <c r="JQ53" s="70">
        <v>250.74</v>
      </c>
      <c r="JR53" s="70">
        <v>249.89</v>
      </c>
      <c r="JS53" s="70">
        <v>249.05</v>
      </c>
      <c r="JT53" s="70">
        <v>248.21</v>
      </c>
      <c r="JU53" s="70">
        <v>247.37</v>
      </c>
      <c r="JV53" s="70">
        <v>246.53</v>
      </c>
      <c r="JW53" s="70">
        <v>245.69</v>
      </c>
      <c r="JX53" s="70">
        <v>244.85</v>
      </c>
      <c r="JY53" s="70">
        <v>244.02</v>
      </c>
      <c r="JZ53" s="70">
        <v>243.18</v>
      </c>
      <c r="KA53" s="70">
        <v>242.35</v>
      </c>
      <c r="KB53" s="70">
        <v>241.51</v>
      </c>
      <c r="KC53" s="70">
        <v>240.68</v>
      </c>
      <c r="KD53" s="70">
        <v>239.85</v>
      </c>
      <c r="KE53" s="70">
        <v>239.01</v>
      </c>
      <c r="KF53" s="70">
        <v>238.19</v>
      </c>
      <c r="KG53" s="70">
        <v>237.36</v>
      </c>
      <c r="KH53" s="70">
        <v>236.53</v>
      </c>
      <c r="KI53" s="70">
        <v>235.7</v>
      </c>
      <c r="KJ53" s="70">
        <v>234.88</v>
      </c>
      <c r="KK53" s="70">
        <v>234.05</v>
      </c>
      <c r="KL53" s="70">
        <v>233.23</v>
      </c>
      <c r="KM53" s="70">
        <v>232.41</v>
      </c>
      <c r="KN53" s="70">
        <v>231.59</v>
      </c>
      <c r="KO53" s="70">
        <v>230.77</v>
      </c>
      <c r="KP53" s="70">
        <v>229.95</v>
      </c>
      <c r="KQ53" s="70">
        <v>229.13</v>
      </c>
      <c r="KR53" s="70">
        <v>228.2500000000004</v>
      </c>
      <c r="KS53" s="70">
        <v>227.5000000000004</v>
      </c>
      <c r="KT53" s="70">
        <v>226.7500000000004</v>
      </c>
      <c r="KU53" s="70">
        <v>226.0000000000004</v>
      </c>
      <c r="KV53" s="70">
        <v>225.2500000000004</v>
      </c>
      <c r="KW53" s="70">
        <v>224.5000000000004</v>
      </c>
      <c r="KX53" s="70">
        <v>223.7500000000004</v>
      </c>
      <c r="KY53" s="70">
        <v>223.0000000000004</v>
      </c>
      <c r="KZ53" s="70">
        <v>222.2500000000004</v>
      </c>
      <c r="LA53" s="70">
        <v>221.5000000000004</v>
      </c>
      <c r="LB53" s="70">
        <v>220.7500000000004</v>
      </c>
      <c r="LC53" s="70">
        <v>220.0000000000004</v>
      </c>
      <c r="LD53" s="70">
        <v>219.2500000000004</v>
      </c>
      <c r="LE53" s="70">
        <v>218.5000000000004</v>
      </c>
      <c r="LF53" s="70">
        <v>217.7500000000004</v>
      </c>
      <c r="LG53" s="70">
        <v>217.0000000000004</v>
      </c>
      <c r="LH53" s="70">
        <v>216.2500000000004</v>
      </c>
      <c r="LI53" s="70">
        <v>215.5000000000004</v>
      </c>
      <c r="LJ53" s="70">
        <v>214.7500000000004</v>
      </c>
      <c r="LK53" s="70">
        <v>214.0000000000004</v>
      </c>
      <c r="LL53" s="70">
        <v>213.2500000000004</v>
      </c>
      <c r="LM53" s="70">
        <v>212.5000000000004</v>
      </c>
      <c r="LN53" s="70">
        <v>211.7500000000004</v>
      </c>
      <c r="LO53" s="70">
        <v>211.0000000000004</v>
      </c>
      <c r="LP53" s="70">
        <v>210.2500000000004</v>
      </c>
      <c r="LQ53" s="70">
        <v>209.5000000000004</v>
      </c>
      <c r="LR53" s="70">
        <v>208.7500000000004</v>
      </c>
      <c r="LS53" s="70">
        <v>208.0000000000004</v>
      </c>
      <c r="LT53" s="70">
        <v>207.2500000000004</v>
      </c>
      <c r="LU53" s="70">
        <v>206.5000000000004</v>
      </c>
      <c r="LV53" s="70">
        <v>205.7500000000004</v>
      </c>
      <c r="LW53" s="70">
        <v>205.0000000000004</v>
      </c>
      <c r="LX53" s="70">
        <v>204.2500000000004</v>
      </c>
      <c r="LY53" s="70">
        <v>203.5000000000004</v>
      </c>
      <c r="LZ53" s="70">
        <v>202.7500000000004</v>
      </c>
      <c r="MA53" s="70">
        <v>202.0000000000004</v>
      </c>
      <c r="MB53" s="70">
        <v>201.2500000000004</v>
      </c>
      <c r="MC53" s="70">
        <v>200.5000000000004</v>
      </c>
      <c r="MD53" s="70">
        <v>199.7500000000004</v>
      </c>
      <c r="ME53" s="70">
        <v>199.0000000000004</v>
      </c>
      <c r="MF53" s="70">
        <v>198.2500000000004</v>
      </c>
      <c r="MG53" s="70">
        <v>197.5000000000004</v>
      </c>
      <c r="MH53" s="70">
        <v>196.7500000000004</v>
      </c>
      <c r="MI53" s="70">
        <v>196.0000000000004</v>
      </c>
      <c r="MJ53" s="70">
        <v>195.2500000000004</v>
      </c>
      <c r="MK53" s="70">
        <v>194.5000000000004</v>
      </c>
      <c r="ML53" s="70">
        <v>193.7500000000004</v>
      </c>
      <c r="MM53" s="70">
        <v>193.0000000000004</v>
      </c>
      <c r="MN53" s="70">
        <v>192.2500000000004</v>
      </c>
      <c r="MO53" s="70">
        <v>191.5000000000004</v>
      </c>
      <c r="MP53" s="70">
        <v>190.7500000000004</v>
      </c>
      <c r="MQ53" s="70">
        <v>190.0000000000004</v>
      </c>
      <c r="MR53" s="70">
        <v>189.2500000000004</v>
      </c>
      <c r="MS53" s="70">
        <v>188.5000000000004</v>
      </c>
      <c r="MT53" s="70">
        <v>187.7500000000004</v>
      </c>
      <c r="MU53" s="70">
        <v>187.0000000000004</v>
      </c>
      <c r="MV53" s="70">
        <v>186.2500000000004</v>
      </c>
      <c r="MW53" s="70">
        <v>185.5000000000004</v>
      </c>
      <c r="MX53" s="70">
        <v>184.7500000000004</v>
      </c>
      <c r="MY53" s="70">
        <v>184.0000000000004</v>
      </c>
    </row>
    <row r="54" spans="1:363" ht="15.6" x14ac:dyDescent="0.3">
      <c r="A54" s="67" t="s">
        <v>7</v>
      </c>
      <c r="B54" s="72">
        <v>2064</v>
      </c>
      <c r="C54" s="70">
        <v>515.73</v>
      </c>
      <c r="D54" s="70">
        <v>514.71</v>
      </c>
      <c r="E54" s="70">
        <v>513.67999999999995</v>
      </c>
      <c r="F54" s="70">
        <v>512.66</v>
      </c>
      <c r="G54" s="70">
        <v>511.63</v>
      </c>
      <c r="H54" s="70">
        <v>510.6</v>
      </c>
      <c r="I54" s="70">
        <v>509.58000000000004</v>
      </c>
      <c r="J54" s="70">
        <v>508.55</v>
      </c>
      <c r="K54" s="70">
        <v>507.52000000000004</v>
      </c>
      <c r="L54" s="70">
        <v>506.5</v>
      </c>
      <c r="M54" s="70">
        <v>505.47</v>
      </c>
      <c r="N54" s="70">
        <v>504.45000000000005</v>
      </c>
      <c r="O54" s="70">
        <v>503.42</v>
      </c>
      <c r="P54" s="70">
        <v>502.39000000000004</v>
      </c>
      <c r="Q54" s="70">
        <v>501.37</v>
      </c>
      <c r="R54" s="70">
        <v>500.34000000000003</v>
      </c>
      <c r="S54" s="70">
        <v>499.31</v>
      </c>
      <c r="T54" s="70">
        <v>498.29</v>
      </c>
      <c r="U54" s="70">
        <v>497.26000000000005</v>
      </c>
      <c r="V54" s="70">
        <v>496.23</v>
      </c>
      <c r="W54" s="70">
        <v>495.21000000000004</v>
      </c>
      <c r="X54" s="70">
        <v>494.18</v>
      </c>
      <c r="Y54" s="70">
        <v>493.15000000000003</v>
      </c>
      <c r="Z54" s="70">
        <v>492.13</v>
      </c>
      <c r="AA54" s="70">
        <v>491.1</v>
      </c>
      <c r="AB54" s="70">
        <v>490.07</v>
      </c>
      <c r="AC54" s="70">
        <v>489.05</v>
      </c>
      <c r="AD54" s="70">
        <v>488.02000000000004</v>
      </c>
      <c r="AE54" s="70">
        <v>486.99</v>
      </c>
      <c r="AF54" s="70">
        <v>485.97</v>
      </c>
      <c r="AG54" s="70">
        <v>484.94</v>
      </c>
      <c r="AH54" s="70">
        <v>483.92</v>
      </c>
      <c r="AI54" s="70">
        <v>482.89000000000004</v>
      </c>
      <c r="AJ54" s="70">
        <v>481.86</v>
      </c>
      <c r="AK54" s="70">
        <v>480.84000000000003</v>
      </c>
      <c r="AL54" s="70">
        <v>479.81</v>
      </c>
      <c r="AM54" s="70">
        <v>478.78000000000003</v>
      </c>
      <c r="AN54" s="70">
        <v>477.76000000000005</v>
      </c>
      <c r="AO54" s="70">
        <v>476.73</v>
      </c>
      <c r="AP54" s="70">
        <v>475.71000000000004</v>
      </c>
      <c r="AQ54" s="70">
        <v>474.68</v>
      </c>
      <c r="AR54" s="70">
        <v>473.66</v>
      </c>
      <c r="AS54" s="70">
        <v>472.63</v>
      </c>
      <c r="AT54" s="70">
        <v>471.6</v>
      </c>
      <c r="AU54" s="70">
        <v>470.58000000000004</v>
      </c>
      <c r="AV54" s="70">
        <v>469.55</v>
      </c>
      <c r="AW54" s="70">
        <v>468.53000000000003</v>
      </c>
      <c r="AX54" s="70">
        <v>467.5</v>
      </c>
      <c r="AY54" s="70">
        <v>466.48</v>
      </c>
      <c r="AZ54" s="70">
        <v>465.45000000000005</v>
      </c>
      <c r="BA54" s="70">
        <v>464.43</v>
      </c>
      <c r="BB54" s="70">
        <v>463.41</v>
      </c>
      <c r="BC54" s="70">
        <v>462.38</v>
      </c>
      <c r="BD54" s="70">
        <v>461.36</v>
      </c>
      <c r="BE54" s="70">
        <v>460.33000000000004</v>
      </c>
      <c r="BF54" s="70">
        <v>459.31</v>
      </c>
      <c r="BG54" s="70">
        <v>458.28000000000003</v>
      </c>
      <c r="BH54" s="70">
        <v>457.26000000000005</v>
      </c>
      <c r="BI54" s="70">
        <v>456.24</v>
      </c>
      <c r="BJ54" s="70">
        <v>455.21000000000004</v>
      </c>
      <c r="BK54" s="70">
        <v>454.19</v>
      </c>
      <c r="BL54" s="70">
        <v>453.17</v>
      </c>
      <c r="BM54" s="70">
        <v>452.14000000000004</v>
      </c>
      <c r="BN54" s="70">
        <v>451.12</v>
      </c>
      <c r="BO54" s="70">
        <v>450.1</v>
      </c>
      <c r="BP54" s="70">
        <v>449.08000000000004</v>
      </c>
      <c r="BQ54" s="70">
        <v>448.06</v>
      </c>
      <c r="BR54" s="70">
        <v>447.03000000000003</v>
      </c>
      <c r="BS54" s="70">
        <v>446.01000000000005</v>
      </c>
      <c r="BT54" s="70">
        <v>444.99</v>
      </c>
      <c r="BU54" s="70">
        <v>443.97</v>
      </c>
      <c r="BV54" s="70">
        <v>442.95000000000005</v>
      </c>
      <c r="BW54" s="70">
        <v>441.93</v>
      </c>
      <c r="BX54" s="70">
        <v>440.91</v>
      </c>
      <c r="BY54" s="70">
        <v>439.89000000000004</v>
      </c>
      <c r="BZ54" s="70">
        <v>438.87</v>
      </c>
      <c r="CA54" s="70">
        <v>437.85</v>
      </c>
      <c r="CB54" s="70">
        <v>436.83000000000004</v>
      </c>
      <c r="CC54" s="70">
        <v>435.82</v>
      </c>
      <c r="CD54" s="70">
        <v>434.8</v>
      </c>
      <c r="CE54" s="70">
        <v>433.78000000000003</v>
      </c>
      <c r="CF54" s="70">
        <v>432.76000000000005</v>
      </c>
      <c r="CG54" s="70">
        <v>431.74</v>
      </c>
      <c r="CH54" s="70">
        <v>430.72</v>
      </c>
      <c r="CI54" s="70">
        <v>429.71000000000004</v>
      </c>
      <c r="CJ54" s="70">
        <v>428.69</v>
      </c>
      <c r="CK54" s="70">
        <v>427.68</v>
      </c>
      <c r="CL54" s="70">
        <v>426.67</v>
      </c>
      <c r="CM54" s="70">
        <v>425.65000000000003</v>
      </c>
      <c r="CN54" s="70">
        <v>424.64000000000004</v>
      </c>
      <c r="CO54" s="70">
        <v>423.63</v>
      </c>
      <c r="CP54" s="70">
        <v>422.61</v>
      </c>
      <c r="CQ54" s="70">
        <v>421.6</v>
      </c>
      <c r="CR54" s="70">
        <v>420.59000000000003</v>
      </c>
      <c r="CS54" s="70">
        <v>419.57</v>
      </c>
      <c r="CT54" s="70">
        <v>418.56</v>
      </c>
      <c r="CU54" s="70">
        <v>417.55</v>
      </c>
      <c r="CV54" s="70">
        <v>416.54</v>
      </c>
      <c r="CW54" s="70">
        <v>415.53000000000003</v>
      </c>
      <c r="CX54" s="70">
        <v>414.53000000000003</v>
      </c>
      <c r="CY54" s="70">
        <v>413.52000000000004</v>
      </c>
      <c r="CZ54" s="70">
        <v>412.51000000000005</v>
      </c>
      <c r="DA54" s="70">
        <v>411.51000000000005</v>
      </c>
      <c r="DB54" s="70">
        <v>410.5</v>
      </c>
      <c r="DC54" s="70">
        <v>409.49</v>
      </c>
      <c r="DD54" s="70">
        <v>408.49</v>
      </c>
      <c r="DE54" s="70">
        <v>407.48</v>
      </c>
      <c r="DF54" s="70">
        <v>406.47</v>
      </c>
      <c r="DG54" s="70">
        <v>405.47</v>
      </c>
      <c r="DH54" s="70">
        <v>404.47</v>
      </c>
      <c r="DI54" s="70">
        <v>403.47</v>
      </c>
      <c r="DJ54" s="70">
        <v>402.47</v>
      </c>
      <c r="DK54" s="70">
        <v>401.47</v>
      </c>
      <c r="DL54" s="70">
        <v>400.47</v>
      </c>
      <c r="DM54" s="70">
        <v>399.47</v>
      </c>
      <c r="DN54" s="70">
        <v>398.47</v>
      </c>
      <c r="DO54" s="70">
        <v>397.47</v>
      </c>
      <c r="DP54" s="70">
        <v>396.47</v>
      </c>
      <c r="DQ54" s="70">
        <v>395.48</v>
      </c>
      <c r="DR54" s="70">
        <v>394.48</v>
      </c>
      <c r="DS54" s="70">
        <v>393.48</v>
      </c>
      <c r="DT54" s="70">
        <v>392.49</v>
      </c>
      <c r="DU54" s="70">
        <v>391.5</v>
      </c>
      <c r="DV54" s="70">
        <v>390.51000000000005</v>
      </c>
      <c r="DW54" s="70">
        <v>389.52000000000004</v>
      </c>
      <c r="DX54" s="70">
        <v>388.53000000000003</v>
      </c>
      <c r="DY54" s="70">
        <v>387.54</v>
      </c>
      <c r="DZ54" s="70">
        <v>386.55</v>
      </c>
      <c r="EA54" s="70">
        <v>385.56</v>
      </c>
      <c r="EB54" s="70">
        <v>384.58000000000004</v>
      </c>
      <c r="EC54" s="70">
        <v>383.59000000000003</v>
      </c>
      <c r="ED54" s="70">
        <v>382.6</v>
      </c>
      <c r="EE54" s="70">
        <v>381.62</v>
      </c>
      <c r="EF54" s="70">
        <v>380.64000000000004</v>
      </c>
      <c r="EG54" s="70">
        <v>379.66</v>
      </c>
      <c r="EH54" s="70">
        <v>378.68</v>
      </c>
      <c r="EI54" s="70">
        <v>377.71000000000004</v>
      </c>
      <c r="EJ54" s="70">
        <v>376.73</v>
      </c>
      <c r="EK54" s="70">
        <v>375.76000000000005</v>
      </c>
      <c r="EL54" s="70">
        <v>374.78000000000003</v>
      </c>
      <c r="EM54" s="70">
        <v>373.81</v>
      </c>
      <c r="EN54" s="70">
        <v>372.83000000000004</v>
      </c>
      <c r="EO54" s="70">
        <v>371.86</v>
      </c>
      <c r="EP54" s="70">
        <v>370.89000000000004</v>
      </c>
      <c r="EQ54" s="70">
        <v>369.91</v>
      </c>
      <c r="ER54" s="70">
        <v>368.95000000000005</v>
      </c>
      <c r="ES54" s="70">
        <v>367.98</v>
      </c>
      <c r="ET54" s="70">
        <v>367.01000000000005</v>
      </c>
      <c r="EU54" s="70">
        <v>366.05</v>
      </c>
      <c r="EV54" s="70">
        <v>365.08000000000004</v>
      </c>
      <c r="EW54" s="70">
        <v>364.12</v>
      </c>
      <c r="EX54" s="70">
        <v>363.16</v>
      </c>
      <c r="EY54" s="70">
        <v>362.19</v>
      </c>
      <c r="EZ54" s="70">
        <v>361.23</v>
      </c>
      <c r="FA54" s="70">
        <v>360.27000000000004</v>
      </c>
      <c r="FB54" s="70">
        <v>359.3</v>
      </c>
      <c r="FC54" s="70">
        <v>358.34000000000003</v>
      </c>
      <c r="FD54" s="70">
        <v>357.38</v>
      </c>
      <c r="FE54" s="70">
        <v>356.42</v>
      </c>
      <c r="FF54" s="70">
        <v>355.46000000000004</v>
      </c>
      <c r="FG54" s="70">
        <v>354.51000000000005</v>
      </c>
      <c r="FH54" s="70">
        <v>353.55</v>
      </c>
      <c r="FI54" s="70">
        <v>352.59000000000003</v>
      </c>
      <c r="FJ54" s="70">
        <v>351.63</v>
      </c>
      <c r="FK54" s="70">
        <v>350.68</v>
      </c>
      <c r="FL54" s="70">
        <v>349.72</v>
      </c>
      <c r="FM54" s="70">
        <v>348.77000000000004</v>
      </c>
      <c r="FN54" s="70">
        <v>347.81</v>
      </c>
      <c r="FO54" s="70">
        <v>346.86</v>
      </c>
      <c r="FP54" s="70">
        <v>345.91</v>
      </c>
      <c r="FQ54" s="70">
        <v>344.96000000000004</v>
      </c>
      <c r="FR54" s="70">
        <v>344.01000000000005</v>
      </c>
      <c r="FS54" s="70">
        <v>343.06</v>
      </c>
      <c r="FT54" s="70">
        <v>342.11</v>
      </c>
      <c r="FU54" s="70">
        <v>341.16</v>
      </c>
      <c r="FV54" s="70">
        <v>340.21000000000004</v>
      </c>
      <c r="FW54" s="70">
        <v>339.26000000000005</v>
      </c>
      <c r="FX54" s="70">
        <v>338.31</v>
      </c>
      <c r="FY54" s="70">
        <v>337.37</v>
      </c>
      <c r="FZ54" s="70">
        <v>336.42</v>
      </c>
      <c r="GA54" s="70">
        <v>335.48</v>
      </c>
      <c r="GB54" s="70">
        <v>334.53000000000003</v>
      </c>
      <c r="GC54" s="70">
        <v>333.59000000000003</v>
      </c>
      <c r="GD54" s="70">
        <v>332.65000000000003</v>
      </c>
      <c r="GE54" s="70">
        <v>331.71000000000004</v>
      </c>
      <c r="GF54" s="70">
        <v>330.77000000000004</v>
      </c>
      <c r="GG54" s="70">
        <v>329.83000000000004</v>
      </c>
      <c r="GH54" s="70">
        <v>328.89000000000004</v>
      </c>
      <c r="GI54" s="70">
        <v>327.95000000000005</v>
      </c>
      <c r="GJ54" s="70">
        <v>327.01000000000005</v>
      </c>
      <c r="GK54" s="70">
        <v>326.08000000000004</v>
      </c>
      <c r="GL54" s="70">
        <v>325.14000000000004</v>
      </c>
      <c r="GM54" s="70">
        <v>324.21000000000004</v>
      </c>
      <c r="GN54" s="70">
        <v>323.28000000000003</v>
      </c>
      <c r="GO54" s="70">
        <v>322.33000000000004</v>
      </c>
      <c r="GP54" s="70">
        <v>321.41000000000003</v>
      </c>
      <c r="GQ54" s="70">
        <v>320.48</v>
      </c>
      <c r="GR54" s="70">
        <v>319.55</v>
      </c>
      <c r="GS54" s="70">
        <v>318.63</v>
      </c>
      <c r="GT54" s="70">
        <v>317.70000000000005</v>
      </c>
      <c r="GU54" s="70">
        <v>316.77000000000004</v>
      </c>
      <c r="GV54" s="70">
        <v>315.85000000000002</v>
      </c>
      <c r="GW54" s="70">
        <v>314.92</v>
      </c>
      <c r="GX54" s="70">
        <v>314</v>
      </c>
      <c r="GY54" s="70">
        <v>313.08000000000004</v>
      </c>
      <c r="GZ54" s="70">
        <v>312.16000000000003</v>
      </c>
      <c r="HA54" s="70">
        <v>311.24</v>
      </c>
      <c r="HB54" s="70">
        <v>310.32</v>
      </c>
      <c r="HC54" s="70">
        <v>309.39000000000004</v>
      </c>
      <c r="HD54" s="70">
        <v>308.48</v>
      </c>
      <c r="HE54" s="70">
        <v>307.57</v>
      </c>
      <c r="HF54" s="70">
        <v>306.64000000000004</v>
      </c>
      <c r="HG54" s="70">
        <v>305.74</v>
      </c>
      <c r="HH54" s="70">
        <v>304.83000000000004</v>
      </c>
      <c r="HI54" s="70">
        <v>303.92</v>
      </c>
      <c r="HJ54" s="70">
        <v>303.01000000000005</v>
      </c>
      <c r="HK54" s="70">
        <v>302.10000000000002</v>
      </c>
      <c r="HL54" s="70">
        <v>301.19</v>
      </c>
      <c r="HM54" s="70">
        <v>300.28000000000003</v>
      </c>
      <c r="HN54" s="70">
        <v>299.38</v>
      </c>
      <c r="HO54" s="70">
        <v>298.47000000000003</v>
      </c>
      <c r="HP54" s="70">
        <v>297.57</v>
      </c>
      <c r="HQ54" s="70">
        <v>296.67</v>
      </c>
      <c r="HR54" s="70">
        <v>295.77000000000004</v>
      </c>
      <c r="HS54" s="70">
        <v>294.86</v>
      </c>
      <c r="HT54" s="70">
        <v>293.97000000000003</v>
      </c>
      <c r="HU54" s="70">
        <v>293.07</v>
      </c>
      <c r="HV54" s="70">
        <v>292.18</v>
      </c>
      <c r="HW54" s="70">
        <v>291.28000000000003</v>
      </c>
      <c r="HX54" s="70">
        <v>290.39000000000004</v>
      </c>
      <c r="HY54" s="70">
        <v>289.49</v>
      </c>
      <c r="HZ54" s="70">
        <v>288.60000000000002</v>
      </c>
      <c r="IA54" s="70">
        <v>287.71000000000004</v>
      </c>
      <c r="IB54" s="70">
        <v>286.82</v>
      </c>
      <c r="IC54" s="70">
        <v>285.93</v>
      </c>
      <c r="ID54" s="70">
        <v>285.04000000000002</v>
      </c>
      <c r="IE54" s="70">
        <v>284.14000000000004</v>
      </c>
      <c r="IF54" s="70">
        <v>283.27000000000004</v>
      </c>
      <c r="IG54" s="70">
        <v>282.38</v>
      </c>
      <c r="IH54" s="70">
        <v>281.5</v>
      </c>
      <c r="II54" s="70">
        <v>280.61</v>
      </c>
      <c r="IJ54" s="70">
        <v>279.73</v>
      </c>
      <c r="IK54" s="70">
        <v>278.85000000000002</v>
      </c>
      <c r="IL54" s="70">
        <v>277.97000000000003</v>
      </c>
      <c r="IM54" s="70">
        <v>277.08000000000004</v>
      </c>
      <c r="IN54" s="70">
        <v>276.22000000000003</v>
      </c>
      <c r="IO54" s="70">
        <v>275.33000000000004</v>
      </c>
      <c r="IP54" s="70">
        <v>274.46000000000004</v>
      </c>
      <c r="IQ54" s="70">
        <v>273.58000000000004</v>
      </c>
      <c r="IR54" s="70">
        <v>272.72000000000003</v>
      </c>
      <c r="IS54" s="70">
        <v>271.85000000000002</v>
      </c>
      <c r="IT54" s="70">
        <v>270.97000000000003</v>
      </c>
      <c r="IU54" s="70">
        <v>270.11</v>
      </c>
      <c r="IV54" s="70">
        <v>269.24</v>
      </c>
      <c r="IW54" s="70">
        <v>268.36</v>
      </c>
      <c r="IX54" s="70">
        <v>267.51000000000005</v>
      </c>
      <c r="IY54" s="70">
        <v>266.64000000000004</v>
      </c>
      <c r="IZ54" s="70">
        <v>265.78000000000003</v>
      </c>
      <c r="JA54" s="70">
        <v>264.92</v>
      </c>
      <c r="JB54" s="70">
        <v>264.05</v>
      </c>
      <c r="JC54" s="70">
        <v>263.20000000000005</v>
      </c>
      <c r="JD54" s="70">
        <v>262.33000000000004</v>
      </c>
      <c r="JE54" s="70">
        <v>261.48</v>
      </c>
      <c r="JF54" s="70">
        <v>260.63</v>
      </c>
      <c r="JG54" s="70">
        <v>259.77000000000004</v>
      </c>
      <c r="JH54" s="70">
        <v>258.92</v>
      </c>
      <c r="JI54" s="70">
        <v>258.07</v>
      </c>
      <c r="JJ54" s="70">
        <v>257.21000000000004</v>
      </c>
      <c r="JK54" s="70">
        <v>256.36</v>
      </c>
      <c r="JL54" s="70">
        <v>255.51</v>
      </c>
      <c r="JM54" s="70">
        <v>254.66</v>
      </c>
      <c r="JN54" s="70">
        <v>253.82</v>
      </c>
      <c r="JO54" s="70">
        <v>252.97</v>
      </c>
      <c r="JP54" s="70">
        <v>252.12</v>
      </c>
      <c r="JQ54" s="70">
        <v>251.28</v>
      </c>
      <c r="JR54" s="70">
        <v>250.42999999999998</v>
      </c>
      <c r="JS54" s="70">
        <v>249.59</v>
      </c>
      <c r="JT54" s="70">
        <v>248.75</v>
      </c>
      <c r="JU54" s="70">
        <v>247.91</v>
      </c>
      <c r="JV54" s="70">
        <v>247.07</v>
      </c>
      <c r="JW54" s="70">
        <v>246.23</v>
      </c>
      <c r="JX54" s="70">
        <v>245.39</v>
      </c>
      <c r="JY54" s="70">
        <v>244.56</v>
      </c>
      <c r="JZ54" s="70">
        <v>243.72</v>
      </c>
      <c r="KA54" s="70">
        <v>242.89</v>
      </c>
      <c r="KB54" s="70">
        <v>242.04999999999998</v>
      </c>
      <c r="KC54" s="70">
        <v>241.22</v>
      </c>
      <c r="KD54" s="70">
        <v>240.39</v>
      </c>
      <c r="KE54" s="70">
        <v>239.54999999999998</v>
      </c>
      <c r="KF54" s="70">
        <v>238.73</v>
      </c>
      <c r="KG54" s="70">
        <v>237.9</v>
      </c>
      <c r="KH54" s="70">
        <v>237.07</v>
      </c>
      <c r="KI54" s="70">
        <v>236.23999999999998</v>
      </c>
      <c r="KJ54" s="70">
        <v>235.42</v>
      </c>
      <c r="KK54" s="70">
        <v>234.59</v>
      </c>
      <c r="KL54" s="70">
        <v>233.76999999999998</v>
      </c>
      <c r="KM54" s="70">
        <v>232.95</v>
      </c>
      <c r="KN54" s="70">
        <v>232.13</v>
      </c>
      <c r="KO54" s="70">
        <v>231.31</v>
      </c>
      <c r="KP54" s="70">
        <v>230.48999999999998</v>
      </c>
      <c r="KQ54" s="70">
        <v>229.67</v>
      </c>
      <c r="KR54" s="70">
        <v>228.71000000000041</v>
      </c>
      <c r="KS54" s="70">
        <v>227.96000000000041</v>
      </c>
      <c r="KT54" s="70">
        <v>227.21000000000041</v>
      </c>
      <c r="KU54" s="70">
        <v>226.46000000000041</v>
      </c>
      <c r="KV54" s="70">
        <v>225.71000000000041</v>
      </c>
      <c r="KW54" s="70">
        <v>224.96000000000041</v>
      </c>
      <c r="KX54" s="70">
        <v>224.21000000000041</v>
      </c>
      <c r="KY54" s="70">
        <v>223.46000000000041</v>
      </c>
      <c r="KZ54" s="70">
        <v>222.71000000000041</v>
      </c>
      <c r="LA54" s="70">
        <v>221.96000000000041</v>
      </c>
      <c r="LB54" s="70">
        <v>221.21000000000041</v>
      </c>
      <c r="LC54" s="70">
        <v>220.46000000000041</v>
      </c>
      <c r="LD54" s="70">
        <v>219.71000000000041</v>
      </c>
      <c r="LE54" s="70">
        <v>218.96000000000041</v>
      </c>
      <c r="LF54" s="70">
        <v>218.21000000000041</v>
      </c>
      <c r="LG54" s="70">
        <v>217.46000000000041</v>
      </c>
      <c r="LH54" s="70">
        <v>216.71000000000041</v>
      </c>
      <c r="LI54" s="70">
        <v>215.96000000000041</v>
      </c>
      <c r="LJ54" s="70">
        <v>215.21000000000041</v>
      </c>
      <c r="LK54" s="70">
        <v>214.46000000000041</v>
      </c>
      <c r="LL54" s="70">
        <v>213.71000000000041</v>
      </c>
      <c r="LM54" s="70">
        <v>212.96000000000041</v>
      </c>
      <c r="LN54" s="70">
        <v>212.21000000000041</v>
      </c>
      <c r="LO54" s="70">
        <v>211.46000000000041</v>
      </c>
      <c r="LP54" s="70">
        <v>210.71000000000041</v>
      </c>
      <c r="LQ54" s="70">
        <v>209.96000000000041</v>
      </c>
      <c r="LR54" s="70">
        <v>209.21000000000041</v>
      </c>
      <c r="LS54" s="70">
        <v>208.46000000000041</v>
      </c>
      <c r="LT54" s="70">
        <v>207.71000000000041</v>
      </c>
      <c r="LU54" s="70">
        <v>206.96000000000041</v>
      </c>
      <c r="LV54" s="70">
        <v>206.21000000000041</v>
      </c>
      <c r="LW54" s="70">
        <v>205.46000000000041</v>
      </c>
      <c r="LX54" s="70">
        <v>204.71000000000041</v>
      </c>
      <c r="LY54" s="70">
        <v>203.96000000000041</v>
      </c>
      <c r="LZ54" s="70">
        <v>203.21000000000041</v>
      </c>
      <c r="MA54" s="70">
        <v>202.46000000000041</v>
      </c>
      <c r="MB54" s="70">
        <v>201.71000000000041</v>
      </c>
      <c r="MC54" s="70">
        <v>200.96000000000041</v>
      </c>
      <c r="MD54" s="70">
        <v>200.21000000000041</v>
      </c>
      <c r="ME54" s="70">
        <v>199.46000000000041</v>
      </c>
      <c r="MF54" s="70">
        <v>198.71000000000041</v>
      </c>
      <c r="MG54" s="70">
        <v>197.96000000000041</v>
      </c>
      <c r="MH54" s="70">
        <v>197.21000000000041</v>
      </c>
      <c r="MI54" s="70">
        <v>196.46000000000041</v>
      </c>
      <c r="MJ54" s="70">
        <v>195.71000000000041</v>
      </c>
      <c r="MK54" s="70">
        <v>194.96000000000041</v>
      </c>
      <c r="ML54" s="70">
        <v>194.21000000000041</v>
      </c>
      <c r="MM54" s="70">
        <v>193.46000000000041</v>
      </c>
      <c r="MN54" s="70">
        <v>192.71000000000041</v>
      </c>
      <c r="MO54" s="70">
        <v>191.96000000000041</v>
      </c>
      <c r="MP54" s="70">
        <v>191.21000000000041</v>
      </c>
      <c r="MQ54" s="70">
        <v>190.46000000000041</v>
      </c>
      <c r="MR54" s="70">
        <v>189.71000000000041</v>
      </c>
      <c r="MS54" s="70">
        <v>188.96000000000041</v>
      </c>
      <c r="MT54" s="70">
        <v>188.21000000000041</v>
      </c>
      <c r="MU54" s="70">
        <v>187.46000000000041</v>
      </c>
      <c r="MV54" s="70">
        <v>186.71000000000041</v>
      </c>
      <c r="MW54" s="70">
        <v>185.96000000000041</v>
      </c>
      <c r="MX54" s="70">
        <v>185.21000000000041</v>
      </c>
      <c r="MY54" s="70">
        <v>184.46000000000041</v>
      </c>
    </row>
    <row r="55" spans="1:363" ht="15.6" x14ac:dyDescent="0.3">
      <c r="A55" s="67" t="s">
        <v>7</v>
      </c>
      <c r="B55" s="72">
        <v>2065</v>
      </c>
      <c r="C55" s="70">
        <v>516.26</v>
      </c>
      <c r="D55" s="70">
        <v>515.23</v>
      </c>
      <c r="E55" s="70">
        <v>514.20000000000005</v>
      </c>
      <c r="F55" s="70">
        <v>513.19999999999993</v>
      </c>
      <c r="G55" s="70">
        <v>512.16999999999996</v>
      </c>
      <c r="H55" s="70">
        <v>511.14000000000004</v>
      </c>
      <c r="I55" s="70">
        <v>510.12000000000006</v>
      </c>
      <c r="J55" s="70">
        <v>509.09000000000003</v>
      </c>
      <c r="K55" s="70">
        <v>508.06000000000006</v>
      </c>
      <c r="L55" s="70">
        <v>507.04</v>
      </c>
      <c r="M55" s="70">
        <v>506.01000000000005</v>
      </c>
      <c r="N55" s="70">
        <v>504.99000000000007</v>
      </c>
      <c r="O55" s="70">
        <v>503.96000000000004</v>
      </c>
      <c r="P55" s="70">
        <v>502.93000000000006</v>
      </c>
      <c r="Q55" s="70">
        <v>501.91</v>
      </c>
      <c r="R55" s="70">
        <v>500.88000000000005</v>
      </c>
      <c r="S55" s="70">
        <v>499.85</v>
      </c>
      <c r="T55" s="70">
        <v>498.83000000000004</v>
      </c>
      <c r="U55" s="70">
        <v>497.80000000000007</v>
      </c>
      <c r="V55" s="70">
        <v>496.77000000000004</v>
      </c>
      <c r="W55" s="70">
        <v>495.75000000000006</v>
      </c>
      <c r="X55" s="70">
        <v>494.72</v>
      </c>
      <c r="Y55" s="70">
        <v>493.69000000000005</v>
      </c>
      <c r="Z55" s="70">
        <v>492.67</v>
      </c>
      <c r="AA55" s="70">
        <v>491.64000000000004</v>
      </c>
      <c r="AB55" s="70">
        <v>490.61</v>
      </c>
      <c r="AC55" s="70">
        <v>489.59000000000003</v>
      </c>
      <c r="AD55" s="70">
        <v>488.56000000000006</v>
      </c>
      <c r="AE55" s="70">
        <v>487.53000000000003</v>
      </c>
      <c r="AF55" s="70">
        <v>486.51000000000005</v>
      </c>
      <c r="AG55" s="70">
        <v>485.48</v>
      </c>
      <c r="AH55" s="70">
        <v>484.46000000000004</v>
      </c>
      <c r="AI55" s="70">
        <v>483.43000000000006</v>
      </c>
      <c r="AJ55" s="70">
        <v>482.40000000000003</v>
      </c>
      <c r="AK55" s="70">
        <v>481.38000000000005</v>
      </c>
      <c r="AL55" s="70">
        <v>480.35</v>
      </c>
      <c r="AM55" s="70">
        <v>479.32000000000005</v>
      </c>
      <c r="AN55" s="70">
        <v>478.30000000000007</v>
      </c>
      <c r="AO55" s="70">
        <v>477.27000000000004</v>
      </c>
      <c r="AP55" s="70">
        <v>476.25000000000006</v>
      </c>
      <c r="AQ55" s="70">
        <v>475.22</v>
      </c>
      <c r="AR55" s="70">
        <v>474.20000000000005</v>
      </c>
      <c r="AS55" s="70">
        <v>473.17</v>
      </c>
      <c r="AT55" s="70">
        <v>472.14000000000004</v>
      </c>
      <c r="AU55" s="70">
        <v>471.12000000000006</v>
      </c>
      <c r="AV55" s="70">
        <v>470.09000000000003</v>
      </c>
      <c r="AW55" s="70">
        <v>469.07000000000005</v>
      </c>
      <c r="AX55" s="70">
        <v>468.04</v>
      </c>
      <c r="AY55" s="70">
        <v>467.02000000000004</v>
      </c>
      <c r="AZ55" s="70">
        <v>465.99000000000007</v>
      </c>
      <c r="BA55" s="70">
        <v>464.97</v>
      </c>
      <c r="BB55" s="70">
        <v>463.95000000000005</v>
      </c>
      <c r="BC55" s="70">
        <v>462.92</v>
      </c>
      <c r="BD55" s="70">
        <v>461.90000000000003</v>
      </c>
      <c r="BE55" s="70">
        <v>460.87000000000006</v>
      </c>
      <c r="BF55" s="70">
        <v>459.85</v>
      </c>
      <c r="BG55" s="70">
        <v>458.82000000000005</v>
      </c>
      <c r="BH55" s="70">
        <v>457.80000000000007</v>
      </c>
      <c r="BI55" s="70">
        <v>456.78000000000003</v>
      </c>
      <c r="BJ55" s="70">
        <v>455.75000000000006</v>
      </c>
      <c r="BK55" s="70">
        <v>454.73</v>
      </c>
      <c r="BL55" s="70">
        <v>453.71000000000004</v>
      </c>
      <c r="BM55" s="70">
        <v>452.68000000000006</v>
      </c>
      <c r="BN55" s="70">
        <v>451.66</v>
      </c>
      <c r="BO55" s="70">
        <v>450.64000000000004</v>
      </c>
      <c r="BP55" s="70">
        <v>449.62000000000006</v>
      </c>
      <c r="BQ55" s="70">
        <v>448.6</v>
      </c>
      <c r="BR55" s="70">
        <v>447.57000000000005</v>
      </c>
      <c r="BS55" s="70">
        <v>446.55000000000007</v>
      </c>
      <c r="BT55" s="70">
        <v>445.53000000000003</v>
      </c>
      <c r="BU55" s="70">
        <v>444.51000000000005</v>
      </c>
      <c r="BV55" s="70">
        <v>443.49000000000007</v>
      </c>
      <c r="BW55" s="70">
        <v>442.47</v>
      </c>
      <c r="BX55" s="70">
        <v>441.45000000000005</v>
      </c>
      <c r="BY55" s="70">
        <v>440.43000000000006</v>
      </c>
      <c r="BZ55" s="70">
        <v>439.41</v>
      </c>
      <c r="CA55" s="70">
        <v>438.39000000000004</v>
      </c>
      <c r="CB55" s="70">
        <v>437.37000000000006</v>
      </c>
      <c r="CC55" s="70">
        <v>436.36</v>
      </c>
      <c r="CD55" s="70">
        <v>435.34000000000003</v>
      </c>
      <c r="CE55" s="70">
        <v>434.32000000000005</v>
      </c>
      <c r="CF55" s="70">
        <v>433.30000000000007</v>
      </c>
      <c r="CG55" s="70">
        <v>432.28000000000003</v>
      </c>
      <c r="CH55" s="70">
        <v>431.26000000000005</v>
      </c>
      <c r="CI55" s="70">
        <v>430.25000000000006</v>
      </c>
      <c r="CJ55" s="70">
        <v>429.23</v>
      </c>
      <c r="CK55" s="70">
        <v>428.22</v>
      </c>
      <c r="CL55" s="70">
        <v>427.21000000000004</v>
      </c>
      <c r="CM55" s="70">
        <v>426.19000000000005</v>
      </c>
      <c r="CN55" s="70">
        <v>425.18000000000006</v>
      </c>
      <c r="CO55" s="70">
        <v>424.17</v>
      </c>
      <c r="CP55" s="70">
        <v>423.15000000000003</v>
      </c>
      <c r="CQ55" s="70">
        <v>422.14000000000004</v>
      </c>
      <c r="CR55" s="70">
        <v>421.13000000000005</v>
      </c>
      <c r="CS55" s="70">
        <v>420.11</v>
      </c>
      <c r="CT55" s="70">
        <v>419.1</v>
      </c>
      <c r="CU55" s="70">
        <v>418.09000000000003</v>
      </c>
      <c r="CV55" s="70">
        <v>417.08000000000004</v>
      </c>
      <c r="CW55" s="70">
        <v>416.07000000000005</v>
      </c>
      <c r="CX55" s="70">
        <v>415.07000000000005</v>
      </c>
      <c r="CY55" s="70">
        <v>414.06000000000006</v>
      </c>
      <c r="CZ55" s="70">
        <v>413.05000000000007</v>
      </c>
      <c r="DA55" s="70">
        <v>412.05000000000007</v>
      </c>
      <c r="DB55" s="70">
        <v>411.04</v>
      </c>
      <c r="DC55" s="70">
        <v>410.03000000000003</v>
      </c>
      <c r="DD55" s="70">
        <v>409.03000000000003</v>
      </c>
      <c r="DE55" s="70">
        <v>408.02000000000004</v>
      </c>
      <c r="DF55" s="70">
        <v>407.01000000000005</v>
      </c>
      <c r="DG55" s="70">
        <v>406.01000000000005</v>
      </c>
      <c r="DH55" s="70">
        <v>405.01000000000005</v>
      </c>
      <c r="DI55" s="70">
        <v>404.01000000000005</v>
      </c>
      <c r="DJ55" s="70">
        <v>403.01000000000005</v>
      </c>
      <c r="DK55" s="70">
        <v>402.01000000000005</v>
      </c>
      <c r="DL55" s="70">
        <v>401.01000000000005</v>
      </c>
      <c r="DM55" s="70">
        <v>400.01000000000005</v>
      </c>
      <c r="DN55" s="70">
        <v>399.01000000000005</v>
      </c>
      <c r="DO55" s="70">
        <v>398.01000000000005</v>
      </c>
      <c r="DP55" s="70">
        <v>397.01000000000005</v>
      </c>
      <c r="DQ55" s="70">
        <v>396.02000000000004</v>
      </c>
      <c r="DR55" s="70">
        <v>395.02000000000004</v>
      </c>
      <c r="DS55" s="70">
        <v>394.02000000000004</v>
      </c>
      <c r="DT55" s="70">
        <v>393.03000000000003</v>
      </c>
      <c r="DU55" s="70">
        <v>392.04</v>
      </c>
      <c r="DV55" s="70">
        <v>391.05000000000007</v>
      </c>
      <c r="DW55" s="70">
        <v>390.06000000000006</v>
      </c>
      <c r="DX55" s="70">
        <v>389.07000000000005</v>
      </c>
      <c r="DY55" s="70">
        <v>388.08000000000004</v>
      </c>
      <c r="DZ55" s="70">
        <v>387.09000000000003</v>
      </c>
      <c r="EA55" s="70">
        <v>386.1</v>
      </c>
      <c r="EB55" s="70">
        <v>385.12000000000006</v>
      </c>
      <c r="EC55" s="70">
        <v>384.13000000000005</v>
      </c>
      <c r="ED55" s="70">
        <v>383.14000000000004</v>
      </c>
      <c r="EE55" s="70">
        <v>382.16</v>
      </c>
      <c r="EF55" s="70">
        <v>381.18000000000006</v>
      </c>
      <c r="EG55" s="70">
        <v>380.20000000000005</v>
      </c>
      <c r="EH55" s="70">
        <v>379.22</v>
      </c>
      <c r="EI55" s="70">
        <v>378.25000000000006</v>
      </c>
      <c r="EJ55" s="70">
        <v>377.27000000000004</v>
      </c>
      <c r="EK55" s="70">
        <v>376.30000000000007</v>
      </c>
      <c r="EL55" s="70">
        <v>375.32000000000005</v>
      </c>
      <c r="EM55" s="70">
        <v>374.35</v>
      </c>
      <c r="EN55" s="70">
        <v>373.37000000000006</v>
      </c>
      <c r="EO55" s="70">
        <v>372.40000000000003</v>
      </c>
      <c r="EP55" s="70">
        <v>371.43000000000006</v>
      </c>
      <c r="EQ55" s="70">
        <v>370.45000000000005</v>
      </c>
      <c r="ER55" s="70">
        <v>369.49000000000007</v>
      </c>
      <c r="ES55" s="70">
        <v>368.52000000000004</v>
      </c>
      <c r="ET55" s="70">
        <v>367.55000000000007</v>
      </c>
      <c r="EU55" s="70">
        <v>366.59000000000003</v>
      </c>
      <c r="EV55" s="70">
        <v>365.62000000000006</v>
      </c>
      <c r="EW55" s="70">
        <v>364.66</v>
      </c>
      <c r="EX55" s="70">
        <v>363.70000000000005</v>
      </c>
      <c r="EY55" s="70">
        <v>362.73</v>
      </c>
      <c r="EZ55" s="70">
        <v>361.77000000000004</v>
      </c>
      <c r="FA55" s="70">
        <v>360.81000000000006</v>
      </c>
      <c r="FB55" s="70">
        <v>359.84000000000003</v>
      </c>
      <c r="FC55" s="70">
        <v>358.88000000000005</v>
      </c>
      <c r="FD55" s="70">
        <v>357.92</v>
      </c>
      <c r="FE55" s="70">
        <v>356.96000000000004</v>
      </c>
      <c r="FF55" s="70">
        <v>356.00000000000006</v>
      </c>
      <c r="FG55" s="70">
        <v>355.05000000000007</v>
      </c>
      <c r="FH55" s="70">
        <v>354.09000000000003</v>
      </c>
      <c r="FI55" s="70">
        <v>353.13000000000005</v>
      </c>
      <c r="FJ55" s="70">
        <v>352.17</v>
      </c>
      <c r="FK55" s="70">
        <v>351.22</v>
      </c>
      <c r="FL55" s="70">
        <v>350.26000000000005</v>
      </c>
      <c r="FM55" s="70">
        <v>349.31000000000006</v>
      </c>
      <c r="FN55" s="70">
        <v>348.35</v>
      </c>
      <c r="FO55" s="70">
        <v>347.40000000000003</v>
      </c>
      <c r="FP55" s="70">
        <v>346.45000000000005</v>
      </c>
      <c r="FQ55" s="70">
        <v>345.50000000000006</v>
      </c>
      <c r="FR55" s="70">
        <v>344.55000000000007</v>
      </c>
      <c r="FS55" s="70">
        <v>343.6</v>
      </c>
      <c r="FT55" s="70">
        <v>342.65000000000003</v>
      </c>
      <c r="FU55" s="70">
        <v>341.70000000000005</v>
      </c>
      <c r="FV55" s="70">
        <v>340.75000000000006</v>
      </c>
      <c r="FW55" s="70">
        <v>339.80000000000007</v>
      </c>
      <c r="FX55" s="70">
        <v>338.85</v>
      </c>
      <c r="FY55" s="70">
        <v>337.91</v>
      </c>
      <c r="FZ55" s="70">
        <v>336.96000000000004</v>
      </c>
      <c r="GA55" s="70">
        <v>336.02000000000004</v>
      </c>
      <c r="GB55" s="70">
        <v>335.07000000000005</v>
      </c>
      <c r="GC55" s="70">
        <v>334.13000000000005</v>
      </c>
      <c r="GD55" s="70">
        <v>333.19000000000005</v>
      </c>
      <c r="GE55" s="70">
        <v>332.25000000000006</v>
      </c>
      <c r="GF55" s="70">
        <v>331.31000000000006</v>
      </c>
      <c r="GG55" s="70">
        <v>330.37000000000006</v>
      </c>
      <c r="GH55" s="70">
        <v>329.43000000000006</v>
      </c>
      <c r="GI55" s="70">
        <v>328.49000000000007</v>
      </c>
      <c r="GJ55" s="70">
        <v>327.55000000000007</v>
      </c>
      <c r="GK55" s="70">
        <v>326.62000000000006</v>
      </c>
      <c r="GL55" s="70">
        <v>325.68000000000006</v>
      </c>
      <c r="GM55" s="70">
        <v>324.75000000000006</v>
      </c>
      <c r="GN55" s="70">
        <v>323.82000000000005</v>
      </c>
      <c r="GO55" s="70">
        <v>322.87000000000006</v>
      </c>
      <c r="GP55" s="70">
        <v>321.95000000000005</v>
      </c>
      <c r="GQ55" s="70">
        <v>321.02000000000004</v>
      </c>
      <c r="GR55" s="70">
        <v>320.09000000000003</v>
      </c>
      <c r="GS55" s="70">
        <v>319.17</v>
      </c>
      <c r="GT55" s="70">
        <v>318.24000000000007</v>
      </c>
      <c r="GU55" s="70">
        <v>317.31000000000006</v>
      </c>
      <c r="GV55" s="70">
        <v>316.39000000000004</v>
      </c>
      <c r="GW55" s="70">
        <v>315.46000000000004</v>
      </c>
      <c r="GX55" s="70">
        <v>314.54000000000002</v>
      </c>
      <c r="GY55" s="70">
        <v>313.62000000000006</v>
      </c>
      <c r="GZ55" s="70">
        <v>312.70000000000005</v>
      </c>
      <c r="HA55" s="70">
        <v>311.78000000000003</v>
      </c>
      <c r="HB55" s="70">
        <v>310.86</v>
      </c>
      <c r="HC55" s="70">
        <v>309.93000000000006</v>
      </c>
      <c r="HD55" s="70">
        <v>309.02000000000004</v>
      </c>
      <c r="HE55" s="70">
        <v>308.11</v>
      </c>
      <c r="HF55" s="70">
        <v>307.18000000000006</v>
      </c>
      <c r="HG55" s="70">
        <v>306.28000000000003</v>
      </c>
      <c r="HH55" s="70">
        <v>305.37000000000006</v>
      </c>
      <c r="HI55" s="70">
        <v>304.46000000000004</v>
      </c>
      <c r="HJ55" s="70">
        <v>303.55000000000007</v>
      </c>
      <c r="HK55" s="70">
        <v>302.64000000000004</v>
      </c>
      <c r="HL55" s="70">
        <v>301.73</v>
      </c>
      <c r="HM55" s="70">
        <v>300.82000000000005</v>
      </c>
      <c r="HN55" s="70">
        <v>299.92</v>
      </c>
      <c r="HO55" s="70">
        <v>299.01000000000005</v>
      </c>
      <c r="HP55" s="70">
        <v>298.11</v>
      </c>
      <c r="HQ55" s="70">
        <v>297.21000000000004</v>
      </c>
      <c r="HR55" s="70">
        <v>296.31000000000006</v>
      </c>
      <c r="HS55" s="70">
        <v>295.40000000000003</v>
      </c>
      <c r="HT55" s="70">
        <v>294.51000000000005</v>
      </c>
      <c r="HU55" s="70">
        <v>293.61</v>
      </c>
      <c r="HV55" s="70">
        <v>292.72000000000003</v>
      </c>
      <c r="HW55" s="70">
        <v>291.82000000000005</v>
      </c>
      <c r="HX55" s="70">
        <v>290.93000000000006</v>
      </c>
      <c r="HY55" s="70">
        <v>290.03000000000003</v>
      </c>
      <c r="HZ55" s="70">
        <v>289.14000000000004</v>
      </c>
      <c r="IA55" s="70">
        <v>288.25000000000006</v>
      </c>
      <c r="IB55" s="70">
        <v>287.36</v>
      </c>
      <c r="IC55" s="70">
        <v>286.47000000000003</v>
      </c>
      <c r="ID55" s="70">
        <v>285.58000000000004</v>
      </c>
      <c r="IE55" s="70">
        <v>284.68000000000006</v>
      </c>
      <c r="IF55" s="70">
        <v>283.81000000000006</v>
      </c>
      <c r="IG55" s="70">
        <v>282.92</v>
      </c>
      <c r="IH55" s="70">
        <v>282.04000000000002</v>
      </c>
      <c r="II55" s="70">
        <v>281.15000000000003</v>
      </c>
      <c r="IJ55" s="70">
        <v>280.27000000000004</v>
      </c>
      <c r="IK55" s="70">
        <v>279.39000000000004</v>
      </c>
      <c r="IL55" s="70">
        <v>278.51000000000005</v>
      </c>
      <c r="IM55" s="70">
        <v>277.62000000000006</v>
      </c>
      <c r="IN55" s="70">
        <v>276.76000000000005</v>
      </c>
      <c r="IO55" s="70">
        <v>275.87000000000006</v>
      </c>
      <c r="IP55" s="70">
        <v>275.00000000000006</v>
      </c>
      <c r="IQ55" s="70">
        <v>274.12000000000006</v>
      </c>
      <c r="IR55" s="70">
        <v>273.26000000000005</v>
      </c>
      <c r="IS55" s="70">
        <v>272.39000000000004</v>
      </c>
      <c r="IT55" s="70">
        <v>271.51000000000005</v>
      </c>
      <c r="IU55" s="70">
        <v>270.65000000000003</v>
      </c>
      <c r="IV55" s="70">
        <v>269.78000000000003</v>
      </c>
      <c r="IW55" s="70">
        <v>268.90000000000003</v>
      </c>
      <c r="IX55" s="70">
        <v>268.05000000000007</v>
      </c>
      <c r="IY55" s="70">
        <v>267.18000000000006</v>
      </c>
      <c r="IZ55" s="70">
        <v>266.32000000000005</v>
      </c>
      <c r="JA55" s="70">
        <v>265.46000000000004</v>
      </c>
      <c r="JB55" s="70">
        <v>264.59000000000003</v>
      </c>
      <c r="JC55" s="70">
        <v>263.74000000000007</v>
      </c>
      <c r="JD55" s="70">
        <v>262.87000000000006</v>
      </c>
      <c r="JE55" s="70">
        <v>262.02000000000004</v>
      </c>
      <c r="JF55" s="70">
        <v>261.17</v>
      </c>
      <c r="JG55" s="70">
        <v>260.31000000000006</v>
      </c>
      <c r="JH55" s="70">
        <v>259.46000000000004</v>
      </c>
      <c r="JI55" s="70">
        <v>258.61</v>
      </c>
      <c r="JJ55" s="70">
        <v>257.75000000000006</v>
      </c>
      <c r="JK55" s="70">
        <v>256.90000000000003</v>
      </c>
      <c r="JL55" s="70">
        <v>256.05</v>
      </c>
      <c r="JM55" s="70">
        <v>255.2</v>
      </c>
      <c r="JN55" s="70">
        <v>254.35999999999999</v>
      </c>
      <c r="JO55" s="70">
        <v>253.51</v>
      </c>
      <c r="JP55" s="70">
        <v>252.66</v>
      </c>
      <c r="JQ55" s="70">
        <v>251.82</v>
      </c>
      <c r="JR55" s="70">
        <v>250.96999999999997</v>
      </c>
      <c r="JS55" s="70">
        <v>250.13</v>
      </c>
      <c r="JT55" s="70">
        <v>249.29</v>
      </c>
      <c r="JU55" s="70">
        <v>248.45</v>
      </c>
      <c r="JV55" s="70">
        <v>247.60999999999999</v>
      </c>
      <c r="JW55" s="70">
        <v>246.76999999999998</v>
      </c>
      <c r="JX55" s="70">
        <v>245.92999999999998</v>
      </c>
      <c r="JY55" s="70">
        <v>245.1</v>
      </c>
      <c r="JZ55" s="70">
        <v>244.26</v>
      </c>
      <c r="KA55" s="70">
        <v>243.42999999999998</v>
      </c>
      <c r="KB55" s="70">
        <v>242.58999999999997</v>
      </c>
      <c r="KC55" s="70">
        <v>241.76</v>
      </c>
      <c r="KD55" s="70">
        <v>240.92999999999998</v>
      </c>
      <c r="KE55" s="70">
        <v>240.08999999999997</v>
      </c>
      <c r="KF55" s="70">
        <v>239.26999999999998</v>
      </c>
      <c r="KG55" s="70">
        <v>238.44</v>
      </c>
      <c r="KH55" s="70">
        <v>237.60999999999999</v>
      </c>
      <c r="KI55" s="70">
        <v>236.77999999999997</v>
      </c>
      <c r="KJ55" s="70">
        <v>235.95999999999998</v>
      </c>
      <c r="KK55" s="70">
        <v>235.13</v>
      </c>
      <c r="KL55" s="70">
        <v>234.30999999999997</v>
      </c>
      <c r="KM55" s="70">
        <v>233.48999999999998</v>
      </c>
      <c r="KN55" s="70">
        <v>232.67</v>
      </c>
      <c r="KO55" s="70">
        <v>231.85</v>
      </c>
      <c r="KP55" s="70">
        <v>231.02999999999997</v>
      </c>
      <c r="KQ55" s="70">
        <v>230.20999999999998</v>
      </c>
      <c r="KR55" s="70">
        <v>229.17000000000041</v>
      </c>
      <c r="KS55" s="70">
        <v>228.42000000000041</v>
      </c>
      <c r="KT55" s="70">
        <v>227.67000000000041</v>
      </c>
      <c r="KU55" s="70">
        <v>226.92000000000041</v>
      </c>
      <c r="KV55" s="70">
        <v>226.17000000000041</v>
      </c>
      <c r="KW55" s="70">
        <v>225.42000000000041</v>
      </c>
      <c r="KX55" s="70">
        <v>224.67000000000041</v>
      </c>
      <c r="KY55" s="70">
        <v>223.92000000000041</v>
      </c>
      <c r="KZ55" s="70">
        <v>223.17000000000041</v>
      </c>
      <c r="LA55" s="70">
        <v>222.42000000000041</v>
      </c>
      <c r="LB55" s="70">
        <v>221.67000000000041</v>
      </c>
      <c r="LC55" s="70">
        <v>220.92000000000041</v>
      </c>
      <c r="LD55" s="70">
        <v>220.17000000000041</v>
      </c>
      <c r="LE55" s="70">
        <v>219.42000000000041</v>
      </c>
      <c r="LF55" s="70">
        <v>218.67000000000041</v>
      </c>
      <c r="LG55" s="70">
        <v>217.92000000000041</v>
      </c>
      <c r="LH55" s="70">
        <v>217.17000000000041</v>
      </c>
      <c r="LI55" s="70">
        <v>216.42000000000041</v>
      </c>
      <c r="LJ55" s="70">
        <v>215.67000000000041</v>
      </c>
      <c r="LK55" s="70">
        <v>214.92000000000041</v>
      </c>
      <c r="LL55" s="70">
        <v>214.17000000000041</v>
      </c>
      <c r="LM55" s="70">
        <v>213.42000000000041</v>
      </c>
      <c r="LN55" s="70">
        <v>212.67000000000041</v>
      </c>
      <c r="LO55" s="70">
        <v>211.92000000000041</v>
      </c>
      <c r="LP55" s="70">
        <v>211.17000000000041</v>
      </c>
      <c r="LQ55" s="70">
        <v>210.42000000000041</v>
      </c>
      <c r="LR55" s="70">
        <v>209.67000000000041</v>
      </c>
      <c r="LS55" s="70">
        <v>208.92000000000041</v>
      </c>
      <c r="LT55" s="70">
        <v>208.17000000000041</v>
      </c>
      <c r="LU55" s="70">
        <v>207.42000000000041</v>
      </c>
      <c r="LV55" s="70">
        <v>206.67000000000041</v>
      </c>
      <c r="LW55" s="70">
        <v>205.92000000000041</v>
      </c>
      <c r="LX55" s="70">
        <v>205.17000000000041</v>
      </c>
      <c r="LY55" s="70">
        <v>204.42000000000041</v>
      </c>
      <c r="LZ55" s="70">
        <v>203.67000000000041</v>
      </c>
      <c r="MA55" s="70">
        <v>202.92000000000041</v>
      </c>
      <c r="MB55" s="70">
        <v>202.17000000000041</v>
      </c>
      <c r="MC55" s="70">
        <v>201.42000000000041</v>
      </c>
      <c r="MD55" s="70">
        <v>200.67000000000041</v>
      </c>
      <c r="ME55" s="70">
        <v>199.92000000000041</v>
      </c>
      <c r="MF55" s="70">
        <v>199.17000000000041</v>
      </c>
      <c r="MG55" s="70">
        <v>198.42000000000041</v>
      </c>
      <c r="MH55" s="70">
        <v>197.67000000000041</v>
      </c>
      <c r="MI55" s="70">
        <v>196.92000000000041</v>
      </c>
      <c r="MJ55" s="70">
        <v>196.17000000000041</v>
      </c>
      <c r="MK55" s="70">
        <v>195.42000000000041</v>
      </c>
      <c r="ML55" s="70">
        <v>194.67000000000041</v>
      </c>
      <c r="MM55" s="70">
        <v>193.92000000000041</v>
      </c>
      <c r="MN55" s="70">
        <v>193.17000000000041</v>
      </c>
      <c r="MO55" s="70">
        <v>192.42000000000041</v>
      </c>
      <c r="MP55" s="70">
        <v>191.67000000000041</v>
      </c>
      <c r="MQ55" s="70">
        <v>190.92000000000041</v>
      </c>
      <c r="MR55" s="70">
        <v>190.17000000000041</v>
      </c>
      <c r="MS55" s="70">
        <v>189.42000000000041</v>
      </c>
      <c r="MT55" s="70">
        <v>188.67000000000041</v>
      </c>
      <c r="MU55" s="70">
        <v>187.92000000000041</v>
      </c>
      <c r="MV55" s="70">
        <v>187.17000000000041</v>
      </c>
      <c r="MW55" s="70">
        <v>186.42000000000041</v>
      </c>
      <c r="MX55" s="70">
        <v>185.67000000000041</v>
      </c>
      <c r="MY55" s="70">
        <v>184.92000000000041</v>
      </c>
    </row>
    <row r="56" spans="1:363" ht="15.6" x14ac:dyDescent="0.3">
      <c r="A56" s="67" t="s">
        <v>7</v>
      </c>
      <c r="B56" s="72">
        <v>2066</v>
      </c>
      <c r="C56" s="70">
        <v>516.78</v>
      </c>
      <c r="D56" s="70">
        <v>515.75</v>
      </c>
      <c r="E56" s="70">
        <v>514.72</v>
      </c>
      <c r="F56" s="70">
        <v>513.7399999999999</v>
      </c>
      <c r="G56" s="70">
        <v>512.70999999999992</v>
      </c>
      <c r="H56" s="70">
        <v>511.68000000000006</v>
      </c>
      <c r="I56" s="70">
        <v>510.66000000000008</v>
      </c>
      <c r="J56" s="70">
        <v>509.63000000000005</v>
      </c>
      <c r="K56" s="70">
        <v>508.60000000000008</v>
      </c>
      <c r="L56" s="70">
        <v>507.58000000000004</v>
      </c>
      <c r="M56" s="70">
        <v>506.55000000000007</v>
      </c>
      <c r="N56" s="70">
        <v>505.53000000000009</v>
      </c>
      <c r="O56" s="70">
        <v>504.50000000000006</v>
      </c>
      <c r="P56" s="70">
        <v>503.47000000000008</v>
      </c>
      <c r="Q56" s="70">
        <v>502.45000000000005</v>
      </c>
      <c r="R56" s="70">
        <v>501.42000000000007</v>
      </c>
      <c r="S56" s="70">
        <v>500.39000000000004</v>
      </c>
      <c r="T56" s="70">
        <v>499.37000000000006</v>
      </c>
      <c r="U56" s="70">
        <v>498.34000000000009</v>
      </c>
      <c r="V56" s="70">
        <v>497.31000000000006</v>
      </c>
      <c r="W56" s="70">
        <v>496.29000000000008</v>
      </c>
      <c r="X56" s="70">
        <v>495.26000000000005</v>
      </c>
      <c r="Y56" s="70">
        <v>494.23000000000008</v>
      </c>
      <c r="Z56" s="70">
        <v>493.21000000000004</v>
      </c>
      <c r="AA56" s="70">
        <v>492.18000000000006</v>
      </c>
      <c r="AB56" s="70">
        <v>491.15000000000003</v>
      </c>
      <c r="AC56" s="70">
        <v>490.13000000000005</v>
      </c>
      <c r="AD56" s="70">
        <v>489.10000000000008</v>
      </c>
      <c r="AE56" s="70">
        <v>488.07000000000005</v>
      </c>
      <c r="AF56" s="70">
        <v>487.05000000000007</v>
      </c>
      <c r="AG56" s="70">
        <v>486.02000000000004</v>
      </c>
      <c r="AH56" s="70">
        <v>485.00000000000006</v>
      </c>
      <c r="AI56" s="70">
        <v>483.97000000000008</v>
      </c>
      <c r="AJ56" s="70">
        <v>482.94000000000005</v>
      </c>
      <c r="AK56" s="70">
        <v>481.92000000000007</v>
      </c>
      <c r="AL56" s="70">
        <v>480.89000000000004</v>
      </c>
      <c r="AM56" s="70">
        <v>479.86000000000007</v>
      </c>
      <c r="AN56" s="70">
        <v>478.84000000000009</v>
      </c>
      <c r="AO56" s="70">
        <v>477.81000000000006</v>
      </c>
      <c r="AP56" s="70">
        <v>476.79000000000008</v>
      </c>
      <c r="AQ56" s="70">
        <v>475.76000000000005</v>
      </c>
      <c r="AR56" s="70">
        <v>474.74000000000007</v>
      </c>
      <c r="AS56" s="70">
        <v>473.71000000000004</v>
      </c>
      <c r="AT56" s="70">
        <v>472.68000000000006</v>
      </c>
      <c r="AU56" s="70">
        <v>471.66000000000008</v>
      </c>
      <c r="AV56" s="70">
        <v>470.63000000000005</v>
      </c>
      <c r="AW56" s="70">
        <v>469.61000000000007</v>
      </c>
      <c r="AX56" s="70">
        <v>468.58000000000004</v>
      </c>
      <c r="AY56" s="70">
        <v>467.56000000000006</v>
      </c>
      <c r="AZ56" s="70">
        <v>466.53000000000009</v>
      </c>
      <c r="BA56" s="70">
        <v>465.51000000000005</v>
      </c>
      <c r="BB56" s="70">
        <v>464.49000000000007</v>
      </c>
      <c r="BC56" s="70">
        <v>463.46000000000004</v>
      </c>
      <c r="BD56" s="70">
        <v>462.44000000000005</v>
      </c>
      <c r="BE56" s="70">
        <v>461.41000000000008</v>
      </c>
      <c r="BF56" s="70">
        <v>460.39000000000004</v>
      </c>
      <c r="BG56" s="70">
        <v>459.36000000000007</v>
      </c>
      <c r="BH56" s="70">
        <v>458.34000000000009</v>
      </c>
      <c r="BI56" s="70">
        <v>457.32000000000005</v>
      </c>
      <c r="BJ56" s="70">
        <v>456.29000000000008</v>
      </c>
      <c r="BK56" s="70">
        <v>455.27000000000004</v>
      </c>
      <c r="BL56" s="70">
        <v>454.25000000000006</v>
      </c>
      <c r="BM56" s="70">
        <v>453.22000000000008</v>
      </c>
      <c r="BN56" s="70">
        <v>452.20000000000005</v>
      </c>
      <c r="BO56" s="70">
        <v>451.18000000000006</v>
      </c>
      <c r="BP56" s="70">
        <v>450.16000000000008</v>
      </c>
      <c r="BQ56" s="70">
        <v>449.14000000000004</v>
      </c>
      <c r="BR56" s="70">
        <v>448.11000000000007</v>
      </c>
      <c r="BS56" s="70">
        <v>447.09000000000009</v>
      </c>
      <c r="BT56" s="70">
        <v>446.07000000000005</v>
      </c>
      <c r="BU56" s="70">
        <v>445.05000000000007</v>
      </c>
      <c r="BV56" s="70">
        <v>444.03000000000009</v>
      </c>
      <c r="BW56" s="70">
        <v>443.01000000000005</v>
      </c>
      <c r="BX56" s="70">
        <v>441.99000000000007</v>
      </c>
      <c r="BY56" s="70">
        <v>440.97000000000008</v>
      </c>
      <c r="BZ56" s="70">
        <v>439.95000000000005</v>
      </c>
      <c r="CA56" s="70">
        <v>438.93000000000006</v>
      </c>
      <c r="CB56" s="70">
        <v>437.91000000000008</v>
      </c>
      <c r="CC56" s="70">
        <v>436.90000000000003</v>
      </c>
      <c r="CD56" s="70">
        <v>435.88000000000005</v>
      </c>
      <c r="CE56" s="70">
        <v>434.86000000000007</v>
      </c>
      <c r="CF56" s="70">
        <v>433.84000000000009</v>
      </c>
      <c r="CG56" s="70">
        <v>432.82000000000005</v>
      </c>
      <c r="CH56" s="70">
        <v>431.80000000000007</v>
      </c>
      <c r="CI56" s="70">
        <v>430.79000000000008</v>
      </c>
      <c r="CJ56" s="70">
        <v>429.77000000000004</v>
      </c>
      <c r="CK56" s="70">
        <v>428.76000000000005</v>
      </c>
      <c r="CL56" s="70">
        <v>427.75000000000006</v>
      </c>
      <c r="CM56" s="70">
        <v>426.73000000000008</v>
      </c>
      <c r="CN56" s="70">
        <v>425.72000000000008</v>
      </c>
      <c r="CO56" s="70">
        <v>424.71000000000004</v>
      </c>
      <c r="CP56" s="70">
        <v>423.69000000000005</v>
      </c>
      <c r="CQ56" s="70">
        <v>422.68000000000006</v>
      </c>
      <c r="CR56" s="70">
        <v>421.67000000000007</v>
      </c>
      <c r="CS56" s="70">
        <v>420.65000000000003</v>
      </c>
      <c r="CT56" s="70">
        <v>419.64000000000004</v>
      </c>
      <c r="CU56" s="70">
        <v>418.63000000000005</v>
      </c>
      <c r="CV56" s="70">
        <v>417.62000000000006</v>
      </c>
      <c r="CW56" s="70">
        <v>416.61000000000007</v>
      </c>
      <c r="CX56" s="70">
        <v>415.61000000000007</v>
      </c>
      <c r="CY56" s="70">
        <v>414.60000000000008</v>
      </c>
      <c r="CZ56" s="70">
        <v>413.59000000000009</v>
      </c>
      <c r="DA56" s="70">
        <v>412.59000000000009</v>
      </c>
      <c r="DB56" s="70">
        <v>411.58000000000004</v>
      </c>
      <c r="DC56" s="70">
        <v>410.57000000000005</v>
      </c>
      <c r="DD56" s="70">
        <v>409.57000000000005</v>
      </c>
      <c r="DE56" s="70">
        <v>408.56000000000006</v>
      </c>
      <c r="DF56" s="70">
        <v>407.55000000000007</v>
      </c>
      <c r="DG56" s="70">
        <v>406.55000000000007</v>
      </c>
      <c r="DH56" s="70">
        <v>405.55000000000007</v>
      </c>
      <c r="DI56" s="70">
        <v>404.55000000000007</v>
      </c>
      <c r="DJ56" s="70">
        <v>403.55000000000007</v>
      </c>
      <c r="DK56" s="70">
        <v>402.55000000000007</v>
      </c>
      <c r="DL56" s="70">
        <v>401.55000000000007</v>
      </c>
      <c r="DM56" s="70">
        <v>400.55000000000007</v>
      </c>
      <c r="DN56" s="70">
        <v>399.55000000000007</v>
      </c>
      <c r="DO56" s="70">
        <v>398.55000000000007</v>
      </c>
      <c r="DP56" s="70">
        <v>397.55000000000007</v>
      </c>
      <c r="DQ56" s="70">
        <v>396.56000000000006</v>
      </c>
      <c r="DR56" s="70">
        <v>395.56000000000006</v>
      </c>
      <c r="DS56" s="70">
        <v>394.56000000000006</v>
      </c>
      <c r="DT56" s="70">
        <v>393.57000000000005</v>
      </c>
      <c r="DU56" s="70">
        <v>392.58000000000004</v>
      </c>
      <c r="DV56" s="70">
        <v>391.59000000000009</v>
      </c>
      <c r="DW56" s="70">
        <v>390.60000000000008</v>
      </c>
      <c r="DX56" s="70">
        <v>389.61000000000007</v>
      </c>
      <c r="DY56" s="70">
        <v>388.62000000000006</v>
      </c>
      <c r="DZ56" s="70">
        <v>387.63000000000005</v>
      </c>
      <c r="EA56" s="70">
        <v>386.64000000000004</v>
      </c>
      <c r="EB56" s="70">
        <v>385.66000000000008</v>
      </c>
      <c r="EC56" s="70">
        <v>384.67000000000007</v>
      </c>
      <c r="ED56" s="70">
        <v>383.68000000000006</v>
      </c>
      <c r="EE56" s="70">
        <v>382.70000000000005</v>
      </c>
      <c r="EF56" s="70">
        <v>381.72000000000008</v>
      </c>
      <c r="EG56" s="70">
        <v>380.74000000000007</v>
      </c>
      <c r="EH56" s="70">
        <v>379.76000000000005</v>
      </c>
      <c r="EI56" s="70">
        <v>378.79000000000008</v>
      </c>
      <c r="EJ56" s="70">
        <v>377.81000000000006</v>
      </c>
      <c r="EK56" s="70">
        <v>376.84000000000009</v>
      </c>
      <c r="EL56" s="70">
        <v>375.86000000000007</v>
      </c>
      <c r="EM56" s="70">
        <v>374.89000000000004</v>
      </c>
      <c r="EN56" s="70">
        <v>373.91000000000008</v>
      </c>
      <c r="EO56" s="70">
        <v>372.94000000000005</v>
      </c>
      <c r="EP56" s="70">
        <v>371.97000000000008</v>
      </c>
      <c r="EQ56" s="70">
        <v>370.99000000000007</v>
      </c>
      <c r="ER56" s="70">
        <v>370.03000000000009</v>
      </c>
      <c r="ES56" s="70">
        <v>369.06000000000006</v>
      </c>
      <c r="ET56" s="70">
        <v>368.09000000000009</v>
      </c>
      <c r="EU56" s="70">
        <v>367.13000000000005</v>
      </c>
      <c r="EV56" s="70">
        <v>366.16000000000008</v>
      </c>
      <c r="EW56" s="70">
        <v>365.20000000000005</v>
      </c>
      <c r="EX56" s="70">
        <v>364.24000000000007</v>
      </c>
      <c r="EY56" s="70">
        <v>363.27000000000004</v>
      </c>
      <c r="EZ56" s="70">
        <v>362.31000000000006</v>
      </c>
      <c r="FA56" s="70">
        <v>361.35000000000008</v>
      </c>
      <c r="FB56" s="70">
        <v>360.38000000000005</v>
      </c>
      <c r="FC56" s="70">
        <v>359.42000000000007</v>
      </c>
      <c r="FD56" s="70">
        <v>358.46000000000004</v>
      </c>
      <c r="FE56" s="70">
        <v>357.50000000000006</v>
      </c>
      <c r="FF56" s="70">
        <v>356.54000000000008</v>
      </c>
      <c r="FG56" s="70">
        <v>355.59000000000009</v>
      </c>
      <c r="FH56" s="70">
        <v>354.63000000000005</v>
      </c>
      <c r="FI56" s="70">
        <v>353.67000000000007</v>
      </c>
      <c r="FJ56" s="70">
        <v>352.71000000000004</v>
      </c>
      <c r="FK56" s="70">
        <v>351.76000000000005</v>
      </c>
      <c r="FL56" s="70">
        <v>350.80000000000007</v>
      </c>
      <c r="FM56" s="70">
        <v>349.85000000000008</v>
      </c>
      <c r="FN56" s="70">
        <v>348.89000000000004</v>
      </c>
      <c r="FO56" s="70">
        <v>347.94000000000005</v>
      </c>
      <c r="FP56" s="70">
        <v>346.99000000000007</v>
      </c>
      <c r="FQ56" s="70">
        <v>346.04000000000008</v>
      </c>
      <c r="FR56" s="70">
        <v>345.09000000000009</v>
      </c>
      <c r="FS56" s="70">
        <v>344.14000000000004</v>
      </c>
      <c r="FT56" s="70">
        <v>343.19000000000005</v>
      </c>
      <c r="FU56" s="70">
        <v>342.24000000000007</v>
      </c>
      <c r="FV56" s="70">
        <v>341.29000000000008</v>
      </c>
      <c r="FW56" s="70">
        <v>340.34000000000009</v>
      </c>
      <c r="FX56" s="70">
        <v>339.39000000000004</v>
      </c>
      <c r="FY56" s="70">
        <v>338.45000000000005</v>
      </c>
      <c r="FZ56" s="70">
        <v>337.50000000000006</v>
      </c>
      <c r="GA56" s="70">
        <v>336.56000000000006</v>
      </c>
      <c r="GB56" s="70">
        <v>335.61000000000007</v>
      </c>
      <c r="GC56" s="70">
        <v>334.67000000000007</v>
      </c>
      <c r="GD56" s="70">
        <v>333.73000000000008</v>
      </c>
      <c r="GE56" s="70">
        <v>332.79000000000008</v>
      </c>
      <c r="GF56" s="70">
        <v>331.85000000000008</v>
      </c>
      <c r="GG56" s="70">
        <v>330.91000000000008</v>
      </c>
      <c r="GH56" s="70">
        <v>329.97000000000008</v>
      </c>
      <c r="GI56" s="70">
        <v>329.03000000000009</v>
      </c>
      <c r="GJ56" s="70">
        <v>328.09000000000009</v>
      </c>
      <c r="GK56" s="70">
        <v>327.16000000000008</v>
      </c>
      <c r="GL56" s="70">
        <v>326.22000000000008</v>
      </c>
      <c r="GM56" s="70">
        <v>325.29000000000008</v>
      </c>
      <c r="GN56" s="70">
        <v>324.36000000000007</v>
      </c>
      <c r="GO56" s="70">
        <v>323.41000000000008</v>
      </c>
      <c r="GP56" s="70">
        <v>322.49000000000007</v>
      </c>
      <c r="GQ56" s="70">
        <v>321.56000000000006</v>
      </c>
      <c r="GR56" s="70">
        <v>320.63000000000005</v>
      </c>
      <c r="GS56" s="70">
        <v>319.71000000000004</v>
      </c>
      <c r="GT56" s="70">
        <v>318.78000000000009</v>
      </c>
      <c r="GU56" s="70">
        <v>317.85000000000008</v>
      </c>
      <c r="GV56" s="70">
        <v>316.93000000000006</v>
      </c>
      <c r="GW56" s="70">
        <v>316.00000000000006</v>
      </c>
      <c r="GX56" s="70">
        <v>315.08000000000004</v>
      </c>
      <c r="GY56" s="70">
        <v>314.16000000000008</v>
      </c>
      <c r="GZ56" s="70">
        <v>313.24000000000007</v>
      </c>
      <c r="HA56" s="70">
        <v>312.32000000000005</v>
      </c>
      <c r="HB56" s="70">
        <v>311.40000000000003</v>
      </c>
      <c r="HC56" s="70">
        <v>310.47000000000008</v>
      </c>
      <c r="HD56" s="70">
        <v>309.56000000000006</v>
      </c>
      <c r="HE56" s="70">
        <v>308.65000000000003</v>
      </c>
      <c r="HF56" s="70">
        <v>307.72000000000008</v>
      </c>
      <c r="HG56" s="70">
        <v>306.82000000000005</v>
      </c>
      <c r="HH56" s="70">
        <v>305.91000000000008</v>
      </c>
      <c r="HI56" s="70">
        <v>305.00000000000006</v>
      </c>
      <c r="HJ56" s="70">
        <v>304.09000000000009</v>
      </c>
      <c r="HK56" s="70">
        <v>303.18000000000006</v>
      </c>
      <c r="HL56" s="70">
        <v>302.27000000000004</v>
      </c>
      <c r="HM56" s="70">
        <v>301.36000000000007</v>
      </c>
      <c r="HN56" s="70">
        <v>300.46000000000004</v>
      </c>
      <c r="HO56" s="70">
        <v>299.55000000000007</v>
      </c>
      <c r="HP56" s="70">
        <v>298.65000000000003</v>
      </c>
      <c r="HQ56" s="70">
        <v>297.75000000000006</v>
      </c>
      <c r="HR56" s="70">
        <v>296.85000000000008</v>
      </c>
      <c r="HS56" s="70">
        <v>295.94000000000005</v>
      </c>
      <c r="HT56" s="70">
        <v>295.05000000000007</v>
      </c>
      <c r="HU56" s="70">
        <v>294.15000000000003</v>
      </c>
      <c r="HV56" s="70">
        <v>293.26000000000005</v>
      </c>
      <c r="HW56" s="70">
        <v>292.36000000000007</v>
      </c>
      <c r="HX56" s="70">
        <v>291.47000000000008</v>
      </c>
      <c r="HY56" s="70">
        <v>290.57000000000005</v>
      </c>
      <c r="HZ56" s="70">
        <v>289.68000000000006</v>
      </c>
      <c r="IA56" s="70">
        <v>288.79000000000008</v>
      </c>
      <c r="IB56" s="70">
        <v>287.90000000000003</v>
      </c>
      <c r="IC56" s="70">
        <v>287.01000000000005</v>
      </c>
      <c r="ID56" s="70">
        <v>286.12000000000006</v>
      </c>
      <c r="IE56" s="70">
        <v>285.22000000000008</v>
      </c>
      <c r="IF56" s="70">
        <v>284.35000000000008</v>
      </c>
      <c r="IG56" s="70">
        <v>283.46000000000004</v>
      </c>
      <c r="IH56" s="70">
        <v>282.58000000000004</v>
      </c>
      <c r="II56" s="70">
        <v>281.69000000000005</v>
      </c>
      <c r="IJ56" s="70">
        <v>280.81000000000006</v>
      </c>
      <c r="IK56" s="70">
        <v>279.93000000000006</v>
      </c>
      <c r="IL56" s="70">
        <v>279.05000000000007</v>
      </c>
      <c r="IM56" s="70">
        <v>278.16000000000008</v>
      </c>
      <c r="IN56" s="70">
        <v>277.30000000000007</v>
      </c>
      <c r="IO56" s="70">
        <v>276.41000000000008</v>
      </c>
      <c r="IP56" s="70">
        <v>275.54000000000008</v>
      </c>
      <c r="IQ56" s="70">
        <v>274.66000000000008</v>
      </c>
      <c r="IR56" s="70">
        <v>273.80000000000007</v>
      </c>
      <c r="IS56" s="70">
        <v>272.93000000000006</v>
      </c>
      <c r="IT56" s="70">
        <v>272.05000000000007</v>
      </c>
      <c r="IU56" s="70">
        <v>271.19000000000005</v>
      </c>
      <c r="IV56" s="70">
        <v>270.32000000000005</v>
      </c>
      <c r="IW56" s="70">
        <v>269.44000000000005</v>
      </c>
      <c r="IX56" s="70">
        <v>268.59000000000009</v>
      </c>
      <c r="IY56" s="70">
        <v>267.72000000000008</v>
      </c>
      <c r="IZ56" s="70">
        <v>266.86000000000007</v>
      </c>
      <c r="JA56" s="70">
        <v>266.00000000000006</v>
      </c>
      <c r="JB56" s="70">
        <v>265.13000000000005</v>
      </c>
      <c r="JC56" s="70">
        <v>264.28000000000009</v>
      </c>
      <c r="JD56" s="70">
        <v>263.41000000000008</v>
      </c>
      <c r="JE56" s="70">
        <v>262.56000000000006</v>
      </c>
      <c r="JF56" s="70">
        <v>261.71000000000004</v>
      </c>
      <c r="JG56" s="70">
        <v>260.85000000000008</v>
      </c>
      <c r="JH56" s="70">
        <v>260.00000000000006</v>
      </c>
      <c r="JI56" s="70">
        <v>259.15000000000003</v>
      </c>
      <c r="JJ56" s="70">
        <v>258.29000000000008</v>
      </c>
      <c r="JK56" s="70">
        <v>257.44000000000005</v>
      </c>
      <c r="JL56" s="70">
        <v>256.59000000000003</v>
      </c>
      <c r="JM56" s="70">
        <v>255.73999999999998</v>
      </c>
      <c r="JN56" s="70">
        <v>254.89999999999998</v>
      </c>
      <c r="JO56" s="70">
        <v>254.04999999999998</v>
      </c>
      <c r="JP56" s="70">
        <v>253.2</v>
      </c>
      <c r="JQ56" s="70">
        <v>252.35999999999999</v>
      </c>
      <c r="JR56" s="70">
        <v>251.50999999999996</v>
      </c>
      <c r="JS56" s="70">
        <v>250.67</v>
      </c>
      <c r="JT56" s="70">
        <v>249.82999999999998</v>
      </c>
      <c r="JU56" s="70">
        <v>248.98999999999998</v>
      </c>
      <c r="JV56" s="70">
        <v>248.14999999999998</v>
      </c>
      <c r="JW56" s="70">
        <v>247.30999999999997</v>
      </c>
      <c r="JX56" s="70">
        <v>246.46999999999997</v>
      </c>
      <c r="JY56" s="70">
        <v>245.64</v>
      </c>
      <c r="JZ56" s="70">
        <v>244.79999999999998</v>
      </c>
      <c r="KA56" s="70">
        <v>243.96999999999997</v>
      </c>
      <c r="KB56" s="70">
        <v>243.12999999999997</v>
      </c>
      <c r="KC56" s="70">
        <v>242.29999999999998</v>
      </c>
      <c r="KD56" s="70">
        <v>241.46999999999997</v>
      </c>
      <c r="KE56" s="70">
        <v>240.62999999999997</v>
      </c>
      <c r="KF56" s="70">
        <v>239.80999999999997</v>
      </c>
      <c r="KG56" s="70">
        <v>238.98</v>
      </c>
      <c r="KH56" s="70">
        <v>238.14999999999998</v>
      </c>
      <c r="KI56" s="70">
        <v>237.31999999999996</v>
      </c>
      <c r="KJ56" s="70">
        <v>236.49999999999997</v>
      </c>
      <c r="KK56" s="70">
        <v>235.67</v>
      </c>
      <c r="KL56" s="70">
        <v>234.84999999999997</v>
      </c>
      <c r="KM56" s="70">
        <v>234.02999999999997</v>
      </c>
      <c r="KN56" s="70">
        <v>233.20999999999998</v>
      </c>
      <c r="KO56" s="70">
        <v>232.39</v>
      </c>
      <c r="KP56" s="70">
        <v>231.56999999999996</v>
      </c>
      <c r="KQ56" s="70">
        <v>230.74999999999997</v>
      </c>
      <c r="KR56" s="70">
        <v>229.63000000000042</v>
      </c>
      <c r="KS56" s="70">
        <v>228.88000000000042</v>
      </c>
      <c r="KT56" s="70">
        <v>228.13000000000042</v>
      </c>
      <c r="KU56" s="70">
        <v>227.38000000000042</v>
      </c>
      <c r="KV56" s="70">
        <v>226.63000000000042</v>
      </c>
      <c r="KW56" s="70">
        <v>225.88000000000042</v>
      </c>
      <c r="KX56" s="70">
        <v>225.13000000000042</v>
      </c>
      <c r="KY56" s="70">
        <v>224.38000000000042</v>
      </c>
      <c r="KZ56" s="70">
        <v>223.63000000000042</v>
      </c>
      <c r="LA56" s="70">
        <v>222.88000000000042</v>
      </c>
      <c r="LB56" s="70">
        <v>222.13000000000042</v>
      </c>
      <c r="LC56" s="70">
        <v>221.38000000000042</v>
      </c>
      <c r="LD56" s="70">
        <v>220.63000000000042</v>
      </c>
      <c r="LE56" s="70">
        <v>219.88000000000042</v>
      </c>
      <c r="LF56" s="70">
        <v>219.13000000000042</v>
      </c>
      <c r="LG56" s="70">
        <v>218.38000000000042</v>
      </c>
      <c r="LH56" s="70">
        <v>217.63000000000042</v>
      </c>
      <c r="LI56" s="70">
        <v>216.88000000000042</v>
      </c>
      <c r="LJ56" s="70">
        <v>216.13000000000042</v>
      </c>
      <c r="LK56" s="70">
        <v>215.38000000000042</v>
      </c>
      <c r="LL56" s="70">
        <v>214.63000000000042</v>
      </c>
      <c r="LM56" s="70">
        <v>213.88000000000042</v>
      </c>
      <c r="LN56" s="70">
        <v>213.13000000000042</v>
      </c>
      <c r="LO56" s="70">
        <v>212.38000000000042</v>
      </c>
      <c r="LP56" s="70">
        <v>211.63000000000042</v>
      </c>
      <c r="LQ56" s="70">
        <v>210.88000000000042</v>
      </c>
      <c r="LR56" s="70">
        <v>210.13000000000042</v>
      </c>
      <c r="LS56" s="70">
        <v>209.38000000000042</v>
      </c>
      <c r="LT56" s="70">
        <v>208.63000000000042</v>
      </c>
      <c r="LU56" s="70">
        <v>207.88000000000042</v>
      </c>
      <c r="LV56" s="70">
        <v>207.13000000000042</v>
      </c>
      <c r="LW56" s="70">
        <v>206.38000000000042</v>
      </c>
      <c r="LX56" s="70">
        <v>205.63000000000042</v>
      </c>
      <c r="LY56" s="70">
        <v>204.88000000000042</v>
      </c>
      <c r="LZ56" s="70">
        <v>204.13000000000042</v>
      </c>
      <c r="MA56" s="70">
        <v>203.38000000000042</v>
      </c>
      <c r="MB56" s="70">
        <v>202.63000000000042</v>
      </c>
      <c r="MC56" s="70">
        <v>201.88000000000042</v>
      </c>
      <c r="MD56" s="70">
        <v>201.13000000000042</v>
      </c>
      <c r="ME56" s="70">
        <v>200.38000000000042</v>
      </c>
      <c r="MF56" s="70">
        <v>199.63000000000042</v>
      </c>
      <c r="MG56" s="70">
        <v>198.88000000000042</v>
      </c>
      <c r="MH56" s="70">
        <v>198.13000000000042</v>
      </c>
      <c r="MI56" s="70">
        <v>197.38000000000042</v>
      </c>
      <c r="MJ56" s="70">
        <v>196.63000000000042</v>
      </c>
      <c r="MK56" s="70">
        <v>195.88000000000042</v>
      </c>
      <c r="ML56" s="70">
        <v>195.13000000000042</v>
      </c>
      <c r="MM56" s="70">
        <v>194.38000000000042</v>
      </c>
      <c r="MN56" s="70">
        <v>193.63000000000042</v>
      </c>
      <c r="MO56" s="70">
        <v>192.88000000000042</v>
      </c>
      <c r="MP56" s="70">
        <v>192.13000000000042</v>
      </c>
      <c r="MQ56" s="70">
        <v>191.38000000000042</v>
      </c>
      <c r="MR56" s="70">
        <v>190.63000000000042</v>
      </c>
      <c r="MS56" s="70">
        <v>189.88000000000042</v>
      </c>
      <c r="MT56" s="70">
        <v>189.13000000000042</v>
      </c>
      <c r="MU56" s="70">
        <v>188.38000000000042</v>
      </c>
      <c r="MV56" s="70">
        <v>187.63000000000042</v>
      </c>
      <c r="MW56" s="70">
        <v>186.88000000000042</v>
      </c>
      <c r="MX56" s="70">
        <v>186.13000000000042</v>
      </c>
      <c r="MY56" s="70">
        <v>185.38000000000042</v>
      </c>
    </row>
    <row r="57" spans="1:363" ht="15.6" x14ac:dyDescent="0.3">
      <c r="A57" s="67" t="s">
        <v>7</v>
      </c>
      <c r="B57" s="72">
        <v>2067</v>
      </c>
      <c r="C57" s="70">
        <v>517.29999999999995</v>
      </c>
      <c r="D57" s="70">
        <v>516.27</v>
      </c>
      <c r="E57" s="70">
        <v>515.24</v>
      </c>
      <c r="F57" s="70">
        <v>514.27999999999986</v>
      </c>
      <c r="G57" s="70">
        <v>513.24999999999989</v>
      </c>
      <c r="H57" s="70">
        <v>512.22</v>
      </c>
      <c r="I57" s="70">
        <v>511.2000000000001</v>
      </c>
      <c r="J57" s="70">
        <v>510.17000000000007</v>
      </c>
      <c r="K57" s="70">
        <v>509.1400000000001</v>
      </c>
      <c r="L57" s="70">
        <v>508.12000000000006</v>
      </c>
      <c r="M57" s="70">
        <v>507.09000000000009</v>
      </c>
      <c r="N57" s="70">
        <v>506.07000000000011</v>
      </c>
      <c r="O57" s="70">
        <v>505.04000000000008</v>
      </c>
      <c r="P57" s="70">
        <v>504.0100000000001</v>
      </c>
      <c r="Q57" s="70">
        <v>502.99000000000007</v>
      </c>
      <c r="R57" s="70">
        <v>501.96000000000009</v>
      </c>
      <c r="S57" s="70">
        <v>500.93000000000006</v>
      </c>
      <c r="T57" s="70">
        <v>499.91000000000008</v>
      </c>
      <c r="U57" s="70">
        <v>498.88000000000011</v>
      </c>
      <c r="V57" s="70">
        <v>497.85000000000008</v>
      </c>
      <c r="W57" s="70">
        <v>496.8300000000001</v>
      </c>
      <c r="X57" s="70">
        <v>495.80000000000007</v>
      </c>
      <c r="Y57" s="70">
        <v>494.7700000000001</v>
      </c>
      <c r="Z57" s="70">
        <v>493.75000000000006</v>
      </c>
      <c r="AA57" s="70">
        <v>492.72000000000008</v>
      </c>
      <c r="AB57" s="70">
        <v>491.69000000000005</v>
      </c>
      <c r="AC57" s="70">
        <v>490.67000000000007</v>
      </c>
      <c r="AD57" s="70">
        <v>489.6400000000001</v>
      </c>
      <c r="AE57" s="70">
        <v>488.61000000000007</v>
      </c>
      <c r="AF57" s="70">
        <v>487.59000000000009</v>
      </c>
      <c r="AG57" s="70">
        <v>486.56000000000006</v>
      </c>
      <c r="AH57" s="70">
        <v>485.54000000000008</v>
      </c>
      <c r="AI57" s="70">
        <v>484.5100000000001</v>
      </c>
      <c r="AJ57" s="70">
        <v>483.48000000000008</v>
      </c>
      <c r="AK57" s="70">
        <v>482.46000000000009</v>
      </c>
      <c r="AL57" s="70">
        <v>481.43000000000006</v>
      </c>
      <c r="AM57" s="70">
        <v>480.40000000000009</v>
      </c>
      <c r="AN57" s="70">
        <v>479.38000000000011</v>
      </c>
      <c r="AO57" s="70">
        <v>478.35000000000008</v>
      </c>
      <c r="AP57" s="70">
        <v>477.3300000000001</v>
      </c>
      <c r="AQ57" s="70">
        <v>476.30000000000007</v>
      </c>
      <c r="AR57" s="70">
        <v>475.28000000000009</v>
      </c>
      <c r="AS57" s="70">
        <v>474.25000000000006</v>
      </c>
      <c r="AT57" s="70">
        <v>473.22000000000008</v>
      </c>
      <c r="AU57" s="70">
        <v>472.2000000000001</v>
      </c>
      <c r="AV57" s="70">
        <v>471.17000000000007</v>
      </c>
      <c r="AW57" s="70">
        <v>470.15000000000009</v>
      </c>
      <c r="AX57" s="70">
        <v>469.12000000000006</v>
      </c>
      <c r="AY57" s="70">
        <v>468.10000000000008</v>
      </c>
      <c r="AZ57" s="70">
        <v>467.07000000000011</v>
      </c>
      <c r="BA57" s="70">
        <v>466.05000000000007</v>
      </c>
      <c r="BB57" s="70">
        <v>465.03000000000009</v>
      </c>
      <c r="BC57" s="70">
        <v>464.00000000000006</v>
      </c>
      <c r="BD57" s="70">
        <v>462.98000000000008</v>
      </c>
      <c r="BE57" s="70">
        <v>461.9500000000001</v>
      </c>
      <c r="BF57" s="70">
        <v>460.93000000000006</v>
      </c>
      <c r="BG57" s="70">
        <v>459.90000000000009</v>
      </c>
      <c r="BH57" s="70">
        <v>458.88000000000011</v>
      </c>
      <c r="BI57" s="70">
        <v>457.86000000000007</v>
      </c>
      <c r="BJ57" s="70">
        <v>456.8300000000001</v>
      </c>
      <c r="BK57" s="70">
        <v>455.81000000000006</v>
      </c>
      <c r="BL57" s="70">
        <v>454.79000000000008</v>
      </c>
      <c r="BM57" s="70">
        <v>453.7600000000001</v>
      </c>
      <c r="BN57" s="70">
        <v>452.74000000000007</v>
      </c>
      <c r="BO57" s="70">
        <v>451.72000000000008</v>
      </c>
      <c r="BP57" s="70">
        <v>450.7000000000001</v>
      </c>
      <c r="BQ57" s="70">
        <v>449.68000000000006</v>
      </c>
      <c r="BR57" s="70">
        <v>448.65000000000009</v>
      </c>
      <c r="BS57" s="70">
        <v>447.63000000000011</v>
      </c>
      <c r="BT57" s="70">
        <v>446.61000000000007</v>
      </c>
      <c r="BU57" s="70">
        <v>445.59000000000009</v>
      </c>
      <c r="BV57" s="70">
        <v>444.57000000000011</v>
      </c>
      <c r="BW57" s="70">
        <v>443.55000000000007</v>
      </c>
      <c r="BX57" s="70">
        <v>442.53000000000009</v>
      </c>
      <c r="BY57" s="70">
        <v>441.5100000000001</v>
      </c>
      <c r="BZ57" s="70">
        <v>440.49000000000007</v>
      </c>
      <c r="CA57" s="70">
        <v>439.47000000000008</v>
      </c>
      <c r="CB57" s="70">
        <v>438.4500000000001</v>
      </c>
      <c r="CC57" s="70">
        <v>437.44000000000005</v>
      </c>
      <c r="CD57" s="70">
        <v>436.42000000000007</v>
      </c>
      <c r="CE57" s="70">
        <v>435.40000000000009</v>
      </c>
      <c r="CF57" s="70">
        <v>434.38000000000011</v>
      </c>
      <c r="CG57" s="70">
        <v>433.36000000000007</v>
      </c>
      <c r="CH57" s="70">
        <v>432.34000000000009</v>
      </c>
      <c r="CI57" s="70">
        <v>431.3300000000001</v>
      </c>
      <c r="CJ57" s="70">
        <v>430.31000000000006</v>
      </c>
      <c r="CK57" s="70">
        <v>429.30000000000007</v>
      </c>
      <c r="CL57" s="70">
        <v>428.29000000000008</v>
      </c>
      <c r="CM57" s="70">
        <v>427.2700000000001</v>
      </c>
      <c r="CN57" s="70">
        <v>426.2600000000001</v>
      </c>
      <c r="CO57" s="70">
        <v>425.25000000000006</v>
      </c>
      <c r="CP57" s="70">
        <v>424.23000000000008</v>
      </c>
      <c r="CQ57" s="70">
        <v>423.22000000000008</v>
      </c>
      <c r="CR57" s="70">
        <v>422.21000000000009</v>
      </c>
      <c r="CS57" s="70">
        <v>421.19000000000005</v>
      </c>
      <c r="CT57" s="70">
        <v>420.18000000000006</v>
      </c>
      <c r="CU57" s="70">
        <v>419.17000000000007</v>
      </c>
      <c r="CV57" s="70">
        <v>418.16000000000008</v>
      </c>
      <c r="CW57" s="70">
        <v>417.15000000000009</v>
      </c>
      <c r="CX57" s="70">
        <v>416.15000000000009</v>
      </c>
      <c r="CY57" s="70">
        <v>415.1400000000001</v>
      </c>
      <c r="CZ57" s="70">
        <v>414.13000000000011</v>
      </c>
      <c r="DA57" s="70">
        <v>413.13000000000011</v>
      </c>
      <c r="DB57" s="70">
        <v>412.12000000000006</v>
      </c>
      <c r="DC57" s="70">
        <v>411.11000000000007</v>
      </c>
      <c r="DD57" s="70">
        <v>410.11000000000007</v>
      </c>
      <c r="DE57" s="70">
        <v>409.10000000000008</v>
      </c>
      <c r="DF57" s="70">
        <v>408.09000000000009</v>
      </c>
      <c r="DG57" s="70">
        <v>407.09000000000009</v>
      </c>
      <c r="DH57" s="70">
        <v>406.09000000000009</v>
      </c>
      <c r="DI57" s="70">
        <v>405.09000000000009</v>
      </c>
      <c r="DJ57" s="70">
        <v>404.09000000000009</v>
      </c>
      <c r="DK57" s="70">
        <v>403.09000000000009</v>
      </c>
      <c r="DL57" s="70">
        <v>402.09000000000009</v>
      </c>
      <c r="DM57" s="70">
        <v>401.09000000000009</v>
      </c>
      <c r="DN57" s="70">
        <v>400.09000000000009</v>
      </c>
      <c r="DO57" s="70">
        <v>399.09000000000009</v>
      </c>
      <c r="DP57" s="70">
        <v>398.09000000000009</v>
      </c>
      <c r="DQ57" s="70">
        <v>397.10000000000008</v>
      </c>
      <c r="DR57" s="70">
        <v>396.10000000000008</v>
      </c>
      <c r="DS57" s="70">
        <v>395.10000000000008</v>
      </c>
      <c r="DT57" s="70">
        <v>394.11000000000007</v>
      </c>
      <c r="DU57" s="70">
        <v>393.12000000000006</v>
      </c>
      <c r="DV57" s="70">
        <v>392.13000000000011</v>
      </c>
      <c r="DW57" s="70">
        <v>391.1400000000001</v>
      </c>
      <c r="DX57" s="70">
        <v>390.15000000000009</v>
      </c>
      <c r="DY57" s="70">
        <v>389.16000000000008</v>
      </c>
      <c r="DZ57" s="70">
        <v>388.17000000000007</v>
      </c>
      <c r="EA57" s="70">
        <v>387.18000000000006</v>
      </c>
      <c r="EB57" s="70">
        <v>386.2000000000001</v>
      </c>
      <c r="EC57" s="70">
        <v>385.21000000000009</v>
      </c>
      <c r="ED57" s="70">
        <v>384.22000000000008</v>
      </c>
      <c r="EE57" s="70">
        <v>383.24000000000007</v>
      </c>
      <c r="EF57" s="70">
        <v>382.2600000000001</v>
      </c>
      <c r="EG57" s="70">
        <v>381.28000000000009</v>
      </c>
      <c r="EH57" s="70">
        <v>380.30000000000007</v>
      </c>
      <c r="EI57" s="70">
        <v>379.3300000000001</v>
      </c>
      <c r="EJ57" s="70">
        <v>378.35000000000008</v>
      </c>
      <c r="EK57" s="70">
        <v>377.38000000000011</v>
      </c>
      <c r="EL57" s="70">
        <v>376.40000000000009</v>
      </c>
      <c r="EM57" s="70">
        <v>375.43000000000006</v>
      </c>
      <c r="EN57" s="70">
        <v>374.4500000000001</v>
      </c>
      <c r="EO57" s="70">
        <v>373.48000000000008</v>
      </c>
      <c r="EP57" s="70">
        <v>372.5100000000001</v>
      </c>
      <c r="EQ57" s="70">
        <v>371.53000000000009</v>
      </c>
      <c r="ER57" s="70">
        <v>370.57000000000011</v>
      </c>
      <c r="ES57" s="70">
        <v>369.60000000000008</v>
      </c>
      <c r="ET57" s="70">
        <v>368.63000000000011</v>
      </c>
      <c r="EU57" s="70">
        <v>367.67000000000007</v>
      </c>
      <c r="EV57" s="70">
        <v>366.7000000000001</v>
      </c>
      <c r="EW57" s="70">
        <v>365.74000000000007</v>
      </c>
      <c r="EX57" s="70">
        <v>364.78000000000009</v>
      </c>
      <c r="EY57" s="70">
        <v>363.81000000000006</v>
      </c>
      <c r="EZ57" s="70">
        <v>362.85000000000008</v>
      </c>
      <c r="FA57" s="70">
        <v>361.8900000000001</v>
      </c>
      <c r="FB57" s="70">
        <v>360.92000000000007</v>
      </c>
      <c r="FC57" s="70">
        <v>359.96000000000009</v>
      </c>
      <c r="FD57" s="70">
        <v>359.00000000000006</v>
      </c>
      <c r="FE57" s="70">
        <v>358.04000000000008</v>
      </c>
      <c r="FF57" s="70">
        <v>357.0800000000001</v>
      </c>
      <c r="FG57" s="70">
        <v>356.13000000000011</v>
      </c>
      <c r="FH57" s="70">
        <v>355.17000000000007</v>
      </c>
      <c r="FI57" s="70">
        <v>354.21000000000009</v>
      </c>
      <c r="FJ57" s="70">
        <v>353.25000000000006</v>
      </c>
      <c r="FK57" s="70">
        <v>352.30000000000007</v>
      </c>
      <c r="FL57" s="70">
        <v>351.34000000000009</v>
      </c>
      <c r="FM57" s="70">
        <v>350.3900000000001</v>
      </c>
      <c r="FN57" s="70">
        <v>349.43000000000006</v>
      </c>
      <c r="FO57" s="70">
        <v>348.48000000000008</v>
      </c>
      <c r="FP57" s="70">
        <v>347.53000000000009</v>
      </c>
      <c r="FQ57" s="70">
        <v>346.5800000000001</v>
      </c>
      <c r="FR57" s="70">
        <v>345.63000000000011</v>
      </c>
      <c r="FS57" s="70">
        <v>344.68000000000006</v>
      </c>
      <c r="FT57" s="70">
        <v>343.73000000000008</v>
      </c>
      <c r="FU57" s="70">
        <v>342.78000000000009</v>
      </c>
      <c r="FV57" s="70">
        <v>341.8300000000001</v>
      </c>
      <c r="FW57" s="70">
        <v>340.88000000000011</v>
      </c>
      <c r="FX57" s="70">
        <v>339.93000000000006</v>
      </c>
      <c r="FY57" s="70">
        <v>338.99000000000007</v>
      </c>
      <c r="FZ57" s="70">
        <v>338.04000000000008</v>
      </c>
      <c r="GA57" s="70">
        <v>337.10000000000008</v>
      </c>
      <c r="GB57" s="70">
        <v>336.15000000000009</v>
      </c>
      <c r="GC57" s="70">
        <v>335.21000000000009</v>
      </c>
      <c r="GD57" s="70">
        <v>334.2700000000001</v>
      </c>
      <c r="GE57" s="70">
        <v>333.3300000000001</v>
      </c>
      <c r="GF57" s="70">
        <v>332.3900000000001</v>
      </c>
      <c r="GG57" s="70">
        <v>331.4500000000001</v>
      </c>
      <c r="GH57" s="70">
        <v>330.5100000000001</v>
      </c>
      <c r="GI57" s="70">
        <v>329.57000000000011</v>
      </c>
      <c r="GJ57" s="70">
        <v>328.63000000000011</v>
      </c>
      <c r="GK57" s="70">
        <v>327.7000000000001</v>
      </c>
      <c r="GL57" s="70">
        <v>326.7600000000001</v>
      </c>
      <c r="GM57" s="70">
        <v>325.8300000000001</v>
      </c>
      <c r="GN57" s="70">
        <v>324.90000000000009</v>
      </c>
      <c r="GO57" s="70">
        <v>323.9500000000001</v>
      </c>
      <c r="GP57" s="70">
        <v>323.03000000000009</v>
      </c>
      <c r="GQ57" s="70">
        <v>322.10000000000008</v>
      </c>
      <c r="GR57" s="70">
        <v>321.17000000000007</v>
      </c>
      <c r="GS57" s="70">
        <v>320.25000000000006</v>
      </c>
      <c r="GT57" s="70">
        <v>319.32000000000011</v>
      </c>
      <c r="GU57" s="70">
        <v>318.3900000000001</v>
      </c>
      <c r="GV57" s="70">
        <v>317.47000000000008</v>
      </c>
      <c r="GW57" s="70">
        <v>316.54000000000008</v>
      </c>
      <c r="GX57" s="70">
        <v>315.62000000000006</v>
      </c>
      <c r="GY57" s="70">
        <v>314.7000000000001</v>
      </c>
      <c r="GZ57" s="70">
        <v>313.78000000000009</v>
      </c>
      <c r="HA57" s="70">
        <v>312.86000000000007</v>
      </c>
      <c r="HB57" s="70">
        <v>311.94000000000005</v>
      </c>
      <c r="HC57" s="70">
        <v>311.0100000000001</v>
      </c>
      <c r="HD57" s="70">
        <v>310.10000000000008</v>
      </c>
      <c r="HE57" s="70">
        <v>309.19000000000005</v>
      </c>
      <c r="HF57" s="70">
        <v>308.2600000000001</v>
      </c>
      <c r="HG57" s="70">
        <v>307.36000000000007</v>
      </c>
      <c r="HH57" s="70">
        <v>306.4500000000001</v>
      </c>
      <c r="HI57" s="70">
        <v>305.54000000000008</v>
      </c>
      <c r="HJ57" s="70">
        <v>304.63000000000011</v>
      </c>
      <c r="HK57" s="70">
        <v>303.72000000000008</v>
      </c>
      <c r="HL57" s="70">
        <v>302.81000000000006</v>
      </c>
      <c r="HM57" s="70">
        <v>301.90000000000009</v>
      </c>
      <c r="HN57" s="70">
        <v>301.00000000000006</v>
      </c>
      <c r="HO57" s="70">
        <v>300.09000000000009</v>
      </c>
      <c r="HP57" s="70">
        <v>299.19000000000005</v>
      </c>
      <c r="HQ57" s="70">
        <v>298.29000000000008</v>
      </c>
      <c r="HR57" s="70">
        <v>297.3900000000001</v>
      </c>
      <c r="HS57" s="70">
        <v>296.48000000000008</v>
      </c>
      <c r="HT57" s="70">
        <v>295.59000000000009</v>
      </c>
      <c r="HU57" s="70">
        <v>294.69000000000005</v>
      </c>
      <c r="HV57" s="70">
        <v>293.80000000000007</v>
      </c>
      <c r="HW57" s="70">
        <v>292.90000000000009</v>
      </c>
      <c r="HX57" s="70">
        <v>292.0100000000001</v>
      </c>
      <c r="HY57" s="70">
        <v>291.11000000000007</v>
      </c>
      <c r="HZ57" s="70">
        <v>290.22000000000008</v>
      </c>
      <c r="IA57" s="70">
        <v>289.3300000000001</v>
      </c>
      <c r="IB57" s="70">
        <v>288.44000000000005</v>
      </c>
      <c r="IC57" s="70">
        <v>287.55000000000007</v>
      </c>
      <c r="ID57" s="70">
        <v>286.66000000000008</v>
      </c>
      <c r="IE57" s="70">
        <v>285.7600000000001</v>
      </c>
      <c r="IF57" s="70">
        <v>284.8900000000001</v>
      </c>
      <c r="IG57" s="70">
        <v>284.00000000000006</v>
      </c>
      <c r="IH57" s="70">
        <v>283.12000000000006</v>
      </c>
      <c r="II57" s="70">
        <v>282.23000000000008</v>
      </c>
      <c r="IJ57" s="70">
        <v>281.35000000000008</v>
      </c>
      <c r="IK57" s="70">
        <v>280.47000000000008</v>
      </c>
      <c r="IL57" s="70">
        <v>279.59000000000009</v>
      </c>
      <c r="IM57" s="70">
        <v>278.7000000000001</v>
      </c>
      <c r="IN57" s="70">
        <v>277.84000000000009</v>
      </c>
      <c r="IO57" s="70">
        <v>276.9500000000001</v>
      </c>
      <c r="IP57" s="70">
        <v>276.0800000000001</v>
      </c>
      <c r="IQ57" s="70">
        <v>275.2000000000001</v>
      </c>
      <c r="IR57" s="70">
        <v>274.34000000000009</v>
      </c>
      <c r="IS57" s="70">
        <v>273.47000000000008</v>
      </c>
      <c r="IT57" s="70">
        <v>272.59000000000009</v>
      </c>
      <c r="IU57" s="70">
        <v>271.73000000000008</v>
      </c>
      <c r="IV57" s="70">
        <v>270.86000000000007</v>
      </c>
      <c r="IW57" s="70">
        <v>269.98000000000008</v>
      </c>
      <c r="IX57" s="70">
        <v>269.13000000000011</v>
      </c>
      <c r="IY57" s="70">
        <v>268.2600000000001</v>
      </c>
      <c r="IZ57" s="70">
        <v>267.40000000000009</v>
      </c>
      <c r="JA57" s="70">
        <v>266.54000000000008</v>
      </c>
      <c r="JB57" s="70">
        <v>265.67000000000007</v>
      </c>
      <c r="JC57" s="70">
        <v>264.82000000000011</v>
      </c>
      <c r="JD57" s="70">
        <v>263.9500000000001</v>
      </c>
      <c r="JE57" s="70">
        <v>263.10000000000008</v>
      </c>
      <c r="JF57" s="70">
        <v>262.25000000000006</v>
      </c>
      <c r="JG57" s="70">
        <v>261.3900000000001</v>
      </c>
      <c r="JH57" s="70">
        <v>260.54000000000008</v>
      </c>
      <c r="JI57" s="70">
        <v>259.69000000000005</v>
      </c>
      <c r="JJ57" s="70">
        <v>258.8300000000001</v>
      </c>
      <c r="JK57" s="70">
        <v>257.98000000000008</v>
      </c>
      <c r="JL57" s="70">
        <v>257.13000000000005</v>
      </c>
      <c r="JM57" s="70">
        <v>256.27999999999997</v>
      </c>
      <c r="JN57" s="70">
        <v>255.43999999999997</v>
      </c>
      <c r="JO57" s="70">
        <v>254.58999999999997</v>
      </c>
      <c r="JP57" s="70">
        <v>253.73999999999998</v>
      </c>
      <c r="JQ57" s="70">
        <v>252.89999999999998</v>
      </c>
      <c r="JR57" s="70">
        <v>252.04999999999995</v>
      </c>
      <c r="JS57" s="70">
        <v>251.20999999999998</v>
      </c>
      <c r="JT57" s="70">
        <v>250.36999999999998</v>
      </c>
      <c r="JU57" s="70">
        <v>249.52999999999997</v>
      </c>
      <c r="JV57" s="70">
        <v>248.68999999999997</v>
      </c>
      <c r="JW57" s="70">
        <v>247.84999999999997</v>
      </c>
      <c r="JX57" s="70">
        <v>247.00999999999996</v>
      </c>
      <c r="JY57" s="70">
        <v>246.17999999999998</v>
      </c>
      <c r="JZ57" s="70">
        <v>245.33999999999997</v>
      </c>
      <c r="KA57" s="70">
        <v>244.50999999999996</v>
      </c>
      <c r="KB57" s="70">
        <v>243.66999999999996</v>
      </c>
      <c r="KC57" s="70">
        <v>242.83999999999997</v>
      </c>
      <c r="KD57" s="70">
        <v>242.00999999999996</v>
      </c>
      <c r="KE57" s="70">
        <v>241.16999999999996</v>
      </c>
      <c r="KF57" s="70">
        <v>240.34999999999997</v>
      </c>
      <c r="KG57" s="70">
        <v>239.51999999999998</v>
      </c>
      <c r="KH57" s="70">
        <v>238.68999999999997</v>
      </c>
      <c r="KI57" s="70">
        <v>237.85999999999996</v>
      </c>
      <c r="KJ57" s="70">
        <v>237.03999999999996</v>
      </c>
      <c r="KK57" s="70">
        <v>236.20999999999998</v>
      </c>
      <c r="KL57" s="70">
        <v>235.38999999999996</v>
      </c>
      <c r="KM57" s="70">
        <v>234.56999999999996</v>
      </c>
      <c r="KN57" s="70">
        <v>233.74999999999997</v>
      </c>
      <c r="KO57" s="70">
        <v>232.92999999999998</v>
      </c>
      <c r="KP57" s="70">
        <v>232.10999999999996</v>
      </c>
      <c r="KQ57" s="70">
        <v>231.28999999999996</v>
      </c>
      <c r="KR57" s="70">
        <v>230.09000000000043</v>
      </c>
      <c r="KS57" s="70">
        <v>229.34000000000043</v>
      </c>
      <c r="KT57" s="70">
        <v>228.59000000000043</v>
      </c>
      <c r="KU57" s="70">
        <v>227.84000000000043</v>
      </c>
      <c r="KV57" s="70">
        <v>227.09000000000043</v>
      </c>
      <c r="KW57" s="70">
        <v>226.34000000000043</v>
      </c>
      <c r="KX57" s="70">
        <v>225.59000000000043</v>
      </c>
      <c r="KY57" s="70">
        <v>224.84000000000043</v>
      </c>
      <c r="KZ57" s="70">
        <v>224.09000000000043</v>
      </c>
      <c r="LA57" s="70">
        <v>223.34000000000043</v>
      </c>
      <c r="LB57" s="70">
        <v>222.59000000000043</v>
      </c>
      <c r="LC57" s="70">
        <v>221.84000000000043</v>
      </c>
      <c r="LD57" s="70">
        <v>221.09000000000043</v>
      </c>
      <c r="LE57" s="70">
        <v>220.34000000000043</v>
      </c>
      <c r="LF57" s="70">
        <v>219.59000000000043</v>
      </c>
      <c r="LG57" s="70">
        <v>218.84000000000043</v>
      </c>
      <c r="LH57" s="70">
        <v>218.09000000000043</v>
      </c>
      <c r="LI57" s="70">
        <v>217.34000000000043</v>
      </c>
      <c r="LJ57" s="70">
        <v>216.59000000000043</v>
      </c>
      <c r="LK57" s="70">
        <v>215.84000000000043</v>
      </c>
      <c r="LL57" s="70">
        <v>215.09000000000043</v>
      </c>
      <c r="LM57" s="70">
        <v>214.34000000000043</v>
      </c>
      <c r="LN57" s="70">
        <v>213.59000000000043</v>
      </c>
      <c r="LO57" s="70">
        <v>212.84000000000043</v>
      </c>
      <c r="LP57" s="70">
        <v>212.09000000000043</v>
      </c>
      <c r="LQ57" s="70">
        <v>211.34000000000043</v>
      </c>
      <c r="LR57" s="70">
        <v>210.59000000000043</v>
      </c>
      <c r="LS57" s="70">
        <v>209.84000000000043</v>
      </c>
      <c r="LT57" s="70">
        <v>209.09000000000043</v>
      </c>
      <c r="LU57" s="70">
        <v>208.34000000000043</v>
      </c>
      <c r="LV57" s="70">
        <v>207.59000000000043</v>
      </c>
      <c r="LW57" s="70">
        <v>206.84000000000043</v>
      </c>
      <c r="LX57" s="70">
        <v>206.09000000000043</v>
      </c>
      <c r="LY57" s="70">
        <v>205.34000000000043</v>
      </c>
      <c r="LZ57" s="70">
        <v>204.59000000000043</v>
      </c>
      <c r="MA57" s="70">
        <v>203.84000000000043</v>
      </c>
      <c r="MB57" s="70">
        <v>203.09000000000043</v>
      </c>
      <c r="MC57" s="70">
        <v>202.34000000000043</v>
      </c>
      <c r="MD57" s="70">
        <v>201.59000000000043</v>
      </c>
      <c r="ME57" s="70">
        <v>200.84000000000043</v>
      </c>
      <c r="MF57" s="70">
        <v>200.09000000000043</v>
      </c>
      <c r="MG57" s="70">
        <v>199.34000000000043</v>
      </c>
      <c r="MH57" s="70">
        <v>198.59000000000043</v>
      </c>
      <c r="MI57" s="70">
        <v>197.84000000000043</v>
      </c>
      <c r="MJ57" s="70">
        <v>197.09000000000043</v>
      </c>
      <c r="MK57" s="70">
        <v>196.34000000000043</v>
      </c>
      <c r="ML57" s="70">
        <v>195.59000000000043</v>
      </c>
      <c r="MM57" s="70">
        <v>194.84000000000043</v>
      </c>
      <c r="MN57" s="70">
        <v>194.09000000000043</v>
      </c>
      <c r="MO57" s="70">
        <v>193.34000000000043</v>
      </c>
      <c r="MP57" s="70">
        <v>192.59000000000043</v>
      </c>
      <c r="MQ57" s="70">
        <v>191.84000000000043</v>
      </c>
      <c r="MR57" s="70">
        <v>191.09000000000043</v>
      </c>
      <c r="MS57" s="70">
        <v>190.34000000000043</v>
      </c>
      <c r="MT57" s="70">
        <v>189.59000000000043</v>
      </c>
      <c r="MU57" s="70">
        <v>188.84000000000043</v>
      </c>
      <c r="MV57" s="70">
        <v>188.09000000000043</v>
      </c>
      <c r="MW57" s="70">
        <v>187.34000000000043</v>
      </c>
      <c r="MX57" s="70">
        <v>186.59000000000043</v>
      </c>
      <c r="MY57" s="70">
        <v>185.84000000000043</v>
      </c>
    </row>
    <row r="58" spans="1:363" ht="15.6" x14ac:dyDescent="0.3">
      <c r="A58" s="67" t="s">
        <v>7</v>
      </c>
      <c r="B58" s="72">
        <v>2068</v>
      </c>
      <c r="C58" s="70">
        <v>517.82000000000005</v>
      </c>
      <c r="D58" s="70">
        <v>516.79</v>
      </c>
      <c r="E58" s="70">
        <v>515.76</v>
      </c>
      <c r="F58" s="70">
        <v>514.81999999999982</v>
      </c>
      <c r="G58" s="70">
        <v>513.78999999999985</v>
      </c>
      <c r="H58" s="70">
        <v>512.76</v>
      </c>
      <c r="I58" s="70">
        <v>511.74000000000012</v>
      </c>
      <c r="J58" s="70">
        <v>510.71000000000009</v>
      </c>
      <c r="K58" s="70">
        <v>509.68000000000012</v>
      </c>
      <c r="L58" s="70">
        <v>508.66000000000008</v>
      </c>
      <c r="M58" s="70">
        <v>507.63000000000011</v>
      </c>
      <c r="N58" s="70">
        <v>506.61000000000013</v>
      </c>
      <c r="O58" s="70">
        <v>505.5800000000001</v>
      </c>
      <c r="P58" s="70">
        <v>504.55000000000013</v>
      </c>
      <c r="Q58" s="70">
        <v>503.53000000000009</v>
      </c>
      <c r="R58" s="70">
        <v>502.50000000000011</v>
      </c>
      <c r="S58" s="70">
        <v>501.47000000000008</v>
      </c>
      <c r="T58" s="70">
        <v>500.4500000000001</v>
      </c>
      <c r="U58" s="70">
        <v>499.42000000000013</v>
      </c>
      <c r="V58" s="70">
        <v>498.3900000000001</v>
      </c>
      <c r="W58" s="70">
        <v>497.37000000000012</v>
      </c>
      <c r="X58" s="70">
        <v>496.34000000000009</v>
      </c>
      <c r="Y58" s="70">
        <v>495.31000000000012</v>
      </c>
      <c r="Z58" s="70">
        <v>494.29000000000008</v>
      </c>
      <c r="AA58" s="70">
        <v>493.2600000000001</v>
      </c>
      <c r="AB58" s="70">
        <v>492.23000000000008</v>
      </c>
      <c r="AC58" s="70">
        <v>491.21000000000009</v>
      </c>
      <c r="AD58" s="70">
        <v>490.18000000000012</v>
      </c>
      <c r="AE58" s="70">
        <v>489.15000000000009</v>
      </c>
      <c r="AF58" s="70">
        <v>488.13000000000011</v>
      </c>
      <c r="AG58" s="70">
        <v>487.10000000000008</v>
      </c>
      <c r="AH58" s="70">
        <v>486.0800000000001</v>
      </c>
      <c r="AI58" s="70">
        <v>485.05000000000013</v>
      </c>
      <c r="AJ58" s="70">
        <v>484.0200000000001</v>
      </c>
      <c r="AK58" s="70">
        <v>483.00000000000011</v>
      </c>
      <c r="AL58" s="70">
        <v>481.97000000000008</v>
      </c>
      <c r="AM58" s="70">
        <v>480.94000000000011</v>
      </c>
      <c r="AN58" s="70">
        <v>479.92000000000013</v>
      </c>
      <c r="AO58" s="70">
        <v>478.8900000000001</v>
      </c>
      <c r="AP58" s="70">
        <v>477.87000000000012</v>
      </c>
      <c r="AQ58" s="70">
        <v>476.84000000000009</v>
      </c>
      <c r="AR58" s="70">
        <v>475.82000000000011</v>
      </c>
      <c r="AS58" s="70">
        <v>474.79000000000008</v>
      </c>
      <c r="AT58" s="70">
        <v>473.7600000000001</v>
      </c>
      <c r="AU58" s="70">
        <v>472.74000000000012</v>
      </c>
      <c r="AV58" s="70">
        <v>471.71000000000009</v>
      </c>
      <c r="AW58" s="70">
        <v>470.69000000000011</v>
      </c>
      <c r="AX58" s="70">
        <v>469.66000000000008</v>
      </c>
      <c r="AY58" s="70">
        <v>468.6400000000001</v>
      </c>
      <c r="AZ58" s="70">
        <v>467.61000000000013</v>
      </c>
      <c r="BA58" s="70">
        <v>466.59000000000009</v>
      </c>
      <c r="BB58" s="70">
        <v>465.57000000000011</v>
      </c>
      <c r="BC58" s="70">
        <v>464.54000000000008</v>
      </c>
      <c r="BD58" s="70">
        <v>463.5200000000001</v>
      </c>
      <c r="BE58" s="70">
        <v>462.49000000000012</v>
      </c>
      <c r="BF58" s="70">
        <v>461.47000000000008</v>
      </c>
      <c r="BG58" s="70">
        <v>460.44000000000011</v>
      </c>
      <c r="BH58" s="70">
        <v>459.42000000000013</v>
      </c>
      <c r="BI58" s="70">
        <v>458.40000000000009</v>
      </c>
      <c r="BJ58" s="70">
        <v>457.37000000000012</v>
      </c>
      <c r="BK58" s="70">
        <v>456.35000000000008</v>
      </c>
      <c r="BL58" s="70">
        <v>455.3300000000001</v>
      </c>
      <c r="BM58" s="70">
        <v>454.30000000000013</v>
      </c>
      <c r="BN58" s="70">
        <v>453.28000000000009</v>
      </c>
      <c r="BO58" s="70">
        <v>452.2600000000001</v>
      </c>
      <c r="BP58" s="70">
        <v>451.24000000000012</v>
      </c>
      <c r="BQ58" s="70">
        <v>450.22000000000008</v>
      </c>
      <c r="BR58" s="70">
        <v>449.19000000000011</v>
      </c>
      <c r="BS58" s="70">
        <v>448.17000000000013</v>
      </c>
      <c r="BT58" s="70">
        <v>447.15000000000009</v>
      </c>
      <c r="BU58" s="70">
        <v>446.13000000000011</v>
      </c>
      <c r="BV58" s="70">
        <v>445.11000000000013</v>
      </c>
      <c r="BW58" s="70">
        <v>444.09000000000009</v>
      </c>
      <c r="BX58" s="70">
        <v>443.07000000000011</v>
      </c>
      <c r="BY58" s="70">
        <v>442.05000000000013</v>
      </c>
      <c r="BZ58" s="70">
        <v>441.03000000000009</v>
      </c>
      <c r="CA58" s="70">
        <v>440.0100000000001</v>
      </c>
      <c r="CB58" s="70">
        <v>438.99000000000012</v>
      </c>
      <c r="CC58" s="70">
        <v>437.98000000000008</v>
      </c>
      <c r="CD58" s="70">
        <v>436.96000000000009</v>
      </c>
      <c r="CE58" s="70">
        <v>435.94000000000011</v>
      </c>
      <c r="CF58" s="70">
        <v>434.92000000000013</v>
      </c>
      <c r="CG58" s="70">
        <v>433.90000000000009</v>
      </c>
      <c r="CH58" s="70">
        <v>432.88000000000011</v>
      </c>
      <c r="CI58" s="70">
        <v>431.87000000000012</v>
      </c>
      <c r="CJ58" s="70">
        <v>430.85000000000008</v>
      </c>
      <c r="CK58" s="70">
        <v>429.84000000000009</v>
      </c>
      <c r="CL58" s="70">
        <v>428.8300000000001</v>
      </c>
      <c r="CM58" s="70">
        <v>427.81000000000012</v>
      </c>
      <c r="CN58" s="70">
        <v>426.80000000000013</v>
      </c>
      <c r="CO58" s="70">
        <v>425.79000000000008</v>
      </c>
      <c r="CP58" s="70">
        <v>424.7700000000001</v>
      </c>
      <c r="CQ58" s="70">
        <v>423.7600000000001</v>
      </c>
      <c r="CR58" s="70">
        <v>422.75000000000011</v>
      </c>
      <c r="CS58" s="70">
        <v>421.73000000000008</v>
      </c>
      <c r="CT58" s="70">
        <v>420.72000000000008</v>
      </c>
      <c r="CU58" s="70">
        <v>419.71000000000009</v>
      </c>
      <c r="CV58" s="70">
        <v>418.7000000000001</v>
      </c>
      <c r="CW58" s="70">
        <v>417.69000000000011</v>
      </c>
      <c r="CX58" s="70">
        <v>416.69000000000011</v>
      </c>
      <c r="CY58" s="70">
        <v>415.68000000000012</v>
      </c>
      <c r="CZ58" s="70">
        <v>414.67000000000013</v>
      </c>
      <c r="DA58" s="70">
        <v>413.67000000000013</v>
      </c>
      <c r="DB58" s="70">
        <v>412.66000000000008</v>
      </c>
      <c r="DC58" s="70">
        <v>411.65000000000009</v>
      </c>
      <c r="DD58" s="70">
        <v>410.65000000000009</v>
      </c>
      <c r="DE58" s="70">
        <v>409.6400000000001</v>
      </c>
      <c r="DF58" s="70">
        <v>408.63000000000011</v>
      </c>
      <c r="DG58" s="70">
        <v>407.63000000000011</v>
      </c>
      <c r="DH58" s="70">
        <v>406.63000000000011</v>
      </c>
      <c r="DI58" s="70">
        <v>405.63000000000011</v>
      </c>
      <c r="DJ58" s="70">
        <v>404.63000000000011</v>
      </c>
      <c r="DK58" s="70">
        <v>403.63000000000011</v>
      </c>
      <c r="DL58" s="70">
        <v>402.63000000000011</v>
      </c>
      <c r="DM58" s="70">
        <v>401.63000000000011</v>
      </c>
      <c r="DN58" s="70">
        <v>400.63000000000011</v>
      </c>
      <c r="DO58" s="70">
        <v>399.63000000000011</v>
      </c>
      <c r="DP58" s="70">
        <v>398.63000000000011</v>
      </c>
      <c r="DQ58" s="70">
        <v>397.6400000000001</v>
      </c>
      <c r="DR58" s="70">
        <v>396.6400000000001</v>
      </c>
      <c r="DS58" s="70">
        <v>395.6400000000001</v>
      </c>
      <c r="DT58" s="70">
        <v>394.65000000000009</v>
      </c>
      <c r="DU58" s="70">
        <v>393.66000000000008</v>
      </c>
      <c r="DV58" s="70">
        <v>392.67000000000013</v>
      </c>
      <c r="DW58" s="70">
        <v>391.68000000000012</v>
      </c>
      <c r="DX58" s="70">
        <v>390.69000000000011</v>
      </c>
      <c r="DY58" s="70">
        <v>389.7000000000001</v>
      </c>
      <c r="DZ58" s="70">
        <v>388.71000000000009</v>
      </c>
      <c r="EA58" s="70">
        <v>387.72000000000008</v>
      </c>
      <c r="EB58" s="70">
        <v>386.74000000000012</v>
      </c>
      <c r="EC58" s="70">
        <v>385.75000000000011</v>
      </c>
      <c r="ED58" s="70">
        <v>384.7600000000001</v>
      </c>
      <c r="EE58" s="70">
        <v>383.78000000000009</v>
      </c>
      <c r="EF58" s="70">
        <v>382.80000000000013</v>
      </c>
      <c r="EG58" s="70">
        <v>381.82000000000011</v>
      </c>
      <c r="EH58" s="70">
        <v>380.84000000000009</v>
      </c>
      <c r="EI58" s="70">
        <v>379.87000000000012</v>
      </c>
      <c r="EJ58" s="70">
        <v>378.8900000000001</v>
      </c>
      <c r="EK58" s="70">
        <v>377.92000000000013</v>
      </c>
      <c r="EL58" s="70">
        <v>376.94000000000011</v>
      </c>
      <c r="EM58" s="70">
        <v>375.97000000000008</v>
      </c>
      <c r="EN58" s="70">
        <v>374.99000000000012</v>
      </c>
      <c r="EO58" s="70">
        <v>374.0200000000001</v>
      </c>
      <c r="EP58" s="70">
        <v>373.05000000000013</v>
      </c>
      <c r="EQ58" s="70">
        <v>372.07000000000011</v>
      </c>
      <c r="ER58" s="70">
        <v>371.11000000000013</v>
      </c>
      <c r="ES58" s="70">
        <v>370.1400000000001</v>
      </c>
      <c r="ET58" s="70">
        <v>369.17000000000013</v>
      </c>
      <c r="EU58" s="70">
        <v>368.21000000000009</v>
      </c>
      <c r="EV58" s="70">
        <v>367.24000000000012</v>
      </c>
      <c r="EW58" s="70">
        <v>366.28000000000009</v>
      </c>
      <c r="EX58" s="70">
        <v>365.32000000000011</v>
      </c>
      <c r="EY58" s="70">
        <v>364.35000000000008</v>
      </c>
      <c r="EZ58" s="70">
        <v>363.3900000000001</v>
      </c>
      <c r="FA58" s="70">
        <v>362.43000000000012</v>
      </c>
      <c r="FB58" s="70">
        <v>361.46000000000009</v>
      </c>
      <c r="FC58" s="70">
        <v>360.50000000000011</v>
      </c>
      <c r="FD58" s="70">
        <v>359.54000000000008</v>
      </c>
      <c r="FE58" s="70">
        <v>358.5800000000001</v>
      </c>
      <c r="FF58" s="70">
        <v>357.62000000000012</v>
      </c>
      <c r="FG58" s="70">
        <v>356.67000000000013</v>
      </c>
      <c r="FH58" s="70">
        <v>355.71000000000009</v>
      </c>
      <c r="FI58" s="70">
        <v>354.75000000000011</v>
      </c>
      <c r="FJ58" s="70">
        <v>353.79000000000008</v>
      </c>
      <c r="FK58" s="70">
        <v>352.84000000000009</v>
      </c>
      <c r="FL58" s="70">
        <v>351.88000000000011</v>
      </c>
      <c r="FM58" s="70">
        <v>350.93000000000012</v>
      </c>
      <c r="FN58" s="70">
        <v>349.97000000000008</v>
      </c>
      <c r="FO58" s="70">
        <v>349.0200000000001</v>
      </c>
      <c r="FP58" s="70">
        <v>348.07000000000011</v>
      </c>
      <c r="FQ58" s="70">
        <v>347.12000000000012</v>
      </c>
      <c r="FR58" s="70">
        <v>346.17000000000013</v>
      </c>
      <c r="FS58" s="70">
        <v>345.22000000000008</v>
      </c>
      <c r="FT58" s="70">
        <v>344.2700000000001</v>
      </c>
      <c r="FU58" s="70">
        <v>343.32000000000011</v>
      </c>
      <c r="FV58" s="70">
        <v>342.37000000000012</v>
      </c>
      <c r="FW58" s="70">
        <v>341.42000000000013</v>
      </c>
      <c r="FX58" s="70">
        <v>340.47000000000008</v>
      </c>
      <c r="FY58" s="70">
        <v>339.53000000000009</v>
      </c>
      <c r="FZ58" s="70">
        <v>338.5800000000001</v>
      </c>
      <c r="GA58" s="70">
        <v>337.6400000000001</v>
      </c>
      <c r="GB58" s="70">
        <v>336.69000000000011</v>
      </c>
      <c r="GC58" s="70">
        <v>335.75000000000011</v>
      </c>
      <c r="GD58" s="70">
        <v>334.81000000000012</v>
      </c>
      <c r="GE58" s="70">
        <v>333.87000000000012</v>
      </c>
      <c r="GF58" s="70">
        <v>332.93000000000012</v>
      </c>
      <c r="GG58" s="70">
        <v>331.99000000000012</v>
      </c>
      <c r="GH58" s="70">
        <v>331.05000000000013</v>
      </c>
      <c r="GI58" s="70">
        <v>330.11000000000013</v>
      </c>
      <c r="GJ58" s="70">
        <v>329.17000000000013</v>
      </c>
      <c r="GK58" s="70">
        <v>328.24000000000012</v>
      </c>
      <c r="GL58" s="70">
        <v>327.30000000000013</v>
      </c>
      <c r="GM58" s="70">
        <v>326.37000000000012</v>
      </c>
      <c r="GN58" s="70">
        <v>325.44000000000011</v>
      </c>
      <c r="GO58" s="70">
        <v>324.49000000000012</v>
      </c>
      <c r="GP58" s="70">
        <v>323.57000000000011</v>
      </c>
      <c r="GQ58" s="70">
        <v>322.6400000000001</v>
      </c>
      <c r="GR58" s="70">
        <v>321.71000000000009</v>
      </c>
      <c r="GS58" s="70">
        <v>320.79000000000008</v>
      </c>
      <c r="GT58" s="70">
        <v>319.86000000000013</v>
      </c>
      <c r="GU58" s="70">
        <v>318.93000000000012</v>
      </c>
      <c r="GV58" s="70">
        <v>318.0100000000001</v>
      </c>
      <c r="GW58" s="70">
        <v>317.0800000000001</v>
      </c>
      <c r="GX58" s="70">
        <v>316.16000000000008</v>
      </c>
      <c r="GY58" s="70">
        <v>315.24000000000012</v>
      </c>
      <c r="GZ58" s="70">
        <v>314.32000000000011</v>
      </c>
      <c r="HA58" s="70">
        <v>313.40000000000009</v>
      </c>
      <c r="HB58" s="70">
        <v>312.48000000000008</v>
      </c>
      <c r="HC58" s="70">
        <v>311.55000000000013</v>
      </c>
      <c r="HD58" s="70">
        <v>310.6400000000001</v>
      </c>
      <c r="HE58" s="70">
        <v>309.73000000000008</v>
      </c>
      <c r="HF58" s="70">
        <v>308.80000000000013</v>
      </c>
      <c r="HG58" s="70">
        <v>307.90000000000009</v>
      </c>
      <c r="HH58" s="70">
        <v>306.99000000000012</v>
      </c>
      <c r="HI58" s="70">
        <v>306.0800000000001</v>
      </c>
      <c r="HJ58" s="70">
        <v>305.17000000000013</v>
      </c>
      <c r="HK58" s="70">
        <v>304.2600000000001</v>
      </c>
      <c r="HL58" s="70">
        <v>303.35000000000008</v>
      </c>
      <c r="HM58" s="70">
        <v>302.44000000000011</v>
      </c>
      <c r="HN58" s="70">
        <v>301.54000000000008</v>
      </c>
      <c r="HO58" s="70">
        <v>300.63000000000011</v>
      </c>
      <c r="HP58" s="70">
        <v>299.73000000000008</v>
      </c>
      <c r="HQ58" s="70">
        <v>298.8300000000001</v>
      </c>
      <c r="HR58" s="70">
        <v>297.93000000000012</v>
      </c>
      <c r="HS58" s="70">
        <v>297.0200000000001</v>
      </c>
      <c r="HT58" s="70">
        <v>296.13000000000011</v>
      </c>
      <c r="HU58" s="70">
        <v>295.23000000000008</v>
      </c>
      <c r="HV58" s="70">
        <v>294.34000000000009</v>
      </c>
      <c r="HW58" s="70">
        <v>293.44000000000011</v>
      </c>
      <c r="HX58" s="70">
        <v>292.55000000000013</v>
      </c>
      <c r="HY58" s="70">
        <v>291.65000000000009</v>
      </c>
      <c r="HZ58" s="70">
        <v>290.7600000000001</v>
      </c>
      <c r="IA58" s="70">
        <v>289.87000000000012</v>
      </c>
      <c r="IB58" s="70">
        <v>288.98000000000008</v>
      </c>
      <c r="IC58" s="70">
        <v>288.09000000000009</v>
      </c>
      <c r="ID58" s="70">
        <v>287.2000000000001</v>
      </c>
      <c r="IE58" s="70">
        <v>286.30000000000013</v>
      </c>
      <c r="IF58" s="70">
        <v>285.43000000000012</v>
      </c>
      <c r="IG58" s="70">
        <v>284.54000000000008</v>
      </c>
      <c r="IH58" s="70">
        <v>283.66000000000008</v>
      </c>
      <c r="II58" s="70">
        <v>282.7700000000001</v>
      </c>
      <c r="IJ58" s="70">
        <v>281.8900000000001</v>
      </c>
      <c r="IK58" s="70">
        <v>281.0100000000001</v>
      </c>
      <c r="IL58" s="70">
        <v>280.13000000000011</v>
      </c>
      <c r="IM58" s="70">
        <v>279.24000000000012</v>
      </c>
      <c r="IN58" s="70">
        <v>278.38000000000011</v>
      </c>
      <c r="IO58" s="70">
        <v>277.49000000000012</v>
      </c>
      <c r="IP58" s="70">
        <v>276.62000000000012</v>
      </c>
      <c r="IQ58" s="70">
        <v>275.74000000000012</v>
      </c>
      <c r="IR58" s="70">
        <v>274.88000000000011</v>
      </c>
      <c r="IS58" s="70">
        <v>274.0100000000001</v>
      </c>
      <c r="IT58" s="70">
        <v>273.13000000000011</v>
      </c>
      <c r="IU58" s="70">
        <v>272.2700000000001</v>
      </c>
      <c r="IV58" s="70">
        <v>271.40000000000009</v>
      </c>
      <c r="IW58" s="70">
        <v>270.5200000000001</v>
      </c>
      <c r="IX58" s="70">
        <v>269.67000000000013</v>
      </c>
      <c r="IY58" s="70">
        <v>268.80000000000013</v>
      </c>
      <c r="IZ58" s="70">
        <v>267.94000000000011</v>
      </c>
      <c r="JA58" s="70">
        <v>267.0800000000001</v>
      </c>
      <c r="JB58" s="70">
        <v>266.21000000000009</v>
      </c>
      <c r="JC58" s="70">
        <v>265.36000000000013</v>
      </c>
      <c r="JD58" s="70">
        <v>264.49000000000012</v>
      </c>
      <c r="JE58" s="70">
        <v>263.6400000000001</v>
      </c>
      <c r="JF58" s="70">
        <v>262.79000000000008</v>
      </c>
      <c r="JG58" s="70">
        <v>261.93000000000012</v>
      </c>
      <c r="JH58" s="70">
        <v>261.0800000000001</v>
      </c>
      <c r="JI58" s="70">
        <v>260.23000000000008</v>
      </c>
      <c r="JJ58" s="70">
        <v>259.37000000000012</v>
      </c>
      <c r="JK58" s="70">
        <v>258.5200000000001</v>
      </c>
      <c r="JL58" s="70">
        <v>257.67000000000007</v>
      </c>
      <c r="JM58" s="70">
        <v>256.82</v>
      </c>
      <c r="JN58" s="70">
        <v>255.97999999999996</v>
      </c>
      <c r="JO58" s="70">
        <v>255.12999999999997</v>
      </c>
      <c r="JP58" s="70">
        <v>254.27999999999997</v>
      </c>
      <c r="JQ58" s="70">
        <v>253.43999999999997</v>
      </c>
      <c r="JR58" s="70">
        <v>252.58999999999995</v>
      </c>
      <c r="JS58" s="70">
        <v>251.74999999999997</v>
      </c>
      <c r="JT58" s="70">
        <v>250.90999999999997</v>
      </c>
      <c r="JU58" s="70">
        <v>250.06999999999996</v>
      </c>
      <c r="JV58" s="70">
        <v>249.22999999999996</v>
      </c>
      <c r="JW58" s="70">
        <v>248.38999999999996</v>
      </c>
      <c r="JX58" s="70">
        <v>247.54999999999995</v>
      </c>
      <c r="JY58" s="70">
        <v>246.71999999999997</v>
      </c>
      <c r="JZ58" s="70">
        <v>245.87999999999997</v>
      </c>
      <c r="KA58" s="70">
        <v>245.04999999999995</v>
      </c>
      <c r="KB58" s="70">
        <v>244.20999999999995</v>
      </c>
      <c r="KC58" s="70">
        <v>243.37999999999997</v>
      </c>
      <c r="KD58" s="70">
        <v>242.54999999999995</v>
      </c>
      <c r="KE58" s="70">
        <v>241.70999999999995</v>
      </c>
      <c r="KF58" s="70">
        <v>240.88999999999996</v>
      </c>
      <c r="KG58" s="70">
        <v>240.05999999999997</v>
      </c>
      <c r="KH58" s="70">
        <v>239.22999999999996</v>
      </c>
      <c r="KI58" s="70">
        <v>238.39999999999995</v>
      </c>
      <c r="KJ58" s="70">
        <v>237.57999999999996</v>
      </c>
      <c r="KK58" s="70">
        <v>236.74999999999997</v>
      </c>
      <c r="KL58" s="70">
        <v>235.92999999999995</v>
      </c>
      <c r="KM58" s="70">
        <v>235.10999999999996</v>
      </c>
      <c r="KN58" s="70">
        <v>234.28999999999996</v>
      </c>
      <c r="KO58" s="70">
        <v>233.46999999999997</v>
      </c>
      <c r="KP58" s="70">
        <v>232.64999999999995</v>
      </c>
      <c r="KQ58" s="70">
        <v>231.82999999999996</v>
      </c>
      <c r="KR58" s="70">
        <v>230.55000000000044</v>
      </c>
      <c r="KS58" s="70">
        <v>229.80000000000044</v>
      </c>
      <c r="KT58" s="70">
        <v>229.05000000000044</v>
      </c>
      <c r="KU58" s="70">
        <v>228.30000000000044</v>
      </c>
      <c r="KV58" s="70">
        <v>227.55000000000044</v>
      </c>
      <c r="KW58" s="70">
        <v>226.80000000000044</v>
      </c>
      <c r="KX58" s="70">
        <v>226.05000000000044</v>
      </c>
      <c r="KY58" s="70">
        <v>225.30000000000044</v>
      </c>
      <c r="KZ58" s="70">
        <v>224.55000000000044</v>
      </c>
      <c r="LA58" s="70">
        <v>223.80000000000044</v>
      </c>
      <c r="LB58" s="70">
        <v>223.05000000000044</v>
      </c>
      <c r="LC58" s="70">
        <v>222.30000000000044</v>
      </c>
      <c r="LD58" s="70">
        <v>221.55000000000044</v>
      </c>
      <c r="LE58" s="70">
        <v>220.80000000000044</v>
      </c>
      <c r="LF58" s="70">
        <v>220.05000000000044</v>
      </c>
      <c r="LG58" s="70">
        <v>219.30000000000044</v>
      </c>
      <c r="LH58" s="70">
        <v>218.55000000000044</v>
      </c>
      <c r="LI58" s="70">
        <v>217.80000000000044</v>
      </c>
      <c r="LJ58" s="70">
        <v>217.05000000000044</v>
      </c>
      <c r="LK58" s="70">
        <v>216.30000000000044</v>
      </c>
      <c r="LL58" s="70">
        <v>215.55000000000044</v>
      </c>
      <c r="LM58" s="70">
        <v>214.80000000000044</v>
      </c>
      <c r="LN58" s="70">
        <v>214.05000000000044</v>
      </c>
      <c r="LO58" s="70">
        <v>213.30000000000044</v>
      </c>
      <c r="LP58" s="70">
        <v>212.55000000000044</v>
      </c>
      <c r="LQ58" s="70">
        <v>211.80000000000044</v>
      </c>
      <c r="LR58" s="70">
        <v>211.05000000000044</v>
      </c>
      <c r="LS58" s="70">
        <v>210.30000000000044</v>
      </c>
      <c r="LT58" s="70">
        <v>209.55000000000044</v>
      </c>
      <c r="LU58" s="70">
        <v>208.80000000000044</v>
      </c>
      <c r="LV58" s="70">
        <v>208.05000000000044</v>
      </c>
      <c r="LW58" s="70">
        <v>207.30000000000044</v>
      </c>
      <c r="LX58" s="70">
        <v>206.55000000000044</v>
      </c>
      <c r="LY58" s="70">
        <v>205.80000000000044</v>
      </c>
      <c r="LZ58" s="70">
        <v>205.05000000000044</v>
      </c>
      <c r="MA58" s="70">
        <v>204.30000000000044</v>
      </c>
      <c r="MB58" s="70">
        <v>203.55000000000044</v>
      </c>
      <c r="MC58" s="70">
        <v>202.80000000000044</v>
      </c>
      <c r="MD58" s="70">
        <v>202.05000000000044</v>
      </c>
      <c r="ME58" s="70">
        <v>201.30000000000044</v>
      </c>
      <c r="MF58" s="70">
        <v>200.55000000000044</v>
      </c>
      <c r="MG58" s="70">
        <v>199.80000000000044</v>
      </c>
      <c r="MH58" s="70">
        <v>199.05000000000044</v>
      </c>
      <c r="MI58" s="70">
        <v>198.30000000000044</v>
      </c>
      <c r="MJ58" s="70">
        <v>197.55000000000044</v>
      </c>
      <c r="MK58" s="70">
        <v>196.80000000000044</v>
      </c>
      <c r="ML58" s="70">
        <v>196.05000000000044</v>
      </c>
      <c r="MM58" s="70">
        <v>195.30000000000044</v>
      </c>
      <c r="MN58" s="70">
        <v>194.55000000000044</v>
      </c>
      <c r="MO58" s="70">
        <v>193.80000000000044</v>
      </c>
      <c r="MP58" s="70">
        <v>193.05000000000044</v>
      </c>
      <c r="MQ58" s="70">
        <v>192.30000000000044</v>
      </c>
      <c r="MR58" s="70">
        <v>191.55000000000044</v>
      </c>
      <c r="MS58" s="70">
        <v>190.80000000000044</v>
      </c>
      <c r="MT58" s="70">
        <v>190.05000000000044</v>
      </c>
      <c r="MU58" s="70">
        <v>189.30000000000044</v>
      </c>
      <c r="MV58" s="70">
        <v>188.55000000000044</v>
      </c>
      <c r="MW58" s="70">
        <v>187.80000000000044</v>
      </c>
      <c r="MX58" s="70">
        <v>187.05000000000044</v>
      </c>
      <c r="MY58" s="70">
        <v>186.30000000000044</v>
      </c>
    </row>
    <row r="59" spans="1:363" ht="15.6" x14ac:dyDescent="0.3">
      <c r="A59" s="67" t="s">
        <v>7</v>
      </c>
      <c r="B59" s="72">
        <v>2069</v>
      </c>
      <c r="C59" s="70">
        <v>518.34</v>
      </c>
      <c r="D59" s="70">
        <v>517.30999999999995</v>
      </c>
      <c r="E59" s="70">
        <v>516.28</v>
      </c>
      <c r="F59" s="70">
        <v>515.35999999999979</v>
      </c>
      <c r="G59" s="70">
        <v>514.32999999999981</v>
      </c>
      <c r="H59" s="70">
        <v>513.29999999999995</v>
      </c>
      <c r="I59" s="70">
        <v>512.28000000000009</v>
      </c>
      <c r="J59" s="70">
        <v>511.25000000000011</v>
      </c>
      <c r="K59" s="70">
        <v>510.22000000000014</v>
      </c>
      <c r="L59" s="70">
        <v>509.2000000000001</v>
      </c>
      <c r="M59" s="70">
        <v>508.17000000000013</v>
      </c>
      <c r="N59" s="70">
        <v>507.15000000000015</v>
      </c>
      <c r="O59" s="70">
        <v>506.12000000000012</v>
      </c>
      <c r="P59" s="70">
        <v>505.09000000000015</v>
      </c>
      <c r="Q59" s="70">
        <v>504.07000000000011</v>
      </c>
      <c r="R59" s="70">
        <v>503.04000000000013</v>
      </c>
      <c r="S59" s="70">
        <v>502.0100000000001</v>
      </c>
      <c r="T59" s="70">
        <v>500.99000000000012</v>
      </c>
      <c r="U59" s="70">
        <v>499.96000000000015</v>
      </c>
      <c r="V59" s="70">
        <v>498.93000000000012</v>
      </c>
      <c r="W59" s="70">
        <v>497.91000000000014</v>
      </c>
      <c r="X59" s="70">
        <v>496.88000000000011</v>
      </c>
      <c r="Y59" s="70">
        <v>495.85000000000014</v>
      </c>
      <c r="Z59" s="70">
        <v>494.8300000000001</v>
      </c>
      <c r="AA59" s="70">
        <v>493.80000000000013</v>
      </c>
      <c r="AB59" s="70">
        <v>492.7700000000001</v>
      </c>
      <c r="AC59" s="70">
        <v>491.75000000000011</v>
      </c>
      <c r="AD59" s="70">
        <v>490.72000000000014</v>
      </c>
      <c r="AE59" s="70">
        <v>489.69000000000011</v>
      </c>
      <c r="AF59" s="70">
        <v>488.67000000000013</v>
      </c>
      <c r="AG59" s="70">
        <v>487.6400000000001</v>
      </c>
      <c r="AH59" s="70">
        <v>486.62000000000012</v>
      </c>
      <c r="AI59" s="70">
        <v>485.59000000000015</v>
      </c>
      <c r="AJ59" s="70">
        <v>484.56000000000012</v>
      </c>
      <c r="AK59" s="70">
        <v>483.54000000000013</v>
      </c>
      <c r="AL59" s="70">
        <v>482.5100000000001</v>
      </c>
      <c r="AM59" s="70">
        <v>481.48000000000013</v>
      </c>
      <c r="AN59" s="70">
        <v>480.46000000000015</v>
      </c>
      <c r="AO59" s="70">
        <v>479.43000000000012</v>
      </c>
      <c r="AP59" s="70">
        <v>478.41000000000014</v>
      </c>
      <c r="AQ59" s="70">
        <v>477.38000000000011</v>
      </c>
      <c r="AR59" s="70">
        <v>476.36000000000013</v>
      </c>
      <c r="AS59" s="70">
        <v>475.3300000000001</v>
      </c>
      <c r="AT59" s="70">
        <v>474.30000000000013</v>
      </c>
      <c r="AU59" s="70">
        <v>473.28000000000014</v>
      </c>
      <c r="AV59" s="70">
        <v>472.25000000000011</v>
      </c>
      <c r="AW59" s="70">
        <v>471.23000000000013</v>
      </c>
      <c r="AX59" s="70">
        <v>470.2000000000001</v>
      </c>
      <c r="AY59" s="70">
        <v>469.18000000000012</v>
      </c>
      <c r="AZ59" s="70">
        <v>468.15000000000015</v>
      </c>
      <c r="BA59" s="70">
        <v>467.13000000000011</v>
      </c>
      <c r="BB59" s="70">
        <v>466.11000000000013</v>
      </c>
      <c r="BC59" s="70">
        <v>465.0800000000001</v>
      </c>
      <c r="BD59" s="70">
        <v>464.06000000000012</v>
      </c>
      <c r="BE59" s="70">
        <v>463.03000000000014</v>
      </c>
      <c r="BF59" s="70">
        <v>462.0100000000001</v>
      </c>
      <c r="BG59" s="70">
        <v>460.98000000000013</v>
      </c>
      <c r="BH59" s="70">
        <v>459.96000000000015</v>
      </c>
      <c r="BI59" s="70">
        <v>458.94000000000011</v>
      </c>
      <c r="BJ59" s="70">
        <v>457.91000000000014</v>
      </c>
      <c r="BK59" s="70">
        <v>456.8900000000001</v>
      </c>
      <c r="BL59" s="70">
        <v>455.87000000000012</v>
      </c>
      <c r="BM59" s="70">
        <v>454.84000000000015</v>
      </c>
      <c r="BN59" s="70">
        <v>453.82000000000011</v>
      </c>
      <c r="BO59" s="70">
        <v>452.80000000000013</v>
      </c>
      <c r="BP59" s="70">
        <v>451.78000000000014</v>
      </c>
      <c r="BQ59" s="70">
        <v>450.7600000000001</v>
      </c>
      <c r="BR59" s="70">
        <v>449.73000000000013</v>
      </c>
      <c r="BS59" s="70">
        <v>448.71000000000015</v>
      </c>
      <c r="BT59" s="70">
        <v>447.69000000000011</v>
      </c>
      <c r="BU59" s="70">
        <v>446.67000000000013</v>
      </c>
      <c r="BV59" s="70">
        <v>445.65000000000015</v>
      </c>
      <c r="BW59" s="70">
        <v>444.63000000000011</v>
      </c>
      <c r="BX59" s="70">
        <v>443.61000000000013</v>
      </c>
      <c r="BY59" s="70">
        <v>442.59000000000015</v>
      </c>
      <c r="BZ59" s="70">
        <v>441.57000000000011</v>
      </c>
      <c r="CA59" s="70">
        <v>440.55000000000013</v>
      </c>
      <c r="CB59" s="70">
        <v>439.53000000000014</v>
      </c>
      <c r="CC59" s="70">
        <v>438.5200000000001</v>
      </c>
      <c r="CD59" s="70">
        <v>437.50000000000011</v>
      </c>
      <c r="CE59" s="70">
        <v>436.48000000000013</v>
      </c>
      <c r="CF59" s="70">
        <v>435.46000000000015</v>
      </c>
      <c r="CG59" s="70">
        <v>434.44000000000011</v>
      </c>
      <c r="CH59" s="70">
        <v>433.42000000000013</v>
      </c>
      <c r="CI59" s="70">
        <v>432.41000000000014</v>
      </c>
      <c r="CJ59" s="70">
        <v>431.3900000000001</v>
      </c>
      <c r="CK59" s="70">
        <v>430.38000000000011</v>
      </c>
      <c r="CL59" s="70">
        <v>429.37000000000012</v>
      </c>
      <c r="CM59" s="70">
        <v>428.35000000000014</v>
      </c>
      <c r="CN59" s="70">
        <v>427.34000000000015</v>
      </c>
      <c r="CO59" s="70">
        <v>426.3300000000001</v>
      </c>
      <c r="CP59" s="70">
        <v>425.31000000000012</v>
      </c>
      <c r="CQ59" s="70">
        <v>424.30000000000013</v>
      </c>
      <c r="CR59" s="70">
        <v>423.29000000000013</v>
      </c>
      <c r="CS59" s="70">
        <v>422.2700000000001</v>
      </c>
      <c r="CT59" s="70">
        <v>421.2600000000001</v>
      </c>
      <c r="CU59" s="70">
        <v>420.25000000000011</v>
      </c>
      <c r="CV59" s="70">
        <v>419.24000000000012</v>
      </c>
      <c r="CW59" s="70">
        <v>418.23000000000013</v>
      </c>
      <c r="CX59" s="70">
        <v>417.23000000000013</v>
      </c>
      <c r="CY59" s="70">
        <v>416.22000000000014</v>
      </c>
      <c r="CZ59" s="70">
        <v>415.21000000000015</v>
      </c>
      <c r="DA59" s="70">
        <v>414.21000000000015</v>
      </c>
      <c r="DB59" s="70">
        <v>413.2000000000001</v>
      </c>
      <c r="DC59" s="70">
        <v>412.19000000000011</v>
      </c>
      <c r="DD59" s="70">
        <v>411.19000000000011</v>
      </c>
      <c r="DE59" s="70">
        <v>410.18000000000012</v>
      </c>
      <c r="DF59" s="70">
        <v>409.17000000000013</v>
      </c>
      <c r="DG59" s="70">
        <v>408.17000000000013</v>
      </c>
      <c r="DH59" s="70">
        <v>407.17000000000013</v>
      </c>
      <c r="DI59" s="70">
        <v>406.17000000000013</v>
      </c>
      <c r="DJ59" s="70">
        <v>405.17000000000013</v>
      </c>
      <c r="DK59" s="70">
        <v>404.17000000000013</v>
      </c>
      <c r="DL59" s="70">
        <v>403.17000000000013</v>
      </c>
      <c r="DM59" s="70">
        <v>402.17000000000013</v>
      </c>
      <c r="DN59" s="70">
        <v>401.17000000000013</v>
      </c>
      <c r="DO59" s="70">
        <v>400.17000000000013</v>
      </c>
      <c r="DP59" s="70">
        <v>399.17000000000013</v>
      </c>
      <c r="DQ59" s="70">
        <v>398.18000000000012</v>
      </c>
      <c r="DR59" s="70">
        <v>397.18000000000012</v>
      </c>
      <c r="DS59" s="70">
        <v>396.18000000000012</v>
      </c>
      <c r="DT59" s="70">
        <v>395.19000000000011</v>
      </c>
      <c r="DU59" s="70">
        <v>394.2000000000001</v>
      </c>
      <c r="DV59" s="70">
        <v>393.21000000000015</v>
      </c>
      <c r="DW59" s="70">
        <v>392.22000000000014</v>
      </c>
      <c r="DX59" s="70">
        <v>391.23000000000013</v>
      </c>
      <c r="DY59" s="70">
        <v>390.24000000000012</v>
      </c>
      <c r="DZ59" s="70">
        <v>389.25000000000011</v>
      </c>
      <c r="EA59" s="70">
        <v>388.2600000000001</v>
      </c>
      <c r="EB59" s="70">
        <v>387.28000000000014</v>
      </c>
      <c r="EC59" s="70">
        <v>386.29000000000013</v>
      </c>
      <c r="ED59" s="70">
        <v>385.30000000000013</v>
      </c>
      <c r="EE59" s="70">
        <v>384.32000000000011</v>
      </c>
      <c r="EF59" s="70">
        <v>383.34000000000015</v>
      </c>
      <c r="EG59" s="70">
        <v>382.36000000000013</v>
      </c>
      <c r="EH59" s="70">
        <v>381.38000000000011</v>
      </c>
      <c r="EI59" s="70">
        <v>380.41000000000014</v>
      </c>
      <c r="EJ59" s="70">
        <v>379.43000000000012</v>
      </c>
      <c r="EK59" s="70">
        <v>378.46000000000015</v>
      </c>
      <c r="EL59" s="70">
        <v>377.48000000000013</v>
      </c>
      <c r="EM59" s="70">
        <v>376.5100000000001</v>
      </c>
      <c r="EN59" s="70">
        <v>375.53000000000014</v>
      </c>
      <c r="EO59" s="70">
        <v>374.56000000000012</v>
      </c>
      <c r="EP59" s="70">
        <v>373.59000000000015</v>
      </c>
      <c r="EQ59" s="70">
        <v>372.61000000000013</v>
      </c>
      <c r="ER59" s="70">
        <v>371.65000000000015</v>
      </c>
      <c r="ES59" s="70">
        <v>370.68000000000012</v>
      </c>
      <c r="ET59" s="70">
        <v>369.71000000000015</v>
      </c>
      <c r="EU59" s="70">
        <v>368.75000000000011</v>
      </c>
      <c r="EV59" s="70">
        <v>367.78000000000014</v>
      </c>
      <c r="EW59" s="70">
        <v>366.82000000000011</v>
      </c>
      <c r="EX59" s="70">
        <v>365.86000000000013</v>
      </c>
      <c r="EY59" s="70">
        <v>364.8900000000001</v>
      </c>
      <c r="EZ59" s="70">
        <v>363.93000000000012</v>
      </c>
      <c r="FA59" s="70">
        <v>362.97000000000014</v>
      </c>
      <c r="FB59" s="70">
        <v>362.00000000000011</v>
      </c>
      <c r="FC59" s="70">
        <v>361.04000000000013</v>
      </c>
      <c r="FD59" s="70">
        <v>360.0800000000001</v>
      </c>
      <c r="FE59" s="70">
        <v>359.12000000000012</v>
      </c>
      <c r="FF59" s="70">
        <v>358.16000000000014</v>
      </c>
      <c r="FG59" s="70">
        <v>357.21000000000015</v>
      </c>
      <c r="FH59" s="70">
        <v>356.25000000000011</v>
      </c>
      <c r="FI59" s="70">
        <v>355.29000000000013</v>
      </c>
      <c r="FJ59" s="70">
        <v>354.3300000000001</v>
      </c>
      <c r="FK59" s="70">
        <v>353.38000000000011</v>
      </c>
      <c r="FL59" s="70">
        <v>352.42000000000013</v>
      </c>
      <c r="FM59" s="70">
        <v>351.47000000000014</v>
      </c>
      <c r="FN59" s="70">
        <v>350.5100000000001</v>
      </c>
      <c r="FO59" s="70">
        <v>349.56000000000012</v>
      </c>
      <c r="FP59" s="70">
        <v>348.61000000000013</v>
      </c>
      <c r="FQ59" s="70">
        <v>347.66000000000014</v>
      </c>
      <c r="FR59" s="70">
        <v>346.71000000000015</v>
      </c>
      <c r="FS59" s="70">
        <v>345.7600000000001</v>
      </c>
      <c r="FT59" s="70">
        <v>344.81000000000012</v>
      </c>
      <c r="FU59" s="70">
        <v>343.86000000000013</v>
      </c>
      <c r="FV59" s="70">
        <v>342.91000000000014</v>
      </c>
      <c r="FW59" s="70">
        <v>341.96000000000015</v>
      </c>
      <c r="FX59" s="70">
        <v>341.0100000000001</v>
      </c>
      <c r="FY59" s="70">
        <v>340.07000000000011</v>
      </c>
      <c r="FZ59" s="70">
        <v>339.12000000000012</v>
      </c>
      <c r="GA59" s="70">
        <v>338.18000000000012</v>
      </c>
      <c r="GB59" s="70">
        <v>337.23000000000013</v>
      </c>
      <c r="GC59" s="70">
        <v>336.29000000000013</v>
      </c>
      <c r="GD59" s="70">
        <v>335.35000000000014</v>
      </c>
      <c r="GE59" s="70">
        <v>334.41000000000014</v>
      </c>
      <c r="GF59" s="70">
        <v>333.47000000000014</v>
      </c>
      <c r="GG59" s="70">
        <v>332.53000000000014</v>
      </c>
      <c r="GH59" s="70">
        <v>331.59000000000015</v>
      </c>
      <c r="GI59" s="70">
        <v>330.65000000000015</v>
      </c>
      <c r="GJ59" s="70">
        <v>329.71000000000015</v>
      </c>
      <c r="GK59" s="70">
        <v>328.78000000000014</v>
      </c>
      <c r="GL59" s="70">
        <v>327.84000000000015</v>
      </c>
      <c r="GM59" s="70">
        <v>326.91000000000014</v>
      </c>
      <c r="GN59" s="70">
        <v>325.98000000000013</v>
      </c>
      <c r="GO59" s="70">
        <v>325.03000000000014</v>
      </c>
      <c r="GP59" s="70">
        <v>324.11000000000013</v>
      </c>
      <c r="GQ59" s="70">
        <v>323.18000000000012</v>
      </c>
      <c r="GR59" s="70">
        <v>322.25000000000011</v>
      </c>
      <c r="GS59" s="70">
        <v>321.3300000000001</v>
      </c>
      <c r="GT59" s="70">
        <v>320.40000000000015</v>
      </c>
      <c r="GU59" s="70">
        <v>319.47000000000014</v>
      </c>
      <c r="GV59" s="70">
        <v>318.55000000000013</v>
      </c>
      <c r="GW59" s="70">
        <v>317.62000000000012</v>
      </c>
      <c r="GX59" s="70">
        <v>316.7000000000001</v>
      </c>
      <c r="GY59" s="70">
        <v>315.78000000000014</v>
      </c>
      <c r="GZ59" s="70">
        <v>314.86000000000013</v>
      </c>
      <c r="HA59" s="70">
        <v>313.94000000000011</v>
      </c>
      <c r="HB59" s="70">
        <v>313.0200000000001</v>
      </c>
      <c r="HC59" s="70">
        <v>312.09000000000015</v>
      </c>
      <c r="HD59" s="70">
        <v>311.18000000000012</v>
      </c>
      <c r="HE59" s="70">
        <v>310.2700000000001</v>
      </c>
      <c r="HF59" s="70">
        <v>309.34000000000015</v>
      </c>
      <c r="HG59" s="70">
        <v>308.44000000000011</v>
      </c>
      <c r="HH59" s="70">
        <v>307.53000000000014</v>
      </c>
      <c r="HI59" s="70">
        <v>306.62000000000012</v>
      </c>
      <c r="HJ59" s="70">
        <v>305.71000000000015</v>
      </c>
      <c r="HK59" s="70">
        <v>304.80000000000013</v>
      </c>
      <c r="HL59" s="70">
        <v>303.8900000000001</v>
      </c>
      <c r="HM59" s="70">
        <v>302.98000000000013</v>
      </c>
      <c r="HN59" s="70">
        <v>302.0800000000001</v>
      </c>
      <c r="HO59" s="70">
        <v>301.17000000000013</v>
      </c>
      <c r="HP59" s="70">
        <v>300.2700000000001</v>
      </c>
      <c r="HQ59" s="70">
        <v>299.37000000000012</v>
      </c>
      <c r="HR59" s="70">
        <v>298.47000000000014</v>
      </c>
      <c r="HS59" s="70">
        <v>297.56000000000012</v>
      </c>
      <c r="HT59" s="70">
        <v>296.67000000000013</v>
      </c>
      <c r="HU59" s="70">
        <v>295.7700000000001</v>
      </c>
      <c r="HV59" s="70">
        <v>294.88000000000011</v>
      </c>
      <c r="HW59" s="70">
        <v>293.98000000000013</v>
      </c>
      <c r="HX59" s="70">
        <v>293.09000000000015</v>
      </c>
      <c r="HY59" s="70">
        <v>292.19000000000011</v>
      </c>
      <c r="HZ59" s="70">
        <v>291.30000000000013</v>
      </c>
      <c r="IA59" s="70">
        <v>290.41000000000014</v>
      </c>
      <c r="IB59" s="70">
        <v>289.5200000000001</v>
      </c>
      <c r="IC59" s="70">
        <v>288.63000000000011</v>
      </c>
      <c r="ID59" s="70">
        <v>287.74000000000012</v>
      </c>
      <c r="IE59" s="70">
        <v>286.84000000000015</v>
      </c>
      <c r="IF59" s="70">
        <v>285.97000000000014</v>
      </c>
      <c r="IG59" s="70">
        <v>285.0800000000001</v>
      </c>
      <c r="IH59" s="70">
        <v>284.2000000000001</v>
      </c>
      <c r="II59" s="70">
        <v>283.31000000000012</v>
      </c>
      <c r="IJ59" s="70">
        <v>282.43000000000012</v>
      </c>
      <c r="IK59" s="70">
        <v>281.55000000000013</v>
      </c>
      <c r="IL59" s="70">
        <v>280.67000000000013</v>
      </c>
      <c r="IM59" s="70">
        <v>279.78000000000014</v>
      </c>
      <c r="IN59" s="70">
        <v>278.92000000000013</v>
      </c>
      <c r="IO59" s="70">
        <v>278.03000000000014</v>
      </c>
      <c r="IP59" s="70">
        <v>277.16000000000014</v>
      </c>
      <c r="IQ59" s="70">
        <v>276.28000000000014</v>
      </c>
      <c r="IR59" s="70">
        <v>275.42000000000013</v>
      </c>
      <c r="IS59" s="70">
        <v>274.55000000000013</v>
      </c>
      <c r="IT59" s="70">
        <v>273.67000000000013</v>
      </c>
      <c r="IU59" s="70">
        <v>272.81000000000012</v>
      </c>
      <c r="IV59" s="70">
        <v>271.94000000000011</v>
      </c>
      <c r="IW59" s="70">
        <v>271.06000000000012</v>
      </c>
      <c r="IX59" s="70">
        <v>270.21000000000015</v>
      </c>
      <c r="IY59" s="70">
        <v>269.34000000000015</v>
      </c>
      <c r="IZ59" s="70">
        <v>268.48000000000013</v>
      </c>
      <c r="JA59" s="70">
        <v>267.62000000000012</v>
      </c>
      <c r="JB59" s="70">
        <v>266.75000000000011</v>
      </c>
      <c r="JC59" s="70">
        <v>265.90000000000015</v>
      </c>
      <c r="JD59" s="70">
        <v>265.03000000000014</v>
      </c>
      <c r="JE59" s="70">
        <v>264.18000000000012</v>
      </c>
      <c r="JF59" s="70">
        <v>263.3300000000001</v>
      </c>
      <c r="JG59" s="70">
        <v>262.47000000000014</v>
      </c>
      <c r="JH59" s="70">
        <v>261.62000000000012</v>
      </c>
      <c r="JI59" s="70">
        <v>260.7700000000001</v>
      </c>
      <c r="JJ59" s="70">
        <v>259.91000000000014</v>
      </c>
      <c r="JK59" s="70">
        <v>259.06000000000012</v>
      </c>
      <c r="JL59" s="70">
        <v>258.21000000000009</v>
      </c>
      <c r="JM59" s="70">
        <v>257.36</v>
      </c>
      <c r="JN59" s="70">
        <v>256.52</v>
      </c>
      <c r="JO59" s="70">
        <v>255.66999999999996</v>
      </c>
      <c r="JP59" s="70">
        <v>254.81999999999996</v>
      </c>
      <c r="JQ59" s="70">
        <v>253.97999999999996</v>
      </c>
      <c r="JR59" s="70">
        <v>253.12999999999994</v>
      </c>
      <c r="JS59" s="70">
        <v>252.28999999999996</v>
      </c>
      <c r="JT59" s="70">
        <v>251.44999999999996</v>
      </c>
      <c r="JU59" s="70">
        <v>250.60999999999996</v>
      </c>
      <c r="JV59" s="70">
        <v>249.76999999999995</v>
      </c>
      <c r="JW59" s="70">
        <v>248.92999999999995</v>
      </c>
      <c r="JX59" s="70">
        <v>248.08999999999995</v>
      </c>
      <c r="JY59" s="70">
        <v>247.25999999999996</v>
      </c>
      <c r="JZ59" s="70">
        <v>246.41999999999996</v>
      </c>
      <c r="KA59" s="70">
        <v>245.58999999999995</v>
      </c>
      <c r="KB59" s="70">
        <v>244.74999999999994</v>
      </c>
      <c r="KC59" s="70">
        <v>243.91999999999996</v>
      </c>
      <c r="KD59" s="70">
        <v>243.08999999999995</v>
      </c>
      <c r="KE59" s="70">
        <v>242.24999999999994</v>
      </c>
      <c r="KF59" s="70">
        <v>241.42999999999995</v>
      </c>
      <c r="KG59" s="70">
        <v>240.59999999999997</v>
      </c>
      <c r="KH59" s="70">
        <v>239.76999999999995</v>
      </c>
      <c r="KI59" s="70">
        <v>238.93999999999994</v>
      </c>
      <c r="KJ59" s="70">
        <v>238.11999999999995</v>
      </c>
      <c r="KK59" s="70">
        <v>237.28999999999996</v>
      </c>
      <c r="KL59" s="70">
        <v>236.46999999999994</v>
      </c>
      <c r="KM59" s="70">
        <v>235.64999999999995</v>
      </c>
      <c r="KN59" s="70">
        <v>234.82999999999996</v>
      </c>
      <c r="KO59" s="70">
        <v>234.00999999999996</v>
      </c>
      <c r="KP59" s="70">
        <v>233.18999999999994</v>
      </c>
      <c r="KQ59" s="70">
        <v>232.36999999999995</v>
      </c>
      <c r="KR59" s="70">
        <v>231.01000000000045</v>
      </c>
      <c r="KS59" s="70">
        <v>230.26000000000045</v>
      </c>
      <c r="KT59" s="70">
        <v>229.51000000000045</v>
      </c>
      <c r="KU59" s="70">
        <v>228.76000000000045</v>
      </c>
      <c r="KV59" s="70">
        <v>228.01000000000045</v>
      </c>
      <c r="KW59" s="70">
        <v>227.26000000000045</v>
      </c>
      <c r="KX59" s="70">
        <v>226.51000000000045</v>
      </c>
      <c r="KY59" s="70">
        <v>225.76000000000045</v>
      </c>
      <c r="KZ59" s="70">
        <v>225.01000000000045</v>
      </c>
      <c r="LA59" s="70">
        <v>224.26000000000045</v>
      </c>
      <c r="LB59" s="70">
        <v>223.51000000000045</v>
      </c>
      <c r="LC59" s="70">
        <v>222.76000000000045</v>
      </c>
      <c r="LD59" s="70">
        <v>222.01000000000045</v>
      </c>
      <c r="LE59" s="70">
        <v>221.26000000000045</v>
      </c>
      <c r="LF59" s="70">
        <v>220.51000000000045</v>
      </c>
      <c r="LG59" s="70">
        <v>219.76000000000045</v>
      </c>
      <c r="LH59" s="70">
        <v>219.01000000000045</v>
      </c>
      <c r="LI59" s="70">
        <v>218.26000000000045</v>
      </c>
      <c r="LJ59" s="70">
        <v>217.51000000000045</v>
      </c>
      <c r="LK59" s="70">
        <v>216.76000000000045</v>
      </c>
      <c r="LL59" s="70">
        <v>216.01000000000045</v>
      </c>
      <c r="LM59" s="70">
        <v>215.26000000000045</v>
      </c>
      <c r="LN59" s="70">
        <v>214.51000000000045</v>
      </c>
      <c r="LO59" s="70">
        <v>213.76000000000045</v>
      </c>
      <c r="LP59" s="70">
        <v>213.01000000000045</v>
      </c>
      <c r="LQ59" s="70">
        <v>212.26000000000045</v>
      </c>
      <c r="LR59" s="70">
        <v>211.51000000000045</v>
      </c>
      <c r="LS59" s="70">
        <v>210.76000000000045</v>
      </c>
      <c r="LT59" s="70">
        <v>210.01000000000045</v>
      </c>
      <c r="LU59" s="70">
        <v>209.26000000000045</v>
      </c>
      <c r="LV59" s="70">
        <v>208.51000000000045</v>
      </c>
      <c r="LW59" s="70">
        <v>207.76000000000045</v>
      </c>
      <c r="LX59" s="70">
        <v>207.01000000000045</v>
      </c>
      <c r="LY59" s="70">
        <v>206.26000000000045</v>
      </c>
      <c r="LZ59" s="70">
        <v>205.51000000000045</v>
      </c>
      <c r="MA59" s="70">
        <v>204.76000000000045</v>
      </c>
      <c r="MB59" s="70">
        <v>204.01000000000045</v>
      </c>
      <c r="MC59" s="70">
        <v>203.26000000000045</v>
      </c>
      <c r="MD59" s="70">
        <v>202.51000000000045</v>
      </c>
      <c r="ME59" s="70">
        <v>201.76000000000045</v>
      </c>
      <c r="MF59" s="70">
        <v>201.01000000000045</v>
      </c>
      <c r="MG59" s="70">
        <v>200.26000000000045</v>
      </c>
      <c r="MH59" s="70">
        <v>199.51000000000045</v>
      </c>
      <c r="MI59" s="70">
        <v>198.76000000000045</v>
      </c>
      <c r="MJ59" s="70">
        <v>198.01000000000045</v>
      </c>
      <c r="MK59" s="70">
        <v>197.26000000000045</v>
      </c>
      <c r="ML59" s="70">
        <v>196.51000000000045</v>
      </c>
      <c r="MM59" s="70">
        <v>195.76000000000045</v>
      </c>
      <c r="MN59" s="70">
        <v>195.01000000000045</v>
      </c>
      <c r="MO59" s="70">
        <v>194.26000000000045</v>
      </c>
      <c r="MP59" s="70">
        <v>193.51000000000045</v>
      </c>
      <c r="MQ59" s="70">
        <v>192.76000000000045</v>
      </c>
      <c r="MR59" s="70">
        <v>192.01000000000045</v>
      </c>
      <c r="MS59" s="70">
        <v>191.26000000000045</v>
      </c>
      <c r="MT59" s="70">
        <v>190.51000000000045</v>
      </c>
      <c r="MU59" s="70">
        <v>189.76000000000045</v>
      </c>
      <c r="MV59" s="70">
        <v>189.01000000000045</v>
      </c>
      <c r="MW59" s="70">
        <v>188.26000000000045</v>
      </c>
      <c r="MX59" s="70">
        <v>187.51000000000045</v>
      </c>
      <c r="MY59" s="70">
        <v>186.76000000000045</v>
      </c>
    </row>
    <row r="60" spans="1:363" ht="15.6" x14ac:dyDescent="0.3">
      <c r="A60" s="67" t="s">
        <v>7</v>
      </c>
      <c r="B60" s="72">
        <v>2070</v>
      </c>
      <c r="C60" s="70">
        <v>518.86</v>
      </c>
      <c r="D60" s="70">
        <v>517.82999999999993</v>
      </c>
      <c r="E60" s="70">
        <v>516.79999999999995</v>
      </c>
      <c r="F60" s="70">
        <v>515.89999999999975</v>
      </c>
      <c r="G60" s="70">
        <v>514.86999999999978</v>
      </c>
      <c r="H60" s="70">
        <v>513.83999999999992</v>
      </c>
      <c r="I60" s="70">
        <v>512.82000000000005</v>
      </c>
      <c r="J60" s="70">
        <v>511.79000000000013</v>
      </c>
      <c r="K60" s="70">
        <v>510.76000000000016</v>
      </c>
      <c r="L60" s="70">
        <v>509.74000000000012</v>
      </c>
      <c r="M60" s="70">
        <v>508.71000000000015</v>
      </c>
      <c r="N60" s="70">
        <v>507.69000000000017</v>
      </c>
      <c r="O60" s="70">
        <v>506.66000000000014</v>
      </c>
      <c r="P60" s="70">
        <v>505.63000000000017</v>
      </c>
      <c r="Q60" s="70">
        <v>504.61000000000013</v>
      </c>
      <c r="R60" s="70">
        <v>503.58000000000015</v>
      </c>
      <c r="S60" s="70">
        <v>502.55000000000013</v>
      </c>
      <c r="T60" s="70">
        <v>501.53000000000014</v>
      </c>
      <c r="U60" s="70">
        <v>500.50000000000017</v>
      </c>
      <c r="V60" s="70">
        <v>499.47000000000014</v>
      </c>
      <c r="W60" s="70">
        <v>498.45000000000016</v>
      </c>
      <c r="X60" s="70">
        <v>497.42000000000013</v>
      </c>
      <c r="Y60" s="70">
        <v>496.39000000000016</v>
      </c>
      <c r="Z60" s="70">
        <v>495.37000000000012</v>
      </c>
      <c r="AA60" s="70">
        <v>494.34000000000015</v>
      </c>
      <c r="AB60" s="70">
        <v>493.31000000000012</v>
      </c>
      <c r="AC60" s="70">
        <v>492.29000000000013</v>
      </c>
      <c r="AD60" s="70">
        <v>491.26000000000016</v>
      </c>
      <c r="AE60" s="70">
        <v>490.23000000000013</v>
      </c>
      <c r="AF60" s="70">
        <v>489.21000000000015</v>
      </c>
      <c r="AG60" s="70">
        <v>488.18000000000012</v>
      </c>
      <c r="AH60" s="70">
        <v>487.16000000000014</v>
      </c>
      <c r="AI60" s="70">
        <v>486.13000000000017</v>
      </c>
      <c r="AJ60" s="70">
        <v>485.10000000000014</v>
      </c>
      <c r="AK60" s="70">
        <v>484.08000000000015</v>
      </c>
      <c r="AL60" s="70">
        <v>483.05000000000013</v>
      </c>
      <c r="AM60" s="70">
        <v>482.02000000000015</v>
      </c>
      <c r="AN60" s="70">
        <v>481.00000000000017</v>
      </c>
      <c r="AO60" s="70">
        <v>479.97000000000014</v>
      </c>
      <c r="AP60" s="70">
        <v>478.95000000000016</v>
      </c>
      <c r="AQ60" s="70">
        <v>477.92000000000013</v>
      </c>
      <c r="AR60" s="70">
        <v>476.90000000000015</v>
      </c>
      <c r="AS60" s="70">
        <v>475.87000000000012</v>
      </c>
      <c r="AT60" s="70">
        <v>474.84000000000015</v>
      </c>
      <c r="AU60" s="70">
        <v>473.82000000000016</v>
      </c>
      <c r="AV60" s="70">
        <v>472.79000000000013</v>
      </c>
      <c r="AW60" s="70">
        <v>471.77000000000015</v>
      </c>
      <c r="AX60" s="70">
        <v>470.74000000000012</v>
      </c>
      <c r="AY60" s="70">
        <v>469.72000000000014</v>
      </c>
      <c r="AZ60" s="70">
        <v>468.69000000000017</v>
      </c>
      <c r="BA60" s="70">
        <v>467.67000000000013</v>
      </c>
      <c r="BB60" s="70">
        <v>466.65000000000015</v>
      </c>
      <c r="BC60" s="70">
        <v>465.62000000000012</v>
      </c>
      <c r="BD60" s="70">
        <v>464.60000000000014</v>
      </c>
      <c r="BE60" s="70">
        <v>463.57000000000016</v>
      </c>
      <c r="BF60" s="70">
        <v>462.55000000000013</v>
      </c>
      <c r="BG60" s="70">
        <v>461.52000000000015</v>
      </c>
      <c r="BH60" s="70">
        <v>460.50000000000017</v>
      </c>
      <c r="BI60" s="70">
        <v>459.48000000000013</v>
      </c>
      <c r="BJ60" s="70">
        <v>458.45000000000016</v>
      </c>
      <c r="BK60" s="70">
        <v>457.43000000000012</v>
      </c>
      <c r="BL60" s="70">
        <v>456.41000000000014</v>
      </c>
      <c r="BM60" s="70">
        <v>455.38000000000017</v>
      </c>
      <c r="BN60" s="70">
        <v>454.36000000000013</v>
      </c>
      <c r="BO60" s="70">
        <v>453.34000000000015</v>
      </c>
      <c r="BP60" s="70">
        <v>452.32000000000016</v>
      </c>
      <c r="BQ60" s="70">
        <v>451.30000000000013</v>
      </c>
      <c r="BR60" s="70">
        <v>450.27000000000015</v>
      </c>
      <c r="BS60" s="70">
        <v>449.25000000000017</v>
      </c>
      <c r="BT60" s="70">
        <v>448.23000000000013</v>
      </c>
      <c r="BU60" s="70">
        <v>447.21000000000015</v>
      </c>
      <c r="BV60" s="70">
        <v>446.19000000000017</v>
      </c>
      <c r="BW60" s="70">
        <v>445.17000000000013</v>
      </c>
      <c r="BX60" s="70">
        <v>444.15000000000015</v>
      </c>
      <c r="BY60" s="70">
        <v>443.13000000000017</v>
      </c>
      <c r="BZ60" s="70">
        <v>442.11000000000013</v>
      </c>
      <c r="CA60" s="70">
        <v>441.09000000000015</v>
      </c>
      <c r="CB60" s="70">
        <v>440.07000000000016</v>
      </c>
      <c r="CC60" s="70">
        <v>439.06000000000012</v>
      </c>
      <c r="CD60" s="70">
        <v>438.04000000000013</v>
      </c>
      <c r="CE60" s="70">
        <v>437.02000000000015</v>
      </c>
      <c r="CF60" s="70">
        <v>436.00000000000017</v>
      </c>
      <c r="CG60" s="70">
        <v>434.98000000000013</v>
      </c>
      <c r="CH60" s="70">
        <v>433.96000000000015</v>
      </c>
      <c r="CI60" s="70">
        <v>432.95000000000016</v>
      </c>
      <c r="CJ60" s="70">
        <v>431.93000000000012</v>
      </c>
      <c r="CK60" s="70">
        <v>430.92000000000013</v>
      </c>
      <c r="CL60" s="70">
        <v>429.91000000000014</v>
      </c>
      <c r="CM60" s="70">
        <v>428.89000000000016</v>
      </c>
      <c r="CN60" s="70">
        <v>427.88000000000017</v>
      </c>
      <c r="CO60" s="70">
        <v>426.87000000000012</v>
      </c>
      <c r="CP60" s="70">
        <v>425.85000000000014</v>
      </c>
      <c r="CQ60" s="70">
        <v>424.84000000000015</v>
      </c>
      <c r="CR60" s="70">
        <v>423.83000000000015</v>
      </c>
      <c r="CS60" s="70">
        <v>422.81000000000012</v>
      </c>
      <c r="CT60" s="70">
        <v>421.80000000000013</v>
      </c>
      <c r="CU60" s="70">
        <v>420.79000000000013</v>
      </c>
      <c r="CV60" s="70">
        <v>419.78000000000014</v>
      </c>
      <c r="CW60" s="70">
        <v>418.77000000000015</v>
      </c>
      <c r="CX60" s="70">
        <v>417.77000000000015</v>
      </c>
      <c r="CY60" s="70">
        <v>416.76000000000016</v>
      </c>
      <c r="CZ60" s="70">
        <v>415.75000000000017</v>
      </c>
      <c r="DA60" s="70">
        <v>414.75000000000017</v>
      </c>
      <c r="DB60" s="70">
        <v>413.74000000000012</v>
      </c>
      <c r="DC60" s="70">
        <v>412.73000000000013</v>
      </c>
      <c r="DD60" s="70">
        <v>411.73000000000013</v>
      </c>
      <c r="DE60" s="70">
        <v>410.72000000000014</v>
      </c>
      <c r="DF60" s="70">
        <v>409.71000000000015</v>
      </c>
      <c r="DG60" s="70">
        <v>408.71000000000015</v>
      </c>
      <c r="DH60" s="70">
        <v>407.71000000000015</v>
      </c>
      <c r="DI60" s="70">
        <v>406.71000000000015</v>
      </c>
      <c r="DJ60" s="70">
        <v>405.71000000000015</v>
      </c>
      <c r="DK60" s="70">
        <v>404.71000000000015</v>
      </c>
      <c r="DL60" s="70">
        <v>403.71000000000015</v>
      </c>
      <c r="DM60" s="70">
        <v>402.71000000000015</v>
      </c>
      <c r="DN60" s="70">
        <v>401.71000000000015</v>
      </c>
      <c r="DO60" s="70">
        <v>400.71000000000015</v>
      </c>
      <c r="DP60" s="70">
        <v>399.71000000000015</v>
      </c>
      <c r="DQ60" s="70">
        <v>398.72000000000014</v>
      </c>
      <c r="DR60" s="70">
        <v>397.72000000000014</v>
      </c>
      <c r="DS60" s="70">
        <v>396.72000000000014</v>
      </c>
      <c r="DT60" s="70">
        <v>395.73000000000013</v>
      </c>
      <c r="DU60" s="70">
        <v>394.74000000000012</v>
      </c>
      <c r="DV60" s="70">
        <v>393.75000000000017</v>
      </c>
      <c r="DW60" s="70">
        <v>392.76000000000016</v>
      </c>
      <c r="DX60" s="70">
        <v>391.77000000000015</v>
      </c>
      <c r="DY60" s="70">
        <v>390.78000000000014</v>
      </c>
      <c r="DZ60" s="70">
        <v>389.79000000000013</v>
      </c>
      <c r="EA60" s="70">
        <v>388.80000000000013</v>
      </c>
      <c r="EB60" s="70">
        <v>387.82000000000016</v>
      </c>
      <c r="EC60" s="70">
        <v>386.83000000000015</v>
      </c>
      <c r="ED60" s="70">
        <v>385.84000000000015</v>
      </c>
      <c r="EE60" s="70">
        <v>384.86000000000013</v>
      </c>
      <c r="EF60" s="70">
        <v>383.88000000000017</v>
      </c>
      <c r="EG60" s="70">
        <v>382.90000000000015</v>
      </c>
      <c r="EH60" s="70">
        <v>381.92000000000013</v>
      </c>
      <c r="EI60" s="70">
        <v>380.95000000000016</v>
      </c>
      <c r="EJ60" s="70">
        <v>379.97000000000014</v>
      </c>
      <c r="EK60" s="70">
        <v>379.00000000000017</v>
      </c>
      <c r="EL60" s="70">
        <v>378.02000000000015</v>
      </c>
      <c r="EM60" s="70">
        <v>377.05000000000013</v>
      </c>
      <c r="EN60" s="70">
        <v>376.07000000000016</v>
      </c>
      <c r="EO60" s="70">
        <v>375.10000000000014</v>
      </c>
      <c r="EP60" s="70">
        <v>374.13000000000017</v>
      </c>
      <c r="EQ60" s="70">
        <v>373.15000000000015</v>
      </c>
      <c r="ER60" s="70">
        <v>372.19000000000017</v>
      </c>
      <c r="ES60" s="70">
        <v>371.22000000000014</v>
      </c>
      <c r="ET60" s="70">
        <v>370.25000000000017</v>
      </c>
      <c r="EU60" s="70">
        <v>369.29000000000013</v>
      </c>
      <c r="EV60" s="70">
        <v>368.32000000000016</v>
      </c>
      <c r="EW60" s="70">
        <v>367.36000000000013</v>
      </c>
      <c r="EX60" s="70">
        <v>366.40000000000015</v>
      </c>
      <c r="EY60" s="70">
        <v>365.43000000000012</v>
      </c>
      <c r="EZ60" s="70">
        <v>364.47000000000014</v>
      </c>
      <c r="FA60" s="70">
        <v>363.51000000000016</v>
      </c>
      <c r="FB60" s="70">
        <v>362.54000000000013</v>
      </c>
      <c r="FC60" s="70">
        <v>361.58000000000015</v>
      </c>
      <c r="FD60" s="70">
        <v>360.62000000000012</v>
      </c>
      <c r="FE60" s="70">
        <v>359.66000000000014</v>
      </c>
      <c r="FF60" s="70">
        <v>358.70000000000016</v>
      </c>
      <c r="FG60" s="70">
        <v>357.75000000000017</v>
      </c>
      <c r="FH60" s="70">
        <v>356.79000000000013</v>
      </c>
      <c r="FI60" s="70">
        <v>355.83000000000015</v>
      </c>
      <c r="FJ60" s="70">
        <v>354.87000000000012</v>
      </c>
      <c r="FK60" s="70">
        <v>353.92000000000013</v>
      </c>
      <c r="FL60" s="70">
        <v>352.96000000000015</v>
      </c>
      <c r="FM60" s="70">
        <v>352.01000000000016</v>
      </c>
      <c r="FN60" s="70">
        <v>351.05000000000013</v>
      </c>
      <c r="FO60" s="70">
        <v>350.10000000000014</v>
      </c>
      <c r="FP60" s="70">
        <v>349.15000000000015</v>
      </c>
      <c r="FQ60" s="70">
        <v>348.20000000000016</v>
      </c>
      <c r="FR60" s="70">
        <v>347.25000000000017</v>
      </c>
      <c r="FS60" s="70">
        <v>346.30000000000013</v>
      </c>
      <c r="FT60" s="70">
        <v>345.35000000000014</v>
      </c>
      <c r="FU60" s="70">
        <v>344.40000000000015</v>
      </c>
      <c r="FV60" s="70">
        <v>343.45000000000016</v>
      </c>
      <c r="FW60" s="70">
        <v>342.50000000000017</v>
      </c>
      <c r="FX60" s="70">
        <v>341.55000000000013</v>
      </c>
      <c r="FY60" s="70">
        <v>340.61000000000013</v>
      </c>
      <c r="FZ60" s="70">
        <v>339.66000000000014</v>
      </c>
      <c r="GA60" s="70">
        <v>338.72000000000014</v>
      </c>
      <c r="GB60" s="70">
        <v>337.77000000000015</v>
      </c>
      <c r="GC60" s="70">
        <v>336.83000000000015</v>
      </c>
      <c r="GD60" s="70">
        <v>335.89000000000016</v>
      </c>
      <c r="GE60" s="70">
        <v>334.95000000000016</v>
      </c>
      <c r="GF60" s="70">
        <v>334.01000000000016</v>
      </c>
      <c r="GG60" s="70">
        <v>333.07000000000016</v>
      </c>
      <c r="GH60" s="70">
        <v>332.13000000000017</v>
      </c>
      <c r="GI60" s="70">
        <v>331.19000000000017</v>
      </c>
      <c r="GJ60" s="70">
        <v>330.25000000000017</v>
      </c>
      <c r="GK60" s="70">
        <v>329.32000000000016</v>
      </c>
      <c r="GL60" s="70">
        <v>328.38000000000017</v>
      </c>
      <c r="GM60" s="70">
        <v>327.45000000000016</v>
      </c>
      <c r="GN60" s="70">
        <v>326.52000000000015</v>
      </c>
      <c r="GO60" s="70">
        <v>325.57000000000016</v>
      </c>
      <c r="GP60" s="70">
        <v>324.65000000000015</v>
      </c>
      <c r="GQ60" s="70">
        <v>323.72000000000014</v>
      </c>
      <c r="GR60" s="70">
        <v>322.79000000000013</v>
      </c>
      <c r="GS60" s="70">
        <v>321.87000000000012</v>
      </c>
      <c r="GT60" s="70">
        <v>320.94000000000017</v>
      </c>
      <c r="GU60" s="70">
        <v>320.01000000000016</v>
      </c>
      <c r="GV60" s="70">
        <v>319.09000000000015</v>
      </c>
      <c r="GW60" s="70">
        <v>318.16000000000014</v>
      </c>
      <c r="GX60" s="70">
        <v>317.24000000000012</v>
      </c>
      <c r="GY60" s="70">
        <v>316.32000000000016</v>
      </c>
      <c r="GZ60" s="70">
        <v>315.40000000000015</v>
      </c>
      <c r="HA60" s="70">
        <v>314.48000000000013</v>
      </c>
      <c r="HB60" s="70">
        <v>313.56000000000012</v>
      </c>
      <c r="HC60" s="70">
        <v>312.63000000000017</v>
      </c>
      <c r="HD60" s="70">
        <v>311.72000000000014</v>
      </c>
      <c r="HE60" s="70">
        <v>310.81000000000012</v>
      </c>
      <c r="HF60" s="70">
        <v>309.88000000000017</v>
      </c>
      <c r="HG60" s="70">
        <v>308.98000000000013</v>
      </c>
      <c r="HH60" s="70">
        <v>308.07000000000016</v>
      </c>
      <c r="HI60" s="70">
        <v>307.16000000000014</v>
      </c>
      <c r="HJ60" s="70">
        <v>306.25000000000017</v>
      </c>
      <c r="HK60" s="70">
        <v>305.34000000000015</v>
      </c>
      <c r="HL60" s="70">
        <v>304.43000000000012</v>
      </c>
      <c r="HM60" s="70">
        <v>303.52000000000015</v>
      </c>
      <c r="HN60" s="70">
        <v>302.62000000000012</v>
      </c>
      <c r="HO60" s="70">
        <v>301.71000000000015</v>
      </c>
      <c r="HP60" s="70">
        <v>300.81000000000012</v>
      </c>
      <c r="HQ60" s="70">
        <v>299.91000000000014</v>
      </c>
      <c r="HR60" s="70">
        <v>299.01000000000016</v>
      </c>
      <c r="HS60" s="70">
        <v>298.10000000000014</v>
      </c>
      <c r="HT60" s="70">
        <v>297.21000000000015</v>
      </c>
      <c r="HU60" s="70">
        <v>296.31000000000012</v>
      </c>
      <c r="HV60" s="70">
        <v>295.42000000000013</v>
      </c>
      <c r="HW60" s="70">
        <v>294.52000000000015</v>
      </c>
      <c r="HX60" s="70">
        <v>293.63000000000017</v>
      </c>
      <c r="HY60" s="70">
        <v>292.73000000000013</v>
      </c>
      <c r="HZ60" s="70">
        <v>291.84000000000015</v>
      </c>
      <c r="IA60" s="70">
        <v>290.95000000000016</v>
      </c>
      <c r="IB60" s="70">
        <v>290.06000000000012</v>
      </c>
      <c r="IC60" s="70">
        <v>289.17000000000013</v>
      </c>
      <c r="ID60" s="70">
        <v>288.28000000000014</v>
      </c>
      <c r="IE60" s="70">
        <v>287.38000000000017</v>
      </c>
      <c r="IF60" s="70">
        <v>286.51000000000016</v>
      </c>
      <c r="IG60" s="70">
        <v>285.62000000000012</v>
      </c>
      <c r="IH60" s="70">
        <v>284.74000000000012</v>
      </c>
      <c r="II60" s="70">
        <v>283.85000000000014</v>
      </c>
      <c r="IJ60" s="70">
        <v>282.97000000000014</v>
      </c>
      <c r="IK60" s="70">
        <v>282.09000000000015</v>
      </c>
      <c r="IL60" s="70">
        <v>281.21000000000015</v>
      </c>
      <c r="IM60" s="70">
        <v>280.32000000000016</v>
      </c>
      <c r="IN60" s="70">
        <v>279.46000000000015</v>
      </c>
      <c r="IO60" s="70">
        <v>278.57000000000016</v>
      </c>
      <c r="IP60" s="70">
        <v>277.70000000000016</v>
      </c>
      <c r="IQ60" s="70">
        <v>276.82000000000016</v>
      </c>
      <c r="IR60" s="70">
        <v>275.96000000000015</v>
      </c>
      <c r="IS60" s="70">
        <v>275.09000000000015</v>
      </c>
      <c r="IT60" s="70">
        <v>274.21000000000015</v>
      </c>
      <c r="IU60" s="70">
        <v>273.35000000000014</v>
      </c>
      <c r="IV60" s="70">
        <v>272.48000000000013</v>
      </c>
      <c r="IW60" s="70">
        <v>271.60000000000014</v>
      </c>
      <c r="IX60" s="70">
        <v>270.75000000000017</v>
      </c>
      <c r="IY60" s="70">
        <v>269.88000000000017</v>
      </c>
      <c r="IZ60" s="70">
        <v>269.02000000000015</v>
      </c>
      <c r="JA60" s="70">
        <v>268.16000000000014</v>
      </c>
      <c r="JB60" s="70">
        <v>267.29000000000013</v>
      </c>
      <c r="JC60" s="70">
        <v>266.44000000000017</v>
      </c>
      <c r="JD60" s="70">
        <v>265.57000000000016</v>
      </c>
      <c r="JE60" s="70">
        <v>264.72000000000014</v>
      </c>
      <c r="JF60" s="70">
        <v>263.87000000000012</v>
      </c>
      <c r="JG60" s="70">
        <v>263.01000000000016</v>
      </c>
      <c r="JH60" s="70">
        <v>262.16000000000014</v>
      </c>
      <c r="JI60" s="70">
        <v>261.31000000000012</v>
      </c>
      <c r="JJ60" s="70">
        <v>260.45000000000016</v>
      </c>
      <c r="JK60" s="70">
        <v>259.60000000000014</v>
      </c>
      <c r="JL60" s="70">
        <v>258.75000000000011</v>
      </c>
      <c r="JM60" s="70">
        <v>257.90000000000003</v>
      </c>
      <c r="JN60" s="70">
        <v>257.06</v>
      </c>
      <c r="JO60" s="70">
        <v>256.20999999999998</v>
      </c>
      <c r="JP60" s="70">
        <v>255.35999999999996</v>
      </c>
      <c r="JQ60" s="70">
        <v>254.51999999999995</v>
      </c>
      <c r="JR60" s="70">
        <v>253.66999999999993</v>
      </c>
      <c r="JS60" s="70">
        <v>252.82999999999996</v>
      </c>
      <c r="JT60" s="70">
        <v>251.98999999999995</v>
      </c>
      <c r="JU60" s="70">
        <v>251.14999999999995</v>
      </c>
      <c r="JV60" s="70">
        <v>250.30999999999995</v>
      </c>
      <c r="JW60" s="70">
        <v>249.46999999999994</v>
      </c>
      <c r="JX60" s="70">
        <v>248.62999999999994</v>
      </c>
      <c r="JY60" s="70">
        <v>247.79999999999995</v>
      </c>
      <c r="JZ60" s="70">
        <v>246.95999999999995</v>
      </c>
      <c r="KA60" s="70">
        <v>246.12999999999994</v>
      </c>
      <c r="KB60" s="70">
        <v>245.28999999999994</v>
      </c>
      <c r="KC60" s="70">
        <v>244.45999999999995</v>
      </c>
      <c r="KD60" s="70">
        <v>243.62999999999994</v>
      </c>
      <c r="KE60" s="70">
        <v>242.78999999999994</v>
      </c>
      <c r="KF60" s="70">
        <v>241.96999999999994</v>
      </c>
      <c r="KG60" s="70">
        <v>241.13999999999996</v>
      </c>
      <c r="KH60" s="70">
        <v>240.30999999999995</v>
      </c>
      <c r="KI60" s="70">
        <v>239.47999999999993</v>
      </c>
      <c r="KJ60" s="70">
        <v>238.65999999999994</v>
      </c>
      <c r="KK60" s="70">
        <v>237.82999999999996</v>
      </c>
      <c r="KL60" s="70">
        <v>237.00999999999993</v>
      </c>
      <c r="KM60" s="70">
        <v>236.18999999999994</v>
      </c>
      <c r="KN60" s="70">
        <v>235.36999999999995</v>
      </c>
      <c r="KO60" s="70">
        <v>234.54999999999995</v>
      </c>
      <c r="KP60" s="70">
        <v>233.72999999999993</v>
      </c>
      <c r="KQ60" s="70">
        <v>232.90999999999994</v>
      </c>
      <c r="KR60" s="70">
        <v>231.47000000000045</v>
      </c>
      <c r="KS60" s="70">
        <v>230.72000000000045</v>
      </c>
      <c r="KT60" s="70">
        <v>229.97000000000045</v>
      </c>
      <c r="KU60" s="70">
        <v>229.22000000000045</v>
      </c>
      <c r="KV60" s="70">
        <v>228.47000000000045</v>
      </c>
      <c r="KW60" s="70">
        <v>227.72000000000045</v>
      </c>
      <c r="KX60" s="70">
        <v>226.97000000000045</v>
      </c>
      <c r="KY60" s="70">
        <v>226.22000000000045</v>
      </c>
      <c r="KZ60" s="70">
        <v>225.47000000000045</v>
      </c>
      <c r="LA60" s="70">
        <v>224.72000000000045</v>
      </c>
      <c r="LB60" s="70">
        <v>223.97000000000045</v>
      </c>
      <c r="LC60" s="70">
        <v>223.22000000000045</v>
      </c>
      <c r="LD60" s="70">
        <v>222.47000000000045</v>
      </c>
      <c r="LE60" s="70">
        <v>221.72000000000045</v>
      </c>
      <c r="LF60" s="70">
        <v>220.97000000000045</v>
      </c>
      <c r="LG60" s="70">
        <v>220.22000000000045</v>
      </c>
      <c r="LH60" s="70">
        <v>219.47000000000045</v>
      </c>
      <c r="LI60" s="70">
        <v>218.72000000000045</v>
      </c>
      <c r="LJ60" s="70">
        <v>217.97000000000045</v>
      </c>
      <c r="LK60" s="70">
        <v>217.22000000000045</v>
      </c>
      <c r="LL60" s="70">
        <v>216.47000000000045</v>
      </c>
      <c r="LM60" s="70">
        <v>215.72000000000045</v>
      </c>
      <c r="LN60" s="70">
        <v>214.97000000000045</v>
      </c>
      <c r="LO60" s="70">
        <v>214.22000000000045</v>
      </c>
      <c r="LP60" s="70">
        <v>213.47000000000045</v>
      </c>
      <c r="LQ60" s="70">
        <v>212.72000000000045</v>
      </c>
      <c r="LR60" s="70">
        <v>211.97000000000045</v>
      </c>
      <c r="LS60" s="70">
        <v>211.22000000000045</v>
      </c>
      <c r="LT60" s="70">
        <v>210.47000000000045</v>
      </c>
      <c r="LU60" s="70">
        <v>209.72000000000045</v>
      </c>
      <c r="LV60" s="70">
        <v>208.97000000000045</v>
      </c>
      <c r="LW60" s="70">
        <v>208.22000000000045</v>
      </c>
      <c r="LX60" s="70">
        <v>207.47000000000045</v>
      </c>
      <c r="LY60" s="70">
        <v>206.72000000000045</v>
      </c>
      <c r="LZ60" s="70">
        <v>205.97000000000045</v>
      </c>
      <c r="MA60" s="70">
        <v>205.22000000000045</v>
      </c>
      <c r="MB60" s="70">
        <v>204.47000000000045</v>
      </c>
      <c r="MC60" s="70">
        <v>203.72000000000045</v>
      </c>
      <c r="MD60" s="70">
        <v>202.97000000000045</v>
      </c>
      <c r="ME60" s="70">
        <v>202.22000000000045</v>
      </c>
      <c r="MF60" s="70">
        <v>201.47000000000045</v>
      </c>
      <c r="MG60" s="70">
        <v>200.72000000000045</v>
      </c>
      <c r="MH60" s="70">
        <v>199.97000000000045</v>
      </c>
      <c r="MI60" s="70">
        <v>199.22000000000045</v>
      </c>
      <c r="MJ60" s="70">
        <v>198.47000000000045</v>
      </c>
      <c r="MK60" s="70">
        <v>197.72000000000045</v>
      </c>
      <c r="ML60" s="70">
        <v>196.97000000000045</v>
      </c>
      <c r="MM60" s="70">
        <v>196.22000000000045</v>
      </c>
      <c r="MN60" s="70">
        <v>195.47000000000045</v>
      </c>
      <c r="MO60" s="70">
        <v>194.72000000000045</v>
      </c>
      <c r="MP60" s="70">
        <v>193.97000000000045</v>
      </c>
      <c r="MQ60" s="70">
        <v>193.22000000000045</v>
      </c>
      <c r="MR60" s="70">
        <v>192.47000000000045</v>
      </c>
      <c r="MS60" s="70">
        <v>191.72000000000045</v>
      </c>
      <c r="MT60" s="70">
        <v>190.97000000000045</v>
      </c>
      <c r="MU60" s="70">
        <v>190.22000000000045</v>
      </c>
      <c r="MV60" s="70">
        <v>189.47000000000045</v>
      </c>
      <c r="MW60" s="70">
        <v>188.72000000000045</v>
      </c>
      <c r="MX60" s="70">
        <v>187.97000000000045</v>
      </c>
      <c r="MY60" s="70">
        <v>187.22000000000045</v>
      </c>
    </row>
    <row r="61" spans="1:363" ht="15.6" x14ac:dyDescent="0.3">
      <c r="A61" s="67" t="s">
        <v>7</v>
      </c>
      <c r="B61" s="72">
        <v>2071</v>
      </c>
      <c r="C61" s="70">
        <v>519.38</v>
      </c>
      <c r="D61" s="70">
        <v>518.34999999999991</v>
      </c>
      <c r="E61" s="70">
        <v>517.31999999999994</v>
      </c>
      <c r="F61" s="70">
        <v>516.43999999999971</v>
      </c>
      <c r="G61" s="70">
        <v>515.40999999999974</v>
      </c>
      <c r="H61" s="70">
        <v>514.37999999999988</v>
      </c>
      <c r="I61" s="70">
        <v>513.36</v>
      </c>
      <c r="J61" s="70">
        <v>512.33000000000015</v>
      </c>
      <c r="K61" s="70">
        <v>511.30000000000018</v>
      </c>
      <c r="L61" s="70">
        <v>510.28000000000014</v>
      </c>
      <c r="M61" s="70">
        <v>509.25000000000017</v>
      </c>
      <c r="N61" s="70">
        <v>508.23000000000019</v>
      </c>
      <c r="O61" s="70">
        <v>507.20000000000016</v>
      </c>
      <c r="P61" s="70">
        <v>506.17000000000019</v>
      </c>
      <c r="Q61" s="70">
        <v>505.15000000000015</v>
      </c>
      <c r="R61" s="70">
        <v>504.12000000000018</v>
      </c>
      <c r="S61" s="70">
        <v>503.09000000000015</v>
      </c>
      <c r="T61" s="70">
        <v>502.07000000000016</v>
      </c>
      <c r="U61" s="70">
        <v>501.04000000000019</v>
      </c>
      <c r="V61" s="70">
        <v>500.01000000000016</v>
      </c>
      <c r="W61" s="70">
        <v>498.99000000000018</v>
      </c>
      <c r="X61" s="70">
        <v>497.96000000000015</v>
      </c>
      <c r="Y61" s="70">
        <v>496.93000000000018</v>
      </c>
      <c r="Z61" s="70">
        <v>495.91000000000014</v>
      </c>
      <c r="AA61" s="70">
        <v>494.88000000000017</v>
      </c>
      <c r="AB61" s="70">
        <v>493.85000000000014</v>
      </c>
      <c r="AC61" s="70">
        <v>492.83000000000015</v>
      </c>
      <c r="AD61" s="70">
        <v>491.80000000000018</v>
      </c>
      <c r="AE61" s="70">
        <v>490.77000000000015</v>
      </c>
      <c r="AF61" s="70">
        <v>489.75000000000017</v>
      </c>
      <c r="AG61" s="70">
        <v>488.72000000000014</v>
      </c>
      <c r="AH61" s="70">
        <v>487.70000000000016</v>
      </c>
      <c r="AI61" s="70">
        <v>486.67000000000019</v>
      </c>
      <c r="AJ61" s="70">
        <v>485.64000000000016</v>
      </c>
      <c r="AK61" s="70">
        <v>484.62000000000018</v>
      </c>
      <c r="AL61" s="70">
        <v>483.59000000000015</v>
      </c>
      <c r="AM61" s="70">
        <v>482.56000000000017</v>
      </c>
      <c r="AN61" s="70">
        <v>481.54000000000019</v>
      </c>
      <c r="AO61" s="70">
        <v>480.51000000000016</v>
      </c>
      <c r="AP61" s="70">
        <v>479.49000000000018</v>
      </c>
      <c r="AQ61" s="70">
        <v>478.46000000000015</v>
      </c>
      <c r="AR61" s="70">
        <v>477.44000000000017</v>
      </c>
      <c r="AS61" s="70">
        <v>476.41000000000014</v>
      </c>
      <c r="AT61" s="70">
        <v>475.38000000000017</v>
      </c>
      <c r="AU61" s="70">
        <v>474.36000000000018</v>
      </c>
      <c r="AV61" s="70">
        <v>473.33000000000015</v>
      </c>
      <c r="AW61" s="70">
        <v>472.31000000000017</v>
      </c>
      <c r="AX61" s="70">
        <v>471.28000000000014</v>
      </c>
      <c r="AY61" s="70">
        <v>470.26000000000016</v>
      </c>
      <c r="AZ61" s="70">
        <v>469.23000000000019</v>
      </c>
      <c r="BA61" s="70">
        <v>468.21000000000015</v>
      </c>
      <c r="BB61" s="70">
        <v>467.19000000000017</v>
      </c>
      <c r="BC61" s="70">
        <v>466.16000000000014</v>
      </c>
      <c r="BD61" s="70">
        <v>465.14000000000016</v>
      </c>
      <c r="BE61" s="70">
        <v>464.11000000000018</v>
      </c>
      <c r="BF61" s="70">
        <v>463.09000000000015</v>
      </c>
      <c r="BG61" s="70">
        <v>462.06000000000017</v>
      </c>
      <c r="BH61" s="70">
        <v>461.04000000000019</v>
      </c>
      <c r="BI61" s="70">
        <v>460.02000000000015</v>
      </c>
      <c r="BJ61" s="70">
        <v>458.99000000000018</v>
      </c>
      <c r="BK61" s="70">
        <v>457.97000000000014</v>
      </c>
      <c r="BL61" s="70">
        <v>456.95000000000016</v>
      </c>
      <c r="BM61" s="70">
        <v>455.92000000000019</v>
      </c>
      <c r="BN61" s="70">
        <v>454.90000000000015</v>
      </c>
      <c r="BO61" s="70">
        <v>453.88000000000017</v>
      </c>
      <c r="BP61" s="70">
        <v>452.86000000000018</v>
      </c>
      <c r="BQ61" s="70">
        <v>451.84000000000015</v>
      </c>
      <c r="BR61" s="70">
        <v>450.81000000000017</v>
      </c>
      <c r="BS61" s="70">
        <v>449.79000000000019</v>
      </c>
      <c r="BT61" s="70">
        <v>448.77000000000015</v>
      </c>
      <c r="BU61" s="70">
        <v>447.75000000000017</v>
      </c>
      <c r="BV61" s="70">
        <v>446.73000000000019</v>
      </c>
      <c r="BW61" s="70">
        <v>445.71000000000015</v>
      </c>
      <c r="BX61" s="70">
        <v>444.69000000000017</v>
      </c>
      <c r="BY61" s="70">
        <v>443.67000000000019</v>
      </c>
      <c r="BZ61" s="70">
        <v>442.65000000000015</v>
      </c>
      <c r="CA61" s="70">
        <v>441.63000000000017</v>
      </c>
      <c r="CB61" s="70">
        <v>440.61000000000018</v>
      </c>
      <c r="CC61" s="70">
        <v>439.60000000000014</v>
      </c>
      <c r="CD61" s="70">
        <v>438.58000000000015</v>
      </c>
      <c r="CE61" s="70">
        <v>437.56000000000017</v>
      </c>
      <c r="CF61" s="70">
        <v>436.54000000000019</v>
      </c>
      <c r="CG61" s="70">
        <v>435.52000000000015</v>
      </c>
      <c r="CH61" s="70">
        <v>434.50000000000017</v>
      </c>
      <c r="CI61" s="70">
        <v>433.49000000000018</v>
      </c>
      <c r="CJ61" s="70">
        <v>432.47000000000014</v>
      </c>
      <c r="CK61" s="70">
        <v>431.46000000000015</v>
      </c>
      <c r="CL61" s="70">
        <v>430.45000000000016</v>
      </c>
      <c r="CM61" s="70">
        <v>429.43000000000018</v>
      </c>
      <c r="CN61" s="70">
        <v>428.42000000000019</v>
      </c>
      <c r="CO61" s="70">
        <v>427.41000000000014</v>
      </c>
      <c r="CP61" s="70">
        <v>426.39000000000016</v>
      </c>
      <c r="CQ61" s="70">
        <v>425.38000000000017</v>
      </c>
      <c r="CR61" s="70">
        <v>424.37000000000018</v>
      </c>
      <c r="CS61" s="70">
        <v>423.35000000000014</v>
      </c>
      <c r="CT61" s="70">
        <v>422.34000000000015</v>
      </c>
      <c r="CU61" s="70">
        <v>421.33000000000015</v>
      </c>
      <c r="CV61" s="70">
        <v>420.32000000000016</v>
      </c>
      <c r="CW61" s="70">
        <v>419.31000000000017</v>
      </c>
      <c r="CX61" s="70">
        <v>418.31000000000017</v>
      </c>
      <c r="CY61" s="70">
        <v>417.30000000000018</v>
      </c>
      <c r="CZ61" s="70">
        <v>416.29000000000019</v>
      </c>
      <c r="DA61" s="70">
        <v>415.29000000000019</v>
      </c>
      <c r="DB61" s="70">
        <v>414.28000000000014</v>
      </c>
      <c r="DC61" s="70">
        <v>413.27000000000015</v>
      </c>
      <c r="DD61" s="70">
        <v>412.27000000000015</v>
      </c>
      <c r="DE61" s="70">
        <v>411.26000000000016</v>
      </c>
      <c r="DF61" s="70">
        <v>410.25000000000017</v>
      </c>
      <c r="DG61" s="70">
        <v>409.25000000000017</v>
      </c>
      <c r="DH61" s="70">
        <v>408.25000000000017</v>
      </c>
      <c r="DI61" s="70">
        <v>407.25000000000017</v>
      </c>
      <c r="DJ61" s="70">
        <v>406.25000000000017</v>
      </c>
      <c r="DK61" s="70">
        <v>405.25000000000017</v>
      </c>
      <c r="DL61" s="70">
        <v>404.25000000000017</v>
      </c>
      <c r="DM61" s="70">
        <v>403.25000000000017</v>
      </c>
      <c r="DN61" s="70">
        <v>402.25000000000017</v>
      </c>
      <c r="DO61" s="70">
        <v>401.25000000000017</v>
      </c>
      <c r="DP61" s="70">
        <v>400.25000000000017</v>
      </c>
      <c r="DQ61" s="70">
        <v>399.26000000000016</v>
      </c>
      <c r="DR61" s="70">
        <v>398.26000000000016</v>
      </c>
      <c r="DS61" s="70">
        <v>397.26000000000016</v>
      </c>
      <c r="DT61" s="70">
        <v>396.27000000000015</v>
      </c>
      <c r="DU61" s="70">
        <v>395.28000000000014</v>
      </c>
      <c r="DV61" s="70">
        <v>394.29000000000019</v>
      </c>
      <c r="DW61" s="70">
        <v>393.30000000000018</v>
      </c>
      <c r="DX61" s="70">
        <v>392.31000000000017</v>
      </c>
      <c r="DY61" s="70">
        <v>391.32000000000016</v>
      </c>
      <c r="DZ61" s="70">
        <v>390.33000000000015</v>
      </c>
      <c r="EA61" s="70">
        <v>389.34000000000015</v>
      </c>
      <c r="EB61" s="70">
        <v>388.36000000000018</v>
      </c>
      <c r="EC61" s="70">
        <v>387.37000000000018</v>
      </c>
      <c r="ED61" s="70">
        <v>386.38000000000017</v>
      </c>
      <c r="EE61" s="70">
        <v>385.40000000000015</v>
      </c>
      <c r="EF61" s="70">
        <v>384.42000000000019</v>
      </c>
      <c r="EG61" s="70">
        <v>383.44000000000017</v>
      </c>
      <c r="EH61" s="70">
        <v>382.46000000000015</v>
      </c>
      <c r="EI61" s="70">
        <v>381.49000000000018</v>
      </c>
      <c r="EJ61" s="70">
        <v>380.51000000000016</v>
      </c>
      <c r="EK61" s="70">
        <v>379.54000000000019</v>
      </c>
      <c r="EL61" s="70">
        <v>378.56000000000017</v>
      </c>
      <c r="EM61" s="70">
        <v>377.59000000000015</v>
      </c>
      <c r="EN61" s="70">
        <v>376.61000000000018</v>
      </c>
      <c r="EO61" s="70">
        <v>375.64000000000016</v>
      </c>
      <c r="EP61" s="70">
        <v>374.67000000000019</v>
      </c>
      <c r="EQ61" s="70">
        <v>373.69000000000017</v>
      </c>
      <c r="ER61" s="70">
        <v>372.73000000000019</v>
      </c>
      <c r="ES61" s="70">
        <v>371.76000000000016</v>
      </c>
      <c r="ET61" s="70">
        <v>370.79000000000019</v>
      </c>
      <c r="EU61" s="70">
        <v>369.83000000000015</v>
      </c>
      <c r="EV61" s="70">
        <v>368.86000000000018</v>
      </c>
      <c r="EW61" s="70">
        <v>367.90000000000015</v>
      </c>
      <c r="EX61" s="70">
        <v>366.94000000000017</v>
      </c>
      <c r="EY61" s="70">
        <v>365.97000000000014</v>
      </c>
      <c r="EZ61" s="70">
        <v>365.01000000000016</v>
      </c>
      <c r="FA61" s="70">
        <v>364.05000000000018</v>
      </c>
      <c r="FB61" s="70">
        <v>363.08000000000015</v>
      </c>
      <c r="FC61" s="70">
        <v>362.12000000000018</v>
      </c>
      <c r="FD61" s="70">
        <v>361.16000000000014</v>
      </c>
      <c r="FE61" s="70">
        <v>360.20000000000016</v>
      </c>
      <c r="FF61" s="70">
        <v>359.24000000000018</v>
      </c>
      <c r="FG61" s="70">
        <v>358.29000000000019</v>
      </c>
      <c r="FH61" s="70">
        <v>357.33000000000015</v>
      </c>
      <c r="FI61" s="70">
        <v>356.37000000000018</v>
      </c>
      <c r="FJ61" s="70">
        <v>355.41000000000014</v>
      </c>
      <c r="FK61" s="70">
        <v>354.46000000000015</v>
      </c>
      <c r="FL61" s="70">
        <v>353.50000000000017</v>
      </c>
      <c r="FM61" s="70">
        <v>352.55000000000018</v>
      </c>
      <c r="FN61" s="70">
        <v>351.59000000000015</v>
      </c>
      <c r="FO61" s="70">
        <v>350.64000000000016</v>
      </c>
      <c r="FP61" s="70">
        <v>349.69000000000017</v>
      </c>
      <c r="FQ61" s="70">
        <v>348.74000000000018</v>
      </c>
      <c r="FR61" s="70">
        <v>347.79000000000019</v>
      </c>
      <c r="FS61" s="70">
        <v>346.84000000000015</v>
      </c>
      <c r="FT61" s="70">
        <v>345.89000000000016</v>
      </c>
      <c r="FU61" s="70">
        <v>344.94000000000017</v>
      </c>
      <c r="FV61" s="70">
        <v>343.99000000000018</v>
      </c>
      <c r="FW61" s="70">
        <v>343.04000000000019</v>
      </c>
      <c r="FX61" s="70">
        <v>342.09000000000015</v>
      </c>
      <c r="FY61" s="70">
        <v>341.15000000000015</v>
      </c>
      <c r="FZ61" s="70">
        <v>340.20000000000016</v>
      </c>
      <c r="GA61" s="70">
        <v>339.26000000000016</v>
      </c>
      <c r="GB61" s="70">
        <v>338.31000000000017</v>
      </c>
      <c r="GC61" s="70">
        <v>337.37000000000018</v>
      </c>
      <c r="GD61" s="70">
        <v>336.43000000000018</v>
      </c>
      <c r="GE61" s="70">
        <v>335.49000000000018</v>
      </c>
      <c r="GF61" s="70">
        <v>334.55000000000018</v>
      </c>
      <c r="GG61" s="70">
        <v>333.61000000000018</v>
      </c>
      <c r="GH61" s="70">
        <v>332.67000000000019</v>
      </c>
      <c r="GI61" s="70">
        <v>331.73000000000019</v>
      </c>
      <c r="GJ61" s="70">
        <v>330.79000000000019</v>
      </c>
      <c r="GK61" s="70">
        <v>329.86000000000018</v>
      </c>
      <c r="GL61" s="70">
        <v>328.92000000000019</v>
      </c>
      <c r="GM61" s="70">
        <v>327.99000000000018</v>
      </c>
      <c r="GN61" s="70">
        <v>327.06000000000017</v>
      </c>
      <c r="GO61" s="70">
        <v>326.11000000000018</v>
      </c>
      <c r="GP61" s="70">
        <v>325.19000000000017</v>
      </c>
      <c r="GQ61" s="70">
        <v>324.26000000000016</v>
      </c>
      <c r="GR61" s="70">
        <v>323.33000000000015</v>
      </c>
      <c r="GS61" s="70">
        <v>322.41000000000014</v>
      </c>
      <c r="GT61" s="70">
        <v>321.48000000000019</v>
      </c>
      <c r="GU61" s="70">
        <v>320.55000000000018</v>
      </c>
      <c r="GV61" s="70">
        <v>319.63000000000017</v>
      </c>
      <c r="GW61" s="70">
        <v>318.70000000000016</v>
      </c>
      <c r="GX61" s="70">
        <v>317.78000000000014</v>
      </c>
      <c r="GY61" s="70">
        <v>316.86000000000018</v>
      </c>
      <c r="GZ61" s="70">
        <v>315.94000000000017</v>
      </c>
      <c r="HA61" s="70">
        <v>315.02000000000015</v>
      </c>
      <c r="HB61" s="70">
        <v>314.10000000000014</v>
      </c>
      <c r="HC61" s="70">
        <v>313.17000000000019</v>
      </c>
      <c r="HD61" s="70">
        <v>312.26000000000016</v>
      </c>
      <c r="HE61" s="70">
        <v>311.35000000000014</v>
      </c>
      <c r="HF61" s="70">
        <v>310.42000000000019</v>
      </c>
      <c r="HG61" s="70">
        <v>309.52000000000015</v>
      </c>
      <c r="HH61" s="70">
        <v>308.61000000000018</v>
      </c>
      <c r="HI61" s="70">
        <v>307.70000000000016</v>
      </c>
      <c r="HJ61" s="70">
        <v>306.79000000000019</v>
      </c>
      <c r="HK61" s="70">
        <v>305.88000000000017</v>
      </c>
      <c r="HL61" s="70">
        <v>304.97000000000014</v>
      </c>
      <c r="HM61" s="70">
        <v>304.06000000000017</v>
      </c>
      <c r="HN61" s="70">
        <v>303.16000000000014</v>
      </c>
      <c r="HO61" s="70">
        <v>302.25000000000017</v>
      </c>
      <c r="HP61" s="70">
        <v>301.35000000000014</v>
      </c>
      <c r="HQ61" s="70">
        <v>300.45000000000016</v>
      </c>
      <c r="HR61" s="70">
        <v>299.55000000000018</v>
      </c>
      <c r="HS61" s="70">
        <v>298.64000000000016</v>
      </c>
      <c r="HT61" s="70">
        <v>297.75000000000017</v>
      </c>
      <c r="HU61" s="70">
        <v>296.85000000000014</v>
      </c>
      <c r="HV61" s="70">
        <v>295.96000000000015</v>
      </c>
      <c r="HW61" s="70">
        <v>295.06000000000017</v>
      </c>
      <c r="HX61" s="70">
        <v>294.17000000000019</v>
      </c>
      <c r="HY61" s="70">
        <v>293.27000000000015</v>
      </c>
      <c r="HZ61" s="70">
        <v>292.38000000000017</v>
      </c>
      <c r="IA61" s="70">
        <v>291.49000000000018</v>
      </c>
      <c r="IB61" s="70">
        <v>290.60000000000014</v>
      </c>
      <c r="IC61" s="70">
        <v>289.71000000000015</v>
      </c>
      <c r="ID61" s="70">
        <v>288.82000000000016</v>
      </c>
      <c r="IE61" s="70">
        <v>287.92000000000019</v>
      </c>
      <c r="IF61" s="70">
        <v>287.05000000000018</v>
      </c>
      <c r="IG61" s="70">
        <v>286.16000000000014</v>
      </c>
      <c r="IH61" s="70">
        <v>285.28000000000014</v>
      </c>
      <c r="II61" s="70">
        <v>284.39000000000016</v>
      </c>
      <c r="IJ61" s="70">
        <v>283.51000000000016</v>
      </c>
      <c r="IK61" s="70">
        <v>282.63000000000017</v>
      </c>
      <c r="IL61" s="70">
        <v>281.75000000000017</v>
      </c>
      <c r="IM61" s="70">
        <v>280.86000000000018</v>
      </c>
      <c r="IN61" s="70">
        <v>280.00000000000017</v>
      </c>
      <c r="IO61" s="70">
        <v>279.11000000000018</v>
      </c>
      <c r="IP61" s="70">
        <v>278.24000000000018</v>
      </c>
      <c r="IQ61" s="70">
        <v>277.36000000000018</v>
      </c>
      <c r="IR61" s="70">
        <v>276.50000000000017</v>
      </c>
      <c r="IS61" s="70">
        <v>275.63000000000017</v>
      </c>
      <c r="IT61" s="70">
        <v>274.75000000000017</v>
      </c>
      <c r="IU61" s="70">
        <v>273.89000000000016</v>
      </c>
      <c r="IV61" s="70">
        <v>273.02000000000015</v>
      </c>
      <c r="IW61" s="70">
        <v>272.14000000000016</v>
      </c>
      <c r="IX61" s="70">
        <v>271.29000000000019</v>
      </c>
      <c r="IY61" s="70">
        <v>270.42000000000019</v>
      </c>
      <c r="IZ61" s="70">
        <v>269.56000000000017</v>
      </c>
      <c r="JA61" s="70">
        <v>268.70000000000016</v>
      </c>
      <c r="JB61" s="70">
        <v>267.83000000000015</v>
      </c>
      <c r="JC61" s="70">
        <v>266.98000000000019</v>
      </c>
      <c r="JD61" s="70">
        <v>266.11000000000018</v>
      </c>
      <c r="JE61" s="70">
        <v>265.26000000000016</v>
      </c>
      <c r="JF61" s="70">
        <v>264.41000000000014</v>
      </c>
      <c r="JG61" s="70">
        <v>263.55000000000018</v>
      </c>
      <c r="JH61" s="70">
        <v>262.70000000000016</v>
      </c>
      <c r="JI61" s="70">
        <v>261.85000000000014</v>
      </c>
      <c r="JJ61" s="70">
        <v>260.99000000000018</v>
      </c>
      <c r="JK61" s="70">
        <v>260.14000000000016</v>
      </c>
      <c r="JL61" s="70">
        <v>259.29000000000013</v>
      </c>
      <c r="JM61" s="70">
        <v>258.44000000000005</v>
      </c>
      <c r="JN61" s="70">
        <v>257.60000000000002</v>
      </c>
      <c r="JO61" s="70">
        <v>256.75</v>
      </c>
      <c r="JP61" s="70">
        <v>255.89999999999995</v>
      </c>
      <c r="JQ61" s="70">
        <v>255.05999999999995</v>
      </c>
      <c r="JR61" s="70">
        <v>254.20999999999992</v>
      </c>
      <c r="JS61" s="70">
        <v>253.36999999999995</v>
      </c>
      <c r="JT61" s="70">
        <v>252.52999999999994</v>
      </c>
      <c r="JU61" s="70">
        <v>251.68999999999994</v>
      </c>
      <c r="JV61" s="70">
        <v>250.84999999999994</v>
      </c>
      <c r="JW61" s="70">
        <v>250.00999999999993</v>
      </c>
      <c r="JX61" s="70">
        <v>249.16999999999993</v>
      </c>
      <c r="JY61" s="70">
        <v>248.33999999999995</v>
      </c>
      <c r="JZ61" s="70">
        <v>247.49999999999994</v>
      </c>
      <c r="KA61" s="70">
        <v>246.66999999999993</v>
      </c>
      <c r="KB61" s="70">
        <v>245.82999999999993</v>
      </c>
      <c r="KC61" s="70">
        <v>244.99999999999994</v>
      </c>
      <c r="KD61" s="70">
        <v>244.16999999999993</v>
      </c>
      <c r="KE61" s="70">
        <v>243.32999999999993</v>
      </c>
      <c r="KF61" s="70">
        <v>242.50999999999993</v>
      </c>
      <c r="KG61" s="70">
        <v>241.67999999999995</v>
      </c>
      <c r="KH61" s="70">
        <v>240.84999999999994</v>
      </c>
      <c r="KI61" s="70">
        <v>240.01999999999992</v>
      </c>
      <c r="KJ61" s="70">
        <v>239.19999999999993</v>
      </c>
      <c r="KK61" s="70">
        <v>238.36999999999995</v>
      </c>
      <c r="KL61" s="70">
        <v>237.54999999999993</v>
      </c>
      <c r="KM61" s="70">
        <v>236.72999999999993</v>
      </c>
      <c r="KN61" s="70">
        <v>235.90999999999994</v>
      </c>
      <c r="KO61" s="70">
        <v>235.08999999999995</v>
      </c>
      <c r="KP61" s="70">
        <v>234.26999999999992</v>
      </c>
      <c r="KQ61" s="70">
        <v>233.44999999999993</v>
      </c>
      <c r="KR61" s="70">
        <v>231.93000000000046</v>
      </c>
      <c r="KS61" s="70">
        <v>231.18000000000046</v>
      </c>
      <c r="KT61" s="70">
        <v>230.43000000000046</v>
      </c>
      <c r="KU61" s="70">
        <v>229.68000000000046</v>
      </c>
      <c r="KV61" s="70">
        <v>228.93000000000046</v>
      </c>
      <c r="KW61" s="70">
        <v>228.18000000000046</v>
      </c>
      <c r="KX61" s="70">
        <v>227.43000000000046</v>
      </c>
      <c r="KY61" s="70">
        <v>226.68000000000046</v>
      </c>
      <c r="KZ61" s="70">
        <v>225.93000000000046</v>
      </c>
      <c r="LA61" s="70">
        <v>225.18000000000046</v>
      </c>
      <c r="LB61" s="70">
        <v>224.43000000000046</v>
      </c>
      <c r="LC61" s="70">
        <v>223.68000000000046</v>
      </c>
      <c r="LD61" s="70">
        <v>222.93000000000046</v>
      </c>
      <c r="LE61" s="70">
        <v>222.18000000000046</v>
      </c>
      <c r="LF61" s="70">
        <v>221.43000000000046</v>
      </c>
      <c r="LG61" s="70">
        <v>220.68000000000046</v>
      </c>
      <c r="LH61" s="70">
        <v>219.93000000000046</v>
      </c>
      <c r="LI61" s="70">
        <v>219.18000000000046</v>
      </c>
      <c r="LJ61" s="70">
        <v>218.43000000000046</v>
      </c>
      <c r="LK61" s="70">
        <v>217.68000000000046</v>
      </c>
      <c r="LL61" s="70">
        <v>216.93000000000046</v>
      </c>
      <c r="LM61" s="70">
        <v>216.18000000000046</v>
      </c>
      <c r="LN61" s="70">
        <v>215.43000000000046</v>
      </c>
      <c r="LO61" s="70">
        <v>214.68000000000046</v>
      </c>
      <c r="LP61" s="70">
        <v>213.93000000000046</v>
      </c>
      <c r="LQ61" s="70">
        <v>213.18000000000046</v>
      </c>
      <c r="LR61" s="70">
        <v>212.43000000000046</v>
      </c>
      <c r="LS61" s="70">
        <v>211.68000000000046</v>
      </c>
      <c r="LT61" s="70">
        <v>210.93000000000046</v>
      </c>
      <c r="LU61" s="70">
        <v>210.18000000000046</v>
      </c>
      <c r="LV61" s="70">
        <v>209.43000000000046</v>
      </c>
      <c r="LW61" s="70">
        <v>208.68000000000046</v>
      </c>
      <c r="LX61" s="70">
        <v>207.93000000000046</v>
      </c>
      <c r="LY61" s="70">
        <v>207.18000000000046</v>
      </c>
      <c r="LZ61" s="70">
        <v>206.43000000000046</v>
      </c>
      <c r="MA61" s="70">
        <v>205.68000000000046</v>
      </c>
      <c r="MB61" s="70">
        <v>204.93000000000046</v>
      </c>
      <c r="MC61" s="70">
        <v>204.18000000000046</v>
      </c>
      <c r="MD61" s="70">
        <v>203.43000000000046</v>
      </c>
      <c r="ME61" s="70">
        <v>202.68000000000046</v>
      </c>
      <c r="MF61" s="70">
        <v>201.93000000000046</v>
      </c>
      <c r="MG61" s="70">
        <v>201.18000000000046</v>
      </c>
      <c r="MH61" s="70">
        <v>200.43000000000046</v>
      </c>
      <c r="MI61" s="70">
        <v>199.68000000000046</v>
      </c>
      <c r="MJ61" s="70">
        <v>198.93000000000046</v>
      </c>
      <c r="MK61" s="70">
        <v>198.18000000000046</v>
      </c>
      <c r="ML61" s="70">
        <v>197.43000000000046</v>
      </c>
      <c r="MM61" s="70">
        <v>196.68000000000046</v>
      </c>
      <c r="MN61" s="70">
        <v>195.93000000000046</v>
      </c>
      <c r="MO61" s="70">
        <v>195.18000000000046</v>
      </c>
      <c r="MP61" s="70">
        <v>194.43000000000046</v>
      </c>
      <c r="MQ61" s="70">
        <v>193.68000000000046</v>
      </c>
      <c r="MR61" s="70">
        <v>192.93000000000046</v>
      </c>
      <c r="MS61" s="70">
        <v>192.18000000000046</v>
      </c>
      <c r="MT61" s="70">
        <v>191.43000000000046</v>
      </c>
      <c r="MU61" s="70">
        <v>190.68000000000046</v>
      </c>
      <c r="MV61" s="70">
        <v>189.93000000000046</v>
      </c>
      <c r="MW61" s="70">
        <v>189.18000000000046</v>
      </c>
      <c r="MX61" s="70">
        <v>188.43000000000046</v>
      </c>
      <c r="MY61" s="70">
        <v>187.68000000000046</v>
      </c>
    </row>
    <row r="62" spans="1:363" ht="15.6" x14ac:dyDescent="0.3">
      <c r="A62" s="67" t="s">
        <v>7</v>
      </c>
      <c r="B62" s="72">
        <v>2072</v>
      </c>
      <c r="C62" s="70">
        <v>519.89</v>
      </c>
      <c r="D62" s="70">
        <v>518.86999999999989</v>
      </c>
      <c r="E62" s="70">
        <v>517.83999999999992</v>
      </c>
      <c r="F62" s="70">
        <v>516.97999999999968</v>
      </c>
      <c r="G62" s="70">
        <v>515.9499999999997</v>
      </c>
      <c r="H62" s="70">
        <v>514.91999999999985</v>
      </c>
      <c r="I62" s="70">
        <v>513.9</v>
      </c>
      <c r="J62" s="70">
        <v>512.87000000000012</v>
      </c>
      <c r="K62" s="70">
        <v>511.8400000000002</v>
      </c>
      <c r="L62" s="70">
        <v>510.82000000000016</v>
      </c>
      <c r="M62" s="70">
        <v>509.79000000000019</v>
      </c>
      <c r="N62" s="70">
        <v>508.77000000000021</v>
      </c>
      <c r="O62" s="70">
        <v>507.74000000000018</v>
      </c>
      <c r="P62" s="70">
        <v>506.71000000000021</v>
      </c>
      <c r="Q62" s="70">
        <v>505.69000000000017</v>
      </c>
      <c r="R62" s="70">
        <v>504.6600000000002</v>
      </c>
      <c r="S62" s="70">
        <v>503.63000000000017</v>
      </c>
      <c r="T62" s="70">
        <v>502.61000000000018</v>
      </c>
      <c r="U62" s="70">
        <v>501.58000000000021</v>
      </c>
      <c r="V62" s="70">
        <v>500.55000000000018</v>
      </c>
      <c r="W62" s="70">
        <v>499.5300000000002</v>
      </c>
      <c r="X62" s="70">
        <v>498.50000000000017</v>
      </c>
      <c r="Y62" s="70">
        <v>497.4700000000002</v>
      </c>
      <c r="Z62" s="70">
        <v>496.45000000000016</v>
      </c>
      <c r="AA62" s="70">
        <v>495.42000000000019</v>
      </c>
      <c r="AB62" s="70">
        <v>494.39000000000016</v>
      </c>
      <c r="AC62" s="70">
        <v>493.37000000000018</v>
      </c>
      <c r="AD62" s="70">
        <v>492.3400000000002</v>
      </c>
      <c r="AE62" s="70">
        <v>491.31000000000017</v>
      </c>
      <c r="AF62" s="70">
        <v>490.29000000000019</v>
      </c>
      <c r="AG62" s="70">
        <v>489.26000000000016</v>
      </c>
      <c r="AH62" s="70">
        <v>488.24000000000018</v>
      </c>
      <c r="AI62" s="70">
        <v>487.21000000000021</v>
      </c>
      <c r="AJ62" s="70">
        <v>486.18000000000018</v>
      </c>
      <c r="AK62" s="70">
        <v>485.1600000000002</v>
      </c>
      <c r="AL62" s="70">
        <v>484.13000000000017</v>
      </c>
      <c r="AM62" s="70">
        <v>483.10000000000019</v>
      </c>
      <c r="AN62" s="70">
        <v>482.08000000000021</v>
      </c>
      <c r="AO62" s="70">
        <v>481.05000000000018</v>
      </c>
      <c r="AP62" s="70">
        <v>480.0300000000002</v>
      </c>
      <c r="AQ62" s="70">
        <v>479.00000000000017</v>
      </c>
      <c r="AR62" s="70">
        <v>477.98000000000019</v>
      </c>
      <c r="AS62" s="70">
        <v>476.95000000000016</v>
      </c>
      <c r="AT62" s="70">
        <v>475.92000000000019</v>
      </c>
      <c r="AU62" s="70">
        <v>474.9000000000002</v>
      </c>
      <c r="AV62" s="70">
        <v>473.87000000000018</v>
      </c>
      <c r="AW62" s="70">
        <v>472.85000000000019</v>
      </c>
      <c r="AX62" s="70">
        <v>471.82000000000016</v>
      </c>
      <c r="AY62" s="70">
        <v>470.80000000000018</v>
      </c>
      <c r="AZ62" s="70">
        <v>469.77000000000021</v>
      </c>
      <c r="BA62" s="70">
        <v>468.75000000000017</v>
      </c>
      <c r="BB62" s="70">
        <v>467.73000000000019</v>
      </c>
      <c r="BC62" s="70">
        <v>466.70000000000016</v>
      </c>
      <c r="BD62" s="70">
        <v>465.68000000000018</v>
      </c>
      <c r="BE62" s="70">
        <v>464.6500000000002</v>
      </c>
      <c r="BF62" s="70">
        <v>463.63000000000017</v>
      </c>
      <c r="BG62" s="70">
        <v>462.60000000000019</v>
      </c>
      <c r="BH62" s="70">
        <v>461.58000000000021</v>
      </c>
      <c r="BI62" s="70">
        <v>460.56000000000017</v>
      </c>
      <c r="BJ62" s="70">
        <v>459.5300000000002</v>
      </c>
      <c r="BK62" s="70">
        <v>458.51000000000016</v>
      </c>
      <c r="BL62" s="70">
        <v>457.49000000000018</v>
      </c>
      <c r="BM62" s="70">
        <v>456.46000000000021</v>
      </c>
      <c r="BN62" s="70">
        <v>455.44000000000017</v>
      </c>
      <c r="BO62" s="70">
        <v>454.42000000000019</v>
      </c>
      <c r="BP62" s="70">
        <v>453.4000000000002</v>
      </c>
      <c r="BQ62" s="70">
        <v>452.38000000000017</v>
      </c>
      <c r="BR62" s="70">
        <v>451.35000000000019</v>
      </c>
      <c r="BS62" s="70">
        <v>450.33000000000021</v>
      </c>
      <c r="BT62" s="70">
        <v>449.31000000000017</v>
      </c>
      <c r="BU62" s="70">
        <v>448.29000000000019</v>
      </c>
      <c r="BV62" s="70">
        <v>447.27000000000021</v>
      </c>
      <c r="BW62" s="70">
        <v>446.25000000000017</v>
      </c>
      <c r="BX62" s="70">
        <v>445.23000000000019</v>
      </c>
      <c r="BY62" s="70">
        <v>444.21000000000021</v>
      </c>
      <c r="BZ62" s="70">
        <v>443.19000000000017</v>
      </c>
      <c r="CA62" s="70">
        <v>442.17000000000019</v>
      </c>
      <c r="CB62" s="70">
        <v>441.1500000000002</v>
      </c>
      <c r="CC62" s="70">
        <v>440.14000000000016</v>
      </c>
      <c r="CD62" s="70">
        <v>439.12000000000018</v>
      </c>
      <c r="CE62" s="70">
        <v>438.10000000000019</v>
      </c>
      <c r="CF62" s="70">
        <v>437.08000000000021</v>
      </c>
      <c r="CG62" s="70">
        <v>436.06000000000017</v>
      </c>
      <c r="CH62" s="70">
        <v>435.04000000000019</v>
      </c>
      <c r="CI62" s="70">
        <v>434.0300000000002</v>
      </c>
      <c r="CJ62" s="70">
        <v>433.01000000000016</v>
      </c>
      <c r="CK62" s="70">
        <v>432.00000000000017</v>
      </c>
      <c r="CL62" s="70">
        <v>430.99000000000018</v>
      </c>
      <c r="CM62" s="70">
        <v>429.9700000000002</v>
      </c>
      <c r="CN62" s="70">
        <v>428.96000000000021</v>
      </c>
      <c r="CO62" s="70">
        <v>427.95000000000016</v>
      </c>
      <c r="CP62" s="70">
        <v>426.93000000000018</v>
      </c>
      <c r="CQ62" s="70">
        <v>425.92000000000019</v>
      </c>
      <c r="CR62" s="70">
        <v>424.9100000000002</v>
      </c>
      <c r="CS62" s="70">
        <v>423.89000000000016</v>
      </c>
      <c r="CT62" s="70">
        <v>422.88000000000017</v>
      </c>
      <c r="CU62" s="70">
        <v>421.87000000000018</v>
      </c>
      <c r="CV62" s="70">
        <v>420.86000000000018</v>
      </c>
      <c r="CW62" s="70">
        <v>419.85000000000019</v>
      </c>
      <c r="CX62" s="70">
        <v>418.85000000000019</v>
      </c>
      <c r="CY62" s="70">
        <v>417.8400000000002</v>
      </c>
      <c r="CZ62" s="70">
        <v>416.83000000000021</v>
      </c>
      <c r="DA62" s="70">
        <v>415.83000000000021</v>
      </c>
      <c r="DB62" s="70">
        <v>414.82000000000016</v>
      </c>
      <c r="DC62" s="70">
        <v>413.81000000000017</v>
      </c>
      <c r="DD62" s="70">
        <v>412.81000000000017</v>
      </c>
      <c r="DE62" s="70">
        <v>411.80000000000018</v>
      </c>
      <c r="DF62" s="70">
        <v>410.79000000000019</v>
      </c>
      <c r="DG62" s="70">
        <v>409.79000000000019</v>
      </c>
      <c r="DH62" s="70">
        <v>408.79000000000019</v>
      </c>
      <c r="DI62" s="70">
        <v>407.79000000000019</v>
      </c>
      <c r="DJ62" s="70">
        <v>406.79000000000019</v>
      </c>
      <c r="DK62" s="70">
        <v>405.79000000000019</v>
      </c>
      <c r="DL62" s="70">
        <v>404.79000000000019</v>
      </c>
      <c r="DM62" s="70">
        <v>403.79000000000019</v>
      </c>
      <c r="DN62" s="70">
        <v>402.79000000000019</v>
      </c>
      <c r="DO62" s="70">
        <v>401.79000000000019</v>
      </c>
      <c r="DP62" s="70">
        <v>400.79000000000019</v>
      </c>
      <c r="DQ62" s="70">
        <v>399.80000000000018</v>
      </c>
      <c r="DR62" s="70">
        <v>398.80000000000018</v>
      </c>
      <c r="DS62" s="70">
        <v>397.80000000000018</v>
      </c>
      <c r="DT62" s="70">
        <v>396.81000000000017</v>
      </c>
      <c r="DU62" s="70">
        <v>395.82000000000016</v>
      </c>
      <c r="DV62" s="70">
        <v>394.83000000000021</v>
      </c>
      <c r="DW62" s="70">
        <v>393.8400000000002</v>
      </c>
      <c r="DX62" s="70">
        <v>392.85000000000019</v>
      </c>
      <c r="DY62" s="70">
        <v>391.86000000000018</v>
      </c>
      <c r="DZ62" s="70">
        <v>390.87000000000018</v>
      </c>
      <c r="EA62" s="70">
        <v>389.88000000000017</v>
      </c>
      <c r="EB62" s="70">
        <v>388.9000000000002</v>
      </c>
      <c r="EC62" s="70">
        <v>387.9100000000002</v>
      </c>
      <c r="ED62" s="70">
        <v>386.92000000000019</v>
      </c>
      <c r="EE62" s="70">
        <v>385.94000000000017</v>
      </c>
      <c r="EF62" s="70">
        <v>384.96000000000021</v>
      </c>
      <c r="EG62" s="70">
        <v>383.98000000000019</v>
      </c>
      <c r="EH62" s="70">
        <v>383.00000000000017</v>
      </c>
      <c r="EI62" s="70">
        <v>382.0300000000002</v>
      </c>
      <c r="EJ62" s="70">
        <v>381.05000000000018</v>
      </c>
      <c r="EK62" s="70">
        <v>380.08000000000021</v>
      </c>
      <c r="EL62" s="70">
        <v>379.10000000000019</v>
      </c>
      <c r="EM62" s="70">
        <v>378.13000000000017</v>
      </c>
      <c r="EN62" s="70">
        <v>377.1500000000002</v>
      </c>
      <c r="EO62" s="70">
        <v>376.18000000000018</v>
      </c>
      <c r="EP62" s="70">
        <v>375.21000000000021</v>
      </c>
      <c r="EQ62" s="70">
        <v>374.23000000000019</v>
      </c>
      <c r="ER62" s="70">
        <v>373.27000000000021</v>
      </c>
      <c r="ES62" s="70">
        <v>372.30000000000018</v>
      </c>
      <c r="ET62" s="70">
        <v>371.33000000000021</v>
      </c>
      <c r="EU62" s="70">
        <v>370.37000000000018</v>
      </c>
      <c r="EV62" s="70">
        <v>369.4000000000002</v>
      </c>
      <c r="EW62" s="70">
        <v>368.44000000000017</v>
      </c>
      <c r="EX62" s="70">
        <v>367.48000000000019</v>
      </c>
      <c r="EY62" s="70">
        <v>366.51000000000016</v>
      </c>
      <c r="EZ62" s="70">
        <v>365.55000000000018</v>
      </c>
      <c r="FA62" s="70">
        <v>364.5900000000002</v>
      </c>
      <c r="FB62" s="70">
        <v>363.62000000000018</v>
      </c>
      <c r="FC62" s="70">
        <v>362.6600000000002</v>
      </c>
      <c r="FD62" s="70">
        <v>361.70000000000016</v>
      </c>
      <c r="FE62" s="70">
        <v>360.74000000000018</v>
      </c>
      <c r="FF62" s="70">
        <v>359.7800000000002</v>
      </c>
      <c r="FG62" s="70">
        <v>358.83000000000021</v>
      </c>
      <c r="FH62" s="70">
        <v>357.87000000000018</v>
      </c>
      <c r="FI62" s="70">
        <v>356.9100000000002</v>
      </c>
      <c r="FJ62" s="70">
        <v>355.95000000000016</v>
      </c>
      <c r="FK62" s="70">
        <v>355.00000000000017</v>
      </c>
      <c r="FL62" s="70">
        <v>354.04000000000019</v>
      </c>
      <c r="FM62" s="70">
        <v>353.0900000000002</v>
      </c>
      <c r="FN62" s="70">
        <v>352.13000000000017</v>
      </c>
      <c r="FO62" s="70">
        <v>351.18000000000018</v>
      </c>
      <c r="FP62" s="70">
        <v>350.23000000000019</v>
      </c>
      <c r="FQ62" s="70">
        <v>349.2800000000002</v>
      </c>
      <c r="FR62" s="70">
        <v>348.33000000000021</v>
      </c>
      <c r="FS62" s="70">
        <v>347.38000000000017</v>
      </c>
      <c r="FT62" s="70">
        <v>346.43000000000018</v>
      </c>
      <c r="FU62" s="70">
        <v>345.48000000000019</v>
      </c>
      <c r="FV62" s="70">
        <v>344.5300000000002</v>
      </c>
      <c r="FW62" s="70">
        <v>343.58000000000021</v>
      </c>
      <c r="FX62" s="70">
        <v>342.63000000000017</v>
      </c>
      <c r="FY62" s="70">
        <v>341.69000000000017</v>
      </c>
      <c r="FZ62" s="70">
        <v>340.74000000000018</v>
      </c>
      <c r="GA62" s="70">
        <v>339.80000000000018</v>
      </c>
      <c r="GB62" s="70">
        <v>338.85000000000019</v>
      </c>
      <c r="GC62" s="70">
        <v>337.9100000000002</v>
      </c>
      <c r="GD62" s="70">
        <v>336.9700000000002</v>
      </c>
      <c r="GE62" s="70">
        <v>336.0300000000002</v>
      </c>
      <c r="GF62" s="70">
        <v>335.0900000000002</v>
      </c>
      <c r="GG62" s="70">
        <v>334.1500000000002</v>
      </c>
      <c r="GH62" s="70">
        <v>333.21000000000021</v>
      </c>
      <c r="GI62" s="70">
        <v>332.27000000000021</v>
      </c>
      <c r="GJ62" s="70">
        <v>331.33000000000021</v>
      </c>
      <c r="GK62" s="70">
        <v>330.4000000000002</v>
      </c>
      <c r="GL62" s="70">
        <v>329.46000000000021</v>
      </c>
      <c r="GM62" s="70">
        <v>328.5300000000002</v>
      </c>
      <c r="GN62" s="70">
        <v>327.60000000000019</v>
      </c>
      <c r="GO62" s="70">
        <v>326.6500000000002</v>
      </c>
      <c r="GP62" s="70">
        <v>325.73000000000019</v>
      </c>
      <c r="GQ62" s="70">
        <v>324.80000000000018</v>
      </c>
      <c r="GR62" s="70">
        <v>323.87000000000018</v>
      </c>
      <c r="GS62" s="70">
        <v>322.95000000000016</v>
      </c>
      <c r="GT62" s="70">
        <v>322.02000000000021</v>
      </c>
      <c r="GU62" s="70">
        <v>321.0900000000002</v>
      </c>
      <c r="GV62" s="70">
        <v>320.17000000000019</v>
      </c>
      <c r="GW62" s="70">
        <v>319.24000000000018</v>
      </c>
      <c r="GX62" s="70">
        <v>318.32000000000016</v>
      </c>
      <c r="GY62" s="70">
        <v>317.4000000000002</v>
      </c>
      <c r="GZ62" s="70">
        <v>316.48000000000019</v>
      </c>
      <c r="HA62" s="70">
        <v>315.56000000000017</v>
      </c>
      <c r="HB62" s="70">
        <v>314.64000000000016</v>
      </c>
      <c r="HC62" s="70">
        <v>313.71000000000021</v>
      </c>
      <c r="HD62" s="70">
        <v>312.80000000000018</v>
      </c>
      <c r="HE62" s="70">
        <v>311.89000000000016</v>
      </c>
      <c r="HF62" s="70">
        <v>310.96000000000021</v>
      </c>
      <c r="HG62" s="70">
        <v>310.06000000000017</v>
      </c>
      <c r="HH62" s="70">
        <v>309.1500000000002</v>
      </c>
      <c r="HI62" s="70">
        <v>308.24000000000018</v>
      </c>
      <c r="HJ62" s="70">
        <v>307.33000000000021</v>
      </c>
      <c r="HK62" s="70">
        <v>306.42000000000019</v>
      </c>
      <c r="HL62" s="70">
        <v>305.51000000000016</v>
      </c>
      <c r="HM62" s="70">
        <v>304.60000000000019</v>
      </c>
      <c r="HN62" s="70">
        <v>303.70000000000016</v>
      </c>
      <c r="HO62" s="70">
        <v>302.79000000000019</v>
      </c>
      <c r="HP62" s="70">
        <v>301.89000000000016</v>
      </c>
      <c r="HQ62" s="70">
        <v>300.99000000000018</v>
      </c>
      <c r="HR62" s="70">
        <v>300.0900000000002</v>
      </c>
      <c r="HS62" s="70">
        <v>299.18000000000018</v>
      </c>
      <c r="HT62" s="70">
        <v>298.29000000000019</v>
      </c>
      <c r="HU62" s="70">
        <v>297.39000000000016</v>
      </c>
      <c r="HV62" s="70">
        <v>296.50000000000017</v>
      </c>
      <c r="HW62" s="70">
        <v>295.60000000000019</v>
      </c>
      <c r="HX62" s="70">
        <v>294.71000000000021</v>
      </c>
      <c r="HY62" s="70">
        <v>293.81000000000017</v>
      </c>
      <c r="HZ62" s="70">
        <v>292.92000000000019</v>
      </c>
      <c r="IA62" s="70">
        <v>292.0300000000002</v>
      </c>
      <c r="IB62" s="70">
        <v>291.14000000000016</v>
      </c>
      <c r="IC62" s="70">
        <v>290.25000000000017</v>
      </c>
      <c r="ID62" s="70">
        <v>289.36000000000018</v>
      </c>
      <c r="IE62" s="70">
        <v>288.46000000000021</v>
      </c>
      <c r="IF62" s="70">
        <v>287.5900000000002</v>
      </c>
      <c r="IG62" s="70">
        <v>286.70000000000016</v>
      </c>
      <c r="IH62" s="70">
        <v>285.82000000000016</v>
      </c>
      <c r="II62" s="70">
        <v>284.93000000000018</v>
      </c>
      <c r="IJ62" s="70">
        <v>284.05000000000018</v>
      </c>
      <c r="IK62" s="70">
        <v>283.17000000000019</v>
      </c>
      <c r="IL62" s="70">
        <v>282.29000000000019</v>
      </c>
      <c r="IM62" s="70">
        <v>281.4000000000002</v>
      </c>
      <c r="IN62" s="70">
        <v>280.54000000000019</v>
      </c>
      <c r="IO62" s="70">
        <v>279.6500000000002</v>
      </c>
      <c r="IP62" s="70">
        <v>278.7800000000002</v>
      </c>
      <c r="IQ62" s="70">
        <v>277.9000000000002</v>
      </c>
      <c r="IR62" s="70">
        <v>277.04000000000019</v>
      </c>
      <c r="IS62" s="70">
        <v>276.17000000000019</v>
      </c>
      <c r="IT62" s="70">
        <v>275.29000000000019</v>
      </c>
      <c r="IU62" s="70">
        <v>274.43000000000018</v>
      </c>
      <c r="IV62" s="70">
        <v>273.56000000000017</v>
      </c>
      <c r="IW62" s="70">
        <v>272.68000000000018</v>
      </c>
      <c r="IX62" s="70">
        <v>271.83000000000021</v>
      </c>
      <c r="IY62" s="70">
        <v>270.96000000000021</v>
      </c>
      <c r="IZ62" s="70">
        <v>270.10000000000019</v>
      </c>
      <c r="JA62" s="70">
        <v>269.24000000000018</v>
      </c>
      <c r="JB62" s="70">
        <v>268.37000000000018</v>
      </c>
      <c r="JC62" s="70">
        <v>267.52000000000021</v>
      </c>
      <c r="JD62" s="70">
        <v>266.6500000000002</v>
      </c>
      <c r="JE62" s="70">
        <v>265.80000000000018</v>
      </c>
      <c r="JF62" s="70">
        <v>264.95000000000016</v>
      </c>
      <c r="JG62" s="70">
        <v>264.0900000000002</v>
      </c>
      <c r="JH62" s="70">
        <v>263.24000000000018</v>
      </c>
      <c r="JI62" s="70">
        <v>262.39000000000016</v>
      </c>
      <c r="JJ62" s="70">
        <v>261.5300000000002</v>
      </c>
      <c r="JK62" s="70">
        <v>260.68000000000018</v>
      </c>
      <c r="JL62" s="70">
        <v>259.83000000000015</v>
      </c>
      <c r="JM62" s="70">
        <v>258.98000000000008</v>
      </c>
      <c r="JN62" s="70">
        <v>258.14000000000004</v>
      </c>
      <c r="JO62" s="70">
        <v>257.29000000000002</v>
      </c>
      <c r="JP62" s="70">
        <v>256.43999999999994</v>
      </c>
      <c r="JQ62" s="70">
        <v>255.59999999999994</v>
      </c>
      <c r="JR62" s="70">
        <v>254.74999999999991</v>
      </c>
      <c r="JS62" s="70">
        <v>253.90999999999994</v>
      </c>
      <c r="JT62" s="70">
        <v>253.06999999999994</v>
      </c>
      <c r="JU62" s="70">
        <v>252.22999999999993</v>
      </c>
      <c r="JV62" s="70">
        <v>251.38999999999993</v>
      </c>
      <c r="JW62" s="70">
        <v>250.54999999999993</v>
      </c>
      <c r="JX62" s="70">
        <v>249.70999999999992</v>
      </c>
      <c r="JY62" s="70">
        <v>248.87999999999994</v>
      </c>
      <c r="JZ62" s="70">
        <v>248.03999999999994</v>
      </c>
      <c r="KA62" s="70">
        <v>247.20999999999992</v>
      </c>
      <c r="KB62" s="70">
        <v>246.36999999999992</v>
      </c>
      <c r="KC62" s="70">
        <v>245.53999999999994</v>
      </c>
      <c r="KD62" s="70">
        <v>244.70999999999992</v>
      </c>
      <c r="KE62" s="70">
        <v>243.86999999999992</v>
      </c>
      <c r="KF62" s="70">
        <v>243.04999999999993</v>
      </c>
      <c r="KG62" s="70">
        <v>242.21999999999994</v>
      </c>
      <c r="KH62" s="70">
        <v>241.38999999999993</v>
      </c>
      <c r="KI62" s="70">
        <v>240.55999999999992</v>
      </c>
      <c r="KJ62" s="70">
        <v>239.73999999999992</v>
      </c>
      <c r="KK62" s="70">
        <v>238.90999999999994</v>
      </c>
      <c r="KL62" s="70">
        <v>238.08999999999992</v>
      </c>
      <c r="KM62" s="70">
        <v>237.26999999999992</v>
      </c>
      <c r="KN62" s="70">
        <v>236.44999999999993</v>
      </c>
      <c r="KO62" s="70">
        <v>235.62999999999994</v>
      </c>
      <c r="KP62" s="70">
        <v>234.80999999999992</v>
      </c>
      <c r="KQ62" s="70">
        <v>233.98999999999992</v>
      </c>
      <c r="KR62" s="70">
        <v>232.39000000000047</v>
      </c>
      <c r="KS62" s="70">
        <v>231.64000000000047</v>
      </c>
      <c r="KT62" s="70">
        <v>230.89000000000047</v>
      </c>
      <c r="KU62" s="70">
        <v>230.14000000000047</v>
      </c>
      <c r="KV62" s="70">
        <v>229.39000000000047</v>
      </c>
      <c r="KW62" s="70">
        <v>228.64000000000047</v>
      </c>
      <c r="KX62" s="70">
        <v>227.89000000000047</v>
      </c>
      <c r="KY62" s="70">
        <v>227.14000000000047</v>
      </c>
      <c r="KZ62" s="70">
        <v>226.39000000000047</v>
      </c>
      <c r="LA62" s="70">
        <v>225.64000000000047</v>
      </c>
      <c r="LB62" s="70">
        <v>224.89000000000047</v>
      </c>
      <c r="LC62" s="70">
        <v>224.14000000000047</v>
      </c>
      <c r="LD62" s="70">
        <v>223.39000000000047</v>
      </c>
      <c r="LE62" s="70">
        <v>222.64000000000047</v>
      </c>
      <c r="LF62" s="70">
        <v>221.89000000000047</v>
      </c>
      <c r="LG62" s="70">
        <v>221.14000000000047</v>
      </c>
      <c r="LH62" s="70">
        <v>220.39000000000047</v>
      </c>
      <c r="LI62" s="70">
        <v>219.64000000000047</v>
      </c>
      <c r="LJ62" s="70">
        <v>218.89000000000047</v>
      </c>
      <c r="LK62" s="70">
        <v>218.14000000000047</v>
      </c>
      <c r="LL62" s="70">
        <v>217.39000000000047</v>
      </c>
      <c r="LM62" s="70">
        <v>216.64000000000047</v>
      </c>
      <c r="LN62" s="70">
        <v>215.89000000000047</v>
      </c>
      <c r="LO62" s="70">
        <v>215.14000000000047</v>
      </c>
      <c r="LP62" s="70">
        <v>214.39000000000047</v>
      </c>
      <c r="LQ62" s="70">
        <v>213.64000000000047</v>
      </c>
      <c r="LR62" s="70">
        <v>212.89000000000047</v>
      </c>
      <c r="LS62" s="70">
        <v>212.14000000000047</v>
      </c>
      <c r="LT62" s="70">
        <v>211.39000000000047</v>
      </c>
      <c r="LU62" s="70">
        <v>210.64000000000047</v>
      </c>
      <c r="LV62" s="70">
        <v>209.89000000000047</v>
      </c>
      <c r="LW62" s="70">
        <v>209.14000000000047</v>
      </c>
      <c r="LX62" s="70">
        <v>208.39000000000047</v>
      </c>
      <c r="LY62" s="70">
        <v>207.64000000000047</v>
      </c>
      <c r="LZ62" s="70">
        <v>206.89000000000047</v>
      </c>
      <c r="MA62" s="70">
        <v>206.14000000000047</v>
      </c>
      <c r="MB62" s="70">
        <v>205.39000000000047</v>
      </c>
      <c r="MC62" s="70">
        <v>204.64000000000047</v>
      </c>
      <c r="MD62" s="70">
        <v>203.89000000000047</v>
      </c>
      <c r="ME62" s="70">
        <v>203.14000000000047</v>
      </c>
      <c r="MF62" s="70">
        <v>202.39000000000047</v>
      </c>
      <c r="MG62" s="70">
        <v>201.64000000000047</v>
      </c>
      <c r="MH62" s="70">
        <v>200.89000000000047</v>
      </c>
      <c r="MI62" s="70">
        <v>200.14000000000047</v>
      </c>
      <c r="MJ62" s="70">
        <v>199.39000000000047</v>
      </c>
      <c r="MK62" s="70">
        <v>198.64000000000047</v>
      </c>
      <c r="ML62" s="70">
        <v>197.89000000000047</v>
      </c>
      <c r="MM62" s="70">
        <v>197.14000000000047</v>
      </c>
      <c r="MN62" s="70">
        <v>196.39000000000047</v>
      </c>
      <c r="MO62" s="70">
        <v>195.64000000000047</v>
      </c>
      <c r="MP62" s="70">
        <v>194.89000000000047</v>
      </c>
      <c r="MQ62" s="70">
        <v>194.14000000000047</v>
      </c>
      <c r="MR62" s="70">
        <v>193.39000000000047</v>
      </c>
      <c r="MS62" s="70">
        <v>192.64000000000047</v>
      </c>
      <c r="MT62" s="70">
        <v>191.89000000000047</v>
      </c>
      <c r="MU62" s="70">
        <v>191.14000000000047</v>
      </c>
      <c r="MV62" s="70">
        <v>190.39000000000047</v>
      </c>
      <c r="MW62" s="70">
        <v>189.64000000000047</v>
      </c>
      <c r="MX62" s="70">
        <v>188.89000000000047</v>
      </c>
      <c r="MY62" s="70">
        <v>188.14000000000047</v>
      </c>
    </row>
    <row r="63" spans="1:363" ht="15.6" x14ac:dyDescent="0.3">
      <c r="A63" s="67" t="s">
        <v>7</v>
      </c>
      <c r="B63" s="72">
        <v>2073</v>
      </c>
      <c r="C63" s="70">
        <v>520.4</v>
      </c>
      <c r="D63" s="70">
        <v>519.38999999999987</v>
      </c>
      <c r="E63" s="70">
        <v>518.3599999999999</v>
      </c>
      <c r="F63" s="70">
        <v>517.51999999999964</v>
      </c>
      <c r="G63" s="70">
        <v>516.48999999999967</v>
      </c>
      <c r="H63" s="70">
        <v>515.45999999999981</v>
      </c>
      <c r="I63" s="70">
        <v>514.43999999999994</v>
      </c>
      <c r="J63" s="70">
        <v>513.41000000000008</v>
      </c>
      <c r="K63" s="70">
        <v>512.38000000000022</v>
      </c>
      <c r="L63" s="70">
        <v>511.36000000000018</v>
      </c>
      <c r="M63" s="70">
        <v>510.33000000000021</v>
      </c>
      <c r="N63" s="70">
        <v>509.31000000000023</v>
      </c>
      <c r="O63" s="70">
        <v>508.2800000000002</v>
      </c>
      <c r="P63" s="70">
        <v>507.25000000000023</v>
      </c>
      <c r="Q63" s="70">
        <v>506.23000000000019</v>
      </c>
      <c r="R63" s="70">
        <v>505.20000000000022</v>
      </c>
      <c r="S63" s="70">
        <v>504.17000000000019</v>
      </c>
      <c r="T63" s="70">
        <v>503.1500000000002</v>
      </c>
      <c r="U63" s="70">
        <v>502.12000000000023</v>
      </c>
      <c r="V63" s="70">
        <v>501.0900000000002</v>
      </c>
      <c r="W63" s="70">
        <v>500.07000000000022</v>
      </c>
      <c r="X63" s="70">
        <v>499.04000000000019</v>
      </c>
      <c r="Y63" s="70">
        <v>498.01000000000022</v>
      </c>
      <c r="Z63" s="70">
        <v>496.99000000000018</v>
      </c>
      <c r="AA63" s="70">
        <v>495.96000000000021</v>
      </c>
      <c r="AB63" s="70">
        <v>494.93000000000018</v>
      </c>
      <c r="AC63" s="70">
        <v>493.9100000000002</v>
      </c>
      <c r="AD63" s="70">
        <v>492.88000000000022</v>
      </c>
      <c r="AE63" s="70">
        <v>491.85000000000019</v>
      </c>
      <c r="AF63" s="70">
        <v>490.83000000000021</v>
      </c>
      <c r="AG63" s="70">
        <v>489.80000000000018</v>
      </c>
      <c r="AH63" s="70">
        <v>488.7800000000002</v>
      </c>
      <c r="AI63" s="70">
        <v>487.75000000000023</v>
      </c>
      <c r="AJ63" s="70">
        <v>486.7200000000002</v>
      </c>
      <c r="AK63" s="70">
        <v>485.70000000000022</v>
      </c>
      <c r="AL63" s="70">
        <v>484.67000000000019</v>
      </c>
      <c r="AM63" s="70">
        <v>483.64000000000021</v>
      </c>
      <c r="AN63" s="70">
        <v>482.62000000000023</v>
      </c>
      <c r="AO63" s="70">
        <v>481.5900000000002</v>
      </c>
      <c r="AP63" s="70">
        <v>480.57000000000022</v>
      </c>
      <c r="AQ63" s="70">
        <v>479.54000000000019</v>
      </c>
      <c r="AR63" s="70">
        <v>478.52000000000021</v>
      </c>
      <c r="AS63" s="70">
        <v>477.49000000000018</v>
      </c>
      <c r="AT63" s="70">
        <v>476.46000000000021</v>
      </c>
      <c r="AU63" s="70">
        <v>475.44000000000023</v>
      </c>
      <c r="AV63" s="70">
        <v>474.4100000000002</v>
      </c>
      <c r="AW63" s="70">
        <v>473.39000000000021</v>
      </c>
      <c r="AX63" s="70">
        <v>472.36000000000018</v>
      </c>
      <c r="AY63" s="70">
        <v>471.3400000000002</v>
      </c>
      <c r="AZ63" s="70">
        <v>470.31000000000023</v>
      </c>
      <c r="BA63" s="70">
        <v>469.29000000000019</v>
      </c>
      <c r="BB63" s="70">
        <v>468.27000000000021</v>
      </c>
      <c r="BC63" s="70">
        <v>467.24000000000018</v>
      </c>
      <c r="BD63" s="70">
        <v>466.2200000000002</v>
      </c>
      <c r="BE63" s="70">
        <v>465.19000000000023</v>
      </c>
      <c r="BF63" s="70">
        <v>464.17000000000019</v>
      </c>
      <c r="BG63" s="70">
        <v>463.14000000000021</v>
      </c>
      <c r="BH63" s="70">
        <v>462.12000000000023</v>
      </c>
      <c r="BI63" s="70">
        <v>461.10000000000019</v>
      </c>
      <c r="BJ63" s="70">
        <v>460.07000000000022</v>
      </c>
      <c r="BK63" s="70">
        <v>459.05000000000018</v>
      </c>
      <c r="BL63" s="70">
        <v>458.0300000000002</v>
      </c>
      <c r="BM63" s="70">
        <v>457.00000000000023</v>
      </c>
      <c r="BN63" s="70">
        <v>455.98000000000019</v>
      </c>
      <c r="BO63" s="70">
        <v>454.96000000000021</v>
      </c>
      <c r="BP63" s="70">
        <v>453.94000000000023</v>
      </c>
      <c r="BQ63" s="70">
        <v>452.92000000000019</v>
      </c>
      <c r="BR63" s="70">
        <v>451.89000000000021</v>
      </c>
      <c r="BS63" s="70">
        <v>450.87000000000023</v>
      </c>
      <c r="BT63" s="70">
        <v>449.85000000000019</v>
      </c>
      <c r="BU63" s="70">
        <v>448.83000000000021</v>
      </c>
      <c r="BV63" s="70">
        <v>447.81000000000023</v>
      </c>
      <c r="BW63" s="70">
        <v>446.79000000000019</v>
      </c>
      <c r="BX63" s="70">
        <v>445.77000000000021</v>
      </c>
      <c r="BY63" s="70">
        <v>444.75000000000023</v>
      </c>
      <c r="BZ63" s="70">
        <v>443.73000000000019</v>
      </c>
      <c r="CA63" s="70">
        <v>442.71000000000021</v>
      </c>
      <c r="CB63" s="70">
        <v>441.69000000000023</v>
      </c>
      <c r="CC63" s="70">
        <v>440.68000000000018</v>
      </c>
      <c r="CD63" s="70">
        <v>439.6600000000002</v>
      </c>
      <c r="CE63" s="70">
        <v>438.64000000000021</v>
      </c>
      <c r="CF63" s="70">
        <v>437.62000000000023</v>
      </c>
      <c r="CG63" s="70">
        <v>436.60000000000019</v>
      </c>
      <c r="CH63" s="70">
        <v>435.58000000000021</v>
      </c>
      <c r="CI63" s="70">
        <v>434.57000000000022</v>
      </c>
      <c r="CJ63" s="70">
        <v>433.55000000000018</v>
      </c>
      <c r="CK63" s="70">
        <v>432.54000000000019</v>
      </c>
      <c r="CL63" s="70">
        <v>431.5300000000002</v>
      </c>
      <c r="CM63" s="70">
        <v>430.51000000000022</v>
      </c>
      <c r="CN63" s="70">
        <v>429.50000000000023</v>
      </c>
      <c r="CO63" s="70">
        <v>428.49000000000018</v>
      </c>
      <c r="CP63" s="70">
        <v>427.4700000000002</v>
      </c>
      <c r="CQ63" s="70">
        <v>426.46000000000021</v>
      </c>
      <c r="CR63" s="70">
        <v>425.45000000000022</v>
      </c>
      <c r="CS63" s="70">
        <v>424.43000000000018</v>
      </c>
      <c r="CT63" s="70">
        <v>423.42000000000019</v>
      </c>
      <c r="CU63" s="70">
        <v>422.4100000000002</v>
      </c>
      <c r="CV63" s="70">
        <v>421.4000000000002</v>
      </c>
      <c r="CW63" s="70">
        <v>420.39000000000021</v>
      </c>
      <c r="CX63" s="70">
        <v>419.39000000000021</v>
      </c>
      <c r="CY63" s="70">
        <v>418.38000000000022</v>
      </c>
      <c r="CZ63" s="70">
        <v>417.37000000000023</v>
      </c>
      <c r="DA63" s="70">
        <v>416.37000000000023</v>
      </c>
      <c r="DB63" s="70">
        <v>415.36000000000018</v>
      </c>
      <c r="DC63" s="70">
        <v>414.35000000000019</v>
      </c>
      <c r="DD63" s="70">
        <v>413.35000000000019</v>
      </c>
      <c r="DE63" s="70">
        <v>412.3400000000002</v>
      </c>
      <c r="DF63" s="70">
        <v>411.33000000000021</v>
      </c>
      <c r="DG63" s="70">
        <v>410.33000000000021</v>
      </c>
      <c r="DH63" s="70">
        <v>409.33000000000021</v>
      </c>
      <c r="DI63" s="70">
        <v>408.33000000000021</v>
      </c>
      <c r="DJ63" s="70">
        <v>407.33000000000021</v>
      </c>
      <c r="DK63" s="70">
        <v>406.33000000000021</v>
      </c>
      <c r="DL63" s="70">
        <v>405.33000000000021</v>
      </c>
      <c r="DM63" s="70">
        <v>404.33000000000021</v>
      </c>
      <c r="DN63" s="70">
        <v>403.33000000000021</v>
      </c>
      <c r="DO63" s="70">
        <v>402.33000000000021</v>
      </c>
      <c r="DP63" s="70">
        <v>401.33000000000021</v>
      </c>
      <c r="DQ63" s="70">
        <v>400.3400000000002</v>
      </c>
      <c r="DR63" s="70">
        <v>399.3400000000002</v>
      </c>
      <c r="DS63" s="70">
        <v>398.3400000000002</v>
      </c>
      <c r="DT63" s="70">
        <v>397.35000000000019</v>
      </c>
      <c r="DU63" s="70">
        <v>396.36000000000018</v>
      </c>
      <c r="DV63" s="70">
        <v>395.37000000000023</v>
      </c>
      <c r="DW63" s="70">
        <v>394.38000000000022</v>
      </c>
      <c r="DX63" s="70">
        <v>393.39000000000021</v>
      </c>
      <c r="DY63" s="70">
        <v>392.4000000000002</v>
      </c>
      <c r="DZ63" s="70">
        <v>391.4100000000002</v>
      </c>
      <c r="EA63" s="70">
        <v>390.42000000000019</v>
      </c>
      <c r="EB63" s="70">
        <v>389.44000000000023</v>
      </c>
      <c r="EC63" s="70">
        <v>388.45000000000022</v>
      </c>
      <c r="ED63" s="70">
        <v>387.46000000000021</v>
      </c>
      <c r="EE63" s="70">
        <v>386.48000000000019</v>
      </c>
      <c r="EF63" s="70">
        <v>385.50000000000023</v>
      </c>
      <c r="EG63" s="70">
        <v>384.52000000000021</v>
      </c>
      <c r="EH63" s="70">
        <v>383.54000000000019</v>
      </c>
      <c r="EI63" s="70">
        <v>382.57000000000022</v>
      </c>
      <c r="EJ63" s="70">
        <v>381.5900000000002</v>
      </c>
      <c r="EK63" s="70">
        <v>380.62000000000023</v>
      </c>
      <c r="EL63" s="70">
        <v>379.64000000000021</v>
      </c>
      <c r="EM63" s="70">
        <v>378.67000000000019</v>
      </c>
      <c r="EN63" s="70">
        <v>377.69000000000023</v>
      </c>
      <c r="EO63" s="70">
        <v>376.7200000000002</v>
      </c>
      <c r="EP63" s="70">
        <v>375.75000000000023</v>
      </c>
      <c r="EQ63" s="70">
        <v>374.77000000000021</v>
      </c>
      <c r="ER63" s="70">
        <v>373.81000000000023</v>
      </c>
      <c r="ES63" s="70">
        <v>372.8400000000002</v>
      </c>
      <c r="ET63" s="70">
        <v>371.87000000000023</v>
      </c>
      <c r="EU63" s="70">
        <v>370.9100000000002</v>
      </c>
      <c r="EV63" s="70">
        <v>369.94000000000023</v>
      </c>
      <c r="EW63" s="70">
        <v>368.98000000000019</v>
      </c>
      <c r="EX63" s="70">
        <v>368.02000000000021</v>
      </c>
      <c r="EY63" s="70">
        <v>367.05000000000018</v>
      </c>
      <c r="EZ63" s="70">
        <v>366.0900000000002</v>
      </c>
      <c r="FA63" s="70">
        <v>365.13000000000022</v>
      </c>
      <c r="FB63" s="70">
        <v>364.1600000000002</v>
      </c>
      <c r="FC63" s="70">
        <v>363.20000000000022</v>
      </c>
      <c r="FD63" s="70">
        <v>362.24000000000018</v>
      </c>
      <c r="FE63" s="70">
        <v>361.2800000000002</v>
      </c>
      <c r="FF63" s="70">
        <v>360.32000000000022</v>
      </c>
      <c r="FG63" s="70">
        <v>359.37000000000023</v>
      </c>
      <c r="FH63" s="70">
        <v>358.4100000000002</v>
      </c>
      <c r="FI63" s="70">
        <v>357.45000000000022</v>
      </c>
      <c r="FJ63" s="70">
        <v>356.49000000000018</v>
      </c>
      <c r="FK63" s="70">
        <v>355.54000000000019</v>
      </c>
      <c r="FL63" s="70">
        <v>354.58000000000021</v>
      </c>
      <c r="FM63" s="70">
        <v>353.63000000000022</v>
      </c>
      <c r="FN63" s="70">
        <v>352.67000000000019</v>
      </c>
      <c r="FO63" s="70">
        <v>351.7200000000002</v>
      </c>
      <c r="FP63" s="70">
        <v>350.77000000000021</v>
      </c>
      <c r="FQ63" s="70">
        <v>349.82000000000022</v>
      </c>
      <c r="FR63" s="70">
        <v>348.87000000000023</v>
      </c>
      <c r="FS63" s="70">
        <v>347.92000000000019</v>
      </c>
      <c r="FT63" s="70">
        <v>346.9700000000002</v>
      </c>
      <c r="FU63" s="70">
        <v>346.02000000000021</v>
      </c>
      <c r="FV63" s="70">
        <v>345.07000000000022</v>
      </c>
      <c r="FW63" s="70">
        <v>344.12000000000023</v>
      </c>
      <c r="FX63" s="70">
        <v>343.17000000000019</v>
      </c>
      <c r="FY63" s="70">
        <v>342.23000000000019</v>
      </c>
      <c r="FZ63" s="70">
        <v>341.2800000000002</v>
      </c>
      <c r="GA63" s="70">
        <v>340.3400000000002</v>
      </c>
      <c r="GB63" s="70">
        <v>339.39000000000021</v>
      </c>
      <c r="GC63" s="70">
        <v>338.45000000000022</v>
      </c>
      <c r="GD63" s="70">
        <v>337.51000000000022</v>
      </c>
      <c r="GE63" s="70">
        <v>336.57000000000022</v>
      </c>
      <c r="GF63" s="70">
        <v>335.63000000000022</v>
      </c>
      <c r="GG63" s="70">
        <v>334.69000000000023</v>
      </c>
      <c r="GH63" s="70">
        <v>333.75000000000023</v>
      </c>
      <c r="GI63" s="70">
        <v>332.81000000000023</v>
      </c>
      <c r="GJ63" s="70">
        <v>331.87000000000023</v>
      </c>
      <c r="GK63" s="70">
        <v>330.94000000000023</v>
      </c>
      <c r="GL63" s="70">
        <v>330.00000000000023</v>
      </c>
      <c r="GM63" s="70">
        <v>329.07000000000022</v>
      </c>
      <c r="GN63" s="70">
        <v>328.14000000000021</v>
      </c>
      <c r="GO63" s="70">
        <v>327.19000000000023</v>
      </c>
      <c r="GP63" s="70">
        <v>326.27000000000021</v>
      </c>
      <c r="GQ63" s="70">
        <v>325.3400000000002</v>
      </c>
      <c r="GR63" s="70">
        <v>324.4100000000002</v>
      </c>
      <c r="GS63" s="70">
        <v>323.49000000000018</v>
      </c>
      <c r="GT63" s="70">
        <v>322.56000000000023</v>
      </c>
      <c r="GU63" s="70">
        <v>321.63000000000022</v>
      </c>
      <c r="GV63" s="70">
        <v>320.71000000000021</v>
      </c>
      <c r="GW63" s="70">
        <v>319.7800000000002</v>
      </c>
      <c r="GX63" s="70">
        <v>318.86000000000018</v>
      </c>
      <c r="GY63" s="70">
        <v>317.94000000000023</v>
      </c>
      <c r="GZ63" s="70">
        <v>317.02000000000021</v>
      </c>
      <c r="HA63" s="70">
        <v>316.10000000000019</v>
      </c>
      <c r="HB63" s="70">
        <v>315.18000000000018</v>
      </c>
      <c r="HC63" s="70">
        <v>314.25000000000023</v>
      </c>
      <c r="HD63" s="70">
        <v>313.3400000000002</v>
      </c>
      <c r="HE63" s="70">
        <v>312.43000000000018</v>
      </c>
      <c r="HF63" s="70">
        <v>311.50000000000023</v>
      </c>
      <c r="HG63" s="70">
        <v>310.60000000000019</v>
      </c>
      <c r="HH63" s="70">
        <v>309.69000000000023</v>
      </c>
      <c r="HI63" s="70">
        <v>308.7800000000002</v>
      </c>
      <c r="HJ63" s="70">
        <v>307.87000000000023</v>
      </c>
      <c r="HK63" s="70">
        <v>306.96000000000021</v>
      </c>
      <c r="HL63" s="70">
        <v>306.05000000000018</v>
      </c>
      <c r="HM63" s="70">
        <v>305.14000000000021</v>
      </c>
      <c r="HN63" s="70">
        <v>304.24000000000018</v>
      </c>
      <c r="HO63" s="70">
        <v>303.33000000000021</v>
      </c>
      <c r="HP63" s="70">
        <v>302.43000000000018</v>
      </c>
      <c r="HQ63" s="70">
        <v>301.5300000000002</v>
      </c>
      <c r="HR63" s="70">
        <v>300.63000000000022</v>
      </c>
      <c r="HS63" s="70">
        <v>299.7200000000002</v>
      </c>
      <c r="HT63" s="70">
        <v>298.83000000000021</v>
      </c>
      <c r="HU63" s="70">
        <v>297.93000000000018</v>
      </c>
      <c r="HV63" s="70">
        <v>297.04000000000019</v>
      </c>
      <c r="HW63" s="70">
        <v>296.14000000000021</v>
      </c>
      <c r="HX63" s="70">
        <v>295.25000000000023</v>
      </c>
      <c r="HY63" s="70">
        <v>294.35000000000019</v>
      </c>
      <c r="HZ63" s="70">
        <v>293.46000000000021</v>
      </c>
      <c r="IA63" s="70">
        <v>292.57000000000022</v>
      </c>
      <c r="IB63" s="70">
        <v>291.68000000000018</v>
      </c>
      <c r="IC63" s="70">
        <v>290.79000000000019</v>
      </c>
      <c r="ID63" s="70">
        <v>289.9000000000002</v>
      </c>
      <c r="IE63" s="70">
        <v>289.00000000000023</v>
      </c>
      <c r="IF63" s="70">
        <v>288.13000000000022</v>
      </c>
      <c r="IG63" s="70">
        <v>287.24000000000018</v>
      </c>
      <c r="IH63" s="70">
        <v>286.36000000000018</v>
      </c>
      <c r="II63" s="70">
        <v>285.4700000000002</v>
      </c>
      <c r="IJ63" s="70">
        <v>284.5900000000002</v>
      </c>
      <c r="IK63" s="70">
        <v>283.71000000000021</v>
      </c>
      <c r="IL63" s="70">
        <v>282.83000000000021</v>
      </c>
      <c r="IM63" s="70">
        <v>281.94000000000023</v>
      </c>
      <c r="IN63" s="70">
        <v>281.08000000000021</v>
      </c>
      <c r="IO63" s="70">
        <v>280.19000000000023</v>
      </c>
      <c r="IP63" s="70">
        <v>279.32000000000022</v>
      </c>
      <c r="IQ63" s="70">
        <v>278.44000000000023</v>
      </c>
      <c r="IR63" s="70">
        <v>277.58000000000021</v>
      </c>
      <c r="IS63" s="70">
        <v>276.71000000000021</v>
      </c>
      <c r="IT63" s="70">
        <v>275.83000000000021</v>
      </c>
      <c r="IU63" s="70">
        <v>274.9700000000002</v>
      </c>
      <c r="IV63" s="70">
        <v>274.10000000000019</v>
      </c>
      <c r="IW63" s="70">
        <v>273.2200000000002</v>
      </c>
      <c r="IX63" s="70">
        <v>272.37000000000023</v>
      </c>
      <c r="IY63" s="70">
        <v>271.50000000000023</v>
      </c>
      <c r="IZ63" s="70">
        <v>270.64000000000021</v>
      </c>
      <c r="JA63" s="70">
        <v>269.7800000000002</v>
      </c>
      <c r="JB63" s="70">
        <v>268.9100000000002</v>
      </c>
      <c r="JC63" s="70">
        <v>268.06000000000023</v>
      </c>
      <c r="JD63" s="70">
        <v>267.19000000000023</v>
      </c>
      <c r="JE63" s="70">
        <v>266.3400000000002</v>
      </c>
      <c r="JF63" s="70">
        <v>265.49000000000018</v>
      </c>
      <c r="JG63" s="70">
        <v>264.63000000000022</v>
      </c>
      <c r="JH63" s="70">
        <v>263.7800000000002</v>
      </c>
      <c r="JI63" s="70">
        <v>262.93000000000018</v>
      </c>
      <c r="JJ63" s="70">
        <v>262.07000000000022</v>
      </c>
      <c r="JK63" s="70">
        <v>261.2200000000002</v>
      </c>
      <c r="JL63" s="70">
        <v>260.37000000000018</v>
      </c>
      <c r="JM63" s="70">
        <v>259.5200000000001</v>
      </c>
      <c r="JN63" s="70">
        <v>258.68000000000006</v>
      </c>
      <c r="JO63" s="70">
        <v>257.83000000000004</v>
      </c>
      <c r="JP63" s="70">
        <v>256.97999999999996</v>
      </c>
      <c r="JQ63" s="70">
        <v>256.13999999999993</v>
      </c>
      <c r="JR63" s="70">
        <v>255.28999999999991</v>
      </c>
      <c r="JS63" s="70">
        <v>254.44999999999993</v>
      </c>
      <c r="JT63" s="70">
        <v>253.60999999999993</v>
      </c>
      <c r="JU63" s="70">
        <v>252.76999999999992</v>
      </c>
      <c r="JV63" s="70">
        <v>251.92999999999992</v>
      </c>
      <c r="JW63" s="70">
        <v>251.08999999999992</v>
      </c>
      <c r="JX63" s="70">
        <v>250.24999999999991</v>
      </c>
      <c r="JY63" s="70">
        <v>249.41999999999993</v>
      </c>
      <c r="JZ63" s="70">
        <v>248.57999999999993</v>
      </c>
      <c r="KA63" s="70">
        <v>247.74999999999991</v>
      </c>
      <c r="KB63" s="70">
        <v>246.90999999999991</v>
      </c>
      <c r="KC63" s="70">
        <v>246.07999999999993</v>
      </c>
      <c r="KD63" s="70">
        <v>245.24999999999991</v>
      </c>
      <c r="KE63" s="70">
        <v>244.40999999999991</v>
      </c>
      <c r="KF63" s="70">
        <v>243.58999999999992</v>
      </c>
      <c r="KG63" s="70">
        <v>242.75999999999993</v>
      </c>
      <c r="KH63" s="70">
        <v>241.92999999999992</v>
      </c>
      <c r="KI63" s="70">
        <v>241.09999999999991</v>
      </c>
      <c r="KJ63" s="70">
        <v>240.27999999999992</v>
      </c>
      <c r="KK63" s="70">
        <v>239.44999999999993</v>
      </c>
      <c r="KL63" s="70">
        <v>238.62999999999991</v>
      </c>
      <c r="KM63" s="70">
        <v>237.80999999999992</v>
      </c>
      <c r="KN63" s="70">
        <v>236.98999999999992</v>
      </c>
      <c r="KO63" s="70">
        <v>236.16999999999993</v>
      </c>
      <c r="KP63" s="70">
        <v>235.34999999999991</v>
      </c>
      <c r="KQ63" s="70">
        <v>234.52999999999992</v>
      </c>
      <c r="KR63" s="70">
        <v>232.85000000000048</v>
      </c>
      <c r="KS63" s="70">
        <v>232.10000000000048</v>
      </c>
      <c r="KT63" s="70">
        <v>231.35000000000048</v>
      </c>
      <c r="KU63" s="70">
        <v>230.60000000000048</v>
      </c>
      <c r="KV63" s="70">
        <v>229.85000000000048</v>
      </c>
      <c r="KW63" s="70">
        <v>229.10000000000048</v>
      </c>
      <c r="KX63" s="70">
        <v>228.35000000000048</v>
      </c>
      <c r="KY63" s="70">
        <v>227.60000000000048</v>
      </c>
      <c r="KZ63" s="70">
        <v>226.85000000000048</v>
      </c>
      <c r="LA63" s="70">
        <v>226.10000000000048</v>
      </c>
      <c r="LB63" s="70">
        <v>225.35000000000048</v>
      </c>
      <c r="LC63" s="70">
        <v>224.60000000000048</v>
      </c>
      <c r="LD63" s="70">
        <v>223.85000000000048</v>
      </c>
      <c r="LE63" s="70">
        <v>223.10000000000048</v>
      </c>
      <c r="LF63" s="70">
        <v>222.35000000000048</v>
      </c>
      <c r="LG63" s="70">
        <v>221.60000000000048</v>
      </c>
      <c r="LH63" s="70">
        <v>220.85000000000048</v>
      </c>
      <c r="LI63" s="70">
        <v>220.10000000000048</v>
      </c>
      <c r="LJ63" s="70">
        <v>219.35000000000048</v>
      </c>
      <c r="LK63" s="70">
        <v>218.60000000000048</v>
      </c>
      <c r="LL63" s="70">
        <v>217.85000000000048</v>
      </c>
      <c r="LM63" s="70">
        <v>217.10000000000048</v>
      </c>
      <c r="LN63" s="70">
        <v>216.35000000000048</v>
      </c>
      <c r="LO63" s="70">
        <v>215.60000000000048</v>
      </c>
      <c r="LP63" s="70">
        <v>214.85000000000048</v>
      </c>
      <c r="LQ63" s="70">
        <v>214.10000000000048</v>
      </c>
      <c r="LR63" s="70">
        <v>213.35000000000048</v>
      </c>
      <c r="LS63" s="70">
        <v>212.60000000000048</v>
      </c>
      <c r="LT63" s="70">
        <v>211.85000000000048</v>
      </c>
      <c r="LU63" s="70">
        <v>211.10000000000048</v>
      </c>
      <c r="LV63" s="70">
        <v>210.35000000000048</v>
      </c>
      <c r="LW63" s="70">
        <v>209.60000000000048</v>
      </c>
      <c r="LX63" s="70">
        <v>208.85000000000048</v>
      </c>
      <c r="LY63" s="70">
        <v>208.10000000000048</v>
      </c>
      <c r="LZ63" s="70">
        <v>207.35000000000048</v>
      </c>
      <c r="MA63" s="70">
        <v>206.60000000000048</v>
      </c>
      <c r="MB63" s="70">
        <v>205.85000000000048</v>
      </c>
      <c r="MC63" s="70">
        <v>205.10000000000048</v>
      </c>
      <c r="MD63" s="70">
        <v>204.35000000000048</v>
      </c>
      <c r="ME63" s="70">
        <v>203.60000000000048</v>
      </c>
      <c r="MF63" s="70">
        <v>202.85000000000048</v>
      </c>
      <c r="MG63" s="70">
        <v>202.10000000000048</v>
      </c>
      <c r="MH63" s="70">
        <v>201.35000000000048</v>
      </c>
      <c r="MI63" s="70">
        <v>200.60000000000048</v>
      </c>
      <c r="MJ63" s="70">
        <v>199.85000000000048</v>
      </c>
      <c r="MK63" s="70">
        <v>199.10000000000048</v>
      </c>
      <c r="ML63" s="70">
        <v>198.35000000000048</v>
      </c>
      <c r="MM63" s="70">
        <v>197.60000000000048</v>
      </c>
      <c r="MN63" s="70">
        <v>196.85000000000048</v>
      </c>
      <c r="MO63" s="70">
        <v>196.10000000000048</v>
      </c>
      <c r="MP63" s="70">
        <v>195.35000000000048</v>
      </c>
      <c r="MQ63" s="70">
        <v>194.60000000000048</v>
      </c>
      <c r="MR63" s="70">
        <v>193.85000000000048</v>
      </c>
      <c r="MS63" s="70">
        <v>193.10000000000048</v>
      </c>
      <c r="MT63" s="70">
        <v>192.35000000000048</v>
      </c>
      <c r="MU63" s="70">
        <v>191.60000000000048</v>
      </c>
      <c r="MV63" s="70">
        <v>190.85000000000048</v>
      </c>
      <c r="MW63" s="70">
        <v>190.10000000000048</v>
      </c>
      <c r="MX63" s="70">
        <v>189.35000000000048</v>
      </c>
      <c r="MY63" s="70">
        <v>188.60000000000048</v>
      </c>
    </row>
    <row r="64" spans="1:363" ht="15.6" x14ac:dyDescent="0.3">
      <c r="A64" s="67" t="s">
        <v>7</v>
      </c>
      <c r="B64" s="72">
        <v>2074</v>
      </c>
      <c r="C64" s="247">
        <v>520.90557103781782</v>
      </c>
      <c r="D64" s="247">
        <v>519.87777861223503</v>
      </c>
      <c r="E64" s="247">
        <v>518.85000163990617</v>
      </c>
      <c r="F64" s="247">
        <v>517.82224097006917</v>
      </c>
      <c r="G64" s="247">
        <v>516.79449749014202</v>
      </c>
      <c r="H64" s="247">
        <v>515.76677207733348</v>
      </c>
      <c r="I64" s="247">
        <v>514.73906560210435</v>
      </c>
      <c r="J64" s="247">
        <v>513.71137891837361</v>
      </c>
      <c r="K64" s="247">
        <v>512.68371289760842</v>
      </c>
      <c r="L64" s="247">
        <v>511.65606842791897</v>
      </c>
      <c r="M64" s="247">
        <v>510.62844636164419</v>
      </c>
      <c r="N64" s="247">
        <v>509.60084758478064</v>
      </c>
      <c r="O64" s="247">
        <v>508.57327294984827</v>
      </c>
      <c r="P64" s="247">
        <v>507.54538891511129</v>
      </c>
      <c r="Q64" s="247">
        <v>506.5175183453033</v>
      </c>
      <c r="R64" s="247">
        <v>505.48966170164863</v>
      </c>
      <c r="S64" s="247">
        <v>504.46181948194339</v>
      </c>
      <c r="T64" s="247">
        <v>503.43399214974005</v>
      </c>
      <c r="U64" s="247">
        <v>502.40618018449089</v>
      </c>
      <c r="V64" s="247">
        <v>501.37838407981002</v>
      </c>
      <c r="W64" s="247">
        <v>500.35060429041283</v>
      </c>
      <c r="X64" s="247">
        <v>499.32284131596396</v>
      </c>
      <c r="Y64" s="247">
        <v>498.295095639333</v>
      </c>
      <c r="Z64" s="247">
        <v>497.26736773413916</v>
      </c>
      <c r="AA64" s="247">
        <v>496.2396581022407</v>
      </c>
      <c r="AB64" s="247">
        <v>495.21165198078864</v>
      </c>
      <c r="AC64" s="247">
        <v>494.18365324639302</v>
      </c>
      <c r="AD64" s="247">
        <v>493.15566203176837</v>
      </c>
      <c r="AE64" s="247">
        <v>492.12767851657429</v>
      </c>
      <c r="AF64" s="247">
        <v>491.09970283569146</v>
      </c>
      <c r="AG64" s="247">
        <v>490.07173517571511</v>
      </c>
      <c r="AH64" s="247">
        <v>489.04377566020275</v>
      </c>
      <c r="AI64" s="247">
        <v>488.01582449625948</v>
      </c>
      <c r="AJ64" s="247">
        <v>486.98788180482148</v>
      </c>
      <c r="AK64" s="247">
        <v>485.95994780980863</v>
      </c>
      <c r="AL64" s="247">
        <v>484.93202265141099</v>
      </c>
      <c r="AM64" s="247">
        <v>483.90410652374874</v>
      </c>
      <c r="AN64" s="247">
        <v>482.87697027170026</v>
      </c>
      <c r="AO64" s="247">
        <v>481.84983842899112</v>
      </c>
      <c r="AP64" s="247">
        <v>480.82271271644947</v>
      </c>
      <c r="AQ64" s="247">
        <v>479.79559478912415</v>
      </c>
      <c r="AR64" s="247">
        <v>478.76848632430892</v>
      </c>
      <c r="AS64" s="247">
        <v>477.74138902777611</v>
      </c>
      <c r="AT64" s="247">
        <v>476.71430453264651</v>
      </c>
      <c r="AU64" s="247">
        <v>475.68723450700224</v>
      </c>
      <c r="AV64" s="247">
        <v>474.66018059928604</v>
      </c>
      <c r="AW64" s="247">
        <v>473.63314446167499</v>
      </c>
      <c r="AX64" s="247">
        <v>472.60612774149195</v>
      </c>
      <c r="AY64" s="247">
        <v>471.57913207909712</v>
      </c>
      <c r="AZ64" s="247">
        <v>470.552936218095</v>
      </c>
      <c r="BA64" s="247">
        <v>469.52675551537675</v>
      </c>
      <c r="BB64" s="247">
        <v>468.50058895533658</v>
      </c>
      <c r="BC64" s="247">
        <v>467.47443551162547</v>
      </c>
      <c r="BD64" s="247">
        <v>466.44829417225537</v>
      </c>
      <c r="BE64" s="247">
        <v>465.42216393358962</v>
      </c>
      <c r="BF64" s="247">
        <v>464.39604381144653</v>
      </c>
      <c r="BG64" s="247">
        <v>463.36993282407326</v>
      </c>
      <c r="BH64" s="247">
        <v>462.34382999983859</v>
      </c>
      <c r="BI64" s="247">
        <v>461.31773437575026</v>
      </c>
      <c r="BJ64" s="247">
        <v>460.29164498909836</v>
      </c>
      <c r="BK64" s="247">
        <v>459.2655609242637</v>
      </c>
      <c r="BL64" s="247">
        <v>458.2415300462323</v>
      </c>
      <c r="BM64" s="247">
        <v>457.21750828751476</v>
      </c>
      <c r="BN64" s="247">
        <v>456.19350265335288</v>
      </c>
      <c r="BO64" s="247">
        <v>455.16952010917987</v>
      </c>
      <c r="BP64" s="247">
        <v>454.14556763232218</v>
      </c>
      <c r="BQ64" s="247">
        <v>453.12165212771453</v>
      </c>
      <c r="BR64" s="247">
        <v>452.09778044004565</v>
      </c>
      <c r="BS64" s="247">
        <v>451.07395939991579</v>
      </c>
      <c r="BT64" s="247">
        <v>450.05019576757979</v>
      </c>
      <c r="BU64" s="247">
        <v>449.02649632168374</v>
      </c>
      <c r="BV64" s="247">
        <v>448.00286775975729</v>
      </c>
      <c r="BW64" s="247">
        <v>446.97931672288757</v>
      </c>
      <c r="BX64" s="247">
        <v>445.95809605850712</v>
      </c>
      <c r="BY64" s="247">
        <v>444.93695959290579</v>
      </c>
      <c r="BZ64" s="247">
        <v>443.91590362221473</v>
      </c>
      <c r="CA64" s="247">
        <v>442.8949244331132</v>
      </c>
      <c r="CB64" s="247">
        <v>441.87401834380216</v>
      </c>
      <c r="CC64" s="247">
        <v>440.85318171029905</v>
      </c>
      <c r="CD64" s="247">
        <v>439.8324108983573</v>
      </c>
      <c r="CE64" s="247">
        <v>438.81170230506564</v>
      </c>
      <c r="CF64" s="247">
        <v>437.79105235348447</v>
      </c>
      <c r="CG64" s="247">
        <v>436.77045749265415</v>
      </c>
      <c r="CH64" s="247">
        <v>435.74991418609329</v>
      </c>
      <c r="CI64" s="247">
        <v>434.7294189378884</v>
      </c>
      <c r="CJ64" s="247">
        <v>433.71324013092885</v>
      </c>
      <c r="CK64" s="247">
        <v>432.69711744620952</v>
      </c>
      <c r="CL64" s="247">
        <v>431.68105422233748</v>
      </c>
      <c r="CM64" s="247">
        <v>430.6650537046105</v>
      </c>
      <c r="CN64" s="247">
        <v>429.6491191671131</v>
      </c>
      <c r="CO64" s="247">
        <v>428.63325384388833</v>
      </c>
      <c r="CP64" s="247">
        <v>427.617460958403</v>
      </c>
      <c r="CQ64" s="247">
        <v>426.60174370108683</v>
      </c>
      <c r="CR64" s="247">
        <v>425.58610523931776</v>
      </c>
      <c r="CS64" s="247">
        <v>424.57054876301709</v>
      </c>
      <c r="CT64" s="247">
        <v>423.55507739504463</v>
      </c>
      <c r="CU64" s="247">
        <v>422.53969426677008</v>
      </c>
      <c r="CV64" s="247">
        <v>421.5294669114781</v>
      </c>
      <c r="CW64" s="247">
        <v>420.51934733332899</v>
      </c>
      <c r="CX64" s="247">
        <v>419.50933631978364</v>
      </c>
      <c r="CY64" s="247">
        <v>418.49943467592323</v>
      </c>
      <c r="CZ64" s="247">
        <v>417.48964318764951</v>
      </c>
      <c r="DA64" s="247">
        <v>416.47996261391324</v>
      </c>
      <c r="DB64" s="247">
        <v>415.47039375496666</v>
      </c>
      <c r="DC64" s="247">
        <v>414.46093739087252</v>
      </c>
      <c r="DD64" s="247">
        <v>413.45159425935464</v>
      </c>
      <c r="DE64" s="247">
        <v>412.44236514232972</v>
      </c>
      <c r="DF64" s="247">
        <v>411.43325078052936</v>
      </c>
      <c r="DG64" s="247">
        <v>410.42425192552577</v>
      </c>
      <c r="DH64" s="247">
        <v>409.42141382664443</v>
      </c>
      <c r="DI64" s="247">
        <v>408.4187203473748</v>
      </c>
      <c r="DJ64" s="247">
        <v>407.41618026790491</v>
      </c>
      <c r="DK64" s="247">
        <v>406.41380238807585</v>
      </c>
      <c r="DL64" s="247">
        <v>405.41159538541427</v>
      </c>
      <c r="DM64" s="247">
        <v>404.40956794390877</v>
      </c>
      <c r="DN64" s="247">
        <v>403.40772859810033</v>
      </c>
      <c r="DO64" s="247">
        <v>402.40608593431654</v>
      </c>
      <c r="DP64" s="247">
        <v>401.40464837188262</v>
      </c>
      <c r="DQ64" s="247">
        <v>400.40342431984794</v>
      </c>
      <c r="DR64" s="247">
        <v>399.40242211824489</v>
      </c>
      <c r="DS64" s="247">
        <v>398.40165009684836</v>
      </c>
      <c r="DT64" s="247">
        <v>397.40842788261523</v>
      </c>
      <c r="DU64" s="247">
        <v>396.41549455254153</v>
      </c>
      <c r="DV64" s="247">
        <v>395.42286179904698</v>
      </c>
      <c r="DW64" s="247">
        <v>394.43054116443631</v>
      </c>
      <c r="DX64" s="247">
        <v>393.43854414244981</v>
      </c>
      <c r="DY64" s="247">
        <v>392.44688214949247</v>
      </c>
      <c r="DZ64" s="247">
        <v>391.45556650112519</v>
      </c>
      <c r="EA64" s="247">
        <v>390.46460846459911</v>
      </c>
      <c r="EB64" s="247">
        <v>389.47401920757346</v>
      </c>
      <c r="EC64" s="247">
        <v>388.48380980153098</v>
      </c>
      <c r="ED64" s="247">
        <v>387.49399124227017</v>
      </c>
      <c r="EE64" s="247">
        <v>386.50457445164687</v>
      </c>
      <c r="EF64" s="247">
        <v>385.52462674302717</v>
      </c>
      <c r="EG64" s="247">
        <v>384.54515233329676</v>
      </c>
      <c r="EH64" s="247">
        <v>383.56614558354977</v>
      </c>
      <c r="EI64" s="247">
        <v>382.58760104392138</v>
      </c>
      <c r="EJ64" s="247">
        <v>381.6095131702952</v>
      </c>
      <c r="EK64" s="247">
        <v>380.63187651529392</v>
      </c>
      <c r="EL64" s="247">
        <v>379.65468565218271</v>
      </c>
      <c r="EM64" s="247">
        <v>378.67793511079918</v>
      </c>
      <c r="EN64" s="247">
        <v>377.70161956532479</v>
      </c>
      <c r="EO64" s="247">
        <v>376.72573361748545</v>
      </c>
      <c r="EP64" s="247">
        <v>375.75027194194308</v>
      </c>
      <c r="EQ64" s="247">
        <v>374.7752292392189</v>
      </c>
      <c r="ER64" s="247">
        <v>373.8063956068292</v>
      </c>
      <c r="ES64" s="247">
        <v>372.83801210218343</v>
      </c>
      <c r="ET64" s="247">
        <v>371.8700867978427</v>
      </c>
      <c r="EU64" s="247">
        <v>370.90262793500153</v>
      </c>
      <c r="EV64" s="247">
        <v>369.93564349641639</v>
      </c>
      <c r="EW64" s="247">
        <v>368.96914151039221</v>
      </c>
      <c r="EX64" s="247">
        <v>368.00312989396741</v>
      </c>
      <c r="EY64" s="247">
        <v>367.03761651318456</v>
      </c>
      <c r="EZ64" s="247">
        <v>366.07260917615088</v>
      </c>
      <c r="FA64" s="247">
        <v>365.10811560958211</v>
      </c>
      <c r="FB64" s="247">
        <v>364.14414350931736</v>
      </c>
      <c r="FC64" s="247">
        <v>363.1807004910321</v>
      </c>
      <c r="FD64" s="247">
        <v>362.21849596444838</v>
      </c>
      <c r="FE64" s="247">
        <v>361.25682771449749</v>
      </c>
      <c r="FF64" s="247">
        <v>360.29570257790624</v>
      </c>
      <c r="FG64" s="247">
        <v>359.33512733215866</v>
      </c>
      <c r="FH64" s="247">
        <v>358.37510865571357</v>
      </c>
      <c r="FI64" s="247">
        <v>357.41565324855253</v>
      </c>
      <c r="FJ64" s="247">
        <v>356.45676770441196</v>
      </c>
      <c r="FK64" s="247">
        <v>355.49845856976287</v>
      </c>
      <c r="FL64" s="247">
        <v>354.54073233683687</v>
      </c>
      <c r="FM64" s="247">
        <v>353.583595420883</v>
      </c>
      <c r="FN64" s="247">
        <v>352.62705420932451</v>
      </c>
      <c r="FO64" s="247">
        <v>351.67111501383397</v>
      </c>
      <c r="FP64" s="247">
        <v>350.71648984252352</v>
      </c>
      <c r="FQ64" s="247">
        <v>349.76247273581947</v>
      </c>
      <c r="FR64" s="247">
        <v>348.80907058134858</v>
      </c>
      <c r="FS64" s="247">
        <v>347.85629029717637</v>
      </c>
      <c r="FT64" s="247">
        <v>346.90413864775314</v>
      </c>
      <c r="FU64" s="247">
        <v>345.95262240976973</v>
      </c>
      <c r="FV64" s="247">
        <v>345.00174829566072</v>
      </c>
      <c r="FW64" s="247">
        <v>344.0515228912974</v>
      </c>
      <c r="FX64" s="247">
        <v>343.10195281663738</v>
      </c>
      <c r="FY64" s="247">
        <v>342.15304453627783</v>
      </c>
      <c r="FZ64" s="247">
        <v>341.20480457399617</v>
      </c>
      <c r="GA64" s="247">
        <v>340.25723932333949</v>
      </c>
      <c r="GB64" s="247">
        <v>339.31106716872688</v>
      </c>
      <c r="GC64" s="247">
        <v>338.36559091348511</v>
      </c>
      <c r="GD64" s="247">
        <v>337.42083245608148</v>
      </c>
      <c r="GE64" s="247">
        <v>336.47681359212493</v>
      </c>
      <c r="GF64" s="247">
        <v>335.53355588268067</v>
      </c>
      <c r="GG64" s="247">
        <v>334.59108079210085</v>
      </c>
      <c r="GH64" s="247">
        <v>333.64940961366784</v>
      </c>
      <c r="GI64" s="247">
        <v>332.70856350195413</v>
      </c>
      <c r="GJ64" s="247">
        <v>331.76856344351768</v>
      </c>
      <c r="GK64" s="247">
        <v>330.82943025792491</v>
      </c>
      <c r="GL64" s="247">
        <v>329.89118462209444</v>
      </c>
      <c r="GM64" s="247">
        <v>328.95384709318449</v>
      </c>
      <c r="GN64" s="247">
        <v>328.01814759181605</v>
      </c>
      <c r="GO64" s="247">
        <v>327.08336531966341</v>
      </c>
      <c r="GP64" s="247">
        <v>326.14949627296056</v>
      </c>
      <c r="GQ64" s="247">
        <v>325.21653645459526</v>
      </c>
      <c r="GR64" s="247">
        <v>324.28448188209222</v>
      </c>
      <c r="GS64" s="247">
        <v>323.35332856310424</v>
      </c>
      <c r="GT64" s="247">
        <v>322.42307253571317</v>
      </c>
      <c r="GU64" s="247">
        <v>321.49370987723023</v>
      </c>
      <c r="GV64" s="247">
        <v>320.56523660831084</v>
      </c>
      <c r="GW64" s="247">
        <v>319.63764880542891</v>
      </c>
      <c r="GX64" s="247">
        <v>318.7109425572022</v>
      </c>
      <c r="GY64" s="247">
        <v>317.78511400854268</v>
      </c>
      <c r="GZ64" s="247">
        <v>316.86088220846483</v>
      </c>
      <c r="HA64" s="247">
        <v>315.93754195485144</v>
      </c>
      <c r="HB64" s="247">
        <v>315.0151181804643</v>
      </c>
      <c r="HC64" s="247">
        <v>314.09363551019999</v>
      </c>
      <c r="HD64" s="247">
        <v>313.17311846659641</v>
      </c>
      <c r="HE64" s="247">
        <v>312.25359138032286</v>
      </c>
      <c r="HF64" s="247">
        <v>311.33507847257749</v>
      </c>
      <c r="HG64" s="247">
        <v>310.4176037126565</v>
      </c>
      <c r="HH64" s="247">
        <v>309.50119098422289</v>
      </c>
      <c r="HI64" s="247">
        <v>308.58586400003202</v>
      </c>
      <c r="HJ64" s="247">
        <v>307.67164623895724</v>
      </c>
      <c r="HK64" s="247">
        <v>306.7585611177974</v>
      </c>
      <c r="HL64" s="247">
        <v>305.84734733679767</v>
      </c>
      <c r="HM64" s="247">
        <v>304.93725943489079</v>
      </c>
      <c r="HN64" s="247">
        <v>304.02827472376373</v>
      </c>
      <c r="HO64" s="247">
        <v>303.12037068994607</v>
      </c>
      <c r="HP64" s="247">
        <v>302.21352489789143</v>
      </c>
      <c r="HQ64" s="247">
        <v>301.30771511344034</v>
      </c>
      <c r="HR64" s="247">
        <v>300.40291915234883</v>
      </c>
      <c r="HS64" s="247">
        <v>299.4991149933889</v>
      </c>
      <c r="HT64" s="247">
        <v>298.59628075077205</v>
      </c>
      <c r="HU64" s="247">
        <v>297.69439463326933</v>
      </c>
      <c r="HV64" s="247">
        <v>296.79343500679181</v>
      </c>
      <c r="HW64" s="247">
        <v>295.89338029208113</v>
      </c>
      <c r="HX64" s="247">
        <v>294.99494287181176</v>
      </c>
      <c r="HY64" s="247">
        <v>294.09739118558542</v>
      </c>
      <c r="HZ64" s="247">
        <v>293.20073453004858</v>
      </c>
      <c r="IA64" s="247">
        <v>292.30498214083889</v>
      </c>
      <c r="IB64" s="247">
        <v>291.41014318056079</v>
      </c>
      <c r="IC64" s="247">
        <v>290.51622673687621</v>
      </c>
      <c r="ID64" s="247">
        <v>289.62324187788494</v>
      </c>
      <c r="IE64" s="247">
        <v>288.73119756003206</v>
      </c>
      <c r="IF64" s="247">
        <v>287.84010268221715</v>
      </c>
      <c r="IG64" s="247">
        <v>286.9499660862038</v>
      </c>
      <c r="IH64" s="247">
        <v>286.06079655721049</v>
      </c>
      <c r="II64" s="247">
        <v>285.17260282425366</v>
      </c>
      <c r="IJ64" s="247">
        <v>284.28613017289894</v>
      </c>
      <c r="IK64" s="247">
        <v>283.40065519896729</v>
      </c>
      <c r="IL64" s="247">
        <v>282.51619818270296</v>
      </c>
      <c r="IM64" s="247">
        <v>281.6327791936522</v>
      </c>
      <c r="IN64" s="247">
        <v>280.75041821694185</v>
      </c>
      <c r="IO64" s="247">
        <v>279.86913518966395</v>
      </c>
      <c r="IP64" s="247">
        <v>278.98894982046011</v>
      </c>
      <c r="IQ64" s="247">
        <v>278.10988171511377</v>
      </c>
      <c r="IR64" s="247">
        <v>277.23195044713759</v>
      </c>
      <c r="IS64" s="247">
        <v>276.35517540347388</v>
      </c>
      <c r="IT64" s="247">
        <v>275.47957586252903</v>
      </c>
      <c r="IU64" s="247">
        <v>274.60517099446889</v>
      </c>
      <c r="IV64" s="247">
        <v>273.73271349868241</v>
      </c>
      <c r="IW64" s="247">
        <v>272.86143541546778</v>
      </c>
      <c r="IX64" s="247">
        <v>271.9913096178106</v>
      </c>
      <c r="IY64" s="247">
        <v>271.12230916462806</v>
      </c>
      <c r="IZ64" s="247">
        <v>270.25440719618524</v>
      </c>
      <c r="JA64" s="247">
        <v>269.38757708275472</v>
      </c>
      <c r="JB64" s="247">
        <v>268.5217922682221</v>
      </c>
      <c r="JC64" s="247">
        <v>267.65702637287643</v>
      </c>
      <c r="JD64" s="247">
        <v>266.79325316841857</v>
      </c>
      <c r="JE64" s="247">
        <v>265.93044650355449</v>
      </c>
      <c r="JF64" s="247">
        <v>265.06858041633495</v>
      </c>
      <c r="JG64" s="247">
        <v>264.2076290972235</v>
      </c>
      <c r="JH64" s="247">
        <v>263.34832117876732</v>
      </c>
      <c r="JI64" s="247">
        <v>262.48990373816792</v>
      </c>
      <c r="JJ64" s="247">
        <v>261.63238532988987</v>
      </c>
      <c r="JK64" s="247">
        <v>260.77577435271064</v>
      </c>
      <c r="JL64" s="247">
        <v>259.92007922168312</v>
      </c>
      <c r="JM64" s="247">
        <v>259.06530823985963</v>
      </c>
      <c r="JN64" s="247">
        <v>258.21146971774431</v>
      </c>
      <c r="JO64" s="247">
        <v>257.35857182072107</v>
      </c>
      <c r="JP64" s="247">
        <v>256.5066229205795</v>
      </c>
      <c r="JQ64" s="247">
        <v>255.65563088016697</v>
      </c>
      <c r="JR64" s="247">
        <v>254.80560394640042</v>
      </c>
      <c r="JS64" s="247">
        <v>253.95655021486687</v>
      </c>
      <c r="JT64" s="247">
        <v>253.1092308198314</v>
      </c>
      <c r="JU64" s="247">
        <v>252.26287198652298</v>
      </c>
      <c r="JV64" s="247">
        <v>251.41746022218334</v>
      </c>
      <c r="JW64" s="247">
        <v>250.57298224950071</v>
      </c>
      <c r="JX64" s="247">
        <v>249.72942466636124</v>
      </c>
      <c r="JY64" s="247">
        <v>248.88677429270888</v>
      </c>
      <c r="JZ64" s="247">
        <v>248.04501798973359</v>
      </c>
      <c r="KA64" s="247">
        <v>247.2041424969284</v>
      </c>
      <c r="KB64" s="247">
        <v>246.36413477268729</v>
      </c>
      <c r="KC64" s="247">
        <v>245.52498181718661</v>
      </c>
      <c r="KD64" s="247">
        <v>244.68667067857135</v>
      </c>
      <c r="KE64" s="247">
        <v>243.84918828098679</v>
      </c>
      <c r="KF64" s="247">
        <v>243.01330113900906</v>
      </c>
      <c r="KG64" s="247">
        <v>242.17829149169583</v>
      </c>
      <c r="KH64" s="247">
        <v>241.34422760882973</v>
      </c>
      <c r="KI64" s="247">
        <v>240.51117751500487</v>
      </c>
      <c r="KJ64" s="247">
        <v>239.67920866086436</v>
      </c>
      <c r="KK64" s="247">
        <v>238.84838825723654</v>
      </c>
      <c r="KL64" s="247">
        <v>238.01878326556115</v>
      </c>
      <c r="KM64" s="247">
        <v>237.19046040380559</v>
      </c>
      <c r="KN64" s="247">
        <v>236.36348597734121</v>
      </c>
      <c r="KO64" s="247">
        <v>235.53792603808293</v>
      </c>
      <c r="KP64" s="247">
        <v>234.713846225835</v>
      </c>
      <c r="KQ64" s="247">
        <v>233.89131225396636</v>
      </c>
      <c r="KR64" s="247">
        <v>233.07114541934453</v>
      </c>
      <c r="KS64" s="247">
        <v>232.25253383446159</v>
      </c>
      <c r="KT64" s="247">
        <v>231.43542889024255</v>
      </c>
      <c r="KU64" s="247">
        <v>230.61978217680326</v>
      </c>
      <c r="KV64" s="247">
        <v>229.80554564904301</v>
      </c>
      <c r="KW64" s="247">
        <v>228.99267130760938</v>
      </c>
      <c r="KX64" s="247">
        <v>228.18111166996388</v>
      </c>
      <c r="KY64" s="247">
        <v>227.37081929977705</v>
      </c>
      <c r="KZ64" s="247">
        <v>226.56174696313983</v>
      </c>
      <c r="LA64" s="247">
        <v>225.75384778141733</v>
      </c>
      <c r="LB64" s="247">
        <v>224.9470749216899</v>
      </c>
      <c r="LC64" s="247">
        <v>224.14138175418776</v>
      </c>
      <c r="LD64" s="247">
        <v>223.32113776816996</v>
      </c>
      <c r="LE64" s="247">
        <v>222.50185674916148</v>
      </c>
      <c r="LF64" s="247">
        <v>221.68356214035265</v>
      </c>
      <c r="LG64" s="247">
        <v>220.86627732010581</v>
      </c>
      <c r="LH64" s="247">
        <v>220.05002546432968</v>
      </c>
      <c r="LI64" s="247">
        <v>219.2348298302106</v>
      </c>
      <c r="LJ64" s="247">
        <v>218.42071360600735</v>
      </c>
      <c r="LK64" s="247">
        <v>217.60769963355384</v>
      </c>
      <c r="LL64" s="247">
        <v>216.79581096813251</v>
      </c>
      <c r="LM64" s="247">
        <v>215.98507058969443</v>
      </c>
      <c r="LN64" s="247">
        <v>215.17550112654993</v>
      </c>
      <c r="LO64" s="247">
        <v>214.36712541185253</v>
      </c>
      <c r="LP64" s="247">
        <v>213.56089622317944</v>
      </c>
      <c r="LQ64" s="247">
        <v>212.75587778539514</v>
      </c>
      <c r="LR64" s="247">
        <v>211.95207053952191</v>
      </c>
      <c r="LS64" s="247">
        <v>211.14947492921624</v>
      </c>
      <c r="LT64" s="247">
        <v>210.34809154167996</v>
      </c>
      <c r="LU64" s="247">
        <v>209.54792097122024</v>
      </c>
      <c r="LV64" s="247">
        <v>208.74896381225156</v>
      </c>
      <c r="LW64" s="247">
        <v>207.9512206624878</v>
      </c>
      <c r="LX64" s="247">
        <v>207.15469225639902</v>
      </c>
      <c r="LY64" s="247">
        <v>206.35937918991277</v>
      </c>
      <c r="LZ64" s="247">
        <v>205.56528232231182</v>
      </c>
      <c r="MA64" s="247">
        <v>204.7724022448852</v>
      </c>
      <c r="MB64" s="247">
        <v>203.96447272400241</v>
      </c>
      <c r="MC64" s="247">
        <v>203.15765155429034</v>
      </c>
      <c r="MD64" s="247">
        <v>202.35193821261689</v>
      </c>
      <c r="ME64" s="247">
        <v>201.54733215991047</v>
      </c>
      <c r="MF64" s="247">
        <v>200.74383308825196</v>
      </c>
      <c r="MG64" s="247">
        <v>199.94144055705948</v>
      </c>
      <c r="MH64" s="247">
        <v>199.14015410749784</v>
      </c>
      <c r="MI64" s="247">
        <v>198.33997350417636</v>
      </c>
      <c r="MJ64" s="247">
        <v>197.54089837569853</v>
      </c>
      <c r="MK64" s="247">
        <v>196.74292844483304</v>
      </c>
      <c r="ML64" s="247">
        <v>195.94606353032071</v>
      </c>
      <c r="MM64" s="247">
        <v>195.15030342687851</v>
      </c>
      <c r="MN64" s="247">
        <v>194.35674046804553</v>
      </c>
      <c r="MO64" s="247">
        <v>193.56427181597766</v>
      </c>
      <c r="MP64" s="247">
        <v>192.772892510893</v>
      </c>
      <c r="MQ64" s="247">
        <v>191.98259749125441</v>
      </c>
      <c r="MR64" s="247">
        <v>191.19338206263703</v>
      </c>
      <c r="MS64" s="247">
        <v>190.40524131765835</v>
      </c>
      <c r="MT64" s="247">
        <v>189.61817047490115</v>
      </c>
      <c r="MU64" s="247">
        <v>188.83216488197041</v>
      </c>
      <c r="MV64" s="247">
        <v>188.04721978518788</v>
      </c>
      <c r="MW64" s="247">
        <v>187.26333043713871</v>
      </c>
      <c r="MX64" s="247">
        <v>186.48049243642103</v>
      </c>
      <c r="MY64" s="247">
        <v>185.69870105051956</v>
      </c>
    </row>
    <row r="65" spans="1:363" ht="15.6" x14ac:dyDescent="0.3">
      <c r="A65" s="67" t="s">
        <v>7</v>
      </c>
      <c r="B65" s="72">
        <v>2075</v>
      </c>
      <c r="C65" s="247">
        <v>521.41434075078143</v>
      </c>
      <c r="D65" s="247">
        <v>520.38646904839493</v>
      </c>
      <c r="E65" s="247">
        <v>519.3586119845387</v>
      </c>
      <c r="F65" s="247">
        <v>518.33077040425587</v>
      </c>
      <c r="G65" s="247">
        <v>517.3029451901624</v>
      </c>
      <c r="H65" s="247">
        <v>516.27513721495905</v>
      </c>
      <c r="I65" s="247">
        <v>515.24734734473907</v>
      </c>
      <c r="J65" s="247">
        <v>514.21957642932512</v>
      </c>
      <c r="K65" s="247">
        <v>513.191825335977</v>
      </c>
      <c r="L65" s="247">
        <v>512.16409494839854</v>
      </c>
      <c r="M65" s="247">
        <v>511.13638611513733</v>
      </c>
      <c r="N65" s="247">
        <v>510.10869971798348</v>
      </c>
      <c r="O65" s="247">
        <v>509.08103660585664</v>
      </c>
      <c r="P65" s="247">
        <v>508.05305916519961</v>
      </c>
      <c r="Q65" s="247">
        <v>507.02509433143183</v>
      </c>
      <c r="R65" s="247">
        <v>505.99714256760814</v>
      </c>
      <c r="S65" s="247">
        <v>504.96920437270137</v>
      </c>
      <c r="T65" s="247">
        <v>503.94128021214919</v>
      </c>
      <c r="U65" s="247">
        <v>502.91337056706789</v>
      </c>
      <c r="V65" s="247">
        <v>501.88547593252957</v>
      </c>
      <c r="W65" s="247">
        <v>500.85759676548264</v>
      </c>
      <c r="X65" s="247">
        <v>499.82973356716315</v>
      </c>
      <c r="Y65" s="247">
        <v>498.80188682235428</v>
      </c>
      <c r="Z65" s="247">
        <v>497.7740570068292</v>
      </c>
      <c r="AA65" s="247">
        <v>496.74624462425061</v>
      </c>
      <c r="AB65" s="247">
        <v>495.71813163445518</v>
      </c>
      <c r="AC65" s="247">
        <v>494.69002520451323</v>
      </c>
      <c r="AD65" s="247">
        <v>493.66192547471024</v>
      </c>
      <c r="AE65" s="247">
        <v>492.63383263141083</v>
      </c>
      <c r="AF65" s="247">
        <v>491.60574681712239</v>
      </c>
      <c r="AG65" s="247">
        <v>490.57766822521739</v>
      </c>
      <c r="AH65" s="247">
        <v>489.54959698712827</v>
      </c>
      <c r="AI65" s="247">
        <v>488.52153331655865</v>
      </c>
      <c r="AJ65" s="247">
        <v>487.49347734257731</v>
      </c>
      <c r="AK65" s="247">
        <v>486.46542929555341</v>
      </c>
      <c r="AL65" s="247">
        <v>485.43738932364727</v>
      </c>
      <c r="AM65" s="247">
        <v>484.40935762813115</v>
      </c>
      <c r="AN65" s="247">
        <v>483.38209825481431</v>
      </c>
      <c r="AO65" s="247">
        <v>482.35484251434428</v>
      </c>
      <c r="AP65" s="247">
        <v>481.3275921081883</v>
      </c>
      <c r="AQ65" s="247">
        <v>480.30034867309485</v>
      </c>
      <c r="AR65" s="247">
        <v>479.27311386784709</v>
      </c>
      <c r="AS65" s="247">
        <v>478.24588937925739</v>
      </c>
      <c r="AT65" s="247">
        <v>477.21867682275939</v>
      </c>
      <c r="AU65" s="247">
        <v>476.19147784830284</v>
      </c>
      <c r="AV65" s="247">
        <v>475.16429408660889</v>
      </c>
      <c r="AW65" s="247">
        <v>474.13712717214997</v>
      </c>
      <c r="AX65" s="247">
        <v>473.1099787347211</v>
      </c>
      <c r="AY65" s="247">
        <v>472.08285039739133</v>
      </c>
      <c r="AZ65" s="247">
        <v>471.05651401980685</v>
      </c>
      <c r="BA65" s="247">
        <v>470.03019184231312</v>
      </c>
      <c r="BB65" s="247">
        <v>469.0038828764296</v>
      </c>
      <c r="BC65" s="247">
        <v>467.97758612303716</v>
      </c>
      <c r="BD65" s="247">
        <v>466.95130059729217</v>
      </c>
      <c r="BE65" s="247">
        <v>465.92502532258243</v>
      </c>
      <c r="BF65" s="247">
        <v>464.89875934143379</v>
      </c>
      <c r="BG65" s="247">
        <v>463.87250169890416</v>
      </c>
      <c r="BH65" s="247">
        <v>462.8462514500597</v>
      </c>
      <c r="BI65" s="247">
        <v>461.82000765851427</v>
      </c>
      <c r="BJ65" s="247">
        <v>460.79376938825538</v>
      </c>
      <c r="BK65" s="247">
        <v>459.76753574964908</v>
      </c>
      <c r="BL65" s="247">
        <v>458.74334394373574</v>
      </c>
      <c r="BM65" s="247">
        <v>457.71916046852476</v>
      </c>
      <c r="BN65" s="247">
        <v>456.69499222706577</v>
      </c>
      <c r="BO65" s="247">
        <v>455.67084608320442</v>
      </c>
      <c r="BP65" s="247">
        <v>454.64672891268953</v>
      </c>
      <c r="BQ65" s="247">
        <v>453.62264752009457</v>
      </c>
      <c r="BR65" s="247">
        <v>452.59860865077218</v>
      </c>
      <c r="BS65" s="247">
        <v>451.57461903639</v>
      </c>
      <c r="BT65" s="247">
        <v>450.55068533949094</v>
      </c>
      <c r="BU65" s="247">
        <v>449.52681424082255</v>
      </c>
      <c r="BV65" s="247">
        <v>448.50301234143683</v>
      </c>
      <c r="BW65" s="247">
        <v>447.47928618697779</v>
      </c>
      <c r="BX65" s="247">
        <v>446.45787898715804</v>
      </c>
      <c r="BY65" s="247">
        <v>445.43655414737015</v>
      </c>
      <c r="BZ65" s="247">
        <v>444.41530802787389</v>
      </c>
      <c r="CA65" s="247">
        <v>443.39413697954041</v>
      </c>
      <c r="CB65" s="247">
        <v>442.37303738441955</v>
      </c>
      <c r="CC65" s="247">
        <v>441.35200566182181</v>
      </c>
      <c r="CD65" s="247">
        <v>440.33103824064477</v>
      </c>
      <c r="CE65" s="247">
        <v>439.3101315807732</v>
      </c>
      <c r="CF65" s="247">
        <v>438.28928216771169</v>
      </c>
      <c r="CG65" s="247">
        <v>437.26848651259604</v>
      </c>
      <c r="CH65" s="247">
        <v>436.24774114090116</v>
      </c>
      <c r="CI65" s="247">
        <v>435.22704261812731</v>
      </c>
      <c r="CJ65" s="247">
        <v>434.21065158758472</v>
      </c>
      <c r="CK65" s="247">
        <v>433.19431548719427</v>
      </c>
      <c r="CL65" s="247">
        <v>432.17803762025613</v>
      </c>
      <c r="CM65" s="247">
        <v>431.16182119793064</v>
      </c>
      <c r="CN65" s="247">
        <v>430.14566945995699</v>
      </c>
      <c r="CO65" s="247">
        <v>429.12958560658734</v>
      </c>
      <c r="CP65" s="247">
        <v>428.11357282768728</v>
      </c>
      <c r="CQ65" s="247">
        <v>427.09763428064076</v>
      </c>
      <c r="CR65" s="247">
        <v>426.08177310016504</v>
      </c>
      <c r="CS65" s="247">
        <v>425.06599244329999</v>
      </c>
      <c r="CT65" s="247">
        <v>424.0502954009927</v>
      </c>
      <c r="CU65" s="247">
        <v>423.03468507269741</v>
      </c>
      <c r="CV65" s="247">
        <v>422.02423022620161</v>
      </c>
      <c r="CW65" s="247">
        <v>421.01388163465981</v>
      </c>
      <c r="CX65" s="247">
        <v>420.00364008358969</v>
      </c>
      <c r="CY65" s="247">
        <v>418.99350637591789</v>
      </c>
      <c r="CZ65" s="247">
        <v>417.9834812957227</v>
      </c>
      <c r="DA65" s="247">
        <v>416.97356560046234</v>
      </c>
      <c r="DB65" s="247">
        <v>415.96376008847835</v>
      </c>
      <c r="DC65" s="247">
        <v>414.95406553826018</v>
      </c>
      <c r="DD65" s="247">
        <v>413.94448268647261</v>
      </c>
      <c r="DE65" s="247">
        <v>412.93501231356288</v>
      </c>
      <c r="DF65" s="247">
        <v>411.92565515931869</v>
      </c>
      <c r="DG65" s="247">
        <v>410.91641197433893</v>
      </c>
      <c r="DH65" s="247">
        <v>409.91334240951886</v>
      </c>
      <c r="DI65" s="247">
        <v>408.91041595512331</v>
      </c>
      <c r="DJ65" s="247">
        <v>407.90764131952352</v>
      </c>
      <c r="DK65" s="247">
        <v>406.90502723062468</v>
      </c>
      <c r="DL65" s="247">
        <v>405.90258229525608</v>
      </c>
      <c r="DM65" s="247">
        <v>404.900315126745</v>
      </c>
      <c r="DN65" s="247">
        <v>403.89823419037532</v>
      </c>
      <c r="DO65" s="247">
        <v>402.89634800291418</v>
      </c>
      <c r="DP65" s="247">
        <v>401.89466491570931</v>
      </c>
      <c r="DQ65" s="247">
        <v>400.8931932700346</v>
      </c>
      <c r="DR65" s="247">
        <v>399.89194133888429</v>
      </c>
      <c r="DS65" s="247">
        <v>398.89091738521847</v>
      </c>
      <c r="DT65" s="247">
        <v>397.89747446399423</v>
      </c>
      <c r="DU65" s="247">
        <v>396.90431835893617</v>
      </c>
      <c r="DV65" s="247">
        <v>395.9114606880795</v>
      </c>
      <c r="DW65" s="247">
        <v>394.91891292044392</v>
      </c>
      <c r="DX65" s="247">
        <v>393.92668647699742</v>
      </c>
      <c r="DY65" s="247">
        <v>392.93479270201118</v>
      </c>
      <c r="DZ65" s="247">
        <v>391.94324283971514</v>
      </c>
      <c r="EA65" s="247">
        <v>390.95204808652011</v>
      </c>
      <c r="EB65" s="247">
        <v>389.96121954006054</v>
      </c>
      <c r="EC65" s="247">
        <v>388.97076820257161</v>
      </c>
      <c r="ED65" s="247">
        <v>387.98070500127471</v>
      </c>
      <c r="EE65" s="247">
        <v>386.99104079009066</v>
      </c>
      <c r="EF65" s="247">
        <v>386.01090473410085</v>
      </c>
      <c r="EG65" s="247">
        <v>385.03123975922665</v>
      </c>
      <c r="EH65" s="247">
        <v>384.05204025773588</v>
      </c>
      <c r="EI65" s="247">
        <v>383.07330081003238</v>
      </c>
      <c r="EJ65" s="247">
        <v>382.09501590276261</v>
      </c>
      <c r="EK65" s="247">
        <v>381.11718011886387</v>
      </c>
      <c r="EL65" s="247">
        <v>380.13978806182575</v>
      </c>
      <c r="EM65" s="247">
        <v>379.16283429195494</v>
      </c>
      <c r="EN65" s="247">
        <v>378.18631351325234</v>
      </c>
      <c r="EO65" s="247">
        <v>377.21022035761854</v>
      </c>
      <c r="EP65" s="247">
        <v>376.23454952958934</v>
      </c>
      <c r="EQ65" s="247">
        <v>375.25929575946674</v>
      </c>
      <c r="ER65" s="247">
        <v>374.29029456688482</v>
      </c>
      <c r="ES65" s="247">
        <v>373.32174194901563</v>
      </c>
      <c r="ET65" s="247">
        <v>372.35364595242419</v>
      </c>
      <c r="EU65" s="247">
        <v>371.38601479179329</v>
      </c>
      <c r="EV65" s="247">
        <v>370.41885642448005</v>
      </c>
      <c r="EW65" s="247">
        <v>369.4521788533479</v>
      </c>
      <c r="EX65" s="247">
        <v>368.4859899705279</v>
      </c>
      <c r="EY65" s="247">
        <v>367.52029761748656</v>
      </c>
      <c r="EZ65" s="247">
        <v>366.55510957811885</v>
      </c>
      <c r="FA65" s="247">
        <v>365.59043355534942</v>
      </c>
      <c r="FB65" s="247">
        <v>364.62627722148437</v>
      </c>
      <c r="FC65" s="247">
        <v>363.66264816911541</v>
      </c>
      <c r="FD65" s="247">
        <v>362.7002540931116</v>
      </c>
      <c r="FE65" s="247">
        <v>361.73839447000375</v>
      </c>
      <c r="FF65" s="247">
        <v>360.77707611602131</v>
      </c>
      <c r="FG65" s="247">
        <v>359.81630578847285</v>
      </c>
      <c r="FH65" s="247">
        <v>358.85609014615409</v>
      </c>
      <c r="FI65" s="247">
        <v>357.89643586942293</v>
      </c>
      <c r="FJ65" s="247">
        <v>356.9373495328939</v>
      </c>
      <c r="FK65" s="247">
        <v>355.97883766423189</v>
      </c>
      <c r="FL65" s="247">
        <v>355.02090673718965</v>
      </c>
      <c r="FM65" s="247">
        <v>354.06356314894771</v>
      </c>
      <c r="FN65" s="247">
        <v>353.10681326909196</v>
      </c>
      <c r="FO65" s="247">
        <v>352.15066339188144</v>
      </c>
      <c r="FP65" s="247">
        <v>351.19582383141136</v>
      </c>
      <c r="FQ65" s="247">
        <v>350.24159030484532</v>
      </c>
      <c r="FR65" s="247">
        <v>349.28796968000711</v>
      </c>
      <c r="FS65" s="247">
        <v>348.33496885515876</v>
      </c>
      <c r="FT65" s="247">
        <v>347.3825945756609</v>
      </c>
      <c r="FU65" s="247">
        <v>346.43085359918285</v>
      </c>
      <c r="FV65" s="247">
        <v>345.47975261949881</v>
      </c>
      <c r="FW65" s="247">
        <v>344.52929820441591</v>
      </c>
      <c r="FX65" s="247">
        <v>343.57949695584347</v>
      </c>
      <c r="FY65" s="247">
        <v>342.6303553210164</v>
      </c>
      <c r="FZ65" s="247">
        <v>341.68187980628392</v>
      </c>
      <c r="GA65" s="247">
        <v>340.73407678837253</v>
      </c>
      <c r="GB65" s="247">
        <v>339.78766296426102</v>
      </c>
      <c r="GC65" s="247">
        <v>338.84194275472538</v>
      </c>
      <c r="GD65" s="247">
        <v>337.89693798540259</v>
      </c>
      <c r="GE65" s="247">
        <v>336.95267037967557</v>
      </c>
      <c r="GF65" s="247">
        <v>336.00916142751652</v>
      </c>
      <c r="GG65" s="247">
        <v>335.06643252277769</v>
      </c>
      <c r="GH65" s="247">
        <v>334.12450488910457</v>
      </c>
      <c r="GI65" s="247">
        <v>333.18339961219743</v>
      </c>
      <c r="GJ65" s="247">
        <v>332.24313761060785</v>
      </c>
      <c r="GK65" s="247">
        <v>331.3037396367427</v>
      </c>
      <c r="GL65" s="247">
        <v>330.36522630113291</v>
      </c>
      <c r="GM65" s="247">
        <v>329.42761809524291</v>
      </c>
      <c r="GN65" s="247">
        <v>328.49164324070381</v>
      </c>
      <c r="GO65" s="247">
        <v>327.55658261531391</v>
      </c>
      <c r="GP65" s="247">
        <v>326.62243223699795</v>
      </c>
      <c r="GQ65" s="247">
        <v>325.68918813032752</v>
      </c>
      <c r="GR65" s="247">
        <v>324.75684633451709</v>
      </c>
      <c r="GS65" s="247">
        <v>323.8254028789728</v>
      </c>
      <c r="GT65" s="247">
        <v>322.89485382345231</v>
      </c>
      <c r="GU65" s="247">
        <v>321.96519526685319</v>
      </c>
      <c r="GV65" s="247">
        <v>321.0364232516651</v>
      </c>
      <c r="GW65" s="247">
        <v>320.10853387603328</v>
      </c>
      <c r="GX65" s="247">
        <v>319.18152325025937</v>
      </c>
      <c r="GY65" s="247">
        <v>318.25538754079633</v>
      </c>
      <c r="GZ65" s="247">
        <v>317.33084416326244</v>
      </c>
      <c r="HA65" s="247">
        <v>316.40718951016248</v>
      </c>
      <c r="HB65" s="247">
        <v>315.48444843400443</v>
      </c>
      <c r="HC65" s="247">
        <v>314.56264548078144</v>
      </c>
      <c r="HD65" s="247">
        <v>313.64180509479098</v>
      </c>
      <c r="HE65" s="247">
        <v>312.72195152941168</v>
      </c>
      <c r="HF65" s="247">
        <v>311.8031089292017</v>
      </c>
      <c r="HG65" s="247">
        <v>310.88530118799218</v>
      </c>
      <c r="HH65" s="247">
        <v>309.96855211456165</v>
      </c>
      <c r="HI65" s="247">
        <v>309.05288534764816</v>
      </c>
      <c r="HJ65" s="247">
        <v>308.13832429320593</v>
      </c>
      <c r="HK65" s="247">
        <v>307.22489229561239</v>
      </c>
      <c r="HL65" s="247">
        <v>306.31332637985014</v>
      </c>
      <c r="HM65" s="247">
        <v>305.40288279704805</v>
      </c>
      <c r="HN65" s="247">
        <v>304.49353894685709</v>
      </c>
      <c r="HO65" s="247">
        <v>303.58527240301254</v>
      </c>
      <c r="HP65" s="247">
        <v>302.67806081681317</v>
      </c>
      <c r="HQ65" s="247">
        <v>301.77188204010724</v>
      </c>
      <c r="HR65" s="247">
        <v>300.86671397436658</v>
      </c>
      <c r="HS65" s="247">
        <v>299.96253468341098</v>
      </c>
      <c r="HT65" s="247">
        <v>299.05932236593168</v>
      </c>
      <c r="HU65" s="247">
        <v>298.15705531473793</v>
      </c>
      <c r="HV65" s="247">
        <v>297.25571197914428</v>
      </c>
      <c r="HW65" s="247">
        <v>296.3552708630196</v>
      </c>
      <c r="HX65" s="247">
        <v>295.4564427876054</v>
      </c>
      <c r="HY65" s="247">
        <v>294.55849783173886</v>
      </c>
      <c r="HZ65" s="247">
        <v>293.66144526809165</v>
      </c>
      <c r="IA65" s="247">
        <v>292.76529430867919</v>
      </c>
      <c r="IB65" s="247">
        <v>291.87005409291288</v>
      </c>
      <c r="IC65" s="247">
        <v>290.97573368566316</v>
      </c>
      <c r="ID65" s="247">
        <v>290.08234213245601</v>
      </c>
      <c r="IE65" s="247">
        <v>289.18988836770819</v>
      </c>
      <c r="IF65" s="247">
        <v>288.29838126865815</v>
      </c>
      <c r="IG65" s="247">
        <v>287.4078296557455</v>
      </c>
      <c r="IH65" s="247">
        <v>286.51824229323114</v>
      </c>
      <c r="II65" s="247">
        <v>285.62962788953115</v>
      </c>
      <c r="IJ65" s="247">
        <v>284.74273007830612</v>
      </c>
      <c r="IK65" s="247">
        <v>283.85682704618057</v>
      </c>
      <c r="IL65" s="247">
        <v>282.97193901332821</v>
      </c>
      <c r="IM65" s="247">
        <v>282.08808599016743</v>
      </c>
      <c r="IN65" s="247">
        <v>281.20528790325056</v>
      </c>
      <c r="IO65" s="247">
        <v>280.32356463148318</v>
      </c>
      <c r="IP65" s="247">
        <v>279.44293582632793</v>
      </c>
      <c r="IQ65" s="247">
        <v>278.56342103698307</v>
      </c>
      <c r="IR65" s="247">
        <v>277.6850397807296</v>
      </c>
      <c r="IS65" s="247">
        <v>276.80781138912897</v>
      </c>
      <c r="IT65" s="247">
        <v>275.93175508582198</v>
      </c>
      <c r="IU65" s="247">
        <v>275.05688998681057</v>
      </c>
      <c r="IV65" s="247">
        <v>274.18396713591085</v>
      </c>
      <c r="IW65" s="247">
        <v>273.31222029643828</v>
      </c>
      <c r="IX65" s="247">
        <v>272.44162244245138</v>
      </c>
      <c r="IY65" s="247">
        <v>271.57214673315701</v>
      </c>
      <c r="IZ65" s="247">
        <v>270.70376640871251</v>
      </c>
      <c r="JA65" s="247">
        <v>269.8364549383657</v>
      </c>
      <c r="JB65" s="247">
        <v>268.9701858645908</v>
      </c>
      <c r="JC65" s="247">
        <v>268.10493290555468</v>
      </c>
      <c r="JD65" s="247">
        <v>267.24066993021637</v>
      </c>
      <c r="JE65" s="247">
        <v>266.37737088414963</v>
      </c>
      <c r="JF65" s="247">
        <v>265.51500990154466</v>
      </c>
      <c r="JG65" s="247">
        <v>264.65356126838844</v>
      </c>
      <c r="JH65" s="247">
        <v>263.79375205827756</v>
      </c>
      <c r="JI65" s="247">
        <v>262.93483100249017</v>
      </c>
      <c r="JJ65" s="247">
        <v>262.07680663616202</v>
      </c>
      <c r="JK65" s="247">
        <v>261.2196873393973</v>
      </c>
      <c r="JL65" s="247">
        <v>260.36348150871066</v>
      </c>
      <c r="JM65" s="247">
        <v>259.50819742912824</v>
      </c>
      <c r="JN65" s="247">
        <v>258.65384339325914</v>
      </c>
      <c r="JO65" s="247">
        <v>257.80042754924011</v>
      </c>
      <c r="JP65" s="247">
        <v>256.94795825110089</v>
      </c>
      <c r="JQ65" s="247">
        <v>256.09644334575819</v>
      </c>
      <c r="JR65" s="247">
        <v>255.24589106310998</v>
      </c>
      <c r="JS65" s="247">
        <v>254.39630948238974</v>
      </c>
      <c r="JT65" s="247">
        <v>253.54845808675543</v>
      </c>
      <c r="JU65" s="247">
        <v>252.70156481017534</v>
      </c>
      <c r="JV65" s="247">
        <v>251.85561621387296</v>
      </c>
      <c r="JW65" s="247">
        <v>251.01059907378502</v>
      </c>
      <c r="JX65" s="247">
        <v>250.16650004147562</v>
      </c>
      <c r="JY65" s="247">
        <v>249.32330598982216</v>
      </c>
      <c r="JZ65" s="247">
        <v>248.48100383280783</v>
      </c>
      <c r="KA65" s="247">
        <v>247.63958036312576</v>
      </c>
      <c r="KB65" s="247">
        <v>246.79902259167056</v>
      </c>
      <c r="KC65" s="247">
        <v>245.95931757098049</v>
      </c>
      <c r="KD65" s="247">
        <v>245.1204524014309</v>
      </c>
      <c r="KE65" s="247">
        <v>244.28241405982229</v>
      </c>
      <c r="KF65" s="247">
        <v>243.44596740417805</v>
      </c>
      <c r="KG65" s="247">
        <v>242.61039618897905</v>
      </c>
      <c r="KH65" s="247">
        <v>241.77576847367109</v>
      </c>
      <c r="KI65" s="247">
        <v>240.94215207391665</v>
      </c>
      <c r="KJ65" s="247">
        <v>240.10961423393326</v>
      </c>
      <c r="KK65" s="247">
        <v>239.27822195950156</v>
      </c>
      <c r="KL65" s="247">
        <v>238.44804200841838</v>
      </c>
      <c r="KM65" s="247">
        <v>237.61914089640177</v>
      </c>
      <c r="KN65" s="247">
        <v>236.79158472849778</v>
      </c>
      <c r="KO65" s="247">
        <v>235.96543935767679</v>
      </c>
      <c r="KP65" s="247">
        <v>235.14077022669679</v>
      </c>
      <c r="KQ65" s="247">
        <v>234.31764285220615</v>
      </c>
      <c r="KR65" s="247">
        <v>233.49687671136161</v>
      </c>
      <c r="KS65" s="247">
        <v>232.67766172917845</v>
      </c>
      <c r="KT65" s="247">
        <v>231.859949464192</v>
      </c>
      <c r="KU65" s="247">
        <v>231.04369167316722</v>
      </c>
      <c r="KV65" s="247">
        <v>230.22884047622193</v>
      </c>
      <c r="KW65" s="247">
        <v>229.41534803877394</v>
      </c>
      <c r="KX65" s="247">
        <v>228.60316704113663</v>
      </c>
      <c r="KY65" s="247">
        <v>227.79225020942934</v>
      </c>
      <c r="KZ65" s="247">
        <v>226.98255047130576</v>
      </c>
      <c r="LA65" s="247">
        <v>226.17402110831958</v>
      </c>
      <c r="LB65" s="247">
        <v>225.3666154473712</v>
      </c>
      <c r="LC65" s="247">
        <v>224.56028701765419</v>
      </c>
      <c r="LD65" s="247">
        <v>223.73923976602302</v>
      </c>
      <c r="LE65" s="247">
        <v>222.91915225544008</v>
      </c>
      <c r="LF65" s="247">
        <v>222.10004784089367</v>
      </c>
      <c r="LG65" s="247">
        <v>221.28194981295246</v>
      </c>
      <c r="LH65" s="247">
        <v>220.46488126075693</v>
      </c>
      <c r="LI65" s="247">
        <v>219.64886535453144</v>
      </c>
      <c r="LJ65" s="247">
        <v>218.83392519600278</v>
      </c>
      <c r="LK65" s="247">
        <v>218.02008354205927</v>
      </c>
      <c r="LL65" s="247">
        <v>217.2073633623111</v>
      </c>
      <c r="LM65" s="247">
        <v>216.39578755147471</v>
      </c>
      <c r="LN65" s="247">
        <v>215.58537865421943</v>
      </c>
      <c r="LO65" s="247">
        <v>214.77615941935639</v>
      </c>
      <c r="LP65" s="247">
        <v>213.96907904367612</v>
      </c>
      <c r="LQ65" s="247">
        <v>213.16320526317369</v>
      </c>
      <c r="LR65" s="247">
        <v>212.35853852597185</v>
      </c>
      <c r="LS65" s="247">
        <v>211.55507928281185</v>
      </c>
      <c r="LT65" s="247">
        <v>210.75282812743842</v>
      </c>
      <c r="LU65" s="247">
        <v>209.95178566067966</v>
      </c>
      <c r="LV65" s="247">
        <v>209.15195248348203</v>
      </c>
      <c r="LW65" s="247">
        <v>208.35332920011206</v>
      </c>
      <c r="LX65" s="247">
        <v>207.55591655106033</v>
      </c>
      <c r="LY65" s="247">
        <v>206.75971513885315</v>
      </c>
      <c r="LZ65" s="247">
        <v>205.9647258283355</v>
      </c>
      <c r="MA65" s="247">
        <v>205.17094921748114</v>
      </c>
      <c r="MB65" s="247">
        <v>204.36195937062558</v>
      </c>
      <c r="MC65" s="247">
        <v>203.55407293899222</v>
      </c>
      <c r="MD65" s="247">
        <v>202.74728940794219</v>
      </c>
      <c r="ME65" s="247">
        <v>201.94160824691522</v>
      </c>
      <c r="MF65" s="247">
        <v>201.13702915532045</v>
      </c>
      <c r="MG65" s="247">
        <v>200.33355170052721</v>
      </c>
      <c r="MH65" s="247">
        <v>199.53117543169725</v>
      </c>
      <c r="MI65" s="247">
        <v>198.72990012027648</v>
      </c>
      <c r="MJ65" s="247">
        <v>197.9297254023725</v>
      </c>
      <c r="MK65" s="247">
        <v>197.13065100772485</v>
      </c>
      <c r="ML65" s="247">
        <v>196.33267676154026</v>
      </c>
      <c r="MM65" s="247">
        <v>195.53580246509603</v>
      </c>
      <c r="MN65" s="247">
        <v>194.74111459127269</v>
      </c>
      <c r="MO65" s="247">
        <v>193.94751618862904</v>
      </c>
      <c r="MP65" s="247">
        <v>193.15500232695121</v>
      </c>
      <c r="MQ65" s="247">
        <v>192.36356797470944</v>
      </c>
      <c r="MR65" s="247">
        <v>191.57320846561956</v>
      </c>
      <c r="MS65" s="247">
        <v>190.78391892145459</v>
      </c>
      <c r="MT65" s="247">
        <v>189.99569458926766</v>
      </c>
      <c r="MU65" s="247">
        <v>189.20853084445508</v>
      </c>
      <c r="MV65" s="247">
        <v>188.42242296161265</v>
      </c>
      <c r="MW65" s="247">
        <v>187.63736622151472</v>
      </c>
      <c r="MX65" s="247">
        <v>186.85335624918855</v>
      </c>
      <c r="MY65" s="247">
        <v>186.07038834018928</v>
      </c>
    </row>
    <row r="66" spans="1:363" ht="15.6" x14ac:dyDescent="0.3">
      <c r="A66" s="67" t="s">
        <v>7</v>
      </c>
      <c r="B66" s="72">
        <v>2076</v>
      </c>
      <c r="C66" s="247">
        <v>521.92144537380182</v>
      </c>
      <c r="D66" s="247">
        <v>520.89349712532214</v>
      </c>
      <c r="E66" s="247">
        <v>519.86556271634583</v>
      </c>
      <c r="F66" s="247">
        <v>518.83764298777044</v>
      </c>
      <c r="G66" s="247">
        <v>517.80973881744569</v>
      </c>
      <c r="H66" s="247">
        <v>516.7818510736181</v>
      </c>
      <c r="I66" s="247">
        <v>515.75398061806061</v>
      </c>
      <c r="J66" s="247">
        <v>514.72612829654281</v>
      </c>
      <c r="K66" s="247">
        <v>513.69829497214926</v>
      </c>
      <c r="L66" s="247">
        <v>512.67048152423013</v>
      </c>
      <c r="M66" s="247">
        <v>511.6426887975806</v>
      </c>
      <c r="N66" s="247">
        <v>510.61491766982886</v>
      </c>
      <c r="O66" s="247">
        <v>509.58716898632895</v>
      </c>
      <c r="P66" s="247">
        <v>508.55910130865834</v>
      </c>
      <c r="Q66" s="247">
        <v>507.53104539724677</v>
      </c>
      <c r="R66" s="247">
        <v>506.50300171692072</v>
      </c>
      <c r="S66" s="247">
        <v>505.47497076779109</v>
      </c>
      <c r="T66" s="247">
        <v>504.44695301713074</v>
      </c>
      <c r="U66" s="247">
        <v>503.41894894767063</v>
      </c>
      <c r="V66" s="247">
        <v>502.39095905590267</v>
      </c>
      <c r="W66" s="247">
        <v>501.3629838009424</v>
      </c>
      <c r="X66" s="247">
        <v>500.33502368556174</v>
      </c>
      <c r="Y66" s="247">
        <v>499.3070791964027</v>
      </c>
      <c r="Z66" s="247">
        <v>498.27915081134461</v>
      </c>
      <c r="AA66" s="247">
        <v>497.25123903580283</v>
      </c>
      <c r="AB66" s="247">
        <v>496.22302279836742</v>
      </c>
      <c r="AC66" s="247">
        <v>495.19481231151866</v>
      </c>
      <c r="AD66" s="247">
        <v>494.16660772295751</v>
      </c>
      <c r="AE66" s="247">
        <v>493.13840922561963</v>
      </c>
      <c r="AF66" s="247">
        <v>492.11021696948671</v>
      </c>
      <c r="AG66" s="247">
        <v>491.08203115457417</v>
      </c>
      <c r="AH66" s="247">
        <v>490.05385192003342</v>
      </c>
      <c r="AI66" s="247">
        <v>489.02567948603826</v>
      </c>
      <c r="AJ66" s="247">
        <v>487.99751398963059</v>
      </c>
      <c r="AK66" s="247">
        <v>486.96935566750204</v>
      </c>
      <c r="AL66" s="247">
        <v>485.94120467562806</v>
      </c>
      <c r="AM66" s="247">
        <v>484.91306122229764</v>
      </c>
      <c r="AN66" s="247">
        <v>483.88568261766301</v>
      </c>
      <c r="AO66" s="247">
        <v>482.85830688637918</v>
      </c>
      <c r="AP66" s="247">
        <v>481.83093571085408</v>
      </c>
      <c r="AQ66" s="247">
        <v>480.8035707098125</v>
      </c>
      <c r="AR66" s="247">
        <v>479.77621352381402</v>
      </c>
      <c r="AS66" s="247">
        <v>478.74886582101044</v>
      </c>
      <c r="AT66" s="247">
        <v>477.72152919941425</v>
      </c>
      <c r="AU66" s="247">
        <v>476.6942052911279</v>
      </c>
      <c r="AV66" s="247">
        <v>475.66689570942867</v>
      </c>
      <c r="AW66" s="247">
        <v>474.63960207135125</v>
      </c>
      <c r="AX66" s="247">
        <v>473.61232598944059</v>
      </c>
      <c r="AY66" s="247">
        <v>472.58506906974253</v>
      </c>
      <c r="AZ66" s="247">
        <v>471.55859635286947</v>
      </c>
      <c r="BA66" s="247">
        <v>470.53213689783172</v>
      </c>
      <c r="BB66" s="247">
        <v>469.50568974279463</v>
      </c>
      <c r="BC66" s="247">
        <v>468.47925391539582</v>
      </c>
      <c r="BD66" s="247">
        <v>467.45282845745248</v>
      </c>
      <c r="BE66" s="247">
        <v>466.42641241890476</v>
      </c>
      <c r="BF66" s="247">
        <v>465.4000048685192</v>
      </c>
      <c r="BG66" s="247">
        <v>464.37360487768836</v>
      </c>
      <c r="BH66" s="247">
        <v>463.34721152771192</v>
      </c>
      <c r="BI66" s="247">
        <v>462.32082390834699</v>
      </c>
      <c r="BJ66" s="247">
        <v>461.29444110980728</v>
      </c>
      <c r="BK66" s="247">
        <v>460.26806226799891</v>
      </c>
      <c r="BL66" s="247">
        <v>459.24371376244147</v>
      </c>
      <c r="BM66" s="247">
        <v>458.21937281498816</v>
      </c>
      <c r="BN66" s="247">
        <v>457.19504622806363</v>
      </c>
      <c r="BO66" s="247">
        <v>456.17074076549682</v>
      </c>
      <c r="BP66" s="247">
        <v>455.14646320302052</v>
      </c>
      <c r="BQ66" s="247">
        <v>454.12222024639613</v>
      </c>
      <c r="BR66" s="247">
        <v>453.09801854317089</v>
      </c>
      <c r="BS66" s="247">
        <v>452.07386472759714</v>
      </c>
      <c r="BT66" s="247">
        <v>451.04976536601538</v>
      </c>
      <c r="BU66" s="247">
        <v>450.02572704278464</v>
      </c>
      <c r="BV66" s="247">
        <v>449.00175626396049</v>
      </c>
      <c r="BW66" s="247">
        <v>447.97785948121413</v>
      </c>
      <c r="BX66" s="247">
        <v>446.95627006167405</v>
      </c>
      <c r="BY66" s="247">
        <v>445.93476119367278</v>
      </c>
      <c r="BZ66" s="247">
        <v>444.91332930063999</v>
      </c>
      <c r="CA66" s="247">
        <v>443.89197079667775</v>
      </c>
      <c r="CB66" s="247">
        <v>442.8706821267221</v>
      </c>
      <c r="CC66" s="247">
        <v>441.84945977242865</v>
      </c>
      <c r="CD66" s="247">
        <v>440.82830022489662</v>
      </c>
      <c r="CE66" s="247">
        <v>439.80720000586115</v>
      </c>
      <c r="CF66" s="247">
        <v>438.78615566233634</v>
      </c>
      <c r="CG66" s="247">
        <v>437.76516376663267</v>
      </c>
      <c r="CH66" s="247">
        <v>436.74422090524757</v>
      </c>
      <c r="CI66" s="247">
        <v>435.72332370418451</v>
      </c>
      <c r="CJ66" s="247">
        <v>434.70672447210103</v>
      </c>
      <c r="CK66" s="247">
        <v>433.69017899601829</v>
      </c>
      <c r="CL66" s="247">
        <v>432.67369054434408</v>
      </c>
      <c r="CM66" s="247">
        <v>431.65726229451394</v>
      </c>
      <c r="CN66" s="247">
        <v>430.64089745232059</v>
      </c>
      <c r="CO66" s="247">
        <v>429.62459918463526</v>
      </c>
      <c r="CP66" s="247">
        <v>428.60837064811494</v>
      </c>
      <c r="CQ66" s="247">
        <v>427.59221496749672</v>
      </c>
      <c r="CR66" s="247">
        <v>426.57613524521599</v>
      </c>
      <c r="CS66" s="247">
        <v>425.56013460582994</v>
      </c>
      <c r="CT66" s="247">
        <v>424.5442161087484</v>
      </c>
      <c r="CU66" s="247">
        <v>423.52838282189055</v>
      </c>
      <c r="CV66" s="247">
        <v>422.5177039984419</v>
      </c>
      <c r="CW66" s="247">
        <v>421.50712992626626</v>
      </c>
      <c r="CX66" s="247">
        <v>420.4966613889365</v>
      </c>
      <c r="CY66" s="247">
        <v>419.48629918722503</v>
      </c>
      <c r="CZ66" s="247">
        <v>418.47604410338818</v>
      </c>
      <c r="DA66" s="247">
        <v>417.46589689337759</v>
      </c>
      <c r="DB66" s="247">
        <v>416.45585835363426</v>
      </c>
      <c r="DC66" s="247">
        <v>415.44592926106202</v>
      </c>
      <c r="DD66" s="247">
        <v>414.43611035126372</v>
      </c>
      <c r="DE66" s="247">
        <v>413.42640240320685</v>
      </c>
      <c r="DF66" s="247">
        <v>412.41680615572938</v>
      </c>
      <c r="DG66" s="247">
        <v>411.407322358447</v>
      </c>
      <c r="DH66" s="247">
        <v>410.40402417184026</v>
      </c>
      <c r="DI66" s="247">
        <v>409.40086760126161</v>
      </c>
      <c r="DJ66" s="247">
        <v>408.39786128384537</v>
      </c>
      <c r="DK66" s="247">
        <v>407.39501387613586</v>
      </c>
      <c r="DL66" s="247">
        <v>406.39233391483418</v>
      </c>
      <c r="DM66" s="247">
        <v>405.38982994316592</v>
      </c>
      <c r="DN66" s="247">
        <v>404.38751035771571</v>
      </c>
      <c r="DO66" s="247">
        <v>403.38538360624443</v>
      </c>
      <c r="DP66" s="247">
        <v>402.38345797266714</v>
      </c>
      <c r="DQ66" s="247">
        <v>401.38174173101936</v>
      </c>
      <c r="DR66" s="247">
        <v>400.3802430877908</v>
      </c>
      <c r="DS66" s="247">
        <v>399.37897023965985</v>
      </c>
      <c r="DT66" s="247">
        <v>398.38530866268354</v>
      </c>
      <c r="DU66" s="247">
        <v>397.39193184838916</v>
      </c>
      <c r="DV66" s="247">
        <v>396.39885134085506</v>
      </c>
      <c r="DW66" s="247">
        <v>395.40607853624823</v>
      </c>
      <c r="DX66" s="247">
        <v>394.41362478317956</v>
      </c>
      <c r="DY66" s="247">
        <v>393.42150135420195</v>
      </c>
      <c r="DZ66" s="247">
        <v>392.42971942262818</v>
      </c>
      <c r="EA66" s="247">
        <v>391.43829011443501</v>
      </c>
      <c r="EB66" s="247">
        <v>390.44722445763369</v>
      </c>
      <c r="EC66" s="247">
        <v>389.45653338561181</v>
      </c>
      <c r="ED66" s="247">
        <v>388.46622775739667</v>
      </c>
      <c r="EE66" s="247">
        <v>387.47631835937102</v>
      </c>
      <c r="EF66" s="247">
        <v>386.49599513876041</v>
      </c>
      <c r="EG66" s="247">
        <v>385.5161407912455</v>
      </c>
      <c r="EH66" s="247">
        <v>384.53674974012296</v>
      </c>
      <c r="EI66" s="247">
        <v>383.55781659592685</v>
      </c>
      <c r="EJ66" s="247">
        <v>382.57933587592254</v>
      </c>
      <c r="EK66" s="247">
        <v>381.60130219322059</v>
      </c>
      <c r="EL66" s="247">
        <v>380.6237101813993</v>
      </c>
      <c r="EM66" s="247">
        <v>379.64655443109609</v>
      </c>
      <c r="EN66" s="247">
        <v>378.66982967598949</v>
      </c>
      <c r="EO66" s="247">
        <v>377.69353057802113</v>
      </c>
      <c r="EP66" s="247">
        <v>376.71765187145854</v>
      </c>
      <c r="EQ66" s="247">
        <v>375.74218831625717</v>
      </c>
      <c r="ER66" s="247">
        <v>374.77302031301241</v>
      </c>
      <c r="ES66" s="247">
        <v>373.80429933617842</v>
      </c>
      <c r="ET66" s="247">
        <v>372.83603340635835</v>
      </c>
      <c r="EU66" s="247">
        <v>371.86823071176002</v>
      </c>
      <c r="EV66" s="247">
        <v>370.90089918438093</v>
      </c>
      <c r="EW66" s="247">
        <v>369.93404680167413</v>
      </c>
      <c r="EX66" s="247">
        <v>368.9676814308911</v>
      </c>
      <c r="EY66" s="247">
        <v>368.00181088895903</v>
      </c>
      <c r="EZ66" s="247">
        <v>367.03644293558278</v>
      </c>
      <c r="FA66" s="247">
        <v>366.07158524992059</v>
      </c>
      <c r="FB66" s="247">
        <v>365.10724548078161</v>
      </c>
      <c r="FC66" s="247">
        <v>364.14343119768779</v>
      </c>
      <c r="FD66" s="247">
        <v>363.18084835051917</v>
      </c>
      <c r="FE66" s="247">
        <v>362.21879813743061</v>
      </c>
      <c r="FF66" s="247">
        <v>361.2572873541655</v>
      </c>
      <c r="FG66" s="247">
        <v>360.29632273787388</v>
      </c>
      <c r="FH66" s="247">
        <v>359.33591092770092</v>
      </c>
      <c r="FI66" s="247">
        <v>358.37605858438934</v>
      </c>
      <c r="FJ66" s="247">
        <v>357.41677226344439</v>
      </c>
      <c r="FK66" s="247">
        <v>356.45805847372679</v>
      </c>
      <c r="FL66" s="247">
        <v>355.49992367052448</v>
      </c>
      <c r="FM66" s="247">
        <v>354.54237423294524</v>
      </c>
      <c r="FN66" s="247">
        <v>353.58541651274527</v>
      </c>
      <c r="FO66" s="247">
        <v>352.62905678676748</v>
      </c>
      <c r="FP66" s="247">
        <v>351.67400364454897</v>
      </c>
      <c r="FQ66" s="247">
        <v>350.71955451039105</v>
      </c>
      <c r="FR66" s="247">
        <v>349.76571623231797</v>
      </c>
      <c r="FS66" s="247">
        <v>348.81249568878945</v>
      </c>
      <c r="FT66" s="247">
        <v>347.85989960607947</v>
      </c>
      <c r="FU66" s="247">
        <v>346.90793472283849</v>
      </c>
      <c r="FV66" s="247">
        <v>345.95660771417624</v>
      </c>
      <c r="FW66" s="247">
        <v>345.00592512983309</v>
      </c>
      <c r="FX66" s="247">
        <v>344.05589355367209</v>
      </c>
      <c r="FY66" s="247">
        <v>343.10651941555761</v>
      </c>
      <c r="FZ66" s="247">
        <v>342.15780920439596</v>
      </c>
      <c r="GA66" s="247">
        <v>341.20976928008957</v>
      </c>
      <c r="GB66" s="247">
        <v>340.26311462125346</v>
      </c>
      <c r="GC66" s="247">
        <v>339.31715129698227</v>
      </c>
      <c r="GD66" s="247">
        <v>338.37190106018681</v>
      </c>
      <c r="GE66" s="247">
        <v>337.42738556213311</v>
      </c>
      <c r="GF66" s="247">
        <v>336.48362622180372</v>
      </c>
      <c r="GG66" s="247">
        <v>335.54064436264156</v>
      </c>
      <c r="GH66" s="247">
        <v>334.59846113874755</v>
      </c>
      <c r="GI66" s="247">
        <v>333.65709756704103</v>
      </c>
      <c r="GJ66" s="247">
        <v>332.71657449815285</v>
      </c>
      <c r="GK66" s="247">
        <v>331.7769126174058</v>
      </c>
      <c r="GL66" s="247">
        <v>330.83813246902736</v>
      </c>
      <c r="GM66" s="247">
        <v>329.90025447885711</v>
      </c>
      <c r="GN66" s="247">
        <v>328.96400513824415</v>
      </c>
      <c r="GO66" s="247">
        <v>328.02866703221105</v>
      </c>
      <c r="GP66" s="247">
        <v>327.09423620026735</v>
      </c>
      <c r="GQ66" s="247">
        <v>326.16070868856195</v>
      </c>
      <c r="GR66" s="247">
        <v>325.22808055789602</v>
      </c>
      <c r="GS66" s="247">
        <v>324.29634785932132</v>
      </c>
      <c r="GT66" s="247">
        <v>323.36550667416327</v>
      </c>
      <c r="GU66" s="247">
        <v>322.43555312279977</v>
      </c>
      <c r="GV66" s="247">
        <v>321.50648326945179</v>
      </c>
      <c r="GW66" s="247">
        <v>320.57829323382697</v>
      </c>
      <c r="GX66" s="247">
        <v>319.65097914780767</v>
      </c>
      <c r="GY66" s="247">
        <v>318.72453719927813</v>
      </c>
      <c r="GZ66" s="247">
        <v>317.79968313865686</v>
      </c>
      <c r="HA66" s="247">
        <v>316.87571498470373</v>
      </c>
      <c r="HB66" s="247">
        <v>315.95265750975875</v>
      </c>
      <c r="HC66" s="247">
        <v>315.03053518099421</v>
      </c>
      <c r="HD66" s="247">
        <v>314.10937236455158</v>
      </c>
      <c r="HE66" s="247">
        <v>313.18919323658531</v>
      </c>
      <c r="HF66" s="247">
        <v>312.27002186509156</v>
      </c>
      <c r="HG66" s="247">
        <v>311.35188206849944</v>
      </c>
      <c r="HH66" s="247">
        <v>310.43479758076711</v>
      </c>
      <c r="HI66" s="247">
        <v>309.51879196667039</v>
      </c>
      <c r="HJ66" s="247">
        <v>308.60388855930432</v>
      </c>
      <c r="HK66" s="247">
        <v>307.69011063067245</v>
      </c>
      <c r="HL66" s="247">
        <v>306.77819349835295</v>
      </c>
      <c r="HM66" s="247">
        <v>305.86739515746012</v>
      </c>
      <c r="HN66" s="247">
        <v>304.95769309536831</v>
      </c>
      <c r="HO66" s="247">
        <v>304.04906497278682</v>
      </c>
      <c r="HP66" s="247">
        <v>303.1414885276231</v>
      </c>
      <c r="HQ66" s="247">
        <v>302.23494169750342</v>
      </c>
      <c r="HR66" s="247">
        <v>301.32940246939012</v>
      </c>
      <c r="HS66" s="247">
        <v>300.42484899192414</v>
      </c>
      <c r="HT66" s="247">
        <v>299.52125954805484</v>
      </c>
      <c r="HU66" s="247">
        <v>298.61861251440575</v>
      </c>
      <c r="HV66" s="247">
        <v>297.71688642348215</v>
      </c>
      <c r="HW66" s="247">
        <v>296.81605986206205</v>
      </c>
      <c r="HX66" s="247">
        <v>295.91684205722106</v>
      </c>
      <c r="HY66" s="247">
        <v>295.0185047593551</v>
      </c>
      <c r="HZ66" s="247">
        <v>294.1210572171305</v>
      </c>
      <c r="IA66" s="247">
        <v>293.22450861890178</v>
      </c>
      <c r="IB66" s="247">
        <v>292.32886808085397</v>
      </c>
      <c r="IC66" s="247">
        <v>291.43414464502291</v>
      </c>
      <c r="ID66" s="247">
        <v>290.54034733431968</v>
      </c>
      <c r="IE66" s="247">
        <v>289.64748506109208</v>
      </c>
      <c r="IF66" s="247">
        <v>288.7555666808675</v>
      </c>
      <c r="IG66" s="247">
        <v>287.86460099271892</v>
      </c>
      <c r="IH66" s="247">
        <v>286.97459673989789</v>
      </c>
      <c r="II66" s="247">
        <v>286.085562610171</v>
      </c>
      <c r="IJ66" s="247">
        <v>285.19824055227929</v>
      </c>
      <c r="IK66" s="247">
        <v>284.31191037645493</v>
      </c>
      <c r="IL66" s="247">
        <v>283.42659224280703</v>
      </c>
      <c r="IM66" s="247">
        <v>282.54230610262971</v>
      </c>
      <c r="IN66" s="247">
        <v>281.65907182389969</v>
      </c>
      <c r="IO66" s="247">
        <v>280.77690922733228</v>
      </c>
      <c r="IP66" s="247">
        <v>279.89583790720349</v>
      </c>
      <c r="IQ66" s="247">
        <v>279.01587735611662</v>
      </c>
      <c r="IR66" s="247">
        <v>278.13704703510717</v>
      </c>
      <c r="IS66" s="247">
        <v>277.25936622034095</v>
      </c>
      <c r="IT66" s="247">
        <v>276.38285408067185</v>
      </c>
      <c r="IU66" s="247">
        <v>275.50752967791391</v>
      </c>
      <c r="IV66" s="247">
        <v>274.63414236685412</v>
      </c>
      <c r="IW66" s="247">
        <v>273.76192766684187</v>
      </c>
      <c r="IX66" s="247">
        <v>272.89085865276996</v>
      </c>
      <c r="IY66" s="247">
        <v>272.02090858389073</v>
      </c>
      <c r="IZ66" s="247">
        <v>271.15205080002005</v>
      </c>
      <c r="JA66" s="247">
        <v>270.28425886914891</v>
      </c>
      <c r="JB66" s="247">
        <v>269.41750643210628</v>
      </c>
      <c r="JC66" s="247">
        <v>268.55176730471129</v>
      </c>
      <c r="JD66" s="247">
        <v>267.68701545295249</v>
      </c>
      <c r="JE66" s="247">
        <v>266.82322491905404</v>
      </c>
      <c r="JF66" s="247">
        <v>265.96036993311748</v>
      </c>
      <c r="JG66" s="247">
        <v>265.09842487644033</v>
      </c>
      <c r="JH66" s="247">
        <v>264.23811522964797</v>
      </c>
      <c r="JI66" s="247">
        <v>263.37869141165658</v>
      </c>
      <c r="JJ66" s="247">
        <v>262.52016193819981</v>
      </c>
      <c r="JK66" s="247">
        <v>261.66253517064359</v>
      </c>
      <c r="JL66" s="247">
        <v>260.80581948688257</v>
      </c>
      <c r="JM66" s="247">
        <v>259.95002315384426</v>
      </c>
      <c r="JN66" s="247">
        <v>259.09515444616557</v>
      </c>
      <c r="JO66" s="247">
        <v>258.2412214946512</v>
      </c>
      <c r="JP66" s="247">
        <v>257.38823263549369</v>
      </c>
      <c r="JQ66" s="247">
        <v>256.53619569959386</v>
      </c>
      <c r="JR66" s="247">
        <v>255.68511889974226</v>
      </c>
      <c r="JS66" s="247">
        <v>254.83501029873401</v>
      </c>
      <c r="JT66" s="247">
        <v>253.98662769424988</v>
      </c>
      <c r="JU66" s="247">
        <v>253.13920076293016</v>
      </c>
      <c r="JV66" s="247">
        <v>252.29271611981196</v>
      </c>
      <c r="JW66" s="247">
        <v>251.44716059391664</v>
      </c>
      <c r="JX66" s="247">
        <v>250.6025208903194</v>
      </c>
      <c r="JY66" s="247">
        <v>249.75878393466633</v>
      </c>
      <c r="JZ66" s="247">
        <v>248.91593669356934</v>
      </c>
      <c r="KA66" s="247">
        <v>248.07396601275781</v>
      </c>
      <c r="KB66" s="247">
        <v>247.23285895546152</v>
      </c>
      <c r="KC66" s="247">
        <v>246.39260262641906</v>
      </c>
      <c r="KD66" s="247">
        <v>245.55318417807402</v>
      </c>
      <c r="KE66" s="247">
        <v>244.71459063971656</v>
      </c>
      <c r="KF66" s="247">
        <v>243.8775851779869</v>
      </c>
      <c r="KG66" s="247">
        <v>243.04145309736555</v>
      </c>
      <c r="KH66" s="247">
        <v>242.2062622470383</v>
      </c>
      <c r="KI66" s="247">
        <v>241.37208023380961</v>
      </c>
      <c r="KJ66" s="247">
        <v>240.53897409553102</v>
      </c>
      <c r="KK66" s="247">
        <v>239.70701063298409</v>
      </c>
      <c r="KL66" s="247">
        <v>238.87625640036794</v>
      </c>
      <c r="KM66" s="247">
        <v>238.04677771118403</v>
      </c>
      <c r="KN66" s="247">
        <v>237.21864047017618</v>
      </c>
      <c r="KO66" s="247">
        <v>236.39191033138479</v>
      </c>
      <c r="KP66" s="247">
        <v>235.56665254052905</v>
      </c>
      <c r="KQ66" s="247">
        <v>234.74293241753381</v>
      </c>
      <c r="KR66" s="247">
        <v>233.92156758461837</v>
      </c>
      <c r="KS66" s="247">
        <v>233.1017498140522</v>
      </c>
      <c r="KT66" s="247">
        <v>232.2834308316921</v>
      </c>
      <c r="KU66" s="247">
        <v>231.46656256066544</v>
      </c>
      <c r="KV66" s="247">
        <v>230.65109728602843</v>
      </c>
      <c r="KW66" s="247">
        <v>229.8369873376929</v>
      </c>
      <c r="KX66" s="247">
        <v>229.02418555855266</v>
      </c>
      <c r="KY66" s="247">
        <v>228.2126448369099</v>
      </c>
      <c r="KZ66" s="247">
        <v>227.40231826171734</v>
      </c>
      <c r="LA66" s="247">
        <v>226.59315927445761</v>
      </c>
      <c r="LB66" s="247">
        <v>225.78512136159895</v>
      </c>
      <c r="LC66" s="247">
        <v>224.97815821104717</v>
      </c>
      <c r="LD66" s="247">
        <v>224.15630973559135</v>
      </c>
      <c r="LE66" s="247">
        <v>223.33541777552449</v>
      </c>
      <c r="LF66" s="247">
        <v>222.51550559773551</v>
      </c>
      <c r="LG66" s="247">
        <v>221.69659640510187</v>
      </c>
      <c r="LH66" s="247">
        <v>220.87871320009515</v>
      </c>
      <c r="LI66" s="247">
        <v>220.06187906607209</v>
      </c>
      <c r="LJ66" s="247">
        <v>219.24611701832143</v>
      </c>
      <c r="LK66" s="247">
        <v>218.43144972887507</v>
      </c>
      <c r="LL66" s="247">
        <v>217.61790008176044</v>
      </c>
      <c r="LM66" s="247">
        <v>216.80549088654516</v>
      </c>
      <c r="LN66" s="247">
        <v>215.9942446043421</v>
      </c>
      <c r="LO66" s="247">
        <v>215.1841838996996</v>
      </c>
      <c r="LP66" s="247">
        <v>214.37625436288437</v>
      </c>
      <c r="LQ66" s="247">
        <v>213.56952726662027</v>
      </c>
      <c r="LR66" s="247">
        <v>212.7640030660171</v>
      </c>
      <c r="LS66" s="247">
        <v>211.95968221879028</v>
      </c>
      <c r="LT66" s="247">
        <v>211.15656532511906</v>
      </c>
      <c r="LU66" s="247">
        <v>210.35465299224018</v>
      </c>
      <c r="LV66" s="247">
        <v>209.5539458275251</v>
      </c>
      <c r="LW66" s="247">
        <v>208.7544444416792</v>
      </c>
      <c r="LX66" s="247">
        <v>207.95614958110829</v>
      </c>
      <c r="LY66" s="247">
        <v>207.15906185482521</v>
      </c>
      <c r="LZ66" s="247">
        <v>206.36318213312876</v>
      </c>
      <c r="MA66" s="247">
        <v>205.56851102056737</v>
      </c>
      <c r="MB66" s="247">
        <v>204.75846478743492</v>
      </c>
      <c r="MC66" s="247">
        <v>203.94951704553071</v>
      </c>
      <c r="MD66" s="247">
        <v>203.14166728866817</v>
      </c>
      <c r="ME66" s="247">
        <v>202.33491499475315</v>
      </c>
      <c r="MF66" s="247">
        <v>201.52925987048832</v>
      </c>
      <c r="MG66" s="247">
        <v>200.72470149115711</v>
      </c>
      <c r="MH66" s="247">
        <v>199.92123941388016</v>
      </c>
      <c r="MI66" s="247">
        <v>199.11887341691346</v>
      </c>
      <c r="MJ66" s="247">
        <v>198.31760314383206</v>
      </c>
      <c r="MK66" s="247">
        <v>197.51742833132175</v>
      </c>
      <c r="ML66" s="247">
        <v>196.71834881102887</v>
      </c>
      <c r="MM66" s="247">
        <v>195.92036439076679</v>
      </c>
      <c r="MN66" s="247">
        <v>195.12455567400406</v>
      </c>
      <c r="MO66" s="247">
        <v>194.32983160441231</v>
      </c>
      <c r="MP66" s="247">
        <v>193.53618728125088</v>
      </c>
      <c r="MQ66" s="247">
        <v>192.74361770290369</v>
      </c>
      <c r="MR66" s="247">
        <v>191.95211823114073</v>
      </c>
      <c r="MS66" s="247">
        <v>191.1616840168025</v>
      </c>
      <c r="MT66" s="247">
        <v>190.37231033532811</v>
      </c>
      <c r="MU66" s="247">
        <v>189.58399258982354</v>
      </c>
      <c r="MV66" s="247">
        <v>188.79672608307689</v>
      </c>
      <c r="MW66" s="247">
        <v>188.01050612397412</v>
      </c>
      <c r="MX66" s="247">
        <v>187.22532836389726</v>
      </c>
      <c r="MY66" s="247">
        <v>186.44118812639604</v>
      </c>
    </row>
    <row r="67" spans="1:363" ht="15.6" x14ac:dyDescent="0.3">
      <c r="A67" s="67" t="s">
        <v>7</v>
      </c>
      <c r="B67" s="72">
        <v>2077</v>
      </c>
      <c r="C67" s="247">
        <v>522.42689055662845</v>
      </c>
      <c r="D67" s="247">
        <v>521.39886844970545</v>
      </c>
      <c r="E67" s="247">
        <v>520.37085939873782</v>
      </c>
      <c r="F67" s="247">
        <v>519.34286424051993</v>
      </c>
      <c r="G67" s="247">
        <v>518.31488384819238</v>
      </c>
      <c r="H67" s="247">
        <v>517.28691908558699</v>
      </c>
      <c r="I67" s="247">
        <v>516.25897081019559</v>
      </c>
      <c r="J67" s="247">
        <v>515.23103986378089</v>
      </c>
      <c r="K67" s="247">
        <v>514.20312710529447</v>
      </c>
      <c r="L67" s="247">
        <v>513.17523340978244</v>
      </c>
      <c r="M67" s="247">
        <v>512.14735961831911</v>
      </c>
      <c r="N67" s="247">
        <v>511.11950660441732</v>
      </c>
      <c r="O67" s="247">
        <v>510.09167520990258</v>
      </c>
      <c r="P67" s="247">
        <v>509.0635204111216</v>
      </c>
      <c r="Q67" s="247">
        <v>508.03537655511707</v>
      </c>
      <c r="R67" s="247">
        <v>507.00724410843389</v>
      </c>
      <c r="S67" s="247">
        <v>505.97912357228802</v>
      </c>
      <c r="T67" s="247">
        <v>504.9510154157295</v>
      </c>
      <c r="U67" s="247">
        <v>503.92292012306336</v>
      </c>
      <c r="V67" s="247">
        <v>502.89483819215224</v>
      </c>
      <c r="W67" s="247">
        <v>501.86677008423459</v>
      </c>
      <c r="X67" s="247">
        <v>500.83871630356248</v>
      </c>
      <c r="Y67" s="247">
        <v>499.81067733859931</v>
      </c>
      <c r="Z67" s="247">
        <v>498.78265366926911</v>
      </c>
      <c r="AA67" s="247">
        <v>497.75464580270381</v>
      </c>
      <c r="AB67" s="247">
        <v>496.72632987433866</v>
      </c>
      <c r="AC67" s="247">
        <v>495.69801890494261</v>
      </c>
      <c r="AD67" s="247">
        <v>494.66971304948692</v>
      </c>
      <c r="AE67" s="247">
        <v>493.64141250734173</v>
      </c>
      <c r="AF67" s="247">
        <v>492.61311743581871</v>
      </c>
      <c r="AG67" s="247">
        <v>491.58482804144029</v>
      </c>
      <c r="AH67" s="247">
        <v>490.55654447092735</v>
      </c>
      <c r="AI67" s="247">
        <v>489.52826695079364</v>
      </c>
      <c r="AJ67" s="247">
        <v>488.49999562589988</v>
      </c>
      <c r="AK67" s="247">
        <v>487.47173073913672</v>
      </c>
      <c r="AL67" s="247">
        <v>486.44347245414167</v>
      </c>
      <c r="AM67" s="247">
        <v>485.41522098608505</v>
      </c>
      <c r="AN67" s="247">
        <v>484.38772697181065</v>
      </c>
      <c r="AO67" s="247">
        <v>483.36023508812048</v>
      </c>
      <c r="AP67" s="247">
        <v>482.33274699866041</v>
      </c>
      <c r="AQ67" s="247">
        <v>481.30526430440727</v>
      </c>
      <c r="AR67" s="247">
        <v>480.27778862798294</v>
      </c>
      <c r="AS67" s="247">
        <v>479.25032161916084</v>
      </c>
      <c r="AT67" s="247">
        <v>478.22286485880932</v>
      </c>
      <c r="AU67" s="247">
        <v>477.19541996145546</v>
      </c>
      <c r="AV67" s="247">
        <v>476.16798852320102</v>
      </c>
      <c r="AW67" s="247">
        <v>475.14057214391789</v>
      </c>
      <c r="AX67" s="247">
        <v>474.11317241916993</v>
      </c>
      <c r="AY67" s="247">
        <v>473.08579093824085</v>
      </c>
      <c r="AZ67" s="247">
        <v>472.05918598653449</v>
      </c>
      <c r="BA67" s="247">
        <v>471.0325933780357</v>
      </c>
      <c r="BB67" s="247">
        <v>470.00601217708811</v>
      </c>
      <c r="BC67" s="247">
        <v>468.97944143760884</v>
      </c>
      <c r="BD67" s="247">
        <v>467.95288022761048</v>
      </c>
      <c r="BE67" s="247">
        <v>466.92632762311632</v>
      </c>
      <c r="BF67" s="247">
        <v>465.89978271867113</v>
      </c>
      <c r="BG67" s="247">
        <v>464.87324461154867</v>
      </c>
      <c r="BH67" s="247">
        <v>463.84671240881175</v>
      </c>
      <c r="BI67" s="247">
        <v>462.82018522591119</v>
      </c>
      <c r="BJ67" s="247">
        <v>461.79366217882608</v>
      </c>
      <c r="BK67" s="247">
        <v>460.76714242855542</v>
      </c>
      <c r="BL67" s="247">
        <v>459.74264138266352</v>
      </c>
      <c r="BM67" s="247">
        <v>458.71814713805037</v>
      </c>
      <c r="BN67" s="247">
        <v>457.69366639807504</v>
      </c>
      <c r="BO67" s="247">
        <v>456.66920582808649</v>
      </c>
      <c r="BP67" s="247">
        <v>455.64477210534557</v>
      </c>
      <c r="BQ67" s="247">
        <v>454.6203718383228</v>
      </c>
      <c r="BR67" s="247">
        <v>453.59601157826444</v>
      </c>
      <c r="BS67" s="247">
        <v>452.57169786351892</v>
      </c>
      <c r="BT67" s="247">
        <v>451.5474371656972</v>
      </c>
      <c r="BU67" s="247">
        <v>450.52323597425129</v>
      </c>
      <c r="BV67" s="247">
        <v>449.49910070171092</v>
      </c>
      <c r="BW67" s="247">
        <v>448.47503770721738</v>
      </c>
      <c r="BX67" s="247">
        <v>447.45327031818147</v>
      </c>
      <c r="BY67" s="247">
        <v>446.43158170203435</v>
      </c>
      <c r="BZ67" s="247">
        <v>445.40996834442564</v>
      </c>
      <c r="CA67" s="247">
        <v>444.38842672173217</v>
      </c>
      <c r="CB67" s="247">
        <v>443.36695334084044</v>
      </c>
      <c r="CC67" s="247">
        <v>442.34554474480836</v>
      </c>
      <c r="CD67" s="247">
        <v>441.32419748600853</v>
      </c>
      <c r="CE67" s="247">
        <v>440.30290814709855</v>
      </c>
      <c r="CF67" s="247">
        <v>439.28167333568445</v>
      </c>
      <c r="CG67" s="247">
        <v>438.26048968433327</v>
      </c>
      <c r="CH67" s="247">
        <v>437.23935383965403</v>
      </c>
      <c r="CI67" s="247">
        <v>436.21826248724966</v>
      </c>
      <c r="CJ67" s="247">
        <v>435.2014590231156</v>
      </c>
      <c r="CK67" s="247">
        <v>434.18470815855653</v>
      </c>
      <c r="CL67" s="247">
        <v>433.1680131275034</v>
      </c>
      <c r="CM67" s="247">
        <v>432.15137707406666</v>
      </c>
      <c r="CN67" s="247">
        <v>431.13480317050033</v>
      </c>
      <c r="CO67" s="247">
        <v>430.11829455068266</v>
      </c>
      <c r="CP67" s="247">
        <v>429.10185433846618</v>
      </c>
      <c r="CQ67" s="247">
        <v>428.08548562632251</v>
      </c>
      <c r="CR67" s="247">
        <v>427.06919148479227</v>
      </c>
      <c r="CS67" s="247">
        <v>426.05297500633174</v>
      </c>
      <c r="CT67" s="247">
        <v>425.03683921919145</v>
      </c>
      <c r="CU67" s="247">
        <v>424.02078716012829</v>
      </c>
      <c r="CV67" s="247">
        <v>423.00988783530767</v>
      </c>
      <c r="CW67" s="247">
        <v>421.99909177640785</v>
      </c>
      <c r="CX67" s="247">
        <v>420.98839976505428</v>
      </c>
      <c r="CY67" s="247">
        <v>419.97781259987022</v>
      </c>
      <c r="CZ67" s="247">
        <v>418.96733106128198</v>
      </c>
      <c r="DA67" s="247">
        <v>417.95695590373805</v>
      </c>
      <c r="DB67" s="247">
        <v>416.94668792176873</v>
      </c>
      <c r="DC67" s="247">
        <v>415.93652789069461</v>
      </c>
      <c r="DD67" s="247">
        <v>414.92647654504486</v>
      </c>
      <c r="DE67" s="247">
        <v>413.91653466230844</v>
      </c>
      <c r="DF67" s="247">
        <v>412.90670298035604</v>
      </c>
      <c r="DG67" s="247">
        <v>411.89698224781813</v>
      </c>
      <c r="DH67" s="247">
        <v>410.89345825800882</v>
      </c>
      <c r="DI67" s="247">
        <v>409.89007440451127</v>
      </c>
      <c r="DJ67" s="247">
        <v>408.88683925379246</v>
      </c>
      <c r="DK67" s="247">
        <v>407.88376139161147</v>
      </c>
      <c r="DL67" s="247">
        <v>406.88084928510017</v>
      </c>
      <c r="DM67" s="247">
        <v>405.87811140794946</v>
      </c>
      <c r="DN67" s="247">
        <v>404.87555608858952</v>
      </c>
      <c r="DO67" s="247">
        <v>403.87319170633049</v>
      </c>
      <c r="DP67" s="247">
        <v>402.87102647818745</v>
      </c>
      <c r="DQ67" s="247">
        <v>401.86906861150186</v>
      </c>
      <c r="DR67" s="247">
        <v>400.8673262467853</v>
      </c>
      <c r="DS67" s="247">
        <v>399.86580751496024</v>
      </c>
      <c r="DT67" s="247">
        <v>398.87192931897323</v>
      </c>
      <c r="DU67" s="247">
        <v>397.87833384661377</v>
      </c>
      <c r="DV67" s="247">
        <v>396.88503256843319</v>
      </c>
      <c r="DW67" s="247">
        <v>395.89203680816507</v>
      </c>
      <c r="DX67" s="247">
        <v>394.89935784248377</v>
      </c>
      <c r="DY67" s="247">
        <v>393.90700687264541</v>
      </c>
      <c r="DZ67" s="247">
        <v>392.91499500144528</v>
      </c>
      <c r="EA67" s="247">
        <v>391.92333328483778</v>
      </c>
      <c r="EB67" s="247">
        <v>390.93203268160829</v>
      </c>
      <c r="EC67" s="247">
        <v>389.94110405668926</v>
      </c>
      <c r="ED67" s="247">
        <v>388.95055820130915</v>
      </c>
      <c r="EE67" s="247">
        <v>387.96040583469204</v>
      </c>
      <c r="EF67" s="247">
        <v>386.97989662576396</v>
      </c>
      <c r="EG67" s="247">
        <v>385.99985409163594</v>
      </c>
      <c r="EH67" s="247">
        <v>385.02027268649209</v>
      </c>
      <c r="EI67" s="247">
        <v>384.04114705085107</v>
      </c>
      <c r="EJ67" s="247">
        <v>383.06247173246589</v>
      </c>
      <c r="EK67" s="247">
        <v>382.0842413744748</v>
      </c>
      <c r="EL67" s="247">
        <v>381.10645064040853</v>
      </c>
      <c r="EM67" s="247">
        <v>380.12909415109095</v>
      </c>
      <c r="EN67" s="247">
        <v>379.1521666697497</v>
      </c>
      <c r="EO67" s="247">
        <v>378.17566288822542</v>
      </c>
      <c r="EP67" s="247">
        <v>377.19957757038327</v>
      </c>
      <c r="EQ67" s="247">
        <v>376.22390550569605</v>
      </c>
      <c r="ER67" s="247">
        <v>375.25457143764754</v>
      </c>
      <c r="ES67" s="247">
        <v>374.28568285242847</v>
      </c>
      <c r="ET67" s="247">
        <v>373.31724774471593</v>
      </c>
      <c r="EU67" s="247">
        <v>372.34927427628458</v>
      </c>
      <c r="EV67" s="247">
        <v>371.3817703538038</v>
      </c>
      <c r="EW67" s="247">
        <v>370.41474392934964</v>
      </c>
      <c r="EX67" s="247">
        <v>369.4482028453308</v>
      </c>
      <c r="EY67" s="247">
        <v>368.48215489416356</v>
      </c>
      <c r="EZ67" s="247">
        <v>367.51660781138742</v>
      </c>
      <c r="FA67" s="247">
        <v>366.55156925242642</v>
      </c>
      <c r="FB67" s="247">
        <v>365.5870468426146</v>
      </c>
      <c r="FC67" s="247">
        <v>364.62304812842865</v>
      </c>
      <c r="FD67" s="247">
        <v>363.66027728502513</v>
      </c>
      <c r="FE67" s="247">
        <v>362.69803726180345</v>
      </c>
      <c r="FF67" s="247">
        <v>361.73633483403825</v>
      </c>
      <c r="FG67" s="247">
        <v>360.775176718735</v>
      </c>
      <c r="FH67" s="247">
        <v>359.81456953540163</v>
      </c>
      <c r="FI67" s="247">
        <v>358.85451992517329</v>
      </c>
      <c r="FJ67" s="247">
        <v>357.89503442445664</v>
      </c>
      <c r="FK67" s="247">
        <v>356.93611952332134</v>
      </c>
      <c r="FL67" s="247">
        <v>355.97778165859222</v>
      </c>
      <c r="FM67" s="247">
        <v>355.02002719130729</v>
      </c>
      <c r="FN67" s="247">
        <v>354.06286245540406</v>
      </c>
      <c r="FO67" s="247">
        <v>353.10629371030859</v>
      </c>
      <c r="FP67" s="247">
        <v>352.15102779085464</v>
      </c>
      <c r="FQ67" s="247">
        <v>351.19636385847798</v>
      </c>
      <c r="FR67" s="247">
        <v>350.24230874141034</v>
      </c>
      <c r="FS67" s="247">
        <v>349.288869298316</v>
      </c>
      <c r="FT67" s="247">
        <v>348.33605223638193</v>
      </c>
      <c r="FU67" s="247">
        <v>347.38386427524114</v>
      </c>
      <c r="FV67" s="247">
        <v>346.43231207134141</v>
      </c>
      <c r="FW67" s="247">
        <v>345.48140215635385</v>
      </c>
      <c r="FX67" s="247">
        <v>344.53114109608782</v>
      </c>
      <c r="FY67" s="247">
        <v>343.58153530303213</v>
      </c>
      <c r="FZ67" s="247">
        <v>342.63259124865101</v>
      </c>
      <c r="GA67" s="247">
        <v>341.68431527600933</v>
      </c>
      <c r="GB67" s="247">
        <v>340.7374206148362</v>
      </c>
      <c r="GC67" s="247">
        <v>339.79121501301597</v>
      </c>
      <c r="GD67" s="247">
        <v>338.84572015084217</v>
      </c>
      <c r="GE67" s="247">
        <v>337.90095760757214</v>
      </c>
      <c r="GF67" s="247">
        <v>336.95694873129179</v>
      </c>
      <c r="GG67" s="247">
        <v>336.01371477513817</v>
      </c>
      <c r="GH67" s="247">
        <v>335.07127682376114</v>
      </c>
      <c r="GI67" s="247">
        <v>334.12965582538868</v>
      </c>
      <c r="GJ67" s="247">
        <v>333.18887256281391</v>
      </c>
      <c r="GK67" s="247">
        <v>332.24894765436159</v>
      </c>
      <c r="GL67" s="247">
        <v>331.30990157803132</v>
      </c>
      <c r="GM67" s="247">
        <v>330.37175469411505</v>
      </c>
      <c r="GN67" s="247">
        <v>329.43523173279567</v>
      </c>
      <c r="GO67" s="247">
        <v>328.4996170170138</v>
      </c>
      <c r="GP67" s="247">
        <v>327.56490660775665</v>
      </c>
      <c r="GQ67" s="247">
        <v>326.63109657264312</v>
      </c>
      <c r="GR67" s="247">
        <v>325.6981829939586</v>
      </c>
      <c r="GS67" s="247">
        <v>324.76616194429221</v>
      </c>
      <c r="GT67" s="247">
        <v>323.83502952643465</v>
      </c>
      <c r="GU67" s="247">
        <v>322.90478188213916</v>
      </c>
      <c r="GV67" s="247">
        <v>321.97541509724851</v>
      </c>
      <c r="GW67" s="247">
        <v>321.04692531293199</v>
      </c>
      <c r="GX67" s="247">
        <v>320.11930868254296</v>
      </c>
      <c r="GY67" s="247">
        <v>319.19256141529479</v>
      </c>
      <c r="GZ67" s="247">
        <v>318.26739756501149</v>
      </c>
      <c r="HA67" s="247">
        <v>317.34311680792979</v>
      </c>
      <c r="HB67" s="247">
        <v>316.41974383631407</v>
      </c>
      <c r="HC67" s="247">
        <v>315.49730303859803</v>
      </c>
      <c r="HD67" s="247">
        <v>314.57581870284469</v>
      </c>
      <c r="HE67" s="247">
        <v>313.65531492806656</v>
      </c>
      <c r="HF67" s="247">
        <v>312.73581570576414</v>
      </c>
      <c r="HG67" s="247">
        <v>311.81734477903558</v>
      </c>
      <c r="HH67" s="247">
        <v>310.89992580708412</v>
      </c>
      <c r="HI67" s="247">
        <v>309.9835822807849</v>
      </c>
      <c r="HJ67" s="247">
        <v>309.06833746042435</v>
      </c>
      <c r="HK67" s="247">
        <v>308.15421454569014</v>
      </c>
      <c r="HL67" s="247">
        <v>307.24194711503077</v>
      </c>
      <c r="HM67" s="247">
        <v>306.33079493891904</v>
      </c>
      <c r="HN67" s="247">
        <v>305.42073559221183</v>
      </c>
      <c r="HO67" s="247">
        <v>304.51174682235791</v>
      </c>
      <c r="HP67" s="247">
        <v>303.60380645364035</v>
      </c>
      <c r="HQ67" s="247">
        <v>302.69689250923625</v>
      </c>
      <c r="HR67" s="247">
        <v>301.79098306136365</v>
      </c>
      <c r="HS67" s="247">
        <v>300.88605634326626</v>
      </c>
      <c r="HT67" s="247">
        <v>299.98209072192446</v>
      </c>
      <c r="HU67" s="247">
        <v>299.07906465755968</v>
      </c>
      <c r="HV67" s="247">
        <v>298.1769567656479</v>
      </c>
      <c r="HW67" s="247">
        <v>297.27574571566225</v>
      </c>
      <c r="HX67" s="247">
        <v>296.37613910819704</v>
      </c>
      <c r="HY67" s="247">
        <v>295.47741039711588</v>
      </c>
      <c r="HZ67" s="247">
        <v>294.57956880704688</v>
      </c>
      <c r="IA67" s="247">
        <v>293.68262350264865</v>
      </c>
      <c r="IB67" s="247">
        <v>292.78658357684128</v>
      </c>
      <c r="IC67" s="247">
        <v>291.89145804879018</v>
      </c>
      <c r="ID67" s="247">
        <v>290.99725591874954</v>
      </c>
      <c r="IE67" s="247">
        <v>290.10398607695845</v>
      </c>
      <c r="IF67" s="247">
        <v>289.2116573571887</v>
      </c>
      <c r="IG67" s="247">
        <v>288.32027853709718</v>
      </c>
      <c r="IH67" s="247">
        <v>287.4298583388827</v>
      </c>
      <c r="II67" s="247">
        <v>286.54040542960774</v>
      </c>
      <c r="IJ67" s="247">
        <v>285.65266004052029</v>
      </c>
      <c r="IK67" s="247">
        <v>284.76590363782918</v>
      </c>
      <c r="IL67" s="247">
        <v>283.88015632159045</v>
      </c>
      <c r="IM67" s="247">
        <v>282.99543798397553</v>
      </c>
      <c r="IN67" s="247">
        <v>282.11176843438858</v>
      </c>
      <c r="IO67" s="247">
        <v>281.22916743535285</v>
      </c>
      <c r="IP67" s="247">
        <v>280.34765452395357</v>
      </c>
      <c r="IQ67" s="247">
        <v>279.46724913618806</v>
      </c>
      <c r="IR67" s="247">
        <v>278.58797067683599</v>
      </c>
      <c r="IS67" s="247">
        <v>277.70983836665295</v>
      </c>
      <c r="IT67" s="247">
        <v>276.83287131968825</v>
      </c>
      <c r="IU67" s="247">
        <v>275.95708854354626</v>
      </c>
      <c r="IV67" s="247">
        <v>275.08323767097164</v>
      </c>
      <c r="IW67" s="247">
        <v>274.21055600992418</v>
      </c>
      <c r="IX67" s="247">
        <v>273.3390167358861</v>
      </c>
      <c r="IY67" s="247">
        <v>272.46859320791827</v>
      </c>
      <c r="IZ67" s="247">
        <v>271.59925886526111</v>
      </c>
      <c r="JA67" s="247">
        <v>270.73098737441069</v>
      </c>
      <c r="JB67" s="247">
        <v>269.8637524743238</v>
      </c>
      <c r="JC67" s="247">
        <v>268.99752807823813</v>
      </c>
      <c r="JD67" s="247">
        <v>268.13228824895134</v>
      </c>
      <c r="JE67" s="247">
        <v>267.26800712510834</v>
      </c>
      <c r="JF67" s="247">
        <v>266.40465903250697</v>
      </c>
      <c r="JG67" s="247">
        <v>265.54221844753329</v>
      </c>
      <c r="JH67" s="247">
        <v>264.6814092242733</v>
      </c>
      <c r="JI67" s="247">
        <v>263.82148350239129</v>
      </c>
      <c r="JJ67" s="247">
        <v>262.96244977815701</v>
      </c>
      <c r="JK67" s="247">
        <v>262.10431639411837</v>
      </c>
      <c r="JL67" s="247">
        <v>261.24709170948677</v>
      </c>
      <c r="JM67" s="247">
        <v>260.39078397301154</v>
      </c>
      <c r="JN67" s="247">
        <v>259.53540144127794</v>
      </c>
      <c r="JO67" s="247">
        <v>258.6809522276879</v>
      </c>
      <c r="JP67" s="247">
        <v>257.82744465051229</v>
      </c>
      <c r="JQ67" s="247">
        <v>256.97488652455041</v>
      </c>
      <c r="JR67" s="247">
        <v>256.1232860454071</v>
      </c>
      <c r="JS67" s="247">
        <v>255.27265125934886</v>
      </c>
      <c r="JT67" s="247">
        <v>254.4237382446691</v>
      </c>
      <c r="JU67" s="247">
        <v>253.57577845415821</v>
      </c>
      <c r="JV67" s="247">
        <v>252.72875855650034</v>
      </c>
      <c r="JW67" s="247">
        <v>251.88266543363594</v>
      </c>
      <c r="JX67" s="247">
        <v>251.03748584398571</v>
      </c>
      <c r="JY67" s="247">
        <v>250.19320676579952</v>
      </c>
      <c r="JZ67" s="247">
        <v>249.3498152181545</v>
      </c>
      <c r="KA67" s="247">
        <v>248.50729809965179</v>
      </c>
      <c r="KB67" s="247">
        <v>247.66564252569466</v>
      </c>
      <c r="KC67" s="247">
        <v>246.82483565305913</v>
      </c>
      <c r="KD67" s="247">
        <v>245.9848646860938</v>
      </c>
      <c r="KE67" s="247">
        <v>245.14571670641593</v>
      </c>
      <c r="KF67" s="247">
        <v>244.30815315491566</v>
      </c>
      <c r="KG67" s="247">
        <v>243.47146092019213</v>
      </c>
      <c r="KH67" s="247">
        <v>242.63570764125555</v>
      </c>
      <c r="KI67" s="247">
        <v>241.80096071612724</v>
      </c>
      <c r="KJ67" s="247">
        <v>240.96728697636118</v>
      </c>
      <c r="KK67" s="247">
        <v>240.13475301779755</v>
      </c>
      <c r="KL67" s="247">
        <v>239.3034251910845</v>
      </c>
      <c r="KM67" s="247">
        <v>238.47336960754708</v>
      </c>
      <c r="KN67" s="247">
        <v>237.64465197165774</v>
      </c>
      <c r="KO67" s="247">
        <v>236.81733773854836</v>
      </c>
      <c r="KP67" s="247">
        <v>235.99149195691064</v>
      </c>
      <c r="KQ67" s="247">
        <v>235.16717974995322</v>
      </c>
      <c r="KR67" s="247">
        <v>234.34521685020727</v>
      </c>
      <c r="KS67" s="247">
        <v>233.52479691145803</v>
      </c>
      <c r="KT67" s="247">
        <v>232.70587182658838</v>
      </c>
      <c r="KU67" s="247">
        <v>231.8883936848035</v>
      </c>
      <c r="KV67" s="247">
        <v>231.07231493581472</v>
      </c>
      <c r="KW67" s="247">
        <v>230.25758807375132</v>
      </c>
      <c r="KX67" s="247">
        <v>229.44416610381401</v>
      </c>
      <c r="KY67" s="247">
        <v>228.63200207621921</v>
      </c>
      <c r="KZ67" s="247">
        <v>227.82104924095481</v>
      </c>
      <c r="LA67" s="247">
        <v>227.01126119917274</v>
      </c>
      <c r="LB67" s="247">
        <v>226.20259159665076</v>
      </c>
      <c r="LC67" s="247">
        <v>225.39499427975588</v>
      </c>
      <c r="LD67" s="247">
        <v>224.57234663121088</v>
      </c>
      <c r="LE67" s="247">
        <v>223.75065227284091</v>
      </c>
      <c r="LF67" s="247">
        <v>222.92993438354375</v>
      </c>
      <c r="LG67" s="247">
        <v>222.110216078609</v>
      </c>
      <c r="LH67" s="247">
        <v>221.29152027393943</v>
      </c>
      <c r="LI67" s="247">
        <v>220.47386996612389</v>
      </c>
      <c r="LJ67" s="247">
        <v>219.65728808410901</v>
      </c>
      <c r="LK67" s="247">
        <v>218.8417972151652</v>
      </c>
      <c r="LL67" s="247">
        <v>218.02742015782579</v>
      </c>
      <c r="LM67" s="247">
        <v>217.21417963660019</v>
      </c>
      <c r="LN67" s="247">
        <v>216.40209802912952</v>
      </c>
      <c r="LO67" s="247">
        <v>215.59119791578632</v>
      </c>
      <c r="LP67" s="247">
        <v>214.78242125506256</v>
      </c>
      <c r="LQ67" s="247">
        <v>213.97484288152438</v>
      </c>
      <c r="LR67" s="247">
        <v>213.16846325715875</v>
      </c>
      <c r="LS67" s="247">
        <v>212.36328284654769</v>
      </c>
      <c r="LT67" s="247">
        <v>211.55930225619508</v>
      </c>
      <c r="LU67" s="247">
        <v>210.75652209963991</v>
      </c>
      <c r="LV67" s="247">
        <v>209.95494299056909</v>
      </c>
      <c r="LW67" s="247">
        <v>209.1545655460182</v>
      </c>
      <c r="LX67" s="247">
        <v>208.35539051820169</v>
      </c>
      <c r="LY67" s="247">
        <v>207.55741852251083</v>
      </c>
      <c r="LZ67" s="247">
        <v>206.76065043459022</v>
      </c>
      <c r="MA67" s="247">
        <v>205.96508686545579</v>
      </c>
      <c r="MB67" s="247">
        <v>205.153988189953</v>
      </c>
      <c r="MC67" s="247">
        <v>204.3439830937468</v>
      </c>
      <c r="MD67" s="247">
        <v>203.5350710790571</v>
      </c>
      <c r="ME67" s="247">
        <v>202.72725163221824</v>
      </c>
      <c r="MF67" s="247">
        <v>201.92052446718566</v>
      </c>
      <c r="MG67" s="247">
        <v>201.11488916712162</v>
      </c>
      <c r="MH67" s="247">
        <v>200.31034529706969</v>
      </c>
      <c r="MI67" s="247">
        <v>199.50689264206304</v>
      </c>
      <c r="MJ67" s="247">
        <v>198.70453085311777</v>
      </c>
      <c r="MK67" s="247">
        <v>197.90325967383234</v>
      </c>
      <c r="ML67" s="247">
        <v>197.10307894227074</v>
      </c>
      <c r="MM67" s="247">
        <v>196.30398847275777</v>
      </c>
      <c r="MN67" s="247">
        <v>195.50706299103084</v>
      </c>
      <c r="MO67" s="247">
        <v>194.71121734414791</v>
      </c>
      <c r="MP67" s="247">
        <v>193.91644666074876</v>
      </c>
      <c r="MQ67" s="247">
        <v>193.1227459690358</v>
      </c>
      <c r="MR67" s="247">
        <v>192.33011065874524</v>
      </c>
      <c r="MS67" s="247">
        <v>191.53853590969831</v>
      </c>
      <c r="MT67" s="247">
        <v>190.748017025633</v>
      </c>
      <c r="MU67" s="247">
        <v>189.9585494372854</v>
      </c>
      <c r="MV67" s="247">
        <v>189.17012847555398</v>
      </c>
      <c r="MW67" s="247">
        <v>188.38274947735366</v>
      </c>
      <c r="MX67" s="247">
        <v>187.59640812035323</v>
      </c>
      <c r="MY67" s="247">
        <v>186.8110997560176</v>
      </c>
    </row>
    <row r="68" spans="1:363" ht="15.6" x14ac:dyDescent="0.3">
      <c r="A68" s="67" t="s">
        <v>7</v>
      </c>
      <c r="B68" s="72">
        <v>2078</v>
      </c>
      <c r="C68" s="247">
        <v>522.93068191274301</v>
      </c>
      <c r="D68" s="247">
        <v>521.90258859253527</v>
      </c>
      <c r="E68" s="247">
        <v>520.87450756001033</v>
      </c>
      <c r="F68" s="247">
        <v>519.8464396478887</v>
      </c>
      <c r="G68" s="247">
        <v>518.81838572465381</v>
      </c>
      <c r="H68" s="247">
        <v>517.79034664976939</v>
      </c>
      <c r="I68" s="247">
        <v>516.76232327649473</v>
      </c>
      <c r="J68" s="247">
        <v>515.73431644261746</v>
      </c>
      <c r="K68" s="247">
        <v>514.70632700300371</v>
      </c>
      <c r="L68" s="247">
        <v>513.67835582843588</v>
      </c>
      <c r="M68" s="247">
        <v>512.65040375631338</v>
      </c>
      <c r="N68" s="247">
        <v>511.6224716560705</v>
      </c>
      <c r="O68" s="247">
        <v>510.59456036604297</v>
      </c>
      <c r="P68" s="247">
        <v>509.56632150981898</v>
      </c>
      <c r="Q68" s="247">
        <v>508.53809278978298</v>
      </c>
      <c r="R68" s="247">
        <v>507.50987467415422</v>
      </c>
      <c r="S68" s="247">
        <v>506.48166766520313</v>
      </c>
      <c r="T68" s="247">
        <v>505.45347223371988</v>
      </c>
      <c r="U68" s="247">
        <v>504.42528886552651</v>
      </c>
      <c r="V68" s="247">
        <v>503.39711805982284</v>
      </c>
      <c r="W68" s="247">
        <v>502.36896027991048</v>
      </c>
      <c r="X68" s="247">
        <v>501.34081603148661</v>
      </c>
      <c r="Y68" s="247">
        <v>500.31268580478127</v>
      </c>
      <c r="Z68" s="247">
        <v>499.28457008171853</v>
      </c>
      <c r="AA68" s="247">
        <v>498.25646937109968</v>
      </c>
      <c r="AB68" s="247">
        <v>497.22805724552416</v>
      </c>
      <c r="AC68" s="247">
        <v>496.19964930467421</v>
      </c>
      <c r="AD68" s="247">
        <v>495.17124571064528</v>
      </c>
      <c r="AE68" s="247">
        <v>494.14284666911112</v>
      </c>
      <c r="AF68" s="247">
        <v>493.11445234456681</v>
      </c>
      <c r="AG68" s="247">
        <v>492.08606294991307</v>
      </c>
      <c r="AH68" s="247">
        <v>491.05767863929168</v>
      </c>
      <c r="AI68" s="247">
        <v>490.02929964542727</v>
      </c>
      <c r="AJ68" s="247">
        <v>489.00092612085285</v>
      </c>
      <c r="AK68" s="247">
        <v>487.97255831452804</v>
      </c>
      <c r="AL68" s="247">
        <v>486.94419639761151</v>
      </c>
      <c r="AM68" s="247">
        <v>485.91584059201881</v>
      </c>
      <c r="AN68" s="247">
        <v>484.88823492257961</v>
      </c>
      <c r="AO68" s="247">
        <v>483.86063065743321</v>
      </c>
      <c r="AP68" s="247">
        <v>482.83302944174289</v>
      </c>
      <c r="AQ68" s="247">
        <v>481.80543285902024</v>
      </c>
      <c r="AR68" s="247">
        <v>480.77784251421872</v>
      </c>
      <c r="AS68" s="247">
        <v>479.75026003902769</v>
      </c>
      <c r="AT68" s="247">
        <v>478.7226869974283</v>
      </c>
      <c r="AU68" s="247">
        <v>477.69512498664801</v>
      </c>
      <c r="AV68" s="247">
        <v>476.66757558588063</v>
      </c>
      <c r="AW68" s="247">
        <v>475.64004037809696</v>
      </c>
      <c r="AX68" s="247">
        <v>474.61252094214768</v>
      </c>
      <c r="AY68" s="247">
        <v>473.58501885081296</v>
      </c>
      <c r="AZ68" s="247">
        <v>472.55828569703687</v>
      </c>
      <c r="BA68" s="247">
        <v>471.53156398716226</v>
      </c>
      <c r="BB68" s="247">
        <v>470.50485281124668</v>
      </c>
      <c r="BC68" s="247">
        <v>469.47815124902382</v>
      </c>
      <c r="BD68" s="247">
        <v>468.45145839424094</v>
      </c>
      <c r="BE68" s="247">
        <v>467.42477334854385</v>
      </c>
      <c r="BF68" s="247">
        <v>466.39809523180418</v>
      </c>
      <c r="BG68" s="247">
        <v>465.37142316671981</v>
      </c>
      <c r="BH68" s="247">
        <v>464.34475628567185</v>
      </c>
      <c r="BI68" s="247">
        <v>463.31809372934623</v>
      </c>
      <c r="BJ68" s="247">
        <v>462.29143463904427</v>
      </c>
      <c r="BK68" s="247">
        <v>461.26477820041879</v>
      </c>
      <c r="BL68" s="247">
        <v>460.24012870557078</v>
      </c>
      <c r="BM68" s="247">
        <v>459.21548527072997</v>
      </c>
      <c r="BN68" s="247">
        <v>458.19085450171303</v>
      </c>
      <c r="BO68" s="247">
        <v>457.16624296690537</v>
      </c>
      <c r="BP68" s="247">
        <v>456.14165724661603</v>
      </c>
      <c r="BQ68" s="247">
        <v>455.11710385352802</v>
      </c>
      <c r="BR68" s="247">
        <v>454.09258924406754</v>
      </c>
      <c r="BS68" s="247">
        <v>453.06811986215149</v>
      </c>
      <c r="BT68" s="247">
        <v>452.04370208612903</v>
      </c>
      <c r="BU68" s="247">
        <v>451.0193423120063</v>
      </c>
      <c r="BV68" s="247">
        <v>449.9950468602234</v>
      </c>
      <c r="BW68" s="247">
        <v>448.97082199882243</v>
      </c>
      <c r="BX68" s="247">
        <v>447.94888082591319</v>
      </c>
      <c r="BY68" s="247">
        <v>446.92701667667484</v>
      </c>
      <c r="BZ68" s="247">
        <v>445.90522609803077</v>
      </c>
      <c r="CA68" s="247">
        <v>444.88350562770705</v>
      </c>
      <c r="CB68" s="247">
        <v>443.86185183360368</v>
      </c>
      <c r="CC68" s="247">
        <v>442.84026131926487</v>
      </c>
      <c r="CD68" s="247">
        <v>441.81873069740925</v>
      </c>
      <c r="CE68" s="247">
        <v>440.7972566107116</v>
      </c>
      <c r="CF68" s="247">
        <v>439.77583572645995</v>
      </c>
      <c r="CG68" s="247">
        <v>438.75446473657445</v>
      </c>
      <c r="CH68" s="247">
        <v>437.73314034687888</v>
      </c>
      <c r="CI68" s="247">
        <v>436.71185930168457</v>
      </c>
      <c r="CJ68" s="247">
        <v>435.69485552303479</v>
      </c>
      <c r="CK68" s="247">
        <v>434.67790320505424</v>
      </c>
      <c r="CL68" s="247">
        <v>433.66100554760732</v>
      </c>
      <c r="CM68" s="247">
        <v>432.64416566187327</v>
      </c>
      <c r="CN68" s="247">
        <v>431.62738668696812</v>
      </c>
      <c r="CO68" s="247">
        <v>430.6106717241754</v>
      </c>
      <c r="CP68" s="247">
        <v>429.59402386491848</v>
      </c>
      <c r="CQ68" s="247">
        <v>428.57744616979971</v>
      </c>
      <c r="CR68" s="247">
        <v>427.56094167783675</v>
      </c>
      <c r="CS68" s="247">
        <v>426.54451344977332</v>
      </c>
      <c r="CT68" s="247">
        <v>425.52816448306521</v>
      </c>
      <c r="CU68" s="247">
        <v>424.51189778367916</v>
      </c>
      <c r="CV68" s="247">
        <v>423.50078139475244</v>
      </c>
      <c r="CW68" s="247">
        <v>422.48976680454405</v>
      </c>
      <c r="CX68" s="247">
        <v>421.47885479273532</v>
      </c>
      <c r="CY68" s="247">
        <v>420.46804615579549</v>
      </c>
      <c r="CZ68" s="247">
        <v>419.45734167232325</v>
      </c>
      <c r="DA68" s="247">
        <v>418.44674209525868</v>
      </c>
      <c r="DB68" s="247">
        <v>417.43624821721954</v>
      </c>
      <c r="DC68" s="247">
        <v>416.42586081194338</v>
      </c>
      <c r="DD68" s="247">
        <v>415.41558061287395</v>
      </c>
      <c r="DE68" s="247">
        <v>414.40540839601653</v>
      </c>
      <c r="DF68" s="247">
        <v>413.39534489827071</v>
      </c>
      <c r="DG68" s="247">
        <v>412.38539086726752</v>
      </c>
      <c r="DH68" s="247">
        <v>411.38164386744688</v>
      </c>
      <c r="DI68" s="247">
        <v>410.37803553878877</v>
      </c>
      <c r="DJ68" s="247">
        <v>409.37457437766176</v>
      </c>
      <c r="DK68" s="247">
        <v>408.371268899607</v>
      </c>
      <c r="DL68" s="247">
        <v>407.36812750274447</v>
      </c>
      <c r="DM68" s="247">
        <v>406.36515859179195</v>
      </c>
      <c r="DN68" s="247">
        <v>405.36237042756727</v>
      </c>
      <c r="DO68" s="247">
        <v>404.35977132147656</v>
      </c>
      <c r="DP68" s="247">
        <v>403.35736942417515</v>
      </c>
      <c r="DQ68" s="247">
        <v>402.35517287683717</v>
      </c>
      <c r="DR68" s="247">
        <v>401.3531897545252</v>
      </c>
      <c r="DS68" s="247">
        <v>400.35142812293162</v>
      </c>
      <c r="DT68" s="247">
        <v>399.35733533025081</v>
      </c>
      <c r="DU68" s="247">
        <v>398.36352323649226</v>
      </c>
      <c r="DV68" s="247">
        <v>397.37000323910996</v>
      </c>
      <c r="DW68" s="247">
        <v>396.3767865898231</v>
      </c>
      <c r="DX68" s="247">
        <v>395.38388449379187</v>
      </c>
      <c r="DY68" s="247">
        <v>394.39130808137924</v>
      </c>
      <c r="DZ68" s="247">
        <v>393.39906838528213</v>
      </c>
      <c r="EA68" s="247">
        <v>392.40717639182651</v>
      </c>
      <c r="EB68" s="247">
        <v>391.41564299097513</v>
      </c>
      <c r="EC68" s="247">
        <v>390.42447897959937</v>
      </c>
      <c r="ED68" s="247">
        <v>389.43369508151261</v>
      </c>
      <c r="EE68" s="247">
        <v>388.44330194916785</v>
      </c>
      <c r="EF68" s="247">
        <v>387.4626079218009</v>
      </c>
      <c r="EG68" s="247">
        <v>386.48237838063676</v>
      </c>
      <c r="EH68" s="247">
        <v>385.50260781060177</v>
      </c>
      <c r="EI68" s="247">
        <v>384.52329088206415</v>
      </c>
      <c r="EJ68" s="247">
        <v>383.5444221731172</v>
      </c>
      <c r="EK68" s="247">
        <v>382.56599635679527</v>
      </c>
      <c r="EL68" s="247">
        <v>381.58800812643642</v>
      </c>
      <c r="EM68" s="247">
        <v>380.61045213292226</v>
      </c>
      <c r="EN68" s="247">
        <v>379.63332316888511</v>
      </c>
      <c r="EO68" s="247">
        <v>378.65661595592962</v>
      </c>
      <c r="EP68" s="247">
        <v>377.68032528738649</v>
      </c>
      <c r="EQ68" s="247">
        <v>376.7044459821077</v>
      </c>
      <c r="ER68" s="247">
        <v>375.73494659146496</v>
      </c>
      <c r="ES68" s="247">
        <v>374.76589114478008</v>
      </c>
      <c r="ET68" s="247">
        <v>373.79728761084863</v>
      </c>
      <c r="EU68" s="247">
        <v>372.8291441250459</v>
      </c>
      <c r="EV68" s="247">
        <v>371.86146856875234</v>
      </c>
      <c r="EW68" s="247">
        <v>370.89426886869876</v>
      </c>
      <c r="EX68" s="247">
        <v>369.9275528424846</v>
      </c>
      <c r="EY68" s="247">
        <v>368.96132825804233</v>
      </c>
      <c r="EZ68" s="247">
        <v>367.99560282678362</v>
      </c>
      <c r="FA68" s="247">
        <v>367.03038418042161</v>
      </c>
      <c r="FB68" s="247">
        <v>366.06567992083558</v>
      </c>
      <c r="FC68" s="247">
        <v>365.10149757148929</v>
      </c>
      <c r="FD68" s="247">
        <v>364.13853950347323</v>
      </c>
      <c r="FE68" s="247">
        <v>363.17611044665699</v>
      </c>
      <c r="FF68" s="247">
        <v>362.21421715586598</v>
      </c>
      <c r="FG68" s="247">
        <v>361.25286632796985</v>
      </c>
      <c r="FH68" s="247">
        <v>360.29206456285652</v>
      </c>
      <c r="FI68" s="247">
        <v>359.33181848206806</v>
      </c>
      <c r="FJ68" s="247">
        <v>358.37213460291957</v>
      </c>
      <c r="FK68" s="247">
        <v>357.41301939669643</v>
      </c>
      <c r="FL68" s="247">
        <v>356.45447928176907</v>
      </c>
      <c r="FM68" s="247">
        <v>355.49652060111765</v>
      </c>
      <c r="FN68" s="247">
        <v>354.53914967085467</v>
      </c>
      <c r="FO68" s="247">
        <v>353.58237273299352</v>
      </c>
      <c r="FP68" s="247">
        <v>352.62689483793406</v>
      </c>
      <c r="FQ68" s="247">
        <v>351.67201691383298</v>
      </c>
      <c r="FR68" s="247">
        <v>350.717745769136</v>
      </c>
      <c r="FS68" s="247">
        <v>349.76408824272073</v>
      </c>
      <c r="FT68" s="247">
        <v>348.81105102269203</v>
      </c>
      <c r="FU68" s="247">
        <v>347.85864080966303</v>
      </c>
      <c r="FV68" s="247">
        <v>346.90686424142046</v>
      </c>
      <c r="FW68" s="247">
        <v>345.95572783156848</v>
      </c>
      <c r="FX68" s="247">
        <v>345.00523812785679</v>
      </c>
      <c r="FY68" s="247">
        <v>344.05540152539703</v>
      </c>
      <c r="FZ68" s="247">
        <v>343.10622447820316</v>
      </c>
      <c r="GA68" s="247">
        <v>342.1577133124959</v>
      </c>
      <c r="GB68" s="247">
        <v>341.21057947899936</v>
      </c>
      <c r="GC68" s="247">
        <v>340.26413243445552</v>
      </c>
      <c r="GD68" s="247">
        <v>339.31839378665609</v>
      </c>
      <c r="GE68" s="247">
        <v>338.37338504294735</v>
      </c>
      <c r="GF68" s="247">
        <v>337.42912748062582</v>
      </c>
      <c r="GG68" s="247">
        <v>336.48564228262057</v>
      </c>
      <c r="GH68" s="247">
        <v>335.54295046422476</v>
      </c>
      <c r="GI68" s="247">
        <v>334.6010729050634</v>
      </c>
      <c r="GJ68" s="247">
        <v>333.66003032018403</v>
      </c>
      <c r="GK68" s="247">
        <v>332.71984326099437</v>
      </c>
      <c r="GL68" s="247">
        <v>331.7805321393443</v>
      </c>
      <c r="GM68" s="247">
        <v>330.84211725005798</v>
      </c>
      <c r="GN68" s="247">
        <v>329.90532153167698</v>
      </c>
      <c r="GO68" s="247">
        <v>328.96943107534349</v>
      </c>
      <c r="GP68" s="247">
        <v>328.03444196341758</v>
      </c>
      <c r="GQ68" s="247">
        <v>327.1003502848871</v>
      </c>
      <c r="GR68" s="247">
        <v>326.16715214340934</v>
      </c>
      <c r="GS68" s="247">
        <v>325.2348436330127</v>
      </c>
      <c r="GT68" s="247">
        <v>324.30342087784396</v>
      </c>
      <c r="GU68" s="247">
        <v>323.37288004092682</v>
      </c>
      <c r="GV68" s="247">
        <v>322.44321722962445</v>
      </c>
      <c r="GW68" s="247">
        <v>321.51442860645966</v>
      </c>
      <c r="GX68" s="247">
        <v>320.586510346154</v>
      </c>
      <c r="GY68" s="247">
        <v>319.65945867914547</v>
      </c>
      <c r="GZ68" s="247">
        <v>318.73398593168247</v>
      </c>
      <c r="HA68" s="247">
        <v>317.80939346829115</v>
      </c>
      <c r="HB68" s="247">
        <v>316.8857059012484</v>
      </c>
      <c r="HC68" s="247">
        <v>315.9629475403367</v>
      </c>
      <c r="HD68" s="247">
        <v>315.04114259562311</v>
      </c>
      <c r="HE68" s="247">
        <v>314.12031508905608</v>
      </c>
      <c r="HF68" s="247">
        <v>313.20048893571538</v>
      </c>
      <c r="HG68" s="247">
        <v>312.28168780343628</v>
      </c>
      <c r="HH68" s="247">
        <v>311.36393527673164</v>
      </c>
      <c r="HI68" s="247">
        <v>310.44725477264086</v>
      </c>
      <c r="HJ68" s="247">
        <v>309.5316694786996</v>
      </c>
      <c r="HK68" s="247">
        <v>308.61720252233226</v>
      </c>
      <c r="HL68" s="247">
        <v>307.70458571155837</v>
      </c>
      <c r="HM68" s="247">
        <v>306.79308062315738</v>
      </c>
      <c r="HN68" s="247">
        <v>305.88266491923412</v>
      </c>
      <c r="HO68" s="247">
        <v>304.97331643373963</v>
      </c>
      <c r="HP68" s="247">
        <v>304.06501307709863</v>
      </c>
      <c r="HQ68" s="247">
        <v>303.15773295780866</v>
      </c>
      <c r="HR68" s="247">
        <v>302.2514542331221</v>
      </c>
      <c r="HS68" s="247">
        <v>301.34615522065087</v>
      </c>
      <c r="HT68" s="247">
        <v>300.44181437119033</v>
      </c>
      <c r="HU68" s="247">
        <v>299.5384102283378</v>
      </c>
      <c r="HV68" s="247">
        <v>298.63592149032104</v>
      </c>
      <c r="HW68" s="247">
        <v>297.73432690909129</v>
      </c>
      <c r="HX68" s="247">
        <v>296.8343324268796</v>
      </c>
      <c r="HY68" s="247">
        <v>295.93521323249558</v>
      </c>
      <c r="HZ68" s="247">
        <v>295.03697852649776</v>
      </c>
      <c r="IA68" s="247">
        <v>294.13963744981697</v>
      </c>
      <c r="IB68" s="247">
        <v>293.24319907207149</v>
      </c>
      <c r="IC68" s="247">
        <v>292.34767238952003</v>
      </c>
      <c r="ID68" s="247">
        <v>291.45306637972158</v>
      </c>
      <c r="IE68" s="247">
        <v>290.55938991076255</v>
      </c>
      <c r="IF68" s="247">
        <v>289.66665179461876</v>
      </c>
      <c r="IG68" s="247">
        <v>288.77486078748984</v>
      </c>
      <c r="IH68" s="247">
        <v>287.88402559046921</v>
      </c>
      <c r="II68" s="247">
        <v>286.99415484987122</v>
      </c>
      <c r="IJ68" s="247">
        <v>286.1059870472987</v>
      </c>
      <c r="IK68" s="247">
        <v>285.21880533688676</v>
      </c>
      <c r="IL68" s="247">
        <v>284.33262975864608</v>
      </c>
      <c r="IM68" s="247">
        <v>283.44748014563345</v>
      </c>
      <c r="IN68" s="247">
        <v>282.5633762486811</v>
      </c>
      <c r="IO68" s="247">
        <v>281.68033777212338</v>
      </c>
      <c r="IP68" s="247">
        <v>280.79838419584888</v>
      </c>
      <c r="IQ68" s="247">
        <v>279.91753489924616</v>
      </c>
      <c r="IR68" s="247">
        <v>279.0378092308265</v>
      </c>
      <c r="IS68" s="247">
        <v>278.15922635592324</v>
      </c>
      <c r="IT68" s="247">
        <v>277.28180533376496</v>
      </c>
      <c r="IU68" s="247">
        <v>276.40556511773178</v>
      </c>
      <c r="IV68" s="247">
        <v>275.53125158594099</v>
      </c>
      <c r="IW68" s="247">
        <v>274.65810386710837</v>
      </c>
      <c r="IX68" s="247">
        <v>273.78609523706484</v>
      </c>
      <c r="IY68" s="247">
        <v>272.91519915443968</v>
      </c>
      <c r="IZ68" s="247">
        <v>272.04538915765869</v>
      </c>
      <c r="JA68" s="247">
        <v>271.17663901148927</v>
      </c>
      <c r="JB68" s="247">
        <v>270.3089225527857</v>
      </c>
      <c r="JC68" s="247">
        <v>269.44221379197762</v>
      </c>
      <c r="JD68" s="247">
        <v>268.57648688844273</v>
      </c>
      <c r="JE68" s="247">
        <v>267.71171607702263</v>
      </c>
      <c r="JF68" s="247">
        <v>266.847875778993</v>
      </c>
      <c r="JG68" s="247">
        <v>265.98494056560713</v>
      </c>
      <c r="JH68" s="247">
        <v>265.12363263128231</v>
      </c>
      <c r="JI68" s="247">
        <v>264.2632058691093</v>
      </c>
      <c r="JJ68" s="247">
        <v>263.40366875582191</v>
      </c>
      <c r="JK68" s="247">
        <v>262.54502961508501</v>
      </c>
      <c r="JL68" s="247">
        <v>261.68729678735184</v>
      </c>
      <c r="JM68" s="247">
        <v>260.83047850312141</v>
      </c>
      <c r="JN68" s="247">
        <v>259.974583000856</v>
      </c>
      <c r="JO68" s="247">
        <v>259.11961837647266</v>
      </c>
      <c r="JP68" s="247">
        <v>258.26559293024417</v>
      </c>
      <c r="JQ68" s="247">
        <v>257.4125144607911</v>
      </c>
      <c r="JR68" s="247">
        <v>256.56039114644227</v>
      </c>
      <c r="JS68" s="247">
        <v>255.70923101685818</v>
      </c>
      <c r="JT68" s="247">
        <v>254.8597883974835</v>
      </c>
      <c r="JU68" s="247">
        <v>254.01129655028592</v>
      </c>
      <c r="JV68" s="247">
        <v>253.16374219743227</v>
      </c>
      <c r="JW68" s="247">
        <v>252.31711227361538</v>
      </c>
      <c r="JX68" s="247">
        <v>251.47139359043626</v>
      </c>
      <c r="JY68" s="247">
        <v>250.62657317858577</v>
      </c>
      <c r="JZ68" s="247">
        <v>249.78263810944333</v>
      </c>
      <c r="KA68" s="247">
        <v>248.93957533431649</v>
      </c>
      <c r="KB68" s="247">
        <v>248.09737202061984</v>
      </c>
      <c r="KC68" s="247">
        <v>247.25601537700484</v>
      </c>
      <c r="KD68" s="247">
        <v>246.41549265956303</v>
      </c>
      <c r="KE68" s="247">
        <v>245.57579100207812</v>
      </c>
      <c r="KF68" s="247">
        <v>244.73767008578562</v>
      </c>
      <c r="KG68" s="247">
        <v>243.90041841706304</v>
      </c>
      <c r="KH68" s="247">
        <v>243.06410342483764</v>
      </c>
      <c r="KI68" s="247">
        <v>242.22879229843116</v>
      </c>
      <c r="KJ68" s="247">
        <v>241.39455166317106</v>
      </c>
      <c r="KK68" s="247">
        <v>240.56144791001981</v>
      </c>
      <c r="KL68" s="247">
        <v>239.72954718612925</v>
      </c>
      <c r="KM68" s="247">
        <v>238.89891540069422</v>
      </c>
      <c r="KN68" s="247">
        <v>238.06961805795049</v>
      </c>
      <c r="KO68" s="247">
        <v>237.24172041415233</v>
      </c>
      <c r="KP68" s="247">
        <v>236.41528732098161</v>
      </c>
      <c r="KQ68" s="247">
        <v>235.59038370494142</v>
      </c>
      <c r="KR68" s="247">
        <v>234.76782337460705</v>
      </c>
      <c r="KS68" s="247">
        <v>233.9468018990629</v>
      </c>
      <c r="KT68" s="247">
        <v>233.127271337927</v>
      </c>
      <c r="KU68" s="247">
        <v>232.30918394619314</v>
      </c>
      <c r="KV68" s="247">
        <v>231.49249233794529</v>
      </c>
      <c r="KW68" s="247">
        <v>230.67714917124786</v>
      </c>
      <c r="KX68" s="247">
        <v>229.86310761333752</v>
      </c>
      <c r="KY68" s="247">
        <v>229.05032087607199</v>
      </c>
      <c r="KZ68" s="247">
        <v>228.23874237021084</v>
      </c>
      <c r="LA68" s="247">
        <v>227.42832585631146</v>
      </c>
      <c r="LB68" s="247">
        <v>226.61902513920472</v>
      </c>
      <c r="LC68" s="247">
        <v>225.81079422346471</v>
      </c>
      <c r="LD68" s="247">
        <v>224.98734946135104</v>
      </c>
      <c r="LE68" s="247">
        <v>224.16485476478792</v>
      </c>
      <c r="LF68" s="247">
        <v>223.34333322479034</v>
      </c>
      <c r="LG68" s="247">
        <v>222.52280786916759</v>
      </c>
      <c r="LH68" s="247">
        <v>221.70330152735514</v>
      </c>
      <c r="LI68" s="247">
        <v>220.88483710927824</v>
      </c>
      <c r="LJ68" s="247">
        <v>220.06743745764132</v>
      </c>
      <c r="LK68" s="247">
        <v>219.25112507504537</v>
      </c>
      <c r="LL68" s="247">
        <v>218.43592267462762</v>
      </c>
      <c r="LM68" s="247">
        <v>217.62185289593043</v>
      </c>
      <c r="LN68" s="247">
        <v>216.80893803321285</v>
      </c>
      <c r="LO68" s="247">
        <v>215.99720058275682</v>
      </c>
      <c r="LP68" s="247">
        <v>215.18757884651379</v>
      </c>
      <c r="LQ68" s="247">
        <v>214.37915124552967</v>
      </c>
      <c r="LR68" s="247">
        <v>213.57191824856159</v>
      </c>
      <c r="LS68" s="247">
        <v>212.76588032694823</v>
      </c>
      <c r="LT68" s="247">
        <v>211.96103809341324</v>
      </c>
      <c r="LU68" s="247">
        <v>211.15739216768964</v>
      </c>
      <c r="LV68" s="247">
        <v>210.35494316967248</v>
      </c>
      <c r="LW68" s="247">
        <v>209.55369172262533</v>
      </c>
      <c r="LX68" s="247">
        <v>208.75363858445994</v>
      </c>
      <c r="LY68" s="247">
        <v>207.95478437684312</v>
      </c>
      <c r="LZ68" s="247">
        <v>207.15712998065968</v>
      </c>
      <c r="MA68" s="247">
        <v>206.36067601328361</v>
      </c>
      <c r="MB68" s="247">
        <v>205.54852884327661</v>
      </c>
      <c r="MC68" s="247">
        <v>204.73747035279902</v>
      </c>
      <c r="MD68" s="247">
        <v>203.92750005243715</v>
      </c>
      <c r="ME68" s="247">
        <v>203.11861743690594</v>
      </c>
      <c r="MF68" s="247">
        <v>202.31082222738459</v>
      </c>
      <c r="MG68" s="247">
        <v>201.50411401487193</v>
      </c>
      <c r="MH68" s="247">
        <v>200.69849237230045</v>
      </c>
      <c r="MI68" s="247">
        <v>199.89395709145123</v>
      </c>
      <c r="MJ68" s="247">
        <v>199.09050783074508</v>
      </c>
      <c r="MK68" s="247">
        <v>198.28814434067107</v>
      </c>
      <c r="ML68" s="247">
        <v>197.48686646568274</v>
      </c>
      <c r="MM68" s="247">
        <v>196.68667402659281</v>
      </c>
      <c r="MN68" s="247">
        <v>195.88863586351889</v>
      </c>
      <c r="MO68" s="247">
        <v>195.09167273474847</v>
      </c>
      <c r="MP68" s="247">
        <v>194.29577979820706</v>
      </c>
      <c r="MQ68" s="247">
        <v>193.50095211181917</v>
      </c>
      <c r="MR68" s="247">
        <v>192.70718509320355</v>
      </c>
      <c r="MS68" s="247">
        <v>191.91447395106934</v>
      </c>
      <c r="MT68" s="247">
        <v>191.12281401737124</v>
      </c>
      <c r="MU68" s="247">
        <v>190.33220075039173</v>
      </c>
      <c r="MV68" s="247">
        <v>189.54262950905797</v>
      </c>
      <c r="MW68" s="247">
        <v>188.75409565823466</v>
      </c>
      <c r="MX68" s="247">
        <v>187.96659490180178</v>
      </c>
      <c r="MY68" s="247">
        <v>187.18012261906378</v>
      </c>
    </row>
    <row r="69" spans="1:363" ht="15.6" x14ac:dyDescent="0.3">
      <c r="A69" s="67" t="s">
        <v>7</v>
      </c>
      <c r="B69" s="72">
        <v>2079</v>
      </c>
      <c r="C69" s="247">
        <v>523.4328250200922</v>
      </c>
      <c r="D69" s="247">
        <v>522.40466308984924</v>
      </c>
      <c r="E69" s="247">
        <v>521.37651269406558</v>
      </c>
      <c r="F69" s="247">
        <v>520.3483746614429</v>
      </c>
      <c r="G69" s="247">
        <v>519.32024985585042</v>
      </c>
      <c r="H69" s="247">
        <v>518.29213913242586</v>
      </c>
      <c r="I69" s="247">
        <v>517.26404334023709</v>
      </c>
      <c r="J69" s="247">
        <v>516.23596331314661</v>
      </c>
      <c r="K69" s="247">
        <v>515.20789990197022</v>
      </c>
      <c r="L69" s="247">
        <v>514.17985397327095</v>
      </c>
      <c r="M69" s="247">
        <v>513.15182636081204</v>
      </c>
      <c r="N69" s="247">
        <v>512.12381792999793</v>
      </c>
      <c r="O69" s="247">
        <v>511.09582951570036</v>
      </c>
      <c r="P69" s="247">
        <v>510.06750961423415</v>
      </c>
      <c r="Q69" s="247">
        <v>509.03919905900932</v>
      </c>
      <c r="R69" s="247">
        <v>508.01089831987218</v>
      </c>
      <c r="S69" s="247">
        <v>506.9826079001142</v>
      </c>
      <c r="T69" s="247">
        <v>505.95432827220748</v>
      </c>
      <c r="U69" s="247">
        <v>504.92605992345801</v>
      </c>
      <c r="V69" s="247">
        <v>503.89780335435358</v>
      </c>
      <c r="W69" s="247">
        <v>502.8695590302101</v>
      </c>
      <c r="X69" s="247">
        <v>501.84132745812701</v>
      </c>
      <c r="Y69" s="247">
        <v>500.81310913005552</v>
      </c>
      <c r="Z69" s="247">
        <v>499.78490452986836</v>
      </c>
      <c r="AA69" s="247">
        <v>498.75671416799628</v>
      </c>
      <c r="AB69" s="247">
        <v>497.72820927693357</v>
      </c>
      <c r="AC69" s="247">
        <v>496.69970781345279</v>
      </c>
      <c r="AD69" s="247">
        <v>495.67120994663082</v>
      </c>
      <c r="AE69" s="247">
        <v>494.64271588831775</v>
      </c>
      <c r="AF69" s="247">
        <v>493.61422581004746</v>
      </c>
      <c r="AG69" s="247">
        <v>492.58573993097116</v>
      </c>
      <c r="AH69" s="247">
        <v>491.55725841250472</v>
      </c>
      <c r="AI69" s="247">
        <v>490.52878149346196</v>
      </c>
      <c r="AJ69" s="247">
        <v>489.50030933389542</v>
      </c>
      <c r="AK69" s="247">
        <v>488.47184218871695</v>
      </c>
      <c r="AL69" s="247">
        <v>487.4433802364577</v>
      </c>
      <c r="AM69" s="247">
        <v>486.41492370565237</v>
      </c>
      <c r="AN69" s="247">
        <v>485.38721006938465</v>
      </c>
      <c r="AO69" s="247">
        <v>484.35949712732577</v>
      </c>
      <c r="AP69" s="247">
        <v>483.33178650645164</v>
      </c>
      <c r="AQ69" s="247">
        <v>482.30407977307323</v>
      </c>
      <c r="AR69" s="247">
        <v>481.27637851475072</v>
      </c>
      <c r="AS69" s="247">
        <v>480.24868434536222</v>
      </c>
      <c r="AT69" s="247">
        <v>479.22099881226853</v>
      </c>
      <c r="AU69" s="247">
        <v>478.19332349567105</v>
      </c>
      <c r="AV69" s="247">
        <v>477.16565995810572</v>
      </c>
      <c r="AW69" s="247">
        <v>476.13800976591671</v>
      </c>
      <c r="AX69" s="247">
        <v>475.11037448149153</v>
      </c>
      <c r="AY69" s="247">
        <v>474.08275566137041</v>
      </c>
      <c r="AZ69" s="247">
        <v>473.05589826772666</v>
      </c>
      <c r="BA69" s="247">
        <v>472.02905143769527</v>
      </c>
      <c r="BB69" s="247">
        <v>471.00221428659239</v>
      </c>
      <c r="BC69" s="247">
        <v>469.97538591951258</v>
      </c>
      <c r="BD69" s="247">
        <v>468.94856545548777</v>
      </c>
      <c r="BE69" s="247">
        <v>467.92175202133194</v>
      </c>
      <c r="BF69" s="247">
        <v>466.89494476180147</v>
      </c>
      <c r="BG69" s="247">
        <v>465.86814282456623</v>
      </c>
      <c r="BH69" s="247">
        <v>464.84134536688475</v>
      </c>
      <c r="BI69" s="247">
        <v>463.81455155423993</v>
      </c>
      <c r="BJ69" s="247">
        <v>462.78776055280827</v>
      </c>
      <c r="BK69" s="247">
        <v>461.76097157246608</v>
      </c>
      <c r="BL69" s="247">
        <v>460.73617765311474</v>
      </c>
      <c r="BM69" s="247">
        <v>459.71138906782113</v>
      </c>
      <c r="BN69" s="247">
        <v>458.68661232636265</v>
      </c>
      <c r="BO69" s="247">
        <v>457.66185390166606</v>
      </c>
      <c r="BP69" s="247">
        <v>456.63712027857628</v>
      </c>
      <c r="BQ69" s="247">
        <v>455.61241787546447</v>
      </c>
      <c r="BR69" s="247">
        <v>454.58775305540433</v>
      </c>
      <c r="BS69" s="247">
        <v>453.56313216933449</v>
      </c>
      <c r="BT69" s="247">
        <v>452.53856150377914</v>
      </c>
      <c r="BU69" s="247">
        <v>451.51404736273855</v>
      </c>
      <c r="BV69" s="247">
        <v>450.4895959759823</v>
      </c>
      <c r="BW69" s="247">
        <v>449.46521352185613</v>
      </c>
      <c r="BX69" s="247">
        <v>448.44310268697029</v>
      </c>
      <c r="BY69" s="247">
        <v>447.42106715555383</v>
      </c>
      <c r="BZ69" s="247">
        <v>446.39910353489279</v>
      </c>
      <c r="CA69" s="247">
        <v>445.37720842312996</v>
      </c>
      <c r="CB69" s="247">
        <v>444.35537844826359</v>
      </c>
      <c r="CC69" s="247">
        <v>443.33361027341516</v>
      </c>
      <c r="CD69" s="247">
        <v>442.31190057075099</v>
      </c>
      <c r="CE69" s="247">
        <v>441.29024604205557</v>
      </c>
      <c r="CF69" s="247">
        <v>440.26864341340536</v>
      </c>
      <c r="CG69" s="247">
        <v>439.24708943518738</v>
      </c>
      <c r="CH69" s="247">
        <v>438.22558087155591</v>
      </c>
      <c r="CI69" s="247">
        <v>437.20411452465413</v>
      </c>
      <c r="CJ69" s="247">
        <v>436.18691429765806</v>
      </c>
      <c r="CK69" s="247">
        <v>435.16976440974048</v>
      </c>
      <c r="CL69" s="247">
        <v>434.1526680271071</v>
      </c>
      <c r="CM69" s="247">
        <v>433.13562822839737</v>
      </c>
      <c r="CN69" s="247">
        <v>432.11864811997958</v>
      </c>
      <c r="CO69" s="247">
        <v>431.10173077092901</v>
      </c>
      <c r="CP69" s="247">
        <v>430.08487924063695</v>
      </c>
      <c r="CQ69" s="247">
        <v>429.06809655820126</v>
      </c>
      <c r="CR69" s="247">
        <v>428.05138573150202</v>
      </c>
      <c r="CS69" s="247">
        <v>427.03474978993791</v>
      </c>
      <c r="CT69" s="247">
        <v>426.01819170054296</v>
      </c>
      <c r="CU69" s="247">
        <v>425.00171443885824</v>
      </c>
      <c r="CV69" s="247">
        <v>423.99038438512633</v>
      </c>
      <c r="CW69" s="247">
        <v>422.9791546808878</v>
      </c>
      <c r="CX69" s="247">
        <v>421.96802610387221</v>
      </c>
      <c r="CY69" s="247">
        <v>420.95699944840368</v>
      </c>
      <c r="CZ69" s="247">
        <v>419.94607549124817</v>
      </c>
      <c r="DA69" s="247">
        <v>418.93525498383093</v>
      </c>
      <c r="DB69" s="247">
        <v>417.9245387168632</v>
      </c>
      <c r="DC69" s="247">
        <v>416.91392746248965</v>
      </c>
      <c r="DD69" s="247">
        <v>415.90342195306346</v>
      </c>
      <c r="DE69" s="247">
        <v>414.89302296310456</v>
      </c>
      <c r="DF69" s="247">
        <v>413.88273122853013</v>
      </c>
      <c r="DG69" s="247">
        <v>412.87254749596588</v>
      </c>
      <c r="DH69" s="247">
        <v>411.86858025411522</v>
      </c>
      <c r="DI69" s="247">
        <v>410.86475023272891</v>
      </c>
      <c r="DJ69" s="247">
        <v>409.86106585864792</v>
      </c>
      <c r="DK69" s="247">
        <v>408.85753557775575</v>
      </c>
      <c r="DL69" s="247">
        <v>407.85416771971779</v>
      </c>
      <c r="DM69" s="247">
        <v>406.85097062082781</v>
      </c>
      <c r="DN69" s="247">
        <v>405.8479524748368</v>
      </c>
      <c r="DO69" s="247">
        <v>404.84512152579293</v>
      </c>
      <c r="DP69" s="247">
        <v>403.8424858585193</v>
      </c>
      <c r="DQ69" s="247">
        <v>402.84005354855083</v>
      </c>
      <c r="DR69" s="247">
        <v>401.83783260602485</v>
      </c>
      <c r="DS69" s="247">
        <v>400.83583103192467</v>
      </c>
      <c r="DT69" s="247">
        <v>399.84152565051244</v>
      </c>
      <c r="DU69" s="247">
        <v>398.84749895758955</v>
      </c>
      <c r="DV69" s="247">
        <v>397.85376227793535</v>
      </c>
      <c r="DW69" s="247">
        <v>396.86032679168062</v>
      </c>
      <c r="DX69" s="247">
        <v>395.86720363288055</v>
      </c>
      <c r="DY69" s="247">
        <v>394.87440386141975</v>
      </c>
      <c r="DZ69" s="247">
        <v>393.88193844029797</v>
      </c>
      <c r="EA69" s="247">
        <v>392.8898182866223</v>
      </c>
      <c r="EB69" s="247">
        <v>391.89805422192097</v>
      </c>
      <c r="EC69" s="247">
        <v>390.9066569753989</v>
      </c>
      <c r="ED69" s="247">
        <v>389.91563720384545</v>
      </c>
      <c r="EE69" s="247">
        <v>388.92500549331794</v>
      </c>
      <c r="EF69" s="247">
        <v>387.94412781099783</v>
      </c>
      <c r="EG69" s="247">
        <v>386.96371243595195</v>
      </c>
      <c r="EH69" s="247">
        <v>385.98375388370539</v>
      </c>
      <c r="EI69" s="247">
        <v>385.00424685434098</v>
      </c>
      <c r="EJ69" s="247">
        <v>384.02518595614862</v>
      </c>
      <c r="EK69" s="247">
        <v>383.04656589192342</v>
      </c>
      <c r="EL69" s="247">
        <v>382.06838138467265</v>
      </c>
      <c r="EM69" s="247">
        <v>381.09062711519516</v>
      </c>
      <c r="EN69" s="247">
        <v>380.11329790539685</v>
      </c>
      <c r="EO69" s="247">
        <v>379.13638850650972</v>
      </c>
      <c r="EP69" s="247">
        <v>378.1598937411934</v>
      </c>
      <c r="EQ69" s="247">
        <v>377.1838084575445</v>
      </c>
      <c r="ER69" s="247">
        <v>376.21414448288681</v>
      </c>
      <c r="ES69" s="247">
        <v>375.24492291802295</v>
      </c>
      <c r="ET69" s="247">
        <v>374.27615170590025</v>
      </c>
      <c r="EU69" s="247">
        <v>373.30783895554038</v>
      </c>
      <c r="EV69" s="247">
        <v>372.33999252306631</v>
      </c>
      <c r="EW69" s="247">
        <v>371.37262030990007</v>
      </c>
      <c r="EX69" s="247">
        <v>370.40573010886465</v>
      </c>
      <c r="EY69" s="247">
        <v>369.43932966344221</v>
      </c>
      <c r="EZ69" s="247">
        <v>368.47342666094187</v>
      </c>
      <c r="FA69" s="247">
        <v>367.50802870939606</v>
      </c>
      <c r="FB69" s="247">
        <v>366.54314338725789</v>
      </c>
      <c r="FC69" s="247">
        <v>365.57877819500021</v>
      </c>
      <c r="FD69" s="247">
        <v>364.61563367070443</v>
      </c>
      <c r="FE69" s="247">
        <v>363.65301635354172</v>
      </c>
      <c r="FF69" s="247">
        <v>362.69093297790346</v>
      </c>
      <c r="FG69" s="247">
        <v>361.7293902205451</v>
      </c>
      <c r="FH69" s="247">
        <v>360.76839466174238</v>
      </c>
      <c r="FI69" s="247">
        <v>359.8079529034564</v>
      </c>
      <c r="FJ69" s="247">
        <v>358.84807144392568</v>
      </c>
      <c r="FK69" s="247">
        <v>357.88875673565832</v>
      </c>
      <c r="FL69" s="247">
        <v>356.93001517857931</v>
      </c>
      <c r="FM69" s="247">
        <v>355.97185309761102</v>
      </c>
      <c r="FN69" s="247">
        <v>355.01427679105325</v>
      </c>
      <c r="FO69" s="247">
        <v>354.05729248350849</v>
      </c>
      <c r="FP69" s="247">
        <v>353.10160341159673</v>
      </c>
      <c r="FQ69" s="247">
        <v>352.14651229939886</v>
      </c>
      <c r="FR69" s="247">
        <v>351.19202593558191</v>
      </c>
      <c r="FS69" s="247">
        <v>350.23815113923854</v>
      </c>
      <c r="FT69" s="247">
        <v>349.28489457939304</v>
      </c>
      <c r="FU69" s="247">
        <v>348.33226293765</v>
      </c>
      <c r="FV69" s="247">
        <v>347.3802628331332</v>
      </c>
      <c r="FW69" s="247">
        <v>346.42890076137428</v>
      </c>
      <c r="FX69" s="247">
        <v>345.47818325206737</v>
      </c>
      <c r="FY69" s="247">
        <v>344.5281166829372</v>
      </c>
      <c r="FZ69" s="247">
        <v>343.57870749054558</v>
      </c>
      <c r="GA69" s="247">
        <v>342.62996198426305</v>
      </c>
      <c r="GB69" s="247">
        <v>341.68258980609619</v>
      </c>
      <c r="GC69" s="247">
        <v>340.73590215130935</v>
      </c>
      <c r="GD69" s="247">
        <v>339.78992055529608</v>
      </c>
      <c r="GE69" s="247">
        <v>338.84466645360874</v>
      </c>
      <c r="GF69" s="247">
        <v>337.90016105285264</v>
      </c>
      <c r="GG69" s="247">
        <v>336.95642546584969</v>
      </c>
      <c r="GH69" s="247">
        <v>336.01348063863327</v>
      </c>
      <c r="GI69" s="247">
        <v>335.07134738231883</v>
      </c>
      <c r="GJ69" s="247">
        <v>334.13004634429433</v>
      </c>
      <c r="GK69" s="247">
        <v>333.1895980091341</v>
      </c>
      <c r="GL69" s="247">
        <v>332.25002272262202</v>
      </c>
      <c r="GM69" s="247">
        <v>331.31134071419064</v>
      </c>
      <c r="GN69" s="247">
        <v>330.37427310067653</v>
      </c>
      <c r="GO69" s="247">
        <v>329.43810777129647</v>
      </c>
      <c r="GP69" s="247">
        <v>328.50284082968574</v>
      </c>
      <c r="GQ69" s="247">
        <v>327.56846838608971</v>
      </c>
      <c r="GR69" s="247">
        <v>326.6349865654413</v>
      </c>
      <c r="GS69" s="247">
        <v>325.70239148309537</v>
      </c>
      <c r="GT69" s="247">
        <v>324.77067928445484</v>
      </c>
      <c r="GU69" s="247">
        <v>323.8398461537127</v>
      </c>
      <c r="GV69" s="247">
        <v>322.90988821964334</v>
      </c>
      <c r="GW69" s="247">
        <v>321.98080166602051</v>
      </c>
      <c r="GX69" s="247">
        <v>321.0525826888304</v>
      </c>
      <c r="GY69" s="247">
        <v>320.12522753963111</v>
      </c>
      <c r="GZ69" s="247">
        <v>319.19944678652672</v>
      </c>
      <c r="HA69" s="247">
        <v>318.2745435127344</v>
      </c>
      <c r="HB69" s="247">
        <v>317.35054225063664</v>
      </c>
      <c r="HC69" s="247">
        <v>316.42746723145041</v>
      </c>
      <c r="HD69" s="247">
        <v>315.50534258733472</v>
      </c>
      <c r="HE69" s="247">
        <v>314.58419226324884</v>
      </c>
      <c r="HF69" s="247">
        <v>313.66404009792632</v>
      </c>
      <c r="HG69" s="247">
        <v>312.74490968401506</v>
      </c>
      <c r="HH69" s="247">
        <v>311.82682453140603</v>
      </c>
      <c r="HI69" s="247">
        <v>310.90980798336113</v>
      </c>
      <c r="HJ69" s="247">
        <v>309.99388315472987</v>
      </c>
      <c r="HK69" s="247">
        <v>309.07907310072773</v>
      </c>
      <c r="HL69" s="247">
        <v>308.16610782806157</v>
      </c>
      <c r="HM69" s="247">
        <v>307.25425075035292</v>
      </c>
      <c r="HN69" s="247">
        <v>306.3434796167154</v>
      </c>
      <c r="HO69" s="247">
        <v>305.43377234736704</v>
      </c>
      <c r="HP69" s="247">
        <v>304.52510693864332</v>
      </c>
      <c r="HQ69" s="247">
        <v>303.61746158413212</v>
      </c>
      <c r="HR69" s="247">
        <v>302.71081452588805</v>
      </c>
      <c r="HS69" s="247">
        <v>301.80514416567206</v>
      </c>
      <c r="HT69" s="247">
        <v>300.90042903786792</v>
      </c>
      <c r="HU69" s="247">
        <v>299.99664776922913</v>
      </c>
      <c r="HV69" s="247">
        <v>299.09377914051851</v>
      </c>
      <c r="HW69" s="247">
        <v>298.19180198595211</v>
      </c>
      <c r="HX69" s="247">
        <v>297.2914205579271</v>
      </c>
      <c r="HY69" s="247">
        <v>296.39191181126205</v>
      </c>
      <c r="HZ69" s="247">
        <v>295.49328492241676</v>
      </c>
      <c r="IA69" s="247">
        <v>294.59554900856227</v>
      </c>
      <c r="IB69" s="247">
        <v>293.69871311597944</v>
      </c>
      <c r="IC69" s="247">
        <v>292.80278621798607</v>
      </c>
      <c r="ID69" s="247">
        <v>291.90777726940951</v>
      </c>
      <c r="IE69" s="247">
        <v>291.01369511614257</v>
      </c>
      <c r="IF69" s="247">
        <v>290.12054854832269</v>
      </c>
      <c r="IG69" s="247">
        <v>289.22834630064591</v>
      </c>
      <c r="IH69" s="247">
        <v>288.33709705306177</v>
      </c>
      <c r="II69" s="247">
        <v>287.44680943108619</v>
      </c>
      <c r="IJ69" s="247">
        <v>286.55822013495776</v>
      </c>
      <c r="IK69" s="247">
        <v>285.67061403825727</v>
      </c>
      <c r="IL69" s="247">
        <v>284.78401112096134</v>
      </c>
      <c r="IM69" s="247">
        <v>283.89843115702251</v>
      </c>
      <c r="IN69" s="247">
        <v>283.01389383870691</v>
      </c>
      <c r="IO69" s="247">
        <v>282.13041881215918</v>
      </c>
      <c r="IP69" s="247">
        <v>281.24802550007269</v>
      </c>
      <c r="IQ69" s="247">
        <v>280.3667332252179</v>
      </c>
      <c r="IR69" s="247">
        <v>279.48656127983668</v>
      </c>
      <c r="IS69" s="247">
        <v>278.60752877382743</v>
      </c>
      <c r="IT69" s="247">
        <v>277.72965471158358</v>
      </c>
      <c r="IU69" s="247">
        <v>276.85295799224156</v>
      </c>
      <c r="IV69" s="247">
        <v>275.9781827071551</v>
      </c>
      <c r="IW69" s="247">
        <v>275.10456983750095</v>
      </c>
      <c r="IX69" s="247">
        <v>274.23209275921516</v>
      </c>
      <c r="IY69" s="247">
        <v>273.3607250302565</v>
      </c>
      <c r="IZ69" s="247">
        <v>272.49044028799955</v>
      </c>
      <c r="JA69" s="247">
        <v>271.62121239525123</v>
      </c>
      <c r="JB69" s="247">
        <v>270.75301528652602</v>
      </c>
      <c r="JC69" s="247">
        <v>269.88582306921967</v>
      </c>
      <c r="JD69" s="247">
        <v>269.01960999906225</v>
      </c>
      <c r="JE69" s="247">
        <v>268.15435040687203</v>
      </c>
      <c r="JF69" s="247">
        <v>267.29001880917315</v>
      </c>
      <c r="JG69" s="247">
        <v>266.42658987187235</v>
      </c>
      <c r="JH69" s="247">
        <v>265.56478409703578</v>
      </c>
      <c r="JI69" s="247">
        <v>264.70385716340616</v>
      </c>
      <c r="JJ69" s="247">
        <v>263.8438175281201</v>
      </c>
      <c r="JK69" s="247">
        <v>262.98467349588981</v>
      </c>
      <c r="JL69" s="247">
        <v>262.12643338834113</v>
      </c>
      <c r="JM69" s="247">
        <v>261.26910541765329</v>
      </c>
      <c r="JN69" s="247">
        <v>260.41269780408976</v>
      </c>
      <c r="JO69" s="247">
        <v>259.55721862600973</v>
      </c>
      <c r="JP69" s="247">
        <v>258.70267616561017</v>
      </c>
      <c r="JQ69" s="247">
        <v>257.84907820525041</v>
      </c>
      <c r="JR69" s="247">
        <v>256.9964329059078</v>
      </c>
      <c r="JS69" s="247">
        <v>256.14474828054995</v>
      </c>
      <c r="JT69" s="247">
        <v>255.29477686876962</v>
      </c>
      <c r="JU69" s="247">
        <v>254.44575377428893</v>
      </c>
      <c r="JV69" s="247">
        <v>253.59766577258961</v>
      </c>
      <c r="JW69" s="247">
        <v>252.75049985095418</v>
      </c>
      <c r="JX69" s="247">
        <v>251.90424287399986</v>
      </c>
      <c r="JY69" s="247">
        <v>251.05888192469305</v>
      </c>
      <c r="JZ69" s="247">
        <v>250.21440412655315</v>
      </c>
      <c r="KA69" s="247">
        <v>249.37079648343141</v>
      </c>
      <c r="KB69" s="247">
        <v>248.52804621459302</v>
      </c>
      <c r="KC69" s="247">
        <v>247.68614058040012</v>
      </c>
      <c r="KD69" s="247">
        <v>246.84506688852778</v>
      </c>
      <c r="KE69" s="247">
        <v>246.00481232476301</v>
      </c>
      <c r="KF69" s="247">
        <v>245.16613477724695</v>
      </c>
      <c r="KG69" s="247">
        <v>244.32832440333993</v>
      </c>
      <c r="KH69" s="247">
        <v>243.49144842198478</v>
      </c>
      <c r="KI69" s="247">
        <v>242.655573813892</v>
      </c>
      <c r="KJ69" s="247">
        <v>241.82076699823949</v>
      </c>
      <c r="KK69" s="247">
        <v>240.98709416118211</v>
      </c>
      <c r="KL69" s="247">
        <v>240.1546212464381</v>
      </c>
      <c r="KM69" s="247">
        <v>239.32341396112184</v>
      </c>
      <c r="KN69" s="247">
        <v>238.49353760927724</v>
      </c>
      <c r="KO69" s="247">
        <v>237.66505724831217</v>
      </c>
      <c r="KP69" s="247">
        <v>236.83803753292645</v>
      </c>
      <c r="KQ69" s="247">
        <v>236.0125431929367</v>
      </c>
      <c r="KR69" s="247">
        <v>235.18938607916451</v>
      </c>
      <c r="KS69" s="247">
        <v>234.36776370931344</v>
      </c>
      <c r="KT69" s="247">
        <v>233.54762830944</v>
      </c>
      <c r="KU69" s="247">
        <v>232.72893230003805</v>
      </c>
      <c r="KV69" s="247">
        <v>231.9116284592763</v>
      </c>
      <c r="KW69" s="247">
        <v>231.09566960887767</v>
      </c>
      <c r="KX69" s="247">
        <v>230.28100907783511</v>
      </c>
      <c r="KY69" s="247">
        <v>229.46760023937944</v>
      </c>
      <c r="KZ69" s="247">
        <v>228.65539666477093</v>
      </c>
      <c r="LA69" s="247">
        <v>227.84435227371145</v>
      </c>
      <c r="LB69" s="247">
        <v>227.03442102982524</v>
      </c>
      <c r="LC69" s="247">
        <v>226.22555709563503</v>
      </c>
      <c r="LD69" s="247">
        <v>225.40131728810036</v>
      </c>
      <c r="LE69" s="247">
        <v>224.57802432221968</v>
      </c>
      <c r="LF69" s="247">
        <v>223.75570120123794</v>
      </c>
      <c r="LG69" s="247">
        <v>222.93437086559527</v>
      </c>
      <c r="LH69" s="247">
        <v>222.11405605836623</v>
      </c>
      <c r="LI69" s="247">
        <v>221.29477960291553</v>
      </c>
      <c r="LJ69" s="247">
        <v>220.47656425580882</v>
      </c>
      <c r="LK69" s="247">
        <v>219.65943243507553</v>
      </c>
      <c r="LL69" s="247">
        <v>218.8434067685549</v>
      </c>
      <c r="LM69" s="247">
        <v>218.02850981091854</v>
      </c>
      <c r="LN69" s="247">
        <v>217.21476377313158</v>
      </c>
      <c r="LO69" s="247">
        <v>216.40219106748009</v>
      </c>
      <c r="LP69" s="247">
        <v>215.59172631508505</v>
      </c>
      <c r="LQ69" s="247">
        <v>214.78245154763349</v>
      </c>
      <c r="LR69" s="247">
        <v>213.9743672405493</v>
      </c>
      <c r="LS69" s="247">
        <v>213.16747387182085</v>
      </c>
      <c r="LT69" s="247">
        <v>212.36177206028552</v>
      </c>
      <c r="LU69" s="247">
        <v>211.55726243176733</v>
      </c>
      <c r="LV69" s="247">
        <v>210.75394561226366</v>
      </c>
      <c r="LW69" s="247">
        <v>209.95182223115881</v>
      </c>
      <c r="LX69" s="247">
        <v>209.15089305196207</v>
      </c>
      <c r="LY69" s="247">
        <v>208.35115870250604</v>
      </c>
      <c r="LZ69" s="247">
        <v>207.55262006881449</v>
      </c>
      <c r="MA69" s="247">
        <v>206.7552777745158</v>
      </c>
      <c r="MB69" s="247">
        <v>205.94208606157846</v>
      </c>
      <c r="MC69" s="247">
        <v>205.12997814067162</v>
      </c>
      <c r="MD69" s="247">
        <v>204.31895353070274</v>
      </c>
      <c r="ME69" s="247">
        <v>203.50901173472872</v>
      </c>
      <c r="MF69" s="247">
        <v>202.70015248111295</v>
      </c>
      <c r="MG69" s="247">
        <v>201.89237536865573</v>
      </c>
      <c r="MH69" s="247">
        <v>201.08567997814197</v>
      </c>
      <c r="MI69" s="247">
        <v>200.28006610806878</v>
      </c>
      <c r="MJ69" s="247">
        <v>199.47553342423453</v>
      </c>
      <c r="MK69" s="247">
        <v>198.67208168398585</v>
      </c>
      <c r="ML69" s="247">
        <v>197.86971073814291</v>
      </c>
      <c r="MM69" s="247">
        <v>197.06842041398369</v>
      </c>
      <c r="MN69" s="247">
        <v>196.26927365854277</v>
      </c>
      <c r="MO69" s="247">
        <v>195.47119714875228</v>
      </c>
      <c r="MP69" s="247">
        <v>194.67418607172948</v>
      </c>
      <c r="MQ69" s="247">
        <v>193.87823551502623</v>
      </c>
      <c r="MR69" s="247">
        <v>193.08334092405386</v>
      </c>
      <c r="MS69" s="247">
        <v>192.28949753632327</v>
      </c>
      <c r="MT69" s="247">
        <v>191.49670071191724</v>
      </c>
      <c r="MU69" s="247">
        <v>190.70494593658401</v>
      </c>
      <c r="MV69" s="247">
        <v>189.9142285971968</v>
      </c>
      <c r="MW69" s="247">
        <v>189.12454408649035</v>
      </c>
      <c r="MX69" s="247">
        <v>188.33588813448128</v>
      </c>
      <c r="MY69" s="247">
        <v>187.54825614823599</v>
      </c>
    </row>
    <row r="70" spans="1:363" ht="15.6" x14ac:dyDescent="0.3">
      <c r="A70" s="67" t="s">
        <v>7</v>
      </c>
      <c r="B70" s="72">
        <v>2080</v>
      </c>
      <c r="C70" s="247">
        <v>523.93332542182668</v>
      </c>
      <c r="D70" s="247">
        <v>522.90509744344024</v>
      </c>
      <c r="E70" s="247">
        <v>521.87688026114483</v>
      </c>
      <c r="F70" s="247">
        <v>520.84867469965263</v>
      </c>
      <c r="G70" s="247">
        <v>519.82048161826913</v>
      </c>
      <c r="H70" s="247">
        <v>518.79230186785389</v>
      </c>
      <c r="I70" s="247">
        <v>517.76413629332762</v>
      </c>
      <c r="J70" s="247">
        <v>516.73598572465869</v>
      </c>
      <c r="K70" s="247">
        <v>515.70785100866283</v>
      </c>
      <c r="L70" s="247">
        <v>514.67973300772951</v>
      </c>
      <c r="M70" s="247">
        <v>513.65163255201708</v>
      </c>
      <c r="N70" s="247">
        <v>512.623550502939</v>
      </c>
      <c r="O70" s="247">
        <v>511.59548769195135</v>
      </c>
      <c r="P70" s="247">
        <v>510.56708970672435</v>
      </c>
      <c r="Q70" s="247">
        <v>509.53870029419352</v>
      </c>
      <c r="R70" s="247">
        <v>508.51031992577663</v>
      </c>
      <c r="S70" s="247">
        <v>507.48194910575364</v>
      </c>
      <c r="T70" s="247">
        <v>506.45358830823113</v>
      </c>
      <c r="U70" s="247">
        <v>505.42523802195262</v>
      </c>
      <c r="V70" s="247">
        <v>504.39689874865587</v>
      </c>
      <c r="W70" s="247">
        <v>503.3685709556209</v>
      </c>
      <c r="X70" s="247">
        <v>502.34025515130497</v>
      </c>
      <c r="Y70" s="247">
        <v>501.31195182933772</v>
      </c>
      <c r="Z70" s="247">
        <v>500.28366147549605</v>
      </c>
      <c r="AA70" s="247">
        <v>499.25538460178808</v>
      </c>
      <c r="AB70" s="247">
        <v>498.22679031594339</v>
      </c>
      <c r="AC70" s="247">
        <v>497.19819871736485</v>
      </c>
      <c r="AD70" s="247">
        <v>496.16960998197538</v>
      </c>
      <c r="AE70" s="247">
        <v>495.14102432766953</v>
      </c>
      <c r="AF70" s="247">
        <v>494.11244193288564</v>
      </c>
      <c r="AG70" s="247">
        <v>493.08386302289722</v>
      </c>
      <c r="AH70" s="247">
        <v>492.05528776624965</v>
      </c>
      <c r="AI70" s="247">
        <v>491.02671640772564</v>
      </c>
      <c r="AJ70" s="247">
        <v>489.99814911475073</v>
      </c>
      <c r="AK70" s="247">
        <v>488.96958614807107</v>
      </c>
      <c r="AL70" s="247">
        <v>487.9410276934488</v>
      </c>
      <c r="AM70" s="247">
        <v>486.91247398590451</v>
      </c>
      <c r="AN70" s="247">
        <v>485.88465600604127</v>
      </c>
      <c r="AO70" s="247">
        <v>484.85683802626409</v>
      </c>
      <c r="AP70" s="247">
        <v>483.82902165563968</v>
      </c>
      <c r="AQ70" s="247">
        <v>482.80120844354275</v>
      </c>
      <c r="AR70" s="247">
        <v>481.77339996040831</v>
      </c>
      <c r="AS70" s="247">
        <v>480.74559780258926</v>
      </c>
      <c r="AT70" s="247">
        <v>479.71780350107429</v>
      </c>
      <c r="AU70" s="247">
        <v>478.69001861929604</v>
      </c>
      <c r="AV70" s="247">
        <v>477.66224470340592</v>
      </c>
      <c r="AW70" s="247">
        <v>476.63448330336672</v>
      </c>
      <c r="AX70" s="247">
        <v>475.6067359653685</v>
      </c>
      <c r="AY70" s="247">
        <v>474.57900422995681</v>
      </c>
      <c r="AZ70" s="247">
        <v>473.55202648919055</v>
      </c>
      <c r="BA70" s="247">
        <v>472.52505845046892</v>
      </c>
      <c r="BB70" s="247">
        <v>471.49809925391725</v>
      </c>
      <c r="BC70" s="247">
        <v>470.47114802954559</v>
      </c>
      <c r="BD70" s="247">
        <v>469.44420392121879</v>
      </c>
      <c r="BE70" s="247">
        <v>468.41726608048282</v>
      </c>
      <c r="BF70" s="247">
        <v>467.390333676534</v>
      </c>
      <c r="BG70" s="247">
        <v>466.36340588158276</v>
      </c>
      <c r="BH70" s="247">
        <v>465.33648187732467</v>
      </c>
      <c r="BI70" s="247">
        <v>464.30956085360225</v>
      </c>
      <c r="BJ70" s="247">
        <v>463.28264200103553</v>
      </c>
      <c r="BK70" s="247">
        <v>462.25572455330234</v>
      </c>
      <c r="BL70" s="247">
        <v>461.23079016794338</v>
      </c>
      <c r="BM70" s="247">
        <v>460.20586040579866</v>
      </c>
      <c r="BN70" s="247">
        <v>459.18094168208472</v>
      </c>
      <c r="BO70" s="247">
        <v>458.1560403757374</v>
      </c>
      <c r="BP70" s="247">
        <v>457.13116287761903</v>
      </c>
      <c r="BQ70" s="247">
        <v>456.10631551323883</v>
      </c>
      <c r="BR70" s="247">
        <v>455.08150455375704</v>
      </c>
      <c r="BS70" s="247">
        <v>454.05673625857128</v>
      </c>
      <c r="BT70" s="247">
        <v>453.03201682379057</v>
      </c>
      <c r="BU70" s="247">
        <v>452.00735246282972</v>
      </c>
      <c r="BV70" s="247">
        <v>450.98274931618971</v>
      </c>
      <c r="BW70" s="247">
        <v>449.95821347389568</v>
      </c>
      <c r="BX70" s="247">
        <v>448.93593703606558</v>
      </c>
      <c r="BY70" s="247">
        <v>447.91373421012372</v>
      </c>
      <c r="BZ70" s="247">
        <v>446.89160166280413</v>
      </c>
      <c r="CA70" s="247">
        <v>445.86953605176132</v>
      </c>
      <c r="CB70" s="247">
        <v>444.84753406418963</v>
      </c>
      <c r="CC70" s="247">
        <v>443.82559242189069</v>
      </c>
      <c r="CD70" s="247">
        <v>442.80370785558546</v>
      </c>
      <c r="CE70" s="247">
        <v>441.78187712528222</v>
      </c>
      <c r="CF70" s="247">
        <v>440.76009701496622</v>
      </c>
      <c r="CG70" s="247">
        <v>439.73836433261596</v>
      </c>
      <c r="CH70" s="247">
        <v>438.71667589983974</v>
      </c>
      <c r="CI70" s="247">
        <v>437.69502857574952</v>
      </c>
      <c r="CJ70" s="247">
        <v>436.67763571579712</v>
      </c>
      <c r="CK70" s="247">
        <v>435.66029209044859</v>
      </c>
      <c r="CL70" s="247">
        <v>434.64300083264743</v>
      </c>
      <c r="CM70" s="247">
        <v>433.6257649888816</v>
      </c>
      <c r="CN70" s="247">
        <v>432.60858763316293</v>
      </c>
      <c r="CO70" s="247">
        <v>431.59147180274232</v>
      </c>
      <c r="CP70" s="247">
        <v>430.57442052535413</v>
      </c>
      <c r="CQ70" s="247">
        <v>429.55743679897103</v>
      </c>
      <c r="CR70" s="247">
        <v>428.54052360070455</v>
      </c>
      <c r="CS70" s="247">
        <v>427.52368392898597</v>
      </c>
      <c r="CT70" s="247">
        <v>426.5069207207822</v>
      </c>
      <c r="CU70" s="247">
        <v>425.49023692157448</v>
      </c>
      <c r="CV70" s="247">
        <v>424.47869656472596</v>
      </c>
      <c r="CW70" s="247">
        <v>423.46725512594503</v>
      </c>
      <c r="CX70" s="247">
        <v>422.45591338101099</v>
      </c>
      <c r="CY70" s="247">
        <v>421.44467212210037</v>
      </c>
      <c r="CZ70" s="247">
        <v>420.43353212414945</v>
      </c>
      <c r="DA70" s="247">
        <v>419.42249413706435</v>
      </c>
      <c r="DB70" s="247">
        <v>418.41155894964669</v>
      </c>
      <c r="DC70" s="247">
        <v>417.40072733244818</v>
      </c>
      <c r="DD70" s="247">
        <v>416.39000001672559</v>
      </c>
      <c r="DE70" s="247">
        <v>415.37937777550479</v>
      </c>
      <c r="DF70" s="247">
        <v>414.36886134371622</v>
      </c>
      <c r="DG70" s="247">
        <v>413.35845146697136</v>
      </c>
      <c r="DH70" s="247">
        <v>412.35426672603057</v>
      </c>
      <c r="DI70" s="247">
        <v>411.3502177692032</v>
      </c>
      <c r="DJ70" s="247">
        <v>410.34631295435651</v>
      </c>
      <c r="DK70" s="247">
        <v>409.34256065828197</v>
      </c>
      <c r="DL70" s="247">
        <v>408.3389691427372</v>
      </c>
      <c r="DM70" s="247">
        <v>407.33554667614266</v>
      </c>
      <c r="DN70" s="247">
        <v>406.33230138572185</v>
      </c>
      <c r="DO70" s="247">
        <v>405.32924144870236</v>
      </c>
      <c r="DP70" s="247">
        <v>404.32637488460148</v>
      </c>
      <c r="DQ70" s="247">
        <v>403.323709703845</v>
      </c>
      <c r="DR70" s="247">
        <v>402.3212538521604</v>
      </c>
      <c r="DS70" s="247">
        <v>401.31901526633851</v>
      </c>
      <c r="DT70" s="247">
        <v>400.32449928987836</v>
      </c>
      <c r="DU70" s="247">
        <v>399.33026000566537</v>
      </c>
      <c r="DV70" s="247">
        <v>398.33630866623253</v>
      </c>
      <c r="DW70" s="247">
        <v>397.34265638053438</v>
      </c>
      <c r="DX70" s="247">
        <v>396.34931421193932</v>
      </c>
      <c r="DY70" s="247">
        <v>395.35629315026421</v>
      </c>
      <c r="DZ70" s="247">
        <v>394.36360408921053</v>
      </c>
      <c r="EA70" s="247">
        <v>393.37125787706987</v>
      </c>
      <c r="EB70" s="247">
        <v>392.37926526733395</v>
      </c>
      <c r="EC70" s="247">
        <v>391.38763692192549</v>
      </c>
      <c r="ED70" s="247">
        <v>390.39638343099512</v>
      </c>
      <c r="EE70" s="247">
        <v>389.40551531458931</v>
      </c>
      <c r="EF70" s="247">
        <v>388.42445513443397</v>
      </c>
      <c r="EG70" s="247">
        <v>387.44385509226282</v>
      </c>
      <c r="EH70" s="247">
        <v>386.46370973406317</v>
      </c>
      <c r="EI70" s="247">
        <v>385.48401378948785</v>
      </c>
      <c r="EJ70" s="247">
        <v>384.50476189689095</v>
      </c>
      <c r="EK70" s="247">
        <v>383.5259487886841</v>
      </c>
      <c r="EL70" s="247">
        <v>382.54756921741489</v>
      </c>
      <c r="EM70" s="247">
        <v>381.56961789365556</v>
      </c>
      <c r="EN70" s="247">
        <v>380.59208966845227</v>
      </c>
      <c r="EO70" s="247">
        <v>379.61497932253116</v>
      </c>
      <c r="EP70" s="247">
        <v>378.63828170774286</v>
      </c>
      <c r="EQ70" s="247">
        <v>377.66199170129926</v>
      </c>
      <c r="ER70" s="247">
        <v>376.69216387759701</v>
      </c>
      <c r="ES70" s="247">
        <v>375.72277693422461</v>
      </c>
      <c r="ET70" s="247">
        <v>374.75383878832042</v>
      </c>
      <c r="EU70" s="247">
        <v>373.78535752258722</v>
      </c>
      <c r="EV70" s="247">
        <v>372.81734096793008</v>
      </c>
      <c r="EW70" s="247">
        <v>371.84979700049848</v>
      </c>
      <c r="EX70" s="247">
        <v>370.88273338837263</v>
      </c>
      <c r="EY70" s="247">
        <v>369.91615785061327</v>
      </c>
      <c r="EZ70" s="247">
        <v>368.950078050461</v>
      </c>
      <c r="FA70" s="247">
        <v>367.98450157229286</v>
      </c>
      <c r="FB70" s="247">
        <v>367.01943597116446</v>
      </c>
      <c r="FC70" s="247">
        <v>366.05488872458102</v>
      </c>
      <c r="FD70" s="247">
        <v>365.09155850906723</v>
      </c>
      <c r="FE70" s="247">
        <v>364.1287537015329</v>
      </c>
      <c r="FF70" s="247">
        <v>363.16648101595524</v>
      </c>
      <c r="FG70" s="247">
        <v>362.20474710898804</v>
      </c>
      <c r="FH70" s="247">
        <v>361.24355854131187</v>
      </c>
      <c r="FI70" s="247">
        <v>360.28292189531936</v>
      </c>
      <c r="FJ70" s="247">
        <v>359.32284365018302</v>
      </c>
      <c r="FK70" s="247">
        <v>358.36333023964454</v>
      </c>
      <c r="FL70" s="247">
        <v>357.40438804518845</v>
      </c>
      <c r="FM70" s="247">
        <v>356.44602337369315</v>
      </c>
      <c r="FN70" s="247">
        <v>355.48824250564314</v>
      </c>
      <c r="FO70" s="247">
        <v>354.53105164823899</v>
      </c>
      <c r="FP70" s="247">
        <v>353.57515219537282</v>
      </c>
      <c r="FQ70" s="247">
        <v>352.61984869585319</v>
      </c>
      <c r="FR70" s="247">
        <v>351.66514791857713</v>
      </c>
      <c r="FS70" s="247">
        <v>350.71105666285769</v>
      </c>
      <c r="FT70" s="247">
        <v>349.75758157864624</v>
      </c>
      <c r="FU70" s="247">
        <v>348.80472932853644</v>
      </c>
      <c r="FV70" s="247">
        <v>347.85250651299458</v>
      </c>
      <c r="FW70" s="247">
        <v>346.90091960948058</v>
      </c>
      <c r="FX70" s="247">
        <v>345.94997512962641</v>
      </c>
      <c r="FY70" s="247">
        <v>344.99967943377504</v>
      </c>
      <c r="FZ70" s="247">
        <v>344.05003894102714</v>
      </c>
      <c r="GA70" s="247">
        <v>343.10105994389494</v>
      </c>
      <c r="GB70" s="247">
        <v>342.15345024635769</v>
      </c>
      <c r="GC70" s="247">
        <v>341.20652281146363</v>
      </c>
      <c r="GD70" s="247">
        <v>340.26029910232916</v>
      </c>
      <c r="GE70" s="247">
        <v>339.31480048281145</v>
      </c>
      <c r="GF70" s="247">
        <v>338.37004808893823</v>
      </c>
      <c r="GG70" s="247">
        <v>337.4260629635163</v>
      </c>
      <c r="GH70" s="247">
        <v>336.4828659834223</v>
      </c>
      <c r="GI70" s="247">
        <v>335.54047789135205</v>
      </c>
      <c r="GJ70" s="247">
        <v>334.59891926712436</v>
      </c>
      <c r="GK70" s="247">
        <v>333.65821052857086</v>
      </c>
      <c r="GL70" s="247">
        <v>332.71837195548625</v>
      </c>
      <c r="GM70" s="247">
        <v>331.779423711991</v>
      </c>
      <c r="GN70" s="247">
        <v>330.8420850635539</v>
      </c>
      <c r="GO70" s="247">
        <v>329.90564572695075</v>
      </c>
      <c r="GP70" s="247">
        <v>328.97010182697585</v>
      </c>
      <c r="GQ70" s="247">
        <v>328.03544949503856</v>
      </c>
      <c r="GR70" s="247">
        <v>327.1016848772357</v>
      </c>
      <c r="GS70" s="247">
        <v>326.16880411015063</v>
      </c>
      <c r="GT70" s="247">
        <v>325.23680336033811</v>
      </c>
      <c r="GU70" s="247">
        <v>324.30567883305037</v>
      </c>
      <c r="GV70" s="247">
        <v>323.3754266783759</v>
      </c>
      <c r="GW70" s="247">
        <v>322.44604310123356</v>
      </c>
      <c r="GX70" s="247">
        <v>321.51752431877151</v>
      </c>
      <c r="GY70" s="247">
        <v>320.58986660356146</v>
      </c>
      <c r="GZ70" s="247">
        <v>319.66377873540961</v>
      </c>
      <c r="HA70" s="247">
        <v>318.7385655462158</v>
      </c>
      <c r="HB70" s="247">
        <v>317.81425148856044</v>
      </c>
      <c r="HC70" s="247">
        <v>316.89086071518699</v>
      </c>
      <c r="HD70" s="247">
        <v>315.96841728042614</v>
      </c>
      <c r="HE70" s="247">
        <v>315.04694505233186</v>
      </c>
      <c r="HF70" s="247">
        <v>314.12646779337405</v>
      </c>
      <c r="HG70" s="247">
        <v>313.20700902107887</v>
      </c>
      <c r="HH70" s="247">
        <v>312.28859217078679</v>
      </c>
      <c r="HI70" s="247">
        <v>311.3712405120508</v>
      </c>
      <c r="HJ70" s="247">
        <v>310.45497708709075</v>
      </c>
      <c r="HK70" s="247">
        <v>309.53982487897605</v>
      </c>
      <c r="HL70" s="247">
        <v>308.6265120626266</v>
      </c>
      <c r="HM70" s="247">
        <v>307.71430391863146</v>
      </c>
      <c r="HN70" s="247">
        <v>306.80317828287588</v>
      </c>
      <c r="HO70" s="247">
        <v>305.89311316160797</v>
      </c>
      <c r="HP70" s="247">
        <v>304.98408663684103</v>
      </c>
      <c r="HQ70" s="247">
        <v>304.07607698702213</v>
      </c>
      <c r="HR70" s="247">
        <v>303.16906253878392</v>
      </c>
      <c r="HS70" s="247">
        <v>302.26302177780866</v>
      </c>
      <c r="HT70" s="247">
        <v>301.35793332184596</v>
      </c>
      <c r="HU70" s="247">
        <v>300.45377588058443</v>
      </c>
      <c r="HV70" s="247">
        <v>299.55052831710623</v>
      </c>
      <c r="HW70" s="247">
        <v>298.64816954767258</v>
      </c>
      <c r="HX70" s="247">
        <v>297.74740210380838</v>
      </c>
      <c r="HY70" s="247">
        <v>296.84750473697909</v>
      </c>
      <c r="HZ70" s="247">
        <v>295.94848659951708</v>
      </c>
      <c r="IA70" s="247">
        <v>295.0503567848009</v>
      </c>
      <c r="IB70" s="247">
        <v>294.15312431574569</v>
      </c>
      <c r="IC70" s="247">
        <v>293.25679814269057</v>
      </c>
      <c r="ID70" s="247">
        <v>292.36138719769417</v>
      </c>
      <c r="IE70" s="247">
        <v>291.46690030441812</v>
      </c>
      <c r="IF70" s="247">
        <v>290.57334623112376</v>
      </c>
      <c r="IG70" s="247">
        <v>289.68073369096032</v>
      </c>
      <c r="IH70" s="247">
        <v>288.78907134268604</v>
      </c>
      <c r="II70" s="247">
        <v>287.89836779097436</v>
      </c>
      <c r="IJ70" s="247">
        <v>287.00935792341028</v>
      </c>
      <c r="IK70" s="247">
        <v>286.12132836411297</v>
      </c>
      <c r="IL70" s="247">
        <v>285.23429903304401</v>
      </c>
      <c r="IM70" s="247">
        <v>284.34828964505624</v>
      </c>
      <c r="IN70" s="247">
        <v>283.46331983385784</v>
      </c>
      <c r="IO70" s="247">
        <v>282.57940918740945</v>
      </c>
      <c r="IP70" s="247">
        <v>281.6965770712099</v>
      </c>
      <c r="IQ70" s="247">
        <v>280.81484275141105</v>
      </c>
      <c r="IR70" s="247">
        <v>279.934225463975</v>
      </c>
      <c r="IS70" s="247">
        <v>279.05474426335832</v>
      </c>
      <c r="IT70" s="247">
        <v>278.17641809910958</v>
      </c>
      <c r="IU70" s="247">
        <v>277.29926581610414</v>
      </c>
      <c r="IV70" s="247">
        <v>276.42402968722519</v>
      </c>
      <c r="IW70" s="247">
        <v>275.54995257738631</v>
      </c>
      <c r="IX70" s="247">
        <v>274.6770079623891</v>
      </c>
      <c r="IY70" s="247">
        <v>273.80516949927858</v>
      </c>
      <c r="IZ70" s="247">
        <v>272.93441092414065</v>
      </c>
      <c r="JA70" s="247">
        <v>272.06470619758636</v>
      </c>
      <c r="JB70" s="247">
        <v>271.19602935156252</v>
      </c>
      <c r="JC70" s="247">
        <v>270.32835459019873</v>
      </c>
      <c r="JD70" s="247">
        <v>269.46165626535128</v>
      </c>
      <c r="JE70" s="247">
        <v>268.59590880358826</v>
      </c>
      <c r="JF70" s="247">
        <v>267.73108681646511</v>
      </c>
      <c r="JG70" s="247">
        <v>266.86716506432009</v>
      </c>
      <c r="JH70" s="247">
        <v>266.00486232462043</v>
      </c>
      <c r="JI70" s="247">
        <v>265.14343609355933</v>
      </c>
      <c r="JJ70" s="247">
        <v>264.28289480860781</v>
      </c>
      <c r="JK70" s="247">
        <v>263.42324675546251</v>
      </c>
      <c r="JL70" s="247">
        <v>262.56450023685318</v>
      </c>
      <c r="JM70" s="247">
        <v>261.70666344656854</v>
      </c>
      <c r="JN70" s="247">
        <v>260.8497445866027</v>
      </c>
      <c r="JO70" s="247">
        <v>259.99375171768025</v>
      </c>
      <c r="JP70" s="247">
        <v>259.13869310385314</v>
      </c>
      <c r="JQ70" s="247">
        <v>258.28457651113695</v>
      </c>
      <c r="JR70" s="247">
        <v>257.43141008307964</v>
      </c>
      <c r="JS70" s="247">
        <v>256.57920181587349</v>
      </c>
      <c r="JT70" s="247">
        <v>255.72870243070494</v>
      </c>
      <c r="JU70" s="247">
        <v>254.87914890518127</v>
      </c>
      <c r="JV70" s="247">
        <v>254.03052806793372</v>
      </c>
      <c r="JW70" s="247">
        <v>253.18282695866969</v>
      </c>
      <c r="JX70" s="247">
        <v>252.33603249485822</v>
      </c>
      <c r="JY70" s="247">
        <v>251.49013181157994</v>
      </c>
      <c r="JZ70" s="247">
        <v>250.64511208432967</v>
      </c>
      <c r="KA70" s="247">
        <v>249.800960369341</v>
      </c>
      <c r="KB70" s="247">
        <v>248.9576639375652</v>
      </c>
      <c r="KC70" s="247">
        <v>248.11521010091832</v>
      </c>
      <c r="KD70" s="247">
        <v>247.27358621849388</v>
      </c>
      <c r="KE70" s="247">
        <v>246.43277952792451</v>
      </c>
      <c r="KF70" s="247">
        <v>245.59354609127109</v>
      </c>
      <c r="KG70" s="247">
        <v>244.75517774963251</v>
      </c>
      <c r="KH70" s="247">
        <v>243.91774151206943</v>
      </c>
      <c r="KI70" s="247">
        <v>243.08130415077596</v>
      </c>
      <c r="KJ70" s="247">
        <v>242.24593187886535</v>
      </c>
      <c r="KK70" s="247">
        <v>241.41169067776113</v>
      </c>
      <c r="KL70" s="247">
        <v>240.57864628781132</v>
      </c>
      <c r="KM70" s="247">
        <v>239.74686421411096</v>
      </c>
      <c r="KN70" s="247">
        <v>238.91640956055994</v>
      </c>
      <c r="KO70" s="247">
        <v>238.08734718576267</v>
      </c>
      <c r="KP70" s="247">
        <v>237.25974154746595</v>
      </c>
      <c r="KQ70" s="247">
        <v>236.43365717882526</v>
      </c>
      <c r="KR70" s="247">
        <v>235.60990393958571</v>
      </c>
      <c r="KS70" s="247">
        <v>234.7876813289212</v>
      </c>
      <c r="KT70" s="247">
        <v>233.96694173903123</v>
      </c>
      <c r="KU70" s="247">
        <v>233.14763775561659</v>
      </c>
      <c r="KV70" s="247">
        <v>232.32972232064688</v>
      </c>
      <c r="KW70" s="247">
        <v>231.51314841921732</v>
      </c>
      <c r="KX70" s="247">
        <v>230.69786954180344</v>
      </c>
      <c r="KY70" s="247">
        <v>229.88383922273385</v>
      </c>
      <c r="KZ70" s="247">
        <v>229.07101119350048</v>
      </c>
      <c r="LA70" s="247">
        <v>228.25933953268557</v>
      </c>
      <c r="LB70" s="247">
        <v>227.44877836244444</v>
      </c>
      <c r="LC70" s="247">
        <v>226.6392820029927</v>
      </c>
      <c r="LD70" s="247">
        <v>225.81424922664826</v>
      </c>
      <c r="LE70" s="247">
        <v>224.99016006892981</v>
      </c>
      <c r="LF70" s="247">
        <v>224.16703744542761</v>
      </c>
      <c r="LG70" s="247">
        <v>223.34490420932309</v>
      </c>
      <c r="LH70" s="247">
        <v>222.52378301744017</v>
      </c>
      <c r="LI70" s="247">
        <v>221.70369660669161</v>
      </c>
      <c r="LJ70" s="247">
        <v>220.8846676476083</v>
      </c>
      <c r="LK70" s="247">
        <v>220.06671847374867</v>
      </c>
      <c r="LL70" s="247">
        <v>219.24987162775469</v>
      </c>
      <c r="LM70" s="247">
        <v>218.43414957952641</v>
      </c>
      <c r="LN70" s="247">
        <v>217.61957445682881</v>
      </c>
      <c r="LO70" s="247">
        <v>216.80616858804513</v>
      </c>
      <c r="LP70" s="247">
        <v>215.9948628896538</v>
      </c>
      <c r="LQ70" s="247">
        <v>215.18474302767768</v>
      </c>
      <c r="LR70" s="247">
        <v>214.3758094841003</v>
      </c>
      <c r="LS70" s="247">
        <v>213.56806274345502</v>
      </c>
      <c r="LT70" s="247">
        <v>212.76150343059166</v>
      </c>
      <c r="LU70" s="247">
        <v>211.9561321773198</v>
      </c>
      <c r="LV70" s="247">
        <v>211.15194961563654</v>
      </c>
      <c r="LW70" s="247">
        <v>210.34895638094341</v>
      </c>
      <c r="LX70" s="247">
        <v>209.54715324224381</v>
      </c>
      <c r="LY70" s="247">
        <v>208.74654083343478</v>
      </c>
      <c r="LZ70" s="247">
        <v>207.94712004557528</v>
      </c>
      <c r="MA70" s="247">
        <v>207.14889150844419</v>
      </c>
      <c r="MB70" s="247">
        <v>206.33465920761319</v>
      </c>
      <c r="MC70" s="247">
        <v>205.52150582367997</v>
      </c>
      <c r="MD70" s="247">
        <v>204.70943088383049</v>
      </c>
      <c r="ME70" s="247">
        <v>203.89843389942325</v>
      </c>
      <c r="MF70" s="247">
        <v>203.0885146059685</v>
      </c>
      <c r="MG70" s="247">
        <v>202.27967261003164</v>
      </c>
      <c r="MH70" s="247">
        <v>201.47190750021389</v>
      </c>
      <c r="MI70" s="247">
        <v>200.66521908169861</v>
      </c>
      <c r="MJ70" s="247">
        <v>199.85960702762813</v>
      </c>
      <c r="MK70" s="247">
        <v>199.05507110218247</v>
      </c>
      <c r="ML70" s="247">
        <v>198.25161116252093</v>
      </c>
      <c r="MM70" s="247">
        <v>197.44922704236157</v>
      </c>
      <c r="MN70" s="247">
        <v>196.64897578861874</v>
      </c>
      <c r="MO70" s="247">
        <v>195.84979000386258</v>
      </c>
      <c r="MP70" s="247">
        <v>195.05166490430148</v>
      </c>
      <c r="MQ70" s="247">
        <v>194.25459560702507</v>
      </c>
      <c r="MR70" s="247">
        <v>193.45857758514737</v>
      </c>
      <c r="MS70" s="247">
        <v>192.66360610489085</v>
      </c>
      <c r="MT70" s="247">
        <v>191.8696765543807</v>
      </c>
      <c r="MU70" s="247">
        <v>191.07678444674809</v>
      </c>
      <c r="MV70" s="247">
        <v>190.28492519672992</v>
      </c>
      <c r="MW70" s="247">
        <v>189.4940942248482</v>
      </c>
      <c r="MX70" s="247">
        <v>188.70428728718588</v>
      </c>
      <c r="MY70" s="247">
        <v>187.91549981849036</v>
      </c>
    </row>
    <row r="71" spans="1:363" ht="15.6" x14ac:dyDescent="0.3">
      <c r="A71" s="67" t="s">
        <v>7</v>
      </c>
      <c r="B71" s="72">
        <v>2081</v>
      </c>
      <c r="C71" s="247">
        <v>524.43218862700917</v>
      </c>
      <c r="D71" s="247">
        <v>523.40389712157889</v>
      </c>
      <c r="E71" s="247">
        <v>522.3756156885122</v>
      </c>
      <c r="F71" s="247">
        <v>521.34734514857359</v>
      </c>
      <c r="G71" s="247">
        <v>520.31908635655191</v>
      </c>
      <c r="H71" s="247">
        <v>519.29084015907381</v>
      </c>
      <c r="I71" s="247">
        <v>518.26260739695397</v>
      </c>
      <c r="J71" s="247">
        <v>517.23438889630984</v>
      </c>
      <c r="K71" s="247">
        <v>516.20618549999165</v>
      </c>
      <c r="L71" s="247">
        <v>515.17799806626408</v>
      </c>
      <c r="M71" s="247">
        <v>514.14982742171605</v>
      </c>
      <c r="N71" s="247">
        <v>513.12167442381644</v>
      </c>
      <c r="O71" s="247">
        <v>512.09353990063335</v>
      </c>
      <c r="P71" s="247">
        <v>511.06506674315585</v>
      </c>
      <c r="Q71" s="247">
        <v>510.03660140097827</v>
      </c>
      <c r="R71" s="247">
        <v>509.00814434705376</v>
      </c>
      <c r="S71" s="247">
        <v>507.97969608660509</v>
      </c>
      <c r="T71" s="247">
        <v>506.95125709532937</v>
      </c>
      <c r="U71" s="247">
        <v>505.92282786336744</v>
      </c>
      <c r="V71" s="247">
        <v>504.89440889366591</v>
      </c>
      <c r="W71" s="247">
        <v>503.86600065541637</v>
      </c>
      <c r="X71" s="247">
        <v>502.83760365839947</v>
      </c>
      <c r="Y71" s="247">
        <v>501.80921839787698</v>
      </c>
      <c r="Z71" s="247">
        <v>500.78084536147639</v>
      </c>
      <c r="AA71" s="247">
        <v>499.75248506275199</v>
      </c>
      <c r="AB71" s="247">
        <v>498.72380469277147</v>
      </c>
      <c r="AC71" s="247">
        <v>497.69512628631031</v>
      </c>
      <c r="AD71" s="247">
        <v>496.66645002599154</v>
      </c>
      <c r="AE71" s="247">
        <v>495.63777613563684</v>
      </c>
      <c r="AF71" s="247">
        <v>494.60910480044794</v>
      </c>
      <c r="AG71" s="247">
        <v>493.58043625169563</v>
      </c>
      <c r="AH71" s="247">
        <v>492.55177066492041</v>
      </c>
      <c r="AI71" s="247">
        <v>491.52310829074673</v>
      </c>
      <c r="AJ71" s="247">
        <v>490.49444930383572</v>
      </c>
      <c r="AK71" s="247">
        <v>489.46579397064653</v>
      </c>
      <c r="AL71" s="247">
        <v>488.4371424840366</v>
      </c>
      <c r="AM71" s="247">
        <v>487.40849508538429</v>
      </c>
      <c r="AN71" s="247">
        <v>486.38057632108359</v>
      </c>
      <c r="AO71" s="247">
        <v>485.35265687845737</v>
      </c>
      <c r="AP71" s="247">
        <v>484.32473834893688</v>
      </c>
      <c r="AQ71" s="247">
        <v>483.29682226522351</v>
      </c>
      <c r="AR71" s="247">
        <v>482.26891018089214</v>
      </c>
      <c r="AS71" s="247">
        <v>481.24100367503598</v>
      </c>
      <c r="AT71" s="247">
        <v>480.21310426253103</v>
      </c>
      <c r="AU71" s="247">
        <v>479.18521349030169</v>
      </c>
      <c r="AV71" s="247">
        <v>478.15733288836418</v>
      </c>
      <c r="AW71" s="247">
        <v>477.12946399056011</v>
      </c>
      <c r="AX71" s="247">
        <v>476.10160832712478</v>
      </c>
      <c r="AY71" s="247">
        <v>475.07376742286925</v>
      </c>
      <c r="AZ71" s="247">
        <v>474.04667315936865</v>
      </c>
      <c r="BA71" s="247">
        <v>473.01958775477038</v>
      </c>
      <c r="BB71" s="247">
        <v>471.9925103735697</v>
      </c>
      <c r="BC71" s="247">
        <v>470.96544017025178</v>
      </c>
      <c r="BD71" s="247">
        <v>469.93837631307713</v>
      </c>
      <c r="BE71" s="247">
        <v>468.91131797788273</v>
      </c>
      <c r="BF71" s="247">
        <v>467.88426435788369</v>
      </c>
      <c r="BG71" s="247">
        <v>466.85721464939036</v>
      </c>
      <c r="BH71" s="247">
        <v>465.8301680581115</v>
      </c>
      <c r="BI71" s="247">
        <v>464.80312379782094</v>
      </c>
      <c r="BJ71" s="247">
        <v>463.77608108315604</v>
      </c>
      <c r="BK71" s="247">
        <v>462.74903917117626</v>
      </c>
      <c r="BL71" s="247">
        <v>461.72396821332717</v>
      </c>
      <c r="BM71" s="247">
        <v>460.69890118272662</v>
      </c>
      <c r="BN71" s="247">
        <v>459.67384440149414</v>
      </c>
      <c r="BO71" s="247">
        <v>458.64880415603062</v>
      </c>
      <c r="BP71" s="247">
        <v>457.62378674465742</v>
      </c>
      <c r="BQ71" s="247">
        <v>456.59879840145828</v>
      </c>
      <c r="BR71" s="247">
        <v>455.57384530709783</v>
      </c>
      <c r="BS71" s="247">
        <v>454.54893363084403</v>
      </c>
      <c r="BT71" s="247">
        <v>453.52406947978614</v>
      </c>
      <c r="BU71" s="247">
        <v>452.49925897815206</v>
      </c>
      <c r="BV71" s="247">
        <v>451.47450817854366</v>
      </c>
      <c r="BW71" s="247">
        <v>450.44982308403326</v>
      </c>
      <c r="BX71" s="247">
        <v>449.42738504028068</v>
      </c>
      <c r="BY71" s="247">
        <v>448.40501894505553</v>
      </c>
      <c r="BZ71" s="247">
        <v>447.38272152364755</v>
      </c>
      <c r="CA71" s="247">
        <v>446.36048949232401</v>
      </c>
      <c r="CB71" s="247">
        <v>445.33831959658363</v>
      </c>
      <c r="CC71" s="247">
        <v>444.31620861603108</v>
      </c>
      <c r="CD71" s="247">
        <v>443.29415333905627</v>
      </c>
      <c r="CE71" s="247">
        <v>442.27215058302244</v>
      </c>
      <c r="CF71" s="247">
        <v>441.25019718895368</v>
      </c>
      <c r="CG71" s="247">
        <v>440.22829002155606</v>
      </c>
      <c r="CH71" s="247">
        <v>439.20642595903553</v>
      </c>
      <c r="CI71" s="247">
        <v>438.18460191661717</v>
      </c>
      <c r="CJ71" s="247">
        <v>437.16702018890004</v>
      </c>
      <c r="CK71" s="247">
        <v>436.14948660822392</v>
      </c>
      <c r="CL71" s="247">
        <v>435.13200427466887</v>
      </c>
      <c r="CM71" s="247">
        <v>434.11457620295249</v>
      </c>
      <c r="CN71" s="247">
        <v>433.09720543511736</v>
      </c>
      <c r="CO71" s="247">
        <v>432.07989497696389</v>
      </c>
      <c r="CP71" s="247">
        <v>431.0626478249518</v>
      </c>
      <c r="CQ71" s="247">
        <v>430.04546694630136</v>
      </c>
      <c r="CR71" s="247">
        <v>429.02835528771317</v>
      </c>
      <c r="CS71" s="247">
        <v>428.01131581702111</v>
      </c>
      <c r="CT71" s="247">
        <v>426.99435144148981</v>
      </c>
      <c r="CU71" s="247">
        <v>425.97746507689322</v>
      </c>
      <c r="CV71" s="247">
        <v>424.96571774134804</v>
      </c>
      <c r="CW71" s="247">
        <v>423.95406791006883</v>
      </c>
      <c r="CX71" s="247">
        <v>422.94251635688943</v>
      </c>
      <c r="CY71" s="247">
        <v>421.93106387183894</v>
      </c>
      <c r="CZ71" s="247">
        <v>420.91971122802096</v>
      </c>
      <c r="DA71" s="247">
        <v>419.9084591738179</v>
      </c>
      <c r="DB71" s="247">
        <v>418.89730849612698</v>
      </c>
      <c r="DC71" s="247">
        <v>417.88625996389931</v>
      </c>
      <c r="DD71" s="247">
        <v>416.87531430728944</v>
      </c>
      <c r="DE71" s="247">
        <v>415.86447229782726</v>
      </c>
      <c r="DF71" s="247">
        <v>414.85373466944725</v>
      </c>
      <c r="DG71" s="247">
        <v>413.84310216673879</v>
      </c>
      <c r="DH71" s="247">
        <v>412.83870264479168</v>
      </c>
      <c r="DI71" s="247">
        <v>411.83443748484001</v>
      </c>
      <c r="DJ71" s="247">
        <v>410.83031497633243</v>
      </c>
      <c r="DK71" s="247">
        <v>409.82634342752459</v>
      </c>
      <c r="DL71" s="247">
        <v>408.82253103281562</v>
      </c>
      <c r="DM71" s="247">
        <v>407.81888599329523</v>
      </c>
      <c r="DN71" s="247">
        <v>406.81541637019546</v>
      </c>
      <c r="DO71" s="247">
        <v>405.81213027445943</v>
      </c>
      <c r="DP71" s="247">
        <v>404.80903566082458</v>
      </c>
      <c r="DQ71" s="247">
        <v>403.80614047512188</v>
      </c>
      <c r="DR71" s="247">
        <v>402.80345259918965</v>
      </c>
      <c r="DS71" s="247">
        <v>401.80097990613831</v>
      </c>
      <c r="DT71" s="247">
        <v>400.80625531410129</v>
      </c>
      <c r="DU71" s="247">
        <v>399.81180543218346</v>
      </c>
      <c r="DV71" s="247">
        <v>398.817641441094</v>
      </c>
      <c r="DW71" s="247">
        <v>397.82377437903011</v>
      </c>
      <c r="DX71" s="247">
        <v>396.83021523907968</v>
      </c>
      <c r="DY71" s="247">
        <v>395.8369749414025</v>
      </c>
      <c r="DZ71" s="247">
        <v>394.84406431080725</v>
      </c>
      <c r="EA71" s="247">
        <v>393.85149412716027</v>
      </c>
      <c r="EB71" s="247">
        <v>392.85927507631675</v>
      </c>
      <c r="EC71" s="247">
        <v>391.86741775330336</v>
      </c>
      <c r="ED71" s="247">
        <v>390.87593268201471</v>
      </c>
      <c r="EE71" s="247">
        <v>389.88483031686621</v>
      </c>
      <c r="EF71" s="247">
        <v>388.90358878965139</v>
      </c>
      <c r="EG71" s="247">
        <v>387.9228052407442</v>
      </c>
      <c r="EH71" s="247">
        <v>386.94247424644982</v>
      </c>
      <c r="EI71" s="247">
        <v>385.96259056585689</v>
      </c>
      <c r="EJ71" s="247">
        <v>384.98314886724404</v>
      </c>
      <c r="EK71" s="247">
        <v>384.00414391250246</v>
      </c>
      <c r="EL71" s="247">
        <v>383.02557048358244</v>
      </c>
      <c r="EM71" s="247">
        <v>382.04742332069537</v>
      </c>
      <c r="EN71" s="247">
        <v>381.06969730389437</v>
      </c>
      <c r="EO71" s="247">
        <v>380.0923872432582</v>
      </c>
      <c r="EP71" s="247">
        <v>379.11548801970127</v>
      </c>
      <c r="EQ71" s="247">
        <v>378.13899453941718</v>
      </c>
      <c r="ER71" s="247">
        <v>377.169003598058</v>
      </c>
      <c r="ES71" s="247">
        <v>376.19945201225283</v>
      </c>
      <c r="ET71" s="247">
        <v>375.23034767337316</v>
      </c>
      <c r="EU71" s="247">
        <v>374.26169863784406</v>
      </c>
      <c r="EV71" s="247">
        <v>373.29351271138859</v>
      </c>
      <c r="EW71" s="247">
        <v>372.32579774492029</v>
      </c>
      <c r="EX71" s="247">
        <v>371.35856148180864</v>
      </c>
      <c r="EY71" s="247">
        <v>370.39181161672883</v>
      </c>
      <c r="EZ71" s="247">
        <v>369.42555578888084</v>
      </c>
      <c r="FA71" s="247">
        <v>368.45980155901458</v>
      </c>
      <c r="FB71" s="247">
        <v>367.49455645881852</v>
      </c>
      <c r="FC71" s="247">
        <v>366.52982794285572</v>
      </c>
      <c r="FD71" s="247">
        <v>365.56631279792987</v>
      </c>
      <c r="FE71" s="247">
        <v>364.6033212667449</v>
      </c>
      <c r="FF71" s="247">
        <v>363.64086004287924</v>
      </c>
      <c r="FG71" s="247">
        <v>362.67893576290169</v>
      </c>
      <c r="FH71" s="247">
        <v>361.71755496791161</v>
      </c>
      <c r="FI71" s="247">
        <v>360.75672422074803</v>
      </c>
      <c r="FJ71" s="247">
        <v>359.79644998152543</v>
      </c>
      <c r="FK71" s="247">
        <v>358.83673866523588</v>
      </c>
      <c r="FL71" s="247">
        <v>357.87759663492938</v>
      </c>
      <c r="FM71" s="247">
        <v>356.91903017944509</v>
      </c>
      <c r="FN71" s="247">
        <v>355.9610455614619</v>
      </c>
      <c r="FO71" s="247">
        <v>355.00364897077884</v>
      </c>
      <c r="FP71" s="247">
        <v>354.04753993001566</v>
      </c>
      <c r="FQ71" s="247">
        <v>353.0920248411129</v>
      </c>
      <c r="FR71" s="247">
        <v>352.13711045320554</v>
      </c>
      <c r="FS71" s="247">
        <v>351.18280354583919</v>
      </c>
      <c r="FT71" s="247">
        <v>350.22911074989065</v>
      </c>
      <c r="FU71" s="247">
        <v>349.27603870895285</v>
      </c>
      <c r="FV71" s="247">
        <v>348.32359400483125</v>
      </c>
      <c r="FW71" s="247">
        <v>347.37178309691808</v>
      </c>
      <c r="FX71" s="247">
        <v>346.42061247878496</v>
      </c>
      <c r="FY71" s="247">
        <v>345.47008849338386</v>
      </c>
      <c r="FZ71" s="247">
        <v>344.52021754235386</v>
      </c>
      <c r="GA71" s="247">
        <v>343.57100590134525</v>
      </c>
      <c r="GB71" s="247">
        <v>342.62315950739475</v>
      </c>
      <c r="GC71" s="247">
        <v>341.67599312020582</v>
      </c>
      <c r="GD71" s="247">
        <v>340.72952813072203</v>
      </c>
      <c r="GE71" s="247">
        <v>339.78378583122662</v>
      </c>
      <c r="GF71" s="247">
        <v>338.83878728726478</v>
      </c>
      <c r="GG71" s="247">
        <v>337.89455347174072</v>
      </c>
      <c r="GH71" s="247">
        <v>336.95110519246361</v>
      </c>
      <c r="GI71" s="247">
        <v>336.0084631238085</v>
      </c>
      <c r="GJ71" s="247">
        <v>335.06664777811613</v>
      </c>
      <c r="GK71" s="247">
        <v>334.12567950655847</v>
      </c>
      <c r="GL71" s="247">
        <v>333.18557852303024</v>
      </c>
      <c r="GM71" s="247">
        <v>332.24636492641588</v>
      </c>
      <c r="GN71" s="247">
        <v>331.3087561015613</v>
      </c>
      <c r="GO71" s="247">
        <v>330.37204362187242</v>
      </c>
      <c r="GP71" s="247">
        <v>329.43622363320372</v>
      </c>
      <c r="GQ71" s="247">
        <v>328.50129228801865</v>
      </c>
      <c r="GR71" s="247">
        <v>327.56724575347999</v>
      </c>
      <c r="GS71" s="247">
        <v>326.63408018729439</v>
      </c>
      <c r="GT71" s="247">
        <v>325.70179177706348</v>
      </c>
      <c r="GU71" s="247">
        <v>324.77037674900163</v>
      </c>
      <c r="GV71" s="247">
        <v>323.83983127440172</v>
      </c>
      <c r="GW71" s="247">
        <v>322.91015157922976</v>
      </c>
      <c r="GX71" s="247">
        <v>321.98133390168931</v>
      </c>
      <c r="GY71" s="247">
        <v>321.05337453526693</v>
      </c>
      <c r="GZ71" s="247">
        <v>320.12698044171276</v>
      </c>
      <c r="HA71" s="247">
        <v>319.20145823120288</v>
      </c>
      <c r="HB71" s="247">
        <v>318.27683227661112</v>
      </c>
      <c r="HC71" s="247">
        <v>317.353126652296</v>
      </c>
      <c r="HD71" s="247">
        <v>316.43036533484894</v>
      </c>
      <c r="HE71" s="247">
        <v>315.50857211549925</v>
      </c>
      <c r="HF71" s="247">
        <v>314.58777068053098</v>
      </c>
      <c r="HG71" s="247">
        <v>313.66798447242667</v>
      </c>
      <c r="HH71" s="247">
        <v>312.74923685204504</v>
      </c>
      <c r="HI71" s="247">
        <v>311.83155101529672</v>
      </c>
      <c r="HJ71" s="247">
        <v>310.91494993183755</v>
      </c>
      <c r="HK71" s="247">
        <v>309.99945651264477</v>
      </c>
      <c r="HL71" s="247">
        <v>309.08579707080327</v>
      </c>
      <c r="HM71" s="247">
        <v>308.17323878357683</v>
      </c>
      <c r="HN71" s="247">
        <v>307.26175957338046</v>
      </c>
      <c r="HO71" s="247">
        <v>306.35133753226421</v>
      </c>
      <c r="HP71" s="247">
        <v>305.44195082768186</v>
      </c>
      <c r="HQ71" s="247">
        <v>304.5335778227103</v>
      </c>
      <c r="HR71" s="247">
        <v>303.62619692833186</v>
      </c>
      <c r="HS71" s="247">
        <v>302.71978671392617</v>
      </c>
      <c r="HT71" s="247">
        <v>301.81432588038626</v>
      </c>
      <c r="HU71" s="247">
        <v>300.90979322011856</v>
      </c>
      <c r="HV71" s="247">
        <v>300.00616767829933</v>
      </c>
      <c r="HW71" s="247">
        <v>299.10342825302479</v>
      </c>
      <c r="HX71" s="247">
        <v>298.20227572431423</v>
      </c>
      <c r="HY71" s="247">
        <v>297.30199067051217</v>
      </c>
      <c r="HZ71" s="247">
        <v>296.40258221979269</v>
      </c>
      <c r="IA71" s="247">
        <v>295.50405944171428</v>
      </c>
      <c r="IB71" s="247">
        <v>294.60643133579356</v>
      </c>
      <c r="IC71" s="247">
        <v>293.70970682935786</v>
      </c>
      <c r="ID71" s="247">
        <v>292.81389483166055</v>
      </c>
      <c r="IE71" s="247">
        <v>291.91900414409747</v>
      </c>
      <c r="IF71" s="247">
        <v>291.02504351301127</v>
      </c>
      <c r="IG71" s="247">
        <v>290.13202162996492</v>
      </c>
      <c r="IH71" s="247">
        <v>289.23994713248527</v>
      </c>
      <c r="II71" s="247">
        <v>288.34882860435761</v>
      </c>
      <c r="IJ71" s="247">
        <v>287.45939908964249</v>
      </c>
      <c r="IK71" s="247">
        <v>286.57094699367912</v>
      </c>
      <c r="IL71" s="247">
        <v>285.68349217642134</v>
      </c>
      <c r="IM71" s="247">
        <v>284.79705429364066</v>
      </c>
      <c r="IN71" s="247">
        <v>283.91165292049465</v>
      </c>
      <c r="IO71" s="247">
        <v>283.02730758676529</v>
      </c>
      <c r="IP71" s="247">
        <v>282.14403760075834</v>
      </c>
      <c r="IQ71" s="247">
        <v>281.26186217200893</v>
      </c>
      <c r="IR71" s="247">
        <v>280.38080048019447</v>
      </c>
      <c r="IS71" s="247">
        <v>279.50087152432411</v>
      </c>
      <c r="IT71" s="247">
        <v>278.62209419908913</v>
      </c>
      <c r="IU71" s="247">
        <v>277.74448729509538</v>
      </c>
      <c r="IV71" s="247">
        <v>276.86879123547556</v>
      </c>
      <c r="IW71" s="247">
        <v>275.99425079973003</v>
      </c>
      <c r="IX71" s="247">
        <v>275.12083956327871</v>
      </c>
      <c r="IY71" s="247">
        <v>274.24853128201511</v>
      </c>
      <c r="IZ71" s="247">
        <v>273.37729979049993</v>
      </c>
      <c r="JA71" s="247">
        <v>272.50711914691254</v>
      </c>
      <c r="JB71" s="247">
        <v>271.63796348039835</v>
      </c>
      <c r="JC71" s="247">
        <v>270.76980709159352</v>
      </c>
      <c r="JD71" s="247">
        <v>269.90262442825031</v>
      </c>
      <c r="JE71" s="247">
        <v>269.03639001246557</v>
      </c>
      <c r="JF71" s="247">
        <v>268.1710785506022</v>
      </c>
      <c r="JG71" s="247">
        <v>267.30666489720818</v>
      </c>
      <c r="JH71" s="247">
        <v>266.44386607334781</v>
      </c>
      <c r="JI71" s="247">
        <v>265.58194142401913</v>
      </c>
      <c r="JJ71" s="247">
        <v>264.7208993669679</v>
      </c>
      <c r="JK71" s="247">
        <v>263.86074816880858</v>
      </c>
      <c r="JL71" s="247">
        <v>263.00149611331091</v>
      </c>
      <c r="JM71" s="247">
        <v>262.14315137580218</v>
      </c>
      <c r="JN71" s="247">
        <v>261.28572213993891</v>
      </c>
      <c r="JO71" s="247">
        <v>260.42921644874087</v>
      </c>
      <c r="JP71" s="247">
        <v>259.57364254803383</v>
      </c>
      <c r="JQ71" s="247">
        <v>258.71900818742108</v>
      </c>
      <c r="JR71" s="247">
        <v>257.86532149294072</v>
      </c>
      <c r="JS71" s="247">
        <v>257.0125904439314</v>
      </c>
      <c r="JT71" s="247">
        <v>256.16156391106244</v>
      </c>
      <c r="JU71" s="247">
        <v>255.31148077751348</v>
      </c>
      <c r="JV71" s="247">
        <v>254.4623279248996</v>
      </c>
      <c r="JW71" s="247">
        <v>253.61409244519109</v>
      </c>
      <c r="JX71" s="247">
        <v>252.76676130854375</v>
      </c>
      <c r="JY71" s="247">
        <v>251.92032170198902</v>
      </c>
      <c r="JZ71" s="247">
        <v>251.07476085283736</v>
      </c>
      <c r="KA71" s="247">
        <v>250.23006586954051</v>
      </c>
      <c r="KB71" s="247">
        <v>249.38622407457711</v>
      </c>
      <c r="KC71" s="247">
        <v>248.54322283125248</v>
      </c>
      <c r="KD71" s="247">
        <v>247.70104954992254</v>
      </c>
      <c r="KE71" s="247">
        <v>246.8596915198994</v>
      </c>
      <c r="KF71" s="247">
        <v>246.01990294463963</v>
      </c>
      <c r="KG71" s="247">
        <v>245.18097738128594</v>
      </c>
      <c r="KH71" s="247">
        <v>244.34298162912671</v>
      </c>
      <c r="KI71" s="247">
        <v>243.50598225193707</v>
      </c>
      <c r="KJ71" s="247">
        <v>242.67004525685897</v>
      </c>
      <c r="KK71" s="247">
        <v>241.83523642066274</v>
      </c>
      <c r="KL71" s="247">
        <v>241.00162128040157</v>
      </c>
      <c r="KM71" s="247">
        <v>240.1692651392153</v>
      </c>
      <c r="KN71" s="247">
        <v>239.33823290091399</v>
      </c>
      <c r="KO71" s="247">
        <v>238.50858922534516</v>
      </c>
      <c r="KP71" s="247">
        <v>237.68039837334254</v>
      </c>
      <c r="KQ71" s="247">
        <v>236.85372468142924</v>
      </c>
      <c r="KR71" s="247">
        <v>236.02937598542317</v>
      </c>
      <c r="KS71" s="247">
        <v>235.20655379835267</v>
      </c>
      <c r="KT71" s="247">
        <v>234.38521067826534</v>
      </c>
      <c r="KU71" s="247">
        <v>233.56529937577446</v>
      </c>
      <c r="KV71" s="247">
        <v>232.74677299636275</v>
      </c>
      <c r="KW71" s="247">
        <v>231.92958468821482</v>
      </c>
      <c r="KX71" s="247">
        <v>231.11368810300891</v>
      </c>
      <c r="KY71" s="247">
        <v>230.29903693589617</v>
      </c>
      <c r="KZ71" s="247">
        <v>229.48558507833081</v>
      </c>
      <c r="LA71" s="247">
        <v>228.67328676750734</v>
      </c>
      <c r="LB71" s="247">
        <v>227.86209628385006</v>
      </c>
      <c r="LC71" s="247">
        <v>227.05196810500928</v>
      </c>
      <c r="LD71" s="247">
        <v>226.22614444477338</v>
      </c>
      <c r="LE71" s="247">
        <v>225.40126118114017</v>
      </c>
      <c r="LF71" s="247">
        <v>224.57734114216328</v>
      </c>
      <c r="LG71" s="247">
        <v>223.75440709388246</v>
      </c>
      <c r="LH71" s="247">
        <v>222.93248160697962</v>
      </c>
      <c r="LI71" s="247">
        <v>222.111587332027</v>
      </c>
      <c r="LJ71" s="247">
        <v>221.29174685363054</v>
      </c>
      <c r="LK71" s="247">
        <v>220.47298242097992</v>
      </c>
      <c r="LL71" s="247">
        <v>219.65531649162264</v>
      </c>
      <c r="LM71" s="247">
        <v>218.83877145078841</v>
      </c>
      <c r="LN71" s="247">
        <v>218.02336934314042</v>
      </c>
      <c r="LO71" s="247">
        <v>217.20913241325573</v>
      </c>
      <c r="LP71" s="247">
        <v>216.39698784962795</v>
      </c>
      <c r="LQ71" s="247">
        <v>215.58602497584405</v>
      </c>
      <c r="LR71" s="247">
        <v>214.77624428034136</v>
      </c>
      <c r="LS71" s="247">
        <v>213.96764625409895</v>
      </c>
      <c r="LT71" s="247">
        <v>213.16023152787258</v>
      </c>
      <c r="LU71" s="247">
        <v>212.35400073935904</v>
      </c>
      <c r="LV71" s="247">
        <v>211.54895452645169</v>
      </c>
      <c r="LW71" s="247">
        <v>210.74509353046821</v>
      </c>
      <c r="LX71" s="247">
        <v>209.9424185258039</v>
      </c>
      <c r="LY71" s="247">
        <v>209.14093015231828</v>
      </c>
      <c r="LZ71" s="247">
        <v>208.34062930600788</v>
      </c>
      <c r="MA71" s="247">
        <v>207.54151662269729</v>
      </c>
      <c r="MB71" s="247">
        <v>206.72624769222458</v>
      </c>
      <c r="MC71" s="247">
        <v>205.91205281598087</v>
      </c>
      <c r="MD71" s="247">
        <v>205.09893152938926</v>
      </c>
      <c r="ME71" s="247">
        <v>204.28688335206658</v>
      </c>
      <c r="MF71" s="247">
        <v>203.47590802663589</v>
      </c>
      <c r="MG71" s="247">
        <v>202.66600516738919</v>
      </c>
      <c r="MH71" s="247">
        <v>201.85717437070898</v>
      </c>
      <c r="MI71" s="247">
        <v>201.04941544843385</v>
      </c>
      <c r="MJ71" s="247">
        <v>200.24272808102103</v>
      </c>
      <c r="MK71" s="247">
        <v>199.43711203945188</v>
      </c>
      <c r="ML71" s="247">
        <v>198.63256718720248</v>
      </c>
      <c r="MM71" s="247">
        <v>197.82909336440787</v>
      </c>
      <c r="MN71" s="247">
        <v>197.02774171123932</v>
      </c>
      <c r="MO71" s="247">
        <v>196.22745076247733</v>
      </c>
      <c r="MP71" s="247">
        <v>195.42821576333023</v>
      </c>
      <c r="MQ71" s="247">
        <v>194.63003186032429</v>
      </c>
      <c r="MR71" s="247">
        <v>193.83289455419094</v>
      </c>
      <c r="MS71" s="247">
        <v>193.03679913977334</v>
      </c>
      <c r="MT71" s="247">
        <v>192.24174103315355</v>
      </c>
      <c r="MU71" s="247">
        <v>191.447715774762</v>
      </c>
      <c r="MV71" s="247">
        <v>190.6547188071176</v>
      </c>
      <c r="MW71" s="247">
        <v>189.86274557844723</v>
      </c>
      <c r="MX71" s="247">
        <v>189.07179187082292</v>
      </c>
      <c r="MY71" s="247">
        <v>188.28185314659888</v>
      </c>
    </row>
    <row r="72" spans="1:363" ht="15.6" x14ac:dyDescent="0.3">
      <c r="A72" s="67" t="s">
        <v>7</v>
      </c>
      <c r="B72" s="72">
        <v>2082</v>
      </c>
      <c r="C72" s="247">
        <v>524.92942011130992</v>
      </c>
      <c r="D72" s="247">
        <v>523.901067559686</v>
      </c>
      <c r="E72" s="247">
        <v>522.87272437114109</v>
      </c>
      <c r="F72" s="247">
        <v>521.84439136252763</v>
      </c>
      <c r="G72" s="247">
        <v>520.81606938416394</v>
      </c>
      <c r="H72" s="247">
        <v>519.78775927849006</v>
      </c>
      <c r="I72" s="247">
        <v>518.7594618822543</v>
      </c>
      <c r="J72" s="247">
        <v>517.73117801776095</v>
      </c>
      <c r="K72" s="247">
        <v>516.7029085239418</v>
      </c>
      <c r="L72" s="247">
        <v>515.67465425497426</v>
      </c>
      <c r="M72" s="247">
        <v>514.64641603391874</v>
      </c>
      <c r="N72" s="247">
        <v>513.61819471434114</v>
      </c>
      <c r="O72" s="247">
        <v>512.58999112095478</v>
      </c>
      <c r="P72" s="247">
        <v>511.56144565349217</v>
      </c>
      <c r="Q72" s="247">
        <v>510.53290725985403</v>
      </c>
      <c r="R72" s="247">
        <v>509.50437641446877</v>
      </c>
      <c r="S72" s="247">
        <v>508.47585362347297</v>
      </c>
      <c r="T72" s="247">
        <v>507.4473393641137</v>
      </c>
      <c r="U72" s="247">
        <v>506.41883412787826</v>
      </c>
      <c r="V72" s="247">
        <v>505.39033841888869</v>
      </c>
      <c r="W72" s="247">
        <v>504.36185270820033</v>
      </c>
      <c r="X72" s="247">
        <v>503.33337750687519</v>
      </c>
      <c r="Y72" s="247">
        <v>502.3049133117625</v>
      </c>
      <c r="Z72" s="247">
        <v>501.2764606123007</v>
      </c>
      <c r="AA72" s="247">
        <v>500.24801992354162</v>
      </c>
      <c r="AB72" s="247">
        <v>499.21925672096631</v>
      </c>
      <c r="AC72" s="247">
        <v>498.19049477446481</v>
      </c>
      <c r="AD72" s="247">
        <v>497.1617342732257</v>
      </c>
      <c r="AE72" s="247">
        <v>496.13297544688004</v>
      </c>
      <c r="AF72" s="247">
        <v>495.10421848725139</v>
      </c>
      <c r="AG72" s="247">
        <v>494.0754636314943</v>
      </c>
      <c r="AH72" s="247">
        <v>493.04671106199828</v>
      </c>
      <c r="AI72" s="247">
        <v>492.01796103511907</v>
      </c>
      <c r="AJ72" s="247">
        <v>490.98921373260777</v>
      </c>
      <c r="AK72" s="247">
        <v>489.96046942652606</v>
      </c>
      <c r="AL72" s="247">
        <v>488.93172831668488</v>
      </c>
      <c r="AM72" s="247">
        <v>487.90299065070155</v>
      </c>
      <c r="AN72" s="247">
        <v>486.87497459806156</v>
      </c>
      <c r="AO72" s="247">
        <v>485.84695720414396</v>
      </c>
      <c r="AP72" s="247">
        <v>484.81894004302222</v>
      </c>
      <c r="AQ72" s="247">
        <v>483.79092463097726</v>
      </c>
      <c r="AR72" s="247">
        <v>482.7629125049869</v>
      </c>
      <c r="AS72" s="247">
        <v>481.73490522715434</v>
      </c>
      <c r="AT72" s="247">
        <v>480.70690429648801</v>
      </c>
      <c r="AU72" s="247">
        <v>479.67891124366128</v>
      </c>
      <c r="AV72" s="247">
        <v>478.65092758280582</v>
      </c>
      <c r="AW72" s="247">
        <v>477.62295483189035</v>
      </c>
      <c r="AX72" s="247">
        <v>476.59499450544826</v>
      </c>
      <c r="AY72" s="247">
        <v>475.56704811279485</v>
      </c>
      <c r="AZ72" s="247">
        <v>474.53984108366626</v>
      </c>
      <c r="BA72" s="247">
        <v>473.5126420884319</v>
      </c>
      <c r="BB72" s="247">
        <v>472.48545031552891</v>
      </c>
      <c r="BC72" s="247">
        <v>471.45826494348125</v>
      </c>
      <c r="BD72" s="247">
        <v>470.43108516451554</v>
      </c>
      <c r="BE72" s="247">
        <v>469.40391017833224</v>
      </c>
      <c r="BF72" s="247">
        <v>468.37673920173938</v>
      </c>
      <c r="BG72" s="247">
        <v>467.34957145472612</v>
      </c>
      <c r="BH72" s="247">
        <v>466.32240616659033</v>
      </c>
      <c r="BI72" s="247">
        <v>465.29524257462242</v>
      </c>
      <c r="BJ72" s="247">
        <v>464.2680799170509</v>
      </c>
      <c r="BK72" s="247">
        <v>463.24091747391168</v>
      </c>
      <c r="BL72" s="247">
        <v>462.21571377305168</v>
      </c>
      <c r="BM72" s="247">
        <v>461.19051331814319</v>
      </c>
      <c r="BN72" s="247">
        <v>460.16532233964864</v>
      </c>
      <c r="BO72" s="247">
        <v>459.14014703285056</v>
      </c>
      <c r="BP72" s="247">
        <v>458.11499360496668</v>
      </c>
      <c r="BQ72" s="247">
        <v>457.08986820006697</v>
      </c>
      <c r="BR72" s="247">
        <v>456.06477690971286</v>
      </c>
      <c r="BS72" s="247">
        <v>455.03972581443304</v>
      </c>
      <c r="BT72" s="247">
        <v>454.0147209336746</v>
      </c>
      <c r="BU72" s="247">
        <v>452.98976830384697</v>
      </c>
      <c r="BV72" s="247">
        <v>451.96487389101571</v>
      </c>
      <c r="BW72" s="247">
        <v>450.94004361263671</v>
      </c>
      <c r="BX72" s="247">
        <v>449.91744789881392</v>
      </c>
      <c r="BY72" s="247">
        <v>448.8949224979915</v>
      </c>
      <c r="BZ72" s="247">
        <v>447.87246419312129</v>
      </c>
      <c r="CA72" s="247">
        <v>446.85006975821062</v>
      </c>
      <c r="CB72" s="247">
        <v>445.82773599618287</v>
      </c>
      <c r="CC72" s="247">
        <v>444.80545974357148</v>
      </c>
      <c r="CD72" s="247">
        <v>443.78323784557693</v>
      </c>
      <c r="CE72" s="247">
        <v>442.7610671760504</v>
      </c>
      <c r="CF72" s="247">
        <v>441.73894463220176</v>
      </c>
      <c r="CG72" s="247">
        <v>440.71686713461378</v>
      </c>
      <c r="CH72" s="247">
        <v>439.69483161724122</v>
      </c>
      <c r="CI72" s="247">
        <v>438.67283505058367</v>
      </c>
      <c r="CJ72" s="247">
        <v>437.65506817066432</v>
      </c>
      <c r="CK72" s="247">
        <v>436.63734836693919</v>
      </c>
      <c r="CL72" s="247">
        <v>435.61967870701625</v>
      </c>
      <c r="CM72" s="247">
        <v>434.60206217422149</v>
      </c>
      <c r="CN72" s="247">
        <v>433.58450177900562</v>
      </c>
      <c r="CO72" s="247">
        <v>432.56700049609924</v>
      </c>
      <c r="CP72" s="247">
        <v>431.54956129105528</v>
      </c>
      <c r="CQ72" s="247">
        <v>430.53218710070593</v>
      </c>
      <c r="CR72" s="247">
        <v>429.51488084170774</v>
      </c>
      <c r="CS72" s="247">
        <v>428.49764545166028</v>
      </c>
      <c r="CT72" s="247">
        <v>427.48048380847649</v>
      </c>
      <c r="CU72" s="247">
        <v>426.46339879857669</v>
      </c>
      <c r="CV72" s="247">
        <v>425.45144777183413</v>
      </c>
      <c r="CW72" s="247">
        <v>424.43959285301059</v>
      </c>
      <c r="CX72" s="247">
        <v>423.42783481399005</v>
      </c>
      <c r="CY72" s="247">
        <v>422.41617444265967</v>
      </c>
      <c r="CZ72" s="247">
        <v>421.404612510292</v>
      </c>
      <c r="DA72" s="247">
        <v>420.39314976374237</v>
      </c>
      <c r="DB72" s="247">
        <v>419.38178698799936</v>
      </c>
      <c r="DC72" s="247">
        <v>418.3705249504174</v>
      </c>
      <c r="DD72" s="247">
        <v>417.3593643800358</v>
      </c>
      <c r="DE72" s="247">
        <v>416.34830604688966</v>
      </c>
      <c r="DF72" s="247">
        <v>415.33735068390951</v>
      </c>
      <c r="DG72" s="247">
        <v>414.32649903465165</v>
      </c>
      <c r="DH72" s="247">
        <v>413.32188742509675</v>
      </c>
      <c r="DI72" s="247">
        <v>412.31740876954132</v>
      </c>
      <c r="DJ72" s="247">
        <v>411.31307128956871</v>
      </c>
      <c r="DK72" s="247">
        <v>410.30888322545155</v>
      </c>
      <c r="DL72" s="247">
        <v>409.30485270477004</v>
      </c>
      <c r="DM72" s="247">
        <v>408.30098786182958</v>
      </c>
      <c r="DN72" s="247">
        <v>407.29729669239663</v>
      </c>
      <c r="DO72" s="247">
        <v>406.29378724166446</v>
      </c>
      <c r="DP72" s="247">
        <v>405.29046740010887</v>
      </c>
      <c r="DQ72" s="247">
        <v>404.28734504948716</v>
      </c>
      <c r="DR72" s="247">
        <v>403.28442800825752</v>
      </c>
      <c r="DS72" s="247">
        <v>402.28172408636027</v>
      </c>
      <c r="DT72" s="247">
        <v>401.28679284407912</v>
      </c>
      <c r="DU72" s="247">
        <v>400.29213434382621</v>
      </c>
      <c r="DV72" s="247">
        <v>399.29775969490856</v>
      </c>
      <c r="DW72" s="247">
        <v>398.30367986517393</v>
      </c>
      <c r="DX72" s="247">
        <v>397.30990577785076</v>
      </c>
      <c r="DY72" s="247">
        <v>396.31644828383611</v>
      </c>
      <c r="DZ72" s="247">
        <v>395.323318139452</v>
      </c>
      <c r="EA72" s="247">
        <v>394.3305260565383</v>
      </c>
      <c r="EB72" s="247">
        <v>393.33808265369885</v>
      </c>
      <c r="EC72" s="247">
        <v>392.34599845945803</v>
      </c>
      <c r="ED72" s="247">
        <v>391.35428393183059</v>
      </c>
      <c r="EE72" s="247">
        <v>390.36294945998105</v>
      </c>
      <c r="EF72" s="247">
        <v>389.3815277301677</v>
      </c>
      <c r="EG72" s="247">
        <v>388.40056182856995</v>
      </c>
      <c r="EH72" s="247">
        <v>387.42004636167059</v>
      </c>
      <c r="EI72" s="247">
        <v>386.43997611785551</v>
      </c>
      <c r="EJ72" s="247">
        <v>385.46034579518818</v>
      </c>
      <c r="EK72" s="247">
        <v>384.48115018490887</v>
      </c>
      <c r="EL72" s="247">
        <v>383.50238409822998</v>
      </c>
      <c r="EM72" s="247">
        <v>382.52404230486866</v>
      </c>
      <c r="EN72" s="247">
        <v>381.54611971374715</v>
      </c>
      <c r="EO72" s="247">
        <v>380.56861116416906</v>
      </c>
      <c r="EP72" s="247">
        <v>379.59151156597721</v>
      </c>
      <c r="EQ72" s="247">
        <v>378.61481585420785</v>
      </c>
      <c r="ER72" s="247">
        <v>377.6446625230127</v>
      </c>
      <c r="ES72" s="247">
        <v>376.67494702727811</v>
      </c>
      <c r="ET72" s="247">
        <v>375.70567723265128</v>
      </c>
      <c r="EU72" s="247">
        <v>374.73686116931879</v>
      </c>
      <c r="EV72" s="247">
        <v>373.7685066178575</v>
      </c>
      <c r="EW72" s="247">
        <v>372.80062140398121</v>
      </c>
      <c r="EX72" s="247">
        <v>371.83321324638763</v>
      </c>
      <c r="EY72" s="247">
        <v>370.86628981539531</v>
      </c>
      <c r="EZ72" s="247">
        <v>369.89985872619354</v>
      </c>
      <c r="FA72" s="247">
        <v>368.93392751594104</v>
      </c>
      <c r="FB72" s="247">
        <v>367.96850369297897</v>
      </c>
      <c r="FC72" s="247">
        <v>367.00359468895692</v>
      </c>
      <c r="FD72" s="247">
        <v>366.03989537319461</v>
      </c>
      <c r="FE72" s="247">
        <v>365.07671788184308</v>
      </c>
      <c r="FF72" s="247">
        <v>364.11406888810274</v>
      </c>
      <c r="FG72" s="247">
        <v>363.15195500847352</v>
      </c>
      <c r="FH72" s="247">
        <v>362.19038276449027</v>
      </c>
      <c r="FI72" s="247">
        <v>361.22935869945081</v>
      </c>
      <c r="FJ72" s="247">
        <v>360.26888925442978</v>
      </c>
      <c r="FK72" s="247">
        <v>359.30898082566932</v>
      </c>
      <c r="FL72" s="247">
        <v>358.34963975780397</v>
      </c>
      <c r="FM72" s="247">
        <v>357.39087232163706</v>
      </c>
      <c r="FN72" s="247">
        <v>356.43268476205117</v>
      </c>
      <c r="FO72" s="247">
        <v>355.47508325144787</v>
      </c>
      <c r="FP72" s="247">
        <v>354.51876541301431</v>
      </c>
      <c r="FQ72" s="247">
        <v>353.56303952984479</v>
      </c>
      <c r="FR72" s="247">
        <v>352.60791233131795</v>
      </c>
      <c r="FS72" s="247">
        <v>351.65339057721843</v>
      </c>
      <c r="FT72" s="247">
        <v>350.6994808793599</v>
      </c>
      <c r="FU72" s="247">
        <v>349.74618986233168</v>
      </c>
      <c r="FV72" s="247">
        <v>348.79352408928946</v>
      </c>
      <c r="FW72" s="247">
        <v>347.84149000155293</v>
      </c>
      <c r="FX72" s="247">
        <v>346.8900940746334</v>
      </c>
      <c r="FY72" s="247">
        <v>345.9393426340929</v>
      </c>
      <c r="FZ72" s="247">
        <v>344.98924206410578</v>
      </c>
      <c r="GA72" s="247">
        <v>344.03979862345489</v>
      </c>
      <c r="GB72" s="247">
        <v>343.09171635371479</v>
      </c>
      <c r="GC72" s="247">
        <v>342.14431183972067</v>
      </c>
      <c r="GD72" s="247">
        <v>341.19760640035901</v>
      </c>
      <c r="GE72" s="247">
        <v>340.25162125644511</v>
      </c>
      <c r="GF72" s="247">
        <v>339.30637740315166</v>
      </c>
      <c r="GG72" s="247">
        <v>338.36189574358235</v>
      </c>
      <c r="GH72" s="247">
        <v>337.41819701657863</v>
      </c>
      <c r="GI72" s="247">
        <v>336.4753018282903</v>
      </c>
      <c r="GJ72" s="247">
        <v>335.53323062367247</v>
      </c>
      <c r="GK72" s="247">
        <v>334.59200368732735</v>
      </c>
      <c r="GL72" s="247">
        <v>333.6516411673278</v>
      </c>
      <c r="GM72" s="247">
        <v>332.71216309740907</v>
      </c>
      <c r="GN72" s="247">
        <v>331.774284952941</v>
      </c>
      <c r="GO72" s="247">
        <v>330.8373001926264</v>
      </c>
      <c r="GP72" s="247">
        <v>329.90120498328184</v>
      </c>
      <c r="GQ72" s="247">
        <v>328.96599549832024</v>
      </c>
      <c r="GR72" s="247">
        <v>328.03166792586944</v>
      </c>
      <c r="GS72" s="247">
        <v>327.09821844465358</v>
      </c>
      <c r="GT72" s="247">
        <v>326.16564326322271</v>
      </c>
      <c r="GU72" s="247">
        <v>325.23393862864697</v>
      </c>
      <c r="GV72" s="247">
        <v>324.30310073332561</v>
      </c>
      <c r="GW72" s="247">
        <v>323.37312582416314</v>
      </c>
      <c r="GX72" s="247">
        <v>322.44401016032003</v>
      </c>
      <c r="GY72" s="247">
        <v>321.51575005609516</v>
      </c>
      <c r="GZ72" s="247">
        <v>320.58905062583926</v>
      </c>
      <c r="HA72" s="247">
        <v>319.66322028718599</v>
      </c>
      <c r="HB72" s="247">
        <v>318.73828333339981</v>
      </c>
      <c r="HC72" s="247">
        <v>317.81426376054679</v>
      </c>
      <c r="HD72" s="247">
        <v>316.89118546756737</v>
      </c>
      <c r="HE72" s="247">
        <v>315.96907216895301</v>
      </c>
      <c r="HF72" s="247">
        <v>315.04794747487841</v>
      </c>
      <c r="HG72" s="247">
        <v>314.12783475285931</v>
      </c>
      <c r="HH72" s="247">
        <v>313.20875728934709</v>
      </c>
      <c r="HI72" s="247">
        <v>312.29073820667821</v>
      </c>
      <c r="HJ72" s="247">
        <v>311.3738004020081</v>
      </c>
      <c r="HK72" s="247">
        <v>310.45796671428423</v>
      </c>
      <c r="HL72" s="247">
        <v>309.54396156511024</v>
      </c>
      <c r="HM72" s="247">
        <v>308.63105405772882</v>
      </c>
      <c r="HN72" s="247">
        <v>307.71922220084713</v>
      </c>
      <c r="HO72" s="247">
        <v>306.80844417207669</v>
      </c>
      <c r="HP72" s="247">
        <v>305.8986982240832</v>
      </c>
      <c r="HQ72" s="247">
        <v>304.9899628043438</v>
      </c>
      <c r="HR72" s="247">
        <v>304.08221640796035</v>
      </c>
      <c r="HS72" s="247">
        <v>303.17543768778728</v>
      </c>
      <c r="HT72" s="247">
        <v>302.2696054276355</v>
      </c>
      <c r="HU72" s="247">
        <v>301.36469850240809</v>
      </c>
      <c r="HV72" s="247">
        <v>300.4606959391628</v>
      </c>
      <c r="HW72" s="247">
        <v>299.55757681761111</v>
      </c>
      <c r="HX72" s="247">
        <v>298.65604013605457</v>
      </c>
      <c r="HY72" s="247">
        <v>297.75536832953026</v>
      </c>
      <c r="HZ72" s="247">
        <v>296.85557050202635</v>
      </c>
      <c r="IA72" s="247">
        <v>295.95665569925239</v>
      </c>
      <c r="IB72" s="247">
        <v>295.0586328972982</v>
      </c>
      <c r="IC72" s="247">
        <v>294.16151100044203</v>
      </c>
      <c r="ID72" s="247">
        <v>293.26529889510425</v>
      </c>
      <c r="IE72" s="247">
        <v>292.37000536037539</v>
      </c>
      <c r="IF72" s="247">
        <v>291.4756391206414</v>
      </c>
      <c r="IG72" s="247">
        <v>290.5822088458437</v>
      </c>
      <c r="IH72" s="247">
        <v>289.6897231522309</v>
      </c>
      <c r="II72" s="247">
        <v>288.79819060265822</v>
      </c>
      <c r="IJ72" s="247">
        <v>287.90834236721929</v>
      </c>
      <c r="IK72" s="247">
        <v>287.01946866272442</v>
      </c>
      <c r="IL72" s="247">
        <v>286.13158928914396</v>
      </c>
      <c r="IM72" s="247">
        <v>285.24472384317664</v>
      </c>
      <c r="IN72" s="247">
        <v>284.35889184144168</v>
      </c>
      <c r="IO72" s="247">
        <v>283.4741127555514</v>
      </c>
      <c r="IP72" s="247">
        <v>282.59040583662295</v>
      </c>
      <c r="IQ72" s="247">
        <v>281.70779023757291</v>
      </c>
      <c r="IR72" s="247">
        <v>280.82628508179624</v>
      </c>
      <c r="IS72" s="247">
        <v>279.9459093128475</v>
      </c>
      <c r="IT72" s="247">
        <v>279.06668177055508</v>
      </c>
      <c r="IU72" s="247">
        <v>278.18862119124242</v>
      </c>
      <c r="IV72" s="247">
        <v>277.31246611744638</v>
      </c>
      <c r="IW72" s="247">
        <v>276.43746327367217</v>
      </c>
      <c r="IX72" s="247">
        <v>275.56358633471569</v>
      </c>
      <c r="IY72" s="247">
        <v>274.69080915507971</v>
      </c>
      <c r="IZ72" s="247">
        <v>273.81910566755835</v>
      </c>
      <c r="JA72" s="247">
        <v>272.94845002766743</v>
      </c>
      <c r="JB72" s="247">
        <v>272.07881646151651</v>
      </c>
      <c r="JC72" s="247">
        <v>271.21017936601925</v>
      </c>
      <c r="JD72" s="247">
        <v>270.34251328459914</v>
      </c>
      <c r="JE72" s="247">
        <v>269.47579283465137</v>
      </c>
      <c r="JF72" s="247">
        <v>268.60999281712651</v>
      </c>
      <c r="JG72" s="247">
        <v>267.7450881805625</v>
      </c>
      <c r="JH72" s="247">
        <v>266.88179415824754</v>
      </c>
      <c r="JI72" s="247">
        <v>266.01937197490901</v>
      </c>
      <c r="JJ72" s="247">
        <v>265.15783002850668</v>
      </c>
      <c r="JK72" s="247">
        <v>264.29717656651104</v>
      </c>
      <c r="JL72" s="247">
        <v>263.43741985366148</v>
      </c>
      <c r="JM72" s="247">
        <v>262.57856804676447</v>
      </c>
      <c r="JN72" s="247">
        <v>261.72062931106683</v>
      </c>
      <c r="JO72" s="247">
        <v>260.86361167181036</v>
      </c>
      <c r="JP72" s="247">
        <v>260.0075233565301</v>
      </c>
      <c r="JQ72" s="247">
        <v>259.15237209833469</v>
      </c>
      <c r="JR72" s="247">
        <v>258.29816600567943</v>
      </c>
      <c r="JS72" s="247">
        <v>257.44491304097301</v>
      </c>
      <c r="JT72" s="247">
        <v>256.59336019270199</v>
      </c>
      <c r="JU72" s="247">
        <v>255.74274828086195</v>
      </c>
      <c r="JV72" s="247">
        <v>254.89306423988847</v>
      </c>
      <c r="JW72" s="247">
        <v>254.04429521385063</v>
      </c>
      <c r="JX72" s="247">
        <v>253.19642822542832</v>
      </c>
      <c r="JY72" s="247">
        <v>252.34945051344238</v>
      </c>
      <c r="JZ72" s="247">
        <v>251.50334935685515</v>
      </c>
      <c r="KA72" s="247">
        <v>250.6581119161759</v>
      </c>
      <c r="KB72" s="247">
        <v>249.813725565249</v>
      </c>
      <c r="KC72" s="247">
        <v>248.97017771861002</v>
      </c>
      <c r="KD72" s="247">
        <v>248.12745583771562</v>
      </c>
      <c r="KE72" s="247">
        <v>247.28554726339922</v>
      </c>
      <c r="KF72" s="247">
        <v>246.44520430843684</v>
      </c>
      <c r="KG72" s="247">
        <v>245.60572227787551</v>
      </c>
      <c r="KH72" s="247">
        <v>244.76716776134444</v>
      </c>
      <c r="KI72" s="247">
        <v>243.92960711430746</v>
      </c>
      <c r="KJ72" s="247">
        <v>243.09310613802833</v>
      </c>
      <c r="KK72" s="247">
        <v>242.25773040471628</v>
      </c>
      <c r="KL72" s="247">
        <v>241.42354524820581</v>
      </c>
      <c r="KM72" s="247">
        <v>240.59061576974997</v>
      </c>
      <c r="KN72" s="247">
        <v>239.75900667313351</v>
      </c>
      <c r="KO72" s="247">
        <v>238.92878241949728</v>
      </c>
      <c r="KP72" s="247">
        <v>238.10000707280949</v>
      </c>
      <c r="KQ72" s="247">
        <v>237.27274477299588</v>
      </c>
      <c r="KR72" s="247">
        <v>236.44780129956027</v>
      </c>
      <c r="KS72" s="247">
        <v>235.62438021131516</v>
      </c>
      <c r="KT72" s="247">
        <v>234.80243423185323</v>
      </c>
      <c r="KU72" s="247">
        <v>233.98191627640841</v>
      </c>
      <c r="KV72" s="247">
        <v>233.16277961368505</v>
      </c>
      <c r="KW72" s="247">
        <v>232.34497755467294</v>
      </c>
      <c r="KX72" s="247">
        <v>231.52846391197249</v>
      </c>
      <c r="KY72" s="247">
        <v>230.71319254128122</v>
      </c>
      <c r="KZ72" s="247">
        <v>229.89911749374272</v>
      </c>
      <c r="LA72" s="247">
        <v>229.08619316489686</v>
      </c>
      <c r="LB72" s="247">
        <v>228.27437399317179</v>
      </c>
      <c r="LC72" s="247">
        <v>227.46361461339097</v>
      </c>
      <c r="LD72" s="247">
        <v>226.63700216232851</v>
      </c>
      <c r="LE72" s="247">
        <v>225.8113268869873</v>
      </c>
      <c r="LF72" s="247">
        <v>224.98661152800338</v>
      </c>
      <c r="LG72" s="247">
        <v>224.16287876439205</v>
      </c>
      <c r="LH72" s="247">
        <v>223.34015108080993</v>
      </c>
      <c r="LI72" s="247">
        <v>222.51845104159955</v>
      </c>
      <c r="LJ72" s="247">
        <v>221.69780114555283</v>
      </c>
      <c r="LK72" s="247">
        <v>220.87822355759778</v>
      </c>
      <c r="LL72" s="247">
        <v>220.05974065029471</v>
      </c>
      <c r="LM72" s="247">
        <v>219.24237472430596</v>
      </c>
      <c r="LN72" s="247">
        <v>218.42614774129163</v>
      </c>
      <c r="LO72" s="247">
        <v>217.61108186212283</v>
      </c>
      <c r="LP72" s="247">
        <v>216.79810052443915</v>
      </c>
      <c r="LQ72" s="247">
        <v>215.98629673214907</v>
      </c>
      <c r="LR72" s="247">
        <v>215.17567098004668</v>
      </c>
      <c r="LS72" s="247">
        <v>214.36622376545265</v>
      </c>
      <c r="LT72" s="247">
        <v>213.55795572493085</v>
      </c>
      <c r="LU72" s="247">
        <v>212.75086750196095</v>
      </c>
      <c r="LV72" s="247">
        <v>211.94495974023533</v>
      </c>
      <c r="LW72" s="247">
        <v>211.14023308688564</v>
      </c>
      <c r="LX72" s="247">
        <v>210.33668832160174</v>
      </c>
      <c r="LY72" s="247">
        <v>209.53432609010389</v>
      </c>
      <c r="LZ72" s="247">
        <v>208.7331472932261</v>
      </c>
      <c r="MA72" s="247">
        <v>207.93315257274202</v>
      </c>
      <c r="MB72" s="247">
        <v>207.11685097385049</v>
      </c>
      <c r="MC72" s="247">
        <v>206.30161857908112</v>
      </c>
      <c r="MD72" s="247">
        <v>205.48745493204865</v>
      </c>
      <c r="ME72" s="247">
        <v>204.67435956058958</v>
      </c>
      <c r="MF72" s="247">
        <v>203.86233221440048</v>
      </c>
      <c r="MG72" s="247">
        <v>203.05137251546532</v>
      </c>
      <c r="MH72" s="247">
        <v>202.24148006791154</v>
      </c>
      <c r="MI72" s="247">
        <v>201.43265469020463</v>
      </c>
      <c r="MJ72" s="247">
        <v>200.62489607008064</v>
      </c>
      <c r="MK72" s="247">
        <v>199.81820398529916</v>
      </c>
      <c r="ML72" s="247">
        <v>199.01257830562577</v>
      </c>
      <c r="MM72" s="247">
        <v>198.20801887758893</v>
      </c>
      <c r="MN72" s="247">
        <v>197.40557092840916</v>
      </c>
      <c r="MO72" s="247">
        <v>196.60417893123636</v>
      </c>
      <c r="MP72" s="247">
        <v>195.80383816018281</v>
      </c>
      <c r="MQ72" s="247">
        <v>195.00454379111468</v>
      </c>
      <c r="MR72" s="247">
        <v>194.20629135229481</v>
      </c>
      <c r="MS72" s="247">
        <v>193.40907616709387</v>
      </c>
      <c r="MT72" s="247">
        <v>192.61289367946506</v>
      </c>
      <c r="MU72" s="247">
        <v>191.81773945705646</v>
      </c>
      <c r="MV72" s="247">
        <v>191.0236089700816</v>
      </c>
      <c r="MW72" s="247">
        <v>190.23049769439351</v>
      </c>
      <c r="MX72" s="247">
        <v>189.43840143797865</v>
      </c>
      <c r="MY72" s="247">
        <v>188.64731569071702</v>
      </c>
    </row>
    <row r="73" spans="1:363" ht="15.6" x14ac:dyDescent="0.3">
      <c r="A73" s="67" t="s">
        <v>7</v>
      </c>
      <c r="B73" s="72">
        <v>2083</v>
      </c>
      <c r="C73" s="247">
        <v>525.42502531769276</v>
      </c>
      <c r="D73" s="247">
        <v>524.39661416102626</v>
      </c>
      <c r="E73" s="247">
        <v>523.36821167239202</v>
      </c>
      <c r="F73" s="247">
        <v>522.33981866476665</v>
      </c>
      <c r="G73" s="247">
        <v>521.31143598405345</v>
      </c>
      <c r="H73" s="247">
        <v>520.2830644685373</v>
      </c>
      <c r="I73" s="247">
        <v>519.25470495095033</v>
      </c>
      <c r="J73" s="247">
        <v>518.22635824982115</v>
      </c>
      <c r="K73" s="247">
        <v>517.19802520020244</v>
      </c>
      <c r="L73" s="247">
        <v>516.16970665222959</v>
      </c>
      <c r="M73" s="247">
        <v>515.14140342547125</v>
      </c>
      <c r="N73" s="247">
        <v>514.11311636962557</v>
      </c>
      <c r="O73" s="247">
        <v>513.08484630609132</v>
      </c>
      <c r="P73" s="247">
        <v>512.05623134239715</v>
      </c>
      <c r="Q73" s="247">
        <v>511.02762272672146</v>
      </c>
      <c r="R73" s="247">
        <v>509.99902093493438</v>
      </c>
      <c r="S73" s="247">
        <v>508.97042647404595</v>
      </c>
      <c r="T73" s="247">
        <v>507.94183982280799</v>
      </c>
      <c r="U73" s="247">
        <v>506.91326147401577</v>
      </c>
      <c r="V73" s="247">
        <v>505.88469193292917</v>
      </c>
      <c r="W73" s="247">
        <v>504.85613167241718</v>
      </c>
      <c r="X73" s="247">
        <v>503.82758120478701</v>
      </c>
      <c r="Y73" s="247">
        <v>502.79904102843074</v>
      </c>
      <c r="Z73" s="247">
        <v>501.77051163455445</v>
      </c>
      <c r="AA73" s="247">
        <v>500.74199353966588</v>
      </c>
      <c r="AB73" s="247">
        <v>499.71315069786186</v>
      </c>
      <c r="AC73" s="247">
        <v>498.68430842073212</v>
      </c>
      <c r="AD73" s="247">
        <v>497.655466903898</v>
      </c>
      <c r="AE73" s="247">
        <v>496.62662638267369</v>
      </c>
      <c r="AF73" s="247">
        <v>495.59778705538463</v>
      </c>
      <c r="AG73" s="247">
        <v>494.56894916493798</v>
      </c>
      <c r="AH73" s="247">
        <v>493.54011290044457</v>
      </c>
      <c r="AI73" s="247">
        <v>492.51127852387128</v>
      </c>
      <c r="AJ73" s="247">
        <v>491.48244622392616</v>
      </c>
      <c r="AK73" s="247">
        <v>490.45361627815652</v>
      </c>
      <c r="AL73" s="247">
        <v>489.42478889319563</v>
      </c>
      <c r="AM73" s="247">
        <v>488.39596432277523</v>
      </c>
      <c r="AN73" s="247">
        <v>487.36785441582242</v>
      </c>
      <c r="AO73" s="247">
        <v>486.33974251986268</v>
      </c>
      <c r="AP73" s="247">
        <v>485.31163019187375</v>
      </c>
      <c r="AQ73" s="247">
        <v>484.28351893197481</v>
      </c>
      <c r="AR73" s="247">
        <v>483.25541026080288</v>
      </c>
      <c r="AS73" s="247">
        <v>482.22730572372774</v>
      </c>
      <c r="AT73" s="247">
        <v>481.19920680414225</v>
      </c>
      <c r="AU73" s="247">
        <v>480.17111501671894</v>
      </c>
      <c r="AV73" s="247">
        <v>479.14303185994987</v>
      </c>
      <c r="AW73" s="247">
        <v>478.11495883617846</v>
      </c>
      <c r="AX73" s="247">
        <v>477.08689744448213</v>
      </c>
      <c r="AY73" s="247">
        <v>476.05884917891751</v>
      </c>
      <c r="AZ73" s="247">
        <v>475.03153307504664</v>
      </c>
      <c r="BA73" s="247">
        <v>474.00422419791295</v>
      </c>
      <c r="BB73" s="247">
        <v>472.97692175947009</v>
      </c>
      <c r="BC73" s="247">
        <v>471.94962496185514</v>
      </c>
      <c r="BD73" s="247">
        <v>470.92233302083645</v>
      </c>
      <c r="BE73" s="247">
        <v>469.89504515956259</v>
      </c>
      <c r="BF73" s="247">
        <v>468.86776061800958</v>
      </c>
      <c r="BG73" s="247">
        <v>467.84047863943658</v>
      </c>
      <c r="BH73" s="247">
        <v>466.81319847631073</v>
      </c>
      <c r="BI73" s="247">
        <v>465.78591938902662</v>
      </c>
      <c r="BJ73" s="247">
        <v>464.75864063899343</v>
      </c>
      <c r="BK73" s="247">
        <v>463.73136152882233</v>
      </c>
      <c r="BL73" s="247">
        <v>462.70602885134161</v>
      </c>
      <c r="BM73" s="247">
        <v>461.68069875296874</v>
      </c>
      <c r="BN73" s="247">
        <v>460.65537737392185</v>
      </c>
      <c r="BO73" s="247">
        <v>459.63007081977798</v>
      </c>
      <c r="BP73" s="247">
        <v>458.6047852080535</v>
      </c>
      <c r="BQ73" s="247">
        <v>457.57952659419283</v>
      </c>
      <c r="BR73" s="247">
        <v>456.55430098203357</v>
      </c>
      <c r="BS73" s="247">
        <v>455.52911436473204</v>
      </c>
      <c r="BT73" s="247">
        <v>454.50397267544128</v>
      </c>
      <c r="BU73" s="247">
        <v>453.47888186411626</v>
      </c>
      <c r="BV73" s="247">
        <v>452.4538478116142</v>
      </c>
      <c r="BW73" s="247">
        <v>451.42887635109639</v>
      </c>
      <c r="BX73" s="247">
        <v>450.40612684272327</v>
      </c>
      <c r="BY73" s="247">
        <v>449.38344603925924</v>
      </c>
      <c r="BZ73" s="247">
        <v>448.36083078046209</v>
      </c>
      <c r="CA73" s="247">
        <v>447.33827789719925</v>
      </c>
      <c r="CB73" s="247">
        <v>446.31578424895633</v>
      </c>
      <c r="CC73" s="247">
        <v>445.29334672834437</v>
      </c>
      <c r="CD73" s="247">
        <v>444.27096223651171</v>
      </c>
      <c r="CE73" s="247">
        <v>443.24862770295584</v>
      </c>
      <c r="CF73" s="247">
        <v>442.22634008022476</v>
      </c>
      <c r="CG73" s="247">
        <v>441.20409634394429</v>
      </c>
      <c r="CH73" s="247">
        <v>440.18189348297904</v>
      </c>
      <c r="CI73" s="247">
        <v>439.15972852228003</v>
      </c>
      <c r="CJ73" s="247">
        <v>438.14178015666113</v>
      </c>
      <c r="CK73" s="247">
        <v>437.12387781291079</v>
      </c>
      <c r="CL73" s="247">
        <v>436.10602452654962</v>
      </c>
      <c r="CM73" s="247">
        <v>435.08822324988637</v>
      </c>
      <c r="CN73" s="247">
        <v>434.0704769621579</v>
      </c>
      <c r="CO73" s="247">
        <v>433.05278860739128</v>
      </c>
      <c r="CP73" s="247">
        <v>432.03516112060584</v>
      </c>
      <c r="CQ73" s="247">
        <v>431.01759740860331</v>
      </c>
      <c r="CR73" s="247">
        <v>430.00010035835692</v>
      </c>
      <c r="CS73" s="247">
        <v>428.98267287759205</v>
      </c>
      <c r="CT73" s="247">
        <v>427.96531781521492</v>
      </c>
      <c r="CU73" s="247">
        <v>426.94803802864845</v>
      </c>
      <c r="CV73" s="247">
        <v>425.93588656162177</v>
      </c>
      <c r="CW73" s="247">
        <v>424.92382982345293</v>
      </c>
      <c r="CX73" s="247">
        <v>423.91186858407627</v>
      </c>
      <c r="CY73" s="247">
        <v>422.90000362923678</v>
      </c>
      <c r="CZ73" s="247">
        <v>421.88823572837373</v>
      </c>
      <c r="DA73" s="247">
        <v>420.87656562681474</v>
      </c>
      <c r="DB73" s="247">
        <v>419.86499410763986</v>
      </c>
      <c r="DC73" s="247">
        <v>418.85352193660412</v>
      </c>
      <c r="DD73" s="247">
        <v>417.84214984162736</v>
      </c>
      <c r="DE73" s="247">
        <v>416.83087859124481</v>
      </c>
      <c r="DF73" s="247">
        <v>415.81970891737359</v>
      </c>
      <c r="DG73" s="247">
        <v>414.80864156253995</v>
      </c>
      <c r="DH73" s="247">
        <v>413.80382053426513</v>
      </c>
      <c r="DI73" s="247">
        <v>412.79913106600782</v>
      </c>
      <c r="DJ73" s="247">
        <v>411.79458131203285</v>
      </c>
      <c r="DK73" s="247">
        <v>410.79017944517653</v>
      </c>
      <c r="DL73" s="247">
        <v>409.78593352674488</v>
      </c>
      <c r="DM73" s="247">
        <v>408.7818516247911</v>
      </c>
      <c r="DN73" s="247">
        <v>407.7779416701477</v>
      </c>
      <c r="DO73" s="247">
        <v>406.77421164277899</v>
      </c>
      <c r="DP73" s="247">
        <v>405.77066936942231</v>
      </c>
      <c r="DQ73" s="247">
        <v>404.76732266827145</v>
      </c>
      <c r="DR73" s="247">
        <v>403.76417929491504</v>
      </c>
      <c r="DS73" s="247">
        <v>402.7612469966262</v>
      </c>
      <c r="DT73" s="247">
        <v>401.76611105537029</v>
      </c>
      <c r="DU73" s="247">
        <v>400.77124590200816</v>
      </c>
      <c r="DV73" s="247">
        <v>399.77666257486408</v>
      </c>
      <c r="DW73" s="247">
        <v>398.78237197185302</v>
      </c>
      <c r="DX73" s="247">
        <v>397.7883849467442</v>
      </c>
      <c r="DY73" s="247">
        <v>396.79471228158457</v>
      </c>
      <c r="DZ73" s="247">
        <v>395.8013646646038</v>
      </c>
      <c r="EA73" s="247">
        <v>394.80835274001146</v>
      </c>
      <c r="EB73" s="247">
        <v>393.81568705955073</v>
      </c>
      <c r="EC73" s="247">
        <v>392.82337808562346</v>
      </c>
      <c r="ED73" s="247">
        <v>391.83143621075305</v>
      </c>
      <c r="EE73" s="247">
        <v>390.83987175922215</v>
      </c>
      <c r="EF73" s="247">
        <v>389.85827096498519</v>
      </c>
      <c r="EG73" s="247">
        <v>388.87712385842553</v>
      </c>
      <c r="EH73" s="247">
        <v>387.89642507606561</v>
      </c>
      <c r="EI73" s="247">
        <v>386.9161694354525</v>
      </c>
      <c r="EJ73" s="247">
        <v>385.93635166429914</v>
      </c>
      <c r="EK73" s="247">
        <v>384.95696658305314</v>
      </c>
      <c r="EL73" s="247">
        <v>383.97800903205757</v>
      </c>
      <c r="EM73" s="247">
        <v>382.99947381040033</v>
      </c>
      <c r="EN73" s="247">
        <v>382.0213558557395</v>
      </c>
      <c r="EO73" s="247">
        <v>381.04365003646927</v>
      </c>
      <c r="EP73" s="247">
        <v>380.06635129122589</v>
      </c>
      <c r="EQ73" s="247">
        <v>379.08945458376132</v>
      </c>
      <c r="ER73" s="247">
        <v>378.11913958700603</v>
      </c>
      <c r="ES73" s="247">
        <v>377.14926091029429</v>
      </c>
      <c r="ET73" s="247">
        <v>376.1798263935878</v>
      </c>
      <c r="EU73" s="247">
        <v>375.21084404087622</v>
      </c>
      <c r="EV73" s="247">
        <v>374.24232160763063</v>
      </c>
      <c r="EW73" s="247">
        <v>373.27426689440227</v>
      </c>
      <c r="EX73" s="247">
        <v>372.30668759524417</v>
      </c>
      <c r="EY73" s="247">
        <v>371.33959135615771</v>
      </c>
      <c r="EZ73" s="247">
        <v>370.37298576835599</v>
      </c>
      <c r="FA73" s="247">
        <v>369.40687834542939</v>
      </c>
      <c r="FB73" s="247">
        <v>368.44127657240603</v>
      </c>
      <c r="FC73" s="247">
        <v>367.47618785804866</v>
      </c>
      <c r="FD73" s="247">
        <v>366.51230512680411</v>
      </c>
      <c r="FE73" s="247">
        <v>365.548942435551</v>
      </c>
      <c r="FF73" s="247">
        <v>364.58610643712848</v>
      </c>
      <c r="FG73" s="247">
        <v>363.62380372798629</v>
      </c>
      <c r="FH73" s="247">
        <v>362.66204081010824</v>
      </c>
      <c r="FI73" s="247">
        <v>361.7008242072697</v>
      </c>
      <c r="FJ73" s="247">
        <v>360.74016034151191</v>
      </c>
      <c r="FK73" s="247">
        <v>359.78005559034625</v>
      </c>
      <c r="FL73" s="247">
        <v>358.82051627999647</v>
      </c>
      <c r="FM73" s="247">
        <v>357.86154866324068</v>
      </c>
      <c r="FN73" s="247">
        <v>356.90315896716874</v>
      </c>
      <c r="FO73" s="247">
        <v>355.94535334679398</v>
      </c>
      <c r="FP73" s="247">
        <v>354.98882749810605</v>
      </c>
      <c r="FQ73" s="247">
        <v>354.0328916129759</v>
      </c>
      <c r="FR73" s="247">
        <v>353.07755240103796</v>
      </c>
      <c r="FS73" s="247">
        <v>352.1228166023231</v>
      </c>
      <c r="FT73" s="247">
        <v>351.16869080958759</v>
      </c>
      <c r="FU73" s="247">
        <v>350.21518162842574</v>
      </c>
      <c r="FV73" s="247">
        <v>349.26229560334286</v>
      </c>
      <c r="FW73" s="247">
        <v>348.31003915758964</v>
      </c>
      <c r="FX73" s="247">
        <v>347.35841874861995</v>
      </c>
      <c r="FY73" s="247">
        <v>346.4074406846014</v>
      </c>
      <c r="FZ73" s="247">
        <v>345.45711133224279</v>
      </c>
      <c r="GA73" s="247">
        <v>344.5074369334522</v>
      </c>
      <c r="GB73" s="247">
        <v>343.55911960622649</v>
      </c>
      <c r="GC73" s="247">
        <v>342.61147778860851</v>
      </c>
      <c r="GD73" s="247">
        <v>341.66453272754347</v>
      </c>
      <c r="GE73" s="247">
        <v>340.7183055724891</v>
      </c>
      <c r="GF73" s="247">
        <v>339.77281724835763</v>
      </c>
      <c r="GG73" s="247">
        <v>338.82808858855009</v>
      </c>
      <c r="GH73" s="247">
        <v>337.88414026304685</v>
      </c>
      <c r="GI73" s="247">
        <v>336.94099280986757</v>
      </c>
      <c r="GJ73" s="247">
        <v>335.99866660667271</v>
      </c>
      <c r="GK73" s="247">
        <v>335.05718187158391</v>
      </c>
      <c r="GL73" s="247">
        <v>334.11655868694248</v>
      </c>
      <c r="GM73" s="247">
        <v>333.17681702141471</v>
      </c>
      <c r="GN73" s="247">
        <v>332.23867041243591</v>
      </c>
      <c r="GO73" s="247">
        <v>331.30141423228326</v>
      </c>
      <c r="GP73" s="247">
        <v>330.36504466863283</v>
      </c>
      <c r="GQ73" s="247">
        <v>329.42955791574747</v>
      </c>
      <c r="GR73" s="247">
        <v>328.49495018261422</v>
      </c>
      <c r="GS73" s="247">
        <v>327.56121766887617</v>
      </c>
      <c r="GT73" s="247">
        <v>326.62835660392614</v>
      </c>
      <c r="GU73" s="247">
        <v>325.6963632555919</v>
      </c>
      <c r="GV73" s="247">
        <v>324.76523383727238</v>
      </c>
      <c r="GW73" s="247">
        <v>323.83496461671359</v>
      </c>
      <c r="GX73" s="247">
        <v>322.90555187392937</v>
      </c>
      <c r="GY73" s="247">
        <v>321.97699194392715</v>
      </c>
      <c r="GZ73" s="247">
        <v>321.04998806471934</v>
      </c>
      <c r="HA73" s="247">
        <v>320.12385049017632</v>
      </c>
      <c r="HB73" s="247">
        <v>319.19860343405878</v>
      </c>
      <c r="HC73" s="247">
        <v>318.27427081422883</v>
      </c>
      <c r="HD73" s="247">
        <v>317.35087645206511</v>
      </c>
      <c r="HE73" s="247">
        <v>316.42844398540581</v>
      </c>
      <c r="HF73" s="247">
        <v>315.50699694840421</v>
      </c>
      <c r="HG73" s="247">
        <v>314.58655863368347</v>
      </c>
      <c r="HH73" s="247">
        <v>313.66715225336014</v>
      </c>
      <c r="HI73" s="247">
        <v>312.7488008562687</v>
      </c>
      <c r="HJ73" s="247">
        <v>311.83152726713143</v>
      </c>
      <c r="HK73" s="247">
        <v>310.91535425292864</v>
      </c>
      <c r="HL73" s="247">
        <v>310.00100431454541</v>
      </c>
      <c r="HM73" s="247">
        <v>309.08774851009622</v>
      </c>
      <c r="HN73" s="247">
        <v>308.17556493434489</v>
      </c>
      <c r="HO73" s="247">
        <v>307.26443185023146</v>
      </c>
      <c r="HP73" s="247">
        <v>306.35432759539748</v>
      </c>
      <c r="HQ73" s="247">
        <v>305.4452307014908</v>
      </c>
      <c r="HR73" s="247">
        <v>304.53711974750752</v>
      </c>
      <c r="HS73" s="247">
        <v>303.62997346954648</v>
      </c>
      <c r="HT73" s="247">
        <v>302.7237707341211</v>
      </c>
      <c r="HU73" s="247">
        <v>301.81849049840451</v>
      </c>
      <c r="HV73" s="247">
        <v>300.91411187112004</v>
      </c>
      <c r="HW73" s="247">
        <v>300.01061401337785</v>
      </c>
      <c r="HX73" s="247">
        <v>299.10869411196569</v>
      </c>
      <c r="HY73" s="247">
        <v>298.20763648800948</v>
      </c>
      <c r="HZ73" s="247">
        <v>297.30745022128838</v>
      </c>
      <c r="IA73" s="247">
        <v>296.40814433363579</v>
      </c>
      <c r="IB73" s="247">
        <v>295.5097277776801</v>
      </c>
      <c r="IC73" s="247">
        <v>294.61220943462945</v>
      </c>
      <c r="ID73" s="247">
        <v>293.71559816803114</v>
      </c>
      <c r="IE73" s="247">
        <v>292.81990273463595</v>
      </c>
      <c r="IF73" s="247">
        <v>291.92513183684258</v>
      </c>
      <c r="IG73" s="247">
        <v>291.03129412292361</v>
      </c>
      <c r="IH73" s="247">
        <v>290.13839818781406</v>
      </c>
      <c r="II73" s="247">
        <v>289.24645257339887</v>
      </c>
      <c r="IJ73" s="247">
        <v>288.35618654577718</v>
      </c>
      <c r="IK73" s="247">
        <v>287.46689216307129</v>
      </c>
      <c r="IL73" s="247">
        <v>286.57858916528363</v>
      </c>
      <c r="IM73" s="247">
        <v>285.69129709005949</v>
      </c>
      <c r="IN73" s="247">
        <v>284.8050353954921</v>
      </c>
      <c r="IO73" s="247">
        <v>283.91982349503223</v>
      </c>
      <c r="IP73" s="247">
        <v>283.03568058261493</v>
      </c>
      <c r="IQ73" s="247">
        <v>282.15262575454426</v>
      </c>
      <c r="IR73" s="247">
        <v>281.27067807792918</v>
      </c>
      <c r="IS73" s="247">
        <v>280.38985644086955</v>
      </c>
      <c r="IT73" s="247">
        <v>279.51017962832208</v>
      </c>
      <c r="IU73" s="247">
        <v>278.63166632232259</v>
      </c>
      <c r="IV73" s="247">
        <v>277.75505315438949</v>
      </c>
      <c r="IW73" s="247">
        <v>276.87958882402955</v>
      </c>
      <c r="IX73" s="247">
        <v>276.00524710517027</v>
      </c>
      <c r="IY73" s="247">
        <v>275.13200195068208</v>
      </c>
      <c r="IZ73" s="247">
        <v>274.25982739135731</v>
      </c>
      <c r="JA73" s="247">
        <v>273.38869767980896</v>
      </c>
      <c r="JB73" s="247">
        <v>272.51858713888231</v>
      </c>
      <c r="JC73" s="247">
        <v>271.64947026153277</v>
      </c>
      <c r="JD73" s="247">
        <v>270.78132168663012</v>
      </c>
      <c r="JE73" s="247">
        <v>269.91411612664484</v>
      </c>
      <c r="JF73" s="247">
        <v>269.04782847688887</v>
      </c>
      <c r="JG73" s="247">
        <v>268.18243377967303</v>
      </c>
      <c r="JH73" s="247">
        <v>267.31864544956528</v>
      </c>
      <c r="JI73" s="247">
        <v>266.45572662152028</v>
      </c>
      <c r="JJ73" s="247">
        <v>265.593685673648</v>
      </c>
      <c r="JK73" s="247">
        <v>264.73253083421332</v>
      </c>
      <c r="JL73" s="247">
        <v>263.87227034886962</v>
      </c>
      <c r="JM73" s="247">
        <v>263.0129123558284</v>
      </c>
      <c r="JN73" s="247">
        <v>262.15446500186391</v>
      </c>
      <c r="JO73" s="247">
        <v>261.29693629437259</v>
      </c>
      <c r="JP73" s="247">
        <v>260.44033444252335</v>
      </c>
      <c r="JQ73" s="247">
        <v>259.58466716286034</v>
      </c>
      <c r="JR73" s="247">
        <v>258.72994254618277</v>
      </c>
      <c r="JS73" s="247">
        <v>257.87616853788978</v>
      </c>
      <c r="JT73" s="247">
        <v>257.02409021306414</v>
      </c>
      <c r="JU73" s="247">
        <v>256.17295035932443</v>
      </c>
      <c r="JV73" s="247">
        <v>255.32273596376123</v>
      </c>
      <c r="JW73" s="247">
        <v>254.47343422237918</v>
      </c>
      <c r="JX73" s="247">
        <v>253.62503221021981</v>
      </c>
      <c r="JY73" s="247">
        <v>252.77751721773043</v>
      </c>
      <c r="JZ73" s="247">
        <v>251.93087657536518</v>
      </c>
      <c r="KA73" s="247">
        <v>251.08509749552999</v>
      </c>
      <c r="KB73" s="247">
        <v>250.24016740327372</v>
      </c>
      <c r="KC73" s="247">
        <v>249.39607376420253</v>
      </c>
      <c r="KD73" s="247">
        <v>248.5528040907131</v>
      </c>
      <c r="KE73" s="247">
        <v>247.71034577500208</v>
      </c>
      <c r="KF73" s="247">
        <v>246.86944920754084</v>
      </c>
      <c r="KG73" s="247">
        <v>246.02941147269394</v>
      </c>
      <c r="KH73" s="247">
        <v>245.19029895055425</v>
      </c>
      <c r="KI73" s="247">
        <v>244.35217778838575</v>
      </c>
      <c r="KJ73" s="247">
        <v>243.51511358167573</v>
      </c>
      <c r="KK73" s="247">
        <v>242.679171698163</v>
      </c>
      <c r="KL73" s="247">
        <v>241.84441726855079</v>
      </c>
      <c r="KM73" s="247">
        <v>241.01091519228092</v>
      </c>
      <c r="KN73" s="247">
        <v>240.1787299731798</v>
      </c>
      <c r="KO73" s="247">
        <v>239.34792587374301</v>
      </c>
      <c r="KP73" s="247">
        <v>238.51856676112016</v>
      </c>
      <c r="KQ73" s="247">
        <v>237.6907165786854</v>
      </c>
      <c r="KR73" s="247">
        <v>236.86517901770503</v>
      </c>
      <c r="KS73" s="247">
        <v>236.0411597142442</v>
      </c>
      <c r="KT73" s="247">
        <v>235.21861155714174</v>
      </c>
      <c r="KU73" s="247">
        <v>234.39748762595346</v>
      </c>
      <c r="KV73" s="247">
        <v>233.57774135231699</v>
      </c>
      <c r="KW73" s="247">
        <v>232.75932620973879</v>
      </c>
      <c r="KX73" s="247">
        <v>231.94219617146021</v>
      </c>
      <c r="KY73" s="247">
        <v>231.12630525344667</v>
      </c>
      <c r="KZ73" s="247">
        <v>230.31160766625831</v>
      </c>
      <c r="LA73" s="247">
        <v>229.4980579635089</v>
      </c>
      <c r="LB73" s="247">
        <v>228.68561074136576</v>
      </c>
      <c r="LC73" s="247">
        <v>227.87422079156298</v>
      </c>
      <c r="LD73" s="247">
        <v>227.04682165072879</v>
      </c>
      <c r="LE73" s="247">
        <v>226.22035646600881</v>
      </c>
      <c r="LF73" s="247">
        <v>225.39484789074442</v>
      </c>
      <c r="LG73" s="247">
        <v>224.57031851704818</v>
      </c>
      <c r="LH73" s="247">
        <v>223.74679074366676</v>
      </c>
      <c r="LI73" s="247">
        <v>222.92428704883059</v>
      </c>
      <c r="LJ73" s="247">
        <v>222.10282984562946</v>
      </c>
      <c r="LK73" s="247">
        <v>221.28244121483996</v>
      </c>
      <c r="LL73" s="247">
        <v>220.46314344414182</v>
      </c>
      <c r="LM73" s="247">
        <v>219.64495874973878</v>
      </c>
      <c r="LN73" s="247">
        <v>218.82790901039067</v>
      </c>
      <c r="LO73" s="247">
        <v>218.0120163033647</v>
      </c>
      <c r="LP73" s="247">
        <v>217.19820029303742</v>
      </c>
      <c r="LQ73" s="247">
        <v>216.38555768594543</v>
      </c>
      <c r="LR73" s="247">
        <v>215.57408898313707</v>
      </c>
      <c r="LS73" s="247">
        <v>214.76379468817413</v>
      </c>
      <c r="LT73" s="247">
        <v>213.95467544332928</v>
      </c>
      <c r="LU73" s="247">
        <v>213.14673189776855</v>
      </c>
      <c r="LV73" s="247">
        <v>212.33996470088272</v>
      </c>
      <c r="LW73" s="247">
        <v>211.53437450551849</v>
      </c>
      <c r="LX73" s="247">
        <v>210.72996209656267</v>
      </c>
      <c r="LY73" s="247">
        <v>209.92672812549768</v>
      </c>
      <c r="LZ73" s="247">
        <v>209.12467349790001</v>
      </c>
      <c r="MA73" s="247">
        <v>208.32379886138889</v>
      </c>
      <c r="MB73" s="247">
        <v>207.50646855803453</v>
      </c>
      <c r="MC73" s="247">
        <v>206.69020262134828</v>
      </c>
      <c r="MD73" s="247">
        <v>205.87500060309588</v>
      </c>
      <c r="ME73" s="247">
        <v>205.06086203929001</v>
      </c>
      <c r="MF73" s="247">
        <v>204.24778668666704</v>
      </c>
      <c r="MG73" s="247">
        <v>203.43577417486554</v>
      </c>
      <c r="MH73" s="247">
        <v>202.62482411572228</v>
      </c>
      <c r="MI73" s="247">
        <v>201.81493633429764</v>
      </c>
      <c r="MJ73" s="247">
        <v>201.00611052557892</v>
      </c>
      <c r="MK73" s="247">
        <v>200.19834647407299</v>
      </c>
      <c r="ML73" s="247">
        <v>199.3916440558101</v>
      </c>
      <c r="MM73" s="247">
        <v>198.58600312368847</v>
      </c>
      <c r="MN73" s="247">
        <v>197.78246298618129</v>
      </c>
      <c r="MO73" s="247">
        <v>196.97997406055487</v>
      </c>
      <c r="MP73" s="247">
        <v>196.178531649729</v>
      </c>
      <c r="MQ73" s="247">
        <v>195.3781309588162</v>
      </c>
      <c r="MR73" s="247">
        <v>194.57876754351781</v>
      </c>
      <c r="MS73" s="247">
        <v>193.78043675564447</v>
      </c>
      <c r="MT73" s="247">
        <v>192.98313406693288</v>
      </c>
      <c r="MU73" s="247">
        <v>192.1868550721625</v>
      </c>
      <c r="MV73" s="247">
        <v>191.39159526916168</v>
      </c>
      <c r="MW73" s="247">
        <v>190.59735016132453</v>
      </c>
      <c r="MX73" s="247">
        <v>189.80411558247727</v>
      </c>
      <c r="MY73" s="247">
        <v>189.01188704994695</v>
      </c>
    </row>
    <row r="74" spans="1:363" ht="15.6" x14ac:dyDescent="0.3">
      <c r="A74" s="67" t="s">
        <v>7</v>
      </c>
      <c r="B74" s="72">
        <v>2084</v>
      </c>
      <c r="C74" s="247">
        <v>525.91900965708112</v>
      </c>
      <c r="D74" s="247">
        <v>524.89054229735609</v>
      </c>
      <c r="E74" s="247">
        <v>523.86208292465142</v>
      </c>
      <c r="F74" s="247">
        <v>522.83363234811964</v>
      </c>
      <c r="G74" s="247">
        <v>521.805191409278</v>
      </c>
      <c r="H74" s="247">
        <v>520.7767609423147</v>
      </c>
      <c r="I74" s="247">
        <v>519.7483417759787</v>
      </c>
      <c r="J74" s="247">
        <v>518.71993472506585</v>
      </c>
      <c r="K74" s="247">
        <v>517.69154062078542</v>
      </c>
      <c r="L74" s="247">
        <v>516.66316030927885</v>
      </c>
      <c r="M74" s="247">
        <v>515.63479460664735</v>
      </c>
      <c r="N74" s="247">
        <v>514.60644435877816</v>
      </c>
      <c r="O74" s="247">
        <v>513.57811038378384</v>
      </c>
      <c r="P74" s="247">
        <v>512.54942868980197</v>
      </c>
      <c r="Q74" s="247">
        <v>511.52075263347535</v>
      </c>
      <c r="R74" s="247">
        <v>510.49208269207043</v>
      </c>
      <c r="S74" s="247">
        <v>509.46341937344039</v>
      </c>
      <c r="T74" s="247">
        <v>508.43476315779338</v>
      </c>
      <c r="U74" s="247">
        <v>507.40611453919468</v>
      </c>
      <c r="V74" s="247">
        <v>506.37747402400407</v>
      </c>
      <c r="W74" s="247">
        <v>505.34884208685929</v>
      </c>
      <c r="X74" s="247">
        <v>504.32021924127309</v>
      </c>
      <c r="Y74" s="247">
        <v>503.2916059871435</v>
      </c>
      <c r="Z74" s="247">
        <v>502.26300281739276</v>
      </c>
      <c r="AA74" s="247">
        <v>501.23441024995049</v>
      </c>
      <c r="AB74" s="247">
        <v>500.20549090503062</v>
      </c>
      <c r="AC74" s="247">
        <v>499.1765714491749</v>
      </c>
      <c r="AD74" s="247">
        <v>498.14765208430828</v>
      </c>
      <c r="AE74" s="247">
        <v>497.11873305131593</v>
      </c>
      <c r="AF74" s="247">
        <v>496.08981455488322</v>
      </c>
      <c r="AG74" s="247">
        <v>495.06089684356391</v>
      </c>
      <c r="AH74" s="247">
        <v>494.0319801130525</v>
      </c>
      <c r="AI74" s="247">
        <v>493.00306463081705</v>
      </c>
      <c r="AJ74" s="247">
        <v>491.97415059237852</v>
      </c>
      <c r="AK74" s="247">
        <v>490.94523828066787</v>
      </c>
      <c r="AL74" s="247">
        <v>489.9163279090061</v>
      </c>
      <c r="AM74" s="247">
        <v>488.88741973712314</v>
      </c>
      <c r="AN74" s="247">
        <v>487.85921934879798</v>
      </c>
      <c r="AO74" s="247">
        <v>486.83101633871735</v>
      </c>
      <c r="AP74" s="247">
        <v>485.80281224702844</v>
      </c>
      <c r="AQ74" s="247">
        <v>484.77460855793549</v>
      </c>
      <c r="AR74" s="247">
        <v>483.7464067759858</v>
      </c>
      <c r="AS74" s="247">
        <v>482.71820843008135</v>
      </c>
      <c r="AT74" s="247">
        <v>481.69001498823491</v>
      </c>
      <c r="AU74" s="247">
        <v>480.66182794936822</v>
      </c>
      <c r="AV74" s="247">
        <v>479.63364879657723</v>
      </c>
      <c r="AW74" s="247">
        <v>478.60547901682264</v>
      </c>
      <c r="AX74" s="247">
        <v>477.57732009396227</v>
      </c>
      <c r="AY74" s="247">
        <v>476.54917350703914</v>
      </c>
      <c r="AZ74" s="247">
        <v>475.52175195413542</v>
      </c>
      <c r="BA74" s="247">
        <v>474.49433683838379</v>
      </c>
      <c r="BB74" s="247">
        <v>473.46692739483001</v>
      </c>
      <c r="BC74" s="247">
        <v>472.43952284881334</v>
      </c>
      <c r="BD74" s="247">
        <v>471.41212243922644</v>
      </c>
      <c r="BE74" s="247">
        <v>470.38472541224621</v>
      </c>
      <c r="BF74" s="247">
        <v>469.35733103061415</v>
      </c>
      <c r="BG74" s="247">
        <v>468.3299385604459</v>
      </c>
      <c r="BH74" s="247">
        <v>467.30254727697485</v>
      </c>
      <c r="BI74" s="247">
        <v>466.27515646328976</v>
      </c>
      <c r="BJ74" s="247">
        <v>465.24776540357732</v>
      </c>
      <c r="BK74" s="247">
        <v>464.22037342262587</v>
      </c>
      <c r="BL74" s="247">
        <v>463.19491547274845</v>
      </c>
      <c r="BM74" s="247">
        <v>462.1694594493797</v>
      </c>
      <c r="BN74" s="247">
        <v>461.14401140388446</v>
      </c>
      <c r="BO74" s="247">
        <v>460.11857735352032</v>
      </c>
      <c r="BP74" s="247">
        <v>459.09316332749012</v>
      </c>
      <c r="BQ74" s="247">
        <v>458.0677752939784</v>
      </c>
      <c r="BR74" s="247">
        <v>457.04241917045073</v>
      </c>
      <c r="BS74" s="247">
        <v>456.0171008640458</v>
      </c>
      <c r="BT74" s="247">
        <v>454.99182622295285</v>
      </c>
      <c r="BU74" s="247">
        <v>453.96660111200288</v>
      </c>
      <c r="BV74" s="247">
        <v>452.94143132815941</v>
      </c>
      <c r="BW74" s="247">
        <v>451.91632262159754</v>
      </c>
      <c r="BX74" s="247">
        <v>450.89342313467176</v>
      </c>
      <c r="BY74" s="247">
        <v>449.87059077163042</v>
      </c>
      <c r="BZ74" s="247">
        <v>448.84782242817136</v>
      </c>
      <c r="CA74" s="247">
        <v>447.82511499116595</v>
      </c>
      <c r="CB74" s="247">
        <v>446.80246537581655</v>
      </c>
      <c r="CC74" s="247">
        <v>445.77987052995883</v>
      </c>
      <c r="CD74" s="247">
        <v>444.75732740985507</v>
      </c>
      <c r="CE74" s="247">
        <v>443.73483299980876</v>
      </c>
      <c r="CF74" s="247">
        <v>442.71238430687686</v>
      </c>
      <c r="CG74" s="247">
        <v>441.68997836089966</v>
      </c>
      <c r="CH74" s="247">
        <v>440.66761220483397</v>
      </c>
      <c r="CI74" s="247">
        <v>439.645282917261</v>
      </c>
      <c r="CJ74" s="247">
        <v>438.62715668394935</v>
      </c>
      <c r="CK74" s="247">
        <v>437.60907543450452</v>
      </c>
      <c r="CL74" s="247">
        <v>436.59104217274358</v>
      </c>
      <c r="CM74" s="247">
        <v>435.57305982032779</v>
      </c>
      <c r="CN74" s="247">
        <v>434.55513132565443</v>
      </c>
      <c r="CO74" s="247">
        <v>433.53725960241235</v>
      </c>
      <c r="CP74" s="247">
        <v>432.51944755544679</v>
      </c>
      <c r="CQ74" s="247">
        <v>431.50169806189126</v>
      </c>
      <c r="CR74" s="247">
        <v>430.48401397938636</v>
      </c>
      <c r="CS74" s="247">
        <v>429.46639818614045</v>
      </c>
      <c r="CT74" s="247">
        <v>428.44885350240259</v>
      </c>
      <c r="CU74" s="247">
        <v>427.43138275693963</v>
      </c>
      <c r="CV74" s="247">
        <v>426.41903406430305</v>
      </c>
      <c r="CW74" s="247">
        <v>425.40677873857601</v>
      </c>
      <c r="CX74" s="247">
        <v>424.39461754774237</v>
      </c>
      <c r="CY74" s="247">
        <v>423.38255127541083</v>
      </c>
      <c r="CZ74" s="247">
        <v>422.37058068918986</v>
      </c>
      <c r="DA74" s="247">
        <v>421.3587065328702</v>
      </c>
      <c r="DB74" s="247">
        <v>420.34692958762867</v>
      </c>
      <c r="DC74" s="247">
        <v>419.33525061761799</v>
      </c>
      <c r="DD74" s="247">
        <v>418.32367034963085</v>
      </c>
      <c r="DE74" s="247">
        <v>417.3121895507025</v>
      </c>
      <c r="DF74" s="247">
        <v>416.30080895172949</v>
      </c>
      <c r="DG74" s="247">
        <v>415.28952929419523</v>
      </c>
      <c r="DH74" s="247">
        <v>414.28450149175387</v>
      </c>
      <c r="DI74" s="247">
        <v>413.2796038692511</v>
      </c>
      <c r="DJ74" s="247">
        <v>412.27484451417854</v>
      </c>
      <c r="DK74" s="247">
        <v>411.27023153248319</v>
      </c>
      <c r="DL74" s="247">
        <v>410.2657729197262</v>
      </c>
      <c r="DM74" s="247">
        <v>409.26147667824659</v>
      </c>
      <c r="DN74" s="247">
        <v>408.25735067446226</v>
      </c>
      <c r="DO74" s="247">
        <v>407.25340282364203</v>
      </c>
      <c r="DP74" s="247">
        <v>406.24964088928584</v>
      </c>
      <c r="DQ74" s="247">
        <v>405.24607262654308</v>
      </c>
      <c r="DR74" s="247">
        <v>404.24270572862878</v>
      </c>
      <c r="DS74" s="247">
        <v>403.2395478806589</v>
      </c>
      <c r="DT74" s="247">
        <v>402.24420917769783</v>
      </c>
      <c r="DU74" s="247">
        <v>401.24913932237905</v>
      </c>
      <c r="DV74" s="247">
        <v>400.2543492824604</v>
      </c>
      <c r="DW74" s="247">
        <v>399.25984988633127</v>
      </c>
      <c r="DX74" s="247">
        <v>398.26565191871128</v>
      </c>
      <c r="DY74" s="247">
        <v>397.27176609319685</v>
      </c>
      <c r="DZ74" s="247">
        <v>396.27820303032343</v>
      </c>
      <c r="EA74" s="247">
        <v>395.2849733070633</v>
      </c>
      <c r="EB74" s="247">
        <v>394.29208740868853</v>
      </c>
      <c r="EC74" s="247">
        <v>393.29955573186305</v>
      </c>
      <c r="ED74" s="247">
        <v>392.30738860399123</v>
      </c>
      <c r="EE74" s="247">
        <v>391.31559628485388</v>
      </c>
      <c r="EF74" s="247">
        <v>390.3338175581053</v>
      </c>
      <c r="EG74" s="247">
        <v>389.35249038802522</v>
      </c>
      <c r="EH74" s="247">
        <v>388.37160944103204</v>
      </c>
      <c r="EI74" s="247">
        <v>387.39116956370049</v>
      </c>
      <c r="EJ74" s="247">
        <v>386.41116551325405</v>
      </c>
      <c r="EK74" s="247">
        <v>385.43159213921615</v>
      </c>
      <c r="EL74" s="247">
        <v>384.45244431092425</v>
      </c>
      <c r="EM74" s="247">
        <v>383.47371685669941</v>
      </c>
      <c r="EN74" s="247">
        <v>382.49540474280809</v>
      </c>
      <c r="EO74" s="247">
        <v>381.51750286659592</v>
      </c>
      <c r="EP74" s="247">
        <v>380.54000619536458</v>
      </c>
      <c r="EQ74" s="247">
        <v>379.56290972145115</v>
      </c>
      <c r="ER74" s="247">
        <v>378.5924337798873</v>
      </c>
      <c r="ES74" s="247">
        <v>377.6223926476199</v>
      </c>
      <c r="ET74" s="247">
        <v>376.65279413896417</v>
      </c>
      <c r="EU74" s="247">
        <v>375.68364623175546</v>
      </c>
      <c r="EV74" s="247">
        <v>374.7149566563952</v>
      </c>
      <c r="EW74" s="247">
        <v>373.74673318830952</v>
      </c>
      <c r="EX74" s="247">
        <v>372.77898349694561</v>
      </c>
      <c r="EY74" s="247">
        <v>371.81171520401966</v>
      </c>
      <c r="EZ74" s="247">
        <v>370.84493587679759</v>
      </c>
      <c r="FA74" s="247">
        <v>369.87865300533633</v>
      </c>
      <c r="FB74" s="247">
        <v>368.91287405137865</v>
      </c>
      <c r="FC74" s="247">
        <v>367.94760640082205</v>
      </c>
      <c r="FD74" s="247">
        <v>366.98354100625369</v>
      </c>
      <c r="FE74" s="247">
        <v>366.01999387216262</v>
      </c>
      <c r="FF74" s="247">
        <v>365.05697163104827</v>
      </c>
      <c r="FG74" s="247">
        <v>364.094480859329</v>
      </c>
      <c r="FH74" s="247">
        <v>363.13252803945193</v>
      </c>
      <c r="FI74" s="247">
        <v>362.17111967568553</v>
      </c>
      <c r="FJ74" s="247">
        <v>361.21026217105106</v>
      </c>
      <c r="FK74" s="247">
        <v>360.24996188434295</v>
      </c>
      <c r="FL74" s="247">
        <v>359.29022512338219</v>
      </c>
      <c r="FM74" s="247">
        <v>358.33105812293223</v>
      </c>
      <c r="FN74" s="247">
        <v>357.37246709229856</v>
      </c>
      <c r="FO74" s="247">
        <v>356.41445816910812</v>
      </c>
      <c r="FP74" s="247">
        <v>355.45772509478093</v>
      </c>
      <c r="FQ74" s="247">
        <v>354.50157999720301</v>
      </c>
      <c r="FR74" s="247">
        <v>353.54602956627105</v>
      </c>
      <c r="FS74" s="247">
        <v>352.5910805222756</v>
      </c>
      <c r="FT74" s="247">
        <v>351.63673943892019</v>
      </c>
      <c r="FU74" s="247">
        <v>350.68301290280959</v>
      </c>
      <c r="FV74" s="247">
        <v>349.72990743980273</v>
      </c>
      <c r="FW74" s="247">
        <v>348.77742945508589</v>
      </c>
      <c r="FX74" s="247">
        <v>347.82558538805506</v>
      </c>
      <c r="FY74" s="247">
        <v>346.87438152948397</v>
      </c>
      <c r="FZ74" s="247">
        <v>345.92382422861095</v>
      </c>
      <c r="GA74" s="247">
        <v>344.97391971047119</v>
      </c>
      <c r="GB74" s="247">
        <v>344.02536814175079</v>
      </c>
      <c r="GC74" s="247">
        <v>343.07748984138965</v>
      </c>
      <c r="GD74" s="247">
        <v>342.13030598450928</v>
      </c>
      <c r="GE74" s="247">
        <v>341.18383764932366</v>
      </c>
      <c r="GF74" s="247">
        <v>340.23810569058742</v>
      </c>
      <c r="GG74" s="247">
        <v>339.29313087211307</v>
      </c>
      <c r="GH74" s="247">
        <v>338.34893379511476</v>
      </c>
      <c r="GI74" s="247">
        <v>337.40553492958287</v>
      </c>
      <c r="GJ74" s="247">
        <v>336.4629545859778</v>
      </c>
      <c r="GK74" s="247">
        <v>335.52121291602884</v>
      </c>
      <c r="GL74" s="247">
        <v>334.58032993643627</v>
      </c>
      <c r="GM74" s="247">
        <v>333.64032555087698</v>
      </c>
      <c r="GN74" s="247">
        <v>332.70191133079607</v>
      </c>
      <c r="GO74" s="247">
        <v>331.76438458992652</v>
      </c>
      <c r="GP74" s="247">
        <v>330.8277415366972</v>
      </c>
      <c r="GQ74" s="247">
        <v>329.89197838612495</v>
      </c>
      <c r="GR74" s="247">
        <v>328.95709136795017</v>
      </c>
      <c r="GS74" s="247">
        <v>328.02307670263457</v>
      </c>
      <c r="GT74" s="247">
        <v>327.08993064031449</v>
      </c>
      <c r="GU74" s="247">
        <v>326.15764946947064</v>
      </c>
      <c r="GV74" s="247">
        <v>325.22622942440313</v>
      </c>
      <c r="GW74" s="247">
        <v>324.2956667935992</v>
      </c>
      <c r="GX74" s="247">
        <v>323.36595787781857</v>
      </c>
      <c r="GY74" s="247">
        <v>322.43709903268046</v>
      </c>
      <c r="GZ74" s="247">
        <v>321.5097915913185</v>
      </c>
      <c r="HA74" s="247">
        <v>320.58334767222652</v>
      </c>
      <c r="HB74" s="247">
        <v>319.65779140975349</v>
      </c>
      <c r="HC74" s="247">
        <v>318.73314664365751</v>
      </c>
      <c r="HD74" s="247">
        <v>317.80943711784772</v>
      </c>
      <c r="HE74" s="247">
        <v>316.8866863935969</v>
      </c>
      <c r="HF74" s="247">
        <v>315.96491792911633</v>
      </c>
      <c r="HG74" s="247">
        <v>315.04415494221678</v>
      </c>
      <c r="HH74" s="247">
        <v>314.1244205707581</v>
      </c>
      <c r="HI74" s="247">
        <v>313.20573779014438</v>
      </c>
      <c r="HJ74" s="247">
        <v>312.28812935273049</v>
      </c>
      <c r="HK74" s="247">
        <v>311.37161795359566</v>
      </c>
      <c r="HL74" s="247">
        <v>310.45692414407733</v>
      </c>
      <c r="HM74" s="247">
        <v>309.54332096565395</v>
      </c>
      <c r="HN74" s="247">
        <v>308.63078659890624</v>
      </c>
      <c r="HO74" s="247">
        <v>307.71929939186396</v>
      </c>
      <c r="HP74" s="247">
        <v>306.80883776691485</v>
      </c>
      <c r="HQ74" s="247">
        <v>305.89938033964785</v>
      </c>
      <c r="HR74" s="247">
        <v>304.99090577272329</v>
      </c>
      <c r="HS74" s="247">
        <v>304.08339288526486</v>
      </c>
      <c r="HT74" s="247">
        <v>303.17682062625715</v>
      </c>
      <c r="HU74" s="247">
        <v>302.27116803493084</v>
      </c>
      <c r="HV74" s="247">
        <v>301.36641430145329</v>
      </c>
      <c r="HW74" s="247">
        <v>300.4625386681173</v>
      </c>
      <c r="HX74" s="247">
        <v>299.56023648081009</v>
      </c>
      <c r="HY74" s="247">
        <v>298.65879397573514</v>
      </c>
      <c r="HZ74" s="247">
        <v>297.75822020843867</v>
      </c>
      <c r="IA74" s="247">
        <v>296.85852417685317</v>
      </c>
      <c r="IB74" s="247">
        <v>295.95971481011884</v>
      </c>
      <c r="IC74" s="247">
        <v>295.06180096633949</v>
      </c>
      <c r="ID74" s="247">
        <v>294.16479148616037</v>
      </c>
      <c r="IE74" s="247">
        <v>293.26869510396074</v>
      </c>
      <c r="IF74" s="247">
        <v>292.37352050010946</v>
      </c>
      <c r="IG74" s="247">
        <v>291.47927630118124</v>
      </c>
      <c r="IH74" s="247">
        <v>290.5859710807573</v>
      </c>
      <c r="II74" s="247">
        <v>289.69361335970677</v>
      </c>
      <c r="IJ74" s="247">
        <v>288.80293047053215</v>
      </c>
      <c r="IK74" s="247">
        <v>287.91321634208879</v>
      </c>
      <c r="IL74" s="247">
        <v>287.02449065443602</v>
      </c>
      <c r="IM74" s="247">
        <v>286.13677288618192</v>
      </c>
      <c r="IN74" s="247">
        <v>285.25008243690536</v>
      </c>
      <c r="IO74" s="247">
        <v>284.3644386619103</v>
      </c>
      <c r="IP74" s="247">
        <v>283.47986069795689</v>
      </c>
      <c r="IQ74" s="247">
        <v>282.59636758473874</v>
      </c>
      <c r="IR74" s="247">
        <v>281.71397833308652</v>
      </c>
      <c r="IS74" s="247">
        <v>280.83271177564154</v>
      </c>
      <c r="IT74" s="247">
        <v>279.95258664248746</v>
      </c>
      <c r="IU74" s="247">
        <v>279.07362156136048</v>
      </c>
      <c r="IV74" s="247">
        <v>278.19655122276959</v>
      </c>
      <c r="IW74" s="247">
        <v>277.32062633079408</v>
      </c>
      <c r="IX74" s="247">
        <v>276.44582075825014</v>
      </c>
      <c r="IY74" s="247">
        <v>275.57210855613471</v>
      </c>
      <c r="IZ74" s="247">
        <v>274.69946385299636</v>
      </c>
      <c r="JA74" s="247">
        <v>273.82786099831475</v>
      </c>
      <c r="JB74" s="247">
        <v>272.95727441143441</v>
      </c>
      <c r="JC74" s="247">
        <v>272.0876786811242</v>
      </c>
      <c r="JD74" s="247">
        <v>271.21904854147192</v>
      </c>
      <c r="JE74" s="247">
        <v>270.3513587997968</v>
      </c>
      <c r="JF74" s="247">
        <v>269.48458444554961</v>
      </c>
      <c r="JG74" s="247">
        <v>268.61870061459047</v>
      </c>
      <c r="JH74" s="247">
        <v>267.75441887226276</v>
      </c>
      <c r="JI74" s="247">
        <v>266.89100429380699</v>
      </c>
      <c r="JJ74" s="247">
        <v>266.02846523743153</v>
      </c>
      <c r="JK74" s="247">
        <v>265.16680991213497</v>
      </c>
      <c r="JL74" s="247">
        <v>264.30604654441646</v>
      </c>
      <c r="JM74" s="247">
        <v>263.44618325383533</v>
      </c>
      <c r="JN74" s="247">
        <v>262.58722816862405</v>
      </c>
      <c r="JO74" s="247">
        <v>261.72918927826589</v>
      </c>
      <c r="JP74" s="247">
        <v>260.87207477350063</v>
      </c>
      <c r="JQ74" s="247">
        <v>260.01589235423148</v>
      </c>
      <c r="JR74" s="247">
        <v>259.1606500935294</v>
      </c>
      <c r="JS74" s="247">
        <v>258.30635591970821</v>
      </c>
      <c r="JT74" s="247">
        <v>257.45375296366939</v>
      </c>
      <c r="JU74" s="247">
        <v>256.6020860110159</v>
      </c>
      <c r="JV74" s="247">
        <v>255.75134210133299</v>
      </c>
      <c r="JW74" s="247">
        <v>254.90150848239821</v>
      </c>
      <c r="JX74" s="247">
        <v>254.05257228145211</v>
      </c>
      <c r="JY74" s="247">
        <v>253.20452084040758</v>
      </c>
      <c r="JZ74" s="247">
        <v>252.35734154104935</v>
      </c>
      <c r="KA74" s="247">
        <v>251.51102164751916</v>
      </c>
      <c r="KB74" s="247">
        <v>250.66554863590969</v>
      </c>
      <c r="KC74" s="247">
        <v>249.82091002273808</v>
      </c>
      <c r="KD74" s="247">
        <v>248.97709337118357</v>
      </c>
      <c r="KE74" s="247">
        <v>248.13408612464454</v>
      </c>
      <c r="KF74" s="247">
        <v>247.2926367201128</v>
      </c>
      <c r="KG74" s="247">
        <v>246.45204405224598</v>
      </c>
      <c r="KH74" s="247">
        <v>245.61237429172411</v>
      </c>
      <c r="KI74" s="247">
        <v>244.77369337773032</v>
      </c>
      <c r="KJ74" s="247">
        <v>243.93606670008276</v>
      </c>
      <c r="KK74" s="247">
        <v>243.09955942214722</v>
      </c>
      <c r="KL74" s="247">
        <v>242.2642364715872</v>
      </c>
      <c r="KM74" s="247">
        <v>241.43016254611697</v>
      </c>
      <c r="KN74" s="247">
        <v>240.59740194967702</v>
      </c>
      <c r="KO74" s="247">
        <v>239.76601874618063</v>
      </c>
      <c r="KP74" s="247">
        <v>238.93607660601728</v>
      </c>
      <c r="KQ74" s="247">
        <v>238.10763927606041</v>
      </c>
      <c r="KR74" s="247">
        <v>237.28150832787645</v>
      </c>
      <c r="KS74" s="247">
        <v>236.45689150579634</v>
      </c>
      <c r="KT74" s="247">
        <v>235.63374186360122</v>
      </c>
      <c r="KU74" s="247">
        <v>234.81201264487504</v>
      </c>
      <c r="KV74" s="247">
        <v>233.99165744389327</v>
      </c>
      <c r="KW74" s="247">
        <v>233.17262989639227</v>
      </c>
      <c r="KX74" s="247">
        <v>232.35488413596926</v>
      </c>
      <c r="KY74" s="247">
        <v>231.53837433857925</v>
      </c>
      <c r="KZ74" s="247">
        <v>230.72305487392293</v>
      </c>
      <c r="LA74" s="247">
        <v>229.90888045341853</v>
      </c>
      <c r="LB74" s="247">
        <v>229.09580583070323</v>
      </c>
      <c r="LC74" s="247">
        <v>228.28378595415893</v>
      </c>
      <c r="LD74" s="247">
        <v>227.45560223243942</v>
      </c>
      <c r="LE74" s="247">
        <v>226.62834924863458</v>
      </c>
      <c r="LF74" s="247">
        <v>225.80204956891583</v>
      </c>
      <c r="LG74" s="247">
        <v>224.97672569861695</v>
      </c>
      <c r="LH74" s="247">
        <v>224.15239995069297</v>
      </c>
      <c r="LI74" s="247">
        <v>223.3290947173808</v>
      </c>
      <c r="LJ74" s="247">
        <v>222.50683232618564</v>
      </c>
      <c r="LK74" s="247">
        <v>221.68563477384203</v>
      </c>
      <c r="LL74" s="247">
        <v>220.8655242632633</v>
      </c>
      <c r="LM74" s="247">
        <v>220.04652292630288</v>
      </c>
      <c r="LN74" s="247">
        <v>219.22865255892435</v>
      </c>
      <c r="LO74" s="247">
        <v>218.41193515489786</v>
      </c>
      <c r="LP74" s="247">
        <v>217.59728658339114</v>
      </c>
      <c r="LQ74" s="247">
        <v>216.78380727541511</v>
      </c>
      <c r="LR74" s="247">
        <v>215.97149773817421</v>
      </c>
      <c r="LS74" s="247">
        <v>215.16035848137156</v>
      </c>
      <c r="LT74" s="247">
        <v>214.35039015289323</v>
      </c>
      <c r="LU74" s="247">
        <v>213.54159340749092</v>
      </c>
      <c r="LV74" s="247">
        <v>212.73396890015863</v>
      </c>
      <c r="LW74" s="247">
        <v>211.92751728936062</v>
      </c>
      <c r="LX74" s="247">
        <v>211.12223936508414</v>
      </c>
      <c r="LY74" s="247">
        <v>210.31813578447574</v>
      </c>
      <c r="LZ74" s="247">
        <v>209.51520745775881</v>
      </c>
      <c r="MA74" s="247">
        <v>208.71345503830318</v>
      </c>
      <c r="MB74" s="247">
        <v>207.89509999693351</v>
      </c>
      <c r="MC74" s="247">
        <v>207.07780449752374</v>
      </c>
      <c r="MD74" s="247">
        <v>206.2615680999476</v>
      </c>
      <c r="ME74" s="247">
        <v>205.44639034835336</v>
      </c>
      <c r="MF74" s="247">
        <v>204.63227100648055</v>
      </c>
      <c r="MG74" s="247">
        <v>203.81920971158604</v>
      </c>
      <c r="MH74" s="247">
        <v>203.00720608318076</v>
      </c>
      <c r="MI74" s="247">
        <v>202.19625995288933</v>
      </c>
      <c r="MJ74" s="247">
        <v>201.38637102291887</v>
      </c>
      <c r="MK74" s="247">
        <v>200.57753908449536</v>
      </c>
      <c r="ML74" s="247">
        <v>199.76976401988992</v>
      </c>
      <c r="MM74" s="247">
        <v>198.96304568834427</v>
      </c>
      <c r="MN74" s="247">
        <v>198.15841747419577</v>
      </c>
      <c r="MO74" s="247">
        <v>197.35483574416659</v>
      </c>
      <c r="MP74" s="247">
        <v>196.55229582988704</v>
      </c>
      <c r="MQ74" s="247">
        <v>195.75079296561952</v>
      </c>
      <c r="MR74" s="247">
        <v>194.95032273441689</v>
      </c>
      <c r="MS74" s="247">
        <v>194.15088051643744</v>
      </c>
      <c r="MT74" s="247">
        <v>193.3524618111133</v>
      </c>
      <c r="MU74" s="247">
        <v>192.55506224027252</v>
      </c>
      <c r="MV74" s="247">
        <v>191.75867732927324</v>
      </c>
      <c r="MW74" s="247">
        <v>190.96330260896755</v>
      </c>
      <c r="MX74" s="247">
        <v>190.16893393894694</v>
      </c>
      <c r="MY74" s="247">
        <v>189.37556686390565</v>
      </c>
    </row>
    <row r="75" spans="1:363" ht="15.6" x14ac:dyDescent="0.3">
      <c r="A75" s="67" t="s">
        <v>7</v>
      </c>
      <c r="B75" s="72">
        <v>2085</v>
      </c>
      <c r="C75" s="247">
        <v>526.41137850901077</v>
      </c>
      <c r="D75" s="247">
        <v>525.38285730957193</v>
      </c>
      <c r="E75" s="247">
        <v>524.35434342999304</v>
      </c>
      <c r="F75" s="247">
        <v>523.32583767561925</v>
      </c>
      <c r="G75" s="247">
        <v>522.29734088365319</v>
      </c>
      <c r="H75" s="247">
        <v>521.26885388421135</v>
      </c>
      <c r="I75" s="247">
        <v>520.24037750210948</v>
      </c>
      <c r="J75" s="247">
        <v>519.21191254844052</v>
      </c>
      <c r="K75" s="247">
        <v>518.18345985061865</v>
      </c>
      <c r="L75" s="247">
        <v>517.15502025082731</v>
      </c>
      <c r="M75" s="247">
        <v>516.1265945617464</v>
      </c>
      <c r="N75" s="247">
        <v>515.09818362548242</v>
      </c>
      <c r="O75" s="247">
        <v>514.06978825689669</v>
      </c>
      <c r="P75" s="247">
        <v>513.0410425514707</v>
      </c>
      <c r="Q75" s="247">
        <v>512.01230178854917</v>
      </c>
      <c r="R75" s="247">
        <v>510.98356644674851</v>
      </c>
      <c r="S75" s="247">
        <v>509.95483703473371</v>
      </c>
      <c r="T75" s="247">
        <v>508.92611403412633</v>
      </c>
      <c r="U75" s="247">
        <v>507.89739794022427</v>
      </c>
      <c r="V75" s="247">
        <v>506.86868926044963</v>
      </c>
      <c r="W75" s="247">
        <v>505.83998847116226</v>
      </c>
      <c r="X75" s="247">
        <v>504.81129608704606</v>
      </c>
      <c r="Y75" s="247">
        <v>503.78261260946095</v>
      </c>
      <c r="Z75" s="247">
        <v>502.75393853300392</v>
      </c>
      <c r="AA75" s="247">
        <v>501.7252743769908</v>
      </c>
      <c r="AB75" s="247">
        <v>500.69628160872145</v>
      </c>
      <c r="AC75" s="247">
        <v>499.66728806944622</v>
      </c>
      <c r="AD75" s="247">
        <v>498.63829396726635</v>
      </c>
      <c r="AE75" s="247">
        <v>497.60929954851918</v>
      </c>
      <c r="AF75" s="247">
        <v>496.58030502412885</v>
      </c>
      <c r="AG75" s="247">
        <v>495.55131064817476</v>
      </c>
      <c r="AH75" s="247">
        <v>494.52231662280957</v>
      </c>
      <c r="AI75" s="247">
        <v>493.49332322088304</v>
      </c>
      <c r="AJ75" s="247">
        <v>492.46433064461019</v>
      </c>
      <c r="AK75" s="247">
        <v>491.43533918218651</v>
      </c>
      <c r="AL75" s="247">
        <v>490.4063490534956</v>
      </c>
      <c r="AM75" s="247">
        <v>489.37736052414095</v>
      </c>
      <c r="AN75" s="247">
        <v>488.34907296726567</v>
      </c>
      <c r="AO75" s="247">
        <v>487.3207821706286</v>
      </c>
      <c r="AP75" s="247">
        <v>486.29248965780749</v>
      </c>
      <c r="AQ75" s="247">
        <v>485.26419689734075</v>
      </c>
      <c r="AR75" s="247">
        <v>484.2359053779299</v>
      </c>
      <c r="AS75" s="247">
        <v>483.20761661226669</v>
      </c>
      <c r="AT75" s="247">
        <v>482.17933205322265</v>
      </c>
      <c r="AU75" s="247">
        <v>481.15105318421075</v>
      </c>
      <c r="AV75" s="247">
        <v>480.12278147317107</v>
      </c>
      <c r="AW75" s="247">
        <v>479.09451839191911</v>
      </c>
      <c r="AX75" s="247">
        <v>478.06626540933263</v>
      </c>
      <c r="AY75" s="247">
        <v>477.03802398967122</v>
      </c>
      <c r="AZ75" s="247">
        <v>476.01050054929993</v>
      </c>
      <c r="BA75" s="247">
        <v>474.98298277378655</v>
      </c>
      <c r="BB75" s="247">
        <v>473.95546992086372</v>
      </c>
      <c r="BC75" s="247">
        <v>472.9279612386556</v>
      </c>
      <c r="BD75" s="247">
        <v>471.90045598877123</v>
      </c>
      <c r="BE75" s="247">
        <v>470.8729534400112</v>
      </c>
      <c r="BF75" s="247">
        <v>469.84545287747943</v>
      </c>
      <c r="BG75" s="247">
        <v>468.81795358974699</v>
      </c>
      <c r="BH75" s="247">
        <v>467.79045487440715</v>
      </c>
      <c r="BI75" s="247">
        <v>466.76295603685219</v>
      </c>
      <c r="BJ75" s="247">
        <v>465.73545638364243</v>
      </c>
      <c r="BK75" s="247">
        <v>464.70795526135447</v>
      </c>
      <c r="BL75" s="247">
        <v>463.68237568205643</v>
      </c>
      <c r="BM75" s="247">
        <v>462.65679739070163</v>
      </c>
      <c r="BN75" s="247">
        <v>461.63122635117264</v>
      </c>
      <c r="BO75" s="247">
        <v>460.60566849377801</v>
      </c>
      <c r="BP75" s="247">
        <v>459.5801297607635</v>
      </c>
      <c r="BQ75" s="247">
        <v>458.55461603440955</v>
      </c>
      <c r="BR75" s="247">
        <v>457.52913314714056</v>
      </c>
      <c r="BS75" s="247">
        <v>456.50368692140268</v>
      </c>
      <c r="BT75" s="247">
        <v>455.4782831217351</v>
      </c>
      <c r="BU75" s="247">
        <v>454.45292752915975</v>
      </c>
      <c r="BV75" s="247">
        <v>453.42762585804439</v>
      </c>
      <c r="BW75" s="247">
        <v>452.40238377685131</v>
      </c>
      <c r="BX75" s="247">
        <v>451.37933806866943</v>
      </c>
      <c r="BY75" s="247">
        <v>450.35635793002905</v>
      </c>
      <c r="BZ75" s="247">
        <v>449.33344031172749</v>
      </c>
      <c r="CA75" s="247">
        <v>448.3105821557956</v>
      </c>
      <c r="CB75" s="247">
        <v>447.28778043230767</v>
      </c>
      <c r="CC75" s="247">
        <v>446.26503214349657</v>
      </c>
      <c r="CD75" s="247">
        <v>445.24233429991006</v>
      </c>
      <c r="CE75" s="247">
        <v>444.21968393982968</v>
      </c>
      <c r="CF75" s="247">
        <v>443.19707812400605</v>
      </c>
      <c r="CG75" s="247">
        <v>442.17451393567995</v>
      </c>
      <c r="CH75" s="247">
        <v>441.15198847108849</v>
      </c>
      <c r="CI75" s="247">
        <v>440.12949886163977</v>
      </c>
      <c r="CJ75" s="247">
        <v>439.11119833069671</v>
      </c>
      <c r="CK75" s="247">
        <v>438.09294176175109</v>
      </c>
      <c r="CL75" s="247">
        <v>437.07473212729991</v>
      </c>
      <c r="CM75" s="247">
        <v>436.05657231871822</v>
      </c>
      <c r="CN75" s="247">
        <v>435.03846525392999</v>
      </c>
      <c r="CO75" s="247">
        <v>434.02041381664804</v>
      </c>
      <c r="CP75" s="247">
        <v>433.00242088190532</v>
      </c>
      <c r="CQ75" s="247">
        <v>431.98448929752095</v>
      </c>
      <c r="CR75" s="247">
        <v>430.96662189215238</v>
      </c>
      <c r="CS75" s="247">
        <v>429.94882151483836</v>
      </c>
      <c r="CT75" s="247">
        <v>428.93109095751765</v>
      </c>
      <c r="CU75" s="247">
        <v>427.91343302064053</v>
      </c>
      <c r="CV75" s="247">
        <v>426.9008902811625</v>
      </c>
      <c r="CW75" s="247">
        <v>425.88843956358863</v>
      </c>
      <c r="CX75" s="247">
        <v>424.87608163395936</v>
      </c>
      <c r="CY75" s="247">
        <v>423.86381727374595</v>
      </c>
      <c r="CZ75" s="247">
        <v>422.85164724872402</v>
      </c>
      <c r="DA75" s="247">
        <v>421.83957230115055</v>
      </c>
      <c r="DB75" s="247">
        <v>420.82759321029698</v>
      </c>
      <c r="DC75" s="247">
        <v>419.81571073871277</v>
      </c>
      <c r="DD75" s="247">
        <v>418.80392561205633</v>
      </c>
      <c r="DE75" s="247">
        <v>417.79223859586153</v>
      </c>
      <c r="DF75" s="247">
        <v>416.78065041999736</v>
      </c>
      <c r="DG75" s="247">
        <v>415.76916182489953</v>
      </c>
      <c r="DH75" s="247">
        <v>414.76392986868234</v>
      </c>
      <c r="DI75" s="247">
        <v>413.75882672611999</v>
      </c>
      <c r="DJ75" s="247">
        <v>412.75386041847156</v>
      </c>
      <c r="DK75" s="247">
        <v>411.74903898533546</v>
      </c>
      <c r="DL75" s="247">
        <v>410.74437035705921</v>
      </c>
      <c r="DM75" s="247">
        <v>409.73986247079711</v>
      </c>
      <c r="DN75" s="247">
        <v>408.73552312907327</v>
      </c>
      <c r="DO75" s="247">
        <v>407.73136018297868</v>
      </c>
      <c r="DP75" s="247">
        <v>406.72738133328966</v>
      </c>
      <c r="DQ75" s="247">
        <v>405.72359427261068</v>
      </c>
      <c r="DR75" s="247">
        <v>404.72000663229272</v>
      </c>
      <c r="DS75" s="247">
        <v>403.71662603578466</v>
      </c>
      <c r="DT75" s="247">
        <v>402.72108649447068</v>
      </c>
      <c r="DU75" s="247">
        <v>401.72581387434775</v>
      </c>
      <c r="DV75" s="247">
        <v>400.73081907302401</v>
      </c>
      <c r="DW75" s="247">
        <v>399.73611284977432</v>
      </c>
      <c r="DX75" s="247">
        <v>398.74170592067037</v>
      </c>
      <c r="DY75" s="247">
        <v>397.74760893126415</v>
      </c>
      <c r="DZ75" s="247">
        <v>396.75383243478643</v>
      </c>
      <c r="EA75" s="247">
        <v>395.7603869413677</v>
      </c>
      <c r="EB75" s="247">
        <v>394.76728287019284</v>
      </c>
      <c r="EC75" s="247">
        <v>393.77453055256728</v>
      </c>
      <c r="ED75" s="247">
        <v>392.78214025115977</v>
      </c>
      <c r="EE75" s="247">
        <v>391.79012216161698</v>
      </c>
      <c r="EF75" s="247">
        <v>390.80816662803795</v>
      </c>
      <c r="EG75" s="247">
        <v>389.826660529614</v>
      </c>
      <c r="EH75" s="247">
        <v>388.84559856252474</v>
      </c>
      <c r="EI75" s="247">
        <v>387.86497560223842</v>
      </c>
      <c r="EJ75" s="247">
        <v>386.88478643534967</v>
      </c>
      <c r="EK75" s="247">
        <v>385.90502594032182</v>
      </c>
      <c r="EL75" s="247">
        <v>384.92568901535651</v>
      </c>
      <c r="EM75" s="247">
        <v>383.94677051787158</v>
      </c>
      <c r="EN75" s="247">
        <v>382.96826544261</v>
      </c>
      <c r="EO75" s="247">
        <v>381.99016871573781</v>
      </c>
      <c r="EP75" s="247">
        <v>381.01247533308924</v>
      </c>
      <c r="EQ75" s="247">
        <v>380.03518031545138</v>
      </c>
      <c r="ER75" s="247">
        <v>379.06454414633077</v>
      </c>
      <c r="ES75" s="247">
        <v>378.09434128041926</v>
      </c>
      <c r="ET75" s="247">
        <v>377.12457950642766</v>
      </c>
      <c r="EU75" s="247">
        <v>376.15526677607886</v>
      </c>
      <c r="EV75" s="247">
        <v>375.18641079474185</v>
      </c>
      <c r="EW75" s="247">
        <v>374.21801931275968</v>
      </c>
      <c r="EX75" s="247">
        <v>373.25009997500655</v>
      </c>
      <c r="EY75" s="247">
        <v>372.28266037894645</v>
      </c>
      <c r="EZ75" s="247">
        <v>371.31570806793371</v>
      </c>
      <c r="FA75" s="247">
        <v>370.34925050852138</v>
      </c>
      <c r="FB75" s="247">
        <v>369.38329513919427</v>
      </c>
      <c r="FC75" s="247">
        <v>368.41784932302033</v>
      </c>
      <c r="FD75" s="247">
        <v>367.45360201410296</v>
      </c>
      <c r="FE75" s="247">
        <v>366.48987119105493</v>
      </c>
      <c r="FF75" s="247">
        <v>365.52666346605264</v>
      </c>
      <c r="FG75" s="247">
        <v>364.56398539550474</v>
      </c>
      <c r="FH75" s="247">
        <v>363.60184344233886</v>
      </c>
      <c r="FI75" s="247">
        <v>362.64024409132821</v>
      </c>
      <c r="FJ75" s="247">
        <v>361.67919372649442</v>
      </c>
      <c r="FK75" s="247">
        <v>360.71869868791964</v>
      </c>
      <c r="FL75" s="247">
        <v>359.7587652650397</v>
      </c>
      <c r="FM75" s="247">
        <v>358.79939967460729</v>
      </c>
      <c r="FN75" s="247">
        <v>357.84060810815896</v>
      </c>
      <c r="FO75" s="247">
        <v>356.88239668593479</v>
      </c>
      <c r="FP75" s="247">
        <v>355.92545716779824</v>
      </c>
      <c r="FQ75" s="247">
        <v>354.96910364450252</v>
      </c>
      <c r="FR75" s="247">
        <v>354.01334278622039</v>
      </c>
      <c r="FS75" s="247">
        <v>353.05818129350905</v>
      </c>
      <c r="FT75" s="247">
        <v>352.10362572102429</v>
      </c>
      <c r="FU75" s="247">
        <v>351.14968263639355</v>
      </c>
      <c r="FV75" s="247">
        <v>350.19635854683116</v>
      </c>
      <c r="FW75" s="247">
        <v>349.24365983946132</v>
      </c>
      <c r="FX75" s="247">
        <v>348.29159293562503</v>
      </c>
      <c r="FY75" s="247">
        <v>347.3401641087014</v>
      </c>
      <c r="FZ75" s="247">
        <v>346.38937969045912</v>
      </c>
      <c r="GA75" s="247">
        <v>345.43924588905492</v>
      </c>
      <c r="GB75" s="247">
        <v>344.49046089252818</v>
      </c>
      <c r="GC75" s="247">
        <v>343.54234692801458</v>
      </c>
      <c r="GD75" s="247">
        <v>342.59492509892823</v>
      </c>
      <c r="GE75" s="247">
        <v>341.64821641235648</v>
      </c>
      <c r="GF75" s="247">
        <v>340.70224165300704</v>
      </c>
      <c r="GG75" s="247">
        <v>339.75702151520312</v>
      </c>
      <c r="GH75" s="247">
        <v>338.81257653150368</v>
      </c>
      <c r="GI75" s="247">
        <v>337.86892710396313</v>
      </c>
      <c r="GJ75" s="247">
        <v>336.92609347593793</v>
      </c>
      <c r="GK75" s="247">
        <v>335.9840957328621</v>
      </c>
      <c r="GL75" s="247">
        <v>335.04295382587554</v>
      </c>
      <c r="GM75" s="247">
        <v>334.10268759375538</v>
      </c>
      <c r="GN75" s="247">
        <v>333.16400661428958</v>
      </c>
      <c r="GO75" s="247">
        <v>332.2262101701574</v>
      </c>
      <c r="GP75" s="247">
        <v>331.28929449044165</v>
      </c>
      <c r="GQ75" s="247">
        <v>330.35325581080275</v>
      </c>
      <c r="GR75" s="247">
        <v>329.4180903816424</v>
      </c>
      <c r="GS75" s="247">
        <v>328.48379444413649</v>
      </c>
      <c r="GT75" s="247">
        <v>327.55036426906383</v>
      </c>
      <c r="GU75" s="247">
        <v>326.61779616545846</v>
      </c>
      <c r="GV75" s="247">
        <v>325.68608638842034</v>
      </c>
      <c r="GW75" s="247">
        <v>324.75523124707178</v>
      </c>
      <c r="GX75" s="247">
        <v>323.82522706282953</v>
      </c>
      <c r="GY75" s="247">
        <v>322.89607021181581</v>
      </c>
      <c r="GZ75" s="247">
        <v>321.96846009414395</v>
      </c>
      <c r="HA75" s="247">
        <v>321.04171072092038</v>
      </c>
      <c r="HB75" s="247">
        <v>320.11584614718271</v>
      </c>
      <c r="HC75" s="247">
        <v>319.1908901346842</v>
      </c>
      <c r="HD75" s="247">
        <v>318.26686634995337</v>
      </c>
      <c r="HE75" s="247">
        <v>317.34379827778702</v>
      </c>
      <c r="HF75" s="247">
        <v>316.42170930054073</v>
      </c>
      <c r="HG75" s="247">
        <v>315.5006225612949</v>
      </c>
      <c r="HH75" s="247">
        <v>314.58056112372799</v>
      </c>
      <c r="HI75" s="247">
        <v>313.66154788988888</v>
      </c>
      <c r="HJ75" s="247">
        <v>312.74360553983161</v>
      </c>
      <c r="HK75" s="247">
        <v>311.8267566968027</v>
      </c>
      <c r="HL75" s="247">
        <v>310.91171993416827</v>
      </c>
      <c r="HM75" s="247">
        <v>309.99777030485438</v>
      </c>
      <c r="HN75" s="247">
        <v>309.0848860750225</v>
      </c>
      <c r="HO75" s="247">
        <v>308.17304567755991</v>
      </c>
      <c r="HP75" s="247">
        <v>307.26222761936509</v>
      </c>
      <c r="HQ75" s="247">
        <v>306.35241059973873</v>
      </c>
      <c r="HR75" s="247">
        <v>305.44357336477827</v>
      </c>
      <c r="HS75" s="247">
        <v>304.53569481640181</v>
      </c>
      <c r="HT75" s="247">
        <v>303.62875398585192</v>
      </c>
      <c r="HU75" s="247">
        <v>302.72272999418897</v>
      </c>
      <c r="HV75" s="247">
        <v>301.81760211280965</v>
      </c>
      <c r="HW75" s="247">
        <v>300.91334966497124</v>
      </c>
      <c r="HX75" s="247">
        <v>300.01066612668188</v>
      </c>
      <c r="HY75" s="247">
        <v>299.10883967780632</v>
      </c>
      <c r="HZ75" s="247">
        <v>298.20787934963545</v>
      </c>
      <c r="IA75" s="247">
        <v>297.30779411617476</v>
      </c>
      <c r="IB75" s="247">
        <v>296.40859288304824</v>
      </c>
      <c r="IC75" s="247">
        <v>295.51028448522811</v>
      </c>
      <c r="ID75" s="247">
        <v>294.612877740427</v>
      </c>
      <c r="IE75" s="247">
        <v>293.71638136061949</v>
      </c>
      <c r="IF75" s="247">
        <v>292.82080400411354</v>
      </c>
      <c r="IG75" s="247">
        <v>291.92615427574668</v>
      </c>
      <c r="IH75" s="247">
        <v>291.03244072770809</v>
      </c>
      <c r="II75" s="247">
        <v>290.13967185981448</v>
      </c>
      <c r="IJ75" s="247">
        <v>289.24857304177749</v>
      </c>
      <c r="IK75" s="247">
        <v>288.35844010220171</v>
      </c>
      <c r="IL75" s="247">
        <v>287.46929266122351</v>
      </c>
      <c r="IM75" s="247">
        <v>286.58115013843081</v>
      </c>
      <c r="IN75" s="247">
        <v>285.69403187490809</v>
      </c>
      <c r="IO75" s="247">
        <v>284.80795716782484</v>
      </c>
      <c r="IP75" s="247">
        <v>283.92294509677583</v>
      </c>
      <c r="IQ75" s="247">
        <v>283.03901464485313</v>
      </c>
      <c r="IR75" s="247">
        <v>282.15618476661035</v>
      </c>
      <c r="IS75" s="247">
        <v>281.2744742392324</v>
      </c>
      <c r="IT75" s="247">
        <v>280.39390173792742</v>
      </c>
      <c r="IU75" s="247">
        <v>279.51448583612802</v>
      </c>
      <c r="IV75" s="247">
        <v>278.63695925376157</v>
      </c>
      <c r="IW75" s="247">
        <v>277.76057472863198</v>
      </c>
      <c r="IX75" s="247">
        <v>276.88530623219725</v>
      </c>
      <c r="IY75" s="247">
        <v>276.01112791334009</v>
      </c>
      <c r="IZ75" s="247">
        <v>275.13801399813167</v>
      </c>
      <c r="JA75" s="247">
        <v>274.2659389326771</v>
      </c>
      <c r="JB75" s="247">
        <v>273.39487723258776</v>
      </c>
      <c r="JC75" s="247">
        <v>272.5248035822172</v>
      </c>
      <c r="JD75" s="247">
        <v>271.65569281064148</v>
      </c>
      <c r="JE75" s="247">
        <v>270.78751981980167</v>
      </c>
      <c r="JF75" s="247">
        <v>269.92025969306695</v>
      </c>
      <c r="JG75" s="247">
        <v>269.05388765962249</v>
      </c>
      <c r="JH75" s="247">
        <v>268.18911340550841</v>
      </c>
      <c r="JI75" s="247">
        <v>267.32520397588712</v>
      </c>
      <c r="JJ75" s="247">
        <v>266.4621677090102</v>
      </c>
      <c r="JK75" s="247">
        <v>265.60001279454764</v>
      </c>
      <c r="JL75" s="247">
        <v>264.7387474397907</v>
      </c>
      <c r="JM75" s="247">
        <v>263.87837974557834</v>
      </c>
      <c r="JN75" s="247">
        <v>263.01891782154206</v>
      </c>
      <c r="JO75" s="247">
        <v>262.16036963918577</v>
      </c>
      <c r="JP75" s="247">
        <v>261.30274337074746</v>
      </c>
      <c r="JQ75" s="247">
        <v>260.44604669942436</v>
      </c>
      <c r="JR75" s="247">
        <v>259.59028768048432</v>
      </c>
      <c r="JS75" s="247">
        <v>258.73547422508869</v>
      </c>
      <c r="JT75" s="247">
        <v>257.88234748960451</v>
      </c>
      <c r="JU75" s="247">
        <v>257.03015428755845</v>
      </c>
      <c r="JV75" s="247">
        <v>256.17888171086651</v>
      </c>
      <c r="JW75" s="247">
        <v>255.32851705891494</v>
      </c>
      <c r="JX75" s="247">
        <v>254.47904751098119</v>
      </c>
      <c r="JY75" s="247">
        <v>253.63046046028572</v>
      </c>
      <c r="JZ75" s="247">
        <v>252.78274333978109</v>
      </c>
      <c r="KA75" s="247">
        <v>251.9358834651832</v>
      </c>
      <c r="KB75" s="247">
        <v>251.08986836347145</v>
      </c>
      <c r="KC75" s="247">
        <v>250.24468560191482</v>
      </c>
      <c r="KD75" s="247">
        <v>249.40032279431495</v>
      </c>
      <c r="KE75" s="247">
        <v>248.55676743511387</v>
      </c>
      <c r="KF75" s="247">
        <v>247.71476597709386</v>
      </c>
      <c r="KG75" s="247">
        <v>246.87361915573922</v>
      </c>
      <c r="KH75" s="247">
        <v>246.03339293245082</v>
      </c>
      <c r="KI75" s="247">
        <v>245.19415303845128</v>
      </c>
      <c r="KJ75" s="247">
        <v>244.3559646580037</v>
      </c>
      <c r="KK75" s="247">
        <v>243.51889275020781</v>
      </c>
      <c r="KL75" s="247">
        <v>242.68300203978208</v>
      </c>
      <c r="KM75" s="247">
        <v>241.84835702280014</v>
      </c>
      <c r="KN75" s="247">
        <v>241.01502180339588</v>
      </c>
      <c r="KO75" s="247">
        <v>240.18306024697458</v>
      </c>
      <c r="KP75" s="247">
        <v>239.35253582722558</v>
      </c>
      <c r="KQ75" s="247">
        <v>238.52351209457788</v>
      </c>
      <c r="KR75" s="247">
        <v>237.69678846989561</v>
      </c>
      <c r="KS75" s="247">
        <v>236.87157483633533</v>
      </c>
      <c r="KT75" s="247">
        <v>236.04782441231913</v>
      </c>
      <c r="KU75" s="247">
        <v>235.2254906051561</v>
      </c>
      <c r="KV75" s="247">
        <v>234.4045271714692</v>
      </c>
      <c r="KW75" s="247">
        <v>233.58488790893296</v>
      </c>
      <c r="KX75" s="247">
        <v>232.76652711121773</v>
      </c>
      <c r="KY75" s="247">
        <v>231.94939911398507</v>
      </c>
      <c r="KZ75" s="247">
        <v>231.13345844580013</v>
      </c>
      <c r="LA75" s="247">
        <v>230.31865997561184</v>
      </c>
      <c r="LB75" s="247">
        <v>229.50495861425892</v>
      </c>
      <c r="LC75" s="247">
        <v>228.69230946650572</v>
      </c>
      <c r="LD75" s="247">
        <v>227.86334328046397</v>
      </c>
      <c r="LE75" s="247">
        <v>227.03530461567351</v>
      </c>
      <c r="LF75" s="247">
        <v>226.20821595126694</v>
      </c>
      <c r="LG75" s="247">
        <v>225.38209970592064</v>
      </c>
      <c r="LH75" s="247">
        <v>224.55697810692411</v>
      </c>
      <c r="LI75" s="247">
        <v>223.73287346064041</v>
      </c>
      <c r="LJ75" s="247">
        <v>222.9098080091081</v>
      </c>
      <c r="LK75" s="247">
        <v>222.08780366513437</v>
      </c>
      <c r="LL75" s="247">
        <v>221.2668825469805</v>
      </c>
      <c r="LM75" s="247">
        <v>220.44706670226213</v>
      </c>
      <c r="LN75" s="247">
        <v>219.628377844254</v>
      </c>
      <c r="LO75" s="247">
        <v>218.81083788333748</v>
      </c>
      <c r="LP75" s="247">
        <v>217.99535887198456</v>
      </c>
      <c r="LQ75" s="247">
        <v>217.18104498707271</v>
      </c>
      <c r="LR75" s="247">
        <v>216.3678967418652</v>
      </c>
      <c r="LS75" s="247">
        <v>215.55591465211106</v>
      </c>
      <c r="LT75" s="247">
        <v>214.74509937121002</v>
      </c>
      <c r="LU75" s="247">
        <v>213.93545155940774</v>
      </c>
      <c r="LV75" s="247">
        <v>213.12697187720337</v>
      </c>
      <c r="LW75" s="247">
        <v>212.31966098858268</v>
      </c>
      <c r="LX75" s="247">
        <v>211.51351968853854</v>
      </c>
      <c r="LY75" s="247">
        <v>210.70854863978656</v>
      </c>
      <c r="LZ75" s="247">
        <v>209.90474875710265</v>
      </c>
      <c r="MA75" s="247">
        <v>209.10212069951086</v>
      </c>
      <c r="MB75" s="247">
        <v>208.28274488882997</v>
      </c>
      <c r="MC75" s="247">
        <v>207.4644238082349</v>
      </c>
      <c r="MD75" s="247">
        <v>206.64715702566642</v>
      </c>
      <c r="ME75" s="247">
        <v>205.83094409336675</v>
      </c>
      <c r="MF75" s="247">
        <v>205.01578478204368</v>
      </c>
      <c r="MG75" s="247">
        <v>204.20167873653492</v>
      </c>
      <c r="MH75" s="247">
        <v>203.38862558398938</v>
      </c>
      <c r="MI75" s="247">
        <v>202.57662516256727</v>
      </c>
      <c r="MJ75" s="247">
        <v>201.7656771816643</v>
      </c>
      <c r="MK75" s="247">
        <v>200.95578143919516</v>
      </c>
      <c r="ML75" s="247">
        <v>200.14693782364898</v>
      </c>
      <c r="MM75" s="247">
        <v>199.339146200588</v>
      </c>
      <c r="MN75" s="247">
        <v>198.53343402521907</v>
      </c>
      <c r="MO75" s="247">
        <v>197.72876361866346</v>
      </c>
      <c r="MP75" s="247">
        <v>196.92513034116524</v>
      </c>
      <c r="MQ75" s="247">
        <v>196.12252945603871</v>
      </c>
      <c r="MR75" s="247">
        <v>195.32095657359773</v>
      </c>
      <c r="MS75" s="247">
        <v>194.52040710225944</v>
      </c>
      <c r="MT75" s="247">
        <v>193.72087656906072</v>
      </c>
      <c r="MU75" s="247">
        <v>192.92236062279707</v>
      </c>
      <c r="MV75" s="247">
        <v>192.12485481626905</v>
      </c>
      <c r="MW75" s="247">
        <v>191.32835470770621</v>
      </c>
      <c r="MX75" s="247">
        <v>190.53285618238706</v>
      </c>
      <c r="MY75" s="247">
        <v>189.73835481229287</v>
      </c>
    </row>
    <row r="76" spans="1:363" ht="15.6" x14ac:dyDescent="0.3">
      <c r="A76" s="67" t="s">
        <v>7</v>
      </c>
      <c r="B76" s="72">
        <v>2086</v>
      </c>
      <c r="C76" s="247">
        <v>526.90213722226565</v>
      </c>
      <c r="D76" s="247">
        <v>525.87356450834602</v>
      </c>
      <c r="E76" s="247">
        <v>524.84499846077438</v>
      </c>
      <c r="F76" s="247">
        <v>523.81643988113785</v>
      </c>
      <c r="G76" s="247">
        <v>522.78788960234817</v>
      </c>
      <c r="H76" s="247">
        <v>521.75934845050824</v>
      </c>
      <c r="I76" s="247">
        <v>520.73081724653355</v>
      </c>
      <c r="J76" s="247">
        <v>519.70229679786064</v>
      </c>
      <c r="K76" s="247">
        <v>518.67378792813736</v>
      </c>
      <c r="L76" s="247">
        <v>517.64529147564133</v>
      </c>
      <c r="M76" s="247">
        <v>516.61680824965856</v>
      </c>
      <c r="N76" s="247">
        <v>515.58833908856036</v>
      </c>
      <c r="O76" s="247">
        <v>514.55988480399117</v>
      </c>
      <c r="P76" s="247">
        <v>513.53107775955368</v>
      </c>
      <c r="Q76" s="247">
        <v>512.50227497745459</v>
      </c>
      <c r="R76" s="247">
        <v>511.47347693761867</v>
      </c>
      <c r="S76" s="247">
        <v>510.44468414948528</v>
      </c>
      <c r="T76" s="247">
        <v>509.41589709605302</v>
      </c>
      <c r="U76" s="247">
        <v>508.38711627381048</v>
      </c>
      <c r="V76" s="247">
        <v>507.35834219120932</v>
      </c>
      <c r="W76" s="247">
        <v>506.32957532628495</v>
      </c>
      <c r="X76" s="247">
        <v>505.3008161948556</v>
      </c>
      <c r="Y76" s="247">
        <v>504.2720652997063</v>
      </c>
      <c r="Z76" s="247">
        <v>503.24332313706731</v>
      </c>
      <c r="AA76" s="247">
        <v>502.21459022759456</v>
      </c>
      <c r="AB76" s="247">
        <v>501.18552706028947</v>
      </c>
      <c r="AC76" s="247">
        <v>500.15646247720071</v>
      </c>
      <c r="AD76" s="247">
        <v>499.12739669247929</v>
      </c>
      <c r="AE76" s="247">
        <v>498.0983299578034</v>
      </c>
      <c r="AF76" s="247">
        <v>497.06926249021194</v>
      </c>
      <c r="AG76" s="247">
        <v>496.04019454919558</v>
      </c>
      <c r="AH76" s="247">
        <v>495.01112634323607</v>
      </c>
      <c r="AI76" s="247">
        <v>493.98205815046316</v>
      </c>
      <c r="AJ76" s="247">
        <v>492.95299017964254</v>
      </c>
      <c r="AK76" s="247">
        <v>491.92392272413764</v>
      </c>
      <c r="AL76" s="247">
        <v>490.89485601026189</v>
      </c>
      <c r="AM76" s="247">
        <v>489.86579030938839</v>
      </c>
      <c r="AN76" s="247">
        <v>488.8374188376103</v>
      </c>
      <c r="AO76" s="247">
        <v>487.80904352257664</v>
      </c>
      <c r="AP76" s="247">
        <v>486.78066587155655</v>
      </c>
      <c r="AQ76" s="247">
        <v>485.75228733765437</v>
      </c>
      <c r="AR76" s="247">
        <v>484.7239093939782</v>
      </c>
      <c r="AS76" s="247">
        <v>483.69553353725678</v>
      </c>
      <c r="AT76" s="247">
        <v>482.66716120545414</v>
      </c>
      <c r="AU76" s="247">
        <v>481.63879386671687</v>
      </c>
      <c r="AV76" s="247">
        <v>480.61043297406229</v>
      </c>
      <c r="AW76" s="247">
        <v>479.58207998439786</v>
      </c>
      <c r="AX76" s="247">
        <v>478.55373635185356</v>
      </c>
      <c r="AY76" s="247">
        <v>477.52540352613818</v>
      </c>
      <c r="AZ76" s="247">
        <v>476.49778169673334</v>
      </c>
      <c r="BA76" s="247">
        <v>475.47016477691028</v>
      </c>
      <c r="BB76" s="247">
        <v>474.44255204668639</v>
      </c>
      <c r="BC76" s="247">
        <v>473.41494277656642</v>
      </c>
      <c r="BD76" s="247">
        <v>472.38733625047598</v>
      </c>
      <c r="BE76" s="247">
        <v>471.35973175943576</v>
      </c>
      <c r="BF76" s="247">
        <v>470.33212861051908</v>
      </c>
      <c r="BG76" s="247">
        <v>469.30452611435322</v>
      </c>
      <c r="BH76" s="247">
        <v>468.27692359050667</v>
      </c>
      <c r="BI76" s="247">
        <v>467.24932036627251</v>
      </c>
      <c r="BJ76" s="247">
        <v>466.22171577019787</v>
      </c>
      <c r="BK76" s="247">
        <v>465.19410917026556</v>
      </c>
      <c r="BL76" s="247">
        <v>464.16841154417182</v>
      </c>
      <c r="BM76" s="247">
        <v>463.14271458128286</v>
      </c>
      <c r="BN76" s="247">
        <v>462.11702415935889</v>
      </c>
      <c r="BO76" s="247">
        <v>461.09134612309339</v>
      </c>
      <c r="BP76" s="247">
        <v>460.06568632912598</v>
      </c>
      <c r="BQ76" s="247">
        <v>459.04005057515354</v>
      </c>
      <c r="BR76" s="247">
        <v>458.01444460988017</v>
      </c>
      <c r="BS76" s="247">
        <v>456.98887417236057</v>
      </c>
      <c r="BT76" s="247">
        <v>455.96334494478072</v>
      </c>
      <c r="BU76" s="247">
        <v>454.93786262564663</v>
      </c>
      <c r="BV76" s="247">
        <v>453.91243284800248</v>
      </c>
      <c r="BW76" s="247">
        <v>452.88706119985892</v>
      </c>
      <c r="BX76" s="247">
        <v>451.86387296981195</v>
      </c>
      <c r="BY76" s="247">
        <v>450.84074878127706</v>
      </c>
      <c r="BZ76" s="247">
        <v>449.81768563931337</v>
      </c>
      <c r="CA76" s="247">
        <v>448.79468054028587</v>
      </c>
      <c r="CB76" s="247">
        <v>447.77173050830862</v>
      </c>
      <c r="CC76" s="247">
        <v>446.74883259919636</v>
      </c>
      <c r="CD76" s="247">
        <v>445.7259838769574</v>
      </c>
      <c r="CE76" s="247">
        <v>444.7031814330503</v>
      </c>
      <c r="CF76" s="247">
        <v>443.68042238110678</v>
      </c>
      <c r="CG76" s="247">
        <v>442.65770385696663</v>
      </c>
      <c r="CH76" s="247">
        <v>441.63502300934556</v>
      </c>
      <c r="CI76" s="247">
        <v>440.6123770216937</v>
      </c>
      <c r="CJ76" s="247">
        <v>439.59390571578751</v>
      </c>
      <c r="CK76" s="247">
        <v>438.57547736595745</v>
      </c>
      <c r="CL76" s="247">
        <v>437.55709491374648</v>
      </c>
      <c r="CM76" s="247">
        <v>436.53876122060876</v>
      </c>
      <c r="CN76" s="247">
        <v>435.52047917435829</v>
      </c>
      <c r="CO76" s="247">
        <v>434.50225162908845</v>
      </c>
      <c r="CP76" s="247">
        <v>433.48408143037608</v>
      </c>
      <c r="CQ76" s="247">
        <v>432.46597139707433</v>
      </c>
      <c r="CR76" s="247">
        <v>431.44792432920354</v>
      </c>
      <c r="CS76" s="247">
        <v>430.42994304698567</v>
      </c>
      <c r="CT76" s="247">
        <v>429.41203031437948</v>
      </c>
      <c r="CU76" s="247">
        <v>428.39418890385781</v>
      </c>
      <c r="CV76" s="247">
        <v>427.38145526072981</v>
      </c>
      <c r="CW76" s="247">
        <v>426.36881231128689</v>
      </c>
      <c r="CX76" s="247">
        <v>425.35626081961442</v>
      </c>
      <c r="CY76" s="247">
        <v>424.34380156505819</v>
      </c>
      <c r="CZ76" s="247">
        <v>423.33143531155764</v>
      </c>
      <c r="DA76" s="247">
        <v>422.31916279983335</v>
      </c>
      <c r="DB76" s="247">
        <v>421.30698480725147</v>
      </c>
      <c r="DC76" s="247">
        <v>420.29490209475853</v>
      </c>
      <c r="DD76" s="247">
        <v>419.28291538687733</v>
      </c>
      <c r="DE76" s="247">
        <v>418.27102544763028</v>
      </c>
      <c r="DF76" s="247">
        <v>417.25923300585998</v>
      </c>
      <c r="DG76" s="247">
        <v>416.24753880094329</v>
      </c>
      <c r="DH76" s="247">
        <v>415.24210528735028</v>
      </c>
      <c r="DI76" s="247">
        <v>414.23679923481654</v>
      </c>
      <c r="DJ76" s="247">
        <v>413.23162859890647</v>
      </c>
      <c r="DK76" s="247">
        <v>412.22660135340095</v>
      </c>
      <c r="DL76" s="247">
        <v>411.2217253639667</v>
      </c>
      <c r="DM76" s="247">
        <v>410.21700850309895</v>
      </c>
      <c r="DN76" s="247">
        <v>409.21245850994018</v>
      </c>
      <c r="DO76" s="247">
        <v>408.20808317192382</v>
      </c>
      <c r="DP76" s="247">
        <v>407.20389012760654</v>
      </c>
      <c r="DQ76" s="247">
        <v>406.19988700755323</v>
      </c>
      <c r="DR76" s="247">
        <v>405.1960813817422</v>
      </c>
      <c r="DS76" s="247">
        <v>404.19248081245837</v>
      </c>
      <c r="DT76" s="247">
        <v>403.19674234228773</v>
      </c>
      <c r="DU76" s="247">
        <v>402.20126888058314</v>
      </c>
      <c r="DV76" s="247">
        <v>401.20607125521718</v>
      </c>
      <c r="DW76" s="247">
        <v>400.21116015675523</v>
      </c>
      <c r="DX76" s="247">
        <v>399.2165462330268</v>
      </c>
      <c r="DY76" s="247">
        <v>398.22224006193244</v>
      </c>
      <c r="DZ76" s="247">
        <v>397.22825212979609</v>
      </c>
      <c r="EA76" s="247">
        <v>396.23459288029545</v>
      </c>
      <c r="EB76" s="247">
        <v>395.24127266691232</v>
      </c>
      <c r="EC76" s="247">
        <v>394.24830175597737</v>
      </c>
      <c r="ED76" s="247">
        <v>393.25569034579468</v>
      </c>
      <c r="EE76" s="247">
        <v>392.26344856824903</v>
      </c>
      <c r="EF76" s="247">
        <v>391.2813173473117</v>
      </c>
      <c r="EG76" s="247">
        <v>390.29963344948743</v>
      </c>
      <c r="EH76" s="247">
        <v>389.31839160057689</v>
      </c>
      <c r="EI76" s="247">
        <v>388.33758670480597</v>
      </c>
      <c r="EJ76" s="247">
        <v>387.35721357800492</v>
      </c>
      <c r="EK76" s="247">
        <v>386.37726712744677</v>
      </c>
      <c r="EL76" s="247">
        <v>385.39774228006024</v>
      </c>
      <c r="EM76" s="247">
        <v>384.41863392222774</v>
      </c>
      <c r="EN76" s="247">
        <v>383.4399370770351</v>
      </c>
      <c r="EO76" s="247">
        <v>382.4616466993395</v>
      </c>
      <c r="EP76" s="247">
        <v>381.48375781337296</v>
      </c>
      <c r="EQ76" s="247">
        <v>380.50626546825032</v>
      </c>
      <c r="ER76" s="247">
        <v>379.53546978534132</v>
      </c>
      <c r="ES76" s="247">
        <v>378.56510590420669</v>
      </c>
      <c r="ET76" s="247">
        <v>377.5951815879954</v>
      </c>
      <c r="EU76" s="247">
        <v>376.62570476236164</v>
      </c>
      <c r="EV76" s="247">
        <v>375.65668310767938</v>
      </c>
      <c r="EW76" s="247">
        <v>374.68812434924189</v>
      </c>
      <c r="EX76" s="247">
        <v>373.72003610739591</v>
      </c>
      <c r="EY76" s="247">
        <v>372.75242595538361</v>
      </c>
      <c r="EZ76" s="247">
        <v>371.78530141267959</v>
      </c>
      <c r="FA76" s="247">
        <v>370.81866992236394</v>
      </c>
      <c r="FB76" s="247">
        <v>369.85253889969601</v>
      </c>
      <c r="FC76" s="247">
        <v>368.88691568493874</v>
      </c>
      <c r="FD76" s="247">
        <v>367.9224872074837</v>
      </c>
      <c r="FE76" s="247">
        <v>366.95857344619344</v>
      </c>
      <c r="FF76" s="247">
        <v>365.99518099294278</v>
      </c>
      <c r="FG76" s="247">
        <v>365.03231638414672</v>
      </c>
      <c r="FH76" s="247">
        <v>364.06998606323117</v>
      </c>
      <c r="FI76" s="247">
        <v>363.10819649549308</v>
      </c>
      <c r="FJ76" s="247">
        <v>362.14695404596472</v>
      </c>
      <c r="FK76" s="247">
        <v>361.18626503603514</v>
      </c>
      <c r="FL76" s="247">
        <v>360.22613573675829</v>
      </c>
      <c r="FM76" s="247">
        <v>359.26657234689611</v>
      </c>
      <c r="FN76" s="247">
        <v>358.30758104020924</v>
      </c>
      <c r="FO76" s="247">
        <v>357.34916791957608</v>
      </c>
      <c r="FP76" s="247">
        <v>356.39202273669071</v>
      </c>
      <c r="FQ76" s="247">
        <v>355.43546157164189</v>
      </c>
      <c r="FR76" s="247">
        <v>354.47949107489035</v>
      </c>
      <c r="FS76" s="247">
        <v>353.52411792726826</v>
      </c>
      <c r="FT76" s="247">
        <v>352.56934866439764</v>
      </c>
      <c r="FU76" s="247">
        <v>351.61518983492869</v>
      </c>
      <c r="FV76" s="247">
        <v>350.66164792744166</v>
      </c>
      <c r="FW76" s="247">
        <v>349.70872931100143</v>
      </c>
      <c r="FX76" s="247">
        <v>348.75644038889504</v>
      </c>
      <c r="FY76" s="247">
        <v>347.80478741710743</v>
      </c>
      <c r="FZ76" s="247">
        <v>346.85377670993876</v>
      </c>
      <c r="GA76" s="247">
        <v>345.90341445866443</v>
      </c>
      <c r="GB76" s="247">
        <v>344.9543968457271</v>
      </c>
      <c r="GC76" s="247">
        <v>344.00604803337211</v>
      </c>
      <c r="GD76" s="247">
        <v>343.05838905342421</v>
      </c>
      <c r="GE76" s="247">
        <v>342.11144084195848</v>
      </c>
      <c r="GF76" s="247">
        <v>341.1652241137453</v>
      </c>
      <c r="GG76" s="247">
        <v>340.21975949373012</v>
      </c>
      <c r="GH76" s="247">
        <v>339.27506744591523</v>
      </c>
      <c r="GI76" s="247">
        <v>338.33116830452423</v>
      </c>
      <c r="GJ76" s="247">
        <v>337.38808224590531</v>
      </c>
      <c r="GK76" s="247">
        <v>336.44582928928531</v>
      </c>
      <c r="GL76" s="247">
        <v>335.50442932033906</v>
      </c>
      <c r="GM76" s="247">
        <v>334.5639021130263</v>
      </c>
      <c r="GN76" s="247">
        <v>333.62495522421136</v>
      </c>
      <c r="GO76" s="247">
        <v>332.68688993261065</v>
      </c>
      <c r="GP76" s="247">
        <v>331.74970248785974</v>
      </c>
      <c r="GQ76" s="247">
        <v>330.81338914616896</v>
      </c>
      <c r="GR76" s="247">
        <v>329.87794617849499</v>
      </c>
      <c r="GS76" s="247">
        <v>328.94336984663028</v>
      </c>
      <c r="GT76" s="247">
        <v>328.00965644189358</v>
      </c>
      <c r="GU76" s="247">
        <v>327.07680229377303</v>
      </c>
      <c r="GV76" s="247">
        <v>326.14480367807016</v>
      </c>
      <c r="GW76" s="247">
        <v>325.21365692444078</v>
      </c>
      <c r="GX76" s="247">
        <v>324.28335837485389</v>
      </c>
      <c r="GY76" s="247">
        <v>323.3539044258435</v>
      </c>
      <c r="GZ76" s="247">
        <v>322.4259925167521</v>
      </c>
      <c r="HA76" s="247">
        <v>321.49893857889026</v>
      </c>
      <c r="HB76" s="247">
        <v>320.57276658809201</v>
      </c>
      <c r="HC76" s="247">
        <v>319.64750022819868</v>
      </c>
      <c r="HD76" s="247">
        <v>318.72316308845541</v>
      </c>
      <c r="HE76" s="247">
        <v>317.7997785772717</v>
      </c>
      <c r="HF76" s="247">
        <v>316.87737000123485</v>
      </c>
      <c r="HG76" s="247">
        <v>315.95596042877742</v>
      </c>
      <c r="HH76" s="247">
        <v>315.03557284947499</v>
      </c>
      <c r="HI76" s="247">
        <v>314.11623009209455</v>
      </c>
      <c r="HJ76" s="247">
        <v>313.19795476446325</v>
      </c>
      <c r="HK76" s="247">
        <v>312.28076941806245</v>
      </c>
      <c r="HL76" s="247">
        <v>311.3653906202623</v>
      </c>
      <c r="HM76" s="247">
        <v>310.45109546312807</v>
      </c>
      <c r="HN76" s="247">
        <v>309.53786229815967</v>
      </c>
      <c r="HO76" s="247">
        <v>308.62566964286663</v>
      </c>
      <c r="HP76" s="247">
        <v>307.71449608842755</v>
      </c>
      <c r="HQ76" s="247">
        <v>306.80432041762282</v>
      </c>
      <c r="HR76" s="247">
        <v>305.89512145976084</v>
      </c>
      <c r="HS76" s="247">
        <v>304.9868781993323</v>
      </c>
      <c r="HT76" s="247">
        <v>304.07956974960769</v>
      </c>
      <c r="HU76" s="247">
        <v>303.17317531326137</v>
      </c>
      <c r="HV76" s="247">
        <v>302.2676742426994</v>
      </c>
      <c r="HW76" s="247">
        <v>301.36304594193206</v>
      </c>
      <c r="HX76" s="247">
        <v>300.45998198850879</v>
      </c>
      <c r="HY76" s="247">
        <v>299.55777253413794</v>
      </c>
      <c r="HZ76" s="247">
        <v>298.65642658583187</v>
      </c>
      <c r="IA76" s="247">
        <v>297.75595309364456</v>
      </c>
      <c r="IB76" s="247">
        <v>296.85636093966133</v>
      </c>
      <c r="IC76" s="247">
        <v>295.95765893568961</v>
      </c>
      <c r="ID76" s="247">
        <v>295.05985587648411</v>
      </c>
      <c r="IE76" s="247">
        <v>294.1629604515835</v>
      </c>
      <c r="IF76" s="247">
        <v>293.26698129720012</v>
      </c>
      <c r="IG76" s="247">
        <v>292.37192699639934</v>
      </c>
      <c r="IH76" s="247">
        <v>291.47780607994446</v>
      </c>
      <c r="II76" s="247">
        <v>290.58462702655891</v>
      </c>
      <c r="IJ76" s="247">
        <v>289.69311321438869</v>
      </c>
      <c r="IK76" s="247">
        <v>288.80256240038648</v>
      </c>
      <c r="IL76" s="247">
        <v>287.91299414478965</v>
      </c>
      <c r="IM76" s="247">
        <v>287.02442780819149</v>
      </c>
      <c r="IN76" s="247">
        <v>286.13688267319668</v>
      </c>
      <c r="IO76" s="247">
        <v>285.2503779788571</v>
      </c>
      <c r="IP76" s="247">
        <v>284.3649327476129</v>
      </c>
      <c r="IQ76" s="247">
        <v>283.48056590596235</v>
      </c>
      <c r="IR76" s="247">
        <v>282.5972963521898</v>
      </c>
      <c r="IS76" s="247">
        <v>281.71514280802523</v>
      </c>
      <c r="IT76" s="247">
        <v>280.83412389380345</v>
      </c>
      <c r="IU76" s="247">
        <v>279.95425812864926</v>
      </c>
      <c r="IV76" s="247">
        <v>279.07627623275476</v>
      </c>
      <c r="IW76" s="247">
        <v>278.19943300638198</v>
      </c>
      <c r="IX76" s="247">
        <v>277.32370251938909</v>
      </c>
      <c r="IY76" s="247">
        <v>276.44905901830379</v>
      </c>
      <c r="IZ76" s="247">
        <v>275.57547682647669</v>
      </c>
      <c r="JA76" s="247">
        <v>274.70293048640406</v>
      </c>
      <c r="JB76" s="247">
        <v>273.83139460973348</v>
      </c>
      <c r="JC76" s="247">
        <v>272.96084397616795</v>
      </c>
      <c r="JD76" s="247">
        <v>272.0912535095448</v>
      </c>
      <c r="JE76" s="247">
        <v>271.22259820620292</v>
      </c>
      <c r="JF76" s="247">
        <v>270.3548532432016</v>
      </c>
      <c r="JG76" s="247">
        <v>269.48799394283628</v>
      </c>
      <c r="JH76" s="247">
        <v>268.62272808217915</v>
      </c>
      <c r="JI76" s="247">
        <v>267.75832470553644</v>
      </c>
      <c r="JJ76" s="247">
        <v>266.89479213114271</v>
      </c>
      <c r="JK76" s="247">
        <v>266.03213852928775</v>
      </c>
      <c r="JL76" s="247">
        <v>265.17037208799132</v>
      </c>
      <c r="JM76" s="247">
        <v>264.30950088931394</v>
      </c>
      <c r="JN76" s="247">
        <v>263.44953302422232</v>
      </c>
      <c r="JO76" s="247">
        <v>262.5904764461738</v>
      </c>
      <c r="JP76" s="247">
        <v>261.73233930884538</v>
      </c>
      <c r="JQ76" s="247">
        <v>260.87512927865384</v>
      </c>
      <c r="JR76" s="247">
        <v>260.01885439299878</v>
      </c>
      <c r="JS76" s="247">
        <v>259.16352254581574</v>
      </c>
      <c r="JT76" s="247">
        <v>258.30987288902685</v>
      </c>
      <c r="JU76" s="247">
        <v>257.45715429358347</v>
      </c>
      <c r="JV76" s="247">
        <v>256.60535390356711</v>
      </c>
      <c r="JW76" s="247">
        <v>255.75445906981599</v>
      </c>
      <c r="JX76" s="247">
        <v>254.90445702348183</v>
      </c>
      <c r="JY76" s="247">
        <v>254.05533520892783</v>
      </c>
      <c r="JZ76" s="247">
        <v>253.20708111011817</v>
      </c>
      <c r="KA76" s="247">
        <v>252.35968209418311</v>
      </c>
      <c r="KB76" s="247">
        <v>251.51312573882885</v>
      </c>
      <c r="KC76" s="247">
        <v>250.66739966191577</v>
      </c>
      <c r="KD76" s="247">
        <v>249.82249152771195</v>
      </c>
      <c r="KE76" s="247">
        <v>248.9783888815428</v>
      </c>
      <c r="KF76" s="247">
        <v>248.13583616169359</v>
      </c>
      <c r="KG76" s="247">
        <v>247.29413597457656</v>
      </c>
      <c r="KH76" s="247">
        <v>246.45335407244849</v>
      </c>
      <c r="KI76" s="247">
        <v>245.61355597870104</v>
      </c>
      <c r="KJ76" s="247">
        <v>244.77480667216045</v>
      </c>
      <c r="KK76" s="247">
        <v>243.93717090777034</v>
      </c>
      <c r="KL76" s="247">
        <v>243.10071320740593</v>
      </c>
      <c r="KM76" s="247">
        <v>242.26549786559573</v>
      </c>
      <c r="KN76" s="247">
        <v>241.43158878675112</v>
      </c>
      <c r="KO76" s="247">
        <v>240.59904963784621</v>
      </c>
      <c r="KP76" s="247">
        <v>239.76794369594055</v>
      </c>
      <c r="KQ76" s="247">
        <v>238.93833431507923</v>
      </c>
      <c r="KR76" s="247">
        <v>238.11101873487672</v>
      </c>
      <c r="KS76" s="247">
        <v>237.28520900742646</v>
      </c>
      <c r="KT76" s="247">
        <v>236.46085851548489</v>
      </c>
      <c r="KU76" s="247">
        <v>235.63792082978978</v>
      </c>
      <c r="KV76" s="247">
        <v>234.81634986901278</v>
      </c>
      <c r="KW76" s="247">
        <v>233.99609959247462</v>
      </c>
      <c r="KX76" s="247">
        <v>233.17712445363441</v>
      </c>
      <c r="KY76" s="247">
        <v>232.35937894757876</v>
      </c>
      <c r="KZ76" s="247">
        <v>231.54281776145723</v>
      </c>
      <c r="LA76" s="247">
        <v>230.72739592147553</v>
      </c>
      <c r="LB76" s="247">
        <v>229.9130684954028</v>
      </c>
      <c r="LC76" s="247">
        <v>229.09979074411828</v>
      </c>
      <c r="LD76" s="247">
        <v>228.27004421783542</v>
      </c>
      <c r="LE76" s="247">
        <v>227.4412219978083</v>
      </c>
      <c r="LF76" s="247">
        <v>226.61334647625819</v>
      </c>
      <c r="LG76" s="247">
        <v>225.7864399853363</v>
      </c>
      <c r="LH76" s="247">
        <v>224.96052466678691</v>
      </c>
      <c r="LI76" s="247">
        <v>224.13562274122432</v>
      </c>
      <c r="LJ76" s="247">
        <v>223.31175636534292</v>
      </c>
      <c r="LK76" s="247">
        <v>222.48894736813779</v>
      </c>
      <c r="LL76" s="247">
        <v>221.66721778333513</v>
      </c>
      <c r="LM76" s="247">
        <v>220.84658957442903</v>
      </c>
      <c r="LN76" s="247">
        <v>220.0270843721153</v>
      </c>
      <c r="LO76" s="247">
        <v>219.2087240034958</v>
      </c>
      <c r="LP76" s="247">
        <v>218.39241668331593</v>
      </c>
      <c r="LQ76" s="247">
        <v>217.57727035526349</v>
      </c>
      <c r="LR76" s="247">
        <v>216.7632855385628</v>
      </c>
      <c r="LS76" s="247">
        <v>215.9504627549141</v>
      </c>
      <c r="LT76" s="247">
        <v>215.13880266313652</v>
      </c>
      <c r="LU76" s="247">
        <v>214.32830592887387</v>
      </c>
      <c r="LV76" s="247">
        <v>213.5189732180354</v>
      </c>
      <c r="LW76" s="247">
        <v>212.71080520003679</v>
      </c>
      <c r="LX76" s="247">
        <v>211.90380267478136</v>
      </c>
      <c r="LY76" s="247">
        <v>211.09796631045953</v>
      </c>
      <c r="LZ76" s="247">
        <v>210.29329702630756</v>
      </c>
      <c r="MA76" s="247">
        <v>209.48979548690957</v>
      </c>
      <c r="MB76" s="247">
        <v>208.66940287764297</v>
      </c>
      <c r="MC76" s="247">
        <v>207.85006019951118</v>
      </c>
      <c r="MD76" s="247">
        <v>207.03176702847855</v>
      </c>
      <c r="ME76" s="247">
        <v>206.21452292484179</v>
      </c>
      <c r="MF76" s="247">
        <v>205.39832766623985</v>
      </c>
      <c r="MG76" s="247">
        <v>204.58318090505622</v>
      </c>
      <c r="MH76" s="247">
        <v>203.76908227604261</v>
      </c>
      <c r="MI76" s="247">
        <v>202.95603162386328</v>
      </c>
      <c r="MJ76" s="247">
        <v>202.14402866506987</v>
      </c>
      <c r="MK76" s="247">
        <v>201.33307320424188</v>
      </c>
      <c r="ML76" s="247">
        <v>200.52316513605837</v>
      </c>
      <c r="MM76" s="247">
        <v>199.71430433237833</v>
      </c>
      <c r="MN76" s="247">
        <v>198.90751231468613</v>
      </c>
      <c r="MO76" s="247">
        <v>198.10175736304271</v>
      </c>
      <c r="MP76" s="247">
        <v>197.29703486620886</v>
      </c>
      <c r="MQ76" s="247">
        <v>196.49334011645371</v>
      </c>
      <c r="MR76" s="247">
        <v>195.69066875126413</v>
      </c>
      <c r="MS76" s="247">
        <v>194.88901620722081</v>
      </c>
      <c r="MT76" s="247">
        <v>194.08837803888292</v>
      </c>
      <c r="MU76" s="247">
        <v>193.28874992192254</v>
      </c>
      <c r="MV76" s="247">
        <v>192.4901274365013</v>
      </c>
      <c r="MW76" s="247">
        <v>191.69250616814111</v>
      </c>
      <c r="MX76" s="247">
        <v>190.89588202773257</v>
      </c>
      <c r="MY76" s="247">
        <v>190.10025061446314</v>
      </c>
    </row>
    <row r="77" spans="1:363" ht="15.6" x14ac:dyDescent="0.3">
      <c r="A77" s="67" t="s">
        <v>7</v>
      </c>
      <c r="B77" s="72">
        <v>2087</v>
      </c>
      <c r="C77" s="247">
        <v>527.3912911155054</v>
      </c>
      <c r="D77" s="247">
        <v>526.36266917474336</v>
      </c>
      <c r="E77" s="247">
        <v>525.3340532602773</v>
      </c>
      <c r="F77" s="247">
        <v>524.30544416996611</v>
      </c>
      <c r="G77" s="247">
        <v>523.27684273248474</v>
      </c>
      <c r="H77" s="247">
        <v>522.24824976996456</v>
      </c>
      <c r="I77" s="247">
        <v>521.21966609945537</v>
      </c>
      <c r="J77" s="247">
        <v>520.19109252477381</v>
      </c>
      <c r="K77" s="247">
        <v>519.16252986585027</v>
      </c>
      <c r="L77" s="247">
        <v>518.13397895709045</v>
      </c>
      <c r="M77" s="247">
        <v>517.10544060442339</v>
      </c>
      <c r="N77" s="247">
        <v>516.07691564252593</v>
      </c>
      <c r="O77" s="247">
        <v>515.04840487985859</v>
      </c>
      <c r="P77" s="247">
        <v>514.01953912312001</v>
      </c>
      <c r="Q77" s="247">
        <v>512.9906769633111</v>
      </c>
      <c r="R77" s="247">
        <v>511.96181888162522</v>
      </c>
      <c r="S77" s="247">
        <v>510.93296538824683</v>
      </c>
      <c r="T77" s="247">
        <v>509.90411696750573</v>
      </c>
      <c r="U77" s="247">
        <v>508.87527411704406</v>
      </c>
      <c r="V77" s="247">
        <v>507.84643734631197</v>
      </c>
      <c r="W77" s="247">
        <v>506.81760713497749</v>
      </c>
      <c r="X77" s="247">
        <v>505.78878399995494</v>
      </c>
      <c r="Y77" s="247">
        <v>504.75996844541618</v>
      </c>
      <c r="Z77" s="247">
        <v>503.73116096917954</v>
      </c>
      <c r="AA77" s="247">
        <v>502.70236209321359</v>
      </c>
      <c r="AB77" s="247">
        <v>501.67323149660882</v>
      </c>
      <c r="AC77" s="247">
        <v>500.64409885449311</v>
      </c>
      <c r="AD77" s="247">
        <v>499.61496438694343</v>
      </c>
      <c r="AE77" s="247">
        <v>498.58582835086787</v>
      </c>
      <c r="AF77" s="247">
        <v>497.55669096929569</v>
      </c>
      <c r="AG77" s="247">
        <v>496.52755250701881</v>
      </c>
      <c r="AH77" s="247">
        <v>495.49841317872477</v>
      </c>
      <c r="AI77" s="247">
        <v>494.46927326771163</v>
      </c>
      <c r="AJ77" s="247">
        <v>493.440132989174</v>
      </c>
      <c r="AK77" s="247">
        <v>492.41099264153547</v>
      </c>
      <c r="AL77" s="247">
        <v>491.3818524574146</v>
      </c>
      <c r="AM77" s="247">
        <v>490.35271271383579</v>
      </c>
      <c r="AN77" s="247">
        <v>489.3242605225737</v>
      </c>
      <c r="AO77" s="247">
        <v>488.29580389884819</v>
      </c>
      <c r="AP77" s="247">
        <v>487.26734433386167</v>
      </c>
      <c r="AQ77" s="247">
        <v>486.23888326553191</v>
      </c>
      <c r="AR77" s="247">
        <v>485.21042215161128</v>
      </c>
      <c r="AS77" s="247">
        <v>484.18196247311425</v>
      </c>
      <c r="AT77" s="247">
        <v>483.15350565332648</v>
      </c>
      <c r="AU77" s="247">
        <v>482.12505314536747</v>
      </c>
      <c r="AV77" s="247">
        <v>481.09660638756003</v>
      </c>
      <c r="AW77" s="247">
        <v>480.06816682213713</v>
      </c>
      <c r="AX77" s="247">
        <v>479.03973588870957</v>
      </c>
      <c r="AY77" s="247">
        <v>478.01131502266099</v>
      </c>
      <c r="AZ77" s="247">
        <v>476.98359824052511</v>
      </c>
      <c r="BA77" s="247">
        <v>475.95588562944266</v>
      </c>
      <c r="BB77" s="247">
        <v>474.92817649132411</v>
      </c>
      <c r="BC77" s="247">
        <v>473.90047011865346</v>
      </c>
      <c r="BD77" s="247">
        <v>472.87276581727957</v>
      </c>
      <c r="BE77" s="247">
        <v>471.84506290004902</v>
      </c>
      <c r="BF77" s="247">
        <v>470.81736069561742</v>
      </c>
      <c r="BG77" s="247">
        <v>469.78965853628142</v>
      </c>
      <c r="BH77" s="247">
        <v>468.76195576318963</v>
      </c>
      <c r="BI77" s="247">
        <v>467.73425172516033</v>
      </c>
      <c r="BJ77" s="247">
        <v>466.70654577233722</v>
      </c>
      <c r="BK77" s="247">
        <v>465.67883729373511</v>
      </c>
      <c r="BL77" s="247">
        <v>464.65302514400923</v>
      </c>
      <c r="BM77" s="247">
        <v>463.62721304637864</v>
      </c>
      <c r="BN77" s="247">
        <v>462.60140679380902</v>
      </c>
      <c r="BO77" s="247">
        <v>461.57561214670307</v>
      </c>
      <c r="BP77" s="247">
        <v>460.54983487742044</v>
      </c>
      <c r="BQ77" s="247">
        <v>459.52408070037814</v>
      </c>
      <c r="BR77" s="247">
        <v>458.49835528185201</v>
      </c>
      <c r="BS77" s="247">
        <v>457.47266427880186</v>
      </c>
      <c r="BT77" s="247">
        <v>456.44701329232225</v>
      </c>
      <c r="BU77" s="247">
        <v>455.42140793968082</v>
      </c>
      <c r="BV77" s="247">
        <v>454.39585377385811</v>
      </c>
      <c r="BW77" s="247">
        <v>453.37035630365534</v>
      </c>
      <c r="BX77" s="247">
        <v>452.34702919402014</v>
      </c>
      <c r="BY77" s="247">
        <v>451.32376462380955</v>
      </c>
      <c r="BZ77" s="247">
        <v>450.30055965153144</v>
      </c>
      <c r="CA77" s="247">
        <v>449.27741132705836</v>
      </c>
      <c r="CB77" s="247">
        <v>448.25431672773095</v>
      </c>
      <c r="CC77" s="247">
        <v>447.23127296213761</v>
      </c>
      <c r="CD77" s="247">
        <v>446.2082771469473</v>
      </c>
      <c r="CE77" s="247">
        <v>445.18532642598825</v>
      </c>
      <c r="CF77" s="247">
        <v>444.16241796498014</v>
      </c>
      <c r="CG77" s="247">
        <v>443.13954895157281</v>
      </c>
      <c r="CH77" s="247">
        <v>442.11671658617752</v>
      </c>
      <c r="CI77" s="247">
        <v>441.09391810349882</v>
      </c>
      <c r="CJ77" s="247">
        <v>440.07527949845235</v>
      </c>
      <c r="CK77" s="247">
        <v>439.05668285931421</v>
      </c>
      <c r="CL77" s="247">
        <v>438.03813109704583</v>
      </c>
      <c r="CM77" s="247">
        <v>437.01962704353673</v>
      </c>
      <c r="CN77" s="247">
        <v>436.00117355684961</v>
      </c>
      <c r="CO77" s="247">
        <v>434.98277346181385</v>
      </c>
      <c r="CP77" s="247">
        <v>433.96442957489921</v>
      </c>
      <c r="CQ77" s="247">
        <v>432.94614468633995</v>
      </c>
      <c r="CR77" s="247">
        <v>431.92792156785976</v>
      </c>
      <c r="CS77" s="247">
        <v>430.90976301120787</v>
      </c>
      <c r="CT77" s="247">
        <v>429.89167175269773</v>
      </c>
      <c r="CU77" s="247">
        <v>428.87365053716218</v>
      </c>
      <c r="CV77" s="247">
        <v>427.86072909833933</v>
      </c>
      <c r="CW77" s="247">
        <v>426.84789704159147</v>
      </c>
      <c r="CX77" s="247">
        <v>425.83515512906058</v>
      </c>
      <c r="CY77" s="247">
        <v>424.82250413796288</v>
      </c>
      <c r="CZ77" s="247">
        <v>423.8099448304045</v>
      </c>
      <c r="DA77" s="247">
        <v>422.79747794556567</v>
      </c>
      <c r="DB77" s="247">
        <v>421.78510425891386</v>
      </c>
      <c r="DC77" s="247">
        <v>420.77282452978721</v>
      </c>
      <c r="DD77" s="247">
        <v>419.76063948156536</v>
      </c>
      <c r="DE77" s="247">
        <v>418.74854987676429</v>
      </c>
      <c r="DF77" s="247">
        <v>417.73655644318671</v>
      </c>
      <c r="DG77" s="247">
        <v>416.7246599191505</v>
      </c>
      <c r="DH77" s="247">
        <v>415.71902742076048</v>
      </c>
      <c r="DI77" s="247">
        <v>414.71352104441746</v>
      </c>
      <c r="DJ77" s="247">
        <v>413.70814868051758</v>
      </c>
      <c r="DK77" s="247">
        <v>412.70291823756679</v>
      </c>
      <c r="DL77" s="247">
        <v>411.69783751706461</v>
      </c>
      <c r="DM77" s="247">
        <v>410.69291432737339</v>
      </c>
      <c r="DN77" s="247">
        <v>409.68815634476698</v>
      </c>
      <c r="DO77" s="247">
        <v>408.68357129353279</v>
      </c>
      <c r="DP77" s="247">
        <v>407.67916675050861</v>
      </c>
      <c r="DQ77" s="247">
        <v>406.67495028471899</v>
      </c>
      <c r="DR77" s="247">
        <v>405.67092940526896</v>
      </c>
      <c r="DS77" s="247">
        <v>404.66711161376298</v>
      </c>
      <c r="DT77" s="247">
        <v>403.67117611045154</v>
      </c>
      <c r="DU77" s="247">
        <v>402.67550371653311</v>
      </c>
      <c r="DV77" s="247">
        <v>401.68010519055065</v>
      </c>
      <c r="DW77" s="247">
        <v>400.68499115476897</v>
      </c>
      <c r="DX77" s="247">
        <v>399.69017218917298</v>
      </c>
      <c r="DY77" s="247">
        <v>398.69565880441093</v>
      </c>
      <c r="DZ77" s="247">
        <v>397.70146142029273</v>
      </c>
      <c r="EA77" s="247">
        <v>396.70759041442801</v>
      </c>
      <c r="EB77" s="247">
        <v>395.71405607498463</v>
      </c>
      <c r="EC77" s="247">
        <v>394.72086860369075</v>
      </c>
      <c r="ED77" s="247">
        <v>393.72803813486127</v>
      </c>
      <c r="EE77" s="247">
        <v>392.73557473698918</v>
      </c>
      <c r="EF77" s="247">
        <v>391.75326894198992</v>
      </c>
      <c r="EG77" s="247">
        <v>390.77140836749925</v>
      </c>
      <c r="EH77" s="247">
        <v>389.78998776880559</v>
      </c>
      <c r="EI77" s="247">
        <v>388.80900207875476</v>
      </c>
      <c r="EJ77" s="247">
        <v>387.82844614228355</v>
      </c>
      <c r="EK77" s="247">
        <v>386.84831489533479</v>
      </c>
      <c r="EL77" s="247">
        <v>385.86860329343619</v>
      </c>
      <c r="EM77" s="247">
        <v>384.88930625179802</v>
      </c>
      <c r="EN77" s="247">
        <v>383.9104188217209</v>
      </c>
      <c r="EO77" s="247">
        <v>382.93193598661907</v>
      </c>
      <c r="EP77" s="247">
        <v>381.95385279899477</v>
      </c>
      <c r="EQ77" s="247">
        <v>380.97616433615536</v>
      </c>
      <c r="ER77" s="247">
        <v>380.00520984976828</v>
      </c>
      <c r="ES77" s="247">
        <v>379.03468566836466</v>
      </c>
      <c r="ET77" s="247">
        <v>378.0645995295738</v>
      </c>
      <c r="EU77" s="247">
        <v>377.09495933302429</v>
      </c>
      <c r="EV77" s="247">
        <v>376.12577273413893</v>
      </c>
      <c r="EW77" s="247">
        <v>375.15704743319856</v>
      </c>
      <c r="EX77" s="247">
        <v>374.18879102605115</v>
      </c>
      <c r="EY77" s="247">
        <v>373.22101106175973</v>
      </c>
      <c r="EZ77" s="247">
        <v>372.25371503595164</v>
      </c>
      <c r="FA77" s="247">
        <v>371.28691036826729</v>
      </c>
      <c r="FB77" s="247">
        <v>370.32060445077008</v>
      </c>
      <c r="FC77" s="247">
        <v>369.35480460094328</v>
      </c>
      <c r="FD77" s="247">
        <v>368.39019569761757</v>
      </c>
      <c r="FE77" s="247">
        <v>367.42609974565067</v>
      </c>
      <c r="FF77" s="247">
        <v>366.4625233166401</v>
      </c>
      <c r="FG77" s="247">
        <v>365.4994729270249</v>
      </c>
      <c r="FH77" s="247">
        <v>364.53695500074798</v>
      </c>
      <c r="FI77" s="247">
        <v>363.57497598364534</v>
      </c>
      <c r="FJ77" s="247">
        <v>362.6135422217767</v>
      </c>
      <c r="FK77" s="247">
        <v>361.65266001784761</v>
      </c>
      <c r="FL77" s="247">
        <v>360.69233562455088</v>
      </c>
      <c r="FM77" s="247">
        <v>359.73257522265857</v>
      </c>
      <c r="FN77" s="247">
        <v>358.77338496817458</v>
      </c>
      <c r="FO77" s="247">
        <v>357.81477094661068</v>
      </c>
      <c r="FP77" s="247">
        <v>356.85742087527615</v>
      </c>
      <c r="FQ77" s="247">
        <v>355.90065284968659</v>
      </c>
      <c r="FR77" s="247">
        <v>354.94447350059693</v>
      </c>
      <c r="FS77" s="247">
        <v>353.98888948912918</v>
      </c>
      <c r="FT77" s="247">
        <v>353.0339073318782</v>
      </c>
      <c r="FU77" s="247">
        <v>352.07953355852504</v>
      </c>
      <c r="FV77" s="247">
        <v>351.12577463901977</v>
      </c>
      <c r="FW77" s="247">
        <v>350.17263692437416</v>
      </c>
      <c r="FX77" s="247">
        <v>349.22012679982339</v>
      </c>
      <c r="FY77" s="247">
        <v>348.26825050396087</v>
      </c>
      <c r="FZ77" s="247">
        <v>347.31701433362065</v>
      </c>
      <c r="GA77" s="247">
        <v>346.36642446319024</v>
      </c>
      <c r="GB77" s="247">
        <v>345.41717504295565</v>
      </c>
      <c r="GC77" s="247">
        <v>344.46859219679811</v>
      </c>
      <c r="GD77" s="247">
        <v>343.52069688507504</v>
      </c>
      <c r="GE77" s="247">
        <v>342.57350997296129</v>
      </c>
      <c r="GF77" s="247">
        <v>341.62705210540645</v>
      </c>
      <c r="GG77" s="247">
        <v>340.68134383808376</v>
      </c>
      <c r="GH77" s="247">
        <v>339.73640556654544</v>
      </c>
      <c r="GI77" s="247">
        <v>338.79225755728248</v>
      </c>
      <c r="GJ77" s="247">
        <v>337.84891991973433</v>
      </c>
      <c r="GK77" s="247">
        <v>336.90641260701739</v>
      </c>
      <c r="GL77" s="247">
        <v>335.9647554394266</v>
      </c>
      <c r="GM77" s="247">
        <v>335.02396812619611</v>
      </c>
      <c r="GN77" s="247">
        <v>334.08475617638391</v>
      </c>
      <c r="GO77" s="247">
        <v>333.14642289145144</v>
      </c>
      <c r="GP77" s="247">
        <v>332.20896454148959</v>
      </c>
      <c r="GQ77" s="247">
        <v>331.27237740315292</v>
      </c>
      <c r="GR77" s="247">
        <v>330.33665776785887</v>
      </c>
      <c r="GS77" s="247">
        <v>329.40180191791205</v>
      </c>
      <c r="GT77" s="247">
        <v>328.46780616507436</v>
      </c>
      <c r="GU77" s="247">
        <v>327.53466685918909</v>
      </c>
      <c r="GV77" s="247">
        <v>326.60238029665334</v>
      </c>
      <c r="GW77" s="247">
        <v>325.67094282756625</v>
      </c>
      <c r="GX77" s="247">
        <v>324.74035081434261</v>
      </c>
      <c r="GY77" s="247">
        <v>323.81060067382725</v>
      </c>
      <c r="GZ77" s="247">
        <v>322.88238785724957</v>
      </c>
      <c r="HA77" s="247">
        <v>321.95503024332169</v>
      </c>
      <c r="HB77" s="247">
        <v>321.0285517287731</v>
      </c>
      <c r="HC77" s="247">
        <v>320.10297591963604</v>
      </c>
      <c r="HD77" s="247">
        <v>319.17832632796785</v>
      </c>
      <c r="HE77" s="247">
        <v>318.2546262858836</v>
      </c>
      <c r="HF77" s="247">
        <v>317.33189902428762</v>
      </c>
      <c r="HG77" s="247">
        <v>316.4101675370502</v>
      </c>
      <c r="HH77" s="247">
        <v>315.48945473972526</v>
      </c>
      <c r="HI77" s="247">
        <v>314.56978338787314</v>
      </c>
      <c r="HJ77" s="247">
        <v>313.65117601716679</v>
      </c>
      <c r="HK77" s="247">
        <v>312.73365510739177</v>
      </c>
      <c r="HL77" s="247">
        <v>311.81793519230411</v>
      </c>
      <c r="HM77" s="247">
        <v>310.90329543039036</v>
      </c>
      <c r="HN77" s="247">
        <v>309.98971425825397</v>
      </c>
      <c r="HO77" s="247">
        <v>309.07717027779199</v>
      </c>
      <c r="HP77" s="247">
        <v>308.16564216422944</v>
      </c>
      <c r="HQ77" s="247">
        <v>307.25510878359864</v>
      </c>
      <c r="HR77" s="247">
        <v>306.34554904818918</v>
      </c>
      <c r="HS77" s="247">
        <v>305.43694202483891</v>
      </c>
      <c r="HT77" s="247">
        <v>304.52926690862546</v>
      </c>
      <c r="HU77" s="247">
        <v>303.62250298361624</v>
      </c>
      <c r="HV77" s="247">
        <v>302.71662968300882</v>
      </c>
      <c r="HW77" s="247">
        <v>301.81162649134706</v>
      </c>
      <c r="HX77" s="247">
        <v>300.90818305955708</v>
      </c>
      <c r="HY77" s="247">
        <v>300.00559153896614</v>
      </c>
      <c r="HZ77" s="247">
        <v>299.10386091228355</v>
      </c>
      <c r="IA77" s="247">
        <v>298.20300010559174</v>
      </c>
      <c r="IB77" s="247">
        <v>297.30301797741038</v>
      </c>
      <c r="IC77" s="247">
        <v>296.40392331636019</v>
      </c>
      <c r="ID77" s="247">
        <v>295.50572489420654</v>
      </c>
      <c r="IE77" s="247">
        <v>294.6084313780209</v>
      </c>
      <c r="IF77" s="247">
        <v>293.71205138189094</v>
      </c>
      <c r="IG77" s="247">
        <v>292.8165934670775</v>
      </c>
      <c r="IH77" s="247">
        <v>291.92206614287636</v>
      </c>
      <c r="II77" s="247">
        <v>291.0284778668883</v>
      </c>
      <c r="IJ77" s="247">
        <v>290.13654999732159</v>
      </c>
      <c r="IK77" s="247">
        <v>289.24558224767469</v>
      </c>
      <c r="IL77" s="247">
        <v>288.35559411831088</v>
      </c>
      <c r="IM77" s="247">
        <v>287.46660491085021</v>
      </c>
      <c r="IN77" s="247">
        <v>286.57863384943948</v>
      </c>
      <c r="IO77" s="247">
        <v>285.69170011502808</v>
      </c>
      <c r="IP77" s="247">
        <v>284.80582267291561</v>
      </c>
      <c r="IQ77" s="247">
        <v>283.92102039301949</v>
      </c>
      <c r="IR77" s="247">
        <v>283.03731211735993</v>
      </c>
      <c r="IS77" s="247">
        <v>282.15471651221958</v>
      </c>
      <c r="IT77" s="247">
        <v>281.27325214305802</v>
      </c>
      <c r="IU77" s="247">
        <v>280.39293747469304</v>
      </c>
      <c r="IV77" s="247">
        <v>279.51450119884589</v>
      </c>
      <c r="IW77" s="247">
        <v>278.637200206557</v>
      </c>
      <c r="IX77" s="247">
        <v>277.76100866583903</v>
      </c>
      <c r="IY77" s="247">
        <v>276.88590092062202</v>
      </c>
      <c r="IZ77" s="247">
        <v>276.01185139129802</v>
      </c>
      <c r="JA77" s="247">
        <v>275.1388347165198</v>
      </c>
      <c r="JB77" s="247">
        <v>274.26682560373172</v>
      </c>
      <c r="JC77" s="247">
        <v>273.39579892776345</v>
      </c>
      <c r="JD77" s="247">
        <v>272.52572970697781</v>
      </c>
      <c r="JE77" s="247">
        <v>271.65659303188619</v>
      </c>
      <c r="JF77" s="247">
        <v>270.78836417301585</v>
      </c>
      <c r="JG77" s="247">
        <v>269.92101854554897</v>
      </c>
      <c r="JH77" s="247">
        <v>269.05526198835952</v>
      </c>
      <c r="JI77" s="247">
        <v>268.19036557368707</v>
      </c>
      <c r="JJ77" s="247">
        <v>267.32633759969877</v>
      </c>
      <c r="JK77" s="247">
        <v>266.46318621724527</v>
      </c>
      <c r="JL77" s="247">
        <v>265.60091959501921</v>
      </c>
      <c r="JM77" s="247">
        <v>264.73954579624501</v>
      </c>
      <c r="JN77" s="247">
        <v>263.87907289316024</v>
      </c>
      <c r="JO77" s="247">
        <v>263.01950882111839</v>
      </c>
      <c r="JP77" s="247">
        <v>262.1608617151652</v>
      </c>
      <c r="JQ77" s="247">
        <v>261.30313922487284</v>
      </c>
      <c r="JR77" s="247">
        <v>260.44634936970368</v>
      </c>
      <c r="JS77" s="247">
        <v>259.59050002629755</v>
      </c>
      <c r="JT77" s="247">
        <v>258.73632831265303</v>
      </c>
      <c r="JU77" s="247">
        <v>257.88308518621892</v>
      </c>
      <c r="JV77" s="247">
        <v>257.03075784308066</v>
      </c>
      <c r="JW77" s="247">
        <v>256.17933368536467</v>
      </c>
      <c r="JX77" s="247">
        <v>255.32879999593678</v>
      </c>
      <c r="JY77" s="247">
        <v>254.47914427014393</v>
      </c>
      <c r="JZ77" s="247">
        <v>253.63035404280171</v>
      </c>
      <c r="KA77" s="247">
        <v>252.78241673229445</v>
      </c>
      <c r="KB77" s="247">
        <v>251.93531996689615</v>
      </c>
      <c r="KC77" s="247">
        <v>251.08905141490152</v>
      </c>
      <c r="KD77" s="247">
        <v>250.2435987908861</v>
      </c>
      <c r="KE77" s="247">
        <v>249.39894969090105</v>
      </c>
      <c r="KF77" s="247">
        <v>248.5558465088877</v>
      </c>
      <c r="KG77" s="247">
        <v>247.71359375185148</v>
      </c>
      <c r="KH77" s="247">
        <v>246.87225696304742</v>
      </c>
      <c r="KI77" s="247">
        <v>246.03190145816956</v>
      </c>
      <c r="KJ77" s="247">
        <v>245.19259201073265</v>
      </c>
      <c r="KK77" s="247">
        <v>244.35439317163957</v>
      </c>
      <c r="KL77" s="247">
        <v>243.51736926003105</v>
      </c>
      <c r="KM77" s="247">
        <v>242.68158436898815</v>
      </c>
      <c r="KN77" s="247">
        <v>241.84710220329251</v>
      </c>
      <c r="KO77" s="247">
        <v>241.01398623156942</v>
      </c>
      <c r="KP77" s="247">
        <v>240.18229953432277</v>
      </c>
      <c r="KQ77" s="247">
        <v>239.35210526928174</v>
      </c>
      <c r="KR77" s="247">
        <v>238.52419846471875</v>
      </c>
      <c r="KS77" s="247">
        <v>237.69779337132556</v>
      </c>
      <c r="KT77" s="247">
        <v>236.87284353588709</v>
      </c>
      <c r="KU77" s="247">
        <v>236.04930269226782</v>
      </c>
      <c r="KV77" s="247">
        <v>235.22712492089119</v>
      </c>
      <c r="KW77" s="247">
        <v>234.40626434243373</v>
      </c>
      <c r="KX77" s="247">
        <v>233.58667556985245</v>
      </c>
      <c r="KY77" s="247">
        <v>232.76831325737555</v>
      </c>
      <c r="KZ77" s="247">
        <v>231.95113225045662</v>
      </c>
      <c r="LA77" s="247">
        <v>231.13508773228352</v>
      </c>
      <c r="LB77" s="247">
        <v>230.32013492728487</v>
      </c>
      <c r="LC77" s="247">
        <v>229.50622925218411</v>
      </c>
      <c r="LD77" s="247">
        <v>228.6757045171081</v>
      </c>
      <c r="LE77" s="247">
        <v>227.84610087508452</v>
      </c>
      <c r="LF77" s="247">
        <v>227.01744063155812</v>
      </c>
      <c r="LG77" s="247">
        <v>226.18974603228398</v>
      </c>
      <c r="LH77" s="247">
        <v>225.36303913358941</v>
      </c>
      <c r="LI77" s="247">
        <v>224.53734207046691</v>
      </c>
      <c r="LJ77" s="247">
        <v>223.71267691438857</v>
      </c>
      <c r="LK77" s="247">
        <v>222.88906541065927</v>
      </c>
      <c r="LL77" s="247">
        <v>222.06652950858742</v>
      </c>
      <c r="LM77" s="247">
        <v>221.24509108766267</v>
      </c>
      <c r="LN77" s="247">
        <v>220.42477169611558</v>
      </c>
      <c r="LO77" s="247">
        <v>219.60559307788358</v>
      </c>
      <c r="LP77" s="247">
        <v>218.78845958940144</v>
      </c>
      <c r="LQ77" s="247">
        <v>217.97248296166572</v>
      </c>
      <c r="LR77" s="247">
        <v>217.15766371976818</v>
      </c>
      <c r="LS77" s="247">
        <v>216.34400239126302</v>
      </c>
      <c r="LT77" s="247">
        <v>215.53149964029845</v>
      </c>
      <c r="LU77" s="247">
        <v>214.7201561378221</v>
      </c>
      <c r="LV77" s="247">
        <v>213.90997255506116</v>
      </c>
      <c r="LW77" s="247">
        <v>213.10094956676659</v>
      </c>
      <c r="LX77" s="247">
        <v>212.29308797766046</v>
      </c>
      <c r="LY77" s="247">
        <v>211.48638846131709</v>
      </c>
      <c r="LZ77" s="247">
        <v>210.68085194134036</v>
      </c>
      <c r="MA77" s="247">
        <v>209.87647908778089</v>
      </c>
      <c r="MB77" s="247">
        <v>209.05507365244324</v>
      </c>
      <c r="MC77" s="247">
        <v>208.23471336229792</v>
      </c>
      <c r="MD77" s="247">
        <v>207.41539780129122</v>
      </c>
      <c r="ME77" s="247">
        <v>206.59712653773175</v>
      </c>
      <c r="MF77" s="247">
        <v>205.77989935615673</v>
      </c>
      <c r="MG77" s="247">
        <v>204.96371591645618</v>
      </c>
      <c r="MH77" s="247">
        <v>204.14857586095076</v>
      </c>
      <c r="MI77" s="247">
        <v>203.33447904077767</v>
      </c>
      <c r="MJ77" s="247">
        <v>202.52142517961599</v>
      </c>
      <c r="MK77" s="247">
        <v>201.70941408867904</v>
      </c>
      <c r="ML77" s="247">
        <v>200.89844566881095</v>
      </c>
      <c r="MM77" s="247">
        <v>200.08851979814435</v>
      </c>
      <c r="MN77" s="247">
        <v>199.28065206024098</v>
      </c>
      <c r="MO77" s="247">
        <v>198.47381669824932</v>
      </c>
      <c r="MP77" s="247">
        <v>197.6680091293486</v>
      </c>
      <c r="MQ77" s="247">
        <v>196.8632246746663</v>
      </c>
      <c r="MR77" s="247">
        <v>196.05945899877182</v>
      </c>
      <c r="MS77" s="247">
        <v>195.25670756631908</v>
      </c>
      <c r="MT77" s="247">
        <v>194.45496595929666</v>
      </c>
      <c r="MU77" s="247">
        <v>193.65422988017355</v>
      </c>
      <c r="MV77" s="247">
        <v>192.85449493638461</v>
      </c>
      <c r="MW77" s="247">
        <v>192.05575674065955</v>
      </c>
      <c r="MX77" s="247">
        <v>191.25801122942519</v>
      </c>
      <c r="MY77" s="247">
        <v>190.46125402899366</v>
      </c>
    </row>
    <row r="78" spans="1:363" ht="15.6" x14ac:dyDescent="0.3">
      <c r="A78" s="67" t="s">
        <v>7</v>
      </c>
      <c r="B78" s="72">
        <v>2088</v>
      </c>
      <c r="C78" s="247">
        <v>527.87884547787564</v>
      </c>
      <c r="D78" s="247">
        <v>526.85017656082709</v>
      </c>
      <c r="E78" s="247">
        <v>525.82151304328431</v>
      </c>
      <c r="F78" s="247">
        <v>524.79285571942808</v>
      </c>
      <c r="G78" s="247">
        <v>523.76420541373659</v>
      </c>
      <c r="H78" s="247">
        <v>522.73556294440357</v>
      </c>
      <c r="I78" s="247">
        <v>521.70692912466643</v>
      </c>
      <c r="J78" s="247">
        <v>520.67830475475034</v>
      </c>
      <c r="K78" s="247">
        <v>519.64969065090736</v>
      </c>
      <c r="L78" s="247">
        <v>518.62108764371283</v>
      </c>
      <c r="M78" s="247">
        <v>517.59249653577956</v>
      </c>
      <c r="N78" s="247">
        <v>516.5639181581239</v>
      </c>
      <c r="O78" s="247">
        <v>515.53535331605735</v>
      </c>
      <c r="P78" s="247">
        <v>514.50643142867602</v>
      </c>
      <c r="Q78" s="247">
        <v>513.47751248735358</v>
      </c>
      <c r="R78" s="247">
        <v>512.44859697451102</v>
      </c>
      <c r="S78" s="247">
        <v>511.41968540104529</v>
      </c>
      <c r="T78" s="247">
        <v>510.39077825257959</v>
      </c>
      <c r="U78" s="247">
        <v>509.36187602787453</v>
      </c>
      <c r="V78" s="247">
        <v>508.33297923734131</v>
      </c>
      <c r="W78" s="247">
        <v>507.30408836223432</v>
      </c>
      <c r="X78" s="247">
        <v>506.27520392053833</v>
      </c>
      <c r="Y78" s="247">
        <v>505.24632641776748</v>
      </c>
      <c r="Z78" s="247">
        <v>504.21745635329245</v>
      </c>
      <c r="AA78" s="247">
        <v>503.18859425035396</v>
      </c>
      <c r="AB78" s="247">
        <v>502.15939914047993</v>
      </c>
      <c r="AC78" s="247">
        <v>501.1302013701731</v>
      </c>
      <c r="AD78" s="247">
        <v>500.10100116532368</v>
      </c>
      <c r="AE78" s="247">
        <v>499.07179878795455</v>
      </c>
      <c r="AF78" s="247">
        <v>498.04259446696727</v>
      </c>
      <c r="AG78" s="247">
        <v>497.01338847234871</v>
      </c>
      <c r="AH78" s="247">
        <v>495.98418102486454</v>
      </c>
      <c r="AI78" s="247">
        <v>494.95497241287779</v>
      </c>
      <c r="AJ78" s="247">
        <v>493.92576285788465</v>
      </c>
      <c r="AK78" s="247">
        <v>492.89655266326923</v>
      </c>
      <c r="AL78" s="247">
        <v>491.86734206783183</v>
      </c>
      <c r="AM78" s="247">
        <v>490.83813135413942</v>
      </c>
      <c r="AN78" s="247">
        <v>489.80960158150111</v>
      </c>
      <c r="AO78" s="247">
        <v>488.78106680124478</v>
      </c>
      <c r="AP78" s="247">
        <v>487.75252848876312</v>
      </c>
      <c r="AQ78" s="247">
        <v>486.72398806701557</v>
      </c>
      <c r="AR78" s="247">
        <v>485.69544697863563</v>
      </c>
      <c r="AS78" s="247">
        <v>484.66690668916772</v>
      </c>
      <c r="AT78" s="247">
        <v>483.63836860744766</v>
      </c>
      <c r="AU78" s="247">
        <v>482.60983417179887</v>
      </c>
      <c r="AV78" s="247">
        <v>481.58130480607957</v>
      </c>
      <c r="AW78" s="247">
        <v>480.55278193807447</v>
      </c>
      <c r="AX78" s="247">
        <v>479.52426699310342</v>
      </c>
      <c r="AY78" s="247">
        <v>478.49576139244522</v>
      </c>
      <c r="AZ78" s="247">
        <v>477.4679530327291</v>
      </c>
      <c r="BA78" s="247">
        <v>476.44014812202704</v>
      </c>
      <c r="BB78" s="247">
        <v>475.41234598374393</v>
      </c>
      <c r="BC78" s="247">
        <v>474.38454593196064</v>
      </c>
      <c r="BD78" s="247">
        <v>473.35674729405724</v>
      </c>
      <c r="BE78" s="247">
        <v>472.3289494043201</v>
      </c>
      <c r="BF78" s="247">
        <v>471.30115161260602</v>
      </c>
      <c r="BG78" s="247">
        <v>470.27335327249534</v>
      </c>
      <c r="BH78" s="247">
        <v>469.24555374634406</v>
      </c>
      <c r="BI78" s="247">
        <v>468.21775240411006</v>
      </c>
      <c r="BJ78" s="247">
        <v>467.18994861715589</v>
      </c>
      <c r="BK78" s="247">
        <v>466.16214179516214</v>
      </c>
      <c r="BL78" s="247">
        <v>465.13621858638311</v>
      </c>
      <c r="BM78" s="247">
        <v>464.11029483201895</v>
      </c>
      <c r="BN78" s="247">
        <v>463.08437624154732</v>
      </c>
      <c r="BO78" s="247">
        <v>462.05846849239015</v>
      </c>
      <c r="BP78" s="247">
        <v>461.03257727392236</v>
      </c>
      <c r="BQ78" s="247">
        <v>460.00670821857489</v>
      </c>
      <c r="BR78" s="247">
        <v>458.98086691146631</v>
      </c>
      <c r="BS78" s="247">
        <v>457.95505892872677</v>
      </c>
      <c r="BT78" s="247">
        <v>456.92928979162031</v>
      </c>
      <c r="BU78" s="247">
        <v>455.90356503742754</v>
      </c>
      <c r="BV78" s="247">
        <v>454.87789014029886</v>
      </c>
      <c r="BW78" s="247">
        <v>453.85227053105274</v>
      </c>
      <c r="BX78" s="247">
        <v>452.82880812776904</v>
      </c>
      <c r="BY78" s="247">
        <v>451.80540678740812</v>
      </c>
      <c r="BZ78" s="247">
        <v>450.78206362111206</v>
      </c>
      <c r="CA78" s="247">
        <v>449.75877573145573</v>
      </c>
      <c r="CB78" s="247">
        <v>448.73554024820646</v>
      </c>
      <c r="CC78" s="247">
        <v>447.71235433192663</v>
      </c>
      <c r="CD78" s="247">
        <v>446.68921515115352</v>
      </c>
      <c r="CE78" s="247">
        <v>445.66611990129473</v>
      </c>
      <c r="CF78" s="247">
        <v>444.64306579937988</v>
      </c>
      <c r="CG78" s="247">
        <v>443.62005008408835</v>
      </c>
      <c r="CH78" s="247">
        <v>442.59707000674405</v>
      </c>
      <c r="CI78" s="247">
        <v>441.574122852546</v>
      </c>
      <c r="CJ78" s="247">
        <v>440.55532037787128</v>
      </c>
      <c r="CK78" s="247">
        <v>439.53655889450761</v>
      </c>
      <c r="CL78" s="247">
        <v>438.51784128320003</v>
      </c>
      <c r="CM78" s="247">
        <v>437.49917034662457</v>
      </c>
      <c r="CN78" s="247">
        <v>436.48054891344754</v>
      </c>
      <c r="CO78" s="247">
        <v>435.46197977958485</v>
      </c>
      <c r="CP78" s="247">
        <v>434.44346573274811</v>
      </c>
      <c r="CQ78" s="247">
        <v>433.42500953489127</v>
      </c>
      <c r="CR78" s="247">
        <v>432.40661392978092</v>
      </c>
      <c r="CS78" s="247">
        <v>431.3882816810339</v>
      </c>
      <c r="CT78" s="247">
        <v>430.37001549764614</v>
      </c>
      <c r="CU78" s="247">
        <v>429.35181809714146</v>
      </c>
      <c r="CV78" s="247">
        <v>428.33871193566694</v>
      </c>
      <c r="CW78" s="247">
        <v>427.32569386110703</v>
      </c>
      <c r="CX78" s="247">
        <v>426.31276463365992</v>
      </c>
      <c r="CY78" s="247">
        <v>425.29992502841924</v>
      </c>
      <c r="CZ78" s="247">
        <v>424.28717580565632</v>
      </c>
      <c r="DA78" s="247">
        <v>423.27451770301263</v>
      </c>
      <c r="DB78" s="247">
        <v>422.26195149405316</v>
      </c>
      <c r="DC78" s="247">
        <v>421.24947793651137</v>
      </c>
      <c r="DD78" s="247">
        <v>420.23709775261625</v>
      </c>
      <c r="DE78" s="247">
        <v>419.22481170337664</v>
      </c>
      <c r="DF78" s="247">
        <v>418.21262051554959</v>
      </c>
      <c r="DG78" s="247">
        <v>417.20052492638933</v>
      </c>
      <c r="DH78" s="247">
        <v>416.19469599213915</v>
      </c>
      <c r="DI78" s="247">
        <v>415.18899185439409</v>
      </c>
      <c r="DJ78" s="247">
        <v>414.1834203389173</v>
      </c>
      <c r="DK78" s="247">
        <v>413.17798928946195</v>
      </c>
      <c r="DL78" s="247">
        <v>412.17270644388594</v>
      </c>
      <c r="DM78" s="247">
        <v>411.16757954693367</v>
      </c>
      <c r="DN78" s="247">
        <v>410.16261621252113</v>
      </c>
      <c r="DO78" s="247">
        <v>409.15782410229616</v>
      </c>
      <c r="DP78" s="247">
        <v>408.15321073188056</v>
      </c>
      <c r="DQ78" s="247">
        <v>407.14878360925246</v>
      </c>
      <c r="DR78" s="247">
        <v>406.14455018313123</v>
      </c>
      <c r="DS78" s="247">
        <v>405.14051789492947</v>
      </c>
      <c r="DT78" s="247">
        <v>404.14438724048841</v>
      </c>
      <c r="DU78" s="247">
        <v>403.14851780993553</v>
      </c>
      <c r="DV78" s="247">
        <v>402.1529202928981</v>
      </c>
      <c r="DW78" s="247">
        <v>401.15760524374093</v>
      </c>
      <c r="DX78" s="247">
        <v>400.16258317500865</v>
      </c>
      <c r="DY78" s="247">
        <v>399.16786453048883</v>
      </c>
      <c r="DZ78" s="247">
        <v>398.1734596638679</v>
      </c>
      <c r="EA78" s="247">
        <v>397.17937888707542</v>
      </c>
      <c r="EB78" s="247">
        <v>396.18563242334227</v>
      </c>
      <c r="EC78" s="247">
        <v>395.1922304101758</v>
      </c>
      <c r="ED78" s="247">
        <v>394.1991829182702</v>
      </c>
      <c r="EE78" s="247">
        <v>393.20649995310049</v>
      </c>
      <c r="EF78" s="247">
        <v>392.22402069117703</v>
      </c>
      <c r="EG78" s="247">
        <v>391.24198455657381</v>
      </c>
      <c r="EH78" s="247">
        <v>390.2603863339213</v>
      </c>
      <c r="EI78" s="247">
        <v>389.27922098456128</v>
      </c>
      <c r="EJ78" s="247">
        <v>388.29848338239492</v>
      </c>
      <c r="EK78" s="247">
        <v>387.31816849190818</v>
      </c>
      <c r="EL78" s="247">
        <v>386.33827129708618</v>
      </c>
      <c r="EM78" s="247">
        <v>385.35878674184357</v>
      </c>
      <c r="EN78" s="247">
        <v>384.37970990555891</v>
      </c>
      <c r="EO78" s="247">
        <v>383.40103580007712</v>
      </c>
      <c r="EP78" s="247">
        <v>382.42275950603926</v>
      </c>
      <c r="EQ78" s="247">
        <v>381.44487612881221</v>
      </c>
      <c r="ER78" s="247">
        <v>380.47376354581479</v>
      </c>
      <c r="ES78" s="247">
        <v>379.50307977564904</v>
      </c>
      <c r="ET78" s="247">
        <v>378.53283253046641</v>
      </c>
      <c r="EU78" s="247">
        <v>377.56302968390963</v>
      </c>
      <c r="EV78" s="247">
        <v>376.59367886649073</v>
      </c>
      <c r="EW78" s="247">
        <v>375.62478775351974</v>
      </c>
      <c r="EX78" s="247">
        <v>374.65636391638697</v>
      </c>
      <c r="EY78" s="247">
        <v>373.68841488000419</v>
      </c>
      <c r="EZ78" s="247">
        <v>372.72094811619235</v>
      </c>
      <c r="FA78" s="247">
        <v>371.75397102117591</v>
      </c>
      <c r="FB78" s="247">
        <v>370.78749096385872</v>
      </c>
      <c r="FC78" s="247">
        <v>369.82151523897528</v>
      </c>
      <c r="FD78" s="247">
        <v>368.85672664931724</v>
      </c>
      <c r="FE78" s="247">
        <v>367.89244925111245</v>
      </c>
      <c r="FF78" s="247">
        <v>366.92868959569489</v>
      </c>
      <c r="FG78" s="247">
        <v>365.96545417955701</v>
      </c>
      <c r="FH78" s="247">
        <v>365.00274940717225</v>
      </c>
      <c r="FI78" s="247">
        <v>364.04058170493431</v>
      </c>
      <c r="FJ78" s="247">
        <v>363.07895739994382</v>
      </c>
      <c r="FK78" s="247">
        <v>362.11788277624163</v>
      </c>
      <c r="FL78" s="247">
        <v>361.15736406816427</v>
      </c>
      <c r="FM78" s="247">
        <v>360.19740743851003</v>
      </c>
      <c r="FN78" s="247">
        <v>359.23801902553612</v>
      </c>
      <c r="FO78" s="247">
        <v>358.27920489739535</v>
      </c>
      <c r="FP78" s="247">
        <v>357.32165071117208</v>
      </c>
      <c r="FQ78" s="247">
        <v>356.36467660351144</v>
      </c>
      <c r="FR78" s="247">
        <v>355.40828918548203</v>
      </c>
      <c r="FS78" s="247">
        <v>354.45249509850464</v>
      </c>
      <c r="FT78" s="247">
        <v>353.49730084015039</v>
      </c>
      <c r="FU78" s="247">
        <v>352.54271292114811</v>
      </c>
      <c r="FV78" s="247">
        <v>351.58873779282192</v>
      </c>
      <c r="FW78" s="247">
        <v>350.63538178813195</v>
      </c>
      <c r="FX78" s="247">
        <v>349.68265127426963</v>
      </c>
      <c r="FY78" s="247">
        <v>348.73055247243826</v>
      </c>
      <c r="FZ78" s="247">
        <v>347.77909166199805</v>
      </c>
      <c r="GA78" s="247">
        <v>346.82827500045926</v>
      </c>
      <c r="GB78" s="247">
        <v>345.87879457976743</v>
      </c>
      <c r="GC78" s="247">
        <v>344.92997851158572</v>
      </c>
      <c r="GD78" s="247">
        <v>343.98184768492314</v>
      </c>
      <c r="GE78" s="247">
        <v>343.03442289417399</v>
      </c>
      <c r="GF78" s="247">
        <v>342.08772471457769</v>
      </c>
      <c r="GG78" s="247">
        <v>341.14177363264702</v>
      </c>
      <c r="GH78" s="247">
        <v>340.19658997558508</v>
      </c>
      <c r="GI78" s="247">
        <v>339.25219394226013</v>
      </c>
      <c r="GJ78" s="247">
        <v>338.30860557529758</v>
      </c>
      <c r="GK78" s="247">
        <v>337.36584476179837</v>
      </c>
      <c r="GL78" s="247">
        <v>336.42393125676983</v>
      </c>
      <c r="GM78" s="247">
        <v>335.48288470480617</v>
      </c>
      <c r="GN78" s="247">
        <v>334.54340854067169</v>
      </c>
      <c r="GO78" s="247">
        <v>333.60480811489344</v>
      </c>
      <c r="GP78" s="247">
        <v>332.6670797179126</v>
      </c>
      <c r="GQ78" s="247">
        <v>331.73021964673552</v>
      </c>
      <c r="GR78" s="247">
        <v>330.79422421313569</v>
      </c>
      <c r="GS78" s="247">
        <v>329.85908971983412</v>
      </c>
      <c r="GT78" s="247">
        <v>328.92481249893461</v>
      </c>
      <c r="GU78" s="247">
        <v>327.99138892053469</v>
      </c>
      <c r="GV78" s="247">
        <v>327.05881530153539</v>
      </c>
      <c r="GW78" s="247">
        <v>326.12708801236772</v>
      </c>
      <c r="GX78" s="247">
        <v>325.19620343580544</v>
      </c>
      <c r="GY78" s="247">
        <v>324.26615800889823</v>
      </c>
      <c r="GZ78" s="247">
        <v>323.33764516780752</v>
      </c>
      <c r="HA78" s="247">
        <v>322.40998476545371</v>
      </c>
      <c r="HB78" s="247">
        <v>321.48320061957344</v>
      </c>
      <c r="HC78" s="247">
        <v>320.55731625848421</v>
      </c>
      <c r="HD78" s="247">
        <v>319.63235511715578</v>
      </c>
      <c r="HE78" s="247">
        <v>318.70834045149996</v>
      </c>
      <c r="HF78" s="247">
        <v>317.78529541683037</v>
      </c>
      <c r="HG78" s="247">
        <v>316.86324293253722</v>
      </c>
      <c r="HH78" s="247">
        <v>315.94220584023645</v>
      </c>
      <c r="HI78" s="247">
        <v>315.02220682236026</v>
      </c>
      <c r="HJ78" s="247">
        <v>314.10326834250196</v>
      </c>
      <c r="HK78" s="247">
        <v>313.18541280881942</v>
      </c>
      <c r="HL78" s="247">
        <v>312.26935269423427</v>
      </c>
      <c r="HM78" s="247">
        <v>311.3543692505454</v>
      </c>
      <c r="HN78" s="247">
        <v>310.44044099922064</v>
      </c>
      <c r="HO78" s="247">
        <v>309.52754662631361</v>
      </c>
      <c r="HP78" s="247">
        <v>308.61566489085828</v>
      </c>
      <c r="HQ78" s="247">
        <v>307.70477474190915</v>
      </c>
      <c r="HR78" s="247">
        <v>306.7948551745128</v>
      </c>
      <c r="HS78" s="247">
        <v>305.88588533762675</v>
      </c>
      <c r="HT78" s="247">
        <v>304.97784450791295</v>
      </c>
      <c r="HU78" s="247">
        <v>304.07071205061357</v>
      </c>
      <c r="HV78" s="247">
        <v>303.16446747949556</v>
      </c>
      <c r="HW78" s="247">
        <v>302.25909035942482</v>
      </c>
      <c r="HX78" s="247">
        <v>301.35526838693619</v>
      </c>
      <c r="HY78" s="247">
        <v>300.45229574034869</v>
      </c>
      <c r="HZ78" s="247">
        <v>299.55018137805018</v>
      </c>
      <c r="IA78" s="247">
        <v>298.6489342021294</v>
      </c>
      <c r="IB78" s="247">
        <v>297.74856304751683</v>
      </c>
      <c r="IC78" s="247">
        <v>296.84907667962131</v>
      </c>
      <c r="ID78" s="247">
        <v>295.95048384719234</v>
      </c>
      <c r="IE78" s="247">
        <v>295.05279319480536</v>
      </c>
      <c r="IF78" s="247">
        <v>294.15601331439098</v>
      </c>
      <c r="IG78" s="247">
        <v>293.26015274537377</v>
      </c>
      <c r="IH78" s="247">
        <v>292.36521997555178</v>
      </c>
      <c r="II78" s="247">
        <v>291.47122344136</v>
      </c>
      <c r="IJ78" s="247">
        <v>290.57888245311841</v>
      </c>
      <c r="IK78" s="247">
        <v>289.68749870865457</v>
      </c>
      <c r="IL78" s="247">
        <v>288.79709164848964</v>
      </c>
      <c r="IM78" s="247">
        <v>287.90768051529255</v>
      </c>
      <c r="IN78" s="247">
        <v>287.01928447477508</v>
      </c>
      <c r="IO78" s="247">
        <v>286.13192264980012</v>
      </c>
      <c r="IP78" s="247">
        <v>285.24561394854692</v>
      </c>
      <c r="IQ78" s="247">
        <v>284.36037718435949</v>
      </c>
      <c r="IR78" s="247">
        <v>283.47623114300671</v>
      </c>
      <c r="IS78" s="247">
        <v>282.59319443532962</v>
      </c>
      <c r="IT78" s="247">
        <v>281.71128557191565</v>
      </c>
      <c r="IU78" s="247">
        <v>280.83052296327725</v>
      </c>
      <c r="IV78" s="247">
        <v>279.9516332443456</v>
      </c>
      <c r="IW78" s="247">
        <v>279.07387542484355</v>
      </c>
      <c r="IX78" s="247">
        <v>278.19722377069428</v>
      </c>
      <c r="IY78" s="247">
        <v>277.3216527229892</v>
      </c>
      <c r="IZ78" s="247">
        <v>276.44713679891953</v>
      </c>
      <c r="JA78" s="247">
        <v>275.57365073306096</v>
      </c>
      <c r="JB78" s="247">
        <v>274.70116932842149</v>
      </c>
      <c r="JC78" s="247">
        <v>273.82966755471841</v>
      </c>
      <c r="JD78" s="247">
        <v>272.95912052462114</v>
      </c>
      <c r="JE78" s="247">
        <v>272.08950342258089</v>
      </c>
      <c r="JF78" s="247">
        <v>271.22079161236894</v>
      </c>
      <c r="JG78" s="247">
        <v>270.3529606018335</v>
      </c>
      <c r="JH78" s="247">
        <v>269.48671426283664</v>
      </c>
      <c r="JI78" s="247">
        <v>268.62132572392636</v>
      </c>
      <c r="JJ78" s="247">
        <v>267.75680326314927</v>
      </c>
      <c r="JK78" s="247">
        <v>266.89315501186542</v>
      </c>
      <c r="JL78" s="247">
        <v>266.03038911938177</v>
      </c>
      <c r="JM78" s="247">
        <v>265.16851363002831</v>
      </c>
      <c r="JN78" s="247">
        <v>264.30753659725741</v>
      </c>
      <c r="JO78" s="247">
        <v>263.44746593825198</v>
      </c>
      <c r="JP78" s="247">
        <v>262.58830976936775</v>
      </c>
      <c r="JQ78" s="247">
        <v>261.73007572326628</v>
      </c>
      <c r="JR78" s="247">
        <v>260.87277180140626</v>
      </c>
      <c r="JS78" s="247">
        <v>260.01640586306257</v>
      </c>
      <c r="JT78" s="247">
        <v>259.1617129632607</v>
      </c>
      <c r="JU78" s="247">
        <v>258.3079461745919</v>
      </c>
      <c r="JV78" s="247">
        <v>257.4550927449863</v>
      </c>
      <c r="JW78" s="247">
        <v>256.60314012769527</v>
      </c>
      <c r="JX78" s="247">
        <v>255.75207565713836</v>
      </c>
      <c r="JY78" s="247">
        <v>254.90188687948648</v>
      </c>
      <c r="JZ78" s="247">
        <v>254.05256138024771</v>
      </c>
      <c r="KA78" s="247">
        <v>253.20408662890102</v>
      </c>
      <c r="KB78" s="247">
        <v>252.35645030412954</v>
      </c>
      <c r="KC78" s="247">
        <v>251.50964012450552</v>
      </c>
      <c r="KD78" s="247">
        <v>250.66364385475322</v>
      </c>
      <c r="KE78" s="247">
        <v>249.81844914149303</v>
      </c>
      <c r="KF78" s="247">
        <v>248.97479630491156</v>
      </c>
      <c r="KG78" s="247">
        <v>248.13199178184152</v>
      </c>
      <c r="KH78" s="247">
        <v>247.2901009066853</v>
      </c>
      <c r="KI78" s="247">
        <v>246.44918878757898</v>
      </c>
      <c r="KJ78" s="247">
        <v>245.60931999285378</v>
      </c>
      <c r="KK78" s="247">
        <v>244.77055886949447</v>
      </c>
      <c r="KL78" s="247">
        <v>243.93296953402063</v>
      </c>
      <c r="KM78" s="247">
        <v>243.09661587817226</v>
      </c>
      <c r="KN78" s="247">
        <v>242.26156140719669</v>
      </c>
      <c r="KO78" s="247">
        <v>241.42786939145907</v>
      </c>
      <c r="KP78" s="247">
        <v>240.59560271498904</v>
      </c>
      <c r="KQ78" s="247">
        <v>239.76482433927461</v>
      </c>
      <c r="KR78" s="247">
        <v>238.93632705159928</v>
      </c>
      <c r="KS78" s="247">
        <v>238.10932733047346</v>
      </c>
      <c r="KT78" s="247">
        <v>237.28377888640364</v>
      </c>
      <c r="KU78" s="247">
        <v>236.45963561607601</v>
      </c>
      <c r="KV78" s="247">
        <v>235.63685176136917</v>
      </c>
      <c r="KW78" s="247">
        <v>234.81538160402087</v>
      </c>
      <c r="KX78" s="247">
        <v>233.99517991619649</v>
      </c>
      <c r="KY78" s="247">
        <v>233.17620151098063</v>
      </c>
      <c r="KZ78" s="247">
        <v>232.35840139184972</v>
      </c>
      <c r="LA78" s="247">
        <v>231.54173489869683</v>
      </c>
      <c r="LB78" s="247">
        <v>230.72615741233338</v>
      </c>
      <c r="LC78" s="247">
        <v>229.91162450505988</v>
      </c>
      <c r="LD78" s="247">
        <v>229.08032369984721</v>
      </c>
      <c r="LE78" s="247">
        <v>228.24994077640326</v>
      </c>
      <c r="LF78" s="247">
        <v>227.42049795353134</v>
      </c>
      <c r="LG78" s="247">
        <v>226.59201739072324</v>
      </c>
      <c r="LH78" s="247">
        <v>225.7645210590201</v>
      </c>
      <c r="LI78" s="247">
        <v>224.938031007918</v>
      </c>
      <c r="LJ78" s="247">
        <v>224.11256922379604</v>
      </c>
      <c r="LK78" s="247">
        <v>223.2881573683886</v>
      </c>
      <c r="LL78" s="247">
        <v>222.46481730671002</v>
      </c>
      <c r="LM78" s="247">
        <v>221.64257083436522</v>
      </c>
      <c r="LN78" s="247">
        <v>220.82143941723612</v>
      </c>
      <c r="LO78" s="247">
        <v>220.00144471620865</v>
      </c>
      <c r="LP78" s="247">
        <v>219.18348720927517</v>
      </c>
      <c r="LQ78" s="247">
        <v>218.36668243479448</v>
      </c>
      <c r="LR78" s="247">
        <v>217.55103092363359</v>
      </c>
      <c r="LS78" s="247">
        <v>216.73653320910773</v>
      </c>
      <c r="LT78" s="247">
        <v>215.92318996060109</v>
      </c>
      <c r="LU78" s="247">
        <v>215.11100185427438</v>
      </c>
      <c r="LV78" s="247">
        <v>214.29996956658061</v>
      </c>
      <c r="LW78" s="247">
        <v>213.49009377751392</v>
      </c>
      <c r="LX78" s="247">
        <v>212.68137529652736</v>
      </c>
      <c r="LY78" s="247">
        <v>211.87381480248297</v>
      </c>
      <c r="LZ78" s="247">
        <v>211.06741322326681</v>
      </c>
      <c r="MA78" s="247">
        <v>210.26217123430382</v>
      </c>
      <c r="MB78" s="247">
        <v>209.43975694696894</v>
      </c>
      <c r="MC78" s="247">
        <v>208.61838303197644</v>
      </c>
      <c r="MD78" s="247">
        <v>207.7980490812117</v>
      </c>
      <c r="ME78" s="247">
        <v>206.97875467095653</v>
      </c>
      <c r="MF78" s="247">
        <v>206.16049959260832</v>
      </c>
      <c r="MG78" s="247">
        <v>205.34328351352994</v>
      </c>
      <c r="MH78" s="247">
        <v>204.52710608357242</v>
      </c>
      <c r="MI78" s="247">
        <v>203.71196716031881</v>
      </c>
      <c r="MJ78" s="247">
        <v>202.89786647454144</v>
      </c>
      <c r="MK78" s="247">
        <v>202.08480384406141</v>
      </c>
      <c r="ML78" s="247">
        <v>201.27277917586241</v>
      </c>
      <c r="MM78" s="247">
        <v>200.46179235432675</v>
      </c>
      <c r="MN78" s="247">
        <v>199.65285302128274</v>
      </c>
      <c r="MO78" s="247">
        <v>198.8449413867223</v>
      </c>
      <c r="MP78" s="247">
        <v>198.0380528961486</v>
      </c>
      <c r="MQ78" s="247">
        <v>197.23218289944774</v>
      </c>
      <c r="MR78" s="247">
        <v>196.42732708818181</v>
      </c>
      <c r="MS78" s="247">
        <v>195.62348095498544</v>
      </c>
      <c r="MT78" s="247">
        <v>194.82064010918975</v>
      </c>
      <c r="MU78" s="247">
        <v>194.01880027997328</v>
      </c>
      <c r="MV78" s="247">
        <v>193.21795710195769</v>
      </c>
      <c r="MW78" s="247">
        <v>192.41810621499866</v>
      </c>
      <c r="MX78" s="247">
        <v>191.61924358098085</v>
      </c>
      <c r="MY78" s="247">
        <v>190.82136485325904</v>
      </c>
    </row>
    <row r="79" spans="1:363" ht="15.6" x14ac:dyDescent="0.3">
      <c r="A79" s="67" t="s">
        <v>7</v>
      </c>
      <c r="B79" s="72">
        <v>2089</v>
      </c>
      <c r="C79" s="247">
        <v>528.36480556959816</v>
      </c>
      <c r="D79" s="247">
        <v>527.33609189023412</v>
      </c>
      <c r="E79" s="247">
        <v>526.30738299667439</v>
      </c>
      <c r="F79" s="247">
        <v>525.27867967944599</v>
      </c>
      <c r="G79" s="247">
        <v>524.24998275888129</v>
      </c>
      <c r="H79" s="247">
        <v>523.22129304927796</v>
      </c>
      <c r="I79" s="247">
        <v>522.19261136009345</v>
      </c>
      <c r="J79" s="247">
        <v>521.16393848801215</v>
      </c>
      <c r="K79" s="247">
        <v>520.13527524563392</v>
      </c>
      <c r="L79" s="247">
        <v>519.10662245975504</v>
      </c>
      <c r="M79" s="247">
        <v>518.07798092969347</v>
      </c>
      <c r="N79" s="247">
        <v>517.04935148285699</v>
      </c>
      <c r="O79" s="247">
        <v>516.02073492143313</v>
      </c>
      <c r="P79" s="247">
        <v>514.99175944068872</v>
      </c>
      <c r="Q79" s="247">
        <v>513.96278626944388</v>
      </c>
      <c r="R79" s="247">
        <v>512.93381589131695</v>
      </c>
      <c r="S79" s="247">
        <v>511.90484881788223</v>
      </c>
      <c r="T79" s="247">
        <v>510.87588553602137</v>
      </c>
      <c r="U79" s="247">
        <v>509.84692654557614</v>
      </c>
      <c r="V79" s="247">
        <v>508.81797235788326</v>
      </c>
      <c r="W79" s="247">
        <v>507.78902345574772</v>
      </c>
      <c r="X79" s="247">
        <v>506.76008035818387</v>
      </c>
      <c r="Y79" s="247">
        <v>505.7311435720157</v>
      </c>
      <c r="Z79" s="247">
        <v>504.70221359812234</v>
      </c>
      <c r="AA79" s="247">
        <v>503.67329096098342</v>
      </c>
      <c r="AB79" s="247">
        <v>502.64403420101371</v>
      </c>
      <c r="AC79" s="247">
        <v>501.61477418026459</v>
      </c>
      <c r="AD79" s="247">
        <v>500.58551113031268</v>
      </c>
      <c r="AE79" s="247">
        <v>499.5562453182003</v>
      </c>
      <c r="AF79" s="247">
        <v>498.52697697857565</v>
      </c>
      <c r="AG79" s="247">
        <v>497.49770638651529</v>
      </c>
      <c r="AH79" s="247">
        <v>496.46843376874267</v>
      </c>
      <c r="AI79" s="247">
        <v>495.43915941858398</v>
      </c>
      <c r="AJ79" s="247">
        <v>494.40988356371417</v>
      </c>
      <c r="AK79" s="247">
        <v>493.38060651237123</v>
      </c>
      <c r="AL79" s="247">
        <v>492.35132850942642</v>
      </c>
      <c r="AM79" s="247">
        <v>491.32204984287137</v>
      </c>
      <c r="AN79" s="247">
        <v>490.29344557056379</v>
      </c>
      <c r="AO79" s="247">
        <v>489.26483572931926</v>
      </c>
      <c r="AP79" s="247">
        <v>488.23622177896272</v>
      </c>
      <c r="AQ79" s="247">
        <v>487.20760512772648</v>
      </c>
      <c r="AR79" s="247">
        <v>486.17898720335904</v>
      </c>
      <c r="AS79" s="247">
        <v>485.15036945617425</v>
      </c>
      <c r="AT79" s="247">
        <v>484.12175328078274</v>
      </c>
      <c r="AU79" s="247">
        <v>483.09314010093817</v>
      </c>
      <c r="AV79" s="247">
        <v>482.06453132626382</v>
      </c>
      <c r="AW79" s="247">
        <v>481.03592837031567</v>
      </c>
      <c r="AX79" s="247">
        <v>480.00733264434677</v>
      </c>
      <c r="AY79" s="247">
        <v>478.97874555575277</v>
      </c>
      <c r="AZ79" s="247">
        <v>477.95084893343051</v>
      </c>
      <c r="BA79" s="247">
        <v>476.9229550543032</v>
      </c>
      <c r="BB79" s="247">
        <v>475.89506326289217</v>
      </c>
      <c r="BC79" s="247">
        <v>474.8671728944895</v>
      </c>
      <c r="BD79" s="247">
        <v>473.83928329762273</v>
      </c>
      <c r="BE79" s="247">
        <v>472.81139382764371</v>
      </c>
      <c r="BF79" s="247">
        <v>471.78350385523146</v>
      </c>
      <c r="BG79" s="247">
        <v>470.75561275487371</v>
      </c>
      <c r="BH79" s="247">
        <v>469.72771990976122</v>
      </c>
      <c r="BI79" s="247">
        <v>468.69982471061996</v>
      </c>
      <c r="BJ79" s="247">
        <v>467.67192654965754</v>
      </c>
      <c r="BK79" s="247">
        <v>466.64402485685639</v>
      </c>
      <c r="BL79" s="247">
        <v>465.61799399588563</v>
      </c>
      <c r="BM79" s="247">
        <v>464.59196200487702</v>
      </c>
      <c r="BN79" s="247">
        <v>463.56593451111587</v>
      </c>
      <c r="BO79" s="247">
        <v>462.53991711032126</v>
      </c>
      <c r="BP79" s="247">
        <v>461.5139154101746</v>
      </c>
      <c r="BQ79" s="247">
        <v>460.48793496238056</v>
      </c>
      <c r="BR79" s="247">
        <v>459.46198127215928</v>
      </c>
      <c r="BS79" s="247">
        <v>458.43605983605988</v>
      </c>
      <c r="BT79" s="247">
        <v>457.41017609675123</v>
      </c>
      <c r="BU79" s="247">
        <v>456.38433551275779</v>
      </c>
      <c r="BV79" s="247">
        <v>455.35854348062458</v>
      </c>
      <c r="BW79" s="247">
        <v>454.33280535438723</v>
      </c>
      <c r="BX79" s="247">
        <v>453.30921118783232</v>
      </c>
      <c r="BY79" s="247">
        <v>452.28567663292051</v>
      </c>
      <c r="BZ79" s="247">
        <v>451.26219885263708</v>
      </c>
      <c r="CA79" s="247">
        <v>450.23877500145949</v>
      </c>
      <c r="CB79" s="247">
        <v>449.21540226079088</v>
      </c>
      <c r="CC79" s="247">
        <v>448.19207784238284</v>
      </c>
      <c r="CD79" s="247">
        <v>447.16879896585965</v>
      </c>
      <c r="CE79" s="247">
        <v>446.14556287743505</v>
      </c>
      <c r="CF79" s="247">
        <v>445.12236684467041</v>
      </c>
      <c r="CG79" s="247">
        <v>444.09920815650952</v>
      </c>
      <c r="CH79" s="247">
        <v>443.07608411443027</v>
      </c>
      <c r="CI79" s="247">
        <v>442.05299205336189</v>
      </c>
      <c r="CJ79" s="247">
        <v>441.03402909279754</v>
      </c>
      <c r="CK79" s="247">
        <v>440.01510616433018</v>
      </c>
      <c r="CL79" s="247">
        <v>438.99622611885013</v>
      </c>
      <c r="CM79" s="247">
        <v>437.97739173017032</v>
      </c>
      <c r="CN79" s="247">
        <v>436.95860579791344</v>
      </c>
      <c r="CO79" s="247">
        <v>435.93987108942542</v>
      </c>
      <c r="CP79" s="247">
        <v>434.92119036400135</v>
      </c>
      <c r="CQ79" s="247">
        <v>433.90256635565754</v>
      </c>
      <c r="CR79" s="247">
        <v>432.88400178053303</v>
      </c>
      <c r="CS79" s="247">
        <v>431.86549937444727</v>
      </c>
      <c r="CT79" s="247">
        <v>430.84706181941186</v>
      </c>
      <c r="CU79" s="247">
        <v>429.82869180595918</v>
      </c>
      <c r="CV79" s="247">
        <v>428.81540396028845</v>
      </c>
      <c r="CW79" s="247">
        <v>427.80220292266063</v>
      </c>
      <c r="CX79" s="247">
        <v>426.78908945133099</v>
      </c>
      <c r="CY79" s="247">
        <v>425.77606431927097</v>
      </c>
      <c r="CZ79" s="247">
        <v>424.76312828492456</v>
      </c>
      <c r="DA79" s="247">
        <v>423.75028208438522</v>
      </c>
      <c r="DB79" s="247">
        <v>422.73752648932447</v>
      </c>
      <c r="DC79" s="247">
        <v>421.72486225586493</v>
      </c>
      <c r="DD79" s="247">
        <v>420.71229010508466</v>
      </c>
      <c r="DE79" s="247">
        <v>419.69981079648215</v>
      </c>
      <c r="DF79" s="247">
        <v>418.68742505576279</v>
      </c>
      <c r="DG79" s="247">
        <v>417.67513361911131</v>
      </c>
      <c r="DH79" s="247">
        <v>416.66911077445525</v>
      </c>
      <c r="DI79" s="247">
        <v>415.66321141413255</v>
      </c>
      <c r="DJ79" s="247">
        <v>414.65744329979577</v>
      </c>
      <c r="DK79" s="247">
        <v>413.65181421097088</v>
      </c>
      <c r="DL79" s="247">
        <v>412.64633182238759</v>
      </c>
      <c r="DM79" s="247">
        <v>411.64100381569267</v>
      </c>
      <c r="DN79" s="247">
        <v>410.63583774294369</v>
      </c>
      <c r="DO79" s="247">
        <v>409.63084120366017</v>
      </c>
      <c r="DP79" s="247">
        <v>408.62602165273654</v>
      </c>
      <c r="DQ79" s="247">
        <v>407.62138653759882</v>
      </c>
      <c r="DR79" s="247">
        <v>406.61694324706644</v>
      </c>
      <c r="DS79" s="247">
        <v>405.61269916285045</v>
      </c>
      <c r="DT79" s="247">
        <v>404.61637522565002</v>
      </c>
      <c r="DU79" s="247">
        <v>403.62031064032868</v>
      </c>
      <c r="DV79" s="247">
        <v>402.6245160280065</v>
      </c>
      <c r="DW79" s="247">
        <v>401.62900187554953</v>
      </c>
      <c r="DX79" s="247">
        <v>400.63377862845346</v>
      </c>
      <c r="DY79" s="247">
        <v>399.63885666404684</v>
      </c>
      <c r="DZ79" s="247">
        <v>398.64424627027665</v>
      </c>
      <c r="EA79" s="247">
        <v>397.64995769377873</v>
      </c>
      <c r="EB79" s="247">
        <v>396.65600109322702</v>
      </c>
      <c r="EC79" s="247">
        <v>395.66238654228073</v>
      </c>
      <c r="ED79" s="247">
        <v>394.66912404838922</v>
      </c>
      <c r="EE79" s="247">
        <v>393.67622355436811</v>
      </c>
      <c r="EF79" s="247">
        <v>392.69357192653786</v>
      </c>
      <c r="EG79" s="247">
        <v>391.71136134221746</v>
      </c>
      <c r="EH79" s="247">
        <v>390.72958661525354</v>
      </c>
      <c r="EI79" s="247">
        <v>389.74824273534296</v>
      </c>
      <c r="EJ79" s="247">
        <v>388.76732460521725</v>
      </c>
      <c r="EK79" s="247">
        <v>387.78682721777562</v>
      </c>
      <c r="EL79" s="247">
        <v>386.80674558533144</v>
      </c>
      <c r="EM79" s="247">
        <v>385.82707468036773</v>
      </c>
      <c r="EN79" s="247">
        <v>384.84780961021346</v>
      </c>
      <c r="EO79" s="247">
        <v>383.86894541500988</v>
      </c>
      <c r="EP79" s="247">
        <v>382.8904772034079</v>
      </c>
      <c r="EQ79" s="247">
        <v>381.91240010871599</v>
      </c>
      <c r="ER79" s="247">
        <v>380.94113013255685</v>
      </c>
      <c r="ES79" s="247">
        <v>379.9702874817051</v>
      </c>
      <c r="ET79" s="247">
        <v>378.99987984287947</v>
      </c>
      <c r="EU79" s="247">
        <v>378.02991506378476</v>
      </c>
      <c r="EV79" s="247">
        <v>377.06040075005802</v>
      </c>
      <c r="EW79" s="247">
        <v>376.09134455207618</v>
      </c>
      <c r="EX79" s="247">
        <v>375.12275401681018</v>
      </c>
      <c r="EY79" s="247">
        <v>374.15463664506024</v>
      </c>
      <c r="EZ79" s="247">
        <v>373.18699988486998</v>
      </c>
      <c r="FA79" s="247">
        <v>372.2198511090877</v>
      </c>
      <c r="FB79" s="247">
        <v>371.25319766348275</v>
      </c>
      <c r="FC79" s="247">
        <v>370.28704682007293</v>
      </c>
      <c r="FD79" s="247">
        <v>369.32207928050798</v>
      </c>
      <c r="FE79" s="247">
        <v>368.35762117738562</v>
      </c>
      <c r="FF79" s="247">
        <v>367.39367904180574</v>
      </c>
      <c r="FG79" s="247">
        <v>366.43025935032171</v>
      </c>
      <c r="FH79" s="247">
        <v>365.46736848796337</v>
      </c>
      <c r="FI79" s="247">
        <v>364.50501286170112</v>
      </c>
      <c r="FJ79" s="247">
        <v>363.5431987796897</v>
      </c>
      <c r="FK79" s="247">
        <v>362.58193250731938</v>
      </c>
      <c r="FL79" s="247">
        <v>361.62122026058677</v>
      </c>
      <c r="FM79" s="247">
        <v>360.6610681843249</v>
      </c>
      <c r="FN79" s="247">
        <v>359.70148239905529</v>
      </c>
      <c r="FO79" s="247">
        <v>358.74246895558196</v>
      </c>
      <c r="FP79" s="247">
        <v>357.78471142529889</v>
      </c>
      <c r="FQ79" s="247">
        <v>356.82753201131516</v>
      </c>
      <c r="FR79" s="247">
        <v>355.87093730502147</v>
      </c>
      <c r="FS79" s="247">
        <v>354.91493392814959</v>
      </c>
      <c r="FT79" s="247">
        <v>353.95952835926562</v>
      </c>
      <c r="FU79" s="247">
        <v>353.0047270901436</v>
      </c>
      <c r="FV79" s="247">
        <v>352.05053655349457</v>
      </c>
      <c r="FW79" s="247">
        <v>351.09696306423217</v>
      </c>
      <c r="FX79" s="247">
        <v>350.14401297150857</v>
      </c>
      <c r="FY79" s="247">
        <v>349.19169247913322</v>
      </c>
      <c r="FZ79" s="247">
        <v>348.24000784900443</v>
      </c>
      <c r="GA79" s="247">
        <v>347.28896522174733</v>
      </c>
      <c r="GB79" s="247">
        <v>346.33925460517435</v>
      </c>
      <c r="GC79" s="247">
        <v>345.39020612449428</v>
      </c>
      <c r="GD79" s="247">
        <v>344.44184059748812</v>
      </c>
      <c r="GE79" s="247">
        <v>343.49417874788918</v>
      </c>
      <c r="GF79" s="247">
        <v>342.54724108133939</v>
      </c>
      <c r="GG79" s="247">
        <v>341.60104801530065</v>
      </c>
      <c r="GH79" s="247">
        <v>340.65561980874037</v>
      </c>
      <c r="GI79" s="247">
        <v>339.7109765929988</v>
      </c>
      <c r="GJ79" s="247">
        <v>338.76713834399266</v>
      </c>
      <c r="GK79" s="247">
        <v>337.82412488289862</v>
      </c>
      <c r="GL79" s="247">
        <v>336.88195589953477</v>
      </c>
      <c r="GM79" s="247">
        <v>335.94065097394366</v>
      </c>
      <c r="GN79" s="247">
        <v>335.00091144049026</v>
      </c>
      <c r="GO79" s="247">
        <v>334.06204472469977</v>
      </c>
      <c r="GP79" s="247">
        <v>333.12404713726994</v>
      </c>
      <c r="GQ79" s="247">
        <v>332.18691499545668</v>
      </c>
      <c r="GR79" s="247">
        <v>331.2506446312907</v>
      </c>
      <c r="GS79" s="247">
        <v>330.31523236781214</v>
      </c>
      <c r="GT79" s="247">
        <v>329.38067455736729</v>
      </c>
      <c r="GU79" s="247">
        <v>328.44696759021218</v>
      </c>
      <c r="GV79" s="247">
        <v>327.51410780364495</v>
      </c>
      <c r="GW79" s="247">
        <v>326.58209158834171</v>
      </c>
      <c r="GX79" s="247">
        <v>325.65091534732363</v>
      </c>
      <c r="GY79" s="247">
        <v>324.72057553775926</v>
      </c>
      <c r="GZ79" s="247">
        <v>323.79176355416547</v>
      </c>
      <c r="HA79" s="247">
        <v>322.86380125009896</v>
      </c>
      <c r="HB79" s="247">
        <v>321.9367123644048</v>
      </c>
      <c r="HC79" s="247">
        <v>321.01052034779104</v>
      </c>
      <c r="HD79" s="247">
        <v>320.08524855823947</v>
      </c>
      <c r="HE79" s="247">
        <v>319.16092017554843</v>
      </c>
      <c r="HF79" s="247">
        <v>318.23755827953852</v>
      </c>
      <c r="HG79" s="247">
        <v>317.31518571520212</v>
      </c>
      <c r="HH79" s="247">
        <v>316.39382525030101</v>
      </c>
      <c r="HI79" s="247">
        <v>315.4734994942205</v>
      </c>
      <c r="HJ79" s="247">
        <v>314.55423083854896</v>
      </c>
      <c r="HK79" s="247">
        <v>313.63604161989105</v>
      </c>
      <c r="HL79" s="247">
        <v>312.71964222350243</v>
      </c>
      <c r="HM79" s="247">
        <v>311.80431602099441</v>
      </c>
      <c r="HN79" s="247">
        <v>310.89004161846418</v>
      </c>
      <c r="HO79" s="247">
        <v>309.97679778587951</v>
      </c>
      <c r="HP79" s="247">
        <v>309.06456336585808</v>
      </c>
      <c r="HQ79" s="247">
        <v>308.15331739024589</v>
      </c>
      <c r="HR79" s="247">
        <v>307.24303893661471</v>
      </c>
      <c r="HS79" s="247">
        <v>306.3337072358201</v>
      </c>
      <c r="HT79" s="247">
        <v>305.42530164588612</v>
      </c>
      <c r="HU79" s="247">
        <v>304.51780161300434</v>
      </c>
      <c r="HV79" s="247">
        <v>303.61118673129965</v>
      </c>
      <c r="HW79" s="247">
        <v>302.70543664573927</v>
      </c>
      <c r="HX79" s="247">
        <v>301.8012370711013</v>
      </c>
      <c r="HY79" s="247">
        <v>300.89788423967178</v>
      </c>
      <c r="HZ79" s="247">
        <v>299.9953870855</v>
      </c>
      <c r="IA79" s="247">
        <v>299.09375448665992</v>
      </c>
      <c r="IB79" s="247">
        <v>298.1929952544711</v>
      </c>
      <c r="IC79" s="247">
        <v>297.29311813110337</v>
      </c>
      <c r="ID79" s="247">
        <v>296.39413184226726</v>
      </c>
      <c r="IE79" s="247">
        <v>295.4960450100142</v>
      </c>
      <c r="IF79" s="247">
        <v>294.59886620408838</v>
      </c>
      <c r="IG79" s="247">
        <v>293.70260394204485</v>
      </c>
      <c r="IH79" s="247">
        <v>292.80726669015286</v>
      </c>
      <c r="II79" s="247">
        <v>291.91286286364857</v>
      </c>
      <c r="IJ79" s="247">
        <v>291.02010969740837</v>
      </c>
      <c r="IK79" s="247">
        <v>290.12831090097762</v>
      </c>
      <c r="IL79" s="247">
        <v>289.2374858550624</v>
      </c>
      <c r="IM79" s="247">
        <v>288.3476537434081</v>
      </c>
      <c r="IN79" s="247">
        <v>287.45883367331379</v>
      </c>
      <c r="IO79" s="247">
        <v>286.57104470958103</v>
      </c>
      <c r="IP79" s="247">
        <v>285.68430570328042</v>
      </c>
      <c r="IQ79" s="247">
        <v>284.79863541119869</v>
      </c>
      <c r="IR79" s="247">
        <v>283.91405256286538</v>
      </c>
      <c r="IS79" s="247">
        <v>283.03057571368646</v>
      </c>
      <c r="IT79" s="247">
        <v>282.14822331938518</v>
      </c>
      <c r="IU79" s="247">
        <v>281.26701373617061</v>
      </c>
      <c r="IV79" s="247">
        <v>280.38767151427584</v>
      </c>
      <c r="IW79" s="247">
        <v>279.50945780960245</v>
      </c>
      <c r="IX79" s="247">
        <v>278.63234698573808</v>
      </c>
      <c r="IY79" s="247">
        <v>277.7563135806929</v>
      </c>
      <c r="IZ79" s="247">
        <v>276.88133220822158</v>
      </c>
      <c r="JA79" s="247">
        <v>276.00737769857898</v>
      </c>
      <c r="JB79" s="247">
        <v>275.13442495010764</v>
      </c>
      <c r="JC79" s="247">
        <v>274.26244902718088</v>
      </c>
      <c r="JD79" s="247">
        <v>273.39142513654144</v>
      </c>
      <c r="JE79" s="247">
        <v>272.52132855635688</v>
      </c>
      <c r="JF79" s="247">
        <v>271.65213474341823</v>
      </c>
      <c r="JG79" s="247">
        <v>270.78381929801407</v>
      </c>
      <c r="JH79" s="247">
        <v>269.917084096601</v>
      </c>
      <c r="JI79" s="247">
        <v>269.0512043519953</v>
      </c>
      <c r="JJ79" s="247">
        <v>268.18618832207233</v>
      </c>
      <c r="JK79" s="247">
        <v>267.32204411864581</v>
      </c>
      <c r="JL79" s="247">
        <v>266.45877987158502</v>
      </c>
      <c r="JM79" s="247">
        <v>265.59640360626889</v>
      </c>
      <c r="JN79" s="247">
        <v>264.73492335730487</v>
      </c>
      <c r="JO79" s="247">
        <v>263.87434702364737</v>
      </c>
      <c r="JP79" s="247">
        <v>263.0146827029015</v>
      </c>
      <c r="JQ79" s="247">
        <v>262.15593801075022</v>
      </c>
      <c r="JR79" s="247">
        <v>261.29812093058831</v>
      </c>
      <c r="JS79" s="247">
        <v>260.44123930425519</v>
      </c>
      <c r="JT79" s="247">
        <v>259.58602609518209</v>
      </c>
      <c r="JU79" s="247">
        <v>258.73173651932689</v>
      </c>
      <c r="JV79" s="247">
        <v>257.87835787629558</v>
      </c>
      <c r="JW79" s="247">
        <v>257.02587767031059</v>
      </c>
      <c r="JX79" s="247">
        <v>256.17428328718267</v>
      </c>
      <c r="JY79" s="247">
        <v>255.3235623237475</v>
      </c>
      <c r="JZ79" s="247">
        <v>254.47370241604526</v>
      </c>
      <c r="KA79" s="247">
        <v>253.62469108449326</v>
      </c>
      <c r="KB79" s="247">
        <v>252.77651605802419</v>
      </c>
      <c r="KC79" s="247">
        <v>251.92916510533126</v>
      </c>
      <c r="KD79" s="247">
        <v>251.08262604112957</v>
      </c>
      <c r="KE79" s="247">
        <v>250.23688656245116</v>
      </c>
      <c r="KF79" s="247">
        <v>249.39268488675376</v>
      </c>
      <c r="KG79" s="247">
        <v>248.54932940950349</v>
      </c>
      <c r="KH79" s="247">
        <v>247.70688525640321</v>
      </c>
      <c r="KI79" s="247">
        <v>246.86541732817594</v>
      </c>
      <c r="KJ79" s="247">
        <v>246.02498998810495</v>
      </c>
      <c r="KK79" s="247">
        <v>245.18566737938318</v>
      </c>
      <c r="KL79" s="247">
        <v>244.34751341602762</v>
      </c>
      <c r="KM79" s="247">
        <v>243.51059178854891</v>
      </c>
      <c r="KN79" s="247">
        <v>242.6749658027625</v>
      </c>
      <c r="KO79" s="247">
        <v>241.8406985308691</v>
      </c>
      <c r="KP79" s="247">
        <v>241.00785266050843</v>
      </c>
      <c r="KQ79" s="247">
        <v>240.17649095700816</v>
      </c>
      <c r="KR79" s="247">
        <v>239.34740393746611</v>
      </c>
      <c r="KS79" s="247">
        <v>238.5198103369884</v>
      </c>
      <c r="KT79" s="247">
        <v>237.69366402949436</v>
      </c>
      <c r="KU79" s="247">
        <v>236.86891907418692</v>
      </c>
      <c r="KV79" s="247">
        <v>236.04552987410054</v>
      </c>
      <c r="KW79" s="247">
        <v>235.22345087173684</v>
      </c>
      <c r="KX79" s="247">
        <v>234.40263699818107</v>
      </c>
      <c r="KY79" s="247">
        <v>233.58304322508639</v>
      </c>
      <c r="KZ79" s="247">
        <v>232.76462471366921</v>
      </c>
      <c r="LA79" s="247">
        <v>231.94733696024829</v>
      </c>
      <c r="LB79" s="247">
        <v>231.13113550174455</v>
      </c>
      <c r="LC79" s="247">
        <v>230.3159760657617</v>
      </c>
      <c r="LD79" s="247">
        <v>229.48390133612585</v>
      </c>
      <c r="LE79" s="247">
        <v>228.6527412790181</v>
      </c>
      <c r="LF79" s="247">
        <v>227.82251802673838</v>
      </c>
      <c r="LG79" s="247">
        <v>226.99325365265125</v>
      </c>
      <c r="LH79" s="247">
        <v>226.16497004264102</v>
      </c>
      <c r="LI79" s="247">
        <v>225.33768916084128</v>
      </c>
      <c r="LJ79" s="247">
        <v>224.51143290866548</v>
      </c>
      <c r="LK79" s="247">
        <v>223.68622286440166</v>
      </c>
      <c r="LL79" s="247">
        <v>222.86208080889506</v>
      </c>
      <c r="LM79" s="247">
        <v>222.03902845398929</v>
      </c>
      <c r="LN79" s="247">
        <v>221.21708718333221</v>
      </c>
      <c r="LO79" s="247">
        <v>220.3962785748808</v>
      </c>
      <c r="LP79" s="247">
        <v>219.57749920849346</v>
      </c>
      <c r="LQ79" s="247">
        <v>218.7598684495064</v>
      </c>
      <c r="LR79" s="247">
        <v>217.94338683446992</v>
      </c>
      <c r="LS79" s="247">
        <v>217.12805490236997</v>
      </c>
      <c r="LT79" s="247">
        <v>216.31387332773409</v>
      </c>
      <c r="LU79" s="247">
        <v>215.50084279184716</v>
      </c>
      <c r="LV79" s="247">
        <v>214.68896397629683</v>
      </c>
      <c r="LW79" s="247">
        <v>213.87823756623112</v>
      </c>
      <c r="LX79" s="247">
        <v>213.06866437574379</v>
      </c>
      <c r="LY79" s="247">
        <v>212.26024508889645</v>
      </c>
      <c r="LZ79" s="247">
        <v>211.45298063776767</v>
      </c>
      <c r="MA79" s="247">
        <v>210.64687170306627</v>
      </c>
      <c r="MB79" s="247">
        <v>209.82345253914164</v>
      </c>
      <c r="MC79" s="247">
        <v>209.00106898788212</v>
      </c>
      <c r="MD79" s="247">
        <v>208.17972064907227</v>
      </c>
      <c r="ME79" s="247">
        <v>207.3594071069264</v>
      </c>
      <c r="MF79" s="247">
        <v>206.5401281596653</v>
      </c>
      <c r="MG79" s="247">
        <v>205.7218834820884</v>
      </c>
      <c r="MH79" s="247">
        <v>204.90467273154428</v>
      </c>
      <c r="MI79" s="247">
        <v>204.08849577202923</v>
      </c>
      <c r="MJ79" s="247">
        <v>203.27335234137942</v>
      </c>
      <c r="MK79" s="247">
        <v>202.4592422639943</v>
      </c>
      <c r="ML79" s="247">
        <v>201.64616545297201</v>
      </c>
      <c r="MM79" s="247">
        <v>200.83412179891968</v>
      </c>
      <c r="MN79" s="247">
        <v>200.02411499850814</v>
      </c>
      <c r="MO79" s="247">
        <v>199.21513123194447</v>
      </c>
      <c r="MP79" s="247">
        <v>198.40716597295642</v>
      </c>
      <c r="MQ79" s="247">
        <v>197.60021460009312</v>
      </c>
      <c r="MR79" s="247">
        <v>196.79427283181772</v>
      </c>
      <c r="MS79" s="247">
        <v>195.98933618865223</v>
      </c>
      <c r="MT79" s="247">
        <v>195.18540030718137</v>
      </c>
      <c r="MU79" s="247">
        <v>194.38246094320749</v>
      </c>
      <c r="MV79" s="247">
        <v>193.58051375845514</v>
      </c>
      <c r="MW79" s="247">
        <v>192.77955441981905</v>
      </c>
      <c r="MX79" s="247">
        <v>191.97957891456443</v>
      </c>
      <c r="MY79" s="247">
        <v>191.18058292300779</v>
      </c>
    </row>
    <row r="80" spans="1:363" ht="15.6" x14ac:dyDescent="0.3">
      <c r="A80" s="67" t="s">
        <v>7</v>
      </c>
      <c r="B80" s="72">
        <v>2090</v>
      </c>
      <c r="C80" s="247">
        <v>528.84917662256794</v>
      </c>
      <c r="D80" s="247">
        <v>527.82042035877737</v>
      </c>
      <c r="E80" s="247">
        <v>526.79166827998552</v>
      </c>
      <c r="F80" s="247">
        <v>525.76292117310675</v>
      </c>
      <c r="G80" s="247">
        <v>524.73417985436731</v>
      </c>
      <c r="H80" s="247">
        <v>523.70544513421169</v>
      </c>
      <c r="I80" s="247">
        <v>522.67671781835975</v>
      </c>
      <c r="J80" s="247">
        <v>521.64799869997876</v>
      </c>
      <c r="K80" s="247">
        <v>520.61928858807323</v>
      </c>
      <c r="L80" s="247">
        <v>519.59058830568324</v>
      </c>
      <c r="M80" s="247">
        <v>518.56189864888199</v>
      </c>
      <c r="N80" s="247">
        <v>517.53322044149616</v>
      </c>
      <c r="O80" s="247">
        <v>516.5045544826296</v>
      </c>
      <c r="P80" s="247">
        <v>515.47552790206316</v>
      </c>
      <c r="Q80" s="247">
        <v>514.44650300854744</v>
      </c>
      <c r="R80" s="247">
        <v>513.41748028684469</v>
      </c>
      <c r="S80" s="247">
        <v>512.38846024919133</v>
      </c>
      <c r="T80" s="247">
        <v>511.35944338367756</v>
      </c>
      <c r="U80" s="247">
        <v>510.33043019119373</v>
      </c>
      <c r="V80" s="247">
        <v>509.30142118397475</v>
      </c>
      <c r="W80" s="247">
        <v>508.27241684632827</v>
      </c>
      <c r="X80" s="247">
        <v>507.24341769827043</v>
      </c>
      <c r="Y80" s="247">
        <v>506.21442424789626</v>
      </c>
      <c r="Z80" s="247">
        <v>505.18543699755543</v>
      </c>
      <c r="AA80" s="247">
        <v>504.1564564729336</v>
      </c>
      <c r="AB80" s="247">
        <v>503.12714087402475</v>
      </c>
      <c r="AC80" s="247">
        <v>502.09782142833058</v>
      </c>
      <c r="AD80" s="247">
        <v>501.06849837300024</v>
      </c>
      <c r="AE80" s="247">
        <v>500.03917197998339</v>
      </c>
      <c r="AF80" s="247">
        <v>499.00984248956581</v>
      </c>
      <c r="AG80" s="247">
        <v>497.98051018180502</v>
      </c>
      <c r="AH80" s="247">
        <v>496.95117528926471</v>
      </c>
      <c r="AI80" s="247">
        <v>495.92183811013331</v>
      </c>
      <c r="AJ80" s="247">
        <v>494.89249887814242</v>
      </c>
      <c r="AK80" s="247">
        <v>493.86315790628828</v>
      </c>
      <c r="AL80" s="247">
        <v>492.8338154453885</v>
      </c>
      <c r="AM80" s="247">
        <v>491.80447178875983</v>
      </c>
      <c r="AN80" s="247">
        <v>490.77579604298523</v>
      </c>
      <c r="AO80" s="247">
        <v>489.74711418057024</v>
      </c>
      <c r="AP80" s="247">
        <v>488.71842764601053</v>
      </c>
      <c r="AQ80" s="247">
        <v>487.68973783303949</v>
      </c>
      <c r="AR80" s="247">
        <v>486.66104615475132</v>
      </c>
      <c r="AS80" s="247">
        <v>485.63235404646639</v>
      </c>
      <c r="AT80" s="247">
        <v>484.60366288878652</v>
      </c>
      <c r="AU80" s="247">
        <v>483.5749740911246</v>
      </c>
      <c r="AV80" s="247">
        <v>482.5462890490856</v>
      </c>
      <c r="AW80" s="247">
        <v>481.5176091622252</v>
      </c>
      <c r="AX80" s="247">
        <v>480.48893582794244</v>
      </c>
      <c r="AY80" s="247">
        <v>479.46027043997066</v>
      </c>
      <c r="AZ80" s="247">
        <v>478.43228881078625</v>
      </c>
      <c r="BA80" s="247">
        <v>477.40430923494779</v>
      </c>
      <c r="BB80" s="247">
        <v>476.37633107771268</v>
      </c>
      <c r="BC80" s="247">
        <v>475.34835369520601</v>
      </c>
      <c r="BD80" s="247">
        <v>474.32037645672864</v>
      </c>
      <c r="BE80" s="247">
        <v>473.29239873832171</v>
      </c>
      <c r="BF80" s="247">
        <v>472.26441993112246</v>
      </c>
      <c r="BG80" s="247">
        <v>471.23643943015691</v>
      </c>
      <c r="BH80" s="247">
        <v>470.20845663907733</v>
      </c>
      <c r="BI80" s="247">
        <v>469.18047096901506</v>
      </c>
      <c r="BJ80" s="247">
        <v>468.15248183265936</v>
      </c>
      <c r="BK80" s="247">
        <v>467.12448867993629</v>
      </c>
      <c r="BL80" s="247">
        <v>466.09835351676361</v>
      </c>
      <c r="BM80" s="247">
        <v>465.0722166521382</v>
      </c>
      <c r="BN80" s="247">
        <v>464.0460836324213</v>
      </c>
      <c r="BO80" s="247">
        <v>463.01995997289714</v>
      </c>
      <c r="BP80" s="247">
        <v>461.99385120080791</v>
      </c>
      <c r="BQ80" s="247">
        <v>460.96776278839218</v>
      </c>
      <c r="BR80" s="247">
        <v>459.94170016220028</v>
      </c>
      <c r="BS80" s="247">
        <v>458.91566874043434</v>
      </c>
      <c r="BT80" s="247">
        <v>457.88967388837608</v>
      </c>
      <c r="BU80" s="247">
        <v>456.86372098702122</v>
      </c>
      <c r="BV80" s="247">
        <v>455.83781535650127</v>
      </c>
      <c r="BW80" s="247">
        <v>454.81196227526198</v>
      </c>
      <c r="BX80" s="247">
        <v>453.78823982100459</v>
      </c>
      <c r="BY80" s="247">
        <v>452.76457555198544</v>
      </c>
      <c r="BZ80" s="247">
        <v>451.74096668224331</v>
      </c>
      <c r="CA80" s="247">
        <v>450.71741041737562</v>
      </c>
      <c r="CB80" s="247">
        <v>449.69390398964225</v>
      </c>
      <c r="CC80" s="247">
        <v>448.67044466121263</v>
      </c>
      <c r="CD80" s="247">
        <v>447.64702970202597</v>
      </c>
      <c r="CE80" s="247">
        <v>446.62365640833269</v>
      </c>
      <c r="CF80" s="247">
        <v>445.60032209747328</v>
      </c>
      <c r="CG80" s="247">
        <v>444.57702410789523</v>
      </c>
      <c r="CH80" s="247">
        <v>443.55375979047722</v>
      </c>
      <c r="CI80" s="247">
        <v>442.53052652913277</v>
      </c>
      <c r="CJ80" s="247">
        <v>441.51140642116525</v>
      </c>
      <c r="CK80" s="247">
        <v>440.49232540128514</v>
      </c>
      <c r="CL80" s="247">
        <v>439.47328629088429</v>
      </c>
      <c r="CM80" s="247">
        <v>438.45429183525636</v>
      </c>
      <c r="CN80" s="247">
        <v>437.43534480532816</v>
      </c>
      <c r="CO80" s="247">
        <v>436.41644794021443</v>
      </c>
      <c r="CP80" s="247">
        <v>435.39760397113719</v>
      </c>
      <c r="CQ80" s="247">
        <v>434.37881560450296</v>
      </c>
      <c r="CR80" s="247">
        <v>433.36008552916076</v>
      </c>
      <c r="CS80" s="247">
        <v>432.34141645346205</v>
      </c>
      <c r="CT80" s="247">
        <v>431.32281103275034</v>
      </c>
      <c r="CU80" s="247">
        <v>430.30427193090014</v>
      </c>
      <c r="CV80" s="247">
        <v>429.29080540522835</v>
      </c>
      <c r="CW80" s="247">
        <v>428.2774244248539</v>
      </c>
      <c r="CX80" s="247">
        <v>427.26412974608888</v>
      </c>
      <c r="CY80" s="247">
        <v>426.25092213979116</v>
      </c>
      <c r="CZ80" s="247">
        <v>425.23780236257403</v>
      </c>
      <c r="DA80" s="247">
        <v>424.22477114898368</v>
      </c>
      <c r="DB80" s="247">
        <v>423.21182926880022</v>
      </c>
      <c r="DC80" s="247">
        <v>422.19897747653704</v>
      </c>
      <c r="DD80" s="247">
        <v>421.18621649211303</v>
      </c>
      <c r="DE80" s="247">
        <v>420.17354707351507</v>
      </c>
      <c r="DF80" s="247">
        <v>419.16096994539458</v>
      </c>
      <c r="DG80" s="247">
        <v>418.14848584286267</v>
      </c>
      <c r="DH80" s="247">
        <v>417.14227158994777</v>
      </c>
      <c r="DI80" s="247">
        <v>416.13617952245914</v>
      </c>
      <c r="DJ80" s="247">
        <v>415.13021733845545</v>
      </c>
      <c r="DK80" s="247">
        <v>414.1243927537584</v>
      </c>
      <c r="DL80" s="247">
        <v>413.1187133804865</v>
      </c>
      <c r="DM80" s="247">
        <v>412.1131868376915</v>
      </c>
      <c r="DN80" s="247">
        <v>411.10782061607898</v>
      </c>
      <c r="DO80" s="247">
        <v>410.10262225353995</v>
      </c>
      <c r="DP80" s="247">
        <v>409.09759914473392</v>
      </c>
      <c r="DQ80" s="247">
        <v>408.09275867702462</v>
      </c>
      <c r="DR80" s="247">
        <v>407.08810817981271</v>
      </c>
      <c r="DS80" s="247">
        <v>406.08365497558879</v>
      </c>
      <c r="DT80" s="247">
        <v>405.08713961043412</v>
      </c>
      <c r="DU80" s="247">
        <v>404.09088173856799</v>
      </c>
      <c r="DV80" s="247">
        <v>403.09489191300923</v>
      </c>
      <c r="DW80" s="247">
        <v>402.09918055352205</v>
      </c>
      <c r="DX80" s="247">
        <v>401.10375803895641</v>
      </c>
      <c r="DY80" s="247">
        <v>400.10863468056561</v>
      </c>
      <c r="DZ80" s="247">
        <v>399.11382070094805</v>
      </c>
      <c r="EA80" s="247">
        <v>398.11932628182626</v>
      </c>
      <c r="EB80" s="247">
        <v>397.12516151770143</v>
      </c>
      <c r="EC80" s="247">
        <v>396.13133641875243</v>
      </c>
      <c r="ED80" s="247">
        <v>395.13786092955166</v>
      </c>
      <c r="EE80" s="247">
        <v>394.14474493062369</v>
      </c>
      <c r="EF80" s="247">
        <v>393.16192203180179</v>
      </c>
      <c r="EG80" s="247">
        <v>392.17953810203625</v>
      </c>
      <c r="EH80" s="247">
        <v>391.19758798424834</v>
      </c>
      <c r="EI80" s="247">
        <v>390.21606669636014</v>
      </c>
      <c r="EJ80" s="247">
        <v>389.23496916980451</v>
      </c>
      <c r="EK80" s="247">
        <v>388.25429042575297</v>
      </c>
      <c r="EL80" s="247">
        <v>387.27402550472311</v>
      </c>
      <c r="EM80" s="247">
        <v>386.29416940763048</v>
      </c>
      <c r="EN80" s="247">
        <v>385.31471726962866</v>
      </c>
      <c r="EO80" s="247">
        <v>384.33566415902453</v>
      </c>
      <c r="EP80" s="247">
        <v>383.35700521235049</v>
      </c>
      <c r="EQ80" s="247">
        <v>382.37873559072051</v>
      </c>
      <c r="ER80" s="247">
        <v>381.40730892145018</v>
      </c>
      <c r="ES80" s="247">
        <v>380.43630809458421</v>
      </c>
      <c r="ET80" s="247">
        <v>379.46574077145289</v>
      </c>
      <c r="EU80" s="247">
        <v>378.49561477386396</v>
      </c>
      <c r="EV80" s="247">
        <v>377.52593768262386</v>
      </c>
      <c r="EW80" s="247">
        <v>376.55671712321703</v>
      </c>
      <c r="EX80" s="247">
        <v>375.58796061823125</v>
      </c>
      <c r="EY80" s="247">
        <v>374.61967564439124</v>
      </c>
      <c r="EZ80" s="247">
        <v>373.65186962599802</v>
      </c>
      <c r="FA80" s="247">
        <v>372.68454991255965</v>
      </c>
      <c r="FB80" s="247">
        <v>371.71772382674078</v>
      </c>
      <c r="FC80" s="247">
        <v>370.75139861787068</v>
      </c>
      <c r="FD80" s="247">
        <v>369.78625286173258</v>
      </c>
      <c r="FE80" s="247">
        <v>368.82161479191956</v>
      </c>
      <c r="FF80" s="247">
        <v>367.85749091931882</v>
      </c>
      <c r="FG80" s="247">
        <v>366.89388770056848</v>
      </c>
      <c r="FH80" s="247">
        <v>365.93081150127267</v>
      </c>
      <c r="FI80" s="247">
        <v>364.96826870899253</v>
      </c>
      <c r="FJ80" s="247">
        <v>364.00626561296173</v>
      </c>
      <c r="FK80" s="247">
        <v>363.04480845992856</v>
      </c>
      <c r="FL80" s="247">
        <v>362.08390344756367</v>
      </c>
      <c r="FM80" s="247">
        <v>361.12355670275076</v>
      </c>
      <c r="FN80" s="247">
        <v>360.16377432828205</v>
      </c>
      <c r="FO80" s="247">
        <v>359.20456235762538</v>
      </c>
      <c r="FP80" s="247">
        <v>358.24660225139604</v>
      </c>
      <c r="FQ80" s="247">
        <v>357.28921830412327</v>
      </c>
      <c r="FR80" s="247">
        <v>356.33241708753297</v>
      </c>
      <c r="FS80" s="247">
        <v>355.37620520368466</v>
      </c>
      <c r="FT80" s="247">
        <v>354.42058911214076</v>
      </c>
      <c r="FU80" s="247">
        <v>353.46557528573726</v>
      </c>
      <c r="FV80" s="247">
        <v>352.51117013857777</v>
      </c>
      <c r="FW80" s="247">
        <v>351.55737996753601</v>
      </c>
      <c r="FX80" s="247">
        <v>350.60421110372658</v>
      </c>
      <c r="FY80" s="247">
        <v>349.65166973357509</v>
      </c>
      <c r="FZ80" s="247">
        <v>348.69976210151509</v>
      </c>
      <c r="GA80" s="247">
        <v>347.74849433128549</v>
      </c>
      <c r="GB80" s="247">
        <v>346.79855432115306</v>
      </c>
      <c r="GC80" s="247">
        <v>345.8492742352559</v>
      </c>
      <c r="GD80" s="247">
        <v>344.90067482027303</v>
      </c>
      <c r="GE80" s="247">
        <v>343.95277672939085</v>
      </c>
      <c r="GF80" s="247">
        <v>343.00560039877359</v>
      </c>
      <c r="GG80" s="247">
        <v>342.05916617694129</v>
      </c>
      <c r="GH80" s="247">
        <v>341.11349425473145</v>
      </c>
      <c r="GI80" s="247">
        <v>340.1686046960657</v>
      </c>
      <c r="GJ80" s="247">
        <v>339.22451741024736</v>
      </c>
      <c r="GK80" s="247">
        <v>338.28125215263208</v>
      </c>
      <c r="GL80" s="247">
        <v>337.33882854793848</v>
      </c>
      <c r="GM80" s="247">
        <v>336.39726611174876</v>
      </c>
      <c r="GN80" s="247">
        <v>335.45726405230857</v>
      </c>
      <c r="GO80" s="247">
        <v>334.51813189569589</v>
      </c>
      <c r="GP80" s="247">
        <v>333.57986597276567</v>
      </c>
      <c r="GQ80" s="247">
        <v>332.64246262092325</v>
      </c>
      <c r="GR80" s="247">
        <v>331.70591819236159</v>
      </c>
      <c r="GS80" s="247">
        <v>330.77022903033605</v>
      </c>
      <c r="GT80" s="247">
        <v>329.83539150734362</v>
      </c>
      <c r="GU80" s="247">
        <v>328.90140203369543</v>
      </c>
      <c r="GV80" s="247">
        <v>327.96825696699403</v>
      </c>
      <c r="GW80" s="247">
        <v>327.03595271805551</v>
      </c>
      <c r="GX80" s="247">
        <v>326.10448571006009</v>
      </c>
      <c r="GY80" s="247">
        <v>325.17385242018599</v>
      </c>
      <c r="GZ80" s="247">
        <v>324.24474217513762</v>
      </c>
      <c r="HA80" s="247">
        <v>323.31647885513684</v>
      </c>
      <c r="HB80" s="247">
        <v>322.38908612024568</v>
      </c>
      <c r="HC80" s="247">
        <v>321.46258734367115</v>
      </c>
      <c r="HD80" s="247">
        <v>320.53700580649809</v>
      </c>
      <c r="HE80" s="247">
        <v>319.61236461251821</v>
      </c>
      <c r="HF80" s="247">
        <v>318.68868676614022</v>
      </c>
      <c r="HG80" s="247">
        <v>317.76599503805556</v>
      </c>
      <c r="HH80" s="247">
        <v>316.84431212225383</v>
      </c>
      <c r="HI80" s="247">
        <v>315.92366055515606</v>
      </c>
      <c r="HJ80" s="247">
        <v>315.00406265641942</v>
      </c>
      <c r="HK80" s="247">
        <v>314.08554069117162</v>
      </c>
      <c r="HL80" s="247">
        <v>313.16880293056698</v>
      </c>
      <c r="HM80" s="247">
        <v>312.25313489214039</v>
      </c>
      <c r="HN80" s="247">
        <v>311.33851526637369</v>
      </c>
      <c r="HO80" s="247">
        <v>310.42492290692007</v>
      </c>
      <c r="HP80" s="247">
        <v>309.51233673974468</v>
      </c>
      <c r="HQ80" s="247">
        <v>308.60073587925564</v>
      </c>
      <c r="HR80" s="247">
        <v>307.69009948532306</v>
      </c>
      <c r="HS80" s="247">
        <v>306.78040687047428</v>
      </c>
      <c r="HT80" s="247">
        <v>305.87163747387279</v>
      </c>
      <c r="HU80" s="247">
        <v>304.96377082244339</v>
      </c>
      <c r="HV80" s="247">
        <v>304.05678659044628</v>
      </c>
      <c r="HW80" s="247">
        <v>303.1506645027327</v>
      </c>
      <c r="HX80" s="247">
        <v>302.2460882653582</v>
      </c>
      <c r="HY80" s="247">
        <v>301.34235619115452</v>
      </c>
      <c r="HZ80" s="247">
        <v>300.43947718981667</v>
      </c>
      <c r="IA80" s="247">
        <v>299.53746011538118</v>
      </c>
      <c r="IB80" s="247">
        <v>298.63631375553547</v>
      </c>
      <c r="IC80" s="247">
        <v>297.73604682919051</v>
      </c>
      <c r="ID80" s="247">
        <v>296.8366680389899</v>
      </c>
      <c r="IE80" s="247">
        <v>295.93818598443545</v>
      </c>
      <c r="IF80" s="247">
        <v>295.04060921305791</v>
      </c>
      <c r="IG80" s="247">
        <v>294.1439462205123</v>
      </c>
      <c r="IH80" s="247">
        <v>293.24820545150521</v>
      </c>
      <c r="II80" s="247">
        <v>292.35339530004148</v>
      </c>
      <c r="IJ80" s="247">
        <v>291.4602308984102</v>
      </c>
      <c r="IK80" s="247">
        <v>290.56801799485356</v>
      </c>
      <c r="IL80" s="247">
        <v>289.67677591029837</v>
      </c>
      <c r="IM80" s="247">
        <v>288.78652376959275</v>
      </c>
      <c r="IN80" s="247">
        <v>287.89728062164801</v>
      </c>
      <c r="IO80" s="247">
        <v>287.00906547322541</v>
      </c>
      <c r="IP80" s="247">
        <v>286.121897118307</v>
      </c>
      <c r="IQ80" s="247">
        <v>285.23579425713956</v>
      </c>
      <c r="IR80" s="247">
        <v>284.35077556302485</v>
      </c>
      <c r="IS80" s="247">
        <v>283.46685953594488</v>
      </c>
      <c r="IT80" s="247">
        <v>282.58406457676494</v>
      </c>
      <c r="IU80" s="247">
        <v>281.70240898739519</v>
      </c>
      <c r="IV80" s="247">
        <v>280.82261520587525</v>
      </c>
      <c r="IW80" s="247">
        <v>279.94394656137098</v>
      </c>
      <c r="IX80" s="247">
        <v>279.06637751489052</v>
      </c>
      <c r="IY80" s="247">
        <v>278.18988270112101</v>
      </c>
      <c r="IZ80" s="247">
        <v>277.31443683013748</v>
      </c>
      <c r="JA80" s="247">
        <v>276.44001482764259</v>
      </c>
      <c r="JB80" s="247">
        <v>275.56659168707233</v>
      </c>
      <c r="JC80" s="247">
        <v>274.69414256722894</v>
      </c>
      <c r="JD80" s="247">
        <v>273.82264276869523</v>
      </c>
      <c r="JE80" s="247">
        <v>272.95206766313066</v>
      </c>
      <c r="JF80" s="247">
        <v>272.08239280011782</v>
      </c>
      <c r="JG80" s="247">
        <v>271.21359387216739</v>
      </c>
      <c r="JH80" s="247">
        <v>270.34637073234916</v>
      </c>
      <c r="JI80" s="247">
        <v>269.48000070529076</v>
      </c>
      <c r="JJ80" s="247">
        <v>268.61449202864793</v>
      </c>
      <c r="JK80" s="247">
        <v>267.74985279463641</v>
      </c>
      <c r="JL80" s="247">
        <v>266.88609111363684</v>
      </c>
      <c r="JM80" s="247">
        <v>266.02321499201958</v>
      </c>
      <c r="JN80" s="247">
        <v>265.16123244549107</v>
      </c>
      <c r="JO80" s="247">
        <v>264.30015135471893</v>
      </c>
      <c r="JP80" s="247">
        <v>263.43997979849848</v>
      </c>
      <c r="JQ80" s="247">
        <v>262.58072537547247</v>
      </c>
      <c r="JR80" s="247">
        <v>261.72239605090294</v>
      </c>
      <c r="JS80" s="247">
        <v>260.86499964913679</v>
      </c>
      <c r="JT80" s="247">
        <v>260.00926701380689</v>
      </c>
      <c r="JU80" s="247">
        <v>259.15445553203614</v>
      </c>
      <c r="JV80" s="247">
        <v>258.30055255495108</v>
      </c>
      <c r="JW80" s="247">
        <v>257.44754563758153</v>
      </c>
      <c r="JX80" s="247">
        <v>256.59542221696773</v>
      </c>
      <c r="JY80" s="247">
        <v>255.7441699404543</v>
      </c>
      <c r="JZ80" s="247">
        <v>254.89377649445595</v>
      </c>
      <c r="KA80" s="247">
        <v>254.04422945016512</v>
      </c>
      <c r="KB80" s="247">
        <v>253.19551658661089</v>
      </c>
      <c r="KC80" s="247">
        <v>252.3476257224477</v>
      </c>
      <c r="KD80" s="247">
        <v>251.500544722227</v>
      </c>
      <c r="KE80" s="247">
        <v>250.65426133323439</v>
      </c>
      <c r="KF80" s="247">
        <v>249.80951164165532</v>
      </c>
      <c r="KG80" s="247">
        <v>248.96560602997189</v>
      </c>
      <c r="KH80" s="247">
        <v>248.12260941534319</v>
      </c>
      <c r="KI80" s="247">
        <v>247.28058649123111</v>
      </c>
      <c r="KJ80" s="247">
        <v>246.43960141601062</v>
      </c>
      <c r="KK80" s="247">
        <v>245.59971812921674</v>
      </c>
      <c r="KL80" s="247">
        <v>244.76100034248776</v>
      </c>
      <c r="KM80" s="247">
        <v>243.92351154522106</v>
      </c>
      <c r="KN80" s="247">
        <v>243.0873148439087</v>
      </c>
      <c r="KO80" s="247">
        <v>242.25247311268578</v>
      </c>
      <c r="KP80" s="247">
        <v>241.41904884289713</v>
      </c>
      <c r="KQ80" s="247">
        <v>240.58710460379481</v>
      </c>
      <c r="KR80" s="247">
        <v>239.75742861353677</v>
      </c>
      <c r="KS80" s="247">
        <v>238.92924189216384</v>
      </c>
      <c r="KT80" s="247">
        <v>238.10249847669783</v>
      </c>
      <c r="KU80" s="247">
        <v>237.27715258855329</v>
      </c>
      <c r="KV80" s="247">
        <v>236.45315879161922</v>
      </c>
      <c r="KW80" s="247">
        <v>235.63047168886447</v>
      </c>
      <c r="KX80" s="247">
        <v>234.80904637000148</v>
      </c>
      <c r="KY80" s="247">
        <v>233.98883796496315</v>
      </c>
      <c r="KZ80" s="247">
        <v>233.16980179242196</v>
      </c>
      <c r="LA80" s="247">
        <v>232.35189350484174</v>
      </c>
      <c r="LB80" s="247">
        <v>231.53506879497581</v>
      </c>
      <c r="LC80" s="247">
        <v>230.71928354545821</v>
      </c>
      <c r="LD80" s="247">
        <v>229.88643704401716</v>
      </c>
      <c r="LE80" s="247">
        <v>229.05450200803017</v>
      </c>
      <c r="LF80" s="247">
        <v>228.22350048343057</v>
      </c>
      <c r="LG80" s="247">
        <v>227.39345445759594</v>
      </c>
      <c r="LH80" s="247">
        <v>226.56438573138729</v>
      </c>
      <c r="LI80" s="247">
        <v>225.73631618371118</v>
      </c>
      <c r="LJ80" s="247">
        <v>224.90926763114498</v>
      </c>
      <c r="LK80" s="247">
        <v>224.08326156865687</v>
      </c>
      <c r="LL80" s="247">
        <v>223.25831969305037</v>
      </c>
      <c r="LM80" s="247">
        <v>222.4344636325315</v>
      </c>
      <c r="LN80" s="247">
        <v>221.61171468863799</v>
      </c>
      <c r="LO80" s="247">
        <v>220.79009435651543</v>
      </c>
      <c r="LP80" s="247">
        <v>219.97049529863909</v>
      </c>
      <c r="LQ80" s="247">
        <v>219.15204072650477</v>
      </c>
      <c r="LR80" s="247">
        <v>218.33473118225339</v>
      </c>
      <c r="LS80" s="247">
        <v>217.51856721045064</v>
      </c>
      <c r="LT80" s="247">
        <v>216.70354949068087</v>
      </c>
      <c r="LU80" s="247">
        <v>215.88967870926146</v>
      </c>
      <c r="LV80" s="247">
        <v>215.07695555282788</v>
      </c>
      <c r="LW80" s="247">
        <v>214.26538071159177</v>
      </c>
      <c r="LX80" s="247">
        <v>213.45495500420049</v>
      </c>
      <c r="LY80" s="247">
        <v>212.64567911982584</v>
      </c>
      <c r="LZ80" s="247">
        <v>211.83755399465355</v>
      </c>
      <c r="MA80" s="247">
        <v>211.03058031458585</v>
      </c>
      <c r="MB80" s="247">
        <v>210.20616025058371</v>
      </c>
      <c r="MC80" s="247">
        <v>209.38277105282481</v>
      </c>
      <c r="MD80" s="247">
        <v>208.56041232894967</v>
      </c>
      <c r="ME80" s="247">
        <v>207.73908367106324</v>
      </c>
      <c r="MF80" s="247">
        <v>206.91878488417851</v>
      </c>
      <c r="MG80" s="247">
        <v>206.09951565049116</v>
      </c>
      <c r="MH80" s="247">
        <v>205.28127563481382</v>
      </c>
      <c r="MI80" s="247">
        <v>204.4640647075253</v>
      </c>
      <c r="MJ80" s="247">
        <v>203.647882613494</v>
      </c>
      <c r="MK80" s="247">
        <v>202.83272918367027</v>
      </c>
      <c r="ML80" s="247">
        <v>202.01860433724272</v>
      </c>
      <c r="MM80" s="247">
        <v>201.20550797101777</v>
      </c>
      <c r="MN80" s="247">
        <v>200.39443783346235</v>
      </c>
      <c r="MO80" s="247">
        <v>199.58438607799087</v>
      </c>
      <c r="MP80" s="247">
        <v>198.77534820645798</v>
      </c>
      <c r="MQ80" s="247">
        <v>197.96731962597667</v>
      </c>
      <c r="MR80" s="247">
        <v>197.16029608181987</v>
      </c>
      <c r="MS80" s="247">
        <v>196.35427312230632</v>
      </c>
      <c r="MT80" s="247">
        <v>195.54924641118359</v>
      </c>
      <c r="MU80" s="247">
        <v>194.74521173079199</v>
      </c>
      <c r="MV80" s="247">
        <v>193.94216476987216</v>
      </c>
      <c r="MW80" s="247">
        <v>193.1401012222716</v>
      </c>
      <c r="MX80" s="247">
        <v>192.33901710056003</v>
      </c>
      <c r="MY80" s="247">
        <v>191.53890811193423</v>
      </c>
    </row>
    <row r="81" spans="1:363" ht="15.6" x14ac:dyDescent="0.3">
      <c r="A81" s="67" t="s">
        <v>7</v>
      </c>
      <c r="B81" s="72">
        <v>2091</v>
      </c>
      <c r="C81" s="247">
        <v>529.33196384090627</v>
      </c>
      <c r="D81" s="247">
        <v>528.30316713498894</v>
      </c>
      <c r="E81" s="247">
        <v>527.27437402598093</v>
      </c>
      <c r="F81" s="247">
        <v>526.24558529721708</v>
      </c>
      <c r="G81" s="247">
        <v>525.21680176086522</v>
      </c>
      <c r="H81" s="247">
        <v>524.18802422355259</v>
      </c>
      <c r="I81" s="247">
        <v>523.1592534873015</v>
      </c>
      <c r="J81" s="247">
        <v>522.1304903418071</v>
      </c>
      <c r="K81" s="247">
        <v>521.10173559249847</v>
      </c>
      <c r="L81" s="247">
        <v>520.07299005871835</v>
      </c>
      <c r="M81" s="247">
        <v>519.04425453331771</v>
      </c>
      <c r="N81" s="247">
        <v>518.01552983658405</v>
      </c>
      <c r="O81" s="247">
        <v>516.98681676457034</v>
      </c>
      <c r="P81" s="247">
        <v>515.95774153465129</v>
      </c>
      <c r="Q81" s="247">
        <v>514.92866738321629</v>
      </c>
      <c r="R81" s="247">
        <v>513.89959479614799</v>
      </c>
      <c r="S81" s="247">
        <v>512.87052428630182</v>
      </c>
      <c r="T81" s="247">
        <v>511.84145634294708</v>
      </c>
      <c r="U81" s="247">
        <v>510.81239146799021</v>
      </c>
      <c r="V81" s="247">
        <v>509.78333017452883</v>
      </c>
      <c r="W81" s="247">
        <v>508.75427294833582</v>
      </c>
      <c r="X81" s="247">
        <v>507.72522031039341</v>
      </c>
      <c r="Y81" s="247">
        <v>506.6961727700363</v>
      </c>
      <c r="Z81" s="247">
        <v>505.66713083104423</v>
      </c>
      <c r="AA81" s="247">
        <v>504.63809502027328</v>
      </c>
      <c r="AB81" s="247">
        <v>503.6087233423961</v>
      </c>
      <c r="AC81" s="247">
        <v>502.57934724583873</v>
      </c>
      <c r="AD81" s="247">
        <v>501.5499669732036</v>
      </c>
      <c r="AE81" s="247">
        <v>500.52058280125465</v>
      </c>
      <c r="AF81" s="247">
        <v>499.49119497579017</v>
      </c>
      <c r="AG81" s="247">
        <v>498.4618037817566</v>
      </c>
      <c r="AH81" s="247">
        <v>497.43240945743707</v>
      </c>
      <c r="AI81" s="247">
        <v>496.40301230578018</v>
      </c>
      <c r="AJ81" s="247">
        <v>495.37361256645636</v>
      </c>
      <c r="AK81" s="247">
        <v>494.3442105571292</v>
      </c>
      <c r="AL81" s="247">
        <v>493.3148065344389</v>
      </c>
      <c r="AM81" s="247">
        <v>492.28540079692823</v>
      </c>
      <c r="AN81" s="247">
        <v>491.25665654926627</v>
      </c>
      <c r="AO81" s="247">
        <v>490.22790565065674</v>
      </c>
      <c r="AP81" s="247">
        <v>489.19914953050562</v>
      </c>
      <c r="AQ81" s="247">
        <v>488.17038956826963</v>
      </c>
      <c r="AR81" s="247">
        <v>487.14162716261694</v>
      </c>
      <c r="AS81" s="247">
        <v>486.11286373410462</v>
      </c>
      <c r="AT81" s="247">
        <v>485.08410064954518</v>
      </c>
      <c r="AU81" s="247">
        <v>484.05533930423002</v>
      </c>
      <c r="AV81" s="247">
        <v>483.02658107996638</v>
      </c>
      <c r="AW81" s="247">
        <v>481.99782736252303</v>
      </c>
      <c r="AX81" s="247">
        <v>480.96907953566591</v>
      </c>
      <c r="AY81" s="247">
        <v>479.94033897967432</v>
      </c>
      <c r="AZ81" s="247">
        <v>478.91227554108923</v>
      </c>
      <c r="BA81" s="247">
        <v>477.88421348171084</v>
      </c>
      <c r="BB81" s="247">
        <v>476.85615218716498</v>
      </c>
      <c r="BC81" s="247">
        <v>475.82809103404105</v>
      </c>
      <c r="BD81" s="247">
        <v>474.80002941204208</v>
      </c>
      <c r="BE81" s="247">
        <v>473.77196671753529</v>
      </c>
      <c r="BF81" s="247">
        <v>472.74390236174668</v>
      </c>
      <c r="BG81" s="247">
        <v>471.71583575988268</v>
      </c>
      <c r="BH81" s="247">
        <v>470.68776633569587</v>
      </c>
      <c r="BI81" s="247">
        <v>469.65969352036245</v>
      </c>
      <c r="BJ81" s="247">
        <v>468.63161674669226</v>
      </c>
      <c r="BK81" s="247">
        <v>467.60353548420557</v>
      </c>
      <c r="BL81" s="247">
        <v>466.57729931279613</v>
      </c>
      <c r="BM81" s="247">
        <v>465.5510608813604</v>
      </c>
      <c r="BN81" s="247">
        <v>464.52482565659386</v>
      </c>
      <c r="BO81" s="247">
        <v>463.49859907458176</v>
      </c>
      <c r="BP81" s="247">
        <v>462.47238658338193</v>
      </c>
      <c r="BQ81" s="247">
        <v>461.44619357698627</v>
      </c>
      <c r="BR81" s="247">
        <v>460.42002540449874</v>
      </c>
      <c r="BS81" s="247">
        <v>459.39388740698172</v>
      </c>
      <c r="BT81" s="247">
        <v>458.36778487353195</v>
      </c>
      <c r="BU81" s="247">
        <v>457.34172310881121</v>
      </c>
      <c r="BV81" s="247">
        <v>456.31570735771868</v>
      </c>
      <c r="BW81" s="247">
        <v>455.28974282427919</v>
      </c>
      <c r="BX81" s="247">
        <v>454.26589550383983</v>
      </c>
      <c r="BY81" s="247">
        <v>453.242104966753</v>
      </c>
      <c r="BZ81" s="247">
        <v>452.21836847734244</v>
      </c>
      <c r="CA81" s="247">
        <v>451.19468329155353</v>
      </c>
      <c r="CB81" s="247">
        <v>450.17104669173096</v>
      </c>
      <c r="CC81" s="247">
        <v>449.14745598970165</v>
      </c>
      <c r="CD81" s="247">
        <v>448.12390850496149</v>
      </c>
      <c r="CE81" s="247">
        <v>447.10040158304673</v>
      </c>
      <c r="CF81" s="247">
        <v>446.07693259032123</v>
      </c>
      <c r="CG81" s="247">
        <v>445.05349891399754</v>
      </c>
      <c r="CH81" s="247">
        <v>444.03009795360811</v>
      </c>
      <c r="CI81" s="247">
        <v>443.00672714131753</v>
      </c>
      <c r="CJ81" s="247">
        <v>441.9874531797085</v>
      </c>
      <c r="CK81" s="247">
        <v>440.96821737720165</v>
      </c>
      <c r="CL81" s="247">
        <v>439.94902252604169</v>
      </c>
      <c r="CM81" s="247">
        <v>438.92987134334254</v>
      </c>
      <c r="CN81" s="247">
        <v>437.9107665716769</v>
      </c>
      <c r="CO81" s="247">
        <v>436.89171092227019</v>
      </c>
      <c r="CP81" s="247">
        <v>435.87270709860206</v>
      </c>
      <c r="CQ81" s="247">
        <v>434.85375777980482</v>
      </c>
      <c r="CR81" s="247">
        <v>433.8348656277584</v>
      </c>
      <c r="CS81" s="247">
        <v>432.8160333236757</v>
      </c>
      <c r="CT81" s="247">
        <v>431.79726349655783</v>
      </c>
      <c r="CU81" s="247">
        <v>430.77855878393058</v>
      </c>
      <c r="CV81" s="247">
        <v>429.76491654851048</v>
      </c>
      <c r="CW81" s="247">
        <v>428.75135861161021</v>
      </c>
      <c r="CX81" s="247">
        <v>427.73788572759997</v>
      </c>
      <c r="CY81" s="247">
        <v>426.7244986652243</v>
      </c>
      <c r="CZ81" s="247">
        <v>425.71119817926973</v>
      </c>
      <c r="DA81" s="247">
        <v>424.6979850027364</v>
      </c>
      <c r="DB81" s="247">
        <v>423.6848599035111</v>
      </c>
      <c r="DC81" s="247">
        <v>422.6718236344995</v>
      </c>
      <c r="DD81" s="247">
        <v>421.65887691445789</v>
      </c>
      <c r="DE81" s="247">
        <v>420.6460204998607</v>
      </c>
      <c r="DF81" s="247">
        <v>419.63325511430116</v>
      </c>
      <c r="DG81" s="247">
        <v>418.62058149180723</v>
      </c>
      <c r="DH81" s="247">
        <v>417.61417830964456</v>
      </c>
      <c r="DI81" s="247">
        <v>416.60789602715471</v>
      </c>
      <c r="DJ81" s="247">
        <v>415.60174227932424</v>
      </c>
      <c r="DK81" s="247">
        <v>414.59572471879005</v>
      </c>
      <c r="DL81" s="247">
        <v>413.58985089556109</v>
      </c>
      <c r="DM81" s="247">
        <v>412.58412836660847</v>
      </c>
      <c r="DN81" s="247">
        <v>411.57856456177961</v>
      </c>
      <c r="DO81" s="247">
        <v>410.57316695783879</v>
      </c>
      <c r="DP81" s="247">
        <v>409.56794288969388</v>
      </c>
      <c r="DQ81" s="247">
        <v>408.56289968513187</v>
      </c>
      <c r="DR81" s="247">
        <v>407.55804461461815</v>
      </c>
      <c r="DS81" s="247">
        <v>406.5533849418959</v>
      </c>
      <c r="DT81" s="247">
        <v>405.55667999009711</v>
      </c>
      <c r="DU81" s="247">
        <v>404.56023068633908</v>
      </c>
      <c r="DV81" s="247">
        <v>403.56404751594164</v>
      </c>
      <c r="DW81" s="247">
        <v>402.56814083196917</v>
      </c>
      <c r="DX81" s="247">
        <v>401.57252094701482</v>
      </c>
      <c r="DY81" s="247">
        <v>400.5771981066481</v>
      </c>
      <c r="DZ81" s="247">
        <v>399.58218246850538</v>
      </c>
      <c r="EA81" s="247">
        <v>398.58748414977941</v>
      </c>
      <c r="EB81" s="247">
        <v>397.59311318116539</v>
      </c>
      <c r="EC81" s="247">
        <v>396.59907950974468</v>
      </c>
      <c r="ED81" s="247">
        <v>395.60539301757592</v>
      </c>
      <c r="EE81" s="247">
        <v>394.61206352325536</v>
      </c>
      <c r="EF81" s="247">
        <v>393.62907044228513</v>
      </c>
      <c r="EG81" s="247">
        <v>392.64651426524233</v>
      </c>
      <c r="EH81" s="247">
        <v>391.66438986398765</v>
      </c>
      <c r="EI81" s="247">
        <v>390.68269228453948</v>
      </c>
      <c r="EJ81" s="247">
        <v>389.70141648689429</v>
      </c>
      <c r="EK81" s="247">
        <v>388.72055752036908</v>
      </c>
      <c r="EL81" s="247">
        <v>387.74011045355189</v>
      </c>
      <c r="EM81" s="247">
        <v>386.76007031566144</v>
      </c>
      <c r="EN81" s="247">
        <v>385.78043226954475</v>
      </c>
      <c r="EO81" s="247">
        <v>384.80119141154597</v>
      </c>
      <c r="EP81" s="247">
        <v>383.8223429059517</v>
      </c>
      <c r="EQ81" s="247">
        <v>382.84388194155378</v>
      </c>
      <c r="ER81" s="247">
        <v>381.87229927584298</v>
      </c>
      <c r="ES81" s="247">
        <v>380.90114097424919</v>
      </c>
      <c r="ET81" s="247">
        <v>379.9304146727543</v>
      </c>
      <c r="EU81" s="247">
        <v>378.96012816731763</v>
      </c>
      <c r="EV81" s="247">
        <v>377.99028901395104</v>
      </c>
      <c r="EW81" s="247">
        <v>377.02090481329054</v>
      </c>
      <c r="EX81" s="247">
        <v>376.0519830635767</v>
      </c>
      <c r="EY81" s="247">
        <v>375.08353121749872</v>
      </c>
      <c r="EZ81" s="247">
        <v>374.11555667564937</v>
      </c>
      <c r="FA81" s="247">
        <v>373.14806676422728</v>
      </c>
      <c r="FB81" s="247">
        <v>372.18106878282754</v>
      </c>
      <c r="FC81" s="247">
        <v>371.21456995812224</v>
      </c>
      <c r="FD81" s="247">
        <v>370.24924671566828</v>
      </c>
      <c r="FE81" s="247">
        <v>369.28442941431399</v>
      </c>
      <c r="FF81" s="247">
        <v>368.32012454475097</v>
      </c>
      <c r="FG81" s="247">
        <v>367.35633854373242</v>
      </c>
      <c r="FH81" s="247">
        <v>366.39307775744885</v>
      </c>
      <c r="FI81" s="247">
        <v>365.43034855407694</v>
      </c>
      <c r="FJ81" s="247">
        <v>364.46815720393948</v>
      </c>
      <c r="FK81" s="247">
        <v>363.50650993516388</v>
      </c>
      <c r="FL81" s="247">
        <v>362.54541292710775</v>
      </c>
      <c r="FM81" s="247">
        <v>361.58487228871661</v>
      </c>
      <c r="FN81" s="247">
        <v>360.62489410506635</v>
      </c>
      <c r="FO81" s="247">
        <v>359.66548439229382</v>
      </c>
      <c r="FP81" s="247">
        <v>358.70732247553036</v>
      </c>
      <c r="FQ81" s="247">
        <v>357.74973476530454</v>
      </c>
      <c r="FR81" s="247">
        <v>356.79272781369394</v>
      </c>
      <c r="FS81" s="247">
        <v>355.83630820309094</v>
      </c>
      <c r="FT81" s="247">
        <v>354.88048237407679</v>
      </c>
      <c r="FU81" s="247">
        <v>353.92525678055091</v>
      </c>
      <c r="FV81" s="247">
        <v>352.97063781802098</v>
      </c>
      <c r="FW81" s="247">
        <v>352.01663176532696</v>
      </c>
      <c r="FX81" s="247">
        <v>351.06324493555258</v>
      </c>
      <c r="FY81" s="247">
        <v>350.1104834977404</v>
      </c>
      <c r="FZ81" s="247">
        <v>349.15835367886365</v>
      </c>
      <c r="GA81" s="247">
        <v>348.20686158577632</v>
      </c>
      <c r="GB81" s="247">
        <v>347.25669298216002</v>
      </c>
      <c r="GC81" s="247">
        <v>346.30718209609478</v>
      </c>
      <c r="GD81" s="247">
        <v>345.35834960327588</v>
      </c>
      <c r="GE81" s="247">
        <v>344.41021608647037</v>
      </c>
      <c r="GF81" s="247">
        <v>343.46280191247359</v>
      </c>
      <c r="GG81" s="247">
        <v>342.51612736097979</v>
      </c>
      <c r="GH81" s="247">
        <v>341.57021255480686</v>
      </c>
      <c r="GI81" s="247">
        <v>340.62507749055891</v>
      </c>
      <c r="GJ81" s="247">
        <v>339.68074201103303</v>
      </c>
      <c r="GK81" s="247">
        <v>338.73722580585957</v>
      </c>
      <c r="GL81" s="247">
        <v>337.79454843475122</v>
      </c>
      <c r="GM81" s="247">
        <v>336.85272934892356</v>
      </c>
      <c r="GN81" s="247">
        <v>335.91246560516521</v>
      </c>
      <c r="GO81" s="247">
        <v>334.9730688552774</v>
      </c>
      <c r="GP81" s="247">
        <v>334.03453545017521</v>
      </c>
      <c r="GQ81" s="247">
        <v>333.09686174731809</v>
      </c>
      <c r="GR81" s="247">
        <v>332.16004411895875</v>
      </c>
      <c r="GS81" s="247">
        <v>331.22407892847542</v>
      </c>
      <c r="GT81" s="247">
        <v>330.28896256841216</v>
      </c>
      <c r="GU81" s="247">
        <v>329.35469146904461</v>
      </c>
      <c r="GV81" s="247">
        <v>328.42126200817512</v>
      </c>
      <c r="GW81" s="247">
        <v>327.48867061666692</v>
      </c>
      <c r="GX81" s="247">
        <v>326.55691373775824</v>
      </c>
      <c r="GY81" s="247">
        <v>325.62598786854551</v>
      </c>
      <c r="GZ81" s="247">
        <v>324.69658024212475</v>
      </c>
      <c r="HA81" s="247">
        <v>323.76801679103119</v>
      </c>
      <c r="HB81" s="247">
        <v>322.84032109665907</v>
      </c>
      <c r="HC81" s="247">
        <v>321.91351645481234</v>
      </c>
      <c r="HD81" s="247">
        <v>320.98762606978823</v>
      </c>
      <c r="HE81" s="247">
        <v>320.06267296946032</v>
      </c>
      <c r="HF81" s="247">
        <v>319.13868008292854</v>
      </c>
      <c r="HG81" s="247">
        <v>318.21567010666746</v>
      </c>
      <c r="HH81" s="247">
        <v>317.29366566098184</v>
      </c>
      <c r="HI81" s="247">
        <v>316.37268920940915</v>
      </c>
      <c r="HJ81" s="247">
        <v>315.45276299976024</v>
      </c>
      <c r="HK81" s="247">
        <v>314.53390922575409</v>
      </c>
      <c r="HL81" s="247">
        <v>313.61683401841088</v>
      </c>
      <c r="HM81" s="247">
        <v>312.70082506689283</v>
      </c>
      <c r="HN81" s="247">
        <v>311.78586114584095</v>
      </c>
      <c r="HO81" s="247">
        <v>310.87192119234965</v>
      </c>
      <c r="HP81" s="247">
        <v>309.95898421550453</v>
      </c>
      <c r="HQ81" s="247">
        <v>309.04702941204403</v>
      </c>
      <c r="HR81" s="247">
        <v>308.13603602391106</v>
      </c>
      <c r="HS81" s="247">
        <v>307.22598344507765</v>
      </c>
      <c r="HT81" s="247">
        <v>306.31685119562519</v>
      </c>
      <c r="HU81" s="247">
        <v>305.40861888298741</v>
      </c>
      <c r="HV81" s="247">
        <v>304.50126626134642</v>
      </c>
      <c r="HW81" s="247">
        <v>303.59477313522274</v>
      </c>
      <c r="HX81" s="247">
        <v>302.68982117536984</v>
      </c>
      <c r="HY81" s="247">
        <v>301.78571080135481</v>
      </c>
      <c r="HZ81" s="247">
        <v>300.8824508984992</v>
      </c>
      <c r="IA81" s="247">
        <v>299.98005029678592</v>
      </c>
      <c r="IB81" s="247">
        <v>299.07851776025149</v>
      </c>
      <c r="IC81" s="247">
        <v>298.17786198452274</v>
      </c>
      <c r="ID81" s="247">
        <v>297.27809164915385</v>
      </c>
      <c r="IE81" s="247">
        <v>296.37921533107266</v>
      </c>
      <c r="IF81" s="247">
        <v>295.48124155556769</v>
      </c>
      <c r="IG81" s="247">
        <v>294.58417879636579</v>
      </c>
      <c r="IH81" s="247">
        <v>293.68803547658189</v>
      </c>
      <c r="II81" s="247">
        <v>292.79281996895287</v>
      </c>
      <c r="IJ81" s="247">
        <v>291.89924527643768</v>
      </c>
      <c r="IK81" s="247">
        <v>291.00661921256415</v>
      </c>
      <c r="IL81" s="247">
        <v>290.11496103850681</v>
      </c>
      <c r="IM81" s="247">
        <v>289.22428982025247</v>
      </c>
      <c r="IN81" s="247">
        <v>288.33462454834779</v>
      </c>
      <c r="IO81" s="247">
        <v>287.44598417153804</v>
      </c>
      <c r="IP81" s="247">
        <v>286.55838742673745</v>
      </c>
      <c r="IQ81" s="247">
        <v>285.67185295767109</v>
      </c>
      <c r="IR81" s="247">
        <v>284.78639938142823</v>
      </c>
      <c r="IS81" s="247">
        <v>283.90204514257715</v>
      </c>
      <c r="IT81" s="247">
        <v>283.0188085871381</v>
      </c>
      <c r="IU81" s="247">
        <v>282.13670796272442</v>
      </c>
      <c r="IV81" s="247">
        <v>281.25646356809676</v>
      </c>
      <c r="IW81" s="247">
        <v>280.3773409323656</v>
      </c>
      <c r="IX81" s="247">
        <v>279.49931461371364</v>
      </c>
      <c r="IY81" s="247">
        <v>278.62235934325878</v>
      </c>
      <c r="IZ81" s="247">
        <v>277.74644992716355</v>
      </c>
      <c r="JA81" s="247">
        <v>276.8715613863352</v>
      </c>
      <c r="JB81" s="247">
        <v>275.99766880907214</v>
      </c>
      <c r="JC81" s="247">
        <v>275.12474744837067</v>
      </c>
      <c r="JD81" s="247">
        <v>274.25277269842599</v>
      </c>
      <c r="JE81" s="247">
        <v>273.38172002415968</v>
      </c>
      <c r="JF81" s="247">
        <v>272.51156506772344</v>
      </c>
      <c r="JG81" s="247">
        <v>271.64228361362348</v>
      </c>
      <c r="JH81" s="247">
        <v>270.77457346397858</v>
      </c>
      <c r="JI81" s="247">
        <v>269.90771408236185</v>
      </c>
      <c r="JJ81" s="247">
        <v>269.04171368616005</v>
      </c>
      <c r="JK81" s="247">
        <v>268.17658034794249</v>
      </c>
      <c r="JL81" s="247">
        <v>267.31232215854618</v>
      </c>
      <c r="JM81" s="247">
        <v>266.44894710528075</v>
      </c>
      <c r="JN81" s="247">
        <v>265.5864631848994</v>
      </c>
      <c r="JO81" s="247">
        <v>264.72487825972223</v>
      </c>
      <c r="JP81" s="247">
        <v>263.86420038967742</v>
      </c>
      <c r="JQ81" s="247">
        <v>263.00443715630655</v>
      </c>
      <c r="JR81" s="247">
        <v>262.14559650667894</v>
      </c>
      <c r="JS81" s="247">
        <v>261.28768624758243</v>
      </c>
      <c r="JT81" s="247">
        <v>260.43143507507432</v>
      </c>
      <c r="JU81" s="247">
        <v>259.57610257482713</v>
      </c>
      <c r="JV81" s="247">
        <v>258.72167614932363</v>
      </c>
      <c r="JW81" s="247">
        <v>257.86814340424127</v>
      </c>
      <c r="JX81" s="247">
        <v>257.01549182769287</v>
      </c>
      <c r="JY81" s="247">
        <v>256.16370911737113</v>
      </c>
      <c r="JZ81" s="247">
        <v>255.31278300990678</v>
      </c>
      <c r="KA81" s="247">
        <v>254.4627011271121</v>
      </c>
      <c r="KB81" s="247">
        <v>253.61345129795245</v>
      </c>
      <c r="KC81" s="247">
        <v>252.76502139088933</v>
      </c>
      <c r="KD81" s="247">
        <v>251.91739932015284</v>
      </c>
      <c r="KE81" s="247">
        <v>251.07057288312549</v>
      </c>
      <c r="KF81" s="247">
        <v>250.22527600660703</v>
      </c>
      <c r="KG81" s="247">
        <v>249.38082108805321</v>
      </c>
      <c r="KH81" s="247">
        <v>248.53727283624417</v>
      </c>
      <c r="KI81" s="247">
        <v>247.694695737534</v>
      </c>
      <c r="KJ81" s="247">
        <v>246.85315374553809</v>
      </c>
      <c r="KK81" s="247">
        <v>246.0127105962691</v>
      </c>
      <c r="KL81" s="247">
        <v>245.17342979911729</v>
      </c>
      <c r="KM81" s="247">
        <v>244.33537464248857</v>
      </c>
      <c r="KN81" s="247">
        <v>243.49860803366647</v>
      </c>
      <c r="KO81" s="247">
        <v>242.66319264882708</v>
      </c>
      <c r="KP81" s="247">
        <v>241.82919078311565</v>
      </c>
      <c r="KQ81" s="247">
        <v>240.99666480980034</v>
      </c>
      <c r="KR81" s="247">
        <v>240.16640061978919</v>
      </c>
      <c r="KS81" s="247">
        <v>239.33762154596087</v>
      </c>
      <c r="KT81" s="247">
        <v>238.51028178812692</v>
      </c>
      <c r="KU81" s="247">
        <v>237.68433572960683</v>
      </c>
      <c r="KV81" s="247">
        <v>236.85973809484022</v>
      </c>
      <c r="KW81" s="247">
        <v>236.03644364696703</v>
      </c>
      <c r="KX81" s="247">
        <v>235.21440763403086</v>
      </c>
      <c r="KY81" s="247">
        <v>234.39358534395666</v>
      </c>
      <c r="KZ81" s="247">
        <v>233.57393225258545</v>
      </c>
      <c r="LA81" s="247">
        <v>232.75540416824558</v>
      </c>
      <c r="LB81" s="247">
        <v>231.9379569392438</v>
      </c>
      <c r="LC81" s="247">
        <v>231.12154660297006</v>
      </c>
      <c r="LD81" s="247">
        <v>230.28793048909293</v>
      </c>
      <c r="LE81" s="247">
        <v>229.45522263588049</v>
      </c>
      <c r="LF81" s="247">
        <v>228.62344500304593</v>
      </c>
      <c r="LG81" s="247">
        <v>227.79261949211664</v>
      </c>
      <c r="LH81" s="247">
        <v>226.96276781906994</v>
      </c>
      <c r="LI81" s="247">
        <v>226.13391177771595</v>
      </c>
      <c r="LJ81" s="247">
        <v>225.30607309993337</v>
      </c>
      <c r="LK81" s="247">
        <v>224.47927319749854</v>
      </c>
      <c r="LL81" s="247">
        <v>223.65353368330369</v>
      </c>
      <c r="LM81" s="247">
        <v>222.82887610204438</v>
      </c>
      <c r="LN81" s="247">
        <v>222.0053216732685</v>
      </c>
      <c r="LO81" s="247">
        <v>221.18289180943773</v>
      </c>
      <c r="LP81" s="247">
        <v>220.36247523683087</v>
      </c>
      <c r="LQ81" s="247">
        <v>219.54319903184748</v>
      </c>
      <c r="LR81" s="247">
        <v>218.72506374213285</v>
      </c>
      <c r="LS81" s="247">
        <v>217.90806991774221</v>
      </c>
      <c r="LT81" s="247">
        <v>217.09221824322901</v>
      </c>
      <c r="LU81" s="247">
        <v>216.27750940985618</v>
      </c>
      <c r="LV81" s="247">
        <v>215.46394410921832</v>
      </c>
      <c r="LW81" s="247">
        <v>214.65152303650447</v>
      </c>
      <c r="LX81" s="247">
        <v>213.84024701482713</v>
      </c>
      <c r="LY81" s="247">
        <v>213.03011673838381</v>
      </c>
      <c r="LZ81" s="247">
        <v>212.22113314737922</v>
      </c>
      <c r="MA81" s="247">
        <v>211.41329693282509</v>
      </c>
      <c r="MB81" s="247">
        <v>210.58787994614215</v>
      </c>
      <c r="MC81" s="247">
        <v>209.76348909261196</v>
      </c>
      <c r="MD81" s="247">
        <v>208.94012398769115</v>
      </c>
      <c r="ME81" s="247">
        <v>208.11778423133495</v>
      </c>
      <c r="MF81" s="247">
        <v>207.29646963530962</v>
      </c>
      <c r="MG81" s="247">
        <v>206.47617988917645</v>
      </c>
      <c r="MH81" s="247">
        <v>205.65691466517185</v>
      </c>
      <c r="MI81" s="247">
        <v>204.83867384003048</v>
      </c>
      <c r="MJ81" s="247">
        <v>204.02145716562069</v>
      </c>
      <c r="MK81" s="247">
        <v>203.20526447941447</v>
      </c>
      <c r="ML81" s="247">
        <v>202.3900957066663</v>
      </c>
      <c r="MM81" s="247">
        <v>201.57595075035795</v>
      </c>
      <c r="MN81" s="247">
        <v>200.7638214080842</v>
      </c>
      <c r="MO81" s="247">
        <v>199.95270580907973</v>
      </c>
      <c r="MP81" s="247">
        <v>199.14259948322768</v>
      </c>
      <c r="MQ81" s="247">
        <v>198.33349786610594</v>
      </c>
      <c r="MR81" s="247">
        <v>197.52539672970875</v>
      </c>
      <c r="MS81" s="247">
        <v>196.71829165005499</v>
      </c>
      <c r="MT81" s="247">
        <v>195.91217831796661</v>
      </c>
      <c r="MU81" s="247">
        <v>195.10705254223609</v>
      </c>
      <c r="MV81" s="247">
        <v>194.30291003853122</v>
      </c>
      <c r="MW81" s="247">
        <v>193.49974652757203</v>
      </c>
      <c r="MX81" s="247">
        <v>192.69755804715035</v>
      </c>
      <c r="MY81" s="247">
        <v>191.89634033125941</v>
      </c>
    </row>
    <row r="82" spans="1:363" ht="15.6" x14ac:dyDescent="0.3">
      <c r="A82" s="67" t="s">
        <v>7</v>
      </c>
      <c r="B82" s="72">
        <v>2092</v>
      </c>
      <c r="C82" s="247">
        <v>529.81317240153078</v>
      </c>
      <c r="D82" s="247">
        <v>528.78433736068325</v>
      </c>
      <c r="E82" s="247">
        <v>527.75550534119066</v>
      </c>
      <c r="F82" s="247">
        <v>526.72667712284317</v>
      </c>
      <c r="G82" s="247">
        <v>525.69785351379142</v>
      </c>
      <c r="H82" s="247">
        <v>524.6690353168915</v>
      </c>
      <c r="I82" s="247">
        <v>523.64022333050571</v>
      </c>
      <c r="J82" s="247">
        <v>522.61141834088346</v>
      </c>
      <c r="K82" s="247">
        <v>521.58262114993238</v>
      </c>
      <c r="L82" s="247">
        <v>520.55383257332369</v>
      </c>
      <c r="M82" s="247">
        <v>519.5250534007273</v>
      </c>
      <c r="N82" s="247">
        <v>518.49628444892983</v>
      </c>
      <c r="O82" s="247">
        <v>517.46752651096119</v>
      </c>
      <c r="P82" s="247">
        <v>516.43840503970409</v>
      </c>
      <c r="Q82" s="247">
        <v>515.40928405205534</v>
      </c>
      <c r="R82" s="247">
        <v>514.38016403496169</v>
      </c>
      <c r="S82" s="247">
        <v>513.35104550188009</v>
      </c>
      <c r="T82" s="247">
        <v>512.32192894322156</v>
      </c>
      <c r="U82" s="247">
        <v>511.29281486187011</v>
      </c>
      <c r="V82" s="247">
        <v>510.2637037717567</v>
      </c>
      <c r="W82" s="247">
        <v>509.23459616008495</v>
      </c>
      <c r="X82" s="247">
        <v>508.20549254876818</v>
      </c>
      <c r="Y82" s="247">
        <v>507.17639344834174</v>
      </c>
      <c r="Z82" s="247">
        <v>506.14729936398413</v>
      </c>
      <c r="AA82" s="247">
        <v>505.1182108236855</v>
      </c>
      <c r="AB82" s="247">
        <v>504.08878577643782</v>
      </c>
      <c r="AC82" s="247">
        <v>503.05935575249845</v>
      </c>
      <c r="AD82" s="247">
        <v>502.02992099981378</v>
      </c>
      <c r="AE82" s="247">
        <v>501.00048179985413</v>
      </c>
      <c r="AF82" s="247">
        <v>499.97103840383238</v>
      </c>
      <c r="AG82" s="247">
        <v>498.94159110146609</v>
      </c>
      <c r="AH82" s="247">
        <v>497.91214013665348</v>
      </c>
      <c r="AI82" s="247">
        <v>496.88268581700538</v>
      </c>
      <c r="AJ82" s="247">
        <v>495.85322838801579</v>
      </c>
      <c r="AK82" s="247">
        <v>494.82376817190988</v>
      </c>
      <c r="AL82" s="247">
        <v>493.79430543105218</v>
      </c>
      <c r="AM82" s="247">
        <v>492.76484046909962</v>
      </c>
      <c r="AN82" s="247">
        <v>491.73603063737141</v>
      </c>
      <c r="AO82" s="247">
        <v>490.70721363357745</v>
      </c>
      <c r="AP82" s="247">
        <v>489.6783908722619</v>
      </c>
      <c r="AQ82" s="247">
        <v>488.64956371882926</v>
      </c>
      <c r="AR82" s="247">
        <v>487.62073355773799</v>
      </c>
      <c r="AS82" s="247">
        <v>486.59190179501559</v>
      </c>
      <c r="AT82" s="247">
        <v>485.56306978389483</v>
      </c>
      <c r="AU82" s="247">
        <v>484.53423890577108</v>
      </c>
      <c r="AV82" s="247">
        <v>483.50541052886103</v>
      </c>
      <c r="AW82" s="247">
        <v>482.47658602536609</v>
      </c>
      <c r="AX82" s="247">
        <v>481.44776676562975</v>
      </c>
      <c r="AY82" s="247">
        <v>480.41895411668668</v>
      </c>
      <c r="AZ82" s="247">
        <v>479.39081200880025</v>
      </c>
      <c r="BA82" s="247">
        <v>478.36267062144441</v>
      </c>
      <c r="BB82" s="247">
        <v>477.33452936024793</v>
      </c>
      <c r="BC82" s="247">
        <v>476.30638762190137</v>
      </c>
      <c r="BD82" s="247">
        <v>475.27824481615028</v>
      </c>
      <c r="BE82" s="247">
        <v>474.25010035931979</v>
      </c>
      <c r="BF82" s="247">
        <v>473.22195368237539</v>
      </c>
      <c r="BG82" s="247">
        <v>472.19380422034311</v>
      </c>
      <c r="BH82" s="247">
        <v>471.16565141672476</v>
      </c>
      <c r="BI82" s="247">
        <v>470.13749472238391</v>
      </c>
      <c r="BJ82" s="247">
        <v>469.10933358990076</v>
      </c>
      <c r="BK82" s="247">
        <v>468.08116750804402</v>
      </c>
      <c r="BL82" s="247">
        <v>467.0548335671615</v>
      </c>
      <c r="BM82" s="247">
        <v>466.02849682033576</v>
      </c>
      <c r="BN82" s="247">
        <v>465.00216265582173</v>
      </c>
      <c r="BO82" s="247">
        <v>463.97583643174414</v>
      </c>
      <c r="BP82" s="247">
        <v>462.94952351818813</v>
      </c>
      <c r="BQ82" s="247">
        <v>461.92322923212276</v>
      </c>
      <c r="BR82" s="247">
        <v>460.89695884639241</v>
      </c>
      <c r="BS82" s="247">
        <v>459.87071762612118</v>
      </c>
      <c r="BT82" s="247">
        <v>458.84451078539621</v>
      </c>
      <c r="BU82" s="247">
        <v>457.81834355372371</v>
      </c>
      <c r="BV82" s="247">
        <v>456.79222110193984</v>
      </c>
      <c r="BW82" s="247">
        <v>455.76614856079453</v>
      </c>
      <c r="BX82" s="247">
        <v>454.74217974237376</v>
      </c>
      <c r="BY82" s="247">
        <v>453.71826632960193</v>
      </c>
      <c r="BZ82" s="247">
        <v>452.69440563632367</v>
      </c>
      <c r="CA82" s="247">
        <v>451.67059496806974</v>
      </c>
      <c r="CB82" s="247">
        <v>450.64683165651189</v>
      </c>
      <c r="CC82" s="247">
        <v>449.6231130623845</v>
      </c>
      <c r="CD82" s="247">
        <v>448.59943655399456</v>
      </c>
      <c r="CE82" s="247">
        <v>447.57579952542113</v>
      </c>
      <c r="CF82" s="247">
        <v>446.55219939131007</v>
      </c>
      <c r="CG82" s="247">
        <v>445.52863358690598</v>
      </c>
      <c r="CH82" s="247">
        <v>444.50509955966379</v>
      </c>
      <c r="CI82" s="247">
        <v>443.48159478927596</v>
      </c>
      <c r="CJ82" s="247">
        <v>442.46217022358093</v>
      </c>
      <c r="CK82" s="247">
        <v>441.44278290284529</v>
      </c>
      <c r="CL82" s="247">
        <v>440.4234355905125</v>
      </c>
      <c r="CM82" s="247">
        <v>439.40413097586219</v>
      </c>
      <c r="CN82" s="247">
        <v>438.38487177344734</v>
      </c>
      <c r="CO82" s="247">
        <v>437.36566066693683</v>
      </c>
      <c r="CP82" s="247">
        <v>436.34650033240405</v>
      </c>
      <c r="CQ82" s="247">
        <v>435.32739342202649</v>
      </c>
      <c r="CR82" s="247">
        <v>434.30834257104141</v>
      </c>
      <c r="CS82" s="247">
        <v>433.28935043384945</v>
      </c>
      <c r="CT82" s="247">
        <v>432.27041961341791</v>
      </c>
      <c r="CU82" s="247">
        <v>431.25155272124567</v>
      </c>
      <c r="CV82" s="247">
        <v>430.237737712713</v>
      </c>
      <c r="CW82" s="247">
        <v>429.22400577172561</v>
      </c>
      <c r="CX82" s="247">
        <v>428.21035765071912</v>
      </c>
      <c r="CY82" s="247">
        <v>427.1967941163312</v>
      </c>
      <c r="CZ82" s="247">
        <v>426.18331592151873</v>
      </c>
      <c r="DA82" s="247">
        <v>425.16992379773342</v>
      </c>
      <c r="DB82" s="247">
        <v>424.15661851097843</v>
      </c>
      <c r="DC82" s="247">
        <v>423.14340081254841</v>
      </c>
      <c r="DD82" s="247">
        <v>422.13027142002903</v>
      </c>
      <c r="DE82" s="247">
        <v>421.11723108838549</v>
      </c>
      <c r="DF82" s="247">
        <v>420.10428054014852</v>
      </c>
      <c r="DG82" s="247">
        <v>419.0914205082592</v>
      </c>
      <c r="DH82" s="247">
        <v>418.08483085288299</v>
      </c>
      <c r="DI82" s="247">
        <v>417.07836082448341</v>
      </c>
      <c r="DJ82" s="247">
        <v>416.07201799548312</v>
      </c>
      <c r="DK82" s="247">
        <v>415.06580995584699</v>
      </c>
      <c r="DL82" s="247">
        <v>414.05974419398444</v>
      </c>
      <c r="DM82" s="247">
        <v>413.05382820528513</v>
      </c>
      <c r="DN82" s="247">
        <v>412.0480693592342</v>
      </c>
      <c r="DO82" s="247">
        <v>411.04247507196129</v>
      </c>
      <c r="DP82" s="247">
        <v>410.03705261911114</v>
      </c>
      <c r="DQ82" s="247">
        <v>409.03180926937472</v>
      </c>
      <c r="DR82" s="247">
        <v>408.02675223475461</v>
      </c>
      <c r="DS82" s="247">
        <v>407.02188872072406</v>
      </c>
      <c r="DT82" s="247">
        <v>406.02499601016831</v>
      </c>
      <c r="DU82" s="247">
        <v>405.02835711567076</v>
      </c>
      <c r="DV82" s="247">
        <v>404.03198245525687</v>
      </c>
      <c r="DW82" s="247">
        <v>403.03588231568227</v>
      </c>
      <c r="DX82" s="247">
        <v>402.04006694368024</v>
      </c>
      <c r="DY82" s="247">
        <v>401.04454651952557</v>
      </c>
      <c r="DZ82" s="247">
        <v>400.0493311362722</v>
      </c>
      <c r="EA82" s="247">
        <v>399.05443084696276</v>
      </c>
      <c r="EB82" s="247">
        <v>398.05985561886752</v>
      </c>
      <c r="EC82" s="247">
        <v>397.06561533633322</v>
      </c>
      <c r="ED82" s="247">
        <v>396.07171981927326</v>
      </c>
      <c r="EE82" s="247">
        <v>395.07817882471738</v>
      </c>
      <c r="EF82" s="247">
        <v>394.09501664439864</v>
      </c>
      <c r="EG82" s="247">
        <v>393.112289312173</v>
      </c>
      <c r="EH82" s="247">
        <v>392.12999172870997</v>
      </c>
      <c r="EI82" s="247">
        <v>391.14811896798636</v>
      </c>
      <c r="EJ82" s="247">
        <v>390.16666601843491</v>
      </c>
      <c r="EK82" s="247">
        <v>389.185627957387</v>
      </c>
      <c r="EL82" s="247">
        <v>388.20499988136959</v>
      </c>
      <c r="EM82" s="247">
        <v>387.22477684777283</v>
      </c>
      <c r="EN82" s="247">
        <v>386.24495404701281</v>
      </c>
      <c r="EO82" s="247">
        <v>385.26552660333903</v>
      </c>
      <c r="EP82" s="247">
        <v>384.28648970866453</v>
      </c>
      <c r="EQ82" s="247">
        <v>383.30783857933426</v>
      </c>
      <c r="ER82" s="247">
        <v>382.33610061049529</v>
      </c>
      <c r="ES82" s="247">
        <v>381.36478553209167</v>
      </c>
      <c r="ET82" s="247">
        <v>380.39390095480326</v>
      </c>
      <c r="EU82" s="247">
        <v>379.42345464878065</v>
      </c>
      <c r="EV82" s="247">
        <v>378.45345414528714</v>
      </c>
      <c r="EW82" s="247">
        <v>377.48390702015018</v>
      </c>
      <c r="EX82" s="247">
        <v>376.51482074730166</v>
      </c>
      <c r="EY82" s="247">
        <v>375.54620275543152</v>
      </c>
      <c r="EZ82" s="247">
        <v>374.57806042146154</v>
      </c>
      <c r="FA82" s="247">
        <v>373.61040104831335</v>
      </c>
      <c r="FB82" s="247">
        <v>372.64323191254647</v>
      </c>
      <c r="FC82" s="247">
        <v>371.67656021820591</v>
      </c>
      <c r="FD82" s="247">
        <v>370.71106021663496</v>
      </c>
      <c r="FE82" s="247">
        <v>369.74606441582449</v>
      </c>
      <c r="FF82" s="247">
        <v>368.78157928629895</v>
      </c>
      <c r="FG82" s="247">
        <v>367.81761124494187</v>
      </c>
      <c r="FH82" s="247">
        <v>366.85416661855641</v>
      </c>
      <c r="FI82" s="247">
        <v>365.89125175594933</v>
      </c>
      <c r="FJ82" s="247">
        <v>364.92887290855151</v>
      </c>
      <c r="FK82" s="247">
        <v>363.96703628588523</v>
      </c>
      <c r="FL82" s="247">
        <v>363.00574804901157</v>
      </c>
      <c r="FM82" s="247">
        <v>362.04501428894804</v>
      </c>
      <c r="FN82" s="247">
        <v>361.08484107306703</v>
      </c>
      <c r="FO82" s="247">
        <v>360.12523440018731</v>
      </c>
      <c r="FP82" s="247">
        <v>359.16687143561154</v>
      </c>
      <c r="FQ82" s="247">
        <v>358.2090807300836</v>
      </c>
      <c r="FR82" s="247">
        <v>357.25186881604333</v>
      </c>
      <c r="FS82" s="247">
        <v>356.2952422562368</v>
      </c>
      <c r="FT82" s="247">
        <v>355.33920747226654</v>
      </c>
      <c r="FU82" s="247">
        <v>354.38377089911086</v>
      </c>
      <c r="FV82" s="247">
        <v>353.42893891369033</v>
      </c>
      <c r="FW82" s="247">
        <v>352.47471777681801</v>
      </c>
      <c r="FX82" s="247">
        <v>351.52111378355085</v>
      </c>
      <c r="FY82" s="247">
        <v>350.56813308555621</v>
      </c>
      <c r="FZ82" s="247">
        <v>349.615781892347</v>
      </c>
      <c r="GA82" s="247">
        <v>348.66406629389638</v>
      </c>
      <c r="GB82" s="247">
        <v>347.71366989463684</v>
      </c>
      <c r="GC82" s="247">
        <v>346.76392901122654</v>
      </c>
      <c r="GD82" s="247">
        <v>345.81486424850323</v>
      </c>
      <c r="GE82" s="247">
        <v>344.86649611893205</v>
      </c>
      <c r="GF82" s="247">
        <v>343.9188449200563</v>
      </c>
      <c r="GG82" s="247">
        <v>342.97193086286114</v>
      </c>
      <c r="GH82" s="247">
        <v>342.02577400225323</v>
      </c>
      <c r="GI82" s="247">
        <v>341.08039426762792</v>
      </c>
      <c r="GJ82" s="247">
        <v>340.13581143537698</v>
      </c>
      <c r="GK82" s="247">
        <v>339.19204512950409</v>
      </c>
      <c r="GL82" s="247">
        <v>338.24911484481322</v>
      </c>
      <c r="GM82" s="247">
        <v>337.30703996824371</v>
      </c>
      <c r="GN82" s="247">
        <v>336.36651538017355</v>
      </c>
      <c r="GO82" s="247">
        <v>335.42685488292165</v>
      </c>
      <c r="GP82" s="247">
        <v>334.48805484735965</v>
      </c>
      <c r="GQ82" s="247">
        <v>333.55011165090843</v>
      </c>
      <c r="GR82" s="247">
        <v>332.61302168578396</v>
      </c>
      <c r="GS82" s="247">
        <v>331.67678133538914</v>
      </c>
      <c r="GT82" s="247">
        <v>330.74138701221716</v>
      </c>
      <c r="GU82" s="247">
        <v>329.80683516640943</v>
      </c>
      <c r="GV82" s="247">
        <v>328.87312219587704</v>
      </c>
      <c r="GW82" s="247">
        <v>327.94024455142909</v>
      </c>
      <c r="GX82" s="247">
        <v>327.00819869626406</v>
      </c>
      <c r="GY82" s="247">
        <v>326.07698114729834</v>
      </c>
      <c r="GZ82" s="247">
        <v>325.14727701861551</v>
      </c>
      <c r="HA82" s="247">
        <v>324.2184143203346</v>
      </c>
      <c r="HB82" s="247">
        <v>323.29041655528636</v>
      </c>
      <c r="HC82" s="247">
        <v>322.36330694198597</v>
      </c>
      <c r="HD82" s="247">
        <v>321.43710860803753</v>
      </c>
      <c r="HE82" s="247">
        <v>320.51184450550204</v>
      </c>
      <c r="HF82" s="247">
        <v>319.58753748826058</v>
      </c>
      <c r="HG82" s="247">
        <v>318.66421017866622</v>
      </c>
      <c r="HH82" s="247">
        <v>317.74188512342658</v>
      </c>
      <c r="HI82" s="247">
        <v>316.82058471327753</v>
      </c>
      <c r="HJ82" s="247">
        <v>315.90033112426352</v>
      </c>
      <c r="HK82" s="247">
        <v>314.98114647877514</v>
      </c>
      <c r="HL82" s="247">
        <v>314.06373474203895</v>
      </c>
      <c r="HM82" s="247">
        <v>313.14738580018206</v>
      </c>
      <c r="HN82" s="247">
        <v>312.23207851175749</v>
      </c>
      <c r="HO82" s="247">
        <v>311.31779189707714</v>
      </c>
      <c r="HP82" s="247">
        <v>310.40450504810701</v>
      </c>
      <c r="HQ82" s="247">
        <v>309.49219724368697</v>
      </c>
      <c r="HR82" s="247">
        <v>308.58084780760601</v>
      </c>
      <c r="HS82" s="247">
        <v>307.67043621505832</v>
      </c>
      <c r="HT82" s="247">
        <v>306.76094206681819</v>
      </c>
      <c r="HU82" s="247">
        <v>305.85234505061015</v>
      </c>
      <c r="HV82" s="247">
        <v>304.94462500031415</v>
      </c>
      <c r="HW82" s="247">
        <v>304.03776179990729</v>
      </c>
      <c r="HX82" s="247">
        <v>303.13243505866222</v>
      </c>
      <c r="HY82" s="247">
        <v>302.22794732867374</v>
      </c>
      <c r="HZ82" s="247">
        <v>301.32430747087466</v>
      </c>
      <c r="IA82" s="247">
        <v>300.42152429117601</v>
      </c>
      <c r="IB82" s="247">
        <v>299.51960652994484</v>
      </c>
      <c r="IC82" s="247">
        <v>298.61856285950364</v>
      </c>
      <c r="ID82" s="247">
        <v>297.71840193629635</v>
      </c>
      <c r="IE82" s="247">
        <v>296.81913231464881</v>
      </c>
      <c r="IF82" s="247">
        <v>295.92076249758219</v>
      </c>
      <c r="IG82" s="247">
        <v>295.0233009368701</v>
      </c>
      <c r="IH82" s="247">
        <v>294.12675603400049</v>
      </c>
      <c r="II82" s="247">
        <v>293.23113614041961</v>
      </c>
      <c r="IJ82" s="247">
        <v>292.33715210340341</v>
      </c>
      <c r="IK82" s="247">
        <v>291.44411382795653</v>
      </c>
      <c r="IL82" s="247">
        <v>290.55204051554159</v>
      </c>
      <c r="IM82" s="247">
        <v>289.66095117330588</v>
      </c>
      <c r="IN82" s="247">
        <v>288.77086473346594</v>
      </c>
      <c r="IO82" s="247">
        <v>287.88180008677671</v>
      </c>
      <c r="IP82" s="247">
        <v>286.9937759131052</v>
      </c>
      <c r="IQ82" s="247">
        <v>286.10681079967435</v>
      </c>
      <c r="IR82" s="247">
        <v>285.22092330737854</v>
      </c>
      <c r="IS82" s="247">
        <v>284.33613182538784</v>
      </c>
      <c r="IT82" s="247">
        <v>283.45245464488244</v>
      </c>
      <c r="IU82" s="247">
        <v>282.56990995919341</v>
      </c>
      <c r="IV82" s="247">
        <v>281.68921590111472</v>
      </c>
      <c r="IW82" s="247">
        <v>280.809640225983</v>
      </c>
      <c r="IX82" s="247">
        <v>279.93115758890525</v>
      </c>
      <c r="IY82" s="247">
        <v>279.05374281719662</v>
      </c>
      <c r="IZ82" s="247">
        <v>278.17737081285435</v>
      </c>
      <c r="JA82" s="247">
        <v>277.30201669176222</v>
      </c>
      <c r="JB82" s="247">
        <v>276.42765563684094</v>
      </c>
      <c r="JC82" s="247">
        <v>275.55426299504995</v>
      </c>
      <c r="JD82" s="247">
        <v>274.68181425396875</v>
      </c>
      <c r="JE82" s="247">
        <v>273.81028497154904</v>
      </c>
      <c r="JF82" s="247">
        <v>272.93965088228879</v>
      </c>
      <c r="JG82" s="247">
        <v>272.06988786246683</v>
      </c>
      <c r="JH82" s="247">
        <v>271.20169163609506</v>
      </c>
      <c r="JI82" s="247">
        <v>270.33434383241467</v>
      </c>
      <c r="JJ82" s="247">
        <v>269.46785264849808</v>
      </c>
      <c r="JK82" s="247">
        <v>268.60222613721908</v>
      </c>
      <c r="JL82" s="247">
        <v>267.73747236982229</v>
      </c>
      <c r="JM82" s="247">
        <v>266.87359931450328</v>
      </c>
      <c r="JN82" s="247">
        <v>266.0106149490058</v>
      </c>
      <c r="JO82" s="247">
        <v>265.14852711725217</v>
      </c>
      <c r="JP82" s="247">
        <v>264.28734386024269</v>
      </c>
      <c r="JQ82" s="247">
        <v>263.42707274235795</v>
      </c>
      <c r="JR82" s="247">
        <v>262.56772169241765</v>
      </c>
      <c r="JS82" s="247">
        <v>261.70929849958236</v>
      </c>
      <c r="JT82" s="247">
        <v>260.85252968498276</v>
      </c>
      <c r="JU82" s="247">
        <v>259.99667705979772</v>
      </c>
      <c r="JV82" s="247">
        <v>259.14172807771149</v>
      </c>
      <c r="JW82" s="247">
        <v>258.28767039488872</v>
      </c>
      <c r="JX82" s="247">
        <v>257.43449155035552</v>
      </c>
      <c r="JY82" s="247">
        <v>256.58217929199435</v>
      </c>
      <c r="JZ82" s="247">
        <v>255.73072140649441</v>
      </c>
      <c r="KA82" s="247">
        <v>254.88010556612934</v>
      </c>
      <c r="KB82" s="247">
        <v>254.03031964964541</v>
      </c>
      <c r="KC82" s="247">
        <v>253.181351575153</v>
      </c>
      <c r="KD82" s="247">
        <v>252.33318930640564</v>
      </c>
      <c r="KE82" s="247">
        <v>251.48582069072802</v>
      </c>
      <c r="KF82" s="247">
        <v>250.63997746784588</v>
      </c>
      <c r="KG82" s="247">
        <v>249.79497407772666</v>
      </c>
      <c r="KH82" s="247">
        <v>248.95087502093949</v>
      </c>
      <c r="KI82" s="247">
        <v>248.10774457689365</v>
      </c>
      <c r="KJ82" s="247">
        <v>247.26564649459212</v>
      </c>
      <c r="KK82" s="247">
        <v>246.42464430667263</v>
      </c>
      <c r="KL82" s="247">
        <v>245.58480132041024</v>
      </c>
      <c r="KM82" s="247">
        <v>244.74618062334912</v>
      </c>
      <c r="KN82" s="247">
        <v>243.90884492368144</v>
      </c>
      <c r="KO82" s="247">
        <v>243.07285669973569</v>
      </c>
      <c r="KP82" s="247">
        <v>242.23827805056368</v>
      </c>
      <c r="KQ82" s="247">
        <v>241.40517115354459</v>
      </c>
      <c r="KR82" s="247">
        <v>240.57431954446466</v>
      </c>
      <c r="KS82" s="247">
        <v>239.74494889650941</v>
      </c>
      <c r="KT82" s="247">
        <v>238.91701357196678</v>
      </c>
      <c r="KU82" s="247">
        <v>238.090468115753</v>
      </c>
      <c r="KV82" s="247">
        <v>237.2652674125556</v>
      </c>
      <c r="KW82" s="247">
        <v>236.44136638538276</v>
      </c>
      <c r="KX82" s="247">
        <v>235.6187204403185</v>
      </c>
      <c r="KY82" s="247">
        <v>234.79728502298454</v>
      </c>
      <c r="KZ82" s="247">
        <v>233.97701576610609</v>
      </c>
      <c r="LA82" s="247">
        <v>233.15786863359105</v>
      </c>
      <c r="LB82" s="247">
        <v>232.33979962901978</v>
      </c>
      <c r="LC82" s="247">
        <v>231.52276494426269</v>
      </c>
      <c r="LD82" s="247">
        <v>230.68838138391789</v>
      </c>
      <c r="LE82" s="247">
        <v>229.85490288185579</v>
      </c>
      <c r="LF82" s="247">
        <v>229.02235131171224</v>
      </c>
      <c r="LG82" s="247">
        <v>228.19074848930586</v>
      </c>
      <c r="LH82" s="247">
        <v>227.36011604586949</v>
      </c>
      <c r="LI82" s="247">
        <v>226.53047569025688</v>
      </c>
      <c r="LJ82" s="247">
        <v>225.7018490697819</v>
      </c>
      <c r="LK82" s="247">
        <v>224.87425751316246</v>
      </c>
      <c r="LL82" s="247">
        <v>224.04772254950802</v>
      </c>
      <c r="LM82" s="247">
        <v>223.22226564013573</v>
      </c>
      <c r="LN82" s="247">
        <v>222.39790792273092</v>
      </c>
      <c r="LO82" s="247">
        <v>221.57467072719371</v>
      </c>
      <c r="LP82" s="247">
        <v>220.7534388252262</v>
      </c>
      <c r="LQ82" s="247">
        <v>219.93334317645551</v>
      </c>
      <c r="LR82" s="247">
        <v>219.11438433393906</v>
      </c>
      <c r="LS82" s="247">
        <v>218.29656285313652</v>
      </c>
      <c r="LT82" s="247">
        <v>217.47987942348266</v>
      </c>
      <c r="LU82" s="247">
        <v>216.66433474109843</v>
      </c>
      <c r="LV82" s="247">
        <v>215.84992950245385</v>
      </c>
      <c r="LW82" s="247">
        <v>215.03666440762595</v>
      </c>
      <c r="LX82" s="247">
        <v>214.22454028411207</v>
      </c>
      <c r="LY82" s="247">
        <v>213.41355783104405</v>
      </c>
      <c r="LZ82" s="247">
        <v>212.60371799256512</v>
      </c>
      <c r="MA82" s="247">
        <v>211.79502146470975</v>
      </c>
      <c r="MB82" s="247">
        <v>210.96861153340518</v>
      </c>
      <c r="MC82" s="247">
        <v>210.14322301557237</v>
      </c>
      <c r="MD82" s="247">
        <v>209.31885553444127</v>
      </c>
      <c r="ME82" s="247">
        <v>208.49550869777647</v>
      </c>
      <c r="MF82" s="247">
        <v>207.67318232406475</v>
      </c>
      <c r="MG82" s="247">
        <v>206.85187611019364</v>
      </c>
      <c r="MH82" s="247">
        <v>206.03158973579161</v>
      </c>
      <c r="MI82" s="247">
        <v>205.21232308391515</v>
      </c>
      <c r="MJ82" s="247">
        <v>204.39407591340358</v>
      </c>
      <c r="MK82" s="247">
        <v>203.57684806822385</v>
      </c>
      <c r="ML82" s="247">
        <v>202.7606394796689</v>
      </c>
      <c r="MM82" s="247">
        <v>201.94545005687132</v>
      </c>
      <c r="MN82" s="247">
        <v>201.13226564425906</v>
      </c>
      <c r="MO82" s="247">
        <v>200.32009034912627</v>
      </c>
      <c r="MP82" s="247">
        <v>199.50891972928645</v>
      </c>
      <c r="MQ82" s="247">
        <v>198.69874924868361</v>
      </c>
      <c r="MR82" s="247">
        <v>197.88957470594119</v>
      </c>
      <c r="MS82" s="247">
        <v>197.08139170468633</v>
      </c>
      <c r="MT82" s="247">
        <v>196.27419596272426</v>
      </c>
      <c r="MU82" s="247">
        <v>195.46798331521302</v>
      </c>
      <c r="MV82" s="247">
        <v>194.66274950466183</v>
      </c>
      <c r="MW82" s="247">
        <v>193.8584902785737</v>
      </c>
      <c r="MX82" s="247">
        <v>193.05520169988671</v>
      </c>
      <c r="MY82" s="247">
        <v>192.25287952930879</v>
      </c>
    </row>
    <row r="83" spans="1:363" ht="15.6" x14ac:dyDescent="0.3">
      <c r="A83" s="67" t="s">
        <v>7</v>
      </c>
      <c r="B83" s="72">
        <v>2093</v>
      </c>
      <c r="C83" s="247">
        <v>530.29280745469225</v>
      </c>
      <c r="D83" s="247">
        <v>529.26393615148356</v>
      </c>
      <c r="E83" s="247">
        <v>528.23506730643408</v>
      </c>
      <c r="F83" s="247">
        <v>527.20620169582423</v>
      </c>
      <c r="G83" s="247">
        <v>526.17734012383187</v>
      </c>
      <c r="H83" s="247">
        <v>525.14848338957734</v>
      </c>
      <c r="I83" s="247">
        <v>524.11963228779825</v>
      </c>
      <c r="J83" s="247">
        <v>523.09078760134389</v>
      </c>
      <c r="K83" s="247">
        <v>522.06195012862929</v>
      </c>
      <c r="L83" s="247">
        <v>521.03312068169839</v>
      </c>
      <c r="M83" s="247">
        <v>520.00430004707005</v>
      </c>
      <c r="N83" s="247">
        <v>518.97548903807001</v>
      </c>
      <c r="O83" s="247">
        <v>517.94668844474177</v>
      </c>
      <c r="P83" s="247">
        <v>516.91752309835806</v>
      </c>
      <c r="Q83" s="247">
        <v>515.88835765416968</v>
      </c>
      <c r="R83" s="247">
        <v>514.85919260016681</v>
      </c>
      <c r="S83" s="247">
        <v>513.83002845037504</v>
      </c>
      <c r="T83" s="247">
        <v>512.80086569630714</v>
      </c>
      <c r="U83" s="247">
        <v>511.77170484179805</v>
      </c>
      <c r="V83" s="247">
        <v>510.74254640158051</v>
      </c>
      <c r="W83" s="247">
        <v>509.71339086424416</v>
      </c>
      <c r="X83" s="247">
        <v>508.68423875261044</v>
      </c>
      <c r="Y83" s="247">
        <v>507.65509057838148</v>
      </c>
      <c r="Z83" s="247">
        <v>506.62594684809039</v>
      </c>
      <c r="AA83" s="247">
        <v>505.59680809083733</v>
      </c>
      <c r="AB83" s="247">
        <v>504.56733233424433</v>
      </c>
      <c r="AC83" s="247">
        <v>503.53785105660972</v>
      </c>
      <c r="AD83" s="247">
        <v>502.50836451111508</v>
      </c>
      <c r="AE83" s="247">
        <v>501.47887298383785</v>
      </c>
      <c r="AF83" s="247">
        <v>500.44937673128948</v>
      </c>
      <c r="AG83" s="247">
        <v>499.4198760478692</v>
      </c>
      <c r="AH83" s="247">
        <v>498.3903711829729</v>
      </c>
      <c r="AI83" s="247">
        <v>497.36086244877919</v>
      </c>
      <c r="AJ83" s="247">
        <v>496.33135009648703</v>
      </c>
      <c r="AK83" s="247">
        <v>495.3018344528009</v>
      </c>
      <c r="AL83" s="247">
        <v>494.27231578568689</v>
      </c>
      <c r="AM83" s="247">
        <v>493.2427944038198</v>
      </c>
      <c r="AN83" s="247">
        <v>492.21392185294911</v>
      </c>
      <c r="AO83" s="247">
        <v>491.185041621869</v>
      </c>
      <c r="AP83" s="247">
        <v>490.15615511049367</v>
      </c>
      <c r="AQ83" s="247">
        <v>489.1272636703855</v>
      </c>
      <c r="AR83" s="247">
        <v>488.09836867202301</v>
      </c>
      <c r="AS83" s="247">
        <v>487.06947150712108</v>
      </c>
      <c r="AT83" s="247">
        <v>486.04057351554883</v>
      </c>
      <c r="AU83" s="247">
        <v>485.01167606501332</v>
      </c>
      <c r="AV83" s="247">
        <v>483.98278051036129</v>
      </c>
      <c r="AW83" s="247">
        <v>482.95388821043031</v>
      </c>
      <c r="AX83" s="247">
        <v>481.9250005223509</v>
      </c>
      <c r="AY83" s="247">
        <v>480.89611880012421</v>
      </c>
      <c r="AZ83" s="247">
        <v>479.86790110658683</v>
      </c>
      <c r="BA83" s="247">
        <v>478.83968349011838</v>
      </c>
      <c r="BB83" s="247">
        <v>477.81146537599903</v>
      </c>
      <c r="BC83" s="247">
        <v>476.78324618065551</v>
      </c>
      <c r="BD83" s="247">
        <v>475.75502533351965</v>
      </c>
      <c r="BE83" s="247">
        <v>474.72680227052587</v>
      </c>
      <c r="BF83" s="247">
        <v>473.69857644202642</v>
      </c>
      <c r="BG83" s="247">
        <v>472.67034730251453</v>
      </c>
      <c r="BH83" s="247">
        <v>471.64211431489116</v>
      </c>
      <c r="BI83" s="247">
        <v>470.61387694936593</v>
      </c>
      <c r="BJ83" s="247">
        <v>469.58563467793641</v>
      </c>
      <c r="BK83" s="247">
        <v>468.55738700828198</v>
      </c>
      <c r="BL83" s="247">
        <v>467.53095848230964</v>
      </c>
      <c r="BM83" s="247">
        <v>466.50452661694243</v>
      </c>
      <c r="BN83" s="247">
        <v>465.47809672321409</v>
      </c>
      <c r="BO83" s="247">
        <v>464.45167408248767</v>
      </c>
      <c r="BP83" s="247">
        <v>463.42526398809525</v>
      </c>
      <c r="BQ83" s="247">
        <v>462.39887168115911</v>
      </c>
      <c r="BR83" s="247">
        <v>461.3725023594601</v>
      </c>
      <c r="BS83" s="247">
        <v>460.34616121334699</v>
      </c>
      <c r="BT83" s="247">
        <v>459.31985338306384</v>
      </c>
      <c r="BU83" s="247">
        <v>458.2935840241239</v>
      </c>
      <c r="BV83" s="247">
        <v>457.26735823444443</v>
      </c>
      <c r="BW83" s="247">
        <v>456.24118107263445</v>
      </c>
      <c r="BX83" s="247">
        <v>455.21709407185585</v>
      </c>
      <c r="BY83" s="247">
        <v>454.19306112286023</v>
      </c>
      <c r="BZ83" s="247">
        <v>453.16907958826391</v>
      </c>
      <c r="CA83" s="247">
        <v>452.14514682243282</v>
      </c>
      <c r="CB83" s="247">
        <v>451.12126020562096</v>
      </c>
      <c r="CC83" s="247">
        <v>450.09741714673271</v>
      </c>
      <c r="CD83" s="247">
        <v>449.07361506214403</v>
      </c>
      <c r="CE83" s="247">
        <v>448.04985139374537</v>
      </c>
      <c r="CF83" s="247">
        <v>447.02612360374405</v>
      </c>
      <c r="CG83" s="247">
        <v>446.00242917468444</v>
      </c>
      <c r="CH83" s="247">
        <v>444.97876560123092</v>
      </c>
      <c r="CI83" s="247">
        <v>443.95513040988283</v>
      </c>
      <c r="CJ83" s="247">
        <v>442.93555844595926</v>
      </c>
      <c r="CK83" s="247">
        <v>441.9160228275166</v>
      </c>
      <c r="CL83" s="247">
        <v>440.89652628955082</v>
      </c>
      <c r="CM83" s="247">
        <v>439.8770714938272</v>
      </c>
      <c r="CN83" s="247">
        <v>438.85766112722411</v>
      </c>
      <c r="CO83" s="247">
        <v>437.83829784617836</v>
      </c>
      <c r="CP83" s="247">
        <v>436.81898429968572</v>
      </c>
      <c r="CQ83" s="247">
        <v>435.79972311329539</v>
      </c>
      <c r="CR83" s="247">
        <v>434.7805168959157</v>
      </c>
      <c r="CS83" s="247">
        <v>433.76136827545952</v>
      </c>
      <c r="CT83" s="247">
        <v>432.74227982917091</v>
      </c>
      <c r="CU83" s="247">
        <v>431.72325414283478</v>
      </c>
      <c r="CV83" s="247">
        <v>430.7092692645146</v>
      </c>
      <c r="CW83" s="247">
        <v>429.6953662384193</v>
      </c>
      <c r="CX83" s="247">
        <v>428.68154581504785</v>
      </c>
      <c r="CY83" s="247">
        <v>427.66780875893301</v>
      </c>
      <c r="CZ83" s="247">
        <v>426.65415582120926</v>
      </c>
      <c r="DA83" s="247">
        <v>425.64058773177777</v>
      </c>
      <c r="DB83" s="247">
        <v>424.62710525475592</v>
      </c>
      <c r="DC83" s="247">
        <v>423.61370913983001</v>
      </c>
      <c r="DD83" s="247">
        <v>422.60040010341686</v>
      </c>
      <c r="DE83" s="247">
        <v>421.587178898969</v>
      </c>
      <c r="DF83" s="247">
        <v>420.57404624794424</v>
      </c>
      <c r="DG83" s="247">
        <v>419.56100288219926</v>
      </c>
      <c r="DH83" s="247">
        <v>418.55422918684332</v>
      </c>
      <c r="DI83" s="247">
        <v>417.54757385871324</v>
      </c>
      <c r="DJ83" s="247">
        <v>416.5410444081835</v>
      </c>
      <c r="DK83" s="247">
        <v>415.53464836305716</v>
      </c>
      <c r="DL83" s="247">
        <v>414.52839315063818</v>
      </c>
      <c r="DM83" s="247">
        <v>413.5222862052438</v>
      </c>
      <c r="DN83" s="247">
        <v>412.51633483648055</v>
      </c>
      <c r="DO83" s="247">
        <v>411.51054640034016</v>
      </c>
      <c r="DP83" s="247">
        <v>410.50492811368065</v>
      </c>
      <c r="DQ83" s="247">
        <v>409.49948718657527</v>
      </c>
      <c r="DR83" s="247">
        <v>408.49423077303828</v>
      </c>
      <c r="DS83" s="247">
        <v>407.4891660207453</v>
      </c>
      <c r="DT83" s="247">
        <v>406.49208736596557</v>
      </c>
      <c r="DU83" s="247">
        <v>405.49526070845019</v>
      </c>
      <c r="DV83" s="247">
        <v>404.49869639933411</v>
      </c>
      <c r="DW83" s="247">
        <v>403.50240465945927</v>
      </c>
      <c r="DX83" s="247">
        <v>402.50639567008386</v>
      </c>
      <c r="DY83" s="247">
        <v>401.51067954657799</v>
      </c>
      <c r="DZ83" s="247">
        <v>400.51526631779285</v>
      </c>
      <c r="EA83" s="247">
        <v>399.52016597300235</v>
      </c>
      <c r="EB83" s="247">
        <v>398.52538841642149</v>
      </c>
      <c r="EC83" s="247">
        <v>397.53094347003201</v>
      </c>
      <c r="ED83" s="247">
        <v>396.53684089196793</v>
      </c>
      <c r="EE83" s="247">
        <v>395.54309037804944</v>
      </c>
      <c r="EF83" s="247">
        <v>394.55976017516235</v>
      </c>
      <c r="EG83" s="247">
        <v>393.57686277380395</v>
      </c>
      <c r="EH83" s="247">
        <v>392.59439310330976</v>
      </c>
      <c r="EI83" s="247">
        <v>391.61234626549452</v>
      </c>
      <c r="EJ83" s="247">
        <v>390.6307172770907</v>
      </c>
      <c r="EK83" s="247">
        <v>389.64950124331074</v>
      </c>
      <c r="EL83" s="247">
        <v>388.66869328849486</v>
      </c>
      <c r="EM83" s="247">
        <v>387.68828849807613</v>
      </c>
      <c r="EN83" s="247">
        <v>386.70828208990633</v>
      </c>
      <c r="EO83" s="247">
        <v>385.72866921601775</v>
      </c>
      <c r="EP83" s="247">
        <v>384.74944509581877</v>
      </c>
      <c r="EQ83" s="247">
        <v>383.77060497308082</v>
      </c>
      <c r="ER83" s="247">
        <v>382.79871239108968</v>
      </c>
      <c r="ES83" s="247">
        <v>381.82724123044983</v>
      </c>
      <c r="ET83" s="247">
        <v>380.85619907658185</v>
      </c>
      <c r="EU83" s="247">
        <v>379.8855936738766</v>
      </c>
      <c r="EV83" s="247">
        <v>378.91543252888914</v>
      </c>
      <c r="EW83" s="247">
        <v>377.94572319267644</v>
      </c>
      <c r="EX83" s="247">
        <v>376.97647311490613</v>
      </c>
      <c r="EY83" s="247">
        <v>376.00768970030487</v>
      </c>
      <c r="EZ83" s="247">
        <v>375.03938030215664</v>
      </c>
      <c r="FA83" s="247">
        <v>374.07155220014425</v>
      </c>
      <c r="FB83" s="247">
        <v>373.1042126478244</v>
      </c>
      <c r="FC83" s="247">
        <v>372.13736882664529</v>
      </c>
      <c r="FD83" s="247">
        <v>371.17169279011375</v>
      </c>
      <c r="FE83" s="247">
        <v>370.20651921888793</v>
      </c>
      <c r="FF83" s="247">
        <v>369.24185456335147</v>
      </c>
      <c r="FG83" s="247">
        <v>368.27770522053754</v>
      </c>
      <c r="FH83" s="247">
        <v>367.31407749788241</v>
      </c>
      <c r="FI83" s="247">
        <v>366.35097772484403</v>
      </c>
      <c r="FJ83" s="247">
        <v>365.38841213398138</v>
      </c>
      <c r="FK83" s="247">
        <v>364.42638691622551</v>
      </c>
      <c r="FL83" s="247">
        <v>363.46490821435492</v>
      </c>
      <c r="FM83" s="247">
        <v>362.50398210147699</v>
      </c>
      <c r="FN83" s="247">
        <v>361.54361462726786</v>
      </c>
      <c r="FO83" s="247">
        <v>360.58381177324156</v>
      </c>
      <c r="FP83" s="247">
        <v>359.62524852090314</v>
      </c>
      <c r="FQ83" s="247">
        <v>358.66725558505181</v>
      </c>
      <c r="FR83" s="247">
        <v>357.70983947850681</v>
      </c>
      <c r="FS83" s="247">
        <v>356.75300674437915</v>
      </c>
      <c r="FT83" s="247">
        <v>355.79676378530951</v>
      </c>
      <c r="FU83" s="247">
        <v>354.8411170173656</v>
      </c>
      <c r="FV83" s="247">
        <v>353.88607279888606</v>
      </c>
      <c r="FW83" s="247">
        <v>352.93163737266701</v>
      </c>
      <c r="FX83" s="247">
        <v>351.97781701574922</v>
      </c>
      <c r="FY83" s="247">
        <v>351.02461786242088</v>
      </c>
      <c r="FZ83" s="247">
        <v>350.07204610474599</v>
      </c>
      <c r="GA83" s="247">
        <v>349.12010781581614</v>
      </c>
      <c r="GB83" s="247">
        <v>348.16948441652801</v>
      </c>
      <c r="GC83" s="247">
        <v>347.21951433637912</v>
      </c>
      <c r="GD83" s="247">
        <v>346.2702181094748</v>
      </c>
      <c r="GE83" s="247">
        <v>345.32161617810175</v>
      </c>
      <c r="GF83" s="247">
        <v>344.37372877067162</v>
      </c>
      <c r="GG83" s="247">
        <v>343.42657602957212</v>
      </c>
      <c r="GH83" s="247">
        <v>342.48017794190798</v>
      </c>
      <c r="GI83" s="247">
        <v>341.5345543699774</v>
      </c>
      <c r="GJ83" s="247">
        <v>340.58972502386649</v>
      </c>
      <c r="GK83" s="247">
        <v>339.64570946205566</v>
      </c>
      <c r="GL83" s="247">
        <v>338.70252711453702</v>
      </c>
      <c r="GM83" s="247">
        <v>337.76019730406824</v>
      </c>
      <c r="GN83" s="247">
        <v>336.8194127100349</v>
      </c>
      <c r="GO83" s="247">
        <v>335.87948930969083</v>
      </c>
      <c r="GP83" s="247">
        <v>334.94042349377349</v>
      </c>
      <c r="GQ83" s="247">
        <v>334.00221165955935</v>
      </c>
      <c r="GR83" s="247">
        <v>333.06485021913898</v>
      </c>
      <c r="GS83" s="247">
        <v>332.12833557583616</v>
      </c>
      <c r="GT83" s="247">
        <v>331.19266416200327</v>
      </c>
      <c r="GU83" s="247">
        <v>330.25783244754842</v>
      </c>
      <c r="GV83" s="247">
        <v>329.32383685039264</v>
      </c>
      <c r="GW83" s="247">
        <v>328.39067384119505</v>
      </c>
      <c r="GX83" s="247">
        <v>327.45833990302054</v>
      </c>
      <c r="GY83" s="247">
        <v>326.5268315725113</v>
      </c>
      <c r="GZ83" s="247">
        <v>325.59683181970615</v>
      </c>
      <c r="HA83" s="247">
        <v>324.66767075719844</v>
      </c>
      <c r="HB83" s="247">
        <v>323.73937180937304</v>
      </c>
      <c r="HC83" s="247">
        <v>322.81195811755362</v>
      </c>
      <c r="HD83" s="247">
        <v>321.88545273276492</v>
      </c>
      <c r="HE83" s="247">
        <v>320.95987853135324</v>
      </c>
      <c r="HF83" s="247">
        <v>320.03525829207592</v>
      </c>
      <c r="HG83" s="247">
        <v>319.11161456325539</v>
      </c>
      <c r="HH83" s="247">
        <v>318.1889698180953</v>
      </c>
      <c r="HI83" s="247">
        <v>317.26734637461522</v>
      </c>
      <c r="HJ83" s="247">
        <v>316.34676633717157</v>
      </c>
      <c r="HK83" s="247">
        <v>315.42725175690816</v>
      </c>
      <c r="HL83" s="247">
        <v>314.50950440799051</v>
      </c>
      <c r="HM83" s="247">
        <v>313.59281639845409</v>
      </c>
      <c r="HN83" s="247">
        <v>312.67716667053037</v>
      </c>
      <c r="HO83" s="247">
        <v>311.7625343275086</v>
      </c>
      <c r="HP83" s="247">
        <v>310.84889854400524</v>
      </c>
      <c r="HQ83" s="247">
        <v>309.9362386807353</v>
      </c>
      <c r="HR83" s="247">
        <v>309.02453414310219</v>
      </c>
      <c r="HS83" s="247">
        <v>308.11376448729538</v>
      </c>
      <c r="HT83" s="247">
        <v>307.20390939456252</v>
      </c>
      <c r="HU83" s="247">
        <v>306.29494863269724</v>
      </c>
      <c r="HV83" s="247">
        <v>305.38686211506433</v>
      </c>
      <c r="HW83" s="247">
        <v>304.47962980487381</v>
      </c>
      <c r="HX83" s="247">
        <v>303.57392922413032</v>
      </c>
      <c r="HY83" s="247">
        <v>302.66906508286138</v>
      </c>
      <c r="HZ83" s="247">
        <v>301.76504621759625</v>
      </c>
      <c r="IA83" s="247">
        <v>300.86188141016186</v>
      </c>
      <c r="IB83" s="247">
        <v>299.95957937723296</v>
      </c>
      <c r="IC83" s="247">
        <v>299.05814876780795</v>
      </c>
      <c r="ID83" s="247">
        <v>298.1575982151993</v>
      </c>
      <c r="IE83" s="247">
        <v>297.25793625111123</v>
      </c>
      <c r="IF83" s="247">
        <v>296.35917135627068</v>
      </c>
      <c r="IG83" s="247">
        <v>295.46131196046753</v>
      </c>
      <c r="IH83" s="247">
        <v>294.5643664435425</v>
      </c>
      <c r="II83" s="247">
        <v>293.66834313561162</v>
      </c>
      <c r="IJ83" s="247">
        <v>292.77395070232535</v>
      </c>
      <c r="IK83" s="247">
        <v>291.88050116596071</v>
      </c>
      <c r="IL83" s="247">
        <v>290.98801366830054</v>
      </c>
      <c r="IM83" s="247">
        <v>290.0965071576918</v>
      </c>
      <c r="IN83" s="247">
        <v>289.20600050804734</v>
      </c>
      <c r="IO83" s="247">
        <v>288.31651255215769</v>
      </c>
      <c r="IP83" s="247">
        <v>287.42806191287156</v>
      </c>
      <c r="IQ83" s="247">
        <v>286.54066712092623</v>
      </c>
      <c r="IR83" s="247">
        <v>285.65434668104177</v>
      </c>
      <c r="IS83" s="247">
        <v>284.76911892700451</v>
      </c>
      <c r="IT83" s="247">
        <v>283.88500209516991</v>
      </c>
      <c r="IU83" s="247">
        <v>283.00201432459437</v>
      </c>
      <c r="IV83" s="247">
        <v>282.12087155582776</v>
      </c>
      <c r="IW83" s="247">
        <v>281.2408437963033</v>
      </c>
      <c r="IX83" s="247">
        <v>280.36190579781572</v>
      </c>
      <c r="IY83" s="247">
        <v>279.48403248362439</v>
      </c>
      <c r="IZ83" s="247">
        <v>278.60719885132954</v>
      </c>
      <c r="JA83" s="247">
        <v>277.73138011154703</v>
      </c>
      <c r="JB83" s="247">
        <v>276.85655154159173</v>
      </c>
      <c r="JC83" s="247">
        <v>275.98268858214811</v>
      </c>
      <c r="JD83" s="247">
        <v>275.10976681394823</v>
      </c>
      <c r="JE83" s="247">
        <v>274.23776188775309</v>
      </c>
      <c r="JF83" s="247">
        <v>273.36664963017284</v>
      </c>
      <c r="JG83" s="247">
        <v>272.49640600904075</v>
      </c>
      <c r="JH83" s="247">
        <v>271.62772464351082</v>
      </c>
      <c r="JI83" s="247">
        <v>270.75988935481422</v>
      </c>
      <c r="JJ83" s="247">
        <v>269.89290831965985</v>
      </c>
      <c r="JK83" s="247">
        <v>269.02678957118144</v>
      </c>
      <c r="JL83" s="247">
        <v>268.16154116097943</v>
      </c>
      <c r="JM83" s="247">
        <v>267.2971710380869</v>
      </c>
      <c r="JN83" s="247">
        <v>266.43368716118846</v>
      </c>
      <c r="JO83" s="247">
        <v>265.57109735574619</v>
      </c>
      <c r="JP83" s="247">
        <v>264.70940964378474</v>
      </c>
      <c r="JQ83" s="247">
        <v>263.84863157246269</v>
      </c>
      <c r="JR83" s="247">
        <v>262.98877105229042</v>
      </c>
      <c r="JS83" s="247">
        <v>262.12983585474308</v>
      </c>
      <c r="JT83" s="247">
        <v>261.27255029907815</v>
      </c>
      <c r="JU83" s="247">
        <v>260.41617844853783</v>
      </c>
      <c r="JV83" s="247">
        <v>259.56070780784302</v>
      </c>
      <c r="JW83" s="247">
        <v>258.70612608348961</v>
      </c>
      <c r="JX83" s="247">
        <v>257.85242086525562</v>
      </c>
      <c r="JY83" s="247">
        <v>256.99957995105672</v>
      </c>
      <c r="JZ83" s="247">
        <v>256.14759117748338</v>
      </c>
      <c r="KA83" s="247">
        <v>255.29644226711352</v>
      </c>
      <c r="KB83" s="247">
        <v>254.44612114831673</v>
      </c>
      <c r="KC83" s="247">
        <v>253.59661578869813</v>
      </c>
      <c r="KD83" s="247">
        <v>252.74791420137899</v>
      </c>
      <c r="KE83" s="247">
        <v>251.90000428346912</v>
      </c>
      <c r="KF83" s="247">
        <v>251.05361556035658</v>
      </c>
      <c r="KG83" s="247">
        <v>250.20806454164182</v>
      </c>
      <c r="KH83" s="247">
        <v>249.36341551985907</v>
      </c>
      <c r="KI83" s="247">
        <v>248.51973256763361</v>
      </c>
      <c r="KJ83" s="247">
        <v>247.67707922951848</v>
      </c>
      <c r="KK83" s="247">
        <v>246.8355188349181</v>
      </c>
      <c r="KL83" s="247">
        <v>245.99511448914004</v>
      </c>
      <c r="KM83" s="247">
        <v>245.1559290789946</v>
      </c>
      <c r="KN83" s="247">
        <v>244.31802511370944</v>
      </c>
      <c r="KO83" s="247">
        <v>243.48146487388269</v>
      </c>
      <c r="KP83" s="247">
        <v>242.64631026258047</v>
      </c>
      <c r="KQ83" s="247">
        <v>241.81262326139932</v>
      </c>
      <c r="KR83" s="247">
        <v>240.98118502356172</v>
      </c>
      <c r="KS83" s="247">
        <v>240.15122358960215</v>
      </c>
      <c r="KT83" s="247">
        <v>239.32269348397045</v>
      </c>
      <c r="KU83" s="247">
        <v>238.49554941286951</v>
      </c>
      <c r="KV83" s="247">
        <v>237.66974642092967</v>
      </c>
      <c r="KW83" s="247">
        <v>236.84523959072584</v>
      </c>
      <c r="KX83" s="247">
        <v>236.02198448608499</v>
      </c>
      <c r="KY83" s="247">
        <v>235.1999367100355</v>
      </c>
      <c r="KZ83" s="247">
        <v>234.37905205189563</v>
      </c>
      <c r="LA83" s="247">
        <v>233.55928663086848</v>
      </c>
      <c r="LB83" s="247">
        <v>232.7405966055278</v>
      </c>
      <c r="LC83" s="247">
        <v>231.92293832194554</v>
      </c>
      <c r="LD83" s="247">
        <v>231.0877894875546</v>
      </c>
      <c r="LE83" s="247">
        <v>230.25354251158552</v>
      </c>
      <c r="LF83" s="247">
        <v>229.42021918174402</v>
      </c>
      <c r="LG83" s="247">
        <v>228.58784122828897</v>
      </c>
      <c r="LH83" s="247">
        <v>227.75643019784579</v>
      </c>
      <c r="LI83" s="247">
        <v>226.92600771445382</v>
      </c>
      <c r="LJ83" s="247">
        <v>226.0965953410001</v>
      </c>
      <c r="LK83" s="247">
        <v>225.26821432327679</v>
      </c>
      <c r="LL83" s="247">
        <v>224.44088610674694</v>
      </c>
      <c r="LM83" s="247">
        <v>223.61463206948088</v>
      </c>
      <c r="LN83" s="247">
        <v>222.78947326742659</v>
      </c>
      <c r="LO83" s="247">
        <v>221.96543094805276</v>
      </c>
      <c r="LP83" s="247">
        <v>221.14338591053721</v>
      </c>
      <c r="LQ83" s="247">
        <v>220.32247301562435</v>
      </c>
      <c r="LR83" s="247">
        <v>219.50269282170015</v>
      </c>
      <c r="LS83" s="247">
        <v>218.6840458895399</v>
      </c>
      <c r="LT83" s="247">
        <v>217.86653291337535</v>
      </c>
      <c r="LU83" s="247">
        <v>217.05015459410177</v>
      </c>
      <c r="LV83" s="247">
        <v>216.23491163297635</v>
      </c>
      <c r="LW83" s="247">
        <v>215.42080473488372</v>
      </c>
      <c r="LX83" s="247">
        <v>214.60783473161717</v>
      </c>
      <c r="LY83" s="247">
        <v>213.79600232716226</v>
      </c>
      <c r="LZ83" s="247">
        <v>212.98530846951775</v>
      </c>
      <c r="MA83" s="247">
        <v>212.17575385965333</v>
      </c>
      <c r="MB83" s="247">
        <v>211.34835496223121</v>
      </c>
      <c r="MC83" s="247">
        <v>210.52197277208202</v>
      </c>
      <c r="MD83" s="247">
        <v>209.69660692016782</v>
      </c>
      <c r="ME83" s="247">
        <v>208.87225702202434</v>
      </c>
      <c r="MF83" s="247">
        <v>208.04892290282305</v>
      </c>
      <c r="MG83" s="247">
        <v>207.22660426673994</v>
      </c>
      <c r="MH83" s="247">
        <v>206.40530080076087</v>
      </c>
      <c r="MI83" s="247">
        <v>205.58501239423586</v>
      </c>
      <c r="MJ83" s="247">
        <v>204.765738812943</v>
      </c>
      <c r="MK83" s="247">
        <v>203.94747990731426</v>
      </c>
      <c r="ML83" s="247">
        <v>203.13023561465764</v>
      </c>
      <c r="MM83" s="247">
        <v>202.3140058502326</v>
      </c>
      <c r="MN83" s="247">
        <v>201.49977050337029</v>
      </c>
      <c r="MO83" s="247">
        <v>200.68653966129739</v>
      </c>
      <c r="MP83" s="247">
        <v>199.87430890965786</v>
      </c>
      <c r="MQ83" s="247">
        <v>199.06307374066446</v>
      </c>
      <c r="MR83" s="247">
        <v>198.25282997947699</v>
      </c>
      <c r="MS83" s="247">
        <v>197.44357325723635</v>
      </c>
      <c r="MT83" s="247">
        <v>196.63529931864267</v>
      </c>
      <c r="MU83" s="247">
        <v>195.82800402513044</v>
      </c>
      <c r="MV83" s="247">
        <v>195.02168314596372</v>
      </c>
      <c r="MW83" s="247">
        <v>194.21633245534335</v>
      </c>
      <c r="MX83" s="247">
        <v>193.41194804127497</v>
      </c>
      <c r="MY83" s="247">
        <v>192.60852569109494</v>
      </c>
    </row>
    <row r="84" spans="1:363" ht="15.6" x14ac:dyDescent="0.3">
      <c r="A84" s="67" t="s">
        <v>7</v>
      </c>
      <c r="B84" s="72">
        <v>2094</v>
      </c>
      <c r="C84" s="247">
        <v>530.77087412451215</v>
      </c>
      <c r="D84" s="247">
        <v>529.74196859736242</v>
      </c>
      <c r="E84" s="247">
        <v>528.71306497735782</v>
      </c>
      <c r="F84" s="247">
        <v>527.68416403730669</v>
      </c>
      <c r="G84" s="247">
        <v>526.65526657744942</v>
      </c>
      <c r="H84" s="247">
        <v>525.62637339321338</v>
      </c>
      <c r="I84" s="247">
        <v>524.59748527575516</v>
      </c>
      <c r="J84" s="247">
        <v>523.56860300455241</v>
      </c>
      <c r="K84" s="247">
        <v>522.53972737456468</v>
      </c>
      <c r="L84" s="247">
        <v>521.51085919425293</v>
      </c>
      <c r="M84" s="247">
        <v>520.48199924701396</v>
      </c>
      <c r="N84" s="247">
        <v>519.45314834275041</v>
      </c>
      <c r="O84" s="247">
        <v>518.42430726855173</v>
      </c>
      <c r="P84" s="247">
        <v>517.39510037205469</v>
      </c>
      <c r="Q84" s="247">
        <v>516.36589280961095</v>
      </c>
      <c r="R84" s="247">
        <v>515.33668507021412</v>
      </c>
      <c r="S84" s="247">
        <v>514.3074776684299</v>
      </c>
      <c r="T84" s="247">
        <v>513.27827109684449</v>
      </c>
      <c r="U84" s="247">
        <v>512.24906586020438</v>
      </c>
      <c r="V84" s="247">
        <v>511.21986247402037</v>
      </c>
      <c r="W84" s="247">
        <v>510.19066142822868</v>
      </c>
      <c r="X84" s="247">
        <v>509.16146324652624</v>
      </c>
      <c r="Y84" s="247">
        <v>508.13226844175074</v>
      </c>
      <c r="Z84" s="247">
        <v>507.1030775217568</v>
      </c>
      <c r="AA84" s="247">
        <v>506.07389101671805</v>
      </c>
      <c r="AB84" s="247">
        <v>505.044367162029</v>
      </c>
      <c r="AC84" s="247">
        <v>504.01483725538907</v>
      </c>
      <c r="AD84" s="247">
        <v>502.98530155510537</v>
      </c>
      <c r="AE84" s="247">
        <v>501.95576035176742</v>
      </c>
      <c r="AF84" s="247">
        <v>500.92621390708018</v>
      </c>
      <c r="AG84" s="247">
        <v>499.89666252002502</v>
      </c>
      <c r="AH84" s="247">
        <v>498.86710644538471</v>
      </c>
      <c r="AI84" s="247">
        <v>497.83754599981376</v>
      </c>
      <c r="AJ84" s="247">
        <v>496.80798144010413</v>
      </c>
      <c r="AK84" s="247">
        <v>495.77841309734413</v>
      </c>
      <c r="AL84" s="247">
        <v>494.7488412449963</v>
      </c>
      <c r="AM84" s="247">
        <v>493.71926619665305</v>
      </c>
      <c r="AN84" s="247">
        <v>492.6903337395072</v>
      </c>
      <c r="AO84" s="247">
        <v>491.66139310677318</v>
      </c>
      <c r="AP84" s="247">
        <v>490.63244568396533</v>
      </c>
      <c r="AQ84" s="247">
        <v>489.60349280902005</v>
      </c>
      <c r="AR84" s="247">
        <v>488.57453583864356</v>
      </c>
      <c r="AS84" s="247">
        <v>487.54557615046741</v>
      </c>
      <c r="AT84" s="247">
        <v>486.51661507119832</v>
      </c>
      <c r="AU84" s="247">
        <v>485.4876539550728</v>
      </c>
      <c r="AV84" s="247">
        <v>484.45869414376898</v>
      </c>
      <c r="AW84" s="247">
        <v>483.42973698297533</v>
      </c>
      <c r="AX84" s="247">
        <v>482.40078381681121</v>
      </c>
      <c r="AY84" s="247">
        <v>481.37183598644589</v>
      </c>
      <c r="AZ84" s="247">
        <v>480.34354573535711</v>
      </c>
      <c r="BA84" s="247">
        <v>479.31525493285039</v>
      </c>
      <c r="BB84" s="247">
        <v>478.28696302350011</v>
      </c>
      <c r="BC84" s="247">
        <v>477.25866944312406</v>
      </c>
      <c r="BD84" s="247">
        <v>476.23037364048895</v>
      </c>
      <c r="BE84" s="247">
        <v>475.20207507078572</v>
      </c>
      <c r="BF84" s="247">
        <v>474.17377320341416</v>
      </c>
      <c r="BG84" s="247">
        <v>473.14546751198947</v>
      </c>
      <c r="BH84" s="247">
        <v>472.1171574784654</v>
      </c>
      <c r="BI84" s="247">
        <v>471.08884259206104</v>
      </c>
      <c r="BJ84" s="247">
        <v>470.06052234384345</v>
      </c>
      <c r="BK84" s="247">
        <v>469.03219626007677</v>
      </c>
      <c r="BL84" s="247">
        <v>468.00567627982076</v>
      </c>
      <c r="BM84" s="247">
        <v>466.97915243900098</v>
      </c>
      <c r="BN84" s="247">
        <v>465.95262997262569</v>
      </c>
      <c r="BO84" s="247">
        <v>464.9261140864852</v>
      </c>
      <c r="BP84" s="247">
        <v>463.89960999834415</v>
      </c>
      <c r="BQ84" s="247">
        <v>462.87312287465858</v>
      </c>
      <c r="BR84" s="247">
        <v>461.84665783930126</v>
      </c>
      <c r="BS84" s="247">
        <v>460.82022000900946</v>
      </c>
      <c r="BT84" s="247">
        <v>459.79381445131941</v>
      </c>
      <c r="BU84" s="247">
        <v>458.76744624890364</v>
      </c>
      <c r="BV84" s="247">
        <v>457.74112042788619</v>
      </c>
      <c r="BW84" s="247">
        <v>456.7148419758509</v>
      </c>
      <c r="BX84" s="247">
        <v>455.69064005647527</v>
      </c>
      <c r="BY84" s="247">
        <v>454.66649085852163</v>
      </c>
      <c r="BZ84" s="247">
        <v>453.64239179263876</v>
      </c>
      <c r="CA84" s="247">
        <v>452.6183402612873</v>
      </c>
      <c r="CB84" s="247">
        <v>451.59433369256919</v>
      </c>
      <c r="CC84" s="247">
        <v>450.57036954282825</v>
      </c>
      <c r="CD84" s="247">
        <v>449.54644527578722</v>
      </c>
      <c r="CE84" s="247">
        <v>448.52255838042527</v>
      </c>
      <c r="CF84" s="247">
        <v>447.49870636578822</v>
      </c>
      <c r="CG84" s="247">
        <v>446.47488676101784</v>
      </c>
      <c r="CH84" s="247">
        <v>445.45109710727024</v>
      </c>
      <c r="CI84" s="247">
        <v>444.42733497715358</v>
      </c>
      <c r="CJ84" s="247">
        <v>443.40761877766664</v>
      </c>
      <c r="CK84" s="247">
        <v>442.3879380386756</v>
      </c>
      <c r="CL84" s="247">
        <v>441.36829546706605</v>
      </c>
      <c r="CM84" s="247">
        <v>440.34869369742319</v>
      </c>
      <c r="CN84" s="247">
        <v>439.3291353892746</v>
      </c>
      <c r="CO84" s="247">
        <v>438.30962317215938</v>
      </c>
      <c r="CP84" s="247">
        <v>437.29015966831491</v>
      </c>
      <c r="CQ84" s="247">
        <v>436.27074747697912</v>
      </c>
      <c r="CR84" s="247">
        <v>435.2513891810533</v>
      </c>
      <c r="CS84" s="247">
        <v>434.23208738227271</v>
      </c>
      <c r="CT84" s="247">
        <v>433.21284463247093</v>
      </c>
      <c r="CU84" s="247">
        <v>432.19366349202107</v>
      </c>
      <c r="CV84" s="247">
        <v>431.17951161425265</v>
      </c>
      <c r="CW84" s="247">
        <v>430.16544038888213</v>
      </c>
      <c r="CX84" s="247">
        <v>429.15145056447312</v>
      </c>
      <c r="CY84" s="247">
        <v>428.13754290346071</v>
      </c>
      <c r="CZ84" s="247">
        <v>427.1237181551561</v>
      </c>
      <c r="DA84" s="247">
        <v>426.10997704791225</v>
      </c>
      <c r="DB84" s="247">
        <v>425.09632034396299</v>
      </c>
      <c r="DC84" s="247">
        <v>424.08274879138872</v>
      </c>
      <c r="DD84" s="247">
        <v>423.06926310542974</v>
      </c>
      <c r="DE84" s="247">
        <v>422.0558640380267</v>
      </c>
      <c r="DF84" s="247">
        <v>421.0425523095642</v>
      </c>
      <c r="DG84" s="247">
        <v>420.0293286508072</v>
      </c>
      <c r="DH84" s="247">
        <v>419.02237332606313</v>
      </c>
      <c r="DI84" s="247">
        <v>418.01553512164344</v>
      </c>
      <c r="DJ84" s="247">
        <v>417.00882148637487</v>
      </c>
      <c r="DK84" s="247">
        <v>416.00223988640852</v>
      </c>
      <c r="DL84" s="247">
        <v>414.99579768844126</v>
      </c>
      <c r="DM84" s="247">
        <v>413.98950226620968</v>
      </c>
      <c r="DN84" s="247">
        <v>412.98336086993385</v>
      </c>
      <c r="DO84" s="247">
        <v>411.97738079594944</v>
      </c>
      <c r="DP84" s="247">
        <v>410.97156920280906</v>
      </c>
      <c r="DQ84" s="247">
        <v>409.96593324244247</v>
      </c>
      <c r="DR84" s="247">
        <v>408.96048001134511</v>
      </c>
      <c r="DS84" s="247">
        <v>407.95521659986036</v>
      </c>
      <c r="DT84" s="247">
        <v>406.95795380210751</v>
      </c>
      <c r="DU84" s="247">
        <v>405.96094119594466</v>
      </c>
      <c r="DV84" s="247">
        <v>404.96418906600462</v>
      </c>
      <c r="DW84" s="247">
        <v>403.96770756761225</v>
      </c>
      <c r="DX84" s="247">
        <v>402.97150681694438</v>
      </c>
      <c r="DY84" s="247">
        <v>401.97559686484442</v>
      </c>
      <c r="DZ84" s="247">
        <v>400.97998767634641</v>
      </c>
      <c r="EA84" s="247">
        <v>399.98468917732754</v>
      </c>
      <c r="EB84" s="247">
        <v>398.98971120931895</v>
      </c>
      <c r="EC84" s="247">
        <v>397.99506353230811</v>
      </c>
      <c r="ED84" s="247">
        <v>397.00075584300873</v>
      </c>
      <c r="EE84" s="247">
        <v>396.00679777639334</v>
      </c>
      <c r="EF84" s="247">
        <v>395.02330062172706</v>
      </c>
      <c r="EG84" s="247">
        <v>394.04023423126165</v>
      </c>
      <c r="EH84" s="247">
        <v>393.05759356286973</v>
      </c>
      <c r="EI84" s="247">
        <v>392.0753737460675</v>
      </c>
      <c r="EJ84" s="247">
        <v>391.09356982575616</v>
      </c>
      <c r="EK84" s="247">
        <v>390.11217693490693</v>
      </c>
      <c r="EL84" s="247">
        <v>389.13119022553622</v>
      </c>
      <c r="EM84" s="247">
        <v>388.15060481099334</v>
      </c>
      <c r="EN84" s="247">
        <v>387.17041593644069</v>
      </c>
      <c r="EO84" s="247">
        <v>386.19061878155941</v>
      </c>
      <c r="EP84" s="247">
        <v>385.21120859313498</v>
      </c>
      <c r="EQ84" s="247">
        <v>384.23218064223289</v>
      </c>
      <c r="ER84" s="247">
        <v>383.26013413374636</v>
      </c>
      <c r="ES84" s="247">
        <v>382.28850758211689</v>
      </c>
      <c r="ET84" s="247">
        <v>381.31730854754983</v>
      </c>
      <c r="EU84" s="247">
        <v>380.3465447487244</v>
      </c>
      <c r="EV84" s="247">
        <v>379.3762236675268</v>
      </c>
      <c r="EW84" s="247">
        <v>378.40635283028797</v>
      </c>
      <c r="EX84" s="247">
        <v>377.43693966244774</v>
      </c>
      <c r="EY84" s="247">
        <v>376.46799154480721</v>
      </c>
      <c r="EZ84" s="247">
        <v>375.49951580705527</v>
      </c>
      <c r="FA84" s="247">
        <v>374.53151970566489</v>
      </c>
      <c r="FB84" s="247">
        <v>373.56401047122461</v>
      </c>
      <c r="FC84" s="247">
        <v>372.5969952626175</v>
      </c>
      <c r="FD84" s="247">
        <v>371.63114391225702</v>
      </c>
      <c r="FE84" s="247">
        <v>370.66579329663153</v>
      </c>
      <c r="FF84" s="247">
        <v>369.70094984600343</v>
      </c>
      <c r="FG84" s="247">
        <v>368.73661993758259</v>
      </c>
      <c r="FH84" s="247">
        <v>367.77280985945924</v>
      </c>
      <c r="FI84" s="247">
        <v>366.80952592176033</v>
      </c>
      <c r="FJ84" s="247">
        <v>365.84677433819161</v>
      </c>
      <c r="FK84" s="247">
        <v>364.88456128111073</v>
      </c>
      <c r="FL84" s="247">
        <v>363.92289287502996</v>
      </c>
      <c r="FM84" s="247">
        <v>362.96177517515747</v>
      </c>
      <c r="FN84" s="247">
        <v>362.00121421349161</v>
      </c>
      <c r="FO84" s="247">
        <v>361.04121595424891</v>
      </c>
      <c r="FP84" s="247">
        <v>360.0824531715329</v>
      </c>
      <c r="FQ84" s="247">
        <v>359.12425876767611</v>
      </c>
      <c r="FR84" s="247">
        <v>358.16663923589567</v>
      </c>
      <c r="FS84" s="247">
        <v>357.20960109968308</v>
      </c>
      <c r="FT84" s="247">
        <v>356.25315074272277</v>
      </c>
      <c r="FU84" s="247">
        <v>355.29729456218854</v>
      </c>
      <c r="FV84" s="247">
        <v>354.34203889784897</v>
      </c>
      <c r="FW84" s="247">
        <v>353.3873899744865</v>
      </c>
      <c r="FX84" s="247">
        <v>352.43335405113351</v>
      </c>
      <c r="FY84" s="247">
        <v>351.47993724471013</v>
      </c>
      <c r="FZ84" s="247">
        <v>350.52714572982916</v>
      </c>
      <c r="GA84" s="247">
        <v>349.57498556270662</v>
      </c>
      <c r="GB84" s="247">
        <v>348.62413595678322</v>
      </c>
      <c r="GC84" s="247">
        <v>347.67393747829425</v>
      </c>
      <c r="GD84" s="247">
        <v>346.72441059073884</v>
      </c>
      <c r="GE84" s="247">
        <v>345.77557566634675</v>
      </c>
      <c r="GF84" s="247">
        <v>344.82745286451552</v>
      </c>
      <c r="GG84" s="247">
        <v>343.88006225915029</v>
      </c>
      <c r="GH84" s="247">
        <v>342.93342376966979</v>
      </c>
      <c r="GI84" s="247">
        <v>341.98755719137841</v>
      </c>
      <c r="GJ84" s="247">
        <v>341.04248216816694</v>
      </c>
      <c r="GK84" s="247">
        <v>340.09821819309008</v>
      </c>
      <c r="GL84" s="247">
        <v>339.15478463142693</v>
      </c>
      <c r="GM84" s="247">
        <v>338.21220074185123</v>
      </c>
      <c r="GN84" s="247">
        <v>337.2711569785485</v>
      </c>
      <c r="GO84" s="247">
        <v>336.33097151775365</v>
      </c>
      <c r="GP84" s="247">
        <v>335.39164076997162</v>
      </c>
      <c r="GQ84" s="247">
        <v>334.45316115224352</v>
      </c>
      <c r="GR84" s="247">
        <v>333.51552909642919</v>
      </c>
      <c r="GS84" s="247">
        <v>332.57874102568815</v>
      </c>
      <c r="GT84" s="247">
        <v>331.64279339212783</v>
      </c>
      <c r="GU84" s="247">
        <v>330.70768268532885</v>
      </c>
      <c r="GV84" s="247">
        <v>329.77340534312708</v>
      </c>
      <c r="GW84" s="247">
        <v>328.83995785593919</v>
      </c>
      <c r="GX84" s="247">
        <v>327.90733672659366</v>
      </c>
      <c r="GY84" s="247">
        <v>326.97553851136399</v>
      </c>
      <c r="GZ84" s="247">
        <v>326.04524401160108</v>
      </c>
      <c r="HA84" s="247">
        <v>325.11578546688293</v>
      </c>
      <c r="HB84" s="247">
        <v>324.18718622325929</v>
      </c>
      <c r="HC84" s="247">
        <v>323.25946934497767</v>
      </c>
      <c r="HD84" s="247">
        <v>322.3326578065857</v>
      </c>
      <c r="HE84" s="247">
        <v>321.40677440881171</v>
      </c>
      <c r="HF84" s="247">
        <v>320.4818418553956</v>
      </c>
      <c r="HG84" s="247">
        <v>319.55788262071985</v>
      </c>
      <c r="HH84" s="247">
        <v>318.63491910457032</v>
      </c>
      <c r="HI84" s="247">
        <v>317.71297355234367</v>
      </c>
      <c r="HJ84" s="247">
        <v>316.79206799679025</v>
      </c>
      <c r="HK84" s="247">
        <v>315.87222441788475</v>
      </c>
      <c r="HL84" s="247">
        <v>314.95414237385086</v>
      </c>
      <c r="HM84" s="247">
        <v>314.03711621919541</v>
      </c>
      <c r="HN84" s="247">
        <v>313.12112497958731</v>
      </c>
      <c r="HO84" s="247">
        <v>312.20614784106289</v>
      </c>
      <c r="HP84" s="247">
        <v>311.29216406065484</v>
      </c>
      <c r="HQ84" s="247">
        <v>310.37915308072149</v>
      </c>
      <c r="HR84" s="247">
        <v>309.46709438805743</v>
      </c>
      <c r="HS84" s="247">
        <v>308.55596761962158</v>
      </c>
      <c r="HT84" s="247">
        <v>307.64575253691157</v>
      </c>
      <c r="HU84" s="247">
        <v>306.7364289875681</v>
      </c>
      <c r="HV84" s="247">
        <v>305.82797696422227</v>
      </c>
      <c r="HW84" s="247">
        <v>304.92037650910504</v>
      </c>
      <c r="HX84" s="247">
        <v>304.01430303154524</v>
      </c>
      <c r="HY84" s="247">
        <v>303.10906342452688</v>
      </c>
      <c r="HZ84" s="247">
        <v>302.20466650016112</v>
      </c>
      <c r="IA84" s="247">
        <v>301.30112101617124</v>
      </c>
      <c r="IB84" s="247">
        <v>300.39843566552571</v>
      </c>
      <c r="IC84" s="247">
        <v>299.49661907388344</v>
      </c>
      <c r="ID84" s="247">
        <v>298.59567985140166</v>
      </c>
      <c r="IE84" s="247">
        <v>297.6956265071401</v>
      </c>
      <c r="IF84" s="247">
        <v>296.79646749950899</v>
      </c>
      <c r="IG84" s="247">
        <v>295.89821123628957</v>
      </c>
      <c r="IH84" s="247">
        <v>295.00086607564441</v>
      </c>
      <c r="II84" s="247">
        <v>294.10444032633688</v>
      </c>
      <c r="IJ84" s="247">
        <v>293.20964044683183</v>
      </c>
      <c r="IK84" s="247">
        <v>292.31578060208545</v>
      </c>
      <c r="IL84" s="247">
        <v>291.42287987423975</v>
      </c>
      <c r="IM84" s="247">
        <v>290.53095715287492</v>
      </c>
      <c r="IN84" s="247">
        <v>289.64003125362945</v>
      </c>
      <c r="IO84" s="247">
        <v>288.75012095136378</v>
      </c>
      <c r="IP84" s="247">
        <v>287.86124481192991</v>
      </c>
      <c r="IQ84" s="247">
        <v>286.97342130960521</v>
      </c>
      <c r="IR84" s="247">
        <v>286.08666889295239</v>
      </c>
      <c r="IS84" s="247">
        <v>285.20100584039511</v>
      </c>
      <c r="IT84" s="247">
        <v>284.31645033347655</v>
      </c>
      <c r="IU84" s="247">
        <v>283.43302045698971</v>
      </c>
      <c r="IV84" s="247">
        <v>282.55142993335994</v>
      </c>
      <c r="IW84" s="247">
        <v>281.67095104759989</v>
      </c>
      <c r="IX84" s="247">
        <v>280.79155864794046</v>
      </c>
      <c r="IY84" s="247">
        <v>279.91322775334675</v>
      </c>
      <c r="IZ84" s="247">
        <v>279.03593345677854</v>
      </c>
      <c r="JA84" s="247">
        <v>278.15965106334772</v>
      </c>
      <c r="JB84" s="247">
        <v>277.28435594452378</v>
      </c>
      <c r="JC84" s="247">
        <v>276.41002363448752</v>
      </c>
      <c r="JD84" s="247">
        <v>275.53662980689188</v>
      </c>
      <c r="JE84" s="247">
        <v>274.66415020507498</v>
      </c>
      <c r="JF84" s="247">
        <v>273.79256074754062</v>
      </c>
      <c r="JG84" s="247">
        <v>272.92183749344753</v>
      </c>
      <c r="JH84" s="247">
        <v>272.05267193075065</v>
      </c>
      <c r="JI84" s="247">
        <v>271.18435009858456</v>
      </c>
      <c r="JJ84" s="247">
        <v>270.31688015325267</v>
      </c>
      <c r="JK84" s="247">
        <v>269.45027010809923</v>
      </c>
      <c r="JL84" s="247">
        <v>268.58452799503726</v>
      </c>
      <c r="JM84" s="247">
        <v>267.71966174388723</v>
      </c>
      <c r="JN84" s="247">
        <v>266.85567929421802</v>
      </c>
      <c r="JO84" s="247">
        <v>265.99258845298812</v>
      </c>
      <c r="JP84" s="247">
        <v>265.13039722318496</v>
      </c>
      <c r="JQ84" s="247">
        <v>264.26911313469145</v>
      </c>
      <c r="JR84" s="247">
        <v>263.4087440796477</v>
      </c>
      <c r="JS84" s="247">
        <v>262.54929781178924</v>
      </c>
      <c r="JT84" s="247">
        <v>261.69149642196925</v>
      </c>
      <c r="JU84" s="247">
        <v>260.83460625163343</v>
      </c>
      <c r="JV84" s="247">
        <v>259.97861485637901</v>
      </c>
      <c r="JW84" s="247">
        <v>259.1235099928756</v>
      </c>
      <c r="JX84" s="247">
        <v>258.26927930149532</v>
      </c>
      <c r="JY84" s="247">
        <v>257.41591063002789</v>
      </c>
      <c r="JZ84" s="247">
        <v>256.56339186480932</v>
      </c>
      <c r="KA84" s="247">
        <v>255.71171077856323</v>
      </c>
      <c r="KB84" s="247">
        <v>254.86085534912974</v>
      </c>
      <c r="KC84" s="247">
        <v>254.01081359345096</v>
      </c>
      <c r="KD84" s="247">
        <v>253.16157357386015</v>
      </c>
      <c r="KE84" s="247">
        <v>252.31312323709815</v>
      </c>
      <c r="KF84" s="247">
        <v>251.46618986737349</v>
      </c>
      <c r="KG84" s="247">
        <v>250.62009207062474</v>
      </c>
      <c r="KH84" s="247">
        <v>249.77489393152788</v>
      </c>
      <c r="KI84" s="247">
        <v>248.9306593161003</v>
      </c>
      <c r="KJ84" s="247">
        <v>248.08745156459935</v>
      </c>
      <c r="KK84" s="247">
        <v>247.24533380335862</v>
      </c>
      <c r="KL84" s="247">
        <v>246.40436893585647</v>
      </c>
      <c r="KM84" s="247">
        <v>245.56461964831252</v>
      </c>
      <c r="KN84" s="247">
        <v>244.72614825111899</v>
      </c>
      <c r="KO84" s="247">
        <v>243.88901682726683</v>
      </c>
      <c r="KP84" s="247">
        <v>243.05328708394953</v>
      </c>
      <c r="KQ84" s="247">
        <v>242.2190208070885</v>
      </c>
      <c r="KR84" s="247">
        <v>241.38699674034032</v>
      </c>
      <c r="KS84" s="247">
        <v>240.55644531819988</v>
      </c>
      <c r="KT84" s="247">
        <v>239.72732122696351</v>
      </c>
      <c r="KU84" s="247">
        <v>238.89957933380879</v>
      </c>
      <c r="KV84" s="247">
        <v>238.07317484300256</v>
      </c>
      <c r="KW84" s="247">
        <v>237.24806299638459</v>
      </c>
      <c r="KX84" s="247">
        <v>236.42419951522589</v>
      </c>
      <c r="KY84" s="247">
        <v>235.60154015966813</v>
      </c>
      <c r="KZ84" s="247">
        <v>234.78004087533108</v>
      </c>
      <c r="LA84" s="247">
        <v>233.95965793643003</v>
      </c>
      <c r="LB84" s="247">
        <v>233.14034765624541</v>
      </c>
      <c r="LC84" s="247">
        <v>232.32206653477326</v>
      </c>
      <c r="LD84" s="247">
        <v>231.48615460505553</v>
      </c>
      <c r="LE84" s="247">
        <v>230.65114133653896</v>
      </c>
      <c r="LF84" s="247">
        <v>229.81704843114781</v>
      </c>
      <c r="LG84" s="247">
        <v>228.9838975337257</v>
      </c>
      <c r="LH84" s="247">
        <v>228.15171010643721</v>
      </c>
      <c r="LI84" s="247">
        <v>227.32050768864761</v>
      </c>
      <c r="LJ84" s="247">
        <v>226.49031175895919</v>
      </c>
      <c r="LK84" s="247">
        <v>225.66114348037217</v>
      </c>
      <c r="LL84" s="247">
        <v>224.83302421484265</v>
      </c>
      <c r="LM84" s="247">
        <v>224.00597525732522</v>
      </c>
      <c r="LN84" s="247">
        <v>223.1800175821638</v>
      </c>
      <c r="LO84" s="247">
        <v>222.35517235452551</v>
      </c>
      <c r="LP84" s="247">
        <v>221.53231638353742</v>
      </c>
      <c r="LQ84" s="247">
        <v>220.71058844853664</v>
      </c>
      <c r="LR84" s="247">
        <v>219.88998911315056</v>
      </c>
      <c r="LS84" s="247">
        <v>219.0705189433867</v>
      </c>
      <c r="LT84" s="247">
        <v>218.25217863818679</v>
      </c>
      <c r="LU84" s="247">
        <v>217.4349689031381</v>
      </c>
      <c r="LV84" s="247">
        <v>216.61889044420343</v>
      </c>
      <c r="LW84" s="247">
        <v>215.80394397098655</v>
      </c>
      <c r="LX84" s="247">
        <v>214.99013031949991</v>
      </c>
      <c r="LY84" s="247">
        <v>214.17745019849599</v>
      </c>
      <c r="LZ84" s="247">
        <v>213.36590455974724</v>
      </c>
      <c r="MA84" s="247">
        <v>212.55549410907742</v>
      </c>
      <c r="MB84" s="247">
        <v>211.72711022426876</v>
      </c>
      <c r="MC84" s="247">
        <v>210.89973835409066</v>
      </c>
      <c r="MD84" s="247">
        <v>210.07337813719627</v>
      </c>
      <c r="ME84" s="247">
        <v>209.24802919684964</v>
      </c>
      <c r="MF84" s="247">
        <v>208.42369136487332</v>
      </c>
      <c r="MG84" s="247">
        <v>207.60036435269672</v>
      </c>
      <c r="MH84" s="247">
        <v>206.77804785462658</v>
      </c>
      <c r="MI84" s="247">
        <v>205.95674176627784</v>
      </c>
      <c r="MJ84" s="247">
        <v>205.13644586033422</v>
      </c>
      <c r="MK84" s="247">
        <v>204.31715999366617</v>
      </c>
      <c r="ML84" s="247">
        <v>203.49888410956973</v>
      </c>
      <c r="MM84" s="247">
        <v>202.68161812940801</v>
      </c>
      <c r="MN84" s="247">
        <v>201.86633598585212</v>
      </c>
      <c r="MO84" s="247">
        <v>201.05205374756656</v>
      </c>
      <c r="MP84" s="247">
        <v>200.23876702792782</v>
      </c>
      <c r="MQ84" s="247">
        <v>199.42647134731641</v>
      </c>
      <c r="MR84" s="247">
        <v>198.61516255733804</v>
      </c>
      <c r="MS84" s="247">
        <v>197.80483631655417</v>
      </c>
      <c r="MT84" s="247">
        <v>196.99548839646573</v>
      </c>
      <c r="MU84" s="247">
        <v>196.18711468470084</v>
      </c>
      <c r="MV84" s="247">
        <v>195.37971097718815</v>
      </c>
      <c r="MW84" s="247">
        <v>194.57327307473952</v>
      </c>
      <c r="MX84" s="247">
        <v>193.7677970903483</v>
      </c>
      <c r="MY84" s="247">
        <v>192.96327883789792</v>
      </c>
    </row>
    <row r="85" spans="1:363" ht="15.6" x14ac:dyDescent="0.3">
      <c r="A85" s="67" t="s">
        <v>7</v>
      </c>
      <c r="B85" s="72">
        <v>2095</v>
      </c>
      <c r="C85" s="247">
        <v>531.24737750949464</v>
      </c>
      <c r="D85" s="247">
        <v>530.21843976314278</v>
      </c>
      <c r="E85" s="247">
        <v>529.18950338493187</v>
      </c>
      <c r="F85" s="247">
        <v>528.16056914422416</v>
      </c>
      <c r="G85" s="247">
        <v>527.13163783737616</v>
      </c>
      <c r="H85" s="247">
        <v>526.10271025615941</v>
      </c>
      <c r="I85" s="247">
        <v>525.07378718817972</v>
      </c>
      <c r="J85" s="247">
        <v>524.04486940958463</v>
      </c>
      <c r="K85" s="247">
        <v>523.01595771191216</v>
      </c>
      <c r="L85" s="247">
        <v>521.98705290007661</v>
      </c>
      <c r="M85" s="247">
        <v>520.95815575439281</v>
      </c>
      <c r="N85" s="247">
        <v>519.92926708137293</v>
      </c>
      <c r="O85" s="247">
        <v>518.9003876651808</v>
      </c>
      <c r="P85" s="247">
        <v>517.87114150300602</v>
      </c>
      <c r="Q85" s="247">
        <v>516.84189411980378</v>
      </c>
      <c r="R85" s="247">
        <v>515.81264600554357</v>
      </c>
      <c r="S85" s="247">
        <v>514.78339767530281</v>
      </c>
      <c r="T85" s="247">
        <v>513.754149622706</v>
      </c>
      <c r="U85" s="247">
        <v>512.72490235338148</v>
      </c>
      <c r="V85" s="247">
        <v>511.69565638358677</v>
      </c>
      <c r="W85" s="247">
        <v>510.6664122045712</v>
      </c>
      <c r="X85" s="247">
        <v>509.63717034087523</v>
      </c>
      <c r="Y85" s="247">
        <v>508.60793130644015</v>
      </c>
      <c r="Z85" s="247">
        <v>507.57869561040667</v>
      </c>
      <c r="AA85" s="247">
        <v>506.54946378399376</v>
      </c>
      <c r="AB85" s="247">
        <v>505.51989439445168</v>
      </c>
      <c r="AC85" s="247">
        <v>504.49031843527598</v>
      </c>
      <c r="AD85" s="247">
        <v>503.46073616979379</v>
      </c>
      <c r="AE85" s="247">
        <v>502.43114789301086</v>
      </c>
      <c r="AF85" s="247">
        <v>501.40155387171683</v>
      </c>
      <c r="AG85" s="247">
        <v>500.37195440937938</v>
      </c>
      <c r="AH85" s="247">
        <v>499.34234976606626</v>
      </c>
      <c r="AI85" s="247">
        <v>498.31274026281045</v>
      </c>
      <c r="AJ85" s="247">
        <v>497.28312616188771</v>
      </c>
      <c r="AK85" s="247">
        <v>496.25350779868126</v>
      </c>
      <c r="AL85" s="247">
        <v>495.22388545204291</v>
      </c>
      <c r="AM85" s="247">
        <v>494.19425944038534</v>
      </c>
      <c r="AN85" s="247">
        <v>493.16526983860058</v>
      </c>
      <c r="AO85" s="247">
        <v>492.13627157841751</v>
      </c>
      <c r="AP85" s="247">
        <v>491.10726603116734</v>
      </c>
      <c r="AQ85" s="247">
        <v>490.07825452136768</v>
      </c>
      <c r="AR85" s="247">
        <v>489.04923839216985</v>
      </c>
      <c r="AS85" s="247">
        <v>488.02021900734047</v>
      </c>
      <c r="AT85" s="247">
        <v>486.99119768062803</v>
      </c>
      <c r="AU85" s="247">
        <v>485.96217575300477</v>
      </c>
      <c r="AV85" s="247">
        <v>484.93315455318799</v>
      </c>
      <c r="AW85" s="247">
        <v>483.90413541391507</v>
      </c>
      <c r="AX85" s="247">
        <v>482.87511966650567</v>
      </c>
      <c r="AY85" s="247">
        <v>481.84610863949285</v>
      </c>
      <c r="AZ85" s="247">
        <v>480.81774880428475</v>
      </c>
      <c r="BA85" s="247">
        <v>479.78938780390394</v>
      </c>
      <c r="BB85" s="247">
        <v>478.76102510187758</v>
      </c>
      <c r="BC85" s="247">
        <v>477.73266015306478</v>
      </c>
      <c r="BD85" s="247">
        <v>476.70429242522556</v>
      </c>
      <c r="BE85" s="247">
        <v>475.67592139246796</v>
      </c>
      <c r="BF85" s="247">
        <v>474.64754654289237</v>
      </c>
      <c r="BG85" s="247">
        <v>473.6191673689035</v>
      </c>
      <c r="BH85" s="247">
        <v>472.59078337117347</v>
      </c>
      <c r="BI85" s="247">
        <v>471.56239405758805</v>
      </c>
      <c r="BJ85" s="247">
        <v>470.53399893795495</v>
      </c>
      <c r="BK85" s="247">
        <v>469.50559755678893</v>
      </c>
      <c r="BL85" s="247">
        <v>468.47898920027228</v>
      </c>
      <c r="BM85" s="247">
        <v>467.4523764741254</v>
      </c>
      <c r="BN85" s="247">
        <v>466.42576453850455</v>
      </c>
      <c r="BO85" s="247">
        <v>465.39915852480209</v>
      </c>
      <c r="BP85" s="247">
        <v>464.37256357638012</v>
      </c>
      <c r="BQ85" s="247">
        <v>463.34598478618983</v>
      </c>
      <c r="BR85" s="247">
        <v>462.31942720533988</v>
      </c>
      <c r="BS85" s="247">
        <v>461.29289587809416</v>
      </c>
      <c r="BT85" s="247">
        <v>460.26639580040944</v>
      </c>
      <c r="BU85" s="247">
        <v>459.23993198324098</v>
      </c>
      <c r="BV85" s="247">
        <v>458.21350938203233</v>
      </c>
      <c r="BW85" s="247">
        <v>457.18713291444357</v>
      </c>
      <c r="BX85" s="247">
        <v>456.16281928908398</v>
      </c>
      <c r="BY85" s="247">
        <v>455.13855707796091</v>
      </c>
      <c r="BZ85" s="247">
        <v>454.11434373902404</v>
      </c>
      <c r="CA85" s="247">
        <v>453.09017672210109</v>
      </c>
      <c r="CB85" s="247">
        <v>452.06605350241841</v>
      </c>
      <c r="CC85" s="247">
        <v>451.04197158304095</v>
      </c>
      <c r="CD85" s="247">
        <v>450.01792847432438</v>
      </c>
      <c r="CE85" s="247">
        <v>448.9939217116227</v>
      </c>
      <c r="CF85" s="247">
        <v>447.96994885011918</v>
      </c>
      <c r="CG85" s="247">
        <v>446.94600746484457</v>
      </c>
      <c r="CH85" s="247">
        <v>445.92209514275112</v>
      </c>
      <c r="CI85" s="247">
        <v>444.89820950186095</v>
      </c>
      <c r="CJ85" s="247">
        <v>443.87835218678549</v>
      </c>
      <c r="CK85" s="247">
        <v>442.85852946154159</v>
      </c>
      <c r="CL85" s="247">
        <v>441.83874400523803</v>
      </c>
      <c r="CM85" s="247">
        <v>440.81899842560614</v>
      </c>
      <c r="CN85" s="247">
        <v>439.79929535515276</v>
      </c>
      <c r="CO85" s="247">
        <v>438.77963739683668</v>
      </c>
      <c r="CP85" s="247">
        <v>437.76002714646029</v>
      </c>
      <c r="CQ85" s="247">
        <v>436.74046717726793</v>
      </c>
      <c r="CR85" s="247">
        <v>435.72096004645931</v>
      </c>
      <c r="CS85" s="247">
        <v>434.7015083299089</v>
      </c>
      <c r="CT85" s="247">
        <v>433.68211455434363</v>
      </c>
      <c r="CU85" s="247">
        <v>432.6627812550314</v>
      </c>
      <c r="CV85" s="247">
        <v>431.64846521547577</v>
      </c>
      <c r="CW85" s="247">
        <v>430.63422864382596</v>
      </c>
      <c r="CX85" s="247">
        <v>429.620072286717</v>
      </c>
      <c r="CY85" s="247">
        <v>428.60599690449408</v>
      </c>
      <c r="CZ85" s="247">
        <v>427.59200324464308</v>
      </c>
      <c r="DA85" s="247">
        <v>426.57809203396994</v>
      </c>
      <c r="DB85" s="247">
        <v>425.56426403282819</v>
      </c>
      <c r="DC85" s="247">
        <v>424.55051998769289</v>
      </c>
      <c r="DD85" s="247">
        <v>423.53686061262187</v>
      </c>
      <c r="DE85" s="247">
        <v>422.52328665804794</v>
      </c>
      <c r="DF85" s="247">
        <v>421.5097988432791</v>
      </c>
      <c r="DG85" s="247">
        <v>420.49639789798101</v>
      </c>
      <c r="DH85" s="247">
        <v>419.48926333196863</v>
      </c>
      <c r="DI85" s="247">
        <v>418.48224465212405</v>
      </c>
      <c r="DJ85" s="247">
        <v>417.47534924622767</v>
      </c>
      <c r="DK85" s="247">
        <v>416.46858451927812</v>
      </c>
      <c r="DL85" s="247">
        <v>415.46195777786374</v>
      </c>
      <c r="DM85" s="247">
        <v>414.45547633563115</v>
      </c>
      <c r="DN85" s="247">
        <v>413.44914738389497</v>
      </c>
      <c r="DO85" s="247">
        <v>412.44297815982526</v>
      </c>
      <c r="DP85" s="247">
        <v>411.43697576413751</v>
      </c>
      <c r="DQ85" s="247">
        <v>410.43114729109084</v>
      </c>
      <c r="DR85" s="247">
        <v>409.42549978012846</v>
      </c>
      <c r="DS85" s="247">
        <v>408.42004026472341</v>
      </c>
      <c r="DT85" s="247">
        <v>407.4225951120398</v>
      </c>
      <c r="DU85" s="247">
        <v>406.42539835830797</v>
      </c>
      <c r="DV85" s="247">
        <v>405.42846022206066</v>
      </c>
      <c r="DW85" s="247">
        <v>404.43179079349386</v>
      </c>
      <c r="DX85" s="247">
        <v>403.43540012408761</v>
      </c>
      <c r="DY85" s="247">
        <v>402.43929820054689</v>
      </c>
      <c r="DZ85" s="247">
        <v>401.44349492446179</v>
      </c>
      <c r="EA85" s="247">
        <v>400.44800015868816</v>
      </c>
      <c r="EB85" s="247">
        <v>399.45282368245091</v>
      </c>
      <c r="EC85" s="247">
        <v>398.45797519409717</v>
      </c>
      <c r="ED85" s="247">
        <v>397.46346432928641</v>
      </c>
      <c r="EE85" s="247">
        <v>396.46930066249911</v>
      </c>
      <c r="EF85" s="247">
        <v>395.48563762088202</v>
      </c>
      <c r="EG85" s="247">
        <v>394.50240331534383</v>
      </c>
      <c r="EH85" s="247">
        <v>393.51959273216215</v>
      </c>
      <c r="EI85" s="247">
        <v>392.53720102842698</v>
      </c>
      <c r="EJ85" s="247">
        <v>391.55522327707905</v>
      </c>
      <c r="EK85" s="247">
        <v>390.57365463871514</v>
      </c>
      <c r="EL85" s="247">
        <v>389.59249029290373</v>
      </c>
      <c r="EM85" s="247">
        <v>388.61172538077642</v>
      </c>
      <c r="EN85" s="247">
        <v>387.63135517468407</v>
      </c>
      <c r="EO85" s="247">
        <v>386.65137488182785</v>
      </c>
      <c r="EP85" s="247">
        <v>385.6717797762401</v>
      </c>
      <c r="EQ85" s="247">
        <v>384.69256515616229</v>
      </c>
      <c r="ER85" s="247">
        <v>383.72036540454093</v>
      </c>
      <c r="ES85" s="247">
        <v>382.74858414986147</v>
      </c>
      <c r="ET85" s="247">
        <v>381.77722892716542</v>
      </c>
      <c r="EU85" s="247">
        <v>380.80630742945937</v>
      </c>
      <c r="EV85" s="247">
        <v>379.8358271140084</v>
      </c>
      <c r="EW85" s="247">
        <v>378.86579548245504</v>
      </c>
      <c r="EX85" s="247">
        <v>377.89621993605613</v>
      </c>
      <c r="EY85" s="247">
        <v>376.92710783172521</v>
      </c>
      <c r="EZ85" s="247">
        <v>375.95846647558864</v>
      </c>
      <c r="FA85" s="247">
        <v>374.99030310094969</v>
      </c>
      <c r="FB85" s="247">
        <v>374.02262491545866</v>
      </c>
      <c r="FC85" s="247">
        <v>373.05543905547069</v>
      </c>
      <c r="FD85" s="247">
        <v>372.08941310940395</v>
      </c>
      <c r="FE85" s="247">
        <v>371.12388617238321</v>
      </c>
      <c r="FF85" s="247">
        <v>370.15886465457061</v>
      </c>
      <c r="FG85" s="247">
        <v>369.19435491337777</v>
      </c>
      <c r="FH85" s="247">
        <v>368.23036321756825</v>
      </c>
      <c r="FI85" s="247">
        <v>367.26689585796129</v>
      </c>
      <c r="FJ85" s="247">
        <v>366.30395902942678</v>
      </c>
      <c r="FK85" s="247">
        <v>365.34155888576805</v>
      </c>
      <c r="FL85" s="247">
        <v>364.37970153324443</v>
      </c>
      <c r="FM85" s="247">
        <v>363.41839300918087</v>
      </c>
      <c r="FN85" s="247">
        <v>362.45763932791107</v>
      </c>
      <c r="FO85" s="247">
        <v>361.49744643636325</v>
      </c>
      <c r="FP85" s="247">
        <v>360.53848487800809</v>
      </c>
      <c r="FQ85" s="247">
        <v>359.58008976582238</v>
      </c>
      <c r="FR85" s="247">
        <v>358.6222675734337</v>
      </c>
      <c r="FS85" s="247">
        <v>357.66502480473048</v>
      </c>
      <c r="FT85" s="247">
        <v>356.70836782445804</v>
      </c>
      <c r="FU85" s="247">
        <v>355.75230301090278</v>
      </c>
      <c r="FV85" s="247">
        <v>354.79683668527537</v>
      </c>
      <c r="FW85" s="247">
        <v>353.84197505435662</v>
      </c>
      <c r="FX85" s="247">
        <v>352.8877243591761</v>
      </c>
      <c r="FY85" s="247">
        <v>351.93409069929135</v>
      </c>
      <c r="FZ85" s="247">
        <v>350.98108023186961</v>
      </c>
      <c r="GA85" s="247">
        <v>350.02869899625398</v>
      </c>
      <c r="GB85" s="247">
        <v>349.07762397488324</v>
      </c>
      <c r="GC85" s="247">
        <v>348.12719789425518</v>
      </c>
      <c r="GD85" s="247">
        <v>347.17744114738895</v>
      </c>
      <c r="GE85" s="247">
        <v>346.22837403658212</v>
      </c>
      <c r="GF85" s="247">
        <v>345.28001665233802</v>
      </c>
      <c r="GG85" s="247">
        <v>344.33238900019921</v>
      </c>
      <c r="GH85" s="247">
        <v>343.38551093200709</v>
      </c>
      <c r="GI85" s="247">
        <v>342.43940217618348</v>
      </c>
      <c r="GJ85" s="247">
        <v>341.49408231052752</v>
      </c>
      <c r="GK85" s="247">
        <v>340.54957076277486</v>
      </c>
      <c r="GL85" s="247">
        <v>339.60588683359003</v>
      </c>
      <c r="GM85" s="247">
        <v>338.66304971765146</v>
      </c>
      <c r="GN85" s="247">
        <v>337.72174762012253</v>
      </c>
      <c r="GO85" s="247">
        <v>336.78130093988761</v>
      </c>
      <c r="GP85" s="247">
        <v>335.84170610712823</v>
      </c>
      <c r="GQ85" s="247">
        <v>334.90295955854793</v>
      </c>
      <c r="GR85" s="247">
        <v>333.9650577456872</v>
      </c>
      <c r="GS85" s="247">
        <v>333.02799711143706</v>
      </c>
      <c r="GT85" s="247">
        <v>332.09177412757055</v>
      </c>
      <c r="GU85" s="247">
        <v>331.15638530324628</v>
      </c>
      <c r="GV85" s="247">
        <v>330.2218270961157</v>
      </c>
      <c r="GW85" s="247">
        <v>329.28809601625454</v>
      </c>
      <c r="GX85" s="247">
        <v>328.35518858616899</v>
      </c>
      <c r="GY85" s="247">
        <v>327.42310138166232</v>
      </c>
      <c r="GZ85" s="247">
        <v>326.49251301112872</v>
      </c>
      <c r="HA85" s="247">
        <v>325.56275786526783</v>
      </c>
      <c r="HB85" s="247">
        <v>324.63385921191002</v>
      </c>
      <c r="HC85" s="247">
        <v>323.70584003833659</v>
      </c>
      <c r="HD85" s="247">
        <v>322.77872324272107</v>
      </c>
      <c r="HE85" s="247">
        <v>321.85253155028352</v>
      </c>
      <c r="HF85" s="247">
        <v>320.92728758983964</v>
      </c>
      <c r="HG85" s="247">
        <v>320.00301376193215</v>
      </c>
      <c r="HH85" s="247">
        <v>319.0797323930214</v>
      </c>
      <c r="HI85" s="247">
        <v>318.15746565596555</v>
      </c>
      <c r="HJ85" s="247">
        <v>317.23623551199478</v>
      </c>
      <c r="HK85" s="247">
        <v>316.31606386999806</v>
      </c>
      <c r="HL85" s="247">
        <v>315.39764804775552</v>
      </c>
      <c r="HM85" s="247">
        <v>314.48028467042627</v>
      </c>
      <c r="HN85" s="247">
        <v>313.56395284688381</v>
      </c>
      <c r="HO85" s="247">
        <v>312.64863184567321</v>
      </c>
      <c r="HP85" s="247">
        <v>311.73430100601064</v>
      </c>
      <c r="HQ85" s="247">
        <v>310.82093985167251</v>
      </c>
      <c r="HR85" s="247">
        <v>309.90852795061221</v>
      </c>
      <c r="HS85" s="247">
        <v>308.99704502033427</v>
      </c>
      <c r="HT85" s="247">
        <v>308.08647090236394</v>
      </c>
      <c r="HU85" s="247">
        <v>307.17678552397177</v>
      </c>
      <c r="HV85" s="247">
        <v>306.2679689568327</v>
      </c>
      <c r="HW85" s="247">
        <v>305.36000132198552</v>
      </c>
      <c r="HX85" s="247">
        <v>304.45355589106407</v>
      </c>
      <c r="HY85" s="247">
        <v>303.5479417646448</v>
      </c>
      <c r="HZ85" s="247">
        <v>302.64316773040554</v>
      </c>
      <c r="IA85" s="247">
        <v>301.73924252195656</v>
      </c>
      <c r="IB85" s="247">
        <v>300.83617480854377</v>
      </c>
      <c r="IC85" s="247">
        <v>299.93397319246446</v>
      </c>
      <c r="ID85" s="247">
        <v>299.0326462607041</v>
      </c>
      <c r="IE85" s="247">
        <v>298.13220249965656</v>
      </c>
      <c r="IF85" s="247">
        <v>297.23265034539088</v>
      </c>
      <c r="IG85" s="247">
        <v>296.33399818365911</v>
      </c>
      <c r="IH85" s="247">
        <v>295.43625435091707</v>
      </c>
      <c r="II85" s="247">
        <v>294.53942713454569</v>
      </c>
      <c r="IJ85" s="247">
        <v>293.64422076066779</v>
      </c>
      <c r="IK85" s="247">
        <v>292.74995156192932</v>
      </c>
      <c r="IL85" s="247">
        <v>291.85663856087263</v>
      </c>
      <c r="IM85" s="247">
        <v>290.96430058834619</v>
      </c>
      <c r="IN85" s="247">
        <v>290.07295640175192</v>
      </c>
      <c r="IO85" s="247">
        <v>289.18262471804644</v>
      </c>
      <c r="IP85" s="247">
        <v>288.29332404611256</v>
      </c>
      <c r="IQ85" s="247">
        <v>287.40507280379518</v>
      </c>
      <c r="IR85" s="247">
        <v>286.51788938352144</v>
      </c>
      <c r="IS85" s="247">
        <v>285.63179200836748</v>
      </c>
      <c r="IT85" s="247">
        <v>284.74679880508353</v>
      </c>
      <c r="IU85" s="247">
        <v>283.86292780421167</v>
      </c>
      <c r="IV85" s="247">
        <v>282.98089048457098</v>
      </c>
      <c r="IW85" s="247">
        <v>282.0999614338387</v>
      </c>
      <c r="IX85" s="247">
        <v>281.22011559643215</v>
      </c>
      <c r="IY85" s="247">
        <v>280.34132808678083</v>
      </c>
      <c r="IZ85" s="247">
        <v>279.46357409296263</v>
      </c>
      <c r="JA85" s="247">
        <v>278.58682901434736</v>
      </c>
      <c r="JB85" s="247">
        <v>277.71106831632363</v>
      </c>
      <c r="JC85" s="247">
        <v>276.83626762633531</v>
      </c>
      <c r="JD85" s="247">
        <v>275.96240271072645</v>
      </c>
      <c r="JE85" s="247">
        <v>275.08944940518074</v>
      </c>
      <c r="JF85" s="247">
        <v>274.21738371987112</v>
      </c>
      <c r="JG85" s="247">
        <v>273.34618180505601</v>
      </c>
      <c r="JH85" s="247">
        <v>272.47653299155542</v>
      </c>
      <c r="JI85" s="247">
        <v>271.60772556191665</v>
      </c>
      <c r="JJ85" s="247">
        <v>270.73976765199791</v>
      </c>
      <c r="JK85" s="247">
        <v>269.87266725530975</v>
      </c>
      <c r="JL85" s="247">
        <v>269.00643238402972</v>
      </c>
      <c r="JM85" s="247">
        <v>268.14107094871616</v>
      </c>
      <c r="JN85" s="247">
        <v>267.27659086977701</v>
      </c>
      <c r="JO85" s="247">
        <v>266.41299993560904</v>
      </c>
      <c r="JP85" s="247">
        <v>265.55030613011712</v>
      </c>
      <c r="JQ85" s="247">
        <v>264.68851696584727</v>
      </c>
      <c r="JR85" s="247">
        <v>263.82764031652016</v>
      </c>
      <c r="JS85" s="247">
        <v>262.96768391806859</v>
      </c>
      <c r="JT85" s="247">
        <v>262.10936760682165</v>
      </c>
      <c r="JU85" s="247">
        <v>261.25196002816472</v>
      </c>
      <c r="JV85" s="247">
        <v>260.3954487884136</v>
      </c>
      <c r="JW85" s="247">
        <v>259.53982169424944</v>
      </c>
      <c r="JX85" s="247">
        <v>258.68506643647953</v>
      </c>
      <c r="JY85" s="247">
        <v>257.83117091261448</v>
      </c>
      <c r="JZ85" s="247">
        <v>256.97812305857724</v>
      </c>
      <c r="KA85" s="247">
        <v>256.12591069708247</v>
      </c>
      <c r="KB85" s="247">
        <v>255.27452185528227</v>
      </c>
      <c r="KC85" s="247">
        <v>254.42394459930125</v>
      </c>
      <c r="KD85" s="247">
        <v>253.5741670405325</v>
      </c>
      <c r="KE85" s="247">
        <v>252.72517717519125</v>
      </c>
      <c r="KF85" s="247">
        <v>251.87770001988042</v>
      </c>
      <c r="KG85" s="247">
        <v>251.03105630317202</v>
      </c>
      <c r="KH85" s="247">
        <v>250.18530990206924</v>
      </c>
      <c r="KI85" s="247">
        <v>249.34052447615483</v>
      </c>
      <c r="KJ85" s="247">
        <v>248.49676316156132</v>
      </c>
      <c r="KK85" s="247">
        <v>247.65408888170515</v>
      </c>
      <c r="KL85" s="247">
        <v>246.8125643383905</v>
      </c>
      <c r="KM85" s="247">
        <v>245.97225201738971</v>
      </c>
      <c r="KN85" s="247">
        <v>245.13321403039311</v>
      </c>
      <c r="KO85" s="247">
        <v>244.29551226291267</v>
      </c>
      <c r="KP85" s="247">
        <v>243.45920822639152</v>
      </c>
      <c r="KQ85" s="247">
        <v>242.6243635111901</v>
      </c>
      <c r="KR85" s="247">
        <v>241.79175442482139</v>
      </c>
      <c r="KS85" s="247">
        <v>240.96061382193048</v>
      </c>
      <c r="KT85" s="247">
        <v>240.13089655034236</v>
      </c>
      <c r="KU85" s="247">
        <v>239.30255763789793</v>
      </c>
      <c r="KV85" s="247">
        <v>238.47555244819154</v>
      </c>
      <c r="KW85" s="247">
        <v>237.6498363820231</v>
      </c>
      <c r="KX85" s="247">
        <v>236.8253653178113</v>
      </c>
      <c r="KY85" s="247">
        <v>236.00209517251304</v>
      </c>
      <c r="KZ85" s="247">
        <v>235.17998204775876</v>
      </c>
      <c r="LA85" s="247">
        <v>234.35898237248725</v>
      </c>
      <c r="LB85" s="247">
        <v>233.53905261440406</v>
      </c>
      <c r="LC85" s="247">
        <v>232.72014942714583</v>
      </c>
      <c r="LD85" s="247">
        <v>231.88347658697253</v>
      </c>
      <c r="LE85" s="247">
        <v>231.04769921353429</v>
      </c>
      <c r="LF85" s="247">
        <v>230.21283892312383</v>
      </c>
      <c r="LG85" s="247">
        <v>229.37891727531996</v>
      </c>
      <c r="LH85" s="247">
        <v>228.54595564796813</v>
      </c>
      <c r="LI85" s="247">
        <v>227.71397549590824</v>
      </c>
      <c r="LJ85" s="247">
        <v>226.88299821360022</v>
      </c>
      <c r="LK85" s="247">
        <v>226.05304488139046</v>
      </c>
      <c r="LL85" s="247">
        <v>225.22413677786349</v>
      </c>
      <c r="LM85" s="247">
        <v>224.3962951150001</v>
      </c>
      <c r="LN85" s="247">
        <v>223.56954078566804</v>
      </c>
      <c r="LO85" s="247">
        <v>222.74389487286956</v>
      </c>
      <c r="LP85" s="247">
        <v>221.92023017857633</v>
      </c>
      <c r="LQ85" s="247">
        <v>221.09768941777492</v>
      </c>
      <c r="LR85" s="247">
        <v>220.27627315924894</v>
      </c>
      <c r="LS85" s="247">
        <v>219.45598197415339</v>
      </c>
      <c r="LT85" s="247">
        <v>218.63681656605894</v>
      </c>
      <c r="LU85" s="247">
        <v>217.81877764516091</v>
      </c>
      <c r="LV85" s="247">
        <v>217.00186592204454</v>
      </c>
      <c r="LW85" s="247">
        <v>216.18608211095363</v>
      </c>
      <c r="LX85" s="247">
        <v>215.37142705203362</v>
      </c>
      <c r="LY85" s="247">
        <v>214.5579014587255</v>
      </c>
      <c r="LZ85" s="247">
        <v>213.74550628649578</v>
      </c>
      <c r="MA85" s="247">
        <v>212.93424224593895</v>
      </c>
      <c r="MB85" s="247">
        <v>212.10487735248799</v>
      </c>
      <c r="MC85" s="247">
        <v>211.27651979465293</v>
      </c>
      <c r="MD85" s="247">
        <v>210.44916921873525</v>
      </c>
      <c r="ME85" s="247">
        <v>209.62282525568898</v>
      </c>
      <c r="MF85" s="247">
        <v>208.79748774395028</v>
      </c>
      <c r="MG85" s="247">
        <v>207.973156402169</v>
      </c>
      <c r="MH85" s="247">
        <v>207.14983093193422</v>
      </c>
      <c r="MI85" s="247">
        <v>206.32751123509686</v>
      </c>
      <c r="MJ85" s="247">
        <v>205.50619709121594</v>
      </c>
      <c r="MK85" s="247">
        <v>204.68588836357176</v>
      </c>
      <c r="ML85" s="247">
        <v>203.86658500142346</v>
      </c>
      <c r="MM85" s="247">
        <v>203.04828693221211</v>
      </c>
      <c r="MN85" s="247">
        <v>202.23196213074689</v>
      </c>
      <c r="MO85" s="247">
        <v>201.41663264827395</v>
      </c>
      <c r="MP85" s="247">
        <v>200.60229412580418</v>
      </c>
      <c r="MQ85" s="247">
        <v>199.78894211178607</v>
      </c>
      <c r="MR85" s="247">
        <v>198.97657248417971</v>
      </c>
      <c r="MS85" s="247">
        <v>198.16518092887071</v>
      </c>
      <c r="MT85" s="247">
        <v>197.35476324407315</v>
      </c>
      <c r="MU85" s="247">
        <v>196.54531534351764</v>
      </c>
      <c r="MV85" s="247">
        <v>195.73683304971121</v>
      </c>
      <c r="MW85" s="247">
        <v>194.92931218998979</v>
      </c>
      <c r="MX85" s="247">
        <v>194.12274890225567</v>
      </c>
      <c r="MY85" s="247">
        <v>193.31713902685243</v>
      </c>
    </row>
    <row r="86" spans="1:363" ht="15.6" x14ac:dyDescent="0.3">
      <c r="A86" s="67" t="s">
        <v>7</v>
      </c>
      <c r="B86" s="72">
        <v>2096</v>
      </c>
      <c r="C86" s="247">
        <v>531.72232268304413</v>
      </c>
      <c r="D86" s="247">
        <v>530.69335468901079</v>
      </c>
      <c r="E86" s="247">
        <v>529.66438753594457</v>
      </c>
      <c r="F86" s="247">
        <v>528.6354219898102</v>
      </c>
      <c r="G86" s="247">
        <v>527.60645884311134</v>
      </c>
      <c r="H86" s="247">
        <v>526.57749888400076</v>
      </c>
      <c r="I86" s="247">
        <v>525.54854289657726</v>
      </c>
      <c r="J86" s="247">
        <v>524.51959165369158</v>
      </c>
      <c r="K86" s="247">
        <v>523.49064594349306</v>
      </c>
      <c r="L86" s="247">
        <v>522.46170656739594</v>
      </c>
      <c r="M86" s="247">
        <v>521.43277430265277</v>
      </c>
      <c r="N86" s="247">
        <v>520.40384995243505</v>
      </c>
      <c r="O86" s="247">
        <v>519.37493429800816</v>
      </c>
      <c r="P86" s="247">
        <v>518.34565111460779</v>
      </c>
      <c r="Q86" s="247">
        <v>517.31636616797027</v>
      </c>
      <c r="R86" s="247">
        <v>516.28707994900276</v>
      </c>
      <c r="S86" s="247">
        <v>515.25779297326767</v>
      </c>
      <c r="T86" s="247">
        <v>514.22850573539517</v>
      </c>
      <c r="U86" s="247">
        <v>513.19921874186684</v>
      </c>
      <c r="V86" s="247">
        <v>512.16993250965811</v>
      </c>
      <c r="W86" s="247">
        <v>511.14064753129099</v>
      </c>
      <c r="X86" s="247">
        <v>510.11136433213034</v>
      </c>
      <c r="Y86" s="247">
        <v>509.08208342717808</v>
      </c>
      <c r="Z86" s="247">
        <v>508.05280532683435</v>
      </c>
      <c r="AA86" s="247">
        <v>507.02353056332879</v>
      </c>
      <c r="AB86" s="247">
        <v>505.9939181549467</v>
      </c>
      <c r="AC86" s="247">
        <v>504.9642986722601</v>
      </c>
      <c r="AD86" s="247">
        <v>503.93467238350974</v>
      </c>
      <c r="AE86" s="247">
        <v>502.90503958802623</v>
      </c>
      <c r="AF86" s="247">
        <v>501.87540055757762</v>
      </c>
      <c r="AG86" s="247">
        <v>500.84575560003265</v>
      </c>
      <c r="AH86" s="247">
        <v>499.81610498062855</v>
      </c>
      <c r="AI86" s="247">
        <v>498.78644902469205</v>
      </c>
      <c r="AJ86" s="247">
        <v>497.75678799987293</v>
      </c>
      <c r="AK86" s="247">
        <v>496.72712224576094</v>
      </c>
      <c r="AL86" s="247">
        <v>495.69745204649229</v>
      </c>
      <c r="AM86" s="247">
        <v>494.66777772520345</v>
      </c>
      <c r="AN86" s="247">
        <v>493.63873369000828</v>
      </c>
      <c r="AO86" s="247">
        <v>492.60968052596604</v>
      </c>
      <c r="AP86" s="247">
        <v>491.58061959044306</v>
      </c>
      <c r="AQ86" s="247">
        <v>490.55155219475131</v>
      </c>
      <c r="AR86" s="247">
        <v>489.52247966869305</v>
      </c>
      <c r="AS86" s="247">
        <v>488.49340336238089</v>
      </c>
      <c r="AT86" s="247">
        <v>487.46432457680839</v>
      </c>
      <c r="AU86" s="247">
        <v>486.43524463989297</v>
      </c>
      <c r="AV86" s="247">
        <v>485.40616486758614</v>
      </c>
      <c r="AW86" s="247">
        <v>484.37708657988105</v>
      </c>
      <c r="AX86" s="247">
        <v>483.34801109549181</v>
      </c>
      <c r="AY86" s="247">
        <v>482.31893973052036</v>
      </c>
      <c r="AZ86" s="247">
        <v>481.29051323082678</v>
      </c>
      <c r="BA86" s="247">
        <v>480.26208496670444</v>
      </c>
      <c r="BB86" s="247">
        <v>479.23365442029387</v>
      </c>
      <c r="BC86" s="247">
        <v>478.20522106515648</v>
      </c>
      <c r="BD86" s="247">
        <v>477.17678438770514</v>
      </c>
      <c r="BE86" s="247">
        <v>476.14834388062638</v>
      </c>
      <c r="BF86" s="247">
        <v>475.11989905039508</v>
      </c>
      <c r="BG86" s="247">
        <v>474.09144940786967</v>
      </c>
      <c r="BH86" s="247">
        <v>473.06299447210841</v>
      </c>
      <c r="BI86" s="247">
        <v>472.0345337693343</v>
      </c>
      <c r="BJ86" s="247">
        <v>471.00606682776436</v>
      </c>
      <c r="BK86" s="247">
        <v>469.97759320984824</v>
      </c>
      <c r="BL86" s="247">
        <v>468.95089950309512</v>
      </c>
      <c r="BM86" s="247">
        <v>467.92420092956536</v>
      </c>
      <c r="BN86" s="247">
        <v>466.89750257572433</v>
      </c>
      <c r="BO86" s="247">
        <v>465.87080949971602</v>
      </c>
      <c r="BP86" s="247">
        <v>464.84412677166046</v>
      </c>
      <c r="BQ86" s="247">
        <v>463.81745941213626</v>
      </c>
      <c r="BR86" s="247">
        <v>462.79081240061259</v>
      </c>
      <c r="BS86" s="247">
        <v>461.76419071000743</v>
      </c>
      <c r="BT86" s="247">
        <v>460.73759926580459</v>
      </c>
      <c r="BU86" s="247">
        <v>459.7110430083531</v>
      </c>
      <c r="BV86" s="247">
        <v>458.68452682351062</v>
      </c>
      <c r="BW86" s="247">
        <v>457.65805556009616</v>
      </c>
      <c r="BX86" s="247">
        <v>456.6336333909253</v>
      </c>
      <c r="BY86" s="247">
        <v>455.6092613516484</v>
      </c>
      <c r="BZ86" s="247">
        <v>454.58493694680521</v>
      </c>
      <c r="CA86" s="247">
        <v>453.56065767286992</v>
      </c>
      <c r="CB86" s="247">
        <v>452.53642105147998</v>
      </c>
      <c r="CC86" s="247">
        <v>451.51222463171365</v>
      </c>
      <c r="CD86" s="247">
        <v>450.48806596985389</v>
      </c>
      <c r="CE86" s="247">
        <v>449.46394264693146</v>
      </c>
      <c r="CF86" s="247">
        <v>448.43985226356989</v>
      </c>
      <c r="CG86" s="247">
        <v>447.41579243999831</v>
      </c>
      <c r="CH86" s="247">
        <v>446.39176080827349</v>
      </c>
      <c r="CI86" s="247">
        <v>445.36775503115069</v>
      </c>
      <c r="CJ86" s="247">
        <v>444.34775967827005</v>
      </c>
      <c r="CK86" s="247">
        <v>443.32779805870217</v>
      </c>
      <c r="CL86" s="247">
        <v>442.30787282411484</v>
      </c>
      <c r="CM86" s="247">
        <v>441.28798655570472</v>
      </c>
      <c r="CN86" s="247">
        <v>440.2681418592843</v>
      </c>
      <c r="CO86" s="247">
        <v>439.24834131154796</v>
      </c>
      <c r="CP86" s="247">
        <v>438.22858748218192</v>
      </c>
      <c r="CQ86" s="247">
        <v>437.20888291874616</v>
      </c>
      <c r="CR86" s="247">
        <v>436.18923015304574</v>
      </c>
      <c r="CS86" s="247">
        <v>435.16963173541041</v>
      </c>
      <c r="CT86" s="247">
        <v>434.15009016775508</v>
      </c>
      <c r="CU86" s="247">
        <v>433.13060796054873</v>
      </c>
      <c r="CV86" s="247">
        <v>432.11613056449193</v>
      </c>
      <c r="CW86" s="247">
        <v>431.10173146703795</v>
      </c>
      <c r="CX86" s="247">
        <v>430.08741141289539</v>
      </c>
      <c r="CY86" s="247">
        <v>429.07317116031408</v>
      </c>
      <c r="CZ86" s="247">
        <v>428.05901145497023</v>
      </c>
      <c r="DA86" s="247">
        <v>427.04493302211404</v>
      </c>
      <c r="DB86" s="247">
        <v>426.03093662022513</v>
      </c>
      <c r="DC86" s="247">
        <v>425.01702299417173</v>
      </c>
      <c r="DD86" s="247">
        <v>424.00319285683383</v>
      </c>
      <c r="DE86" s="247">
        <v>422.98944695712981</v>
      </c>
      <c r="DF86" s="247">
        <v>421.97578601328382</v>
      </c>
      <c r="DG86" s="247">
        <v>420.96221075386842</v>
      </c>
      <c r="DH86" s="247">
        <v>419.95489931240144</v>
      </c>
      <c r="DI86" s="247">
        <v>418.94770253558414</v>
      </c>
      <c r="DJ86" s="247">
        <v>417.94062775065305</v>
      </c>
      <c r="DK86" s="247">
        <v>416.93368230195375</v>
      </c>
      <c r="DL86" s="247">
        <v>415.92687343645264</v>
      </c>
      <c r="DM86" s="247">
        <v>414.92020840820061</v>
      </c>
      <c r="DN86" s="247">
        <v>413.91369435008585</v>
      </c>
      <c r="DO86" s="247">
        <v>412.90733844058877</v>
      </c>
      <c r="DP86" s="247">
        <v>411.90114772306151</v>
      </c>
      <c r="DQ86" s="247">
        <v>410.89512923456078</v>
      </c>
      <c r="DR86" s="247">
        <v>409.88928995793651</v>
      </c>
      <c r="DS86" s="247">
        <v>408.88363687025844</v>
      </c>
      <c r="DT86" s="247">
        <v>407.88601113754453</v>
      </c>
      <c r="DU86" s="247">
        <v>406.88863202410562</v>
      </c>
      <c r="DV86" s="247">
        <v>405.89150968277511</v>
      </c>
      <c r="DW86" s="247">
        <v>404.89465413900507</v>
      </c>
      <c r="DX86" s="247">
        <v>403.89807537996484</v>
      </c>
      <c r="DY86" s="247">
        <v>402.90178332860029</v>
      </c>
      <c r="DZ86" s="247">
        <v>401.90578782343709</v>
      </c>
      <c r="EA86" s="247">
        <v>400.91009866468215</v>
      </c>
      <c r="EB86" s="247">
        <v>399.9147255696177</v>
      </c>
      <c r="EC86" s="247">
        <v>398.91967817532105</v>
      </c>
      <c r="ED86" s="247">
        <v>397.92496605675342</v>
      </c>
      <c r="EE86" s="247">
        <v>396.93059872825904</v>
      </c>
      <c r="EF86" s="247">
        <v>395.94677085857597</v>
      </c>
      <c r="EG86" s="247">
        <v>394.9633697060309</v>
      </c>
      <c r="EH86" s="247">
        <v>393.98039028517411</v>
      </c>
      <c r="EI86" s="247">
        <v>392.99782778053844</v>
      </c>
      <c r="EJ86" s="247">
        <v>392.01567729297233</v>
      </c>
      <c r="EK86" s="247">
        <v>391.03393401057053</v>
      </c>
      <c r="EL86" s="247">
        <v>390.05259314032509</v>
      </c>
      <c r="EM86" s="247">
        <v>389.07164985102452</v>
      </c>
      <c r="EN86" s="247">
        <v>388.09109944207677</v>
      </c>
      <c r="EO86" s="247">
        <v>387.11093714808158</v>
      </c>
      <c r="EP86" s="247">
        <v>386.13115827018993</v>
      </c>
      <c r="EQ86" s="247">
        <v>385.1517581336924</v>
      </c>
      <c r="ER86" s="247">
        <v>384.17940581901684</v>
      </c>
      <c r="ES86" s="247">
        <v>383.20747054594409</v>
      </c>
      <c r="ET86" s="247">
        <v>382.2359598243919</v>
      </c>
      <c r="EU86" s="247">
        <v>381.26488132174541</v>
      </c>
      <c r="EV86" s="247">
        <v>380.29424247068806</v>
      </c>
      <c r="EW86" s="247">
        <v>379.32405074822179</v>
      </c>
      <c r="EX86" s="247">
        <v>378.35431353145282</v>
      </c>
      <c r="EY86" s="247">
        <v>377.38503815345143</v>
      </c>
      <c r="EZ86" s="247">
        <v>376.41623189681769</v>
      </c>
      <c r="FA86" s="247">
        <v>375.44790197172114</v>
      </c>
      <c r="FB86" s="247">
        <v>374.48005556291014</v>
      </c>
      <c r="FC86" s="247">
        <v>373.51269978423926</v>
      </c>
      <c r="FD86" s="247">
        <v>372.54649995760144</v>
      </c>
      <c r="FE86" s="247">
        <v>371.58079741919317</v>
      </c>
      <c r="FF86" s="247">
        <v>370.61559855910821</v>
      </c>
      <c r="FG86" s="247">
        <v>369.65090971497847</v>
      </c>
      <c r="FH86" s="247">
        <v>368.68673713626436</v>
      </c>
      <c r="FI86" s="247">
        <v>367.72308709450095</v>
      </c>
      <c r="FJ86" s="247">
        <v>366.7599657657384</v>
      </c>
      <c r="FK86" s="247">
        <v>365.79737928524327</v>
      </c>
      <c r="FL86" s="247">
        <v>364.83533374104081</v>
      </c>
      <c r="FM86" s="247">
        <v>363.8738351525887</v>
      </c>
      <c r="FN86" s="247">
        <v>362.91288951656452</v>
      </c>
      <c r="FO86" s="247">
        <v>361.95250276262732</v>
      </c>
      <c r="FP86" s="247">
        <v>360.99334318073397</v>
      </c>
      <c r="FQ86" s="247">
        <v>360.03474811726147</v>
      </c>
      <c r="FR86" s="247">
        <v>359.07672402626224</v>
      </c>
      <c r="FS86" s="247">
        <v>358.11927739203804</v>
      </c>
      <c r="FT86" s="247">
        <v>357.16241456040751</v>
      </c>
      <c r="FU86" s="247">
        <v>356.20614189078611</v>
      </c>
      <c r="FV86" s="247">
        <v>355.25046568583491</v>
      </c>
      <c r="FW86" s="247">
        <v>354.29539213434163</v>
      </c>
      <c r="FX86" s="247">
        <v>353.34092745934345</v>
      </c>
      <c r="FY86" s="247">
        <v>352.38707774303924</v>
      </c>
      <c r="FZ86" s="247">
        <v>351.4338491251587</v>
      </c>
      <c r="GA86" s="247">
        <v>350.48124762817429</v>
      </c>
      <c r="GB86" s="247">
        <v>349.52994798034263</v>
      </c>
      <c r="GC86" s="247">
        <v>348.57929509158475</v>
      </c>
      <c r="GD86" s="247">
        <v>347.6293092845707</v>
      </c>
      <c r="GE86" s="247">
        <v>346.68001079178754</v>
      </c>
      <c r="GF86" s="247">
        <v>345.73141963496676</v>
      </c>
      <c r="GG86" s="247">
        <v>344.7835557514025</v>
      </c>
      <c r="GH86" s="247">
        <v>343.83643892547491</v>
      </c>
      <c r="GI86" s="247">
        <v>342.89008881883541</v>
      </c>
      <c r="GJ86" s="247">
        <v>341.9445249432996</v>
      </c>
      <c r="GK86" s="247">
        <v>340.99976666138355</v>
      </c>
      <c r="GL86" s="247">
        <v>340.05583320923671</v>
      </c>
      <c r="GM86" s="247">
        <v>339.1127437176462</v>
      </c>
      <c r="GN86" s="247">
        <v>338.17118411928567</v>
      </c>
      <c r="GO86" s="247">
        <v>337.23047705899864</v>
      </c>
      <c r="GP86" s="247">
        <v>336.29061898654101</v>
      </c>
      <c r="GQ86" s="247">
        <v>335.35160635819102</v>
      </c>
      <c r="GR86" s="247">
        <v>334.41343564506963</v>
      </c>
      <c r="GS86" s="247">
        <v>333.47610330970792</v>
      </c>
      <c r="GT86" s="247">
        <v>332.53960584344651</v>
      </c>
      <c r="GU86" s="247">
        <v>331.603939774926</v>
      </c>
      <c r="GV86" s="247">
        <v>330.66910158152189</v>
      </c>
      <c r="GW86" s="247">
        <v>329.73508779287658</v>
      </c>
      <c r="GX86" s="247">
        <v>328.80189495106964</v>
      </c>
      <c r="GY86" s="247">
        <v>327.86951965134739</v>
      </c>
      <c r="GZ86" s="247">
        <v>326.93863828525105</v>
      </c>
      <c r="HA86" s="247">
        <v>326.00858741836214</v>
      </c>
      <c r="HB86" s="247">
        <v>325.0793902404111</v>
      </c>
      <c r="HC86" s="247">
        <v>324.1510696618235</v>
      </c>
      <c r="HD86" s="247">
        <v>323.2236485045093</v>
      </c>
      <c r="HE86" s="247">
        <v>322.29714941828388</v>
      </c>
      <c r="HF86" s="247">
        <v>321.37159495713763</v>
      </c>
      <c r="HG86" s="247">
        <v>320.44700744786934</v>
      </c>
      <c r="HH86" s="247">
        <v>319.52340914371018</v>
      </c>
      <c r="HI86" s="247">
        <v>318.60082214506986</v>
      </c>
      <c r="HJ86" s="247">
        <v>317.6792683417429</v>
      </c>
      <c r="HK86" s="247">
        <v>316.75876957161518</v>
      </c>
      <c r="HL86" s="247">
        <v>315.84002088790254</v>
      </c>
      <c r="HM86" s="247">
        <v>314.92232121022499</v>
      </c>
      <c r="HN86" s="247">
        <v>314.00564973041708</v>
      </c>
      <c r="HO86" s="247">
        <v>313.0899857993021</v>
      </c>
      <c r="HP86" s="247">
        <v>312.17530883804727</v>
      </c>
      <c r="HQ86" s="247">
        <v>311.26159845161533</v>
      </c>
      <c r="HR86" s="247">
        <v>310.34883428889174</v>
      </c>
      <c r="HS86" s="247">
        <v>309.43699614770713</v>
      </c>
      <c r="HT86" s="247">
        <v>308.52606394938465</v>
      </c>
      <c r="HU86" s="247">
        <v>307.61601770060435</v>
      </c>
      <c r="HV86" s="247">
        <v>306.70683755187218</v>
      </c>
      <c r="HW86" s="247">
        <v>305.79850370281349</v>
      </c>
      <c r="HX86" s="247">
        <v>304.89168726273766</v>
      </c>
      <c r="HY86" s="247">
        <v>303.985699564063</v>
      </c>
      <c r="HZ86" s="247">
        <v>303.08054937002612</v>
      </c>
      <c r="IA86" s="247">
        <v>302.17624539010865</v>
      </c>
      <c r="IB86" s="247">
        <v>301.2727962698163</v>
      </c>
      <c r="IC86" s="247">
        <v>300.37021058807409</v>
      </c>
      <c r="ID86" s="247">
        <v>299.46849690867424</v>
      </c>
      <c r="IE86" s="247">
        <v>298.56766369532562</v>
      </c>
      <c r="IF86" s="247">
        <v>297.66771936173609</v>
      </c>
      <c r="IG86" s="247">
        <v>296.76867227160096</v>
      </c>
      <c r="IH86" s="247">
        <v>295.8705307396466</v>
      </c>
      <c r="II86" s="247">
        <v>294.97330303184719</v>
      </c>
      <c r="IJ86" s="247">
        <v>294.07769111720262</v>
      </c>
      <c r="IK86" s="247">
        <v>293.18301352068704</v>
      </c>
      <c r="IL86" s="247">
        <v>292.28928920528057</v>
      </c>
      <c r="IM86" s="247">
        <v>291.39653694314018</v>
      </c>
      <c r="IN86" s="247">
        <v>290.5047754334625</v>
      </c>
      <c r="IO86" s="247">
        <v>289.61402333533573</v>
      </c>
      <c r="IP86" s="247">
        <v>288.72429910070201</v>
      </c>
      <c r="IQ86" s="247">
        <v>287.83562109099671</v>
      </c>
      <c r="IR86" s="247">
        <v>286.9480076425383</v>
      </c>
      <c r="IS86" s="247">
        <v>286.06147692307735</v>
      </c>
      <c r="IT86" s="247">
        <v>285.17604700458594</v>
      </c>
      <c r="IU86" s="247">
        <v>284.29173586337174</v>
      </c>
      <c r="IV86" s="247">
        <v>283.40925270956268</v>
      </c>
      <c r="IW86" s="247">
        <v>282.52787445818643</v>
      </c>
      <c r="IX86" s="247">
        <v>281.64757614960359</v>
      </c>
      <c r="IY86" s="247">
        <v>280.76833299346566</v>
      </c>
      <c r="IZ86" s="247">
        <v>279.89012027272383</v>
      </c>
      <c r="JA86" s="247">
        <v>279.01291348077081</v>
      </c>
      <c r="JB86" s="247">
        <v>278.13668817667514</v>
      </c>
      <c r="JC86" s="247">
        <v>277.26142008091097</v>
      </c>
      <c r="JD86" s="247">
        <v>276.38708505228357</v>
      </c>
      <c r="JE86" s="247">
        <v>275.51365901859549</v>
      </c>
      <c r="JF86" s="247">
        <v>274.64111808145657</v>
      </c>
      <c r="JG86" s="247">
        <v>273.76943848200659</v>
      </c>
      <c r="JH86" s="247">
        <v>272.89930736838613</v>
      </c>
      <c r="JI86" s="247">
        <v>272.03001529167358</v>
      </c>
      <c r="JJ86" s="247">
        <v>271.16157036723951</v>
      </c>
      <c r="JK86" s="247">
        <v>270.29398056871753</v>
      </c>
      <c r="JL86" s="247">
        <v>269.42725388850198</v>
      </c>
      <c r="JM86" s="247">
        <v>268.56139821784666</v>
      </c>
      <c r="JN86" s="247">
        <v>267.69642145794916</v>
      </c>
      <c r="JO86" s="247">
        <v>266.83233137859497</v>
      </c>
      <c r="JP86" s="247">
        <v>265.96913594455219</v>
      </c>
      <c r="JQ86" s="247">
        <v>265.10684265098126</v>
      </c>
      <c r="JR86" s="247">
        <v>264.24545935312125</v>
      </c>
      <c r="JS86" s="247">
        <v>263.38499376905128</v>
      </c>
      <c r="JT86" s="247">
        <v>262.52616345486672</v>
      </c>
      <c r="JU86" s="247">
        <v>261.66823938521895</v>
      </c>
      <c r="JV86" s="247">
        <v>260.8112092169788</v>
      </c>
      <c r="JW86" s="247">
        <v>259.95506080668554</v>
      </c>
      <c r="JX86" s="247">
        <v>259.09978189542585</v>
      </c>
      <c r="JY86" s="247">
        <v>258.24536043026882</v>
      </c>
      <c r="JZ86" s="247">
        <v>257.39178439657212</v>
      </c>
      <c r="KA86" s="247">
        <v>256.53904166688437</v>
      </c>
      <c r="KB86" s="247">
        <v>255.68712031751286</v>
      </c>
      <c r="KC86" s="247">
        <v>254.83600846361293</v>
      </c>
      <c r="KD86" s="247">
        <v>253.9856942654807</v>
      </c>
      <c r="KE86" s="247">
        <v>253.13616576865115</v>
      </c>
      <c r="KF86" s="247">
        <v>252.28814569611544</v>
      </c>
      <c r="KG86" s="247">
        <v>251.44095692496205</v>
      </c>
      <c r="KH86" s="247">
        <v>250.59466312470894</v>
      </c>
      <c r="KI86" s="247">
        <v>249.74932774868688</v>
      </c>
      <c r="KJ86" s="247">
        <v>248.90501372907406</v>
      </c>
      <c r="KK86" s="247">
        <v>248.06178378653502</v>
      </c>
      <c r="KL86" s="247">
        <v>247.21970042135737</v>
      </c>
      <c r="KM86" s="247">
        <v>246.37882591901129</v>
      </c>
      <c r="KN86" s="247">
        <v>245.53922219262969</v>
      </c>
      <c r="KO86" s="247">
        <v>244.70095093037838</v>
      </c>
      <c r="KP86" s="247">
        <v>243.86407344807535</v>
      </c>
      <c r="KQ86" s="247">
        <v>243.02865114063866</v>
      </c>
      <c r="KR86" s="247">
        <v>242.19545785328964</v>
      </c>
      <c r="KS86" s="247">
        <v>241.36372888659173</v>
      </c>
      <c r="KT86" s="247">
        <v>240.53341924957815</v>
      </c>
      <c r="KU86" s="247">
        <v>239.70448413044025</v>
      </c>
      <c r="KV86" s="247">
        <v>238.87687905179149</v>
      </c>
      <c r="KW86" s="247">
        <v>238.0505595730863</v>
      </c>
      <c r="KX86" s="247">
        <v>237.22548172958858</v>
      </c>
      <c r="KY86" s="247">
        <v>236.40160159477475</v>
      </c>
      <c r="KZ86" s="247">
        <v>235.57887542599371</v>
      </c>
      <c r="LA86" s="247">
        <v>234.75725980661804</v>
      </c>
      <c r="LB86" s="247">
        <v>233.93671135849212</v>
      </c>
      <c r="LC86" s="247">
        <v>233.11718688861259</v>
      </c>
      <c r="LD86" s="247">
        <v>232.27975532886046</v>
      </c>
      <c r="LE86" s="247">
        <v>231.4432160442409</v>
      </c>
      <c r="LF86" s="247">
        <v>230.60759056557305</v>
      </c>
      <c r="LG86" s="247">
        <v>229.77290036731912</v>
      </c>
      <c r="LH86" s="247">
        <v>228.93916674315696</v>
      </c>
      <c r="LI86" s="247">
        <v>228.10641106354453</v>
      </c>
      <c r="LJ86" s="247">
        <v>227.27465463894396</v>
      </c>
      <c r="LK86" s="247">
        <v>226.44391846719037</v>
      </c>
      <c r="LL86" s="247">
        <v>225.61422374363795</v>
      </c>
      <c r="LM86" s="247">
        <v>224.78559159743057</v>
      </c>
      <c r="LN86" s="247">
        <v>223.95804284009643</v>
      </c>
      <c r="LO86" s="247">
        <v>223.13159847260548</v>
      </c>
      <c r="LP86" s="247">
        <v>222.30712727309634</v>
      </c>
      <c r="LQ86" s="247">
        <v>221.48377590883931</v>
      </c>
      <c r="LR86" s="247">
        <v>220.66154495369406</v>
      </c>
      <c r="LS86" s="247">
        <v>219.84043498387942</v>
      </c>
      <c r="LT86" s="247">
        <v>219.02044670751403</v>
      </c>
      <c r="LU86" s="247">
        <v>218.20158083932046</v>
      </c>
      <c r="LV86" s="247">
        <v>217.38383809442402</v>
      </c>
      <c r="LW86" s="247">
        <v>216.56721919162749</v>
      </c>
      <c r="LX86" s="247">
        <v>215.75172497513057</v>
      </c>
      <c r="LY86" s="247">
        <v>214.93735616298147</v>
      </c>
      <c r="LZ86" s="247">
        <v>214.12411371425983</v>
      </c>
      <c r="MA86" s="247">
        <v>213.31199834425226</v>
      </c>
      <c r="MB86" s="247">
        <v>212.48165642070768</v>
      </c>
      <c r="MC86" s="247">
        <v>211.65231716745831</v>
      </c>
      <c r="MD86" s="247">
        <v>210.8239802384152</v>
      </c>
      <c r="ME86" s="247">
        <v>209.99664527218147</v>
      </c>
      <c r="MF86" s="247">
        <v>209.1703121137736</v>
      </c>
      <c r="MG86" s="247">
        <v>208.34498048902148</v>
      </c>
      <c r="MH86" s="247">
        <v>207.52065010676844</v>
      </c>
      <c r="MI86" s="247">
        <v>206.69732087506569</v>
      </c>
      <c r="MJ86" s="247">
        <v>205.87499258031824</v>
      </c>
      <c r="MK86" s="247">
        <v>205.05366509218734</v>
      </c>
      <c r="ML86" s="247">
        <v>204.23333836587057</v>
      </c>
      <c r="MM86" s="247">
        <v>203.41401233486172</v>
      </c>
      <c r="MN86" s="247">
        <v>202.59664901526105</v>
      </c>
      <c r="MO86" s="247">
        <v>201.78027644168591</v>
      </c>
      <c r="MP86" s="247">
        <v>200.96489028268064</v>
      </c>
      <c r="MQ86" s="247">
        <v>200.15048611466315</v>
      </c>
      <c r="MR86" s="247">
        <v>199.3370598418538</v>
      </c>
      <c r="MS86" s="247">
        <v>198.52460717737085</v>
      </c>
      <c r="MT86" s="247">
        <v>197.71312394604684</v>
      </c>
      <c r="MU86" s="247">
        <v>196.90260608762861</v>
      </c>
      <c r="MV86" s="247">
        <v>196.09304945111339</v>
      </c>
      <c r="MW86" s="247">
        <v>195.28444989027417</v>
      </c>
      <c r="MX86" s="247">
        <v>194.47680356784002</v>
      </c>
      <c r="MY86" s="247">
        <v>193.67010635053333</v>
      </c>
    </row>
    <row r="87" spans="1:363" ht="15.6" x14ac:dyDescent="0.3">
      <c r="A87" s="67" t="s">
        <v>7</v>
      </c>
      <c r="B87" s="72">
        <v>2097</v>
      </c>
      <c r="C87" s="247">
        <v>532.19571469395009</v>
      </c>
      <c r="D87" s="247">
        <v>531.16671839099149</v>
      </c>
      <c r="E87" s="247">
        <v>530.13772241349557</v>
      </c>
      <c r="F87" s="247">
        <v>529.10872752405714</v>
      </c>
      <c r="G87" s="247">
        <v>528.07973451137195</v>
      </c>
      <c r="H87" s="247">
        <v>527.05074416001673</v>
      </c>
      <c r="I87" s="247">
        <v>526.021757250615</v>
      </c>
      <c r="J87" s="247">
        <v>524.99277455275148</v>
      </c>
      <c r="K87" s="247">
        <v>523.96379685123611</v>
      </c>
      <c r="L87" s="247">
        <v>522.93482494400632</v>
      </c>
      <c r="M87" s="247">
        <v>521.90585960529722</v>
      </c>
      <c r="N87" s="247">
        <v>520.8769016349662</v>
      </c>
      <c r="O87" s="247">
        <v>519.8479518114134</v>
      </c>
      <c r="P87" s="247">
        <v>518.81863381186179</v>
      </c>
      <c r="Q87" s="247">
        <v>517.78931351953304</v>
      </c>
      <c r="R87" s="247">
        <v>516.75999142623596</v>
      </c>
      <c r="S87" s="247">
        <v>515.73066804800419</v>
      </c>
      <c r="T87" s="247">
        <v>514.7013438804305</v>
      </c>
      <c r="U87" s="247">
        <v>513.67201943082023</v>
      </c>
      <c r="V87" s="247">
        <v>512.64269521684423</v>
      </c>
      <c r="W87" s="247">
        <v>511.61337173226008</v>
      </c>
      <c r="X87" s="247">
        <v>510.58404950322301</v>
      </c>
      <c r="Y87" s="247">
        <v>509.55472904577749</v>
      </c>
      <c r="Z87" s="247">
        <v>508.52541087153668</v>
      </c>
      <c r="AA87" s="247">
        <v>507.49609551371765</v>
      </c>
      <c r="AB87" s="247">
        <v>506.46644255603047</v>
      </c>
      <c r="AC87" s="247">
        <v>505.43678203216552</v>
      </c>
      <c r="AD87" s="247">
        <v>504.40711421517659</v>
      </c>
      <c r="AE87" s="247">
        <v>503.3774394086339</v>
      </c>
      <c r="AF87" s="247">
        <v>502.34775788917915</v>
      </c>
      <c r="AG87" s="247">
        <v>501.3180699689849</v>
      </c>
      <c r="AH87" s="247">
        <v>500.28837591836094</v>
      </c>
      <c r="AI87" s="247">
        <v>499.25867606683323</v>
      </c>
      <c r="AJ87" s="247">
        <v>498.2289706873247</v>
      </c>
      <c r="AK87" s="247">
        <v>497.19926012354421</v>
      </c>
      <c r="AL87" s="247">
        <v>496.16954466480701</v>
      </c>
      <c r="AM87" s="247">
        <v>495.13982463888141</v>
      </c>
      <c r="AN87" s="247">
        <v>494.11072883189797</v>
      </c>
      <c r="AO87" s="247">
        <v>493.08162343778145</v>
      </c>
      <c r="AP87" s="247">
        <v>492.05250980015251</v>
      </c>
      <c r="AQ87" s="247">
        <v>491.02338921731683</v>
      </c>
      <c r="AR87" s="247">
        <v>489.99426300593632</v>
      </c>
      <c r="AS87" s="247">
        <v>488.9651325026822</v>
      </c>
      <c r="AT87" s="247">
        <v>487.93599899599116</v>
      </c>
      <c r="AU87" s="247">
        <v>486.90686380092183</v>
      </c>
      <c r="AV87" s="247">
        <v>485.87772822086453</v>
      </c>
      <c r="AW87" s="247">
        <v>484.84859356326712</v>
      </c>
      <c r="AX87" s="247">
        <v>483.819461134432</v>
      </c>
      <c r="AY87" s="247">
        <v>482.79033223822347</v>
      </c>
      <c r="AZ87" s="247">
        <v>481.76184194073932</v>
      </c>
      <c r="BA87" s="247">
        <v>480.73334929383776</v>
      </c>
      <c r="BB87" s="247">
        <v>479.70485379793649</v>
      </c>
      <c r="BC87" s="247">
        <v>478.67635494496653</v>
      </c>
      <c r="BD87" s="247">
        <v>477.64785223966038</v>
      </c>
      <c r="BE87" s="247">
        <v>476.619345192955</v>
      </c>
      <c r="BF87" s="247">
        <v>475.59083332937138</v>
      </c>
      <c r="BG87" s="247">
        <v>474.56231617789143</v>
      </c>
      <c r="BH87" s="247">
        <v>473.53379327563886</v>
      </c>
      <c r="BI87" s="247">
        <v>472.50526416684698</v>
      </c>
      <c r="BJ87" s="247">
        <v>471.47672839781922</v>
      </c>
      <c r="BK87" s="247">
        <v>470.44818554862388</v>
      </c>
      <c r="BL87" s="247">
        <v>469.42140946643065</v>
      </c>
      <c r="BM87" s="247">
        <v>468.39462803205731</v>
      </c>
      <c r="BN87" s="247">
        <v>467.36784625942227</v>
      </c>
      <c r="BO87" s="247">
        <v>466.34106913455611</v>
      </c>
      <c r="BP87" s="247">
        <v>465.31430165546794</v>
      </c>
      <c r="BQ87" s="247">
        <v>464.28754877148634</v>
      </c>
      <c r="BR87" s="247">
        <v>463.26081539155547</v>
      </c>
      <c r="BS87" s="247">
        <v>462.23410641834909</v>
      </c>
      <c r="BT87" s="247">
        <v>461.20742670797102</v>
      </c>
      <c r="BU87" s="247">
        <v>460.18078113125597</v>
      </c>
      <c r="BV87" s="247">
        <v>459.15417450555503</v>
      </c>
      <c r="BW87" s="247">
        <v>458.12761161191105</v>
      </c>
      <c r="BX87" s="247">
        <v>457.10308401134807</v>
      </c>
      <c r="BY87" s="247">
        <v>456.07860527886652</v>
      </c>
      <c r="BZ87" s="247">
        <v>455.05417296488071</v>
      </c>
      <c r="CA87" s="247">
        <v>454.02978461180771</v>
      </c>
      <c r="CB87" s="247">
        <v>453.00543778699011</v>
      </c>
      <c r="CC87" s="247">
        <v>451.98113008482835</v>
      </c>
      <c r="CD87" s="247">
        <v>450.9568591068338</v>
      </c>
      <c r="CE87" s="247">
        <v>449.93262247902737</v>
      </c>
      <c r="CF87" s="247">
        <v>448.90841784678281</v>
      </c>
      <c r="CG87" s="247">
        <v>447.88424287484952</v>
      </c>
      <c r="CH87" s="247">
        <v>446.86009523970733</v>
      </c>
      <c r="CI87" s="247">
        <v>445.8359726481724</v>
      </c>
      <c r="CJ87" s="247">
        <v>444.81584229356594</v>
      </c>
      <c r="CK87" s="247">
        <v>443.79574482973214</v>
      </c>
      <c r="CL87" s="247">
        <v>442.77568288122274</v>
      </c>
      <c r="CM87" s="247">
        <v>441.75565900302314</v>
      </c>
      <c r="CN87" s="247">
        <v>440.7356757745672</v>
      </c>
      <c r="CO87" s="247">
        <v>439.71573574660147</v>
      </c>
      <c r="CP87" s="247">
        <v>438.695841463009</v>
      </c>
      <c r="CQ87" s="247">
        <v>437.67599544597385</v>
      </c>
      <c r="CR87" s="247">
        <v>436.65620020221206</v>
      </c>
      <c r="CS87" s="247">
        <v>435.63645825680908</v>
      </c>
      <c r="CT87" s="247">
        <v>434.61677208717344</v>
      </c>
      <c r="CU87" s="247">
        <v>433.59714417926455</v>
      </c>
      <c r="CV87" s="247">
        <v>432.58250819993538</v>
      </c>
      <c r="CW87" s="247">
        <v>431.56794936493628</v>
      </c>
      <c r="CX87" s="247">
        <v>430.55346841705307</v>
      </c>
      <c r="CY87" s="247">
        <v>429.53906611245299</v>
      </c>
      <c r="CZ87" s="247">
        <v>428.52474319499441</v>
      </c>
      <c r="DA87" s="247">
        <v>427.51050038837838</v>
      </c>
      <c r="DB87" s="247">
        <v>426.49633844921345</v>
      </c>
      <c r="DC87" s="247">
        <v>425.48225812076493</v>
      </c>
      <c r="DD87" s="247">
        <v>424.46826011472422</v>
      </c>
      <c r="DE87" s="247">
        <v>423.45434517850089</v>
      </c>
      <c r="DF87" s="247">
        <v>422.44051402923543</v>
      </c>
      <c r="DG87" s="247">
        <v>421.42676739439707</v>
      </c>
      <c r="DH87" s="247">
        <v>420.41928142114165</v>
      </c>
      <c r="DI87" s="247">
        <v>419.41190890356006</v>
      </c>
      <c r="DJ87" s="247">
        <v>418.40465710883598</v>
      </c>
      <c r="DK87" s="247">
        <v>417.39753332116049</v>
      </c>
      <c r="DL87" s="247">
        <v>416.39054472836489</v>
      </c>
      <c r="DM87" s="247">
        <v>415.38369852538523</v>
      </c>
      <c r="DN87" s="247">
        <v>414.37700178716187</v>
      </c>
      <c r="DO87" s="247">
        <v>413.37046163396673</v>
      </c>
      <c r="DP87" s="247">
        <v>412.36408505225108</v>
      </c>
      <c r="DQ87" s="247">
        <v>411.35787902233324</v>
      </c>
      <c r="DR87" s="247">
        <v>410.35185047093398</v>
      </c>
      <c r="DS87" s="247">
        <v>409.34600631917181</v>
      </c>
      <c r="DT87" s="247">
        <v>408.34820176825883</v>
      </c>
      <c r="DU87" s="247">
        <v>407.35064206983361</v>
      </c>
      <c r="DV87" s="247">
        <v>406.35333731142316</v>
      </c>
      <c r="DW87" s="247">
        <v>405.35629745411916</v>
      </c>
      <c r="DX87" s="247">
        <v>404.35953242116778</v>
      </c>
      <c r="DY87" s="247">
        <v>403.36305207213445</v>
      </c>
      <c r="DZ87" s="247">
        <v>402.36686618285376</v>
      </c>
      <c r="EA87" s="247">
        <v>401.37098449125926</v>
      </c>
      <c r="EB87" s="247">
        <v>400.37541665305071</v>
      </c>
      <c r="EC87" s="247">
        <v>399.38017224440341</v>
      </c>
      <c r="ED87" s="247">
        <v>398.38526077993504</v>
      </c>
      <c r="EE87" s="247">
        <v>397.39069171420738</v>
      </c>
      <c r="EF87" s="247">
        <v>396.40670006943571</v>
      </c>
      <c r="EG87" s="247">
        <v>395.42313313201197</v>
      </c>
      <c r="EH87" s="247">
        <v>394.43998594462391</v>
      </c>
      <c r="EI87" s="247">
        <v>393.45725371912056</v>
      </c>
      <c r="EJ87" s="247">
        <v>392.4749315841313</v>
      </c>
      <c r="EK87" s="247">
        <v>391.49301475511567</v>
      </c>
      <c r="EL87" s="247">
        <v>390.51149846636741</v>
      </c>
      <c r="EM87" s="247">
        <v>389.53037791419763</v>
      </c>
      <c r="EN87" s="247">
        <v>388.54964842495156</v>
      </c>
      <c r="EO87" s="247">
        <v>387.56930526049683</v>
      </c>
      <c r="EP87" s="247">
        <v>386.58934374898047</v>
      </c>
      <c r="EQ87" s="247">
        <v>385.60975924261436</v>
      </c>
      <c r="ER87" s="247">
        <v>384.63725504170924</v>
      </c>
      <c r="ES87" s="247">
        <v>383.66516643163186</v>
      </c>
      <c r="ET87" s="247">
        <v>382.69350089722366</v>
      </c>
      <c r="EU87" s="247">
        <v>381.7222660802945</v>
      </c>
      <c r="EV87" s="247">
        <v>380.75146938898939</v>
      </c>
      <c r="EW87" s="247">
        <v>379.78111827571382</v>
      </c>
      <c r="EX87" s="247">
        <v>378.81122009346501</v>
      </c>
      <c r="EY87" s="247">
        <v>377.8417821515061</v>
      </c>
      <c r="EZ87" s="247">
        <v>376.87281170895028</v>
      </c>
      <c r="FA87" s="247">
        <v>375.90431595286992</v>
      </c>
      <c r="FB87" s="247">
        <v>374.93630204514312</v>
      </c>
      <c r="FC87" s="247">
        <v>373.96877707716266</v>
      </c>
      <c r="FD87" s="247">
        <v>373.00240408211187</v>
      </c>
      <c r="FE87" s="247">
        <v>372.03652665934749</v>
      </c>
      <c r="FF87" s="247">
        <v>371.07115117892027</v>
      </c>
      <c r="FG87" s="247">
        <v>370.1062839587081</v>
      </c>
      <c r="FH87" s="247">
        <v>369.14193122888918</v>
      </c>
      <c r="FI87" s="247">
        <v>368.17809924173315</v>
      </c>
      <c r="FJ87" s="247">
        <v>367.21479415449227</v>
      </c>
      <c r="FK87" s="247">
        <v>366.2520220839159</v>
      </c>
      <c r="FL87" s="247">
        <v>365.28978909981208</v>
      </c>
      <c r="FM87" s="247">
        <v>364.32810120378394</v>
      </c>
      <c r="FN87" s="247">
        <v>363.36696437487177</v>
      </c>
      <c r="FO87" s="247">
        <v>362.40638452547478</v>
      </c>
      <c r="FP87" s="247">
        <v>361.44702766952366</v>
      </c>
      <c r="FQ87" s="247">
        <v>360.48823340918528</v>
      </c>
      <c r="FR87" s="247">
        <v>359.53000817895833</v>
      </c>
      <c r="FS87" s="247">
        <v>358.57235844356984</v>
      </c>
      <c r="FT87" s="247">
        <v>357.61529052992972</v>
      </c>
      <c r="FU87" s="247">
        <v>356.65881077859177</v>
      </c>
      <c r="FV87" s="247">
        <v>355.70292547368058</v>
      </c>
      <c r="FW87" s="247">
        <v>354.74764078600231</v>
      </c>
      <c r="FX87" s="247">
        <v>353.79296292060809</v>
      </c>
      <c r="FY87" s="247">
        <v>352.83889794234886</v>
      </c>
      <c r="FZ87" s="247">
        <v>351.88545197351914</v>
      </c>
      <c r="GA87" s="247">
        <v>350.93263101972616</v>
      </c>
      <c r="GB87" s="247">
        <v>349.98110753222824</v>
      </c>
      <c r="GC87" s="247">
        <v>349.03022862716978</v>
      </c>
      <c r="GD87" s="247">
        <v>348.0800145569961</v>
      </c>
      <c r="GE87" s="247">
        <v>347.13048548451599</v>
      </c>
      <c r="GF87" s="247">
        <v>346.18166136280632</v>
      </c>
      <c r="GG87" s="247">
        <v>345.23356206103318</v>
      </c>
      <c r="GH87" s="247">
        <v>344.28620729623032</v>
      </c>
      <c r="GI87" s="247">
        <v>343.33961666338797</v>
      </c>
      <c r="GJ87" s="247">
        <v>342.39380960844835</v>
      </c>
      <c r="GK87" s="247">
        <v>341.44880542881032</v>
      </c>
      <c r="GL87" s="247">
        <v>340.50462329621354</v>
      </c>
      <c r="GM87" s="247">
        <v>339.56128227764611</v>
      </c>
      <c r="GN87" s="247">
        <v>338.61946601020651</v>
      </c>
      <c r="GO87" s="247">
        <v>337.67849940762926</v>
      </c>
      <c r="GP87" s="247">
        <v>336.7383789391526</v>
      </c>
      <c r="GQ87" s="247">
        <v>335.79910108053576</v>
      </c>
      <c r="GR87" s="247">
        <v>334.86066232238392</v>
      </c>
      <c r="GS87" s="247">
        <v>333.92305914677308</v>
      </c>
      <c r="GT87" s="247">
        <v>332.98628806451802</v>
      </c>
      <c r="GU87" s="247">
        <v>332.05034562364892</v>
      </c>
      <c r="GV87" s="247">
        <v>331.11522832116839</v>
      </c>
      <c r="GW87" s="247">
        <v>330.180932706188</v>
      </c>
      <c r="GX87" s="247">
        <v>329.2474553402725</v>
      </c>
      <c r="GY87" s="247">
        <v>328.31479283801281</v>
      </c>
      <c r="GZ87" s="247">
        <v>327.38361935057196</v>
      </c>
      <c r="HA87" s="247">
        <v>326.45327364181747</v>
      </c>
      <c r="HB87" s="247">
        <v>325.52377882348935</v>
      </c>
      <c r="HC87" s="247">
        <v>324.59515772927102</v>
      </c>
      <c r="HD87" s="247">
        <v>323.66743310492029</v>
      </c>
      <c r="HE87" s="247">
        <v>322.74062752495001</v>
      </c>
      <c r="HF87" s="247">
        <v>321.81476346863332</v>
      </c>
      <c r="HG87" s="247">
        <v>320.88986318912032</v>
      </c>
      <c r="HH87" s="247">
        <v>319.96594886650576</v>
      </c>
      <c r="HI87" s="247">
        <v>319.04304252884441</v>
      </c>
      <c r="HJ87" s="247">
        <v>318.1211659945817</v>
      </c>
      <c r="HK87" s="247">
        <v>317.20034103068616</v>
      </c>
      <c r="HL87" s="247">
        <v>316.28126040206627</v>
      </c>
      <c r="HM87" s="247">
        <v>315.36322534622633</v>
      </c>
      <c r="HN87" s="247">
        <v>314.44621513773484</v>
      </c>
      <c r="HO87" s="247">
        <v>313.53020920944834</v>
      </c>
      <c r="HP87" s="247">
        <v>312.61518706426267</v>
      </c>
      <c r="HQ87" s="247">
        <v>311.70112838809064</v>
      </c>
      <c r="HR87" s="247">
        <v>310.78801291052679</v>
      </c>
      <c r="HS87" s="247">
        <v>309.87582050949482</v>
      </c>
      <c r="HT87" s="247">
        <v>308.96453118590318</v>
      </c>
      <c r="HU87" s="247">
        <v>308.05412502561779</v>
      </c>
      <c r="HV87" s="247">
        <v>307.1445822577557</v>
      </c>
      <c r="HW87" s="247">
        <v>306.23588316031095</v>
      </c>
      <c r="HX87" s="247">
        <v>305.3286966560209</v>
      </c>
      <c r="HY87" s="247">
        <v>304.42233633301436</v>
      </c>
      <c r="HZ87" s="247">
        <v>303.51681093008091</v>
      </c>
      <c r="IA87" s="247">
        <v>302.61212913255781</v>
      </c>
      <c r="IB87" s="247">
        <v>301.70829956220058</v>
      </c>
      <c r="IC87" s="247">
        <v>300.80533077453941</v>
      </c>
      <c r="ID87" s="247">
        <v>299.90323131016459</v>
      </c>
      <c r="IE87" s="247">
        <v>299.00200961007585</v>
      </c>
      <c r="IF87" s="247">
        <v>298.10167406559822</v>
      </c>
      <c r="IG87" s="247">
        <v>297.20223301835091</v>
      </c>
      <c r="IH87" s="247">
        <v>296.3036947613071</v>
      </c>
      <c r="II87" s="247">
        <v>295.40606753900437</v>
      </c>
      <c r="IJ87" s="247">
        <v>294.51005103894221</v>
      </c>
      <c r="IK87" s="247">
        <v>293.61496600266122</v>
      </c>
      <c r="IL87" s="247">
        <v>292.72083133362497</v>
      </c>
      <c r="IM87" s="247">
        <v>291.82766574533736</v>
      </c>
      <c r="IN87" s="247">
        <v>290.93548787882656</v>
      </c>
      <c r="IO87" s="247">
        <v>290.04431633534728</v>
      </c>
      <c r="IP87" s="247">
        <v>289.15416950992932</v>
      </c>
      <c r="IQ87" s="247">
        <v>288.26506570763115</v>
      </c>
      <c r="IR87" s="247">
        <v>287.37702320868368</v>
      </c>
      <c r="IS87" s="247">
        <v>286.4900601255361</v>
      </c>
      <c r="IT87" s="247">
        <v>285.60419447540119</v>
      </c>
      <c r="IU87" s="247">
        <v>284.71944418036952</v>
      </c>
      <c r="IV87" s="247">
        <v>283.83651615718423</v>
      </c>
      <c r="IW87" s="247">
        <v>282.95468967252191</v>
      </c>
      <c r="IX87" s="247">
        <v>282.07393986244261</v>
      </c>
      <c r="IY87" s="247">
        <v>281.19424203157018</v>
      </c>
      <c r="IZ87" s="247">
        <v>280.31557155749499</v>
      </c>
      <c r="JA87" s="247">
        <v>279.43790402738671</v>
      </c>
      <c r="JB87" s="247">
        <v>278.56121509376447</v>
      </c>
      <c r="JC87" s="247">
        <v>277.68548056989533</v>
      </c>
      <c r="JD87" s="247">
        <v>276.81067640681471</v>
      </c>
      <c r="JE87" s="247">
        <v>275.93677862421424</v>
      </c>
      <c r="JF87" s="247">
        <v>275.0637634149171</v>
      </c>
      <c r="JG87" s="247">
        <v>274.19160711071578</v>
      </c>
      <c r="JH87" s="247">
        <v>273.32099465193318</v>
      </c>
      <c r="JI87" s="247">
        <v>272.45121888289498</v>
      </c>
      <c r="JJ87" s="247">
        <v>271.58228789844566</v>
      </c>
      <c r="JK87" s="247">
        <v>270.71420965229777</v>
      </c>
      <c r="JL87" s="247">
        <v>269.84699211702485</v>
      </c>
      <c r="JM87" s="247">
        <v>268.98064316452269</v>
      </c>
      <c r="JN87" s="247">
        <v>268.11517067673606</v>
      </c>
      <c r="JO87" s="247">
        <v>267.25058240479092</v>
      </c>
      <c r="JP87" s="247">
        <v>266.38688629426736</v>
      </c>
      <c r="JQ87" s="247">
        <v>265.52408982288665</v>
      </c>
      <c r="JR87" s="247">
        <v>264.66220082735646</v>
      </c>
      <c r="JS87" s="247">
        <v>263.80122700784153</v>
      </c>
      <c r="JT87" s="247">
        <v>262.94188361490717</v>
      </c>
      <c r="JU87" s="247">
        <v>262.08344397738631</v>
      </c>
      <c r="JV87" s="247">
        <v>261.22589580255249</v>
      </c>
      <c r="JW87" s="247">
        <v>260.36922699664171</v>
      </c>
      <c r="JX87" s="247">
        <v>259.5134253508632</v>
      </c>
      <c r="JY87" s="247">
        <v>258.65847886169115</v>
      </c>
      <c r="JZ87" s="247">
        <v>257.80437556375944</v>
      </c>
      <c r="KA87" s="247">
        <v>256.95110337929378</v>
      </c>
      <c r="KB87" s="247">
        <v>256.09865043360548</v>
      </c>
      <c r="KC87" s="247">
        <v>255.24700489072401</v>
      </c>
      <c r="KD87" s="247">
        <v>254.39615495969454</v>
      </c>
      <c r="KE87" s="247">
        <v>253.54608873521806</v>
      </c>
      <c r="KF87" s="247">
        <v>252.69752662107683</v>
      </c>
      <c r="KG87" s="247">
        <v>251.84979366835435</v>
      </c>
      <c r="KH87" s="247">
        <v>251.00295333927829</v>
      </c>
      <c r="KI87" s="247">
        <v>250.1570688811116</v>
      </c>
      <c r="KJ87" s="247">
        <v>249.31220302225674</v>
      </c>
      <c r="KK87" s="247">
        <v>248.46841828079528</v>
      </c>
      <c r="KL87" s="247">
        <v>247.62577695565727</v>
      </c>
      <c r="KM87" s="247">
        <v>246.78434113216969</v>
      </c>
      <c r="KN87" s="247">
        <v>245.94417252505056</v>
      </c>
      <c r="KO87" s="247">
        <v>245.10533262525863</v>
      </c>
      <c r="KP87" s="247">
        <v>244.26788255311757</v>
      </c>
      <c r="KQ87" s="247">
        <v>243.4318835082295</v>
      </c>
      <c r="KR87" s="247">
        <v>242.59810684779924</v>
      </c>
      <c r="KS87" s="247">
        <v>241.76579034365412</v>
      </c>
      <c r="KT87" s="247">
        <v>240.93488916572124</v>
      </c>
      <c r="KU87" s="247">
        <v>240.10535866222287</v>
      </c>
      <c r="KV87" s="247">
        <v>239.27715451448117</v>
      </c>
      <c r="KW87" s="247">
        <v>238.45023244029991</v>
      </c>
      <c r="KX87" s="247">
        <v>237.62454863148633</v>
      </c>
      <c r="KY87" s="247">
        <v>236.80005931773763</v>
      </c>
      <c r="KZ87" s="247">
        <v>235.97672091182699</v>
      </c>
      <c r="LA87" s="247">
        <v>235.1544901512689</v>
      </c>
      <c r="LB87" s="247">
        <v>234.33332381176126</v>
      </c>
      <c r="LC87" s="247">
        <v>233.51317885337619</v>
      </c>
      <c r="LD87" s="247">
        <v>232.6749907707752</v>
      </c>
      <c r="LE87" s="247">
        <v>231.83769177468582</v>
      </c>
      <c r="LF87" s="247">
        <v>231.00130331060271</v>
      </c>
      <c r="LG87" s="247">
        <v>230.16584676802972</v>
      </c>
      <c r="LH87" s="247">
        <v>229.33134335662322</v>
      </c>
      <c r="LI87" s="247">
        <v>228.49781436260943</v>
      </c>
      <c r="LJ87" s="247">
        <v>227.66528101260147</v>
      </c>
      <c r="LK87" s="247">
        <v>226.83376422206376</v>
      </c>
      <c r="LL87" s="247">
        <v>226.00328510326378</v>
      </c>
      <c r="LM87" s="247">
        <v>225.17386470265052</v>
      </c>
      <c r="LN87" s="247">
        <v>224.34552375054892</v>
      </c>
      <c r="LO87" s="247">
        <v>223.51828316603431</v>
      </c>
      <c r="LP87" s="247">
        <v>222.69300768714399</v>
      </c>
      <c r="LQ87" s="247">
        <v>221.86884794966252</v>
      </c>
      <c r="LR87" s="247">
        <v>221.04580453244358</v>
      </c>
      <c r="LS87" s="247">
        <v>220.22387801668665</v>
      </c>
      <c r="LT87" s="247">
        <v>219.40306911497927</v>
      </c>
      <c r="LU87" s="247">
        <v>218.58337854648926</v>
      </c>
      <c r="LV87" s="247">
        <v>217.76480703080412</v>
      </c>
      <c r="LW87" s="247">
        <v>216.94735529120518</v>
      </c>
      <c r="LX87" s="247">
        <v>216.13102417586884</v>
      </c>
      <c r="LY87" s="247">
        <v>215.31581440736707</v>
      </c>
      <c r="LZ87" s="247">
        <v>214.50172694832062</v>
      </c>
      <c r="MA87" s="247">
        <v>213.68876251862582</v>
      </c>
      <c r="MB87" s="247">
        <v>212.85744754312577</v>
      </c>
      <c r="MC87" s="247">
        <v>212.02713058636544</v>
      </c>
      <c r="MD87" s="247">
        <v>211.19781130982176</v>
      </c>
      <c r="ME87" s="247">
        <v>210.36948935970798</v>
      </c>
      <c r="MF87" s="247">
        <v>209.54216458758526</v>
      </c>
      <c r="MG87" s="247">
        <v>208.71583672642981</v>
      </c>
      <c r="MH87" s="247">
        <v>207.89050549229947</v>
      </c>
      <c r="MI87" s="247">
        <v>207.06617079942029</v>
      </c>
      <c r="MJ87" s="247">
        <v>206.24283244101051</v>
      </c>
      <c r="MK87" s="247">
        <v>205.42049029308302</v>
      </c>
      <c r="ML87" s="247">
        <v>204.59914431674954</v>
      </c>
      <c r="MM87" s="247">
        <v>203.77879445153224</v>
      </c>
      <c r="MN87" s="247">
        <v>202.96039675432576</v>
      </c>
      <c r="MO87" s="247">
        <v>202.14298524355596</v>
      </c>
      <c r="MP87" s="247">
        <v>201.32655561520065</v>
      </c>
      <c r="MQ87" s="247">
        <v>200.51110347354577</v>
      </c>
      <c r="MR87" s="247">
        <v>199.69662474898229</v>
      </c>
      <c r="MS87" s="247">
        <v>198.88311518176272</v>
      </c>
      <c r="MT87" s="247">
        <v>198.07057062324907</v>
      </c>
      <c r="MU87" s="247">
        <v>197.25898703911579</v>
      </c>
      <c r="MV87" s="247">
        <v>196.44836030475975</v>
      </c>
      <c r="MW87" s="247">
        <v>195.6386863003053</v>
      </c>
      <c r="MX87" s="247">
        <v>194.82996121322779</v>
      </c>
      <c r="MY87" s="247">
        <v>194.02218093654304</v>
      </c>
    </row>
    <row r="88" spans="1:363" ht="15.6" x14ac:dyDescent="0.3">
      <c r="A88" s="67" t="s">
        <v>7</v>
      </c>
      <c r="B88" s="72">
        <v>2098</v>
      </c>
      <c r="C88" s="247">
        <v>532.66755856688269</v>
      </c>
      <c r="D88" s="247">
        <v>531.63853586144023</v>
      </c>
      <c r="E88" s="247">
        <v>530.60951297745999</v>
      </c>
      <c r="F88" s="247">
        <v>529.58049067419415</v>
      </c>
      <c r="G88" s="247">
        <v>528.55146973657304</v>
      </c>
      <c r="H88" s="247">
        <v>527.52245094563762</v>
      </c>
      <c r="I88" s="247">
        <v>526.49343507857088</v>
      </c>
      <c r="J88" s="247">
        <v>525.46442290172729</v>
      </c>
      <c r="K88" s="247">
        <v>524.43541519660585</v>
      </c>
      <c r="L88" s="247">
        <v>523.40641275771588</v>
      </c>
      <c r="M88" s="247">
        <v>522.37741635629857</v>
      </c>
      <c r="N88" s="247">
        <v>521.34842678894051</v>
      </c>
      <c r="O88" s="247">
        <v>520.31944483120469</v>
      </c>
      <c r="P88" s="247">
        <v>519.29009418177918</v>
      </c>
      <c r="Q88" s="247">
        <v>518.26074072251299</v>
      </c>
      <c r="R88" s="247">
        <v>517.23138494609043</v>
      </c>
      <c r="S88" s="247">
        <v>516.20202736897545</v>
      </c>
      <c r="T88" s="247">
        <v>515.17266848770873</v>
      </c>
      <c r="U88" s="247">
        <v>514.14330881038518</v>
      </c>
      <c r="V88" s="247">
        <v>513.11394885534025</v>
      </c>
      <c r="W88" s="247">
        <v>512.08458911753587</v>
      </c>
      <c r="X88" s="247">
        <v>511.05523012389386</v>
      </c>
      <c r="Y88" s="247">
        <v>510.02587239145777</v>
      </c>
      <c r="Z88" s="247">
        <v>508.99651643303514</v>
      </c>
      <c r="AA88" s="247">
        <v>507.967162782797</v>
      </c>
      <c r="AB88" s="247">
        <v>506.93747169959755</v>
      </c>
      <c r="AC88" s="247">
        <v>505.90777257094464</v>
      </c>
      <c r="AD88" s="247">
        <v>504.87806567460541</v>
      </c>
      <c r="AE88" s="247">
        <v>503.84835131828936</v>
      </c>
      <c r="AF88" s="247">
        <v>502.81862978342127</v>
      </c>
      <c r="AG88" s="247">
        <v>501.78890138638576</v>
      </c>
      <c r="AH88" s="247">
        <v>500.75916640246032</v>
      </c>
      <c r="AI88" s="247">
        <v>499.72942516528582</v>
      </c>
      <c r="AJ88" s="247">
        <v>498.69967795295298</v>
      </c>
      <c r="AK88" s="247">
        <v>497.66992511320456</v>
      </c>
      <c r="AL88" s="247">
        <v>496.64016694043539</v>
      </c>
      <c r="AM88" s="247">
        <v>495.61040376695155</v>
      </c>
      <c r="AN88" s="247">
        <v>494.58125880098765</v>
      </c>
      <c r="AO88" s="247">
        <v>493.55210380157354</v>
      </c>
      <c r="AP88" s="247">
        <v>492.52294009879785</v>
      </c>
      <c r="AQ88" s="247">
        <v>491.49376897815671</v>
      </c>
      <c r="AR88" s="247">
        <v>490.46459174337673</v>
      </c>
      <c r="AS88" s="247">
        <v>489.4354097178998</v>
      </c>
      <c r="AT88" s="247">
        <v>488.40622417779065</v>
      </c>
      <c r="AU88" s="247">
        <v>487.37703642545893</v>
      </c>
      <c r="AV88" s="247">
        <v>486.34784775192639</v>
      </c>
      <c r="AW88" s="247">
        <v>485.31865945228657</v>
      </c>
      <c r="AX88" s="247">
        <v>484.2894728206283</v>
      </c>
      <c r="AY88" s="247">
        <v>483.26028914876292</v>
      </c>
      <c r="AZ88" s="247">
        <v>482.23173786808974</v>
      </c>
      <c r="BA88" s="247">
        <v>481.20318366704669</v>
      </c>
      <c r="BB88" s="247">
        <v>480.17462606400102</v>
      </c>
      <c r="BC88" s="247">
        <v>479.14606456892687</v>
      </c>
      <c r="BD88" s="247">
        <v>478.11749870454793</v>
      </c>
      <c r="BE88" s="247">
        <v>477.08892799972602</v>
      </c>
      <c r="BF88" s="247">
        <v>476.06035199670816</v>
      </c>
      <c r="BG88" s="247">
        <v>475.0317702422808</v>
      </c>
      <c r="BH88" s="247">
        <v>474.00318229130801</v>
      </c>
      <c r="BI88" s="247">
        <v>472.97458770571865</v>
      </c>
      <c r="BJ88" s="247">
        <v>471.94598604958685</v>
      </c>
      <c r="BK88" s="247">
        <v>470.91737692028073</v>
      </c>
      <c r="BL88" s="247">
        <v>469.89052138697969</v>
      </c>
      <c r="BM88" s="247">
        <v>468.86366002766289</v>
      </c>
      <c r="BN88" s="247">
        <v>467.83679778482559</v>
      </c>
      <c r="BO88" s="247">
        <v>466.80993957350381</v>
      </c>
      <c r="BP88" s="247">
        <v>465.78309032071513</v>
      </c>
      <c r="BQ88" s="247">
        <v>464.75625490564198</v>
      </c>
      <c r="BR88" s="247">
        <v>463.72943816779645</v>
      </c>
      <c r="BS88" s="247">
        <v>462.7026449406934</v>
      </c>
      <c r="BT88" s="247">
        <v>461.67588001213323</v>
      </c>
      <c r="BU88" s="247">
        <v>460.6491481845149</v>
      </c>
      <c r="BV88" s="247">
        <v>459.62245420774508</v>
      </c>
      <c r="BW88" s="247">
        <v>458.59580279613846</v>
      </c>
      <c r="BX88" s="247">
        <v>457.57117282754194</v>
      </c>
      <c r="BY88" s="247">
        <v>456.54659048741996</v>
      </c>
      <c r="BZ88" s="247">
        <v>455.52205337136655</v>
      </c>
      <c r="CA88" s="247">
        <v>454.49755906704337</v>
      </c>
      <c r="CB88" s="247">
        <v>453.47310518680757</v>
      </c>
      <c r="CC88" s="247">
        <v>452.4486893696922</v>
      </c>
      <c r="CD88" s="247">
        <v>451.42430926175723</v>
      </c>
      <c r="CE88" s="247">
        <v>450.39996253332782</v>
      </c>
      <c r="CF88" s="247">
        <v>449.37564687385816</v>
      </c>
      <c r="CG88" s="247">
        <v>448.35135999194205</v>
      </c>
      <c r="CH88" s="247">
        <v>447.32709960781608</v>
      </c>
      <c r="CI88" s="247">
        <v>446.30286347169061</v>
      </c>
      <c r="CJ88" s="247">
        <v>445.28260111022132</v>
      </c>
      <c r="CK88" s="247">
        <v>444.26237081079182</v>
      </c>
      <c r="CL88" s="247">
        <v>443.24217517116824</v>
      </c>
      <c r="CM88" s="247">
        <v>442.22201672043457</v>
      </c>
      <c r="CN88" s="247">
        <v>441.20189801196295</v>
      </c>
      <c r="CO88" s="247">
        <v>440.1818215708646</v>
      </c>
      <c r="CP88" s="247">
        <v>439.16178991553033</v>
      </c>
      <c r="CQ88" s="247">
        <v>438.14180554306637</v>
      </c>
      <c r="CR88" s="247">
        <v>437.12187093540717</v>
      </c>
      <c r="CS88" s="247">
        <v>436.10198859269661</v>
      </c>
      <c r="CT88" s="247">
        <v>435.08216096812657</v>
      </c>
      <c r="CU88" s="247">
        <v>434.062390523445</v>
      </c>
      <c r="CV88" s="247">
        <v>433.04759870231072</v>
      </c>
      <c r="CW88" s="247">
        <v>432.03288288611833</v>
      </c>
      <c r="CX88" s="247">
        <v>431.01824381572868</v>
      </c>
      <c r="CY88" s="247">
        <v>430.00368224523373</v>
      </c>
      <c r="CZ88" s="247">
        <v>428.9891989166793</v>
      </c>
      <c r="DA88" s="247">
        <v>427.97479455221441</v>
      </c>
      <c r="DB88" s="247">
        <v>426.96046990658482</v>
      </c>
      <c r="DC88" s="247">
        <v>425.94622572144704</v>
      </c>
      <c r="DD88" s="247">
        <v>424.93206270730809</v>
      </c>
      <c r="DE88" s="247">
        <v>423.91798161006614</v>
      </c>
      <c r="DF88" s="247">
        <v>422.90398314577521</v>
      </c>
      <c r="DG88" s="247">
        <v>421.89006804079781</v>
      </c>
      <c r="DH88" s="247">
        <v>420.88240985743994</v>
      </c>
      <c r="DI88" s="247">
        <v>419.87486393321774</v>
      </c>
      <c r="DJ88" s="247">
        <v>418.86743747575952</v>
      </c>
      <c r="DK88" s="247">
        <v>417.86013770958493</v>
      </c>
      <c r="DL88" s="247">
        <v>416.85297176387718</v>
      </c>
      <c r="DM88" s="247">
        <v>415.84594677494181</v>
      </c>
      <c r="DN88" s="247">
        <v>414.83906976024127</v>
      </c>
      <c r="DO88" s="247">
        <v>413.83234778231167</v>
      </c>
      <c r="DP88" s="247">
        <v>412.825787771173</v>
      </c>
      <c r="DQ88" s="247">
        <v>411.8193966508594</v>
      </c>
      <c r="DR88" s="247">
        <v>410.81318129241987</v>
      </c>
      <c r="DS88" s="247">
        <v>409.80714856148057</v>
      </c>
      <c r="DT88" s="247">
        <v>408.80916694119924</v>
      </c>
      <c r="DU88" s="247">
        <v>407.81142841943472</v>
      </c>
      <c r="DV88" s="247">
        <v>406.8139430187922</v>
      </c>
      <c r="DW88" s="247">
        <v>405.81672063639849</v>
      </c>
      <c r="DX88" s="247">
        <v>404.81977113195126</v>
      </c>
      <c r="DY88" s="247">
        <v>403.82310430201409</v>
      </c>
      <c r="DZ88" s="247">
        <v>402.82672986010334</v>
      </c>
      <c r="EA88" s="247">
        <v>401.83065748224715</v>
      </c>
      <c r="EB88" s="247">
        <v>400.83489676293487</v>
      </c>
      <c r="EC88" s="247">
        <v>399.83945721779156</v>
      </c>
      <c r="ED88" s="247">
        <v>398.84434830145176</v>
      </c>
      <c r="EE88" s="247">
        <v>397.84957940904877</v>
      </c>
      <c r="EF88" s="247">
        <v>396.8654250362838</v>
      </c>
      <c r="EG88" s="247">
        <v>395.88169337019383</v>
      </c>
      <c r="EH88" s="247">
        <v>394.89837948147624</v>
      </c>
      <c r="EI88" s="247">
        <v>393.91547860917274</v>
      </c>
      <c r="EJ88" s="247">
        <v>392.93298590955368</v>
      </c>
      <c r="EK88" s="247">
        <v>391.95089662532502</v>
      </c>
      <c r="EL88" s="247">
        <v>390.9692060179496</v>
      </c>
      <c r="EM88" s="247">
        <v>389.98790931113871</v>
      </c>
      <c r="EN88" s="247">
        <v>389.00700185804573</v>
      </c>
      <c r="EO88" s="247">
        <v>388.02647894768108</v>
      </c>
      <c r="EP88" s="247">
        <v>387.04633593506594</v>
      </c>
      <c r="EQ88" s="247">
        <v>386.06656819920744</v>
      </c>
      <c r="ER88" s="247">
        <v>385.09391278565892</v>
      </c>
      <c r="ES88" s="247">
        <v>384.12167151671883</v>
      </c>
      <c r="ET88" s="247">
        <v>383.14985185220195</v>
      </c>
      <c r="EU88" s="247">
        <v>382.17846140838628</v>
      </c>
      <c r="EV88" s="247">
        <v>381.20750756892619</v>
      </c>
      <c r="EW88" s="247">
        <v>380.23699776166768</v>
      </c>
      <c r="EX88" s="247">
        <v>379.26693931554422</v>
      </c>
      <c r="EY88" s="247">
        <v>378.29733951605181</v>
      </c>
      <c r="EZ88" s="247">
        <v>377.32820559885567</v>
      </c>
      <c r="FA88" s="247">
        <v>376.35954472796317</v>
      </c>
      <c r="FB88" s="247">
        <v>375.39136404242583</v>
      </c>
      <c r="FC88" s="247">
        <v>374.42367061119813</v>
      </c>
      <c r="FD88" s="247">
        <v>373.45712515693555</v>
      </c>
      <c r="FE88" s="247">
        <v>372.49107356388754</v>
      </c>
      <c r="FF88" s="247">
        <v>371.52552218208439</v>
      </c>
      <c r="FG88" s="247">
        <v>370.56047730967731</v>
      </c>
      <c r="FH88" s="247">
        <v>369.59594515758243</v>
      </c>
      <c r="FI88" s="247">
        <v>368.63193195882775</v>
      </c>
      <c r="FJ88" s="247">
        <v>367.66844385189069</v>
      </c>
      <c r="FK88" s="247">
        <v>366.70548693501866</v>
      </c>
      <c r="FL88" s="247">
        <v>365.74306725981847</v>
      </c>
      <c r="FM88" s="247">
        <v>364.78119081005775</v>
      </c>
      <c r="FN88" s="247">
        <v>363.81986354715315</v>
      </c>
      <c r="FO88" s="247">
        <v>362.85909136625543</v>
      </c>
      <c r="FP88" s="247">
        <v>361.899537983117</v>
      </c>
      <c r="FQ88" s="247">
        <v>360.94054527772931</v>
      </c>
      <c r="FR88" s="247">
        <v>359.98211966505073</v>
      </c>
      <c r="FS88" s="247">
        <v>359.02426759025758</v>
      </c>
      <c r="FT88" s="247">
        <v>358.06699536135636</v>
      </c>
      <c r="FU88" s="247">
        <v>357.11030930006018</v>
      </c>
      <c r="FV88" s="247">
        <v>356.15421567196887</v>
      </c>
      <c r="FW88" s="247">
        <v>355.19872062991351</v>
      </c>
      <c r="FX88" s="247">
        <v>354.24383036097282</v>
      </c>
      <c r="FY88" s="247">
        <v>353.28955091265124</v>
      </c>
      <c r="FZ88" s="247">
        <v>352.33588838982143</v>
      </c>
      <c r="GA88" s="247">
        <v>351.38284878122846</v>
      </c>
      <c r="GB88" s="247">
        <v>350.43110223867478</v>
      </c>
      <c r="GC88" s="247">
        <v>349.47999810697172</v>
      </c>
      <c r="GD88" s="247">
        <v>348.52955656846785</v>
      </c>
      <c r="GE88" s="247">
        <v>347.57979771641533</v>
      </c>
      <c r="GF88" s="247">
        <v>346.63074143536664</v>
      </c>
      <c r="GG88" s="247">
        <v>345.68240752647495</v>
      </c>
      <c r="GH88" s="247">
        <v>344.73481563954283</v>
      </c>
      <c r="GI88" s="247">
        <v>343.78798530301589</v>
      </c>
      <c r="GJ88" s="247">
        <v>342.84193589706484</v>
      </c>
      <c r="GK88" s="247">
        <v>341.89668665408584</v>
      </c>
      <c r="GL88" s="247">
        <v>340.95225668150181</v>
      </c>
      <c r="GM88" s="247">
        <v>340.00866498260723</v>
      </c>
      <c r="GN88" s="247">
        <v>339.06659287619698</v>
      </c>
      <c r="GO88" s="247">
        <v>338.12536756747261</v>
      </c>
      <c r="GP88" s="247">
        <v>337.18498554505942</v>
      </c>
      <c r="GQ88" s="247">
        <v>336.24544330410066</v>
      </c>
      <c r="GR88" s="247">
        <v>335.30673735459328</v>
      </c>
      <c r="GS88" s="247">
        <v>334.36886419806621</v>
      </c>
      <c r="GT88" s="247">
        <v>333.4318203647116</v>
      </c>
      <c r="GU88" s="247">
        <v>332.4956024218547</v>
      </c>
      <c r="GV88" s="247">
        <v>331.56020688603428</v>
      </c>
      <c r="GW88" s="247">
        <v>330.62563032573371</v>
      </c>
      <c r="GX88" s="247">
        <v>329.69186932191184</v>
      </c>
      <c r="GY88" s="247">
        <v>328.75892050840974</v>
      </c>
      <c r="GZ88" s="247">
        <v>327.8274557728613</v>
      </c>
      <c r="HA88" s="247">
        <v>326.89681610043948</v>
      </c>
      <c r="HB88" s="247">
        <v>325.96702452502126</v>
      </c>
      <c r="HC88" s="247">
        <v>325.03810380365798</v>
      </c>
      <c r="HD88" s="247">
        <v>324.11007660606555</v>
      </c>
      <c r="HE88" s="247">
        <v>323.18296543156106</v>
      </c>
      <c r="HF88" s="247">
        <v>322.25679268480627</v>
      </c>
      <c r="HG88" s="247">
        <v>321.33158054540007</v>
      </c>
      <c r="HH88" s="247">
        <v>320.40735112039795</v>
      </c>
      <c r="HI88" s="247">
        <v>319.48412636559101</v>
      </c>
      <c r="HJ88" s="247">
        <v>318.56192802816713</v>
      </c>
      <c r="HK88" s="247">
        <v>317.64077780425964</v>
      </c>
      <c r="HL88" s="247">
        <v>316.72136614710269</v>
      </c>
      <c r="HM88" s="247">
        <v>315.80299663514677</v>
      </c>
      <c r="HN88" s="247">
        <v>314.88564862544473</v>
      </c>
      <c r="HO88" s="247">
        <v>313.96930163266643</v>
      </c>
      <c r="HP88" s="247">
        <v>313.05393524119177</v>
      </c>
      <c r="HQ88" s="247">
        <v>312.13952921766128</v>
      </c>
      <c r="HR88" s="247">
        <v>311.22606337214927</v>
      </c>
      <c r="HS88" s="247">
        <v>310.31351766245069</v>
      </c>
      <c r="HT88" s="247">
        <v>309.40187216883129</v>
      </c>
      <c r="HU88" s="247">
        <v>308.49110705612662</v>
      </c>
      <c r="HV88" s="247">
        <v>307.58120263184367</v>
      </c>
      <c r="HW88" s="247">
        <v>306.67213925213366</v>
      </c>
      <c r="HX88" s="247">
        <v>305.76458362928088</v>
      </c>
      <c r="HY88" s="247">
        <v>304.85785163062968</v>
      </c>
      <c r="HZ88" s="247">
        <v>303.95195197050396</v>
      </c>
      <c r="IA88" s="247">
        <v>303.04689331009166</v>
      </c>
      <c r="IB88" s="247">
        <v>302.14268424738208</v>
      </c>
      <c r="IC88" s="247">
        <v>301.23933331450172</v>
      </c>
      <c r="ID88" s="247">
        <v>300.33684902881396</v>
      </c>
      <c r="IE88" s="247">
        <v>299.43523980859788</v>
      </c>
      <c r="IF88" s="247">
        <v>298.53451402277398</v>
      </c>
      <c r="IG88" s="247">
        <v>297.63467999086504</v>
      </c>
      <c r="IH88" s="247">
        <v>296.73574598406719</v>
      </c>
      <c r="II88" s="247">
        <v>295.83772022545929</v>
      </c>
      <c r="IJ88" s="247">
        <v>294.94130009703434</v>
      </c>
      <c r="IK88" s="247">
        <v>294.04580858076798</v>
      </c>
      <c r="IL88" s="247">
        <v>293.15126452065141</v>
      </c>
      <c r="IM88" s="247">
        <v>292.25768657157329</v>
      </c>
      <c r="IN88" s="247">
        <v>291.36509331643686</v>
      </c>
      <c r="IO88" s="247">
        <v>290.47350329869158</v>
      </c>
      <c r="IP88" s="247">
        <v>289.58293485649546</v>
      </c>
      <c r="IQ88" s="247">
        <v>288.693406238553</v>
      </c>
      <c r="IR88" s="247">
        <v>287.80493566903885</v>
      </c>
      <c r="IS88" s="247">
        <v>286.91754120512104</v>
      </c>
      <c r="IT88" s="247">
        <v>286.03124080927608</v>
      </c>
      <c r="IU88" s="247">
        <v>285.14605234939791</v>
      </c>
      <c r="IV88" s="247">
        <v>284.26268042453978</v>
      </c>
      <c r="IW88" s="247">
        <v>283.38040667693883</v>
      </c>
      <c r="IX88" s="247">
        <v>282.49920633810746</v>
      </c>
      <c r="IY88" s="247">
        <v>281.61905480739904</v>
      </c>
      <c r="IZ88" s="247">
        <v>280.73992755679785</v>
      </c>
      <c r="JA88" s="247">
        <v>279.86180026701766</v>
      </c>
      <c r="JB88" s="247">
        <v>278.98464868378625</v>
      </c>
      <c r="JC88" s="247">
        <v>278.10844871293341</v>
      </c>
      <c r="JD88" s="247">
        <v>277.23317639749109</v>
      </c>
      <c r="JE88" s="247">
        <v>276.35880784881067</v>
      </c>
      <c r="JF88" s="247">
        <v>275.48531935070281</v>
      </c>
      <c r="JG88" s="247">
        <v>274.61268732538753</v>
      </c>
      <c r="JH88" s="247">
        <v>273.74159448062215</v>
      </c>
      <c r="JI88" s="247">
        <v>272.87133597830677</v>
      </c>
      <c r="JJ88" s="247">
        <v>272.00191989272008</v>
      </c>
      <c r="JK88" s="247">
        <v>271.13335415761406</v>
      </c>
      <c r="JL88" s="247">
        <v>270.26564672569475</v>
      </c>
      <c r="JM88" s="247">
        <v>269.39880544946493</v>
      </c>
      <c r="JN88" s="247">
        <v>268.53283819156269</v>
      </c>
      <c r="JO88" s="247">
        <v>267.66775268440881</v>
      </c>
      <c r="JP88" s="247">
        <v>266.80355685435029</v>
      </c>
      <c r="JQ88" s="247">
        <v>265.94025816161383</v>
      </c>
      <c r="JR88" s="247">
        <v>265.0778644243249</v>
      </c>
      <c r="JS88" s="247">
        <v>264.21638332468507</v>
      </c>
      <c r="JT88" s="247">
        <v>263.35652778282036</v>
      </c>
      <c r="JU88" s="247">
        <v>262.4975735062734</v>
      </c>
      <c r="JV88" s="247">
        <v>261.6395082525608</v>
      </c>
      <c r="JW88" s="247">
        <v>260.78231997746099</v>
      </c>
      <c r="JX88" s="247">
        <v>259.92599652214466</v>
      </c>
      <c r="JY88" s="247">
        <v>259.07052593233652</v>
      </c>
      <c r="JZ88" s="247">
        <v>258.21589629179147</v>
      </c>
      <c r="KA88" s="247">
        <v>257.36209557225857</v>
      </c>
      <c r="KB88" s="247">
        <v>256.50911194789705</v>
      </c>
      <c r="KC88" s="247">
        <v>255.65693363145505</v>
      </c>
      <c r="KD88" s="247">
        <v>254.80554888057515</v>
      </c>
      <c r="KE88" s="247">
        <v>253.95494583897067</v>
      </c>
      <c r="KF88" s="247">
        <v>253.10584256602695</v>
      </c>
      <c r="KG88" s="247">
        <v>252.25756631189867</v>
      </c>
      <c r="KH88" s="247">
        <v>251.4101803317206</v>
      </c>
      <c r="KI88" s="247">
        <v>250.56374766688032</v>
      </c>
      <c r="KJ88" s="247">
        <v>249.71833084218517</v>
      </c>
      <c r="KK88" s="247">
        <v>248.87399217330722</v>
      </c>
      <c r="KL88" s="247">
        <v>248.03079375798868</v>
      </c>
      <c r="KM88" s="247">
        <v>247.18879748156812</v>
      </c>
      <c r="KN88" s="247">
        <v>246.34806486050246</v>
      </c>
      <c r="KO88" s="247">
        <v>245.50865718868931</v>
      </c>
      <c r="KP88" s="247">
        <v>244.67063539109174</v>
      </c>
      <c r="KQ88" s="247">
        <v>243.83406047212748</v>
      </c>
      <c r="KR88" s="247">
        <v>242.99970127567903</v>
      </c>
      <c r="KS88" s="247">
        <v>242.16679806977325</v>
      </c>
      <c r="KT88" s="247">
        <v>241.33530618490639</v>
      </c>
      <c r="KU88" s="247">
        <v>240.50518112901872</v>
      </c>
      <c r="KV88" s="247">
        <v>239.67637874182958</v>
      </c>
      <c r="KW88" s="247">
        <v>238.84885489918119</v>
      </c>
      <c r="KX88" s="247">
        <v>238.02256594912188</v>
      </c>
      <c r="KY88" s="247">
        <v>237.1974682772713</v>
      </c>
      <c r="KZ88" s="247">
        <v>236.37351845152864</v>
      </c>
      <c r="LA88" s="247">
        <v>235.55067336326101</v>
      </c>
      <c r="LB88" s="247">
        <v>234.7288899417299</v>
      </c>
      <c r="LC88" s="247">
        <v>233.90812529979712</v>
      </c>
      <c r="LD88" s="247">
        <v>233.06918289679044</v>
      </c>
      <c r="LE88" s="247">
        <v>232.23112639476037</v>
      </c>
      <c r="LF88" s="247">
        <v>231.39397715403845</v>
      </c>
      <c r="LG88" s="247">
        <v>230.55775647932109</v>
      </c>
      <c r="LH88" s="247">
        <v>229.72248549639841</v>
      </c>
      <c r="LI88" s="247">
        <v>228.88818540741644</v>
      </c>
      <c r="LJ88" s="247">
        <v>228.05487735528604</v>
      </c>
      <c r="LK88" s="247">
        <v>227.22258217324716</v>
      </c>
      <c r="LL88" s="247">
        <v>226.39132089062593</v>
      </c>
      <c r="LM88" s="247">
        <v>225.56111447131872</v>
      </c>
      <c r="LN88" s="247">
        <v>224.73198356458784</v>
      </c>
      <c r="LO88" s="247">
        <v>223.90394900775257</v>
      </c>
      <c r="LP88" s="247">
        <v>223.07787148289347</v>
      </c>
      <c r="LQ88" s="247">
        <v>222.25290561013225</v>
      </c>
      <c r="LR88" s="247">
        <v>221.42905197323267</v>
      </c>
      <c r="LS88" s="247">
        <v>220.60631115829804</v>
      </c>
      <c r="LT88" s="247">
        <v>219.78468388230323</v>
      </c>
      <c r="LU88" s="247">
        <v>218.96417086878429</v>
      </c>
      <c r="LV88" s="247">
        <v>218.14477284170997</v>
      </c>
      <c r="LW88" s="247">
        <v>217.32649052876189</v>
      </c>
      <c r="LX88" s="247">
        <v>216.50932478201591</v>
      </c>
      <c r="LY88" s="247">
        <v>215.69327632849118</v>
      </c>
      <c r="LZ88" s="247">
        <v>214.87834613427134</v>
      </c>
      <c r="MA88" s="247">
        <v>214.06453492378347</v>
      </c>
      <c r="MB88" s="247">
        <v>213.23225087385325</v>
      </c>
      <c r="MC88" s="247">
        <v>212.40096020493482</v>
      </c>
      <c r="MD88" s="247">
        <v>211.57066258603308</v>
      </c>
      <c r="ME88" s="247">
        <v>210.74135767092969</v>
      </c>
      <c r="MF88" s="247">
        <v>209.91304531769512</v>
      </c>
      <c r="MG88" s="247">
        <v>209.08572526641689</v>
      </c>
      <c r="MH88" s="247">
        <v>208.25939724033222</v>
      </c>
      <c r="MI88" s="247">
        <v>207.43406115981134</v>
      </c>
      <c r="MJ88" s="247">
        <v>206.6097168248547</v>
      </c>
      <c r="MK88" s="247">
        <v>205.78636411779993</v>
      </c>
      <c r="ML88" s="247">
        <v>204.96400300564548</v>
      </c>
      <c r="MM88" s="247">
        <v>204.14263343391713</v>
      </c>
      <c r="MN88" s="247">
        <v>203.32320550015905</v>
      </c>
      <c r="MO88" s="247">
        <v>202.50475920669032</v>
      </c>
      <c r="MP88" s="247">
        <v>201.68729027682363</v>
      </c>
      <c r="MQ88" s="247">
        <v>200.87079434261375</v>
      </c>
      <c r="MR88" s="247">
        <v>200.05526736052619</v>
      </c>
      <c r="MS88" s="247">
        <v>199.24070509785429</v>
      </c>
      <c r="MT88" s="247">
        <v>198.42710343239881</v>
      </c>
      <c r="MU88" s="247">
        <v>197.6144583556719</v>
      </c>
      <c r="MV88" s="247">
        <v>196.80276576938221</v>
      </c>
      <c r="MW88" s="247">
        <v>195.99202157991525</v>
      </c>
      <c r="MX88" s="247">
        <v>195.18222199941493</v>
      </c>
      <c r="MY88" s="247">
        <v>194.37336294710312</v>
      </c>
    </row>
    <row r="89" spans="1:363" ht="15.6" x14ac:dyDescent="0.3">
      <c r="A89" s="67" t="s">
        <v>7</v>
      </c>
      <c r="B89" s="72">
        <v>2099</v>
      </c>
      <c r="C89" s="247">
        <v>533.13785930285496</v>
      </c>
      <c r="D89" s="247">
        <v>532.10881206950671</v>
      </c>
      <c r="E89" s="247">
        <v>531.07976416494864</v>
      </c>
      <c r="F89" s="247">
        <v>530.0507163451357</v>
      </c>
      <c r="G89" s="247">
        <v>529.02166939127153</v>
      </c>
      <c r="H89" s="247">
        <v>527.99262408088703</v>
      </c>
      <c r="I89" s="247">
        <v>526.96358118776891</v>
      </c>
      <c r="J89" s="247">
        <v>525.93454147508078</v>
      </c>
      <c r="K89" s="247">
        <v>524.90550572103757</v>
      </c>
      <c r="L89" s="247">
        <v>523.87647471676212</v>
      </c>
      <c r="M89" s="247">
        <v>522.84744923053177</v>
      </c>
      <c r="N89" s="247">
        <v>521.81843005569556</v>
      </c>
      <c r="O89" s="247">
        <v>520.78941796501715</v>
      </c>
      <c r="P89" s="247">
        <v>519.76003679377754</v>
      </c>
      <c r="Q89" s="247">
        <v>518.73065230792304</v>
      </c>
      <c r="R89" s="247">
        <v>517.70126500097217</v>
      </c>
      <c r="S89" s="247">
        <v>516.67187538980875</v>
      </c>
      <c r="T89" s="247">
        <v>515.64248397188078</v>
      </c>
      <c r="U89" s="247">
        <v>514.61309125604453</v>
      </c>
      <c r="V89" s="247">
        <v>513.58369776127654</v>
      </c>
      <c r="W89" s="247">
        <v>512.55430398371095</v>
      </c>
      <c r="X89" s="247">
        <v>511.52491045100072</v>
      </c>
      <c r="Y89" s="247">
        <v>510.49551768117357</v>
      </c>
      <c r="Z89" s="247">
        <v>509.46612618818494</v>
      </c>
      <c r="AA89" s="247">
        <v>508.43673650713663</v>
      </c>
      <c r="AB89" s="247">
        <v>507.40700967722205</v>
      </c>
      <c r="AC89" s="247">
        <v>506.377274334964</v>
      </c>
      <c r="AD89" s="247">
        <v>505.34753076274848</v>
      </c>
      <c r="AE89" s="247">
        <v>504.31777927233867</v>
      </c>
      <c r="AF89" s="247">
        <v>503.28802014983842</v>
      </c>
      <c r="AG89" s="247">
        <v>502.25825371576235</v>
      </c>
      <c r="AH89" s="247">
        <v>501.22848025025263</v>
      </c>
      <c r="AI89" s="247">
        <v>500.19870009098241</v>
      </c>
      <c r="AJ89" s="247">
        <v>499.16891352110241</v>
      </c>
      <c r="AK89" s="247">
        <v>498.13912089231229</v>
      </c>
      <c r="AL89" s="247">
        <v>497.10932250398207</v>
      </c>
      <c r="AM89" s="247">
        <v>496.07951869287012</v>
      </c>
      <c r="AN89" s="247">
        <v>495.05032713269844</v>
      </c>
      <c r="AO89" s="247">
        <v>494.0211251045389</v>
      </c>
      <c r="AP89" s="247">
        <v>492.99191392514956</v>
      </c>
      <c r="AQ89" s="247">
        <v>491.96269486742227</v>
      </c>
      <c r="AR89" s="247">
        <v>490.93346922234434</v>
      </c>
      <c r="AS89" s="247">
        <v>489.90423830032989</v>
      </c>
      <c r="AT89" s="247">
        <v>488.87500336527336</v>
      </c>
      <c r="AU89" s="247">
        <v>487.84576570712238</v>
      </c>
      <c r="AV89" s="247">
        <v>486.8165266047248</v>
      </c>
      <c r="AW89" s="247">
        <v>485.78728734101111</v>
      </c>
      <c r="AX89" s="247">
        <v>484.75804919804864</v>
      </c>
      <c r="AY89" s="247">
        <v>483.72881345578713</v>
      </c>
      <c r="AZ89" s="247">
        <v>482.70020395526262</v>
      </c>
      <c r="BA89" s="247">
        <v>481.67159097722543</v>
      </c>
      <c r="BB89" s="247">
        <v>480.64297405767422</v>
      </c>
      <c r="BC89" s="247">
        <v>479.6143527242981</v>
      </c>
      <c r="BD89" s="247">
        <v>478.58572651749694</v>
      </c>
      <c r="BE89" s="247">
        <v>477.55709498373432</v>
      </c>
      <c r="BF89" s="247">
        <v>476.52845768267042</v>
      </c>
      <c r="BG89" s="247">
        <v>475.4998141785764</v>
      </c>
      <c r="BH89" s="247">
        <v>474.47116404374458</v>
      </c>
      <c r="BI89" s="247">
        <v>473.44250685748824</v>
      </c>
      <c r="BJ89" s="247">
        <v>472.41384220133335</v>
      </c>
      <c r="BK89" s="247">
        <v>471.38516968964785</v>
      </c>
      <c r="BL89" s="247">
        <v>470.35823757985366</v>
      </c>
      <c r="BM89" s="247">
        <v>469.33129918160591</v>
      </c>
      <c r="BN89" s="247">
        <v>468.30435936708216</v>
      </c>
      <c r="BO89" s="247">
        <v>467.27742298142346</v>
      </c>
      <c r="BP89" s="247">
        <v>466.25049488175591</v>
      </c>
      <c r="BQ89" s="247">
        <v>465.2235798782084</v>
      </c>
      <c r="BR89" s="247">
        <v>464.19668274192907</v>
      </c>
      <c r="BS89" s="247">
        <v>463.1698082383532</v>
      </c>
      <c r="BT89" s="247">
        <v>462.14296108803524</v>
      </c>
      <c r="BU89" s="247">
        <v>461.11614602599792</v>
      </c>
      <c r="BV89" s="247">
        <v>460.08936773574487</v>
      </c>
      <c r="BW89" s="247">
        <v>459.06263086590297</v>
      </c>
      <c r="BX89" s="247">
        <v>458.03790154424496</v>
      </c>
      <c r="BY89" s="247">
        <v>457.01321863334664</v>
      </c>
      <c r="BZ89" s="247">
        <v>455.98857977329607</v>
      </c>
      <c r="CA89" s="247">
        <v>454.96398259631383</v>
      </c>
      <c r="CB89" s="247">
        <v>453.93942475908989</v>
      </c>
      <c r="CC89" s="247">
        <v>452.91490394460953</v>
      </c>
      <c r="CD89" s="247">
        <v>451.89041784280749</v>
      </c>
      <c r="CE89" s="247">
        <v>450.86596416764962</v>
      </c>
      <c r="CF89" s="247">
        <v>449.84154065199959</v>
      </c>
      <c r="CG89" s="247">
        <v>448.81714504763391</v>
      </c>
      <c r="CH89" s="247">
        <v>447.79277511788871</v>
      </c>
      <c r="CI89" s="247">
        <v>446.76842865571547</v>
      </c>
      <c r="CJ89" s="247">
        <v>445.7480372415049</v>
      </c>
      <c r="CK89" s="247">
        <v>444.72767707425089</v>
      </c>
      <c r="CL89" s="247">
        <v>443.70735072524479</v>
      </c>
      <c r="CM89" s="247">
        <v>442.68706069798537</v>
      </c>
      <c r="CN89" s="247">
        <v>441.66680952009466</v>
      </c>
      <c r="CO89" s="247">
        <v>440.64659969135738</v>
      </c>
      <c r="CP89" s="247">
        <v>439.62643370497256</v>
      </c>
      <c r="CQ89" s="247">
        <v>438.60631403327733</v>
      </c>
      <c r="CR89" s="247">
        <v>437.58624313371672</v>
      </c>
      <c r="CS89" s="247">
        <v>436.56622348179218</v>
      </c>
      <c r="CT89" s="247">
        <v>435.54625750677229</v>
      </c>
      <c r="CU89" s="247">
        <v>434.52634764648269</v>
      </c>
      <c r="CV89" s="247">
        <v>433.51140269355659</v>
      </c>
      <c r="CW89" s="247">
        <v>432.49653262091306</v>
      </c>
      <c r="CX89" s="247">
        <v>431.4817381674971</v>
      </c>
      <c r="CY89" s="247">
        <v>430.46702008532867</v>
      </c>
      <c r="CZ89" s="247">
        <v>429.45237911464113</v>
      </c>
      <c r="DA89" s="247">
        <v>428.43781597603856</v>
      </c>
      <c r="DB89" s="247">
        <v>427.42333142239806</v>
      </c>
      <c r="DC89" s="247">
        <v>426.40892619377735</v>
      </c>
      <c r="DD89" s="247">
        <v>425.3946009994927</v>
      </c>
      <c r="DE89" s="247">
        <v>424.380356583935</v>
      </c>
      <c r="DF89" s="247">
        <v>423.36619366206389</v>
      </c>
      <c r="DG89" s="247">
        <v>422.35211295913899</v>
      </c>
      <c r="DH89" s="247">
        <v>421.3442848655468</v>
      </c>
      <c r="DI89" s="247">
        <v>420.33656784688998</v>
      </c>
      <c r="DJ89" s="247">
        <v>419.32896905172817</v>
      </c>
      <c r="DK89" s="247">
        <v>418.32149564540163</v>
      </c>
      <c r="DL89" s="247">
        <v>417.31415469892443</v>
      </c>
      <c r="DM89" s="247">
        <v>416.30695329044778</v>
      </c>
      <c r="DN89" s="247">
        <v>415.29989838042837</v>
      </c>
      <c r="DO89" s="247">
        <v>414.29299697413495</v>
      </c>
      <c r="DP89" s="247">
        <v>413.2862559456122</v>
      </c>
      <c r="DQ89" s="247">
        <v>412.27968216307664</v>
      </c>
      <c r="DR89" s="247">
        <v>411.27328244235343</v>
      </c>
      <c r="DS89" s="247">
        <v>410.26706359402164</v>
      </c>
      <c r="DT89" s="247">
        <v>409.26890664027775</v>
      </c>
      <c r="DU89" s="247">
        <v>408.27099104381711</v>
      </c>
      <c r="DV89" s="247">
        <v>407.2733267627176</v>
      </c>
      <c r="DW89" s="247">
        <v>406.27592363051582</v>
      </c>
      <c r="DX89" s="247">
        <v>405.27879144374845</v>
      </c>
      <c r="DY89" s="247">
        <v>404.28193993635341</v>
      </c>
      <c r="DZ89" s="247">
        <v>403.28537875989821</v>
      </c>
      <c r="EA89" s="247">
        <v>402.28911752887387</v>
      </c>
      <c r="EB89" s="247">
        <v>401.29316577692089</v>
      </c>
      <c r="EC89" s="247">
        <v>400.29753295947586</v>
      </c>
      <c r="ED89" s="247">
        <v>399.30222847154391</v>
      </c>
      <c r="EE89" s="247">
        <v>398.30726164917678</v>
      </c>
      <c r="EF89" s="247">
        <v>397.32294558965356</v>
      </c>
      <c r="EG89" s="247">
        <v>396.33905024522591</v>
      </c>
      <c r="EH89" s="247">
        <v>395.35557071446794</v>
      </c>
      <c r="EI89" s="247">
        <v>394.37250226348169</v>
      </c>
      <c r="EJ89" s="247">
        <v>393.38984007605876</v>
      </c>
      <c r="EK89" s="247">
        <v>392.40757942201918</v>
      </c>
      <c r="EL89" s="247">
        <v>391.42571558986867</v>
      </c>
      <c r="EM89" s="247">
        <v>390.44424383059174</v>
      </c>
      <c r="EN89" s="247">
        <v>389.46315952402676</v>
      </c>
      <c r="EO89" s="247">
        <v>388.48245798620292</v>
      </c>
      <c r="EP89" s="247">
        <v>387.50213459888352</v>
      </c>
      <c r="EQ89" s="247">
        <v>386.52218476775698</v>
      </c>
      <c r="ER89" s="247">
        <v>385.54937881193229</v>
      </c>
      <c r="ES89" s="247">
        <v>384.57698555904591</v>
      </c>
      <c r="ET89" s="247">
        <v>383.60501244393043</v>
      </c>
      <c r="EU89" s="247">
        <v>382.63346705738257</v>
      </c>
      <c r="EV89" s="247">
        <v>381.66235675860844</v>
      </c>
      <c r="EW89" s="247">
        <v>380.69168895093776</v>
      </c>
      <c r="EX89" s="247">
        <v>379.72147093928612</v>
      </c>
      <c r="EY89" s="247">
        <v>378.75170998541546</v>
      </c>
      <c r="EZ89" s="247">
        <v>377.78241330158482</v>
      </c>
      <c r="FA89" s="247">
        <v>376.81358802877605</v>
      </c>
      <c r="FB89" s="247">
        <v>375.84524128324233</v>
      </c>
      <c r="FC89" s="247">
        <v>374.87738011154278</v>
      </c>
      <c r="FD89" s="247">
        <v>373.91066290433082</v>
      </c>
      <c r="FE89" s="247">
        <v>372.9444378521269</v>
      </c>
      <c r="FF89" s="247">
        <v>371.97871128496877</v>
      </c>
      <c r="FG89" s="247">
        <v>371.01348948130266</v>
      </c>
      <c r="FH89" s="247">
        <v>370.04877863281189</v>
      </c>
      <c r="FI89" s="247">
        <v>369.08458495330143</v>
      </c>
      <c r="FJ89" s="247">
        <v>368.12091456249226</v>
      </c>
      <c r="FK89" s="247">
        <v>367.1577735401525</v>
      </c>
      <c r="FL89" s="247">
        <v>366.19516791970676</v>
      </c>
      <c r="FM89" s="247">
        <v>365.23310366710098</v>
      </c>
      <c r="FN89" s="247">
        <v>364.27158672614269</v>
      </c>
      <c r="FO89" s="247">
        <v>363.31062297474955</v>
      </c>
      <c r="FP89" s="247">
        <v>362.35087380869749</v>
      </c>
      <c r="FQ89" s="247">
        <v>361.39168340748199</v>
      </c>
      <c r="FR89" s="247">
        <v>360.43305816653987</v>
      </c>
      <c r="FS89" s="247">
        <v>359.47500451150836</v>
      </c>
      <c r="FT89" s="247">
        <v>358.51752873151594</v>
      </c>
      <c r="FU89" s="247">
        <v>357.56063712944007</v>
      </c>
      <c r="FV89" s="247">
        <v>356.60433595237157</v>
      </c>
      <c r="FW89" s="247">
        <v>355.64863133517963</v>
      </c>
      <c r="FX89" s="247">
        <v>354.69352944697431</v>
      </c>
      <c r="FY89" s="247">
        <v>353.73903631793053</v>
      </c>
      <c r="FZ89" s="247">
        <v>352.78515803550056</v>
      </c>
      <c r="GA89" s="247">
        <v>351.83190057157299</v>
      </c>
      <c r="GB89" s="247">
        <v>350.87993175640219</v>
      </c>
      <c r="GC89" s="247">
        <v>349.92860318554261</v>
      </c>
      <c r="GD89" s="247">
        <v>348.97793497138207</v>
      </c>
      <c r="GE89" s="247">
        <v>348.02794713774369</v>
      </c>
      <c r="GF89" s="247">
        <v>347.07865950077195</v>
      </c>
      <c r="GG89" s="247">
        <v>346.1300917937308</v>
      </c>
      <c r="GH89" s="247">
        <v>345.18226359931293</v>
      </c>
      <c r="GI89" s="247">
        <v>344.23519437952683</v>
      </c>
      <c r="GJ89" s="247">
        <v>343.28890344888595</v>
      </c>
      <c r="GK89" s="247">
        <v>342.34340997488533</v>
      </c>
      <c r="GL89" s="247">
        <v>341.39873300074061</v>
      </c>
      <c r="GM89" s="247">
        <v>340.45489146614722</v>
      </c>
      <c r="GN89" s="247">
        <v>339.51256434923863</v>
      </c>
      <c r="GO89" s="247">
        <v>338.57108116889037</v>
      </c>
      <c r="GP89" s="247">
        <v>337.63043843302563</v>
      </c>
      <c r="GQ89" s="247">
        <v>336.69063265607502</v>
      </c>
      <c r="GR89" s="247">
        <v>335.75166036733515</v>
      </c>
      <c r="GS89" s="247">
        <v>334.81351808769352</v>
      </c>
      <c r="GT89" s="247">
        <v>333.87620236662553</v>
      </c>
      <c r="GU89" s="247">
        <v>332.93970979066211</v>
      </c>
      <c r="GV89" s="247">
        <v>332.00403689577553</v>
      </c>
      <c r="GW89" s="247">
        <v>331.06918026973955</v>
      </c>
      <c r="GX89" s="247">
        <v>330.13513651280448</v>
      </c>
      <c r="GY89" s="247">
        <v>329.20190227796934</v>
      </c>
      <c r="GZ89" s="247">
        <v>328.27014716655788</v>
      </c>
      <c r="HA89" s="247">
        <v>327.33921440770894</v>
      </c>
      <c r="HB89" s="247">
        <v>326.40912695754992</v>
      </c>
      <c r="HC89" s="247">
        <v>325.47990749662267</v>
      </c>
      <c r="HD89" s="247">
        <v>324.55157861871112</v>
      </c>
      <c r="HE89" s="247">
        <v>323.62416274804639</v>
      </c>
      <c r="HF89" s="247">
        <v>322.69768221477716</v>
      </c>
      <c r="HG89" s="247">
        <v>321.77215912506017</v>
      </c>
      <c r="HH89" s="247">
        <v>320.84761551300568</v>
      </c>
      <c r="HI89" s="247">
        <v>319.92407326223565</v>
      </c>
      <c r="HJ89" s="247">
        <v>319.00155404876983</v>
      </c>
      <c r="HK89" s="247">
        <v>318.08007949799315</v>
      </c>
      <c r="HL89" s="247">
        <v>317.1603377284714</v>
      </c>
      <c r="HM89" s="247">
        <v>316.24163468228255</v>
      </c>
      <c r="HN89" s="247">
        <v>315.32394979873447</v>
      </c>
      <c r="HO89" s="247">
        <v>314.40726267406779</v>
      </c>
      <c r="HP89" s="247">
        <v>313.49155297392019</v>
      </c>
      <c r="HQ89" s="247">
        <v>312.57680054543084</v>
      </c>
      <c r="HR89" s="247">
        <v>311.66298527892121</v>
      </c>
      <c r="HS89" s="247">
        <v>310.75008721183673</v>
      </c>
      <c r="HT89" s="247">
        <v>309.83808650357821</v>
      </c>
      <c r="HU89" s="247">
        <v>308.92696339772664</v>
      </c>
      <c r="HV89" s="247">
        <v>308.01669827996523</v>
      </c>
      <c r="HW89" s="247">
        <v>307.10727158438175</v>
      </c>
      <c r="HX89" s="247">
        <v>306.19934778931628</v>
      </c>
      <c r="HY89" s="247">
        <v>305.29224506444211</v>
      </c>
      <c r="HZ89" s="247">
        <v>304.38597209961614</v>
      </c>
      <c r="IA89" s="247">
        <v>303.48053753186264</v>
      </c>
      <c r="IB89" s="247">
        <v>302.57594993539686</v>
      </c>
      <c r="IC89" s="247">
        <v>301.67221781892141</v>
      </c>
      <c r="ID89" s="247">
        <v>300.76934967656388</v>
      </c>
      <c r="IE89" s="247">
        <v>299.86735390386195</v>
      </c>
      <c r="IF89" s="247">
        <v>298.96623884731855</v>
      </c>
      <c r="IG89" s="247">
        <v>298.0660128043333</v>
      </c>
      <c r="IH89" s="247">
        <v>297.16668402430508</v>
      </c>
      <c r="II89" s="247">
        <v>296.26826070883152</v>
      </c>
      <c r="IJ89" s="247">
        <v>295.37143791078199</v>
      </c>
      <c r="IK89" s="247">
        <v>294.47554087604999</v>
      </c>
      <c r="IL89" s="247">
        <v>293.58058838920101</v>
      </c>
      <c r="IM89" s="247">
        <v>292.686599046553</v>
      </c>
      <c r="IN89" s="247">
        <v>291.79359137291993</v>
      </c>
      <c r="IO89" s="247">
        <v>290.9015838539886</v>
      </c>
      <c r="IP89" s="247">
        <v>290.01059477107418</v>
      </c>
      <c r="IQ89" s="247">
        <v>289.12064231655989</v>
      </c>
      <c r="IR89" s="247">
        <v>288.23174465859154</v>
      </c>
      <c r="IS89" s="247">
        <v>287.34391979908423</v>
      </c>
      <c r="IT89" s="247">
        <v>286.45718564580335</v>
      </c>
      <c r="IU89" s="247">
        <v>285.57156001245869</v>
      </c>
      <c r="IV89" s="247">
        <v>284.68774515650443</v>
      </c>
      <c r="IW89" s="247">
        <v>283.80502511926278</v>
      </c>
      <c r="IX89" s="247">
        <v>282.92337522744947</v>
      </c>
      <c r="IY89" s="247">
        <v>282.04277097490586</v>
      </c>
      <c r="IZ89" s="247">
        <v>281.16318792776713</v>
      </c>
      <c r="JA89" s="247">
        <v>280.28460186005134</v>
      </c>
      <c r="JB89" s="247">
        <v>279.4069886104603</v>
      </c>
      <c r="JC89" s="247">
        <v>278.53032417714923</v>
      </c>
      <c r="JD89" s="247">
        <v>277.6545846949183</v>
      </c>
      <c r="JE89" s="247">
        <v>276.77974636654784</v>
      </c>
      <c r="JF89" s="247">
        <v>275.90578556660614</v>
      </c>
      <c r="JG89" s="247">
        <v>275.03267880752043</v>
      </c>
      <c r="JH89" s="247">
        <v>274.16110654012306</v>
      </c>
      <c r="JI89" s="247">
        <v>273.29036626782869</v>
      </c>
      <c r="JJ89" s="247">
        <v>272.420466044308</v>
      </c>
      <c r="JK89" s="247">
        <v>271.55141378331643</v>
      </c>
      <c r="JL89" s="247">
        <v>270.6832174176518</v>
      </c>
      <c r="JM89" s="247">
        <v>269.81588478037634</v>
      </c>
      <c r="JN89" s="247">
        <v>268.94942371478123</v>
      </c>
      <c r="JO89" s="247">
        <v>268.08384193453639</v>
      </c>
      <c r="JP89" s="247">
        <v>267.21914734670656</v>
      </c>
      <c r="JQ89" s="247">
        <v>266.35534739397519</v>
      </c>
      <c r="JR89" s="247">
        <v>265.4924498758358</v>
      </c>
      <c r="JS89" s="247">
        <v>264.63046245647109</v>
      </c>
      <c r="JT89" s="247">
        <v>263.77009570106873</v>
      </c>
      <c r="JU89" s="247">
        <v>262.91062772000936</v>
      </c>
      <c r="JV89" s="247">
        <v>262.05204632089152</v>
      </c>
      <c r="JW89" s="247">
        <v>261.1943395088806</v>
      </c>
      <c r="JX89" s="247">
        <v>260.33749517495107</v>
      </c>
      <c r="JY89" s="247">
        <v>259.48150141392421</v>
      </c>
      <c r="JZ89" s="247">
        <v>258.62634635852038</v>
      </c>
      <c r="KA89" s="247">
        <v>257.77201802985525</v>
      </c>
      <c r="KB89" s="247">
        <v>256.91850465078221</v>
      </c>
      <c r="KC89" s="247">
        <v>256.06579448261658</v>
      </c>
      <c r="KD89" s="247">
        <v>255.21387583144403</v>
      </c>
      <c r="KE89" s="247">
        <v>254.36273688983655</v>
      </c>
      <c r="KF89" s="247">
        <v>253.5130933480032</v>
      </c>
      <c r="KG89" s="247">
        <v>252.66427467984326</v>
      </c>
      <c r="KH89" s="247">
        <v>251.8163439336017</v>
      </c>
      <c r="KI89" s="247">
        <v>250.96936394498729</v>
      </c>
      <c r="KJ89" s="247">
        <v>250.12339703539763</v>
      </c>
      <c r="KK89" s="247">
        <v>249.2785053182761</v>
      </c>
      <c r="KL89" s="247">
        <v>248.43475069034747</v>
      </c>
      <c r="KM89" s="247">
        <v>247.59219483712837</v>
      </c>
      <c r="KN89" s="247">
        <v>246.75089907697074</v>
      </c>
      <c r="KO89" s="247">
        <v>245.91092450685665</v>
      </c>
      <c r="KP89" s="247">
        <v>245.07233185653465</v>
      </c>
      <c r="KQ89" s="247">
        <v>244.235181935371</v>
      </c>
      <c r="KR89" s="247">
        <v>243.40024104904037</v>
      </c>
      <c r="KS89" s="247">
        <v>242.56675198628983</v>
      </c>
      <c r="KT89" s="247">
        <v>241.73467023786341</v>
      </c>
      <c r="KU89" s="247">
        <v>240.90395147110053</v>
      </c>
      <c r="KV89" s="247">
        <v>240.07455168380309</v>
      </c>
      <c r="KW89" s="247">
        <v>239.24642690954434</v>
      </c>
      <c r="KX89" s="247">
        <v>238.41953365230927</v>
      </c>
      <c r="KY89" s="247">
        <v>237.59382845333803</v>
      </c>
      <c r="KZ89" s="247">
        <v>236.76926803535972</v>
      </c>
      <c r="LA89" s="247">
        <v>235.94580944330048</v>
      </c>
      <c r="LB89" s="247">
        <v>235.1234097596934</v>
      </c>
      <c r="LC89" s="247">
        <v>234.30202624990622</v>
      </c>
      <c r="LD89" s="247">
        <v>233.46233173450082</v>
      </c>
      <c r="LE89" s="247">
        <v>232.62351993773294</v>
      </c>
      <c r="LF89" s="247">
        <v>231.78561213493049</v>
      </c>
      <c r="LG89" s="247">
        <v>230.94862954614126</v>
      </c>
      <c r="LH89" s="247">
        <v>230.11259321344096</v>
      </c>
      <c r="LI89" s="247">
        <v>229.27752425505003</v>
      </c>
      <c r="LJ89" s="247">
        <v>228.44344373032862</v>
      </c>
      <c r="LK89" s="247">
        <v>227.61037239043804</v>
      </c>
      <c r="LL89" s="247">
        <v>226.77833118191009</v>
      </c>
      <c r="LM89" s="247">
        <v>225.94734098623638</v>
      </c>
      <c r="LN89" s="247">
        <v>225.11742237175491</v>
      </c>
      <c r="LO89" s="247">
        <v>224.28859609417279</v>
      </c>
      <c r="LP89" s="247">
        <v>223.46171876416597</v>
      </c>
      <c r="LQ89" s="247">
        <v>222.63594900161002</v>
      </c>
      <c r="LR89" s="247">
        <v>221.81128739510143</v>
      </c>
      <c r="LS89" s="247">
        <v>220.98773453556487</v>
      </c>
      <c r="LT89" s="247">
        <v>220.16529114428604</v>
      </c>
      <c r="LU89" s="247">
        <v>219.3439579490915</v>
      </c>
      <c r="LV89" s="247">
        <v>218.52373567825424</v>
      </c>
      <c r="LW89" s="247">
        <v>217.70462506377794</v>
      </c>
      <c r="LX89" s="247">
        <v>216.88662696156177</v>
      </c>
      <c r="LY89" s="247">
        <v>216.06974210299484</v>
      </c>
      <c r="LZ89" s="247">
        <v>215.2539714575486</v>
      </c>
      <c r="MA89" s="247">
        <v>214.43931575410411</v>
      </c>
      <c r="MB89" s="247">
        <v>213.60606660644888</v>
      </c>
      <c r="MC89" s="247">
        <v>212.7738062159705</v>
      </c>
      <c r="MD89" s="247">
        <v>211.9425342591602</v>
      </c>
      <c r="ME89" s="247">
        <v>211.11225039732912</v>
      </c>
      <c r="MF89" s="247">
        <v>210.28295449502215</v>
      </c>
      <c r="MG89" s="247">
        <v>209.45464629940182</v>
      </c>
      <c r="MH89" s="247">
        <v>208.6273255408509</v>
      </c>
      <c r="MI89" s="247">
        <v>207.80099214585238</v>
      </c>
      <c r="MJ89" s="247">
        <v>206.97564592115808</v>
      </c>
      <c r="MK89" s="247">
        <v>206.15128675540259</v>
      </c>
      <c r="ML89" s="247">
        <v>205.32791462144465</v>
      </c>
      <c r="MM89" s="247">
        <v>204.50552947078918</v>
      </c>
      <c r="MN89" s="247">
        <v>203.68507544182654</v>
      </c>
      <c r="MO89" s="247">
        <v>202.86559852051323</v>
      </c>
      <c r="MP89" s="247">
        <v>202.04709445739422</v>
      </c>
      <c r="MQ89" s="247">
        <v>201.22955891219345</v>
      </c>
      <c r="MR89" s="247">
        <v>200.41298786735928</v>
      </c>
      <c r="MS89" s="247">
        <v>199.59737711712998</v>
      </c>
      <c r="MT89" s="247">
        <v>198.78272256565032</v>
      </c>
      <c r="MU89" s="247">
        <v>197.96902023018444</v>
      </c>
      <c r="MV89" s="247">
        <v>197.15626603866207</v>
      </c>
      <c r="MW89" s="247">
        <v>196.34445592364261</v>
      </c>
      <c r="MX89" s="247">
        <v>195.53358612185608</v>
      </c>
      <c r="MY89" s="247">
        <v>194.72365257864624</v>
      </c>
    </row>
    <row r="90" spans="1:363" ht="16.2" thickBot="1" x14ac:dyDescent="0.35">
      <c r="A90" s="67" t="s">
        <v>7</v>
      </c>
      <c r="B90" s="68">
        <v>2100</v>
      </c>
      <c r="C90" s="247">
        <v>533.60662187969046</v>
      </c>
      <c r="D90" s="247">
        <v>532.57755196158382</v>
      </c>
      <c r="E90" s="247">
        <v>531.54848089077302</v>
      </c>
      <c r="F90" s="247">
        <v>530.51940941993769</v>
      </c>
      <c r="G90" s="247">
        <v>529.49033832659961</v>
      </c>
      <c r="H90" s="247">
        <v>528.46126838481746</v>
      </c>
      <c r="I90" s="247">
        <v>527.43220036502044</v>
      </c>
      <c r="J90" s="247">
        <v>526.40313502720528</v>
      </c>
      <c r="K90" s="247">
        <v>525.3740731463497</v>
      </c>
      <c r="L90" s="247">
        <v>524.34501551021765</v>
      </c>
      <c r="M90" s="247">
        <v>523.31596288416097</v>
      </c>
      <c r="N90" s="247">
        <v>522.28691605832546</v>
      </c>
      <c r="O90" s="247">
        <v>521.25787580270321</v>
      </c>
      <c r="P90" s="247">
        <v>520.22846620006521</v>
      </c>
      <c r="Q90" s="247">
        <v>519.19905279013187</v>
      </c>
      <c r="R90" s="247">
        <v>518.16963606723573</v>
      </c>
      <c r="S90" s="247">
        <v>517.14021654864928</v>
      </c>
      <c r="T90" s="247">
        <v>516.11079473269183</v>
      </c>
      <c r="U90" s="247">
        <v>515.08137112896668</v>
      </c>
      <c r="V90" s="247">
        <v>514.0519462570561</v>
      </c>
      <c r="W90" s="247">
        <v>513.02252061423292</v>
      </c>
      <c r="X90" s="247">
        <v>511.99309472886154</v>
      </c>
      <c r="Y90" s="247">
        <v>510.96366911991822</v>
      </c>
      <c r="Z90" s="247">
        <v>509.93424430248189</v>
      </c>
      <c r="AA90" s="247">
        <v>508.90482081255226</v>
      </c>
      <c r="AB90" s="247">
        <v>507.87506057043328</v>
      </c>
      <c r="AC90" s="247">
        <v>506.84529136127156</v>
      </c>
      <c r="AD90" s="247">
        <v>505.81551347197262</v>
      </c>
      <c r="AE90" s="247">
        <v>504.78572721826487</v>
      </c>
      <c r="AF90" s="247">
        <v>503.75593289083997</v>
      </c>
      <c r="AG90" s="247">
        <v>502.72613081425249</v>
      </c>
      <c r="AH90" s="247">
        <v>501.69632127341316</v>
      </c>
      <c r="AI90" s="247">
        <v>500.66650460994117</v>
      </c>
      <c r="AJ90" s="247">
        <v>499.63668111195187</v>
      </c>
      <c r="AK90" s="247">
        <v>498.60685113501404</v>
      </c>
      <c r="AL90" s="247">
        <v>497.5770149833811</v>
      </c>
      <c r="AM90" s="247">
        <v>496.54717299817162</v>
      </c>
      <c r="AN90" s="247">
        <v>495.51793736130099</v>
      </c>
      <c r="AO90" s="247">
        <v>494.4886908334895</v>
      </c>
      <c r="AP90" s="247">
        <v>493.45943471837614</v>
      </c>
      <c r="AQ90" s="247">
        <v>492.43017027643782</v>
      </c>
      <c r="AR90" s="247">
        <v>491.40089878611843</v>
      </c>
      <c r="AS90" s="247">
        <v>490.37162154501158</v>
      </c>
      <c r="AT90" s="247">
        <v>489.3423398050216</v>
      </c>
      <c r="AU90" s="247">
        <v>488.31305484383455</v>
      </c>
      <c r="AV90" s="247">
        <v>487.28376792830767</v>
      </c>
      <c r="AW90" s="247">
        <v>486.25448032940801</v>
      </c>
      <c r="AX90" s="247">
        <v>485.2251933173597</v>
      </c>
      <c r="AY90" s="247">
        <v>484.19590816044013</v>
      </c>
      <c r="AZ90" s="247">
        <v>483.1672431529559</v>
      </c>
      <c r="BA90" s="247">
        <v>482.13857412440609</v>
      </c>
      <c r="BB90" s="247">
        <v>481.10990062810089</v>
      </c>
      <c r="BC90" s="247">
        <v>480.08122220913464</v>
      </c>
      <c r="BD90" s="247">
        <v>479.0525384252594</v>
      </c>
      <c r="BE90" s="247">
        <v>478.02384884023252</v>
      </c>
      <c r="BF90" s="247">
        <v>476.99515303081341</v>
      </c>
      <c r="BG90" s="247">
        <v>475.96645057844916</v>
      </c>
      <c r="BH90" s="247">
        <v>474.93774107255274</v>
      </c>
      <c r="BI90" s="247">
        <v>473.90902410951168</v>
      </c>
      <c r="BJ90" s="247">
        <v>472.88029928799654</v>
      </c>
      <c r="BK90" s="247">
        <v>471.85156623907727</v>
      </c>
      <c r="BL90" s="247">
        <v>470.82456037843207</v>
      </c>
      <c r="BM90" s="247">
        <v>469.79754777811792</v>
      </c>
      <c r="BN90" s="247">
        <v>468.77053324108806</v>
      </c>
      <c r="BO90" s="247">
        <v>467.74352154367375</v>
      </c>
      <c r="BP90" s="247">
        <v>466.7165174741944</v>
      </c>
      <c r="BQ90" s="247">
        <v>465.68952577478939</v>
      </c>
      <c r="BR90" s="247">
        <v>464.66255114931153</v>
      </c>
      <c r="BS90" s="247">
        <v>463.63559829616793</v>
      </c>
      <c r="BT90" s="247">
        <v>462.60867186970864</v>
      </c>
      <c r="BU90" s="247">
        <v>461.58177653862521</v>
      </c>
      <c r="BV90" s="247">
        <v>460.55491692105051</v>
      </c>
      <c r="BW90" s="247">
        <v>459.52809760093697</v>
      </c>
      <c r="BX90" s="247">
        <v>458.5032718934703</v>
      </c>
      <c r="BY90" s="247">
        <v>457.47849140063346</v>
      </c>
      <c r="BZ90" s="247">
        <v>456.45375380632993</v>
      </c>
      <c r="CA90" s="247">
        <v>455.42905678666085</v>
      </c>
      <c r="CB90" s="247">
        <v>454.40439804197598</v>
      </c>
      <c r="CC90" s="247">
        <v>453.3797752985559</v>
      </c>
      <c r="CD90" s="247">
        <v>452.35518628953815</v>
      </c>
      <c r="CE90" s="247">
        <v>451.33062877186683</v>
      </c>
      <c r="CF90" s="247">
        <v>450.30610052116458</v>
      </c>
      <c r="CG90" s="247">
        <v>449.28159933173737</v>
      </c>
      <c r="CH90" s="247">
        <v>448.25712300936908</v>
      </c>
      <c r="CI90" s="247">
        <v>447.23266938911058</v>
      </c>
      <c r="CJ90" s="247">
        <v>446.21215183602669</v>
      </c>
      <c r="CK90" s="247">
        <v>445.19166472828806</v>
      </c>
      <c r="CL90" s="247">
        <v>444.17121061103995</v>
      </c>
      <c r="CM90" s="247">
        <v>443.1507919624969</v>
      </c>
      <c r="CN90" s="247">
        <v>442.13041128484281</v>
      </c>
      <c r="CO90" s="247">
        <v>441.11007105283682</v>
      </c>
      <c r="CP90" s="247">
        <v>440.08977373479303</v>
      </c>
      <c r="CQ90" s="247">
        <v>439.06952177857409</v>
      </c>
      <c r="CR90" s="247">
        <v>438.04931761742904</v>
      </c>
      <c r="CS90" s="247">
        <v>437.02916370251347</v>
      </c>
      <c r="CT90" s="247">
        <v>436.00906243946031</v>
      </c>
      <c r="CU90" s="247">
        <v>434.98901624246167</v>
      </c>
      <c r="CV90" s="247">
        <v>433.97392083660048</v>
      </c>
      <c r="CW90" s="247">
        <v>432.95889920094618</v>
      </c>
      <c r="CX90" s="247">
        <v>431.94395207253035</v>
      </c>
      <c r="CY90" s="247">
        <v>430.92908020130636</v>
      </c>
      <c r="CZ90" s="247">
        <v>429.91428432570035</v>
      </c>
      <c r="DA90" s="247">
        <v>428.89956516476792</v>
      </c>
      <c r="DB90" s="247">
        <v>427.88492346952773</v>
      </c>
      <c r="DC90" s="247">
        <v>426.87035997843827</v>
      </c>
      <c r="DD90" s="247">
        <v>425.85587539962012</v>
      </c>
      <c r="DE90" s="247">
        <v>424.84147047596002</v>
      </c>
      <c r="DF90" s="247">
        <v>423.82714592132248</v>
      </c>
      <c r="DG90" s="247">
        <v>422.81290245985895</v>
      </c>
      <c r="DH90" s="247">
        <v>421.80490673423958</v>
      </c>
      <c r="DI90" s="247">
        <v>420.79702091159851</v>
      </c>
      <c r="DJ90" s="247">
        <v>419.78925208190645</v>
      </c>
      <c r="DK90" s="247">
        <v>418.78160735180978</v>
      </c>
      <c r="DL90" s="247">
        <v>417.77409373462433</v>
      </c>
      <c r="DM90" s="247">
        <v>416.76671825082997</v>
      </c>
      <c r="DN90" s="247">
        <v>415.75948780433794</v>
      </c>
      <c r="DO90" s="247">
        <v>414.75240934362097</v>
      </c>
      <c r="DP90" s="247">
        <v>413.74548968720114</v>
      </c>
      <c r="DQ90" s="247">
        <v>412.73873564793479</v>
      </c>
      <c r="DR90" s="247">
        <v>411.73215398687159</v>
      </c>
      <c r="DS90" s="247">
        <v>410.7257514599944</v>
      </c>
      <c r="DT90" s="247">
        <v>409.72742089583022</v>
      </c>
      <c r="DU90" s="247">
        <v>408.72932996038401</v>
      </c>
      <c r="DV90" s="247">
        <v>407.73148854758892</v>
      </c>
      <c r="DW90" s="247">
        <v>406.73390642777821</v>
      </c>
      <c r="DX90" s="247">
        <v>405.73659333470249</v>
      </c>
      <c r="DY90" s="247">
        <v>404.73955894004467</v>
      </c>
      <c r="DZ90" s="247">
        <v>403.74281283379929</v>
      </c>
      <c r="EA90" s="247">
        <v>402.74636456928374</v>
      </c>
      <c r="EB90" s="247">
        <v>401.75022361965176</v>
      </c>
      <c r="EC90" s="247">
        <v>400.75439938050789</v>
      </c>
      <c r="ED90" s="247">
        <v>399.75890118758036</v>
      </c>
      <c r="EE90" s="247">
        <v>398.76373831819279</v>
      </c>
      <c r="EF90" s="247">
        <v>397.77926160731658</v>
      </c>
      <c r="EG90" s="247">
        <v>396.7952036290198</v>
      </c>
      <c r="EH90" s="247">
        <v>395.81155950962079</v>
      </c>
      <c r="EI90" s="247">
        <v>394.82832454215514</v>
      </c>
      <c r="EJ90" s="247">
        <v>393.84549393780918</v>
      </c>
      <c r="EK90" s="247">
        <v>392.86306299338798</v>
      </c>
      <c r="EL90" s="247">
        <v>391.88102702431507</v>
      </c>
      <c r="EM90" s="247">
        <v>390.89938130872304</v>
      </c>
      <c r="EN90" s="247">
        <v>389.91812125300959</v>
      </c>
      <c r="EO90" s="247">
        <v>388.93724220009676</v>
      </c>
      <c r="EP90" s="247">
        <v>387.95673955837162</v>
      </c>
      <c r="EQ90" s="247">
        <v>386.97660876007546</v>
      </c>
      <c r="ER90" s="247">
        <v>386.00365292914262</v>
      </c>
      <c r="ES90" s="247">
        <v>385.03110836401885</v>
      </c>
      <c r="ET90" s="247">
        <v>384.05898247460101</v>
      </c>
      <c r="EU90" s="247">
        <v>383.08728282625407</v>
      </c>
      <c r="EV90" s="247">
        <v>382.11601675377631</v>
      </c>
      <c r="EW90" s="247">
        <v>381.14519163602904</v>
      </c>
      <c r="EX90" s="247">
        <v>380.17481475394629</v>
      </c>
      <c r="EY90" s="247">
        <v>379.20489334560426</v>
      </c>
      <c r="EZ90" s="247">
        <v>378.23543459989054</v>
      </c>
      <c r="FA90" s="247">
        <v>377.26644563479886</v>
      </c>
      <c r="FB90" s="247">
        <v>376.29793354382213</v>
      </c>
      <c r="FC90" s="247">
        <v>375.32990535115465</v>
      </c>
      <c r="FD90" s="247">
        <v>374.36301709432905</v>
      </c>
      <c r="FE90" s="247">
        <v>373.39661929116744</v>
      </c>
      <c r="FF90" s="247">
        <v>372.43071825174275</v>
      </c>
      <c r="FG90" s="247">
        <v>371.46532023482217</v>
      </c>
      <c r="FH90" s="247">
        <v>370.50043141287847</v>
      </c>
      <c r="FI90" s="247">
        <v>369.53605798051632</v>
      </c>
      <c r="FJ90" s="247">
        <v>368.57220603872315</v>
      </c>
      <c r="FK90" s="247">
        <v>367.60888164880572</v>
      </c>
      <c r="FL90" s="247">
        <v>366.64609082602408</v>
      </c>
      <c r="FM90" s="247">
        <v>365.68383951851837</v>
      </c>
      <c r="FN90" s="247">
        <v>364.72213365250815</v>
      </c>
      <c r="FO90" s="247">
        <v>363.76097908868809</v>
      </c>
      <c r="FP90" s="247">
        <v>362.80103488141424</v>
      </c>
      <c r="FQ90" s="247">
        <v>361.84164753101027</v>
      </c>
      <c r="FR90" s="247">
        <v>360.88282341341221</v>
      </c>
      <c r="FS90" s="247">
        <v>359.92456893473786</v>
      </c>
      <c r="FT90" s="247">
        <v>358.96689036524714</v>
      </c>
      <c r="FU90" s="247">
        <v>358.00979398900319</v>
      </c>
      <c r="FV90" s="247">
        <v>357.05328603459787</v>
      </c>
      <c r="FW90" s="247">
        <v>356.09737261894986</v>
      </c>
      <c r="FX90" s="247">
        <v>355.1420598932167</v>
      </c>
      <c r="FY90" s="247">
        <v>354.1873538702423</v>
      </c>
      <c r="FZ90" s="247">
        <v>353.23326062007243</v>
      </c>
      <c r="GA90" s="247">
        <v>352.27978609774476</v>
      </c>
      <c r="GB90" s="247">
        <v>351.32759579022871</v>
      </c>
      <c r="GC90" s="247">
        <v>350.37604356554652</v>
      </c>
      <c r="GD90" s="247">
        <v>349.42514946625437</v>
      </c>
      <c r="GE90" s="247">
        <v>348.47493344687678</v>
      </c>
      <c r="GF90" s="247">
        <v>347.52541525527613</v>
      </c>
      <c r="GG90" s="247">
        <v>346.57661455694699</v>
      </c>
      <c r="GH90" s="247">
        <v>345.62855086758799</v>
      </c>
      <c r="GI90" s="247">
        <v>344.6812435828856</v>
      </c>
      <c r="GJ90" s="247">
        <v>343.73471195180866</v>
      </c>
      <c r="GK90" s="247">
        <v>342.7889750770567</v>
      </c>
      <c r="GL90" s="247">
        <v>341.84405193774268</v>
      </c>
      <c r="GM90" s="247">
        <v>340.89996141006333</v>
      </c>
      <c r="GN90" s="247">
        <v>339.95738010949071</v>
      </c>
      <c r="GO90" s="247">
        <v>339.01563989043098</v>
      </c>
      <c r="GP90" s="247">
        <v>338.07473728000298</v>
      </c>
      <c r="GQ90" s="247">
        <v>337.13466881183859</v>
      </c>
      <c r="GR90" s="247">
        <v>336.19543103443954</v>
      </c>
      <c r="GS90" s="247">
        <v>335.2570204879537</v>
      </c>
      <c r="GT90" s="247">
        <v>334.31943374105481</v>
      </c>
      <c r="GU90" s="247">
        <v>333.38266739937814</v>
      </c>
      <c r="GV90" s="247">
        <v>332.4467180182466</v>
      </c>
      <c r="GW90" s="247">
        <v>331.51158220461855</v>
      </c>
      <c r="GX90" s="247">
        <v>330.57725657795351</v>
      </c>
      <c r="GY90" s="247">
        <v>329.64373781031412</v>
      </c>
      <c r="GZ90" s="247">
        <v>328.71169319428913</v>
      </c>
      <c r="HA90" s="247">
        <v>327.78046822528353</v>
      </c>
      <c r="HB90" s="247">
        <v>326.85008578179855</v>
      </c>
      <c r="HC90" s="247">
        <v>325.92056846798073</v>
      </c>
      <c r="HD90" s="247">
        <v>324.99193880179604</v>
      </c>
      <c r="HE90" s="247">
        <v>324.06421913249869</v>
      </c>
      <c r="HF90" s="247">
        <v>323.13743171583269</v>
      </c>
      <c r="HG90" s="247">
        <v>322.2115985846105</v>
      </c>
      <c r="HH90" s="247">
        <v>321.28674170009884</v>
      </c>
      <c r="HI90" s="247">
        <v>320.36288287384622</v>
      </c>
      <c r="HJ90" s="247">
        <v>319.44004371079353</v>
      </c>
      <c r="HK90" s="247">
        <v>318.51824576566935</v>
      </c>
      <c r="HL90" s="247">
        <v>317.59817479974191</v>
      </c>
      <c r="HM90" s="247">
        <v>316.67913914103542</v>
      </c>
      <c r="HN90" s="247">
        <v>315.76111831087701</v>
      </c>
      <c r="HO90" s="247">
        <v>314.84409198684443</v>
      </c>
      <c r="HP90" s="247">
        <v>313.92803991559924</v>
      </c>
      <c r="HQ90" s="247">
        <v>313.01294202454693</v>
      </c>
      <c r="HR90" s="247">
        <v>312.09877828403711</v>
      </c>
      <c r="HS90" s="247">
        <v>311.18552881093439</v>
      </c>
      <c r="HT90" s="247">
        <v>310.27317384355393</v>
      </c>
      <c r="HU90" s="247">
        <v>309.36169370400324</v>
      </c>
      <c r="HV90" s="247">
        <v>308.45106885592077</v>
      </c>
      <c r="HW90" s="247">
        <v>307.54127981111918</v>
      </c>
      <c r="HX90" s="247">
        <v>306.63298879086182</v>
      </c>
      <c r="HY90" s="247">
        <v>305.72551628990811</v>
      </c>
      <c r="HZ90" s="247">
        <v>304.8188709736387</v>
      </c>
      <c r="IA90" s="247">
        <v>303.91306145490557</v>
      </c>
      <c r="IB90" s="247">
        <v>303.00809628413469</v>
      </c>
      <c r="IC90" s="247">
        <v>302.10398394659774</v>
      </c>
      <c r="ID90" s="247">
        <v>301.20073291317044</v>
      </c>
      <c r="IE90" s="247">
        <v>300.29835155663318</v>
      </c>
      <c r="IF90" s="247">
        <v>299.39684820105231</v>
      </c>
      <c r="IG90" s="247">
        <v>298.49623112168626</v>
      </c>
      <c r="IH90" s="247">
        <v>297.59650854611886</v>
      </c>
      <c r="II90" s="247">
        <v>296.6976886544391</v>
      </c>
      <c r="IJ90" s="247">
        <v>295.80046414715531</v>
      </c>
      <c r="IK90" s="247">
        <v>294.90416255719083</v>
      </c>
      <c r="IL90" s="247">
        <v>294.00880260972781</v>
      </c>
      <c r="IM90" s="247">
        <v>293.11440284256139</v>
      </c>
      <c r="IN90" s="247">
        <v>292.22098172245614</v>
      </c>
      <c r="IO90" s="247">
        <v>291.32855767737408</v>
      </c>
      <c r="IP90" s="247">
        <v>290.43714893182357</v>
      </c>
      <c r="IQ90" s="247">
        <v>289.54677362189949</v>
      </c>
      <c r="IR90" s="247">
        <v>288.65744985975164</v>
      </c>
      <c r="IS90" s="247">
        <v>287.76919559206647</v>
      </c>
      <c r="IT90" s="247">
        <v>286.88202867192081</v>
      </c>
      <c r="IU90" s="247">
        <v>285.99596685886775</v>
      </c>
      <c r="IV90" s="247">
        <v>285.11171004522868</v>
      </c>
      <c r="IW90" s="247">
        <v>284.22854469455513</v>
      </c>
      <c r="IX90" s="247">
        <v>283.34644622851732</v>
      </c>
      <c r="IY90" s="247">
        <v>282.46539023520023</v>
      </c>
      <c r="IZ90" s="247">
        <v>281.58535237464923</v>
      </c>
      <c r="JA90" s="247">
        <v>280.70630851394719</v>
      </c>
      <c r="JB90" s="247">
        <v>279.82823458453282</v>
      </c>
      <c r="JC90" s="247">
        <v>278.95110667665392</v>
      </c>
      <c r="JD90" s="247">
        <v>278.07490101664314</v>
      </c>
      <c r="JE90" s="247">
        <v>277.1995938984831</v>
      </c>
      <c r="JF90" s="247">
        <v>276.32516178727241</v>
      </c>
      <c r="JG90" s="247">
        <v>275.45158128541709</v>
      </c>
      <c r="JH90" s="247">
        <v>274.57953056286397</v>
      </c>
      <c r="JI90" s="247">
        <v>273.70830948808555</v>
      </c>
      <c r="JJ90" s="247">
        <v>272.83792609411211</v>
      </c>
      <c r="JK90" s="247">
        <v>271.96838827465922</v>
      </c>
      <c r="JL90" s="247">
        <v>271.09970394258056</v>
      </c>
      <c r="JM90" s="247">
        <v>270.2318809114567</v>
      </c>
      <c r="JN90" s="247">
        <v>269.36492700518818</v>
      </c>
      <c r="JO90" s="247">
        <v>268.49884991864695</v>
      </c>
      <c r="JP90" s="247">
        <v>267.63365753957379</v>
      </c>
      <c r="JQ90" s="247">
        <v>266.76935729305808</v>
      </c>
      <c r="JR90" s="247">
        <v>265.9059569599109</v>
      </c>
      <c r="JS90" s="247">
        <v>265.04346418624823</v>
      </c>
      <c r="JT90" s="247">
        <v>264.18258715821378</v>
      </c>
      <c r="JU90" s="247">
        <v>263.32260641275678</v>
      </c>
      <c r="JV90" s="247">
        <v>262.46350980740175</v>
      </c>
      <c r="JW90" s="247">
        <v>261.60528539654217</v>
      </c>
      <c r="JX90" s="247">
        <v>260.74792112080394</v>
      </c>
      <c r="JY90" s="247">
        <v>259.89140512394522</v>
      </c>
      <c r="JZ90" s="247">
        <v>259.03572558750074</v>
      </c>
      <c r="KA90" s="247">
        <v>258.18087058179532</v>
      </c>
      <c r="KB90" s="247">
        <v>257.32682837822631</v>
      </c>
      <c r="KC90" s="247">
        <v>256.47358728651955</v>
      </c>
      <c r="KD90" s="247">
        <v>255.62113566105214</v>
      </c>
      <c r="KE90" s="247">
        <v>254.76946174310149</v>
      </c>
      <c r="KF90" s="247">
        <v>253.91927882932535</v>
      </c>
      <c r="KG90" s="247">
        <v>253.06991864164144</v>
      </c>
      <c r="KH90" s="247">
        <v>252.22144402161587</v>
      </c>
      <c r="KI90" s="247">
        <v>251.37391759947681</v>
      </c>
      <c r="KJ90" s="247">
        <v>250.52740149340588</v>
      </c>
      <c r="KK90" s="247">
        <v>249.68195761480033</v>
      </c>
      <c r="KL90" s="247">
        <v>248.83764765954504</v>
      </c>
      <c r="KM90" s="247">
        <v>247.9945331135026</v>
      </c>
      <c r="KN90" s="247">
        <v>247.15267509708244</v>
      </c>
      <c r="KO90" s="247">
        <v>246.31213451050792</v>
      </c>
      <c r="KP90" s="247">
        <v>245.47297188845565</v>
      </c>
      <c r="KQ90" s="247">
        <v>244.63524784538342</v>
      </c>
      <c r="KR90" s="247">
        <v>243.79972612428756</v>
      </c>
      <c r="KS90" s="247">
        <v>242.96565205874359</v>
      </c>
      <c r="KT90" s="247">
        <v>242.13298129942297</v>
      </c>
      <c r="KU90" s="247">
        <v>241.30166967274229</v>
      </c>
      <c r="KV90" s="247">
        <v>240.47167333427419</v>
      </c>
      <c r="KW90" s="247">
        <v>239.64294847501051</v>
      </c>
      <c r="KX90" s="247">
        <v>238.81545175456839</v>
      </c>
      <c r="KY90" s="247">
        <v>237.98913986950396</v>
      </c>
      <c r="KZ90" s="247">
        <v>237.16396969707915</v>
      </c>
      <c r="LA90" s="247">
        <v>236.33989843548397</v>
      </c>
      <c r="LB90" s="247">
        <v>235.51688332023343</v>
      </c>
      <c r="LC90" s="247">
        <v>234.69488176891116</v>
      </c>
      <c r="LD90" s="247">
        <v>233.85443735453356</v>
      </c>
      <c r="LE90" s="247">
        <v>233.01487247975891</v>
      </c>
      <c r="LF90" s="247">
        <v>232.17620833507033</v>
      </c>
      <c r="LG90" s="247">
        <v>231.33846605602795</v>
      </c>
      <c r="LH90" s="247">
        <v>230.50166660114965</v>
      </c>
      <c r="LI90" s="247">
        <v>229.66583100488242</v>
      </c>
      <c r="LJ90" s="247">
        <v>228.83098024319213</v>
      </c>
      <c r="LK90" s="247">
        <v>227.99713498530957</v>
      </c>
      <c r="LL90" s="247">
        <v>227.16431609512296</v>
      </c>
      <c r="LM90" s="247">
        <v>226.33254437186341</v>
      </c>
      <c r="LN90" s="247">
        <v>225.50184030309117</v>
      </c>
      <c r="LO90" s="247">
        <v>224.67222456304339</v>
      </c>
      <c r="LP90" s="247">
        <v>223.84454967594982</v>
      </c>
      <c r="LQ90" s="247">
        <v>223.01797827645672</v>
      </c>
      <c r="LR90" s="247">
        <v>222.19251095791293</v>
      </c>
      <c r="LS90" s="247">
        <v>221.368148315989</v>
      </c>
      <c r="LT90" s="247">
        <v>220.54489107620316</v>
      </c>
      <c r="LU90" s="247">
        <v>219.7227399705954</v>
      </c>
      <c r="LV90" s="247">
        <v>218.90169573166818</v>
      </c>
      <c r="LW90" s="247">
        <v>218.08175909566978</v>
      </c>
      <c r="LX90" s="247">
        <v>217.26293092224716</v>
      </c>
      <c r="LY90" s="247">
        <v>216.44521194708403</v>
      </c>
      <c r="LZ90" s="247">
        <v>215.62860314296611</v>
      </c>
      <c r="MA90" s="247">
        <v>214.81310524315245</v>
      </c>
      <c r="MB90" s="247">
        <v>213.97889497345446</v>
      </c>
      <c r="MC90" s="247">
        <v>213.14566885105413</v>
      </c>
      <c r="MD90" s="247">
        <v>212.31342655988638</v>
      </c>
      <c r="ME90" s="247">
        <v>211.48216776875398</v>
      </c>
      <c r="MF90" s="247">
        <v>210.65189234864192</v>
      </c>
      <c r="MG90" s="247">
        <v>209.82260005375016</v>
      </c>
      <c r="MH90" s="247">
        <v>208.99429062157262</v>
      </c>
      <c r="MI90" s="247">
        <v>208.16696398467479</v>
      </c>
      <c r="MJ90" s="247">
        <v>207.34061995652971</v>
      </c>
      <c r="MK90" s="247">
        <v>206.51525843203848</v>
      </c>
      <c r="ML90" s="247">
        <v>205.69087938989611</v>
      </c>
      <c r="MM90" s="247">
        <v>204.86748278756221</v>
      </c>
      <c r="MN90" s="247">
        <v>204.04600680481101</v>
      </c>
      <c r="MO90" s="247">
        <v>203.2255034106341</v>
      </c>
      <c r="MP90" s="247">
        <v>202.4059683827123</v>
      </c>
      <c r="MQ90" s="247">
        <v>201.5873974083367</v>
      </c>
      <c r="MR90" s="247">
        <v>200.7697864958449</v>
      </c>
      <c r="MS90" s="247">
        <v>199.95313146632509</v>
      </c>
      <c r="MT90" s="247">
        <v>199.13742825017482</v>
      </c>
      <c r="MU90" s="247">
        <v>198.32267289031782</v>
      </c>
      <c r="MV90" s="247">
        <v>197.50886134081796</v>
      </c>
      <c r="MW90" s="247">
        <v>196.69598956031942</v>
      </c>
      <c r="MX90" s="247">
        <v>195.88405381005668</v>
      </c>
      <c r="MY90" s="247">
        <v>195.07305006140805</v>
      </c>
    </row>
  </sheetData>
  <mergeCells count="1">
    <mergeCell ref="B1:B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9"/>
  <dimension ref="A1:MY90"/>
  <sheetViews>
    <sheetView workbookViewId="0">
      <pane xSplit="2" ySplit="2" topLeftCell="MA3" activePane="bottomRight" state="frozen"/>
      <selection activeCell="F32" sqref="F32"/>
      <selection pane="topRight" activeCell="F32" sqref="F32"/>
      <selection pane="bottomLeft" activeCell="F32" sqref="F32"/>
      <selection pane="bottomRight" activeCell="C6" sqref="C6"/>
    </sheetView>
  </sheetViews>
  <sheetFormatPr defaultColWidth="9.109375" defaultRowHeight="15" x14ac:dyDescent="0.25"/>
  <cols>
    <col min="1" max="1" width="11.44140625" style="65" customWidth="1"/>
    <col min="2" max="2" width="14.5546875" style="65" customWidth="1"/>
    <col min="3" max="4" width="10.6640625" style="65" customWidth="1"/>
    <col min="5" max="16384" width="9.109375" style="65"/>
  </cols>
  <sheetData>
    <row r="1" spans="1:363" ht="15" customHeight="1" x14ac:dyDescent="0.3">
      <c r="B1" s="352" t="s">
        <v>133</v>
      </c>
      <c r="C1" s="66">
        <f>INT(C2/12)</f>
        <v>45</v>
      </c>
      <c r="D1" s="66">
        <f t="shared" ref="D1:BO1" si="0">INT(D2/12)</f>
        <v>45</v>
      </c>
      <c r="E1" s="66">
        <f t="shared" si="0"/>
        <v>45</v>
      </c>
      <c r="F1" s="66">
        <f t="shared" si="0"/>
        <v>45</v>
      </c>
      <c r="G1" s="66">
        <f t="shared" si="0"/>
        <v>45</v>
      </c>
      <c r="H1" s="66">
        <f t="shared" si="0"/>
        <v>45</v>
      </c>
      <c r="I1" s="66">
        <f t="shared" si="0"/>
        <v>45</v>
      </c>
      <c r="J1" s="66">
        <f t="shared" si="0"/>
        <v>45</v>
      </c>
      <c r="K1" s="66">
        <f t="shared" si="0"/>
        <v>45</v>
      </c>
      <c r="L1" s="66">
        <f t="shared" si="0"/>
        <v>45</v>
      </c>
      <c r="M1" s="66">
        <f t="shared" si="0"/>
        <v>45</v>
      </c>
      <c r="N1" s="66">
        <f t="shared" si="0"/>
        <v>45</v>
      </c>
      <c r="O1" s="66">
        <f t="shared" si="0"/>
        <v>46</v>
      </c>
      <c r="P1" s="66">
        <f t="shared" si="0"/>
        <v>46</v>
      </c>
      <c r="Q1" s="66">
        <f t="shared" si="0"/>
        <v>46</v>
      </c>
      <c r="R1" s="66">
        <f t="shared" si="0"/>
        <v>46</v>
      </c>
      <c r="S1" s="66">
        <f t="shared" si="0"/>
        <v>46</v>
      </c>
      <c r="T1" s="66">
        <f t="shared" si="0"/>
        <v>46</v>
      </c>
      <c r="U1" s="66">
        <f t="shared" si="0"/>
        <v>46</v>
      </c>
      <c r="V1" s="66">
        <f t="shared" si="0"/>
        <v>46</v>
      </c>
      <c r="W1" s="66">
        <f t="shared" si="0"/>
        <v>46</v>
      </c>
      <c r="X1" s="66">
        <f t="shared" si="0"/>
        <v>46</v>
      </c>
      <c r="Y1" s="66">
        <f t="shared" si="0"/>
        <v>46</v>
      </c>
      <c r="Z1" s="66">
        <f t="shared" si="0"/>
        <v>46</v>
      </c>
      <c r="AA1" s="66">
        <f t="shared" si="0"/>
        <v>47</v>
      </c>
      <c r="AB1" s="66">
        <f t="shared" si="0"/>
        <v>47</v>
      </c>
      <c r="AC1" s="66">
        <f t="shared" si="0"/>
        <v>47</v>
      </c>
      <c r="AD1" s="66">
        <f t="shared" si="0"/>
        <v>47</v>
      </c>
      <c r="AE1" s="66">
        <f t="shared" si="0"/>
        <v>47</v>
      </c>
      <c r="AF1" s="66">
        <f t="shared" si="0"/>
        <v>47</v>
      </c>
      <c r="AG1" s="66">
        <f t="shared" si="0"/>
        <v>47</v>
      </c>
      <c r="AH1" s="66">
        <f t="shared" si="0"/>
        <v>47</v>
      </c>
      <c r="AI1" s="66">
        <f t="shared" si="0"/>
        <v>47</v>
      </c>
      <c r="AJ1" s="66">
        <f t="shared" si="0"/>
        <v>47</v>
      </c>
      <c r="AK1" s="66">
        <f t="shared" si="0"/>
        <v>47</v>
      </c>
      <c r="AL1" s="66">
        <f t="shared" si="0"/>
        <v>47</v>
      </c>
      <c r="AM1" s="66">
        <f t="shared" si="0"/>
        <v>48</v>
      </c>
      <c r="AN1" s="66">
        <f t="shared" si="0"/>
        <v>48</v>
      </c>
      <c r="AO1" s="66">
        <f t="shared" si="0"/>
        <v>48</v>
      </c>
      <c r="AP1" s="66">
        <f t="shared" si="0"/>
        <v>48</v>
      </c>
      <c r="AQ1" s="66">
        <f t="shared" si="0"/>
        <v>48</v>
      </c>
      <c r="AR1" s="66">
        <f t="shared" si="0"/>
        <v>48</v>
      </c>
      <c r="AS1" s="66">
        <f t="shared" si="0"/>
        <v>48</v>
      </c>
      <c r="AT1" s="66">
        <f t="shared" si="0"/>
        <v>48</v>
      </c>
      <c r="AU1" s="66">
        <f t="shared" si="0"/>
        <v>48</v>
      </c>
      <c r="AV1" s="66">
        <f t="shared" si="0"/>
        <v>48</v>
      </c>
      <c r="AW1" s="66">
        <f t="shared" si="0"/>
        <v>48</v>
      </c>
      <c r="AX1" s="66">
        <f t="shared" si="0"/>
        <v>48</v>
      </c>
      <c r="AY1" s="66">
        <f t="shared" si="0"/>
        <v>49</v>
      </c>
      <c r="AZ1" s="66">
        <f t="shared" si="0"/>
        <v>49</v>
      </c>
      <c r="BA1" s="66">
        <f t="shared" si="0"/>
        <v>49</v>
      </c>
      <c r="BB1" s="66">
        <f t="shared" si="0"/>
        <v>49</v>
      </c>
      <c r="BC1" s="66">
        <f t="shared" si="0"/>
        <v>49</v>
      </c>
      <c r="BD1" s="66">
        <f t="shared" si="0"/>
        <v>49</v>
      </c>
      <c r="BE1" s="66">
        <f t="shared" si="0"/>
        <v>49</v>
      </c>
      <c r="BF1" s="66">
        <f t="shared" si="0"/>
        <v>49</v>
      </c>
      <c r="BG1" s="66">
        <f t="shared" si="0"/>
        <v>49</v>
      </c>
      <c r="BH1" s="66">
        <f t="shared" si="0"/>
        <v>49</v>
      </c>
      <c r="BI1" s="66">
        <f t="shared" si="0"/>
        <v>49</v>
      </c>
      <c r="BJ1" s="66">
        <f t="shared" si="0"/>
        <v>49</v>
      </c>
      <c r="BK1" s="66">
        <f t="shared" si="0"/>
        <v>50</v>
      </c>
      <c r="BL1" s="66">
        <f t="shared" si="0"/>
        <v>50</v>
      </c>
      <c r="BM1" s="66">
        <f t="shared" si="0"/>
        <v>50</v>
      </c>
      <c r="BN1" s="66">
        <f t="shared" si="0"/>
        <v>50</v>
      </c>
      <c r="BO1" s="66">
        <f t="shared" si="0"/>
        <v>50</v>
      </c>
      <c r="BP1" s="66">
        <f t="shared" ref="BP1:EA1" si="1">INT(BP2/12)</f>
        <v>50</v>
      </c>
      <c r="BQ1" s="66">
        <f t="shared" si="1"/>
        <v>50</v>
      </c>
      <c r="BR1" s="66">
        <f t="shared" si="1"/>
        <v>50</v>
      </c>
      <c r="BS1" s="66">
        <f t="shared" si="1"/>
        <v>50</v>
      </c>
      <c r="BT1" s="66">
        <f t="shared" si="1"/>
        <v>50</v>
      </c>
      <c r="BU1" s="66">
        <f t="shared" si="1"/>
        <v>50</v>
      </c>
      <c r="BV1" s="66">
        <f t="shared" si="1"/>
        <v>50</v>
      </c>
      <c r="BW1" s="66">
        <f t="shared" si="1"/>
        <v>51</v>
      </c>
      <c r="BX1" s="66">
        <f t="shared" si="1"/>
        <v>51</v>
      </c>
      <c r="BY1" s="66">
        <f t="shared" si="1"/>
        <v>51</v>
      </c>
      <c r="BZ1" s="66">
        <f t="shared" si="1"/>
        <v>51</v>
      </c>
      <c r="CA1" s="66">
        <f t="shared" si="1"/>
        <v>51</v>
      </c>
      <c r="CB1" s="66">
        <f t="shared" si="1"/>
        <v>51</v>
      </c>
      <c r="CC1" s="66">
        <f t="shared" si="1"/>
        <v>51</v>
      </c>
      <c r="CD1" s="66">
        <f t="shared" si="1"/>
        <v>51</v>
      </c>
      <c r="CE1" s="66">
        <f t="shared" si="1"/>
        <v>51</v>
      </c>
      <c r="CF1" s="66">
        <f t="shared" si="1"/>
        <v>51</v>
      </c>
      <c r="CG1" s="66">
        <f t="shared" si="1"/>
        <v>51</v>
      </c>
      <c r="CH1" s="66">
        <f t="shared" si="1"/>
        <v>51</v>
      </c>
      <c r="CI1" s="66">
        <f t="shared" si="1"/>
        <v>52</v>
      </c>
      <c r="CJ1" s="66">
        <f t="shared" si="1"/>
        <v>52</v>
      </c>
      <c r="CK1" s="66">
        <f t="shared" si="1"/>
        <v>52</v>
      </c>
      <c r="CL1" s="66">
        <f t="shared" si="1"/>
        <v>52</v>
      </c>
      <c r="CM1" s="66">
        <f t="shared" si="1"/>
        <v>52</v>
      </c>
      <c r="CN1" s="66">
        <f t="shared" si="1"/>
        <v>52</v>
      </c>
      <c r="CO1" s="66">
        <f t="shared" si="1"/>
        <v>52</v>
      </c>
      <c r="CP1" s="66">
        <f t="shared" si="1"/>
        <v>52</v>
      </c>
      <c r="CQ1" s="66">
        <f t="shared" si="1"/>
        <v>52</v>
      </c>
      <c r="CR1" s="66">
        <f t="shared" si="1"/>
        <v>52</v>
      </c>
      <c r="CS1" s="66">
        <f t="shared" si="1"/>
        <v>52</v>
      </c>
      <c r="CT1" s="66">
        <f t="shared" si="1"/>
        <v>52</v>
      </c>
      <c r="CU1" s="66">
        <f t="shared" si="1"/>
        <v>53</v>
      </c>
      <c r="CV1" s="66">
        <f t="shared" si="1"/>
        <v>53</v>
      </c>
      <c r="CW1" s="66">
        <f t="shared" si="1"/>
        <v>53</v>
      </c>
      <c r="CX1" s="66">
        <f t="shared" si="1"/>
        <v>53</v>
      </c>
      <c r="CY1" s="66">
        <f t="shared" si="1"/>
        <v>53</v>
      </c>
      <c r="CZ1" s="66">
        <f t="shared" si="1"/>
        <v>53</v>
      </c>
      <c r="DA1" s="66">
        <f t="shared" si="1"/>
        <v>53</v>
      </c>
      <c r="DB1" s="66">
        <f t="shared" si="1"/>
        <v>53</v>
      </c>
      <c r="DC1" s="66">
        <f t="shared" si="1"/>
        <v>53</v>
      </c>
      <c r="DD1" s="66">
        <f t="shared" si="1"/>
        <v>53</v>
      </c>
      <c r="DE1" s="66">
        <f t="shared" si="1"/>
        <v>53</v>
      </c>
      <c r="DF1" s="66">
        <f t="shared" si="1"/>
        <v>53</v>
      </c>
      <c r="DG1" s="66">
        <f t="shared" si="1"/>
        <v>54</v>
      </c>
      <c r="DH1" s="66">
        <f t="shared" si="1"/>
        <v>54</v>
      </c>
      <c r="DI1" s="66">
        <f t="shared" si="1"/>
        <v>54</v>
      </c>
      <c r="DJ1" s="66">
        <f t="shared" si="1"/>
        <v>54</v>
      </c>
      <c r="DK1" s="66">
        <f t="shared" si="1"/>
        <v>54</v>
      </c>
      <c r="DL1" s="66">
        <f t="shared" si="1"/>
        <v>54</v>
      </c>
      <c r="DM1" s="66">
        <f t="shared" si="1"/>
        <v>54</v>
      </c>
      <c r="DN1" s="66">
        <f t="shared" si="1"/>
        <v>54</v>
      </c>
      <c r="DO1" s="66">
        <f t="shared" si="1"/>
        <v>54</v>
      </c>
      <c r="DP1" s="66">
        <f t="shared" si="1"/>
        <v>54</v>
      </c>
      <c r="DQ1" s="66">
        <f t="shared" si="1"/>
        <v>54</v>
      </c>
      <c r="DR1" s="66">
        <f t="shared" si="1"/>
        <v>54</v>
      </c>
      <c r="DS1" s="66">
        <f t="shared" si="1"/>
        <v>55</v>
      </c>
      <c r="DT1" s="66">
        <f t="shared" si="1"/>
        <v>55</v>
      </c>
      <c r="DU1" s="66">
        <f t="shared" si="1"/>
        <v>55</v>
      </c>
      <c r="DV1" s="66">
        <f t="shared" si="1"/>
        <v>55</v>
      </c>
      <c r="DW1" s="66">
        <f t="shared" si="1"/>
        <v>55</v>
      </c>
      <c r="DX1" s="66">
        <f t="shared" si="1"/>
        <v>55</v>
      </c>
      <c r="DY1" s="66">
        <f t="shared" si="1"/>
        <v>55</v>
      </c>
      <c r="DZ1" s="66">
        <f t="shared" si="1"/>
        <v>55</v>
      </c>
      <c r="EA1" s="66">
        <f t="shared" si="1"/>
        <v>55</v>
      </c>
      <c r="EB1" s="66">
        <f t="shared" ref="EB1:GM1" si="2">INT(EB2/12)</f>
        <v>55</v>
      </c>
      <c r="EC1" s="66">
        <f t="shared" si="2"/>
        <v>55</v>
      </c>
      <c r="ED1" s="66">
        <f t="shared" si="2"/>
        <v>55</v>
      </c>
      <c r="EE1" s="66">
        <f t="shared" si="2"/>
        <v>56</v>
      </c>
      <c r="EF1" s="66">
        <f t="shared" si="2"/>
        <v>56</v>
      </c>
      <c r="EG1" s="66">
        <f t="shared" si="2"/>
        <v>56</v>
      </c>
      <c r="EH1" s="66">
        <f t="shared" si="2"/>
        <v>56</v>
      </c>
      <c r="EI1" s="66">
        <f t="shared" si="2"/>
        <v>56</v>
      </c>
      <c r="EJ1" s="66">
        <f t="shared" si="2"/>
        <v>56</v>
      </c>
      <c r="EK1" s="66">
        <f t="shared" si="2"/>
        <v>56</v>
      </c>
      <c r="EL1" s="66">
        <f t="shared" si="2"/>
        <v>56</v>
      </c>
      <c r="EM1" s="66">
        <f t="shared" si="2"/>
        <v>56</v>
      </c>
      <c r="EN1" s="66">
        <f t="shared" si="2"/>
        <v>56</v>
      </c>
      <c r="EO1" s="66">
        <f t="shared" si="2"/>
        <v>56</v>
      </c>
      <c r="EP1" s="66">
        <f t="shared" si="2"/>
        <v>56</v>
      </c>
      <c r="EQ1" s="66">
        <f t="shared" si="2"/>
        <v>57</v>
      </c>
      <c r="ER1" s="66">
        <f t="shared" si="2"/>
        <v>57</v>
      </c>
      <c r="ES1" s="66">
        <f t="shared" si="2"/>
        <v>57</v>
      </c>
      <c r="ET1" s="66">
        <f t="shared" si="2"/>
        <v>57</v>
      </c>
      <c r="EU1" s="66">
        <f t="shared" si="2"/>
        <v>57</v>
      </c>
      <c r="EV1" s="66">
        <f t="shared" si="2"/>
        <v>57</v>
      </c>
      <c r="EW1" s="66">
        <f t="shared" si="2"/>
        <v>57</v>
      </c>
      <c r="EX1" s="66">
        <f t="shared" si="2"/>
        <v>57</v>
      </c>
      <c r="EY1" s="66">
        <f t="shared" si="2"/>
        <v>57</v>
      </c>
      <c r="EZ1" s="66">
        <f t="shared" si="2"/>
        <v>57</v>
      </c>
      <c r="FA1" s="66">
        <f t="shared" si="2"/>
        <v>57</v>
      </c>
      <c r="FB1" s="66">
        <f t="shared" si="2"/>
        <v>57</v>
      </c>
      <c r="FC1" s="66">
        <f t="shared" si="2"/>
        <v>58</v>
      </c>
      <c r="FD1" s="66">
        <f t="shared" si="2"/>
        <v>58</v>
      </c>
      <c r="FE1" s="66">
        <f t="shared" si="2"/>
        <v>58</v>
      </c>
      <c r="FF1" s="66">
        <f t="shared" si="2"/>
        <v>58</v>
      </c>
      <c r="FG1" s="66">
        <f t="shared" si="2"/>
        <v>58</v>
      </c>
      <c r="FH1" s="66">
        <f t="shared" si="2"/>
        <v>58</v>
      </c>
      <c r="FI1" s="66">
        <f t="shared" si="2"/>
        <v>58</v>
      </c>
      <c r="FJ1" s="66">
        <f t="shared" si="2"/>
        <v>58</v>
      </c>
      <c r="FK1" s="66">
        <f t="shared" si="2"/>
        <v>58</v>
      </c>
      <c r="FL1" s="66">
        <f t="shared" si="2"/>
        <v>58</v>
      </c>
      <c r="FM1" s="66">
        <f t="shared" si="2"/>
        <v>58</v>
      </c>
      <c r="FN1" s="66">
        <f t="shared" si="2"/>
        <v>58</v>
      </c>
      <c r="FO1" s="66">
        <f t="shared" si="2"/>
        <v>59</v>
      </c>
      <c r="FP1" s="66">
        <f t="shared" si="2"/>
        <v>59</v>
      </c>
      <c r="FQ1" s="66">
        <f t="shared" si="2"/>
        <v>59</v>
      </c>
      <c r="FR1" s="66">
        <f t="shared" si="2"/>
        <v>59</v>
      </c>
      <c r="FS1" s="66">
        <f t="shared" si="2"/>
        <v>59</v>
      </c>
      <c r="FT1" s="66">
        <f t="shared" si="2"/>
        <v>59</v>
      </c>
      <c r="FU1" s="66">
        <f t="shared" si="2"/>
        <v>59</v>
      </c>
      <c r="FV1" s="66">
        <f t="shared" si="2"/>
        <v>59</v>
      </c>
      <c r="FW1" s="66">
        <f t="shared" si="2"/>
        <v>59</v>
      </c>
      <c r="FX1" s="66">
        <f t="shared" si="2"/>
        <v>59</v>
      </c>
      <c r="FY1" s="66">
        <f t="shared" si="2"/>
        <v>59</v>
      </c>
      <c r="FZ1" s="66">
        <f t="shared" si="2"/>
        <v>59</v>
      </c>
      <c r="GA1" s="66">
        <f t="shared" si="2"/>
        <v>60</v>
      </c>
      <c r="GB1" s="66">
        <f t="shared" si="2"/>
        <v>60</v>
      </c>
      <c r="GC1" s="66">
        <f t="shared" si="2"/>
        <v>60</v>
      </c>
      <c r="GD1" s="66">
        <f t="shared" si="2"/>
        <v>60</v>
      </c>
      <c r="GE1" s="66">
        <f t="shared" si="2"/>
        <v>60</v>
      </c>
      <c r="GF1" s="66">
        <f t="shared" si="2"/>
        <v>60</v>
      </c>
      <c r="GG1" s="66">
        <f t="shared" si="2"/>
        <v>60</v>
      </c>
      <c r="GH1" s="66">
        <f t="shared" si="2"/>
        <v>60</v>
      </c>
      <c r="GI1" s="66">
        <f t="shared" si="2"/>
        <v>60</v>
      </c>
      <c r="GJ1" s="66">
        <f t="shared" si="2"/>
        <v>60</v>
      </c>
      <c r="GK1" s="66">
        <f t="shared" si="2"/>
        <v>60</v>
      </c>
      <c r="GL1" s="66">
        <f t="shared" si="2"/>
        <v>60</v>
      </c>
      <c r="GM1" s="66">
        <f t="shared" si="2"/>
        <v>61</v>
      </c>
      <c r="GN1" s="66">
        <f t="shared" ref="GN1:IY1" si="3">INT(GN2/12)</f>
        <v>61</v>
      </c>
      <c r="GO1" s="66">
        <f t="shared" si="3"/>
        <v>61</v>
      </c>
      <c r="GP1" s="66">
        <f t="shared" si="3"/>
        <v>61</v>
      </c>
      <c r="GQ1" s="66">
        <f t="shared" si="3"/>
        <v>61</v>
      </c>
      <c r="GR1" s="66">
        <f t="shared" si="3"/>
        <v>61</v>
      </c>
      <c r="GS1" s="66">
        <f t="shared" si="3"/>
        <v>61</v>
      </c>
      <c r="GT1" s="66">
        <f t="shared" si="3"/>
        <v>61</v>
      </c>
      <c r="GU1" s="66">
        <f t="shared" si="3"/>
        <v>61</v>
      </c>
      <c r="GV1" s="66">
        <f t="shared" si="3"/>
        <v>61</v>
      </c>
      <c r="GW1" s="66">
        <f t="shared" si="3"/>
        <v>61</v>
      </c>
      <c r="GX1" s="66">
        <f t="shared" si="3"/>
        <v>61</v>
      </c>
      <c r="GY1" s="66">
        <f t="shared" si="3"/>
        <v>62</v>
      </c>
      <c r="GZ1" s="66">
        <f t="shared" si="3"/>
        <v>62</v>
      </c>
      <c r="HA1" s="66">
        <f t="shared" si="3"/>
        <v>62</v>
      </c>
      <c r="HB1" s="66">
        <f t="shared" si="3"/>
        <v>62</v>
      </c>
      <c r="HC1" s="66">
        <f t="shared" si="3"/>
        <v>62</v>
      </c>
      <c r="HD1" s="66">
        <f t="shared" si="3"/>
        <v>62</v>
      </c>
      <c r="HE1" s="66">
        <f t="shared" si="3"/>
        <v>62</v>
      </c>
      <c r="HF1" s="66">
        <f t="shared" si="3"/>
        <v>62</v>
      </c>
      <c r="HG1" s="66">
        <f t="shared" si="3"/>
        <v>62</v>
      </c>
      <c r="HH1" s="66">
        <f t="shared" si="3"/>
        <v>62</v>
      </c>
      <c r="HI1" s="66">
        <f t="shared" si="3"/>
        <v>62</v>
      </c>
      <c r="HJ1" s="66">
        <f t="shared" si="3"/>
        <v>62</v>
      </c>
      <c r="HK1" s="66">
        <f t="shared" si="3"/>
        <v>63</v>
      </c>
      <c r="HL1" s="66">
        <f t="shared" si="3"/>
        <v>63</v>
      </c>
      <c r="HM1" s="66">
        <f t="shared" si="3"/>
        <v>63</v>
      </c>
      <c r="HN1" s="66">
        <f t="shared" si="3"/>
        <v>63</v>
      </c>
      <c r="HO1" s="66">
        <f t="shared" si="3"/>
        <v>63</v>
      </c>
      <c r="HP1" s="66">
        <f t="shared" si="3"/>
        <v>63</v>
      </c>
      <c r="HQ1" s="66">
        <f t="shared" si="3"/>
        <v>63</v>
      </c>
      <c r="HR1" s="66">
        <f t="shared" si="3"/>
        <v>63</v>
      </c>
      <c r="HS1" s="66">
        <f t="shared" si="3"/>
        <v>63</v>
      </c>
      <c r="HT1" s="66">
        <f t="shared" si="3"/>
        <v>63</v>
      </c>
      <c r="HU1" s="66">
        <f t="shared" si="3"/>
        <v>63</v>
      </c>
      <c r="HV1" s="66">
        <f t="shared" si="3"/>
        <v>63</v>
      </c>
      <c r="HW1" s="66">
        <f t="shared" si="3"/>
        <v>64</v>
      </c>
      <c r="HX1" s="66">
        <f t="shared" si="3"/>
        <v>64</v>
      </c>
      <c r="HY1" s="66">
        <f t="shared" si="3"/>
        <v>64</v>
      </c>
      <c r="HZ1" s="66">
        <f t="shared" si="3"/>
        <v>64</v>
      </c>
      <c r="IA1" s="66">
        <f t="shared" si="3"/>
        <v>64</v>
      </c>
      <c r="IB1" s="66">
        <f t="shared" si="3"/>
        <v>64</v>
      </c>
      <c r="IC1" s="66">
        <f t="shared" si="3"/>
        <v>64</v>
      </c>
      <c r="ID1" s="66">
        <f t="shared" si="3"/>
        <v>64</v>
      </c>
      <c r="IE1" s="66">
        <f t="shared" si="3"/>
        <v>64</v>
      </c>
      <c r="IF1" s="66">
        <f t="shared" si="3"/>
        <v>64</v>
      </c>
      <c r="IG1" s="66">
        <f t="shared" si="3"/>
        <v>64</v>
      </c>
      <c r="IH1" s="66">
        <f t="shared" si="3"/>
        <v>64</v>
      </c>
      <c r="II1" s="66">
        <f t="shared" si="3"/>
        <v>65</v>
      </c>
      <c r="IJ1" s="66">
        <f t="shared" si="3"/>
        <v>65</v>
      </c>
      <c r="IK1" s="66">
        <f t="shared" si="3"/>
        <v>65</v>
      </c>
      <c r="IL1" s="66">
        <f t="shared" si="3"/>
        <v>65</v>
      </c>
      <c r="IM1" s="66">
        <f t="shared" si="3"/>
        <v>65</v>
      </c>
      <c r="IN1" s="66">
        <f t="shared" si="3"/>
        <v>65</v>
      </c>
      <c r="IO1" s="66">
        <f t="shared" si="3"/>
        <v>65</v>
      </c>
      <c r="IP1" s="66">
        <f t="shared" si="3"/>
        <v>65</v>
      </c>
      <c r="IQ1" s="66">
        <f t="shared" si="3"/>
        <v>65</v>
      </c>
      <c r="IR1" s="66">
        <f t="shared" si="3"/>
        <v>65</v>
      </c>
      <c r="IS1" s="66">
        <f t="shared" si="3"/>
        <v>65</v>
      </c>
      <c r="IT1" s="66">
        <f t="shared" si="3"/>
        <v>65</v>
      </c>
      <c r="IU1" s="66">
        <f t="shared" si="3"/>
        <v>66</v>
      </c>
      <c r="IV1" s="66">
        <f t="shared" si="3"/>
        <v>66</v>
      </c>
      <c r="IW1" s="66">
        <f t="shared" si="3"/>
        <v>66</v>
      </c>
      <c r="IX1" s="66">
        <f t="shared" si="3"/>
        <v>66</v>
      </c>
      <c r="IY1" s="66">
        <f t="shared" si="3"/>
        <v>66</v>
      </c>
      <c r="IZ1" s="66">
        <f t="shared" ref="IZ1:LK1" si="4">INT(IZ2/12)</f>
        <v>66</v>
      </c>
      <c r="JA1" s="66">
        <f t="shared" si="4"/>
        <v>66</v>
      </c>
      <c r="JB1" s="66">
        <f t="shared" si="4"/>
        <v>66</v>
      </c>
      <c r="JC1" s="66">
        <f t="shared" si="4"/>
        <v>66</v>
      </c>
      <c r="JD1" s="66">
        <f t="shared" si="4"/>
        <v>66</v>
      </c>
      <c r="JE1" s="66">
        <f t="shared" si="4"/>
        <v>66</v>
      </c>
      <c r="JF1" s="66">
        <f t="shared" si="4"/>
        <v>66</v>
      </c>
      <c r="JG1" s="66">
        <f t="shared" si="4"/>
        <v>67</v>
      </c>
      <c r="JH1" s="66">
        <f t="shared" si="4"/>
        <v>67</v>
      </c>
      <c r="JI1" s="66">
        <f t="shared" si="4"/>
        <v>67</v>
      </c>
      <c r="JJ1" s="66">
        <f t="shared" si="4"/>
        <v>67</v>
      </c>
      <c r="JK1" s="66">
        <f t="shared" si="4"/>
        <v>67</v>
      </c>
      <c r="JL1" s="66">
        <f t="shared" si="4"/>
        <v>67</v>
      </c>
      <c r="JM1" s="66">
        <f t="shared" si="4"/>
        <v>67</v>
      </c>
      <c r="JN1" s="66">
        <f t="shared" si="4"/>
        <v>67</v>
      </c>
      <c r="JO1" s="66">
        <f t="shared" si="4"/>
        <v>67</v>
      </c>
      <c r="JP1" s="66">
        <f t="shared" si="4"/>
        <v>67</v>
      </c>
      <c r="JQ1" s="66">
        <f t="shared" si="4"/>
        <v>67</v>
      </c>
      <c r="JR1" s="66">
        <f t="shared" si="4"/>
        <v>67</v>
      </c>
      <c r="JS1" s="66">
        <f t="shared" si="4"/>
        <v>68</v>
      </c>
      <c r="JT1" s="66">
        <f t="shared" si="4"/>
        <v>68</v>
      </c>
      <c r="JU1" s="66">
        <f t="shared" si="4"/>
        <v>68</v>
      </c>
      <c r="JV1" s="66">
        <f t="shared" si="4"/>
        <v>68</v>
      </c>
      <c r="JW1" s="66">
        <f t="shared" si="4"/>
        <v>68</v>
      </c>
      <c r="JX1" s="66">
        <f t="shared" si="4"/>
        <v>68</v>
      </c>
      <c r="JY1" s="66">
        <f t="shared" si="4"/>
        <v>68</v>
      </c>
      <c r="JZ1" s="66">
        <f t="shared" si="4"/>
        <v>68</v>
      </c>
      <c r="KA1" s="66">
        <f t="shared" si="4"/>
        <v>68</v>
      </c>
      <c r="KB1" s="66">
        <f t="shared" si="4"/>
        <v>68</v>
      </c>
      <c r="KC1" s="66">
        <f t="shared" si="4"/>
        <v>68</v>
      </c>
      <c r="KD1" s="66">
        <f t="shared" si="4"/>
        <v>68</v>
      </c>
      <c r="KE1" s="66">
        <f t="shared" si="4"/>
        <v>69</v>
      </c>
      <c r="KF1" s="66">
        <f t="shared" si="4"/>
        <v>69</v>
      </c>
      <c r="KG1" s="66">
        <f t="shared" si="4"/>
        <v>69</v>
      </c>
      <c r="KH1" s="66">
        <f t="shared" si="4"/>
        <v>69</v>
      </c>
      <c r="KI1" s="66">
        <f t="shared" si="4"/>
        <v>69</v>
      </c>
      <c r="KJ1" s="66">
        <f t="shared" si="4"/>
        <v>69</v>
      </c>
      <c r="KK1" s="66">
        <f t="shared" si="4"/>
        <v>69</v>
      </c>
      <c r="KL1" s="66">
        <f t="shared" si="4"/>
        <v>69</v>
      </c>
      <c r="KM1" s="66">
        <f t="shared" si="4"/>
        <v>69</v>
      </c>
      <c r="KN1" s="66">
        <f t="shared" si="4"/>
        <v>69</v>
      </c>
      <c r="KO1" s="66">
        <f t="shared" si="4"/>
        <v>69</v>
      </c>
      <c r="KP1" s="66">
        <f t="shared" si="4"/>
        <v>69</v>
      </c>
      <c r="KQ1" s="66">
        <f t="shared" si="4"/>
        <v>70</v>
      </c>
      <c r="KR1" s="66">
        <f t="shared" si="4"/>
        <v>70</v>
      </c>
      <c r="KS1" s="66">
        <f t="shared" si="4"/>
        <v>70</v>
      </c>
      <c r="KT1" s="66">
        <f t="shared" si="4"/>
        <v>70</v>
      </c>
      <c r="KU1" s="66">
        <f t="shared" si="4"/>
        <v>70</v>
      </c>
      <c r="KV1" s="66">
        <f t="shared" si="4"/>
        <v>70</v>
      </c>
      <c r="KW1" s="66">
        <f t="shared" si="4"/>
        <v>70</v>
      </c>
      <c r="KX1" s="66">
        <f t="shared" si="4"/>
        <v>70</v>
      </c>
      <c r="KY1" s="66">
        <f t="shared" si="4"/>
        <v>70</v>
      </c>
      <c r="KZ1" s="66">
        <f t="shared" si="4"/>
        <v>70</v>
      </c>
      <c r="LA1" s="66">
        <f t="shared" si="4"/>
        <v>70</v>
      </c>
      <c r="LB1" s="66">
        <f t="shared" si="4"/>
        <v>70</v>
      </c>
      <c r="LC1" s="66">
        <f t="shared" si="4"/>
        <v>71</v>
      </c>
      <c r="LD1" s="66">
        <f t="shared" si="4"/>
        <v>71</v>
      </c>
      <c r="LE1" s="66">
        <f t="shared" si="4"/>
        <v>71</v>
      </c>
      <c r="LF1" s="66">
        <f t="shared" si="4"/>
        <v>71</v>
      </c>
      <c r="LG1" s="66">
        <f t="shared" si="4"/>
        <v>71</v>
      </c>
      <c r="LH1" s="66">
        <f t="shared" si="4"/>
        <v>71</v>
      </c>
      <c r="LI1" s="66">
        <f t="shared" si="4"/>
        <v>71</v>
      </c>
      <c r="LJ1" s="66">
        <f t="shared" si="4"/>
        <v>71</v>
      </c>
      <c r="LK1" s="66">
        <f t="shared" si="4"/>
        <v>71</v>
      </c>
      <c r="LL1" s="66">
        <f t="shared" ref="LL1:MY1" si="5">INT(LL2/12)</f>
        <v>71</v>
      </c>
      <c r="LM1" s="66">
        <f t="shared" si="5"/>
        <v>71</v>
      </c>
      <c r="LN1" s="66">
        <f t="shared" si="5"/>
        <v>71</v>
      </c>
      <c r="LO1" s="66">
        <f t="shared" si="5"/>
        <v>72</v>
      </c>
      <c r="LP1" s="66">
        <f t="shared" si="5"/>
        <v>72</v>
      </c>
      <c r="LQ1" s="66">
        <f t="shared" si="5"/>
        <v>72</v>
      </c>
      <c r="LR1" s="66">
        <f t="shared" si="5"/>
        <v>72</v>
      </c>
      <c r="LS1" s="66">
        <f t="shared" si="5"/>
        <v>72</v>
      </c>
      <c r="LT1" s="66">
        <f t="shared" si="5"/>
        <v>72</v>
      </c>
      <c r="LU1" s="66">
        <f t="shared" si="5"/>
        <v>72</v>
      </c>
      <c r="LV1" s="66">
        <f t="shared" si="5"/>
        <v>72</v>
      </c>
      <c r="LW1" s="66">
        <f t="shared" si="5"/>
        <v>72</v>
      </c>
      <c r="LX1" s="66">
        <f t="shared" si="5"/>
        <v>72</v>
      </c>
      <c r="LY1" s="66">
        <f t="shared" si="5"/>
        <v>72</v>
      </c>
      <c r="LZ1" s="66">
        <f t="shared" si="5"/>
        <v>72</v>
      </c>
      <c r="MA1" s="66">
        <f t="shared" si="5"/>
        <v>73</v>
      </c>
      <c r="MB1" s="66">
        <f t="shared" si="5"/>
        <v>73</v>
      </c>
      <c r="MC1" s="66">
        <f t="shared" si="5"/>
        <v>73</v>
      </c>
      <c r="MD1" s="66">
        <f t="shared" si="5"/>
        <v>73</v>
      </c>
      <c r="ME1" s="66">
        <f t="shared" si="5"/>
        <v>73</v>
      </c>
      <c r="MF1" s="66">
        <f t="shared" si="5"/>
        <v>73</v>
      </c>
      <c r="MG1" s="66">
        <f t="shared" si="5"/>
        <v>73</v>
      </c>
      <c r="MH1" s="66">
        <f t="shared" si="5"/>
        <v>73</v>
      </c>
      <c r="MI1" s="66">
        <f t="shared" si="5"/>
        <v>73</v>
      </c>
      <c r="MJ1" s="66">
        <f t="shared" si="5"/>
        <v>73</v>
      </c>
      <c r="MK1" s="66">
        <f t="shared" si="5"/>
        <v>73</v>
      </c>
      <c r="ML1" s="66">
        <f t="shared" si="5"/>
        <v>73</v>
      </c>
      <c r="MM1" s="66">
        <f t="shared" si="5"/>
        <v>74</v>
      </c>
      <c r="MN1" s="66">
        <f t="shared" si="5"/>
        <v>74</v>
      </c>
      <c r="MO1" s="66">
        <f t="shared" si="5"/>
        <v>74</v>
      </c>
      <c r="MP1" s="66">
        <f t="shared" si="5"/>
        <v>74</v>
      </c>
      <c r="MQ1" s="66">
        <f t="shared" si="5"/>
        <v>74</v>
      </c>
      <c r="MR1" s="66">
        <f t="shared" si="5"/>
        <v>74</v>
      </c>
      <c r="MS1" s="66">
        <f t="shared" si="5"/>
        <v>74</v>
      </c>
      <c r="MT1" s="66">
        <f t="shared" si="5"/>
        <v>74</v>
      </c>
      <c r="MU1" s="66">
        <f t="shared" si="5"/>
        <v>74</v>
      </c>
      <c r="MV1" s="66">
        <f t="shared" si="5"/>
        <v>74</v>
      </c>
      <c r="MW1" s="66">
        <f t="shared" si="5"/>
        <v>74</v>
      </c>
      <c r="MX1" s="66">
        <f t="shared" si="5"/>
        <v>74</v>
      </c>
      <c r="MY1" s="66">
        <f t="shared" si="5"/>
        <v>75</v>
      </c>
    </row>
    <row r="2" spans="1:363" ht="16.2" thickBot="1" x14ac:dyDescent="0.35">
      <c r="A2" s="67" t="s">
        <v>2</v>
      </c>
      <c r="B2" s="353"/>
      <c r="C2" s="68">
        <f>45*12</f>
        <v>540</v>
      </c>
      <c r="D2" s="68">
        <f>IF((C2/12)&lt;71,C2+1,0)</f>
        <v>541</v>
      </c>
      <c r="E2" s="68">
        <f t="shared" ref="E2:BP2" si="6">IF((D2/12)&lt;71,D2+1,0)</f>
        <v>542</v>
      </c>
      <c r="F2" s="68">
        <f t="shared" si="6"/>
        <v>543</v>
      </c>
      <c r="G2" s="68">
        <f t="shared" si="6"/>
        <v>544</v>
      </c>
      <c r="H2" s="68">
        <f t="shared" si="6"/>
        <v>545</v>
      </c>
      <c r="I2" s="68">
        <f t="shared" si="6"/>
        <v>546</v>
      </c>
      <c r="J2" s="68">
        <f t="shared" si="6"/>
        <v>547</v>
      </c>
      <c r="K2" s="68">
        <f t="shared" si="6"/>
        <v>548</v>
      </c>
      <c r="L2" s="68">
        <f t="shared" si="6"/>
        <v>549</v>
      </c>
      <c r="M2" s="68">
        <f t="shared" si="6"/>
        <v>550</v>
      </c>
      <c r="N2" s="68">
        <f t="shared" si="6"/>
        <v>551</v>
      </c>
      <c r="O2" s="68">
        <f t="shared" si="6"/>
        <v>552</v>
      </c>
      <c r="P2" s="68">
        <f t="shared" si="6"/>
        <v>553</v>
      </c>
      <c r="Q2" s="68">
        <f t="shared" si="6"/>
        <v>554</v>
      </c>
      <c r="R2" s="68">
        <f t="shared" si="6"/>
        <v>555</v>
      </c>
      <c r="S2" s="68">
        <f t="shared" si="6"/>
        <v>556</v>
      </c>
      <c r="T2" s="68">
        <f t="shared" si="6"/>
        <v>557</v>
      </c>
      <c r="U2" s="68">
        <f t="shared" si="6"/>
        <v>558</v>
      </c>
      <c r="V2" s="68">
        <f t="shared" si="6"/>
        <v>559</v>
      </c>
      <c r="W2" s="68">
        <f t="shared" si="6"/>
        <v>560</v>
      </c>
      <c r="X2" s="68">
        <f t="shared" si="6"/>
        <v>561</v>
      </c>
      <c r="Y2" s="68">
        <f t="shared" si="6"/>
        <v>562</v>
      </c>
      <c r="Z2" s="68">
        <f t="shared" si="6"/>
        <v>563</v>
      </c>
      <c r="AA2" s="68">
        <f t="shared" si="6"/>
        <v>564</v>
      </c>
      <c r="AB2" s="68">
        <f t="shared" si="6"/>
        <v>565</v>
      </c>
      <c r="AC2" s="68">
        <f t="shared" si="6"/>
        <v>566</v>
      </c>
      <c r="AD2" s="68">
        <f t="shared" si="6"/>
        <v>567</v>
      </c>
      <c r="AE2" s="68">
        <f t="shared" si="6"/>
        <v>568</v>
      </c>
      <c r="AF2" s="68">
        <f t="shared" si="6"/>
        <v>569</v>
      </c>
      <c r="AG2" s="68">
        <f t="shared" si="6"/>
        <v>570</v>
      </c>
      <c r="AH2" s="68">
        <f t="shared" si="6"/>
        <v>571</v>
      </c>
      <c r="AI2" s="68">
        <f t="shared" si="6"/>
        <v>572</v>
      </c>
      <c r="AJ2" s="68">
        <f t="shared" si="6"/>
        <v>573</v>
      </c>
      <c r="AK2" s="68">
        <f t="shared" si="6"/>
        <v>574</v>
      </c>
      <c r="AL2" s="68">
        <f t="shared" si="6"/>
        <v>575</v>
      </c>
      <c r="AM2" s="68">
        <f t="shared" si="6"/>
        <v>576</v>
      </c>
      <c r="AN2" s="68">
        <f t="shared" si="6"/>
        <v>577</v>
      </c>
      <c r="AO2" s="68">
        <f t="shared" si="6"/>
        <v>578</v>
      </c>
      <c r="AP2" s="68">
        <f t="shared" si="6"/>
        <v>579</v>
      </c>
      <c r="AQ2" s="68">
        <f t="shared" si="6"/>
        <v>580</v>
      </c>
      <c r="AR2" s="68">
        <f t="shared" si="6"/>
        <v>581</v>
      </c>
      <c r="AS2" s="68">
        <f t="shared" si="6"/>
        <v>582</v>
      </c>
      <c r="AT2" s="68">
        <f t="shared" si="6"/>
        <v>583</v>
      </c>
      <c r="AU2" s="68">
        <f t="shared" si="6"/>
        <v>584</v>
      </c>
      <c r="AV2" s="68">
        <f t="shared" si="6"/>
        <v>585</v>
      </c>
      <c r="AW2" s="68">
        <f t="shared" si="6"/>
        <v>586</v>
      </c>
      <c r="AX2" s="68">
        <f t="shared" si="6"/>
        <v>587</v>
      </c>
      <c r="AY2" s="68">
        <f t="shared" si="6"/>
        <v>588</v>
      </c>
      <c r="AZ2" s="68">
        <f t="shared" si="6"/>
        <v>589</v>
      </c>
      <c r="BA2" s="68">
        <f t="shared" si="6"/>
        <v>590</v>
      </c>
      <c r="BB2" s="68">
        <f t="shared" si="6"/>
        <v>591</v>
      </c>
      <c r="BC2" s="68">
        <f t="shared" si="6"/>
        <v>592</v>
      </c>
      <c r="BD2" s="68">
        <f t="shared" si="6"/>
        <v>593</v>
      </c>
      <c r="BE2" s="68">
        <f t="shared" si="6"/>
        <v>594</v>
      </c>
      <c r="BF2" s="68">
        <f t="shared" si="6"/>
        <v>595</v>
      </c>
      <c r="BG2" s="68">
        <f t="shared" si="6"/>
        <v>596</v>
      </c>
      <c r="BH2" s="68">
        <f t="shared" si="6"/>
        <v>597</v>
      </c>
      <c r="BI2" s="68">
        <f t="shared" si="6"/>
        <v>598</v>
      </c>
      <c r="BJ2" s="68">
        <f t="shared" si="6"/>
        <v>599</v>
      </c>
      <c r="BK2" s="68">
        <f t="shared" si="6"/>
        <v>600</v>
      </c>
      <c r="BL2" s="68">
        <f t="shared" si="6"/>
        <v>601</v>
      </c>
      <c r="BM2" s="68">
        <f t="shared" si="6"/>
        <v>602</v>
      </c>
      <c r="BN2" s="68">
        <f t="shared" si="6"/>
        <v>603</v>
      </c>
      <c r="BO2" s="68">
        <f t="shared" si="6"/>
        <v>604</v>
      </c>
      <c r="BP2" s="68">
        <f t="shared" si="6"/>
        <v>605</v>
      </c>
      <c r="BQ2" s="68">
        <f t="shared" ref="BQ2:EB2" si="7">IF((BP2/12)&lt;71,BP2+1,0)</f>
        <v>606</v>
      </c>
      <c r="BR2" s="68">
        <f t="shared" si="7"/>
        <v>607</v>
      </c>
      <c r="BS2" s="68">
        <f t="shared" si="7"/>
        <v>608</v>
      </c>
      <c r="BT2" s="68">
        <f t="shared" si="7"/>
        <v>609</v>
      </c>
      <c r="BU2" s="68">
        <f t="shared" si="7"/>
        <v>610</v>
      </c>
      <c r="BV2" s="68">
        <f t="shared" si="7"/>
        <v>611</v>
      </c>
      <c r="BW2" s="68">
        <f t="shared" si="7"/>
        <v>612</v>
      </c>
      <c r="BX2" s="68">
        <f t="shared" si="7"/>
        <v>613</v>
      </c>
      <c r="BY2" s="68">
        <f t="shared" si="7"/>
        <v>614</v>
      </c>
      <c r="BZ2" s="68">
        <f t="shared" si="7"/>
        <v>615</v>
      </c>
      <c r="CA2" s="68">
        <f t="shared" si="7"/>
        <v>616</v>
      </c>
      <c r="CB2" s="68">
        <f t="shared" si="7"/>
        <v>617</v>
      </c>
      <c r="CC2" s="68">
        <f t="shared" si="7"/>
        <v>618</v>
      </c>
      <c r="CD2" s="68">
        <f t="shared" si="7"/>
        <v>619</v>
      </c>
      <c r="CE2" s="68">
        <f t="shared" si="7"/>
        <v>620</v>
      </c>
      <c r="CF2" s="68">
        <f t="shared" si="7"/>
        <v>621</v>
      </c>
      <c r="CG2" s="68">
        <f t="shared" si="7"/>
        <v>622</v>
      </c>
      <c r="CH2" s="68">
        <f t="shared" si="7"/>
        <v>623</v>
      </c>
      <c r="CI2" s="68">
        <f t="shared" si="7"/>
        <v>624</v>
      </c>
      <c r="CJ2" s="68">
        <f t="shared" si="7"/>
        <v>625</v>
      </c>
      <c r="CK2" s="68">
        <f t="shared" si="7"/>
        <v>626</v>
      </c>
      <c r="CL2" s="68">
        <f t="shared" si="7"/>
        <v>627</v>
      </c>
      <c r="CM2" s="68">
        <f t="shared" si="7"/>
        <v>628</v>
      </c>
      <c r="CN2" s="68">
        <f t="shared" si="7"/>
        <v>629</v>
      </c>
      <c r="CO2" s="68">
        <f t="shared" si="7"/>
        <v>630</v>
      </c>
      <c r="CP2" s="68">
        <f t="shared" si="7"/>
        <v>631</v>
      </c>
      <c r="CQ2" s="68">
        <f t="shared" si="7"/>
        <v>632</v>
      </c>
      <c r="CR2" s="68">
        <f t="shared" si="7"/>
        <v>633</v>
      </c>
      <c r="CS2" s="68">
        <f t="shared" si="7"/>
        <v>634</v>
      </c>
      <c r="CT2" s="68">
        <f t="shared" si="7"/>
        <v>635</v>
      </c>
      <c r="CU2" s="68">
        <f t="shared" si="7"/>
        <v>636</v>
      </c>
      <c r="CV2" s="68">
        <f t="shared" si="7"/>
        <v>637</v>
      </c>
      <c r="CW2" s="68">
        <f t="shared" si="7"/>
        <v>638</v>
      </c>
      <c r="CX2" s="68">
        <f t="shared" si="7"/>
        <v>639</v>
      </c>
      <c r="CY2" s="68">
        <f t="shared" si="7"/>
        <v>640</v>
      </c>
      <c r="CZ2" s="68">
        <f t="shared" si="7"/>
        <v>641</v>
      </c>
      <c r="DA2" s="68">
        <f t="shared" si="7"/>
        <v>642</v>
      </c>
      <c r="DB2" s="68">
        <f t="shared" si="7"/>
        <v>643</v>
      </c>
      <c r="DC2" s="68">
        <f t="shared" si="7"/>
        <v>644</v>
      </c>
      <c r="DD2" s="68">
        <f t="shared" si="7"/>
        <v>645</v>
      </c>
      <c r="DE2" s="68">
        <f t="shared" si="7"/>
        <v>646</v>
      </c>
      <c r="DF2" s="68">
        <f t="shared" si="7"/>
        <v>647</v>
      </c>
      <c r="DG2" s="68">
        <f t="shared" si="7"/>
        <v>648</v>
      </c>
      <c r="DH2" s="68">
        <f t="shared" si="7"/>
        <v>649</v>
      </c>
      <c r="DI2" s="68">
        <f t="shared" si="7"/>
        <v>650</v>
      </c>
      <c r="DJ2" s="68">
        <f t="shared" si="7"/>
        <v>651</v>
      </c>
      <c r="DK2" s="68">
        <f t="shared" si="7"/>
        <v>652</v>
      </c>
      <c r="DL2" s="68">
        <f t="shared" si="7"/>
        <v>653</v>
      </c>
      <c r="DM2" s="68">
        <f t="shared" si="7"/>
        <v>654</v>
      </c>
      <c r="DN2" s="68">
        <f t="shared" si="7"/>
        <v>655</v>
      </c>
      <c r="DO2" s="68">
        <f t="shared" si="7"/>
        <v>656</v>
      </c>
      <c r="DP2" s="68">
        <f t="shared" si="7"/>
        <v>657</v>
      </c>
      <c r="DQ2" s="68">
        <f t="shared" si="7"/>
        <v>658</v>
      </c>
      <c r="DR2" s="68">
        <f t="shared" si="7"/>
        <v>659</v>
      </c>
      <c r="DS2" s="68">
        <f t="shared" si="7"/>
        <v>660</v>
      </c>
      <c r="DT2" s="68">
        <f t="shared" si="7"/>
        <v>661</v>
      </c>
      <c r="DU2" s="68">
        <f t="shared" si="7"/>
        <v>662</v>
      </c>
      <c r="DV2" s="68">
        <f t="shared" si="7"/>
        <v>663</v>
      </c>
      <c r="DW2" s="68">
        <f t="shared" si="7"/>
        <v>664</v>
      </c>
      <c r="DX2" s="68">
        <f t="shared" si="7"/>
        <v>665</v>
      </c>
      <c r="DY2" s="68">
        <f t="shared" si="7"/>
        <v>666</v>
      </c>
      <c r="DZ2" s="68">
        <f t="shared" si="7"/>
        <v>667</v>
      </c>
      <c r="EA2" s="68">
        <f t="shared" si="7"/>
        <v>668</v>
      </c>
      <c r="EB2" s="68">
        <f t="shared" si="7"/>
        <v>669</v>
      </c>
      <c r="EC2" s="68">
        <f t="shared" ref="EC2:GN2" si="8">IF((EB2/12)&lt;71,EB2+1,0)</f>
        <v>670</v>
      </c>
      <c r="ED2" s="68">
        <f t="shared" si="8"/>
        <v>671</v>
      </c>
      <c r="EE2" s="68">
        <f t="shared" si="8"/>
        <v>672</v>
      </c>
      <c r="EF2" s="68">
        <f t="shared" si="8"/>
        <v>673</v>
      </c>
      <c r="EG2" s="68">
        <f t="shared" si="8"/>
        <v>674</v>
      </c>
      <c r="EH2" s="68">
        <f t="shared" si="8"/>
        <v>675</v>
      </c>
      <c r="EI2" s="68">
        <f t="shared" si="8"/>
        <v>676</v>
      </c>
      <c r="EJ2" s="68">
        <f t="shared" si="8"/>
        <v>677</v>
      </c>
      <c r="EK2" s="68">
        <f t="shared" si="8"/>
        <v>678</v>
      </c>
      <c r="EL2" s="68">
        <f t="shared" si="8"/>
        <v>679</v>
      </c>
      <c r="EM2" s="68">
        <f t="shared" si="8"/>
        <v>680</v>
      </c>
      <c r="EN2" s="68">
        <f t="shared" si="8"/>
        <v>681</v>
      </c>
      <c r="EO2" s="68">
        <f t="shared" si="8"/>
        <v>682</v>
      </c>
      <c r="EP2" s="68">
        <f t="shared" si="8"/>
        <v>683</v>
      </c>
      <c r="EQ2" s="68">
        <f t="shared" si="8"/>
        <v>684</v>
      </c>
      <c r="ER2" s="68">
        <f t="shared" si="8"/>
        <v>685</v>
      </c>
      <c r="ES2" s="68">
        <f t="shared" si="8"/>
        <v>686</v>
      </c>
      <c r="ET2" s="68">
        <f t="shared" si="8"/>
        <v>687</v>
      </c>
      <c r="EU2" s="68">
        <f t="shared" si="8"/>
        <v>688</v>
      </c>
      <c r="EV2" s="68">
        <f t="shared" si="8"/>
        <v>689</v>
      </c>
      <c r="EW2" s="68">
        <f t="shared" si="8"/>
        <v>690</v>
      </c>
      <c r="EX2" s="68">
        <f t="shared" si="8"/>
        <v>691</v>
      </c>
      <c r="EY2" s="68">
        <f t="shared" si="8"/>
        <v>692</v>
      </c>
      <c r="EZ2" s="68">
        <f t="shared" si="8"/>
        <v>693</v>
      </c>
      <c r="FA2" s="68">
        <f t="shared" si="8"/>
        <v>694</v>
      </c>
      <c r="FB2" s="68">
        <f t="shared" si="8"/>
        <v>695</v>
      </c>
      <c r="FC2" s="68">
        <f t="shared" si="8"/>
        <v>696</v>
      </c>
      <c r="FD2" s="68">
        <f t="shared" si="8"/>
        <v>697</v>
      </c>
      <c r="FE2" s="68">
        <f t="shared" si="8"/>
        <v>698</v>
      </c>
      <c r="FF2" s="68">
        <f t="shared" si="8"/>
        <v>699</v>
      </c>
      <c r="FG2" s="68">
        <f t="shared" si="8"/>
        <v>700</v>
      </c>
      <c r="FH2" s="68">
        <f t="shared" si="8"/>
        <v>701</v>
      </c>
      <c r="FI2" s="68">
        <f t="shared" si="8"/>
        <v>702</v>
      </c>
      <c r="FJ2" s="68">
        <f t="shared" si="8"/>
        <v>703</v>
      </c>
      <c r="FK2" s="68">
        <f t="shared" si="8"/>
        <v>704</v>
      </c>
      <c r="FL2" s="68">
        <f t="shared" si="8"/>
        <v>705</v>
      </c>
      <c r="FM2" s="68">
        <f t="shared" si="8"/>
        <v>706</v>
      </c>
      <c r="FN2" s="68">
        <f t="shared" si="8"/>
        <v>707</v>
      </c>
      <c r="FO2" s="68">
        <f t="shared" si="8"/>
        <v>708</v>
      </c>
      <c r="FP2" s="68">
        <f t="shared" si="8"/>
        <v>709</v>
      </c>
      <c r="FQ2" s="68">
        <f t="shared" si="8"/>
        <v>710</v>
      </c>
      <c r="FR2" s="68">
        <f t="shared" si="8"/>
        <v>711</v>
      </c>
      <c r="FS2" s="68">
        <f t="shared" si="8"/>
        <v>712</v>
      </c>
      <c r="FT2" s="68">
        <f t="shared" si="8"/>
        <v>713</v>
      </c>
      <c r="FU2" s="68">
        <f t="shared" si="8"/>
        <v>714</v>
      </c>
      <c r="FV2" s="68">
        <f t="shared" si="8"/>
        <v>715</v>
      </c>
      <c r="FW2" s="68">
        <f t="shared" si="8"/>
        <v>716</v>
      </c>
      <c r="FX2" s="68">
        <f t="shared" si="8"/>
        <v>717</v>
      </c>
      <c r="FY2" s="68">
        <f t="shared" si="8"/>
        <v>718</v>
      </c>
      <c r="FZ2" s="68">
        <f t="shared" si="8"/>
        <v>719</v>
      </c>
      <c r="GA2" s="68">
        <f t="shared" si="8"/>
        <v>720</v>
      </c>
      <c r="GB2" s="68">
        <f t="shared" si="8"/>
        <v>721</v>
      </c>
      <c r="GC2" s="68">
        <f t="shared" si="8"/>
        <v>722</v>
      </c>
      <c r="GD2" s="68">
        <f t="shared" si="8"/>
        <v>723</v>
      </c>
      <c r="GE2" s="68">
        <f t="shared" si="8"/>
        <v>724</v>
      </c>
      <c r="GF2" s="68">
        <f t="shared" si="8"/>
        <v>725</v>
      </c>
      <c r="GG2" s="68">
        <f t="shared" si="8"/>
        <v>726</v>
      </c>
      <c r="GH2" s="68">
        <f t="shared" si="8"/>
        <v>727</v>
      </c>
      <c r="GI2" s="68">
        <f t="shared" si="8"/>
        <v>728</v>
      </c>
      <c r="GJ2" s="68">
        <f t="shared" si="8"/>
        <v>729</v>
      </c>
      <c r="GK2" s="68">
        <f t="shared" si="8"/>
        <v>730</v>
      </c>
      <c r="GL2" s="68">
        <f t="shared" si="8"/>
        <v>731</v>
      </c>
      <c r="GM2" s="68">
        <f t="shared" si="8"/>
        <v>732</v>
      </c>
      <c r="GN2" s="68">
        <f t="shared" si="8"/>
        <v>733</v>
      </c>
      <c r="GO2" s="68">
        <f t="shared" ref="GO2:IZ2" si="9">IF((GN2/12)&lt;71,GN2+1,0)</f>
        <v>734</v>
      </c>
      <c r="GP2" s="68">
        <f t="shared" si="9"/>
        <v>735</v>
      </c>
      <c r="GQ2" s="68">
        <f t="shared" si="9"/>
        <v>736</v>
      </c>
      <c r="GR2" s="68">
        <f t="shared" si="9"/>
        <v>737</v>
      </c>
      <c r="GS2" s="68">
        <f t="shared" si="9"/>
        <v>738</v>
      </c>
      <c r="GT2" s="68">
        <f t="shared" si="9"/>
        <v>739</v>
      </c>
      <c r="GU2" s="68">
        <f t="shared" si="9"/>
        <v>740</v>
      </c>
      <c r="GV2" s="68">
        <f t="shared" si="9"/>
        <v>741</v>
      </c>
      <c r="GW2" s="68">
        <f t="shared" si="9"/>
        <v>742</v>
      </c>
      <c r="GX2" s="68">
        <f t="shared" si="9"/>
        <v>743</v>
      </c>
      <c r="GY2" s="68">
        <f t="shared" si="9"/>
        <v>744</v>
      </c>
      <c r="GZ2" s="68">
        <f t="shared" si="9"/>
        <v>745</v>
      </c>
      <c r="HA2" s="68">
        <f t="shared" si="9"/>
        <v>746</v>
      </c>
      <c r="HB2" s="68">
        <f t="shared" si="9"/>
        <v>747</v>
      </c>
      <c r="HC2" s="68">
        <f t="shared" si="9"/>
        <v>748</v>
      </c>
      <c r="HD2" s="68">
        <f t="shared" si="9"/>
        <v>749</v>
      </c>
      <c r="HE2" s="68">
        <f t="shared" si="9"/>
        <v>750</v>
      </c>
      <c r="HF2" s="68">
        <f t="shared" si="9"/>
        <v>751</v>
      </c>
      <c r="HG2" s="68">
        <f t="shared" si="9"/>
        <v>752</v>
      </c>
      <c r="HH2" s="68">
        <f t="shared" si="9"/>
        <v>753</v>
      </c>
      <c r="HI2" s="68">
        <f t="shared" si="9"/>
        <v>754</v>
      </c>
      <c r="HJ2" s="68">
        <f t="shared" si="9"/>
        <v>755</v>
      </c>
      <c r="HK2" s="68">
        <f t="shared" si="9"/>
        <v>756</v>
      </c>
      <c r="HL2" s="68">
        <f t="shared" si="9"/>
        <v>757</v>
      </c>
      <c r="HM2" s="68">
        <f t="shared" si="9"/>
        <v>758</v>
      </c>
      <c r="HN2" s="68">
        <f t="shared" si="9"/>
        <v>759</v>
      </c>
      <c r="HO2" s="68">
        <f t="shared" si="9"/>
        <v>760</v>
      </c>
      <c r="HP2" s="68">
        <f t="shared" si="9"/>
        <v>761</v>
      </c>
      <c r="HQ2" s="68">
        <f t="shared" si="9"/>
        <v>762</v>
      </c>
      <c r="HR2" s="68">
        <f t="shared" si="9"/>
        <v>763</v>
      </c>
      <c r="HS2" s="68">
        <f t="shared" si="9"/>
        <v>764</v>
      </c>
      <c r="HT2" s="68">
        <f t="shared" si="9"/>
        <v>765</v>
      </c>
      <c r="HU2" s="68">
        <f t="shared" si="9"/>
        <v>766</v>
      </c>
      <c r="HV2" s="68">
        <f t="shared" si="9"/>
        <v>767</v>
      </c>
      <c r="HW2" s="68">
        <f t="shared" si="9"/>
        <v>768</v>
      </c>
      <c r="HX2" s="68">
        <f t="shared" si="9"/>
        <v>769</v>
      </c>
      <c r="HY2" s="68">
        <f t="shared" si="9"/>
        <v>770</v>
      </c>
      <c r="HZ2" s="68">
        <f t="shared" si="9"/>
        <v>771</v>
      </c>
      <c r="IA2" s="68">
        <f t="shared" si="9"/>
        <v>772</v>
      </c>
      <c r="IB2" s="68">
        <f t="shared" si="9"/>
        <v>773</v>
      </c>
      <c r="IC2" s="68">
        <f t="shared" si="9"/>
        <v>774</v>
      </c>
      <c r="ID2" s="68">
        <f t="shared" si="9"/>
        <v>775</v>
      </c>
      <c r="IE2" s="68">
        <f t="shared" si="9"/>
        <v>776</v>
      </c>
      <c r="IF2" s="68">
        <f t="shared" si="9"/>
        <v>777</v>
      </c>
      <c r="IG2" s="68">
        <f t="shared" si="9"/>
        <v>778</v>
      </c>
      <c r="IH2" s="68">
        <f t="shared" si="9"/>
        <v>779</v>
      </c>
      <c r="II2" s="68">
        <f t="shared" si="9"/>
        <v>780</v>
      </c>
      <c r="IJ2" s="68">
        <f t="shared" si="9"/>
        <v>781</v>
      </c>
      <c r="IK2" s="68">
        <f t="shared" si="9"/>
        <v>782</v>
      </c>
      <c r="IL2" s="68">
        <f t="shared" si="9"/>
        <v>783</v>
      </c>
      <c r="IM2" s="68">
        <f t="shared" si="9"/>
        <v>784</v>
      </c>
      <c r="IN2" s="68">
        <f t="shared" si="9"/>
        <v>785</v>
      </c>
      <c r="IO2" s="68">
        <f t="shared" si="9"/>
        <v>786</v>
      </c>
      <c r="IP2" s="68">
        <f t="shared" si="9"/>
        <v>787</v>
      </c>
      <c r="IQ2" s="68">
        <f t="shared" si="9"/>
        <v>788</v>
      </c>
      <c r="IR2" s="68">
        <f t="shared" si="9"/>
        <v>789</v>
      </c>
      <c r="IS2" s="68">
        <f t="shared" si="9"/>
        <v>790</v>
      </c>
      <c r="IT2" s="68">
        <f t="shared" si="9"/>
        <v>791</v>
      </c>
      <c r="IU2" s="68">
        <f t="shared" si="9"/>
        <v>792</v>
      </c>
      <c r="IV2" s="68">
        <f t="shared" si="9"/>
        <v>793</v>
      </c>
      <c r="IW2" s="68">
        <f t="shared" si="9"/>
        <v>794</v>
      </c>
      <c r="IX2" s="68">
        <f t="shared" si="9"/>
        <v>795</v>
      </c>
      <c r="IY2" s="68">
        <f t="shared" si="9"/>
        <v>796</v>
      </c>
      <c r="IZ2" s="68">
        <f t="shared" si="9"/>
        <v>797</v>
      </c>
      <c r="JA2" s="68">
        <f t="shared" ref="JA2:LC2" si="10">IF((IZ2/12)&lt;71,IZ2+1,0)</f>
        <v>798</v>
      </c>
      <c r="JB2" s="68">
        <f t="shared" si="10"/>
        <v>799</v>
      </c>
      <c r="JC2" s="68">
        <f t="shared" si="10"/>
        <v>800</v>
      </c>
      <c r="JD2" s="68">
        <f t="shared" si="10"/>
        <v>801</v>
      </c>
      <c r="JE2" s="68">
        <f t="shared" si="10"/>
        <v>802</v>
      </c>
      <c r="JF2" s="68">
        <f t="shared" si="10"/>
        <v>803</v>
      </c>
      <c r="JG2" s="68">
        <f t="shared" si="10"/>
        <v>804</v>
      </c>
      <c r="JH2" s="68">
        <f t="shared" si="10"/>
        <v>805</v>
      </c>
      <c r="JI2" s="68">
        <f t="shared" si="10"/>
        <v>806</v>
      </c>
      <c r="JJ2" s="68">
        <f t="shared" si="10"/>
        <v>807</v>
      </c>
      <c r="JK2" s="68">
        <f t="shared" si="10"/>
        <v>808</v>
      </c>
      <c r="JL2" s="68">
        <f t="shared" si="10"/>
        <v>809</v>
      </c>
      <c r="JM2" s="68">
        <f t="shared" si="10"/>
        <v>810</v>
      </c>
      <c r="JN2" s="68">
        <f t="shared" si="10"/>
        <v>811</v>
      </c>
      <c r="JO2" s="68">
        <f t="shared" si="10"/>
        <v>812</v>
      </c>
      <c r="JP2" s="68">
        <f t="shared" si="10"/>
        <v>813</v>
      </c>
      <c r="JQ2" s="68">
        <f t="shared" si="10"/>
        <v>814</v>
      </c>
      <c r="JR2" s="68">
        <f t="shared" si="10"/>
        <v>815</v>
      </c>
      <c r="JS2" s="68">
        <f t="shared" si="10"/>
        <v>816</v>
      </c>
      <c r="JT2" s="68">
        <f t="shared" si="10"/>
        <v>817</v>
      </c>
      <c r="JU2" s="68">
        <f t="shared" si="10"/>
        <v>818</v>
      </c>
      <c r="JV2" s="68">
        <f t="shared" si="10"/>
        <v>819</v>
      </c>
      <c r="JW2" s="68">
        <f t="shared" si="10"/>
        <v>820</v>
      </c>
      <c r="JX2" s="68">
        <f t="shared" si="10"/>
        <v>821</v>
      </c>
      <c r="JY2" s="68">
        <f t="shared" si="10"/>
        <v>822</v>
      </c>
      <c r="JZ2" s="68">
        <f t="shared" si="10"/>
        <v>823</v>
      </c>
      <c r="KA2" s="68">
        <f t="shared" si="10"/>
        <v>824</v>
      </c>
      <c r="KB2" s="68">
        <f t="shared" si="10"/>
        <v>825</v>
      </c>
      <c r="KC2" s="68">
        <f t="shared" si="10"/>
        <v>826</v>
      </c>
      <c r="KD2" s="68">
        <f t="shared" si="10"/>
        <v>827</v>
      </c>
      <c r="KE2" s="68">
        <f t="shared" si="10"/>
        <v>828</v>
      </c>
      <c r="KF2" s="68">
        <f t="shared" si="10"/>
        <v>829</v>
      </c>
      <c r="KG2" s="68">
        <f t="shared" si="10"/>
        <v>830</v>
      </c>
      <c r="KH2" s="68">
        <f t="shared" si="10"/>
        <v>831</v>
      </c>
      <c r="KI2" s="68">
        <f t="shared" si="10"/>
        <v>832</v>
      </c>
      <c r="KJ2" s="68">
        <f t="shared" si="10"/>
        <v>833</v>
      </c>
      <c r="KK2" s="68">
        <f t="shared" si="10"/>
        <v>834</v>
      </c>
      <c r="KL2" s="68">
        <f t="shared" si="10"/>
        <v>835</v>
      </c>
      <c r="KM2" s="68">
        <f t="shared" si="10"/>
        <v>836</v>
      </c>
      <c r="KN2" s="68">
        <f t="shared" si="10"/>
        <v>837</v>
      </c>
      <c r="KO2" s="68">
        <f t="shared" si="10"/>
        <v>838</v>
      </c>
      <c r="KP2" s="68">
        <f t="shared" si="10"/>
        <v>839</v>
      </c>
      <c r="KQ2" s="68">
        <f t="shared" si="10"/>
        <v>840</v>
      </c>
      <c r="KR2" s="68">
        <f t="shared" si="10"/>
        <v>841</v>
      </c>
      <c r="KS2" s="68">
        <f t="shared" si="10"/>
        <v>842</v>
      </c>
      <c r="KT2" s="68">
        <f t="shared" si="10"/>
        <v>843</v>
      </c>
      <c r="KU2" s="68">
        <f t="shared" si="10"/>
        <v>844</v>
      </c>
      <c r="KV2" s="68">
        <f t="shared" si="10"/>
        <v>845</v>
      </c>
      <c r="KW2" s="68">
        <f t="shared" si="10"/>
        <v>846</v>
      </c>
      <c r="KX2" s="68">
        <f t="shared" si="10"/>
        <v>847</v>
      </c>
      <c r="KY2" s="68">
        <f t="shared" si="10"/>
        <v>848</v>
      </c>
      <c r="KZ2" s="68">
        <f t="shared" si="10"/>
        <v>849</v>
      </c>
      <c r="LA2" s="68">
        <f t="shared" si="10"/>
        <v>850</v>
      </c>
      <c r="LB2" s="68">
        <f t="shared" si="10"/>
        <v>851</v>
      </c>
      <c r="LC2" s="68">
        <f t="shared" si="10"/>
        <v>852</v>
      </c>
      <c r="LD2" s="73">
        <f>IF((LC2/12)&lt;=75,LC2+1,0)</f>
        <v>853</v>
      </c>
      <c r="LE2" s="73">
        <f t="shared" ref="LE2:MY2" si="11">IF((LD2/12)&lt;=75,LD2+1,0)</f>
        <v>854</v>
      </c>
      <c r="LF2" s="73">
        <f t="shared" si="11"/>
        <v>855</v>
      </c>
      <c r="LG2" s="73">
        <f t="shared" si="11"/>
        <v>856</v>
      </c>
      <c r="LH2" s="73">
        <f t="shared" si="11"/>
        <v>857</v>
      </c>
      <c r="LI2" s="73">
        <f t="shared" si="11"/>
        <v>858</v>
      </c>
      <c r="LJ2" s="73">
        <f t="shared" si="11"/>
        <v>859</v>
      </c>
      <c r="LK2" s="73">
        <f t="shared" si="11"/>
        <v>860</v>
      </c>
      <c r="LL2" s="73">
        <f t="shared" si="11"/>
        <v>861</v>
      </c>
      <c r="LM2" s="73">
        <f t="shared" si="11"/>
        <v>862</v>
      </c>
      <c r="LN2" s="73">
        <f t="shared" si="11"/>
        <v>863</v>
      </c>
      <c r="LO2" s="73">
        <f t="shared" si="11"/>
        <v>864</v>
      </c>
      <c r="LP2" s="73">
        <f t="shared" si="11"/>
        <v>865</v>
      </c>
      <c r="LQ2" s="73">
        <f t="shared" si="11"/>
        <v>866</v>
      </c>
      <c r="LR2" s="73">
        <f t="shared" si="11"/>
        <v>867</v>
      </c>
      <c r="LS2" s="73">
        <f t="shared" si="11"/>
        <v>868</v>
      </c>
      <c r="LT2" s="73">
        <f t="shared" si="11"/>
        <v>869</v>
      </c>
      <c r="LU2" s="73">
        <f t="shared" si="11"/>
        <v>870</v>
      </c>
      <c r="LV2" s="73">
        <f t="shared" si="11"/>
        <v>871</v>
      </c>
      <c r="LW2" s="73">
        <f t="shared" si="11"/>
        <v>872</v>
      </c>
      <c r="LX2" s="73">
        <f t="shared" si="11"/>
        <v>873</v>
      </c>
      <c r="LY2" s="73">
        <f t="shared" si="11"/>
        <v>874</v>
      </c>
      <c r="LZ2" s="73">
        <f t="shared" si="11"/>
        <v>875</v>
      </c>
      <c r="MA2" s="73">
        <f t="shared" si="11"/>
        <v>876</v>
      </c>
      <c r="MB2" s="73">
        <f t="shared" si="11"/>
        <v>877</v>
      </c>
      <c r="MC2" s="73">
        <f t="shared" si="11"/>
        <v>878</v>
      </c>
      <c r="MD2" s="73">
        <f t="shared" si="11"/>
        <v>879</v>
      </c>
      <c r="ME2" s="73">
        <f t="shared" si="11"/>
        <v>880</v>
      </c>
      <c r="MF2" s="73">
        <f t="shared" si="11"/>
        <v>881</v>
      </c>
      <c r="MG2" s="73">
        <f t="shared" si="11"/>
        <v>882</v>
      </c>
      <c r="MH2" s="73">
        <f t="shared" si="11"/>
        <v>883</v>
      </c>
      <c r="MI2" s="73">
        <f t="shared" si="11"/>
        <v>884</v>
      </c>
      <c r="MJ2" s="73">
        <f t="shared" si="11"/>
        <v>885</v>
      </c>
      <c r="MK2" s="73">
        <f t="shared" si="11"/>
        <v>886</v>
      </c>
      <c r="ML2" s="73">
        <f t="shared" si="11"/>
        <v>887</v>
      </c>
      <c r="MM2" s="73">
        <f t="shared" si="11"/>
        <v>888</v>
      </c>
      <c r="MN2" s="73">
        <f t="shared" si="11"/>
        <v>889</v>
      </c>
      <c r="MO2" s="73">
        <f t="shared" si="11"/>
        <v>890</v>
      </c>
      <c r="MP2" s="73">
        <f t="shared" si="11"/>
        <v>891</v>
      </c>
      <c r="MQ2" s="73">
        <f t="shared" si="11"/>
        <v>892</v>
      </c>
      <c r="MR2" s="73">
        <f t="shared" si="11"/>
        <v>893</v>
      </c>
      <c r="MS2" s="73">
        <f t="shared" si="11"/>
        <v>894</v>
      </c>
      <c r="MT2" s="73">
        <f t="shared" si="11"/>
        <v>895</v>
      </c>
      <c r="MU2" s="73">
        <f t="shared" si="11"/>
        <v>896</v>
      </c>
      <c r="MV2" s="73">
        <f t="shared" si="11"/>
        <v>897</v>
      </c>
      <c r="MW2" s="73">
        <f t="shared" si="11"/>
        <v>898</v>
      </c>
      <c r="MX2" s="73">
        <f t="shared" si="11"/>
        <v>899</v>
      </c>
      <c r="MY2" s="73">
        <f t="shared" si="11"/>
        <v>900</v>
      </c>
    </row>
    <row r="3" spans="1:363" ht="15.6" x14ac:dyDescent="0.3">
      <c r="A3" s="67" t="s">
        <v>6</v>
      </c>
      <c r="B3" s="69">
        <v>2013</v>
      </c>
      <c r="C3" s="70">
        <v>470.83</v>
      </c>
      <c r="D3" s="70">
        <v>469.79</v>
      </c>
      <c r="E3" s="70">
        <v>468.75</v>
      </c>
      <c r="F3" s="70">
        <v>467.71</v>
      </c>
      <c r="G3" s="70">
        <v>466.67</v>
      </c>
      <c r="H3" s="70">
        <v>465.63</v>
      </c>
      <c r="I3" s="70">
        <v>464.59</v>
      </c>
      <c r="J3" s="70">
        <v>463.55</v>
      </c>
      <c r="K3" s="70">
        <v>462.51</v>
      </c>
      <c r="L3" s="70">
        <v>461.47</v>
      </c>
      <c r="M3" s="70">
        <v>460.43</v>
      </c>
      <c r="N3" s="70">
        <v>459.39</v>
      </c>
      <c r="O3" s="70">
        <v>458.35</v>
      </c>
      <c r="P3" s="70">
        <v>457.32</v>
      </c>
      <c r="Q3" s="70">
        <v>456.28</v>
      </c>
      <c r="R3" s="70">
        <v>455.24</v>
      </c>
      <c r="S3" s="70">
        <v>454.2</v>
      </c>
      <c r="T3" s="70">
        <v>453.16</v>
      </c>
      <c r="U3" s="70">
        <v>452.12</v>
      </c>
      <c r="V3" s="70">
        <v>451.08</v>
      </c>
      <c r="W3" s="70">
        <v>450.05</v>
      </c>
      <c r="X3" s="70">
        <v>449.01</v>
      </c>
      <c r="Y3" s="70">
        <v>447.97</v>
      </c>
      <c r="Z3" s="70">
        <v>446.93</v>
      </c>
      <c r="AA3" s="70">
        <v>445.89</v>
      </c>
      <c r="AB3" s="70">
        <v>444.86</v>
      </c>
      <c r="AC3" s="70">
        <v>443.82</v>
      </c>
      <c r="AD3" s="70">
        <v>442.78</v>
      </c>
      <c r="AE3" s="70">
        <v>441.75</v>
      </c>
      <c r="AF3" s="70">
        <v>440.71</v>
      </c>
      <c r="AG3" s="70">
        <v>439.67</v>
      </c>
      <c r="AH3" s="70">
        <v>438.63</v>
      </c>
      <c r="AI3" s="70">
        <v>437.6</v>
      </c>
      <c r="AJ3" s="70">
        <v>436.56</v>
      </c>
      <c r="AK3" s="70">
        <v>435.52</v>
      </c>
      <c r="AL3" s="70">
        <v>434.49</v>
      </c>
      <c r="AM3" s="70">
        <v>433.45</v>
      </c>
      <c r="AN3" s="70">
        <v>432.42</v>
      </c>
      <c r="AO3" s="70">
        <v>431.38</v>
      </c>
      <c r="AP3" s="70">
        <v>430.34</v>
      </c>
      <c r="AQ3" s="70">
        <v>429.31</v>
      </c>
      <c r="AR3" s="70">
        <v>428.27</v>
      </c>
      <c r="AS3" s="70">
        <v>427.24</v>
      </c>
      <c r="AT3" s="70">
        <v>426.2</v>
      </c>
      <c r="AU3" s="70">
        <v>425.17</v>
      </c>
      <c r="AV3" s="70">
        <v>424.13</v>
      </c>
      <c r="AW3" s="70">
        <v>423.1</v>
      </c>
      <c r="AX3" s="70">
        <v>422.06</v>
      </c>
      <c r="AY3" s="70">
        <v>421.03</v>
      </c>
      <c r="AZ3" s="70">
        <v>419.99</v>
      </c>
      <c r="BA3" s="70">
        <v>418.96</v>
      </c>
      <c r="BB3" s="70">
        <v>417.93</v>
      </c>
      <c r="BC3" s="70">
        <v>416.89</v>
      </c>
      <c r="BD3" s="70">
        <v>415.86</v>
      </c>
      <c r="BE3" s="70">
        <v>414.83</v>
      </c>
      <c r="BF3" s="70">
        <v>413.79</v>
      </c>
      <c r="BG3" s="70">
        <v>412.76</v>
      </c>
      <c r="BH3" s="70">
        <v>411.73</v>
      </c>
      <c r="BI3" s="70">
        <v>410.69</v>
      </c>
      <c r="BJ3" s="70">
        <v>409.66</v>
      </c>
      <c r="BK3" s="70">
        <v>408.63</v>
      </c>
      <c r="BL3" s="70">
        <v>407.59</v>
      </c>
      <c r="BM3" s="70">
        <v>406.56</v>
      </c>
      <c r="BN3" s="70">
        <v>405.53</v>
      </c>
      <c r="BO3" s="70">
        <v>404.5</v>
      </c>
      <c r="BP3" s="70">
        <v>403.46</v>
      </c>
      <c r="BQ3" s="70">
        <v>402.43</v>
      </c>
      <c r="BR3" s="70">
        <v>401.4</v>
      </c>
      <c r="BS3" s="70">
        <v>400.37</v>
      </c>
      <c r="BT3" s="70">
        <v>399.34</v>
      </c>
      <c r="BU3" s="70">
        <v>398.31</v>
      </c>
      <c r="BV3" s="70">
        <v>397.28</v>
      </c>
      <c r="BW3" s="70">
        <v>396.25</v>
      </c>
      <c r="BX3" s="70">
        <v>395.22</v>
      </c>
      <c r="BY3" s="70">
        <v>394.19</v>
      </c>
      <c r="BZ3" s="70">
        <v>393.16</v>
      </c>
      <c r="CA3" s="70">
        <v>392.14</v>
      </c>
      <c r="CB3" s="70">
        <v>391.11</v>
      </c>
      <c r="CC3" s="70">
        <v>390.09</v>
      </c>
      <c r="CD3" s="70">
        <v>389.06</v>
      </c>
      <c r="CE3" s="70">
        <v>388.03</v>
      </c>
      <c r="CF3" s="70">
        <v>387.01</v>
      </c>
      <c r="CG3" s="70">
        <v>385.98</v>
      </c>
      <c r="CH3" s="70">
        <v>384.96</v>
      </c>
      <c r="CI3" s="70">
        <v>383.94</v>
      </c>
      <c r="CJ3" s="70">
        <v>382.91</v>
      </c>
      <c r="CK3" s="70">
        <v>381.89</v>
      </c>
      <c r="CL3" s="70">
        <v>380.87</v>
      </c>
      <c r="CM3" s="70">
        <v>379.84</v>
      </c>
      <c r="CN3" s="70">
        <v>378.82</v>
      </c>
      <c r="CO3" s="70">
        <v>377.8</v>
      </c>
      <c r="CP3" s="70">
        <v>376.77</v>
      </c>
      <c r="CQ3" s="70">
        <v>375.75</v>
      </c>
      <c r="CR3" s="70">
        <v>374.73</v>
      </c>
      <c r="CS3" s="70">
        <v>373.71</v>
      </c>
      <c r="CT3" s="70">
        <v>372.68</v>
      </c>
      <c r="CU3" s="70">
        <v>371.66</v>
      </c>
      <c r="CV3" s="70">
        <v>370.64</v>
      </c>
      <c r="CW3" s="70">
        <v>369.62</v>
      </c>
      <c r="CX3" s="70">
        <v>368.61</v>
      </c>
      <c r="CY3" s="70">
        <v>367.59</v>
      </c>
      <c r="CZ3" s="70">
        <v>366.57</v>
      </c>
      <c r="DA3" s="70">
        <v>365.55</v>
      </c>
      <c r="DB3" s="70">
        <v>364.53</v>
      </c>
      <c r="DC3" s="70">
        <v>363.51</v>
      </c>
      <c r="DD3" s="70">
        <v>362.5</v>
      </c>
      <c r="DE3" s="70">
        <v>361.48</v>
      </c>
      <c r="DF3" s="70">
        <v>360.46</v>
      </c>
      <c r="DG3" s="70">
        <v>359.44</v>
      </c>
      <c r="DH3" s="70">
        <v>358.43</v>
      </c>
      <c r="DI3" s="70">
        <v>357.41</v>
      </c>
      <c r="DJ3" s="70">
        <v>356.4</v>
      </c>
      <c r="DK3" s="70">
        <v>355.39</v>
      </c>
      <c r="DL3" s="70">
        <v>354.37</v>
      </c>
      <c r="DM3" s="70">
        <v>353.36</v>
      </c>
      <c r="DN3" s="70">
        <v>352.34</v>
      </c>
      <c r="DO3" s="70">
        <v>351.33</v>
      </c>
      <c r="DP3" s="70">
        <v>350.32</v>
      </c>
      <c r="DQ3" s="70">
        <v>349.31</v>
      </c>
      <c r="DR3" s="70">
        <v>348.29</v>
      </c>
      <c r="DS3" s="70">
        <v>347.28</v>
      </c>
      <c r="DT3" s="70">
        <v>346.27</v>
      </c>
      <c r="DU3" s="70">
        <v>345.27</v>
      </c>
      <c r="DV3" s="70">
        <v>344.26</v>
      </c>
      <c r="DW3" s="70">
        <v>343.25</v>
      </c>
      <c r="DX3" s="70">
        <v>342.25</v>
      </c>
      <c r="DY3" s="70">
        <v>341.24</v>
      </c>
      <c r="DZ3" s="70">
        <v>340.24</v>
      </c>
      <c r="EA3" s="70">
        <v>339.23</v>
      </c>
      <c r="EB3" s="70">
        <v>338.23</v>
      </c>
      <c r="EC3" s="70">
        <v>337.23</v>
      </c>
      <c r="ED3" s="70">
        <v>336.23</v>
      </c>
      <c r="EE3" s="70">
        <v>335.23</v>
      </c>
      <c r="EF3" s="70">
        <v>334.23</v>
      </c>
      <c r="EG3" s="70">
        <v>333.23</v>
      </c>
      <c r="EH3" s="70">
        <v>332.24</v>
      </c>
      <c r="EI3" s="70">
        <v>331.24</v>
      </c>
      <c r="EJ3" s="70">
        <v>330.25</v>
      </c>
      <c r="EK3" s="70">
        <v>329.26</v>
      </c>
      <c r="EL3" s="70">
        <v>328.26</v>
      </c>
      <c r="EM3" s="70">
        <v>327.26</v>
      </c>
      <c r="EN3" s="70">
        <v>326.27999999999997</v>
      </c>
      <c r="EO3" s="70">
        <v>325.29000000000002</v>
      </c>
      <c r="EP3" s="70">
        <v>324.29000000000002</v>
      </c>
      <c r="EQ3" s="70">
        <v>323.31</v>
      </c>
      <c r="ER3" s="70">
        <v>322.32</v>
      </c>
      <c r="ES3" s="70">
        <v>321.33999999999997</v>
      </c>
      <c r="ET3" s="70">
        <v>320.35000000000002</v>
      </c>
      <c r="EU3" s="70">
        <v>319.37</v>
      </c>
      <c r="EV3" s="70">
        <v>318.38</v>
      </c>
      <c r="EW3" s="70">
        <v>317.39999999999998</v>
      </c>
      <c r="EX3" s="70">
        <v>316.41000000000003</v>
      </c>
      <c r="EY3" s="70">
        <v>315.43</v>
      </c>
      <c r="EZ3" s="70">
        <v>314.45</v>
      </c>
      <c r="FA3" s="70">
        <v>313.47000000000003</v>
      </c>
      <c r="FB3" s="70">
        <v>312.48</v>
      </c>
      <c r="FC3" s="70">
        <v>311.5</v>
      </c>
      <c r="FD3" s="70">
        <v>310.52999999999997</v>
      </c>
      <c r="FE3" s="70">
        <v>309.54000000000002</v>
      </c>
      <c r="FF3" s="70">
        <v>308.57</v>
      </c>
      <c r="FG3" s="70">
        <v>307.60000000000002</v>
      </c>
      <c r="FH3" s="70">
        <v>306.63</v>
      </c>
      <c r="FI3" s="70">
        <v>305.64999999999998</v>
      </c>
      <c r="FJ3" s="70">
        <v>304.68</v>
      </c>
      <c r="FK3" s="70">
        <v>303.70999999999998</v>
      </c>
      <c r="FL3" s="70">
        <v>302.74</v>
      </c>
      <c r="FM3" s="70">
        <v>301.76</v>
      </c>
      <c r="FN3" s="70">
        <v>300.79000000000002</v>
      </c>
      <c r="FO3" s="70">
        <v>299.82</v>
      </c>
      <c r="FP3" s="70">
        <v>298.85000000000002</v>
      </c>
      <c r="FQ3" s="70">
        <v>297.89</v>
      </c>
      <c r="FR3" s="70">
        <v>296.93</v>
      </c>
      <c r="FS3" s="70">
        <v>295.95999999999998</v>
      </c>
      <c r="FT3" s="70">
        <v>295</v>
      </c>
      <c r="FU3" s="70">
        <v>294.04000000000002</v>
      </c>
      <c r="FV3" s="70">
        <v>293.07</v>
      </c>
      <c r="FW3" s="70">
        <v>292.10000000000002</v>
      </c>
      <c r="FX3" s="70">
        <v>291.14999999999998</v>
      </c>
      <c r="FY3" s="70">
        <v>290.19</v>
      </c>
      <c r="FZ3" s="70">
        <v>289.23</v>
      </c>
      <c r="GA3" s="70">
        <v>288.26</v>
      </c>
      <c r="GB3" s="70">
        <v>287.32</v>
      </c>
      <c r="GC3" s="70">
        <v>286.35000000000002</v>
      </c>
      <c r="GD3" s="70">
        <v>285.41000000000003</v>
      </c>
      <c r="GE3" s="70">
        <v>284.45999999999998</v>
      </c>
      <c r="GF3" s="70">
        <v>283.5</v>
      </c>
      <c r="GG3" s="70">
        <v>282.54000000000002</v>
      </c>
      <c r="GH3" s="70">
        <v>281.60000000000002</v>
      </c>
      <c r="GI3" s="70">
        <v>280.64999999999998</v>
      </c>
      <c r="GJ3" s="70">
        <v>279.7</v>
      </c>
      <c r="GK3" s="70">
        <v>278.76</v>
      </c>
      <c r="GL3" s="70">
        <v>277.81</v>
      </c>
      <c r="GM3" s="70">
        <v>276.85000000000002</v>
      </c>
      <c r="GN3" s="70">
        <v>275.92</v>
      </c>
      <c r="GO3" s="70">
        <v>274.98</v>
      </c>
      <c r="GP3" s="70">
        <v>274.04000000000002</v>
      </c>
      <c r="GQ3" s="70">
        <v>273.10000000000002</v>
      </c>
      <c r="GR3" s="70">
        <v>272.17</v>
      </c>
      <c r="GS3" s="70">
        <v>271.23</v>
      </c>
      <c r="GT3" s="70">
        <v>270.29000000000002</v>
      </c>
      <c r="GU3" s="70">
        <v>269.35000000000002</v>
      </c>
      <c r="GV3" s="70">
        <v>268.43</v>
      </c>
      <c r="GW3" s="70">
        <v>267.5</v>
      </c>
      <c r="GX3" s="70">
        <v>266.57</v>
      </c>
      <c r="GY3" s="70">
        <v>265.64</v>
      </c>
      <c r="GZ3" s="70">
        <v>264.70999999999998</v>
      </c>
      <c r="HA3" s="70">
        <v>263.77999999999997</v>
      </c>
      <c r="HB3" s="70">
        <v>262.85000000000002</v>
      </c>
      <c r="HC3" s="70">
        <v>261.94</v>
      </c>
      <c r="HD3" s="70">
        <v>261.01</v>
      </c>
      <c r="HE3" s="70">
        <v>260.08999999999997</v>
      </c>
      <c r="HF3" s="70">
        <v>259.17</v>
      </c>
      <c r="HG3" s="70">
        <v>258.25</v>
      </c>
      <c r="HH3" s="70">
        <v>257.33999999999997</v>
      </c>
      <c r="HI3" s="70">
        <v>256.42</v>
      </c>
      <c r="HJ3" s="70">
        <v>255.5</v>
      </c>
      <c r="HK3" s="70">
        <v>254.59</v>
      </c>
      <c r="HL3" s="70">
        <v>253.68</v>
      </c>
      <c r="HM3" s="70">
        <v>252.77</v>
      </c>
      <c r="HN3" s="70">
        <v>251.87</v>
      </c>
      <c r="HO3" s="70">
        <v>250.96</v>
      </c>
      <c r="HP3" s="70">
        <v>250.06</v>
      </c>
      <c r="HQ3" s="70">
        <v>249.16</v>
      </c>
      <c r="HR3" s="70">
        <v>248.26</v>
      </c>
      <c r="HS3" s="70">
        <v>247.36</v>
      </c>
      <c r="HT3" s="70">
        <v>246.46</v>
      </c>
      <c r="HU3" s="70">
        <v>245.56</v>
      </c>
      <c r="HV3" s="70">
        <v>244.66</v>
      </c>
      <c r="HW3" s="70">
        <v>243.77</v>
      </c>
      <c r="HX3" s="70">
        <v>242.88</v>
      </c>
      <c r="HY3" s="70">
        <v>241.98</v>
      </c>
      <c r="HZ3" s="70">
        <v>241.09</v>
      </c>
      <c r="IA3" s="70">
        <v>240.2</v>
      </c>
      <c r="IB3" s="70">
        <v>239.32</v>
      </c>
      <c r="IC3" s="70">
        <v>238.43</v>
      </c>
      <c r="ID3" s="70">
        <v>237.54</v>
      </c>
      <c r="IE3" s="70">
        <v>236.66</v>
      </c>
      <c r="IF3" s="70">
        <v>235.77</v>
      </c>
      <c r="IG3" s="70">
        <v>234.89</v>
      </c>
      <c r="IH3" s="70">
        <v>234.01</v>
      </c>
      <c r="II3" s="70">
        <v>233.13</v>
      </c>
      <c r="IJ3" s="70">
        <v>232.25</v>
      </c>
      <c r="IK3" s="70">
        <v>231.38</v>
      </c>
      <c r="IL3" s="70">
        <v>230.5</v>
      </c>
      <c r="IM3" s="70">
        <v>229.63</v>
      </c>
      <c r="IN3" s="70">
        <v>228.76</v>
      </c>
      <c r="IO3" s="70">
        <v>227.89</v>
      </c>
      <c r="IP3" s="70">
        <v>227.02</v>
      </c>
      <c r="IQ3" s="70">
        <v>226.15</v>
      </c>
      <c r="IR3" s="70">
        <v>225.28</v>
      </c>
      <c r="IS3" s="70">
        <v>224.42</v>
      </c>
      <c r="IT3" s="70">
        <v>223.56</v>
      </c>
      <c r="IU3" s="70">
        <v>222.69</v>
      </c>
      <c r="IV3" s="70">
        <v>221.84</v>
      </c>
      <c r="IW3" s="70">
        <v>220.98</v>
      </c>
      <c r="IX3" s="70">
        <v>220.13</v>
      </c>
      <c r="IY3" s="70">
        <v>219.28</v>
      </c>
      <c r="IZ3" s="70">
        <v>218.43</v>
      </c>
      <c r="JA3" s="70">
        <v>217.58</v>
      </c>
      <c r="JB3" s="70">
        <v>216.73</v>
      </c>
      <c r="JC3" s="70">
        <v>215.88</v>
      </c>
      <c r="JD3" s="70">
        <v>215.04</v>
      </c>
      <c r="JE3" s="70">
        <v>214.19</v>
      </c>
      <c r="JF3" s="70">
        <v>213.35</v>
      </c>
      <c r="JG3" s="70">
        <v>212.51</v>
      </c>
      <c r="JH3" s="70">
        <v>211.67</v>
      </c>
      <c r="JI3" s="70">
        <v>210.83</v>
      </c>
      <c r="JJ3" s="70">
        <v>210</v>
      </c>
      <c r="JK3" s="70">
        <v>209.16</v>
      </c>
      <c r="JL3" s="70">
        <v>208.33</v>
      </c>
      <c r="JM3" s="70">
        <v>207.49</v>
      </c>
      <c r="JN3" s="70">
        <v>206.66</v>
      </c>
      <c r="JO3" s="70">
        <v>205.83</v>
      </c>
      <c r="JP3" s="70">
        <v>205</v>
      </c>
      <c r="JQ3" s="70">
        <v>204.17</v>
      </c>
      <c r="JR3" s="70">
        <v>203.35</v>
      </c>
      <c r="JS3" s="70">
        <v>202.52</v>
      </c>
      <c r="JT3" s="70">
        <v>201.7</v>
      </c>
      <c r="JU3" s="70">
        <v>200.87</v>
      </c>
      <c r="JV3" s="70">
        <v>200.05</v>
      </c>
      <c r="JW3" s="70">
        <v>199.23</v>
      </c>
      <c r="JX3" s="70">
        <v>198.4</v>
      </c>
      <c r="JY3" s="70">
        <v>197.59</v>
      </c>
      <c r="JZ3" s="70">
        <v>196.77</v>
      </c>
      <c r="KA3" s="70">
        <v>195.95</v>
      </c>
      <c r="KB3" s="70">
        <v>195.13</v>
      </c>
      <c r="KC3" s="70">
        <v>194.32</v>
      </c>
      <c r="KD3" s="70">
        <v>193.5</v>
      </c>
      <c r="KE3" s="70">
        <v>192.69</v>
      </c>
      <c r="KF3" s="70">
        <v>191.88</v>
      </c>
      <c r="KG3" s="70">
        <v>191.07</v>
      </c>
      <c r="KH3" s="70">
        <v>190.26</v>
      </c>
      <c r="KI3" s="70">
        <v>189.45</v>
      </c>
      <c r="KJ3" s="70">
        <v>188.65</v>
      </c>
      <c r="KK3" s="70">
        <v>187.84</v>
      </c>
      <c r="KL3" s="70">
        <v>187.04</v>
      </c>
      <c r="KM3" s="70">
        <v>186.24</v>
      </c>
      <c r="KN3" s="70">
        <v>185.44</v>
      </c>
      <c r="KO3" s="70">
        <v>184.64</v>
      </c>
      <c r="KP3" s="70">
        <v>183.84</v>
      </c>
      <c r="KQ3" s="70">
        <v>183.05</v>
      </c>
      <c r="KR3" s="74">
        <v>182.25</v>
      </c>
      <c r="KS3" s="74">
        <v>181.46</v>
      </c>
      <c r="KT3" s="74">
        <v>180.66</v>
      </c>
      <c r="KU3" s="74">
        <v>179.87</v>
      </c>
      <c r="KV3" s="74">
        <v>179.09</v>
      </c>
      <c r="KW3" s="74">
        <v>178.3</v>
      </c>
      <c r="KX3" s="74">
        <v>177.51</v>
      </c>
      <c r="KY3" s="74">
        <v>176.73</v>
      </c>
      <c r="KZ3" s="74">
        <f>KY3-0.79</f>
        <v>175.94</v>
      </c>
      <c r="LA3" s="74">
        <v>175.16</v>
      </c>
      <c r="LB3" s="74">
        <v>174.38</v>
      </c>
      <c r="LC3" s="74">
        <v>173.6</v>
      </c>
      <c r="LD3" s="74">
        <v>172.82</v>
      </c>
      <c r="LE3" s="74">
        <v>172.04</v>
      </c>
      <c r="LF3" s="74">
        <v>171.27</v>
      </c>
      <c r="LG3" s="74">
        <v>170.5</v>
      </c>
      <c r="LH3" s="74">
        <v>169.72</v>
      </c>
      <c r="LI3" s="74">
        <v>168.95</v>
      </c>
      <c r="LJ3" s="74">
        <v>168.18</v>
      </c>
      <c r="LK3" s="74">
        <v>167.41</v>
      </c>
      <c r="LL3" s="74">
        <v>166.64</v>
      </c>
      <c r="LM3" s="74">
        <v>165.88</v>
      </c>
      <c r="LN3" s="74">
        <v>165.11</v>
      </c>
      <c r="LO3" s="74">
        <v>164.35</v>
      </c>
      <c r="LP3" s="74">
        <v>163.59</v>
      </c>
      <c r="LQ3" s="74">
        <v>162.83000000000001</v>
      </c>
      <c r="LR3" s="74">
        <v>162.07</v>
      </c>
      <c r="LS3" s="74">
        <v>161.31</v>
      </c>
      <c r="LT3" s="74">
        <v>160.56</v>
      </c>
      <c r="LU3" s="74">
        <v>159.81</v>
      </c>
      <c r="LV3" s="74">
        <v>159.05000000000001</v>
      </c>
      <c r="LW3" s="74">
        <v>158.30000000000001</v>
      </c>
      <c r="LX3" s="74">
        <v>157.55000000000001</v>
      </c>
      <c r="LY3" s="74">
        <v>156.80000000000001</v>
      </c>
      <c r="LZ3" s="74">
        <v>156.06</v>
      </c>
      <c r="MA3" s="74">
        <v>155.31</v>
      </c>
      <c r="MB3" s="74">
        <v>154.57</v>
      </c>
      <c r="MC3" s="74">
        <v>153.83000000000001</v>
      </c>
      <c r="MD3" s="74">
        <v>153.09</v>
      </c>
      <c r="ME3" s="74">
        <v>152.36000000000001</v>
      </c>
      <c r="MF3" s="74">
        <v>151.62</v>
      </c>
      <c r="MG3" s="74">
        <v>150.88999999999999</v>
      </c>
      <c r="MH3" s="74">
        <v>150.15</v>
      </c>
      <c r="MI3" s="74">
        <v>149.41999999999999</v>
      </c>
      <c r="MJ3" s="74">
        <v>148.69</v>
      </c>
      <c r="MK3" s="74">
        <v>147.96</v>
      </c>
      <c r="ML3" s="74">
        <v>147.24</v>
      </c>
      <c r="MM3" s="74">
        <v>146.51</v>
      </c>
      <c r="MN3" s="74">
        <v>145.79</v>
      </c>
      <c r="MO3" s="74">
        <v>145.07</v>
      </c>
      <c r="MP3" s="74">
        <v>144.35</v>
      </c>
      <c r="MQ3" s="74">
        <v>143.63999999999999</v>
      </c>
      <c r="MR3" s="74">
        <v>142.91999999999999</v>
      </c>
      <c r="MS3" s="74">
        <v>142.21</v>
      </c>
      <c r="MT3" s="74">
        <v>141.49</v>
      </c>
      <c r="MU3" s="74">
        <v>140.78</v>
      </c>
      <c r="MV3" s="74">
        <v>140.07</v>
      </c>
      <c r="MW3" s="74">
        <v>139.37</v>
      </c>
      <c r="MX3" s="74">
        <v>138.66</v>
      </c>
      <c r="MY3" s="74">
        <v>137.96</v>
      </c>
    </row>
    <row r="4" spans="1:363" ht="15.6" x14ac:dyDescent="0.3">
      <c r="A4" s="67" t="s">
        <v>6</v>
      </c>
      <c r="B4" s="72">
        <v>2014</v>
      </c>
      <c r="C4" s="70">
        <v>471.9</v>
      </c>
      <c r="D4" s="70">
        <v>470.86</v>
      </c>
      <c r="E4" s="70">
        <v>469.82</v>
      </c>
      <c r="F4" s="70">
        <v>468.78</v>
      </c>
      <c r="G4" s="70">
        <v>467.74</v>
      </c>
      <c r="H4" s="70">
        <v>466.7</v>
      </c>
      <c r="I4" s="70">
        <v>465.66</v>
      </c>
      <c r="J4" s="70">
        <v>464.62</v>
      </c>
      <c r="K4" s="70">
        <v>463.58</v>
      </c>
      <c r="L4" s="70">
        <v>462.54</v>
      </c>
      <c r="M4" s="70">
        <v>461.5</v>
      </c>
      <c r="N4" s="70">
        <v>460.46</v>
      </c>
      <c r="O4" s="70">
        <v>459.42</v>
      </c>
      <c r="P4" s="70">
        <v>458.39</v>
      </c>
      <c r="Q4" s="70">
        <v>457.35</v>
      </c>
      <c r="R4" s="70">
        <v>456.31</v>
      </c>
      <c r="S4" s="70">
        <v>455.27</v>
      </c>
      <c r="T4" s="70">
        <v>454.23</v>
      </c>
      <c r="U4" s="70">
        <v>453.19</v>
      </c>
      <c r="V4" s="70">
        <v>452.15</v>
      </c>
      <c r="W4" s="70">
        <v>451.12</v>
      </c>
      <c r="X4" s="70">
        <v>450.08</v>
      </c>
      <c r="Y4" s="70">
        <v>449.04</v>
      </c>
      <c r="Z4" s="70">
        <v>448</v>
      </c>
      <c r="AA4" s="70">
        <v>446.96</v>
      </c>
      <c r="AB4" s="70">
        <v>445.93</v>
      </c>
      <c r="AC4" s="70">
        <v>444.89</v>
      </c>
      <c r="AD4" s="70">
        <v>443.85</v>
      </c>
      <c r="AE4" s="70">
        <v>442.82</v>
      </c>
      <c r="AF4" s="70">
        <v>441.78</v>
      </c>
      <c r="AG4" s="70">
        <v>440.74</v>
      </c>
      <c r="AH4" s="70">
        <v>439.7</v>
      </c>
      <c r="AI4" s="70">
        <v>438.67</v>
      </c>
      <c r="AJ4" s="70">
        <v>437.63</v>
      </c>
      <c r="AK4" s="70">
        <v>436.59</v>
      </c>
      <c r="AL4" s="70">
        <v>435.56</v>
      </c>
      <c r="AM4" s="70">
        <v>434.52</v>
      </c>
      <c r="AN4" s="70">
        <v>433.48</v>
      </c>
      <c r="AO4" s="70">
        <v>432.45</v>
      </c>
      <c r="AP4" s="70">
        <v>431.41</v>
      </c>
      <c r="AQ4" s="70">
        <v>430.38</v>
      </c>
      <c r="AR4" s="70">
        <v>429.34</v>
      </c>
      <c r="AS4" s="70">
        <v>428.31</v>
      </c>
      <c r="AT4" s="70">
        <v>427.27</v>
      </c>
      <c r="AU4" s="70">
        <v>426.24</v>
      </c>
      <c r="AV4" s="70">
        <v>425.2</v>
      </c>
      <c r="AW4" s="70">
        <v>424.17</v>
      </c>
      <c r="AX4" s="70">
        <v>423.13</v>
      </c>
      <c r="AY4" s="70">
        <v>422.1</v>
      </c>
      <c r="AZ4" s="70">
        <v>421.06</v>
      </c>
      <c r="BA4" s="70">
        <v>420.03</v>
      </c>
      <c r="BB4" s="70">
        <v>419</v>
      </c>
      <c r="BC4" s="70">
        <v>417.96</v>
      </c>
      <c r="BD4" s="70">
        <v>416.93</v>
      </c>
      <c r="BE4" s="70">
        <v>415.89</v>
      </c>
      <c r="BF4" s="70">
        <v>414.86</v>
      </c>
      <c r="BG4" s="70">
        <v>413.83</v>
      </c>
      <c r="BH4" s="70">
        <v>412.79</v>
      </c>
      <c r="BI4" s="70">
        <v>411.76</v>
      </c>
      <c r="BJ4" s="70">
        <v>410.73</v>
      </c>
      <c r="BK4" s="70">
        <v>409.69</v>
      </c>
      <c r="BL4" s="70">
        <v>408.66</v>
      </c>
      <c r="BM4" s="70">
        <v>407.63</v>
      </c>
      <c r="BN4" s="70">
        <v>406.59</v>
      </c>
      <c r="BO4" s="70">
        <v>405.56</v>
      </c>
      <c r="BP4" s="70">
        <v>404.53</v>
      </c>
      <c r="BQ4" s="70">
        <v>403.5</v>
      </c>
      <c r="BR4" s="70">
        <v>402.46</v>
      </c>
      <c r="BS4" s="70">
        <v>401.43</v>
      </c>
      <c r="BT4" s="70">
        <v>400.4</v>
      </c>
      <c r="BU4" s="70">
        <v>399.37</v>
      </c>
      <c r="BV4" s="70">
        <v>398.34</v>
      </c>
      <c r="BW4" s="70">
        <v>397.31</v>
      </c>
      <c r="BX4" s="70">
        <v>396.28</v>
      </c>
      <c r="BY4" s="70">
        <v>395.25</v>
      </c>
      <c r="BZ4" s="70">
        <v>394.22</v>
      </c>
      <c r="CA4" s="70">
        <v>393.2</v>
      </c>
      <c r="CB4" s="70">
        <v>392.17</v>
      </c>
      <c r="CC4" s="70">
        <v>391.14</v>
      </c>
      <c r="CD4" s="70">
        <v>390.12</v>
      </c>
      <c r="CE4" s="70">
        <v>389.09</v>
      </c>
      <c r="CF4" s="70">
        <v>388.07</v>
      </c>
      <c r="CG4" s="70">
        <v>387.04</v>
      </c>
      <c r="CH4" s="70">
        <v>386.02</v>
      </c>
      <c r="CI4" s="70">
        <v>384.99</v>
      </c>
      <c r="CJ4" s="70">
        <v>383.97</v>
      </c>
      <c r="CK4" s="70">
        <v>382.94</v>
      </c>
      <c r="CL4" s="70">
        <v>381.92</v>
      </c>
      <c r="CM4" s="70">
        <v>380.9</v>
      </c>
      <c r="CN4" s="70">
        <v>379.87</v>
      </c>
      <c r="CO4" s="70">
        <v>378.85</v>
      </c>
      <c r="CP4" s="70">
        <v>377.83</v>
      </c>
      <c r="CQ4" s="70">
        <v>376.8</v>
      </c>
      <c r="CR4" s="70">
        <v>375.78</v>
      </c>
      <c r="CS4" s="70">
        <v>374.76</v>
      </c>
      <c r="CT4" s="70">
        <v>373.73</v>
      </c>
      <c r="CU4" s="70">
        <v>372.71</v>
      </c>
      <c r="CV4" s="70">
        <v>371.69</v>
      </c>
      <c r="CW4" s="70">
        <v>370.67</v>
      </c>
      <c r="CX4" s="70">
        <v>369.65</v>
      </c>
      <c r="CY4" s="70">
        <v>368.63</v>
      </c>
      <c r="CZ4" s="70">
        <v>367.61</v>
      </c>
      <c r="DA4" s="70">
        <v>366.6</v>
      </c>
      <c r="DB4" s="70">
        <v>365.58</v>
      </c>
      <c r="DC4" s="70">
        <v>364.56</v>
      </c>
      <c r="DD4" s="70">
        <v>363.54</v>
      </c>
      <c r="DE4" s="70">
        <v>362.52</v>
      </c>
      <c r="DF4" s="70">
        <v>361.5</v>
      </c>
      <c r="DG4" s="70">
        <v>360.48</v>
      </c>
      <c r="DH4" s="70">
        <v>359.47</v>
      </c>
      <c r="DI4" s="70">
        <v>358.45</v>
      </c>
      <c r="DJ4" s="70">
        <v>357.44</v>
      </c>
      <c r="DK4" s="70">
        <v>356.42</v>
      </c>
      <c r="DL4" s="70">
        <v>355.41</v>
      </c>
      <c r="DM4" s="70">
        <v>354.39</v>
      </c>
      <c r="DN4" s="70">
        <v>353.38</v>
      </c>
      <c r="DO4" s="70">
        <v>352.37</v>
      </c>
      <c r="DP4" s="70">
        <v>351.35</v>
      </c>
      <c r="DQ4" s="70">
        <v>350.34</v>
      </c>
      <c r="DR4" s="70">
        <v>349.33</v>
      </c>
      <c r="DS4" s="70">
        <v>348.31</v>
      </c>
      <c r="DT4" s="70">
        <v>347.31</v>
      </c>
      <c r="DU4" s="70">
        <v>346.3</v>
      </c>
      <c r="DV4" s="70">
        <v>345.29</v>
      </c>
      <c r="DW4" s="70">
        <v>344.28</v>
      </c>
      <c r="DX4" s="70">
        <v>343.28</v>
      </c>
      <c r="DY4" s="70">
        <v>342.27</v>
      </c>
      <c r="DZ4" s="70">
        <v>341.26</v>
      </c>
      <c r="EA4" s="70">
        <v>340.26</v>
      </c>
      <c r="EB4" s="70">
        <v>339.26</v>
      </c>
      <c r="EC4" s="70">
        <v>338.25</v>
      </c>
      <c r="ED4" s="70">
        <v>337.25</v>
      </c>
      <c r="EE4" s="70">
        <v>336.25</v>
      </c>
      <c r="EF4" s="70">
        <v>335.25</v>
      </c>
      <c r="EG4" s="70">
        <v>334.25</v>
      </c>
      <c r="EH4" s="70">
        <v>333.26</v>
      </c>
      <c r="EI4" s="70">
        <v>332.26</v>
      </c>
      <c r="EJ4" s="70">
        <v>331.27</v>
      </c>
      <c r="EK4" s="70">
        <v>330.27</v>
      </c>
      <c r="EL4" s="70">
        <v>329.28</v>
      </c>
      <c r="EM4" s="70">
        <v>328.29</v>
      </c>
      <c r="EN4" s="70">
        <v>327.29000000000002</v>
      </c>
      <c r="EO4" s="70">
        <v>326.29000000000002</v>
      </c>
      <c r="EP4" s="70">
        <v>325.31</v>
      </c>
      <c r="EQ4" s="70">
        <v>324.32</v>
      </c>
      <c r="ER4" s="70">
        <v>323.32</v>
      </c>
      <c r="ES4" s="70">
        <v>322.35000000000002</v>
      </c>
      <c r="ET4" s="70">
        <v>321.35000000000002</v>
      </c>
      <c r="EU4" s="70">
        <v>320.37</v>
      </c>
      <c r="EV4" s="70">
        <v>319.39</v>
      </c>
      <c r="EW4" s="70">
        <v>318.39999999999998</v>
      </c>
      <c r="EX4" s="70">
        <v>317.42</v>
      </c>
      <c r="EY4" s="70">
        <v>316.44</v>
      </c>
      <c r="EZ4" s="70">
        <v>315.45</v>
      </c>
      <c r="FA4" s="70">
        <v>314.47000000000003</v>
      </c>
      <c r="FB4" s="70">
        <v>313.49</v>
      </c>
      <c r="FC4" s="70">
        <v>312.5</v>
      </c>
      <c r="FD4" s="70">
        <v>311.52999999999997</v>
      </c>
      <c r="FE4" s="70">
        <v>310.54000000000002</v>
      </c>
      <c r="FF4" s="70">
        <v>309.57</v>
      </c>
      <c r="FG4" s="70">
        <v>308.60000000000002</v>
      </c>
      <c r="FH4" s="70">
        <v>307.62</v>
      </c>
      <c r="FI4" s="70">
        <v>306.64999999999998</v>
      </c>
      <c r="FJ4" s="70">
        <v>305.67</v>
      </c>
      <c r="FK4" s="70">
        <v>304.7</v>
      </c>
      <c r="FL4" s="70">
        <v>303.73</v>
      </c>
      <c r="FM4" s="70">
        <v>302.76</v>
      </c>
      <c r="FN4" s="70">
        <v>301.79000000000002</v>
      </c>
      <c r="FO4" s="70">
        <v>300.82</v>
      </c>
      <c r="FP4" s="70">
        <v>299.85000000000002</v>
      </c>
      <c r="FQ4" s="70">
        <v>298.88</v>
      </c>
      <c r="FR4" s="70">
        <v>297.91000000000003</v>
      </c>
      <c r="FS4" s="70">
        <v>296.95</v>
      </c>
      <c r="FT4" s="70">
        <v>295.98</v>
      </c>
      <c r="FU4" s="70">
        <v>295.01</v>
      </c>
      <c r="FV4" s="70">
        <v>294.06</v>
      </c>
      <c r="FW4" s="70">
        <v>293.08999999999997</v>
      </c>
      <c r="FX4" s="70">
        <v>292.13</v>
      </c>
      <c r="FY4" s="70">
        <v>291.17</v>
      </c>
      <c r="FZ4" s="70">
        <v>290.20999999999998</v>
      </c>
      <c r="GA4" s="70">
        <v>289.25</v>
      </c>
      <c r="GB4" s="70">
        <v>288.29000000000002</v>
      </c>
      <c r="GC4" s="70">
        <v>287.33999999999997</v>
      </c>
      <c r="GD4" s="70">
        <v>286.38</v>
      </c>
      <c r="GE4" s="70">
        <v>285.43</v>
      </c>
      <c r="GF4" s="70">
        <v>284.47000000000003</v>
      </c>
      <c r="GG4" s="70">
        <v>283.51</v>
      </c>
      <c r="GH4" s="70">
        <v>282.57</v>
      </c>
      <c r="GI4" s="70">
        <v>281.62</v>
      </c>
      <c r="GJ4" s="70">
        <v>280.67</v>
      </c>
      <c r="GK4" s="70">
        <v>279.72000000000003</v>
      </c>
      <c r="GL4" s="70">
        <v>278.76</v>
      </c>
      <c r="GM4" s="70">
        <v>277.82</v>
      </c>
      <c r="GN4" s="70">
        <v>276.88</v>
      </c>
      <c r="GO4" s="70">
        <v>275.94</v>
      </c>
      <c r="GP4" s="70">
        <v>275</v>
      </c>
      <c r="GQ4" s="70">
        <v>274.06</v>
      </c>
      <c r="GR4" s="70">
        <v>273.12</v>
      </c>
      <c r="GS4" s="70">
        <v>272.19</v>
      </c>
      <c r="GT4" s="70">
        <v>271.25</v>
      </c>
      <c r="GU4" s="70">
        <v>270.32</v>
      </c>
      <c r="GV4" s="70">
        <v>269.38</v>
      </c>
      <c r="GW4" s="70">
        <v>268.45</v>
      </c>
      <c r="GX4" s="70">
        <v>267.51</v>
      </c>
      <c r="GY4" s="70">
        <v>266.57</v>
      </c>
      <c r="GZ4" s="70">
        <v>265.66000000000003</v>
      </c>
      <c r="HA4" s="70">
        <v>264.73</v>
      </c>
      <c r="HB4" s="70">
        <v>263.79000000000002</v>
      </c>
      <c r="HC4" s="70">
        <v>262.88</v>
      </c>
      <c r="HD4" s="70">
        <v>261.95</v>
      </c>
      <c r="HE4" s="70">
        <v>261.02999999999997</v>
      </c>
      <c r="HF4" s="70">
        <v>260.10000000000002</v>
      </c>
      <c r="HG4" s="70">
        <v>259.19</v>
      </c>
      <c r="HH4" s="70">
        <v>258.26</v>
      </c>
      <c r="HI4" s="70">
        <v>257.35000000000002</v>
      </c>
      <c r="HJ4" s="70">
        <v>256.43</v>
      </c>
      <c r="HK4" s="70">
        <v>255.52</v>
      </c>
      <c r="HL4" s="70">
        <v>254.61</v>
      </c>
      <c r="HM4" s="70">
        <v>253.7</v>
      </c>
      <c r="HN4" s="70">
        <v>252.79</v>
      </c>
      <c r="HO4" s="70">
        <v>251.89</v>
      </c>
      <c r="HP4" s="70">
        <v>250.98</v>
      </c>
      <c r="HQ4" s="70">
        <v>250.08</v>
      </c>
      <c r="HR4" s="70">
        <v>249.18</v>
      </c>
      <c r="HS4" s="70">
        <v>248.27</v>
      </c>
      <c r="HT4" s="70">
        <v>247.37</v>
      </c>
      <c r="HU4" s="70">
        <v>246.48</v>
      </c>
      <c r="HV4" s="70">
        <v>245.58</v>
      </c>
      <c r="HW4" s="70">
        <v>244.68</v>
      </c>
      <c r="HX4" s="70">
        <v>243.79</v>
      </c>
      <c r="HY4" s="70">
        <v>242.89</v>
      </c>
      <c r="HZ4" s="70">
        <v>242</v>
      </c>
      <c r="IA4" s="70">
        <v>241.11</v>
      </c>
      <c r="IB4" s="70">
        <v>240.22</v>
      </c>
      <c r="IC4" s="70">
        <v>239.33</v>
      </c>
      <c r="ID4" s="70">
        <v>238.44</v>
      </c>
      <c r="IE4" s="70">
        <v>237.56</v>
      </c>
      <c r="IF4" s="70">
        <v>236.67</v>
      </c>
      <c r="IG4" s="70">
        <v>235.79</v>
      </c>
      <c r="IH4" s="70">
        <v>234.9</v>
      </c>
      <c r="II4" s="70">
        <v>234.02</v>
      </c>
      <c r="IJ4" s="70">
        <v>233.14</v>
      </c>
      <c r="IK4" s="70">
        <v>232.27</v>
      </c>
      <c r="IL4" s="70">
        <v>231.39</v>
      </c>
      <c r="IM4" s="70">
        <v>230.52</v>
      </c>
      <c r="IN4" s="70">
        <v>229.64</v>
      </c>
      <c r="IO4" s="70">
        <v>228.77</v>
      </c>
      <c r="IP4" s="70">
        <v>227.9</v>
      </c>
      <c r="IQ4" s="70">
        <v>227.03</v>
      </c>
      <c r="IR4" s="70">
        <v>226.16</v>
      </c>
      <c r="IS4" s="70">
        <v>225.29</v>
      </c>
      <c r="IT4" s="70">
        <v>224.43</v>
      </c>
      <c r="IU4" s="70">
        <v>223.57</v>
      </c>
      <c r="IV4" s="70">
        <v>222.71</v>
      </c>
      <c r="IW4" s="70">
        <v>221.85</v>
      </c>
      <c r="IX4" s="70">
        <v>221</v>
      </c>
      <c r="IY4" s="70">
        <v>220.14</v>
      </c>
      <c r="IZ4" s="70">
        <v>219.29</v>
      </c>
      <c r="JA4" s="70">
        <v>218.44</v>
      </c>
      <c r="JB4" s="70">
        <v>217.59</v>
      </c>
      <c r="JC4" s="70">
        <v>216.74</v>
      </c>
      <c r="JD4" s="70">
        <v>215.9</v>
      </c>
      <c r="JE4" s="70">
        <v>215.05</v>
      </c>
      <c r="JF4" s="70">
        <v>214.2</v>
      </c>
      <c r="JG4" s="70">
        <v>213.36</v>
      </c>
      <c r="JH4" s="70">
        <v>212.52</v>
      </c>
      <c r="JI4" s="70">
        <v>211.68</v>
      </c>
      <c r="JJ4" s="70">
        <v>210.84</v>
      </c>
      <c r="JK4" s="70">
        <v>210.01</v>
      </c>
      <c r="JL4" s="70">
        <v>209.17</v>
      </c>
      <c r="JM4" s="70">
        <v>208.33</v>
      </c>
      <c r="JN4" s="70">
        <v>207.5</v>
      </c>
      <c r="JO4" s="70">
        <v>206.67</v>
      </c>
      <c r="JP4" s="70">
        <v>205.84</v>
      </c>
      <c r="JQ4" s="70">
        <v>205.01</v>
      </c>
      <c r="JR4" s="70">
        <v>204.18</v>
      </c>
      <c r="JS4" s="70">
        <v>203.35</v>
      </c>
      <c r="JT4" s="70">
        <v>202.52</v>
      </c>
      <c r="JU4" s="70">
        <v>201.7</v>
      </c>
      <c r="JV4" s="70">
        <v>200.87</v>
      </c>
      <c r="JW4" s="70">
        <v>200.05</v>
      </c>
      <c r="JX4" s="70">
        <v>199.22</v>
      </c>
      <c r="JY4" s="70">
        <v>198.4</v>
      </c>
      <c r="JZ4" s="70">
        <v>197.58</v>
      </c>
      <c r="KA4" s="70">
        <v>196.76</v>
      </c>
      <c r="KB4" s="70">
        <v>195.94</v>
      </c>
      <c r="KC4" s="70">
        <v>195.12</v>
      </c>
      <c r="KD4" s="70">
        <v>194.31</v>
      </c>
      <c r="KE4" s="70">
        <v>193.49</v>
      </c>
      <c r="KF4" s="70">
        <v>192.68</v>
      </c>
      <c r="KG4" s="70">
        <v>191.87</v>
      </c>
      <c r="KH4" s="70">
        <v>191.06</v>
      </c>
      <c r="KI4" s="70">
        <v>190.25</v>
      </c>
      <c r="KJ4" s="70">
        <v>189.44</v>
      </c>
      <c r="KK4" s="70">
        <v>188.63</v>
      </c>
      <c r="KL4" s="70">
        <v>187.83</v>
      </c>
      <c r="KM4" s="70">
        <v>187.02</v>
      </c>
      <c r="KN4" s="70">
        <v>186.22</v>
      </c>
      <c r="KO4" s="70">
        <v>185.42</v>
      </c>
      <c r="KP4" s="70">
        <v>184.62</v>
      </c>
      <c r="KQ4" s="70">
        <v>183.82</v>
      </c>
      <c r="KR4" s="74">
        <v>183.02</v>
      </c>
      <c r="KS4" s="74">
        <v>182.23</v>
      </c>
      <c r="KT4" s="74">
        <f>KT3+0.75</f>
        <v>181.41</v>
      </c>
      <c r="KU4" s="74">
        <f t="shared" ref="KU4:MY8" si="12">KU3+0.75</f>
        <v>180.62</v>
      </c>
      <c r="KV4" s="74">
        <f t="shared" si="12"/>
        <v>179.84</v>
      </c>
      <c r="KW4" s="74">
        <f t="shared" si="12"/>
        <v>179.05</v>
      </c>
      <c r="KX4" s="74">
        <f t="shared" si="12"/>
        <v>178.26</v>
      </c>
      <c r="KY4" s="74">
        <f t="shared" si="12"/>
        <v>177.48</v>
      </c>
      <c r="KZ4" s="74">
        <f t="shared" si="12"/>
        <v>176.69</v>
      </c>
      <c r="LA4" s="74">
        <f t="shared" si="12"/>
        <v>175.91</v>
      </c>
      <c r="LB4" s="74">
        <f t="shared" si="12"/>
        <v>175.13</v>
      </c>
      <c r="LC4" s="74">
        <f t="shared" si="12"/>
        <v>174.35</v>
      </c>
      <c r="LD4" s="74">
        <f t="shared" si="12"/>
        <v>173.57</v>
      </c>
      <c r="LE4" s="74">
        <f t="shared" si="12"/>
        <v>172.79</v>
      </c>
      <c r="LF4" s="74">
        <f t="shared" si="12"/>
        <v>172.02</v>
      </c>
      <c r="LG4" s="74">
        <f t="shared" si="12"/>
        <v>171.25</v>
      </c>
      <c r="LH4" s="74">
        <f t="shared" si="12"/>
        <v>170.47</v>
      </c>
      <c r="LI4" s="74">
        <f t="shared" si="12"/>
        <v>169.7</v>
      </c>
      <c r="LJ4" s="74">
        <f t="shared" si="12"/>
        <v>168.93</v>
      </c>
      <c r="LK4" s="74">
        <f t="shared" si="12"/>
        <v>168.16</v>
      </c>
      <c r="LL4" s="74">
        <f t="shared" si="12"/>
        <v>167.39</v>
      </c>
      <c r="LM4" s="74">
        <f t="shared" si="12"/>
        <v>166.63</v>
      </c>
      <c r="LN4" s="74">
        <f t="shared" si="12"/>
        <v>165.86</v>
      </c>
      <c r="LO4" s="74">
        <f t="shared" si="12"/>
        <v>165.1</v>
      </c>
      <c r="LP4" s="74">
        <f t="shared" si="12"/>
        <v>164.34</v>
      </c>
      <c r="LQ4" s="74">
        <f t="shared" si="12"/>
        <v>163.58000000000001</v>
      </c>
      <c r="LR4" s="74">
        <f t="shared" si="12"/>
        <v>162.82</v>
      </c>
      <c r="LS4" s="74">
        <f t="shared" si="12"/>
        <v>162.06</v>
      </c>
      <c r="LT4" s="74">
        <f t="shared" si="12"/>
        <v>161.31</v>
      </c>
      <c r="LU4" s="74">
        <f t="shared" si="12"/>
        <v>160.56</v>
      </c>
      <c r="LV4" s="74">
        <f t="shared" si="12"/>
        <v>159.80000000000001</v>
      </c>
      <c r="LW4" s="74">
        <f t="shared" si="12"/>
        <v>159.05000000000001</v>
      </c>
      <c r="LX4" s="74">
        <f t="shared" si="12"/>
        <v>158.30000000000001</v>
      </c>
      <c r="LY4" s="74">
        <f t="shared" si="12"/>
        <v>157.55000000000001</v>
      </c>
      <c r="LZ4" s="74">
        <f t="shared" si="12"/>
        <v>156.81</v>
      </c>
      <c r="MA4" s="74">
        <f t="shared" si="12"/>
        <v>156.06</v>
      </c>
      <c r="MB4" s="74">
        <f t="shared" si="12"/>
        <v>155.32</v>
      </c>
      <c r="MC4" s="74">
        <f t="shared" si="12"/>
        <v>154.58000000000001</v>
      </c>
      <c r="MD4" s="74">
        <f t="shared" si="12"/>
        <v>153.84</v>
      </c>
      <c r="ME4" s="74">
        <f t="shared" si="12"/>
        <v>153.11000000000001</v>
      </c>
      <c r="MF4" s="74">
        <f>MF3+0.75</f>
        <v>152.37</v>
      </c>
      <c r="MG4" s="74">
        <f t="shared" si="12"/>
        <v>151.63999999999999</v>
      </c>
      <c r="MH4" s="74">
        <f t="shared" si="12"/>
        <v>150.9</v>
      </c>
      <c r="MI4" s="74">
        <f t="shared" si="12"/>
        <v>150.16999999999999</v>
      </c>
      <c r="MJ4" s="74">
        <f t="shared" si="12"/>
        <v>149.44</v>
      </c>
      <c r="MK4" s="74">
        <f t="shared" si="12"/>
        <v>148.71</v>
      </c>
      <c r="ML4" s="74">
        <f t="shared" si="12"/>
        <v>147.99</v>
      </c>
      <c r="MM4" s="74">
        <f t="shared" si="12"/>
        <v>147.26</v>
      </c>
      <c r="MN4" s="74">
        <f t="shared" si="12"/>
        <v>146.54</v>
      </c>
      <c r="MO4" s="74">
        <f t="shared" si="12"/>
        <v>145.82</v>
      </c>
      <c r="MP4" s="74">
        <f t="shared" si="12"/>
        <v>145.1</v>
      </c>
      <c r="MQ4" s="74">
        <f t="shared" si="12"/>
        <v>144.38999999999999</v>
      </c>
      <c r="MR4" s="74">
        <f t="shared" si="12"/>
        <v>143.66999999999999</v>
      </c>
      <c r="MS4" s="74">
        <f t="shared" si="12"/>
        <v>142.96</v>
      </c>
      <c r="MT4" s="74">
        <f t="shared" si="12"/>
        <v>142.24</v>
      </c>
      <c r="MU4" s="74">
        <f t="shared" si="12"/>
        <v>141.53</v>
      </c>
      <c r="MV4" s="74">
        <f t="shared" si="12"/>
        <v>140.82</v>
      </c>
      <c r="MW4" s="74">
        <f t="shared" si="12"/>
        <v>140.12</v>
      </c>
      <c r="MX4" s="74">
        <f t="shared" si="12"/>
        <v>139.41</v>
      </c>
      <c r="MY4" s="74">
        <f t="shared" si="12"/>
        <v>138.71</v>
      </c>
    </row>
    <row r="5" spans="1:363" ht="15.6" x14ac:dyDescent="0.3">
      <c r="A5" s="67" t="s">
        <v>6</v>
      </c>
      <c r="B5" s="72">
        <v>2015</v>
      </c>
      <c r="C5" s="70">
        <v>472.96</v>
      </c>
      <c r="D5" s="70">
        <v>471.92</v>
      </c>
      <c r="E5" s="70">
        <v>470.88</v>
      </c>
      <c r="F5" s="70">
        <v>469.84</v>
      </c>
      <c r="G5" s="70">
        <v>468.8</v>
      </c>
      <c r="H5" s="70">
        <v>467.76</v>
      </c>
      <c r="I5" s="70">
        <v>466.72</v>
      </c>
      <c r="J5" s="70">
        <v>465.69</v>
      </c>
      <c r="K5" s="70">
        <v>464.65</v>
      </c>
      <c r="L5" s="70">
        <v>463.61</v>
      </c>
      <c r="M5" s="70">
        <v>462.57</v>
      </c>
      <c r="N5" s="70">
        <v>461.53</v>
      </c>
      <c r="O5" s="70">
        <v>460.49</v>
      </c>
      <c r="P5" s="70">
        <v>459.45</v>
      </c>
      <c r="Q5" s="70">
        <v>458.41</v>
      </c>
      <c r="R5" s="70">
        <v>457.37</v>
      </c>
      <c r="S5" s="70">
        <v>456.33</v>
      </c>
      <c r="T5" s="70">
        <v>455.29</v>
      </c>
      <c r="U5" s="70">
        <v>454.26</v>
      </c>
      <c r="V5" s="70">
        <v>453.22</v>
      </c>
      <c r="W5" s="70">
        <v>452.18</v>
      </c>
      <c r="X5" s="70">
        <v>451.14</v>
      </c>
      <c r="Y5" s="70">
        <v>450.1</v>
      </c>
      <c r="Z5" s="70">
        <v>449.06</v>
      </c>
      <c r="AA5" s="70">
        <v>448.03</v>
      </c>
      <c r="AB5" s="70">
        <v>446.99</v>
      </c>
      <c r="AC5" s="70">
        <v>445.95</v>
      </c>
      <c r="AD5" s="70">
        <v>444.92</v>
      </c>
      <c r="AE5" s="70">
        <v>443.88</v>
      </c>
      <c r="AF5" s="70">
        <v>442.84</v>
      </c>
      <c r="AG5" s="70">
        <v>441.8</v>
      </c>
      <c r="AH5" s="70">
        <v>440.77</v>
      </c>
      <c r="AI5" s="70">
        <v>439.73</v>
      </c>
      <c r="AJ5" s="70">
        <v>438.69</v>
      </c>
      <c r="AK5" s="70">
        <v>437.66</v>
      </c>
      <c r="AL5" s="70">
        <v>436.62</v>
      </c>
      <c r="AM5" s="70">
        <v>435.58</v>
      </c>
      <c r="AN5" s="70">
        <v>434.55</v>
      </c>
      <c r="AO5" s="70">
        <v>433.51</v>
      </c>
      <c r="AP5" s="70">
        <v>432.48</v>
      </c>
      <c r="AQ5" s="70">
        <v>431.44</v>
      </c>
      <c r="AR5" s="70">
        <v>430.4</v>
      </c>
      <c r="AS5" s="70">
        <v>429.37</v>
      </c>
      <c r="AT5" s="70">
        <v>428.33</v>
      </c>
      <c r="AU5" s="70">
        <v>427.3</v>
      </c>
      <c r="AV5" s="70">
        <v>426.26</v>
      </c>
      <c r="AW5" s="70">
        <v>425.23</v>
      </c>
      <c r="AX5" s="70">
        <v>424.19</v>
      </c>
      <c r="AY5" s="70">
        <v>423.16</v>
      </c>
      <c r="AZ5" s="70">
        <v>422.12</v>
      </c>
      <c r="BA5" s="70">
        <v>421.09</v>
      </c>
      <c r="BB5" s="70">
        <v>420.06</v>
      </c>
      <c r="BC5" s="70">
        <v>419.02</v>
      </c>
      <c r="BD5" s="70">
        <v>417.99</v>
      </c>
      <c r="BE5" s="70">
        <v>416.95</v>
      </c>
      <c r="BF5" s="70">
        <v>415.92</v>
      </c>
      <c r="BG5" s="70">
        <v>414.89</v>
      </c>
      <c r="BH5" s="70">
        <v>413.85</v>
      </c>
      <c r="BI5" s="70">
        <v>412.82</v>
      </c>
      <c r="BJ5" s="70">
        <v>411.78</v>
      </c>
      <c r="BK5" s="70">
        <v>410.75</v>
      </c>
      <c r="BL5" s="70">
        <v>409.72</v>
      </c>
      <c r="BM5" s="70">
        <v>408.68</v>
      </c>
      <c r="BN5" s="70">
        <v>407.65</v>
      </c>
      <c r="BO5" s="70">
        <v>406.62</v>
      </c>
      <c r="BP5" s="70">
        <v>405.59</v>
      </c>
      <c r="BQ5" s="70">
        <v>404.55</v>
      </c>
      <c r="BR5" s="70">
        <v>403.52</v>
      </c>
      <c r="BS5" s="70">
        <v>402.49</v>
      </c>
      <c r="BT5" s="70">
        <v>401.46</v>
      </c>
      <c r="BU5" s="70">
        <v>400.42</v>
      </c>
      <c r="BV5" s="70">
        <v>399.39</v>
      </c>
      <c r="BW5" s="70">
        <v>398.36</v>
      </c>
      <c r="BX5" s="70">
        <v>397.33</v>
      </c>
      <c r="BY5" s="70">
        <v>396.31</v>
      </c>
      <c r="BZ5" s="70">
        <v>395.28</v>
      </c>
      <c r="CA5" s="70">
        <v>394.25</v>
      </c>
      <c r="CB5" s="70">
        <v>393.22</v>
      </c>
      <c r="CC5" s="70">
        <v>392.2</v>
      </c>
      <c r="CD5" s="70">
        <v>391.17</v>
      </c>
      <c r="CE5" s="70">
        <v>390.14</v>
      </c>
      <c r="CF5" s="70">
        <v>389.12</v>
      </c>
      <c r="CG5" s="70">
        <v>388.09</v>
      </c>
      <c r="CH5" s="70">
        <v>387.07</v>
      </c>
      <c r="CI5" s="70">
        <v>386.04</v>
      </c>
      <c r="CJ5" s="70">
        <v>385.02</v>
      </c>
      <c r="CK5" s="70">
        <v>383.99</v>
      </c>
      <c r="CL5" s="70">
        <v>382.97</v>
      </c>
      <c r="CM5" s="70">
        <v>381.94</v>
      </c>
      <c r="CN5" s="70">
        <v>380.92</v>
      </c>
      <c r="CO5" s="70">
        <v>379.9</v>
      </c>
      <c r="CP5" s="70">
        <v>378.87</v>
      </c>
      <c r="CQ5" s="70">
        <v>377.85</v>
      </c>
      <c r="CR5" s="70">
        <v>376.83</v>
      </c>
      <c r="CS5" s="70">
        <v>375.8</v>
      </c>
      <c r="CT5" s="70">
        <v>374.78</v>
      </c>
      <c r="CU5" s="70">
        <v>373.76</v>
      </c>
      <c r="CV5" s="70">
        <v>372.73</v>
      </c>
      <c r="CW5" s="70">
        <v>371.71</v>
      </c>
      <c r="CX5" s="70">
        <v>370.69</v>
      </c>
      <c r="CY5" s="70">
        <v>369.67</v>
      </c>
      <c r="CZ5" s="70">
        <v>368.65</v>
      </c>
      <c r="DA5" s="70">
        <v>367.63</v>
      </c>
      <c r="DB5" s="70">
        <v>366.62</v>
      </c>
      <c r="DC5" s="70">
        <v>365.6</v>
      </c>
      <c r="DD5" s="70">
        <v>364.58</v>
      </c>
      <c r="DE5" s="70">
        <v>363.56</v>
      </c>
      <c r="DF5" s="70">
        <v>362.54</v>
      </c>
      <c r="DG5" s="70">
        <v>361.52</v>
      </c>
      <c r="DH5" s="70">
        <v>360.5</v>
      </c>
      <c r="DI5" s="70">
        <v>359.49</v>
      </c>
      <c r="DJ5" s="70">
        <v>358.47</v>
      </c>
      <c r="DK5" s="70">
        <v>357.46</v>
      </c>
      <c r="DL5" s="70">
        <v>356.44</v>
      </c>
      <c r="DM5" s="70">
        <v>355.43</v>
      </c>
      <c r="DN5" s="70">
        <v>354.41</v>
      </c>
      <c r="DO5" s="70">
        <v>353.4</v>
      </c>
      <c r="DP5" s="70">
        <v>352.38</v>
      </c>
      <c r="DQ5" s="70">
        <v>351.37</v>
      </c>
      <c r="DR5" s="70">
        <v>350.35</v>
      </c>
      <c r="DS5" s="70">
        <v>349.34</v>
      </c>
      <c r="DT5" s="70">
        <v>348.33</v>
      </c>
      <c r="DU5" s="70">
        <v>347.32</v>
      </c>
      <c r="DV5" s="70">
        <v>346.31</v>
      </c>
      <c r="DW5" s="70">
        <v>345.31</v>
      </c>
      <c r="DX5" s="70">
        <v>344.3</v>
      </c>
      <c r="DY5" s="70">
        <v>343.29</v>
      </c>
      <c r="DZ5" s="70">
        <v>342.29</v>
      </c>
      <c r="EA5" s="70">
        <v>341.28</v>
      </c>
      <c r="EB5" s="70">
        <v>340.28</v>
      </c>
      <c r="EC5" s="70">
        <v>339.27</v>
      </c>
      <c r="ED5" s="70">
        <v>338.27</v>
      </c>
      <c r="EE5" s="70">
        <v>337.27</v>
      </c>
      <c r="EF5" s="70">
        <v>336.27</v>
      </c>
      <c r="EG5" s="70">
        <v>335.27</v>
      </c>
      <c r="EH5" s="70">
        <v>334.27</v>
      </c>
      <c r="EI5" s="70">
        <v>333.28</v>
      </c>
      <c r="EJ5" s="70">
        <v>332.28</v>
      </c>
      <c r="EK5" s="70">
        <v>331.29</v>
      </c>
      <c r="EL5" s="70">
        <v>330.29</v>
      </c>
      <c r="EM5" s="70">
        <v>329.3</v>
      </c>
      <c r="EN5" s="70">
        <v>328.3</v>
      </c>
      <c r="EO5" s="70">
        <v>327.31</v>
      </c>
      <c r="EP5" s="70">
        <v>326.32</v>
      </c>
      <c r="EQ5" s="70">
        <v>325.32</v>
      </c>
      <c r="ER5" s="70">
        <v>324.33999999999997</v>
      </c>
      <c r="ES5" s="70">
        <v>323.35000000000002</v>
      </c>
      <c r="ET5" s="70">
        <v>322.35000000000002</v>
      </c>
      <c r="EU5" s="70">
        <v>321.38</v>
      </c>
      <c r="EV5" s="70">
        <v>320.39</v>
      </c>
      <c r="EW5" s="70">
        <v>319.41000000000003</v>
      </c>
      <c r="EX5" s="70">
        <v>318.42</v>
      </c>
      <c r="EY5" s="70">
        <v>317.43</v>
      </c>
      <c r="EZ5" s="70">
        <v>316.45</v>
      </c>
      <c r="FA5" s="70">
        <v>315.47000000000003</v>
      </c>
      <c r="FB5" s="70">
        <v>314.48</v>
      </c>
      <c r="FC5" s="70">
        <v>313.5</v>
      </c>
      <c r="FD5" s="70">
        <v>312.51</v>
      </c>
      <c r="FE5" s="70">
        <v>311.54000000000002</v>
      </c>
      <c r="FF5" s="70">
        <v>310.57</v>
      </c>
      <c r="FG5" s="70">
        <v>309.58999999999997</v>
      </c>
      <c r="FH5" s="70">
        <v>308.60000000000002</v>
      </c>
      <c r="FI5" s="70">
        <v>307.64</v>
      </c>
      <c r="FJ5" s="70">
        <v>306.66000000000003</v>
      </c>
      <c r="FK5" s="70">
        <v>305.69</v>
      </c>
      <c r="FL5" s="70">
        <v>304.72000000000003</v>
      </c>
      <c r="FM5" s="70">
        <v>303.74</v>
      </c>
      <c r="FN5" s="70">
        <v>302.76</v>
      </c>
      <c r="FO5" s="70">
        <v>301.79000000000002</v>
      </c>
      <c r="FP5" s="70">
        <v>300.82</v>
      </c>
      <c r="FQ5" s="70">
        <v>299.85000000000002</v>
      </c>
      <c r="FR5" s="70">
        <v>298.89999999999998</v>
      </c>
      <c r="FS5" s="70">
        <v>297.93</v>
      </c>
      <c r="FT5" s="70">
        <v>296.95999999999998</v>
      </c>
      <c r="FU5" s="70">
        <v>296</v>
      </c>
      <c r="FV5" s="70">
        <v>295.02999999999997</v>
      </c>
      <c r="FW5" s="70">
        <v>294.07</v>
      </c>
      <c r="FX5" s="70">
        <v>293.10000000000002</v>
      </c>
      <c r="FY5" s="70">
        <v>292.14</v>
      </c>
      <c r="FZ5" s="70">
        <v>291.18</v>
      </c>
      <c r="GA5" s="70">
        <v>290.22000000000003</v>
      </c>
      <c r="GB5" s="70">
        <v>289.26</v>
      </c>
      <c r="GC5" s="70">
        <v>288.31</v>
      </c>
      <c r="GD5" s="70">
        <v>287.35000000000002</v>
      </c>
      <c r="GE5" s="70">
        <v>286.39</v>
      </c>
      <c r="GF5" s="70">
        <v>285.44</v>
      </c>
      <c r="GG5" s="70">
        <v>284.49</v>
      </c>
      <c r="GH5" s="70">
        <v>283.52999999999997</v>
      </c>
      <c r="GI5" s="70">
        <v>282.57</v>
      </c>
      <c r="GJ5" s="70">
        <v>281.63</v>
      </c>
      <c r="GK5" s="70">
        <v>280.68</v>
      </c>
      <c r="GL5" s="70">
        <v>279.73</v>
      </c>
      <c r="GM5" s="70">
        <v>278.77999999999997</v>
      </c>
      <c r="GN5" s="70">
        <v>277.83999999999997</v>
      </c>
      <c r="GO5" s="70">
        <v>276.89999999999998</v>
      </c>
      <c r="GP5" s="70">
        <v>275.95999999999998</v>
      </c>
      <c r="GQ5" s="70">
        <v>275.01</v>
      </c>
      <c r="GR5" s="70">
        <v>274.07</v>
      </c>
      <c r="GS5" s="70">
        <v>273.14</v>
      </c>
      <c r="GT5" s="70">
        <v>272.2</v>
      </c>
      <c r="GU5" s="70">
        <v>271.26</v>
      </c>
      <c r="GV5" s="70">
        <v>270.32</v>
      </c>
      <c r="GW5" s="70">
        <v>269.39</v>
      </c>
      <c r="GX5" s="70">
        <v>268.45999999999998</v>
      </c>
      <c r="GY5" s="70">
        <v>267.52999999999997</v>
      </c>
      <c r="GZ5" s="70">
        <v>266.60000000000002</v>
      </c>
      <c r="HA5" s="70">
        <v>265.67</v>
      </c>
      <c r="HB5" s="70">
        <v>264.74</v>
      </c>
      <c r="HC5" s="70">
        <v>263.81</v>
      </c>
      <c r="HD5" s="70">
        <v>262.89</v>
      </c>
      <c r="HE5" s="70">
        <v>261.95999999999998</v>
      </c>
      <c r="HF5" s="70">
        <v>261.04000000000002</v>
      </c>
      <c r="HG5" s="70">
        <v>260.12</v>
      </c>
      <c r="HH5" s="70">
        <v>259.2</v>
      </c>
      <c r="HI5" s="70">
        <v>258.27999999999997</v>
      </c>
      <c r="HJ5" s="70">
        <v>257.35000000000002</v>
      </c>
      <c r="HK5" s="70">
        <v>256.44</v>
      </c>
      <c r="HL5" s="70">
        <v>255.53</v>
      </c>
      <c r="HM5" s="70">
        <v>254.62</v>
      </c>
      <c r="HN5" s="70">
        <v>253.71</v>
      </c>
      <c r="HO5" s="70">
        <v>252.81</v>
      </c>
      <c r="HP5" s="70">
        <v>251.9</v>
      </c>
      <c r="HQ5" s="70">
        <v>251</v>
      </c>
      <c r="HR5" s="70">
        <v>250.09</v>
      </c>
      <c r="HS5" s="70">
        <v>249.19</v>
      </c>
      <c r="HT5" s="70">
        <v>248.29</v>
      </c>
      <c r="HU5" s="70">
        <v>247.39</v>
      </c>
      <c r="HV5" s="70">
        <v>246.49</v>
      </c>
      <c r="HW5" s="70">
        <v>245.59</v>
      </c>
      <c r="HX5" s="70">
        <v>244.69</v>
      </c>
      <c r="HY5" s="70">
        <v>243.8</v>
      </c>
      <c r="HZ5" s="70">
        <v>242.9</v>
      </c>
      <c r="IA5" s="70">
        <v>242.01</v>
      </c>
      <c r="IB5" s="70">
        <v>241.12</v>
      </c>
      <c r="IC5" s="70">
        <v>240.23</v>
      </c>
      <c r="ID5" s="70">
        <v>239.34</v>
      </c>
      <c r="IE5" s="70">
        <v>238.45</v>
      </c>
      <c r="IF5" s="70">
        <v>237.57</v>
      </c>
      <c r="IG5" s="70">
        <v>236.68</v>
      </c>
      <c r="IH5" s="70">
        <v>235.8</v>
      </c>
      <c r="II5" s="70">
        <v>234.91</v>
      </c>
      <c r="IJ5" s="70">
        <v>234.03</v>
      </c>
      <c r="IK5" s="70">
        <v>233.15</v>
      </c>
      <c r="IL5" s="70">
        <v>232.27</v>
      </c>
      <c r="IM5" s="70">
        <v>231.4</v>
      </c>
      <c r="IN5" s="70">
        <v>230.52</v>
      </c>
      <c r="IO5" s="70">
        <v>229.65</v>
      </c>
      <c r="IP5" s="70">
        <v>228.78</v>
      </c>
      <c r="IQ5" s="70">
        <v>227.91</v>
      </c>
      <c r="IR5" s="70">
        <v>227.04</v>
      </c>
      <c r="IS5" s="70">
        <v>226.17</v>
      </c>
      <c r="IT5" s="70">
        <v>225.3</v>
      </c>
      <c r="IU5" s="70">
        <v>224.43</v>
      </c>
      <c r="IV5" s="70">
        <v>223.57</v>
      </c>
      <c r="IW5" s="70">
        <v>222.72</v>
      </c>
      <c r="IX5" s="70">
        <v>221.86</v>
      </c>
      <c r="IY5" s="70">
        <v>221</v>
      </c>
      <c r="IZ5" s="70">
        <v>220.15</v>
      </c>
      <c r="JA5" s="70">
        <v>219.3</v>
      </c>
      <c r="JB5" s="70">
        <v>218.45</v>
      </c>
      <c r="JC5" s="70">
        <v>217.6</v>
      </c>
      <c r="JD5" s="70">
        <v>216.75</v>
      </c>
      <c r="JE5" s="70">
        <v>215.9</v>
      </c>
      <c r="JF5" s="70">
        <v>215.05</v>
      </c>
      <c r="JG5" s="70">
        <v>214.21</v>
      </c>
      <c r="JH5" s="70">
        <v>213.37</v>
      </c>
      <c r="JI5" s="70">
        <v>212.53</v>
      </c>
      <c r="JJ5" s="70">
        <v>211.69</v>
      </c>
      <c r="JK5" s="70">
        <v>210.85</v>
      </c>
      <c r="JL5" s="70">
        <v>210.01</v>
      </c>
      <c r="JM5" s="70">
        <v>209.17</v>
      </c>
      <c r="JN5" s="70">
        <v>208.34</v>
      </c>
      <c r="JO5" s="70">
        <v>207.5</v>
      </c>
      <c r="JP5" s="70">
        <v>206.67</v>
      </c>
      <c r="JQ5" s="70">
        <v>205.84</v>
      </c>
      <c r="JR5" s="70">
        <v>205.01</v>
      </c>
      <c r="JS5" s="70">
        <v>204.18</v>
      </c>
      <c r="JT5" s="70">
        <v>203.35</v>
      </c>
      <c r="JU5" s="70">
        <v>202.52</v>
      </c>
      <c r="JV5" s="70">
        <v>201.69</v>
      </c>
      <c r="JW5" s="70">
        <v>200.86</v>
      </c>
      <c r="JX5" s="70">
        <v>200.04</v>
      </c>
      <c r="JY5" s="70">
        <v>199.21</v>
      </c>
      <c r="JZ5" s="70">
        <v>198.39</v>
      </c>
      <c r="KA5" s="70">
        <v>197.57</v>
      </c>
      <c r="KB5" s="70">
        <v>196.75</v>
      </c>
      <c r="KC5" s="70">
        <v>195.93</v>
      </c>
      <c r="KD5" s="70">
        <v>195.11</v>
      </c>
      <c r="KE5" s="70">
        <v>194.29</v>
      </c>
      <c r="KF5" s="70">
        <v>193.48</v>
      </c>
      <c r="KG5" s="70">
        <v>192.66</v>
      </c>
      <c r="KH5" s="70">
        <v>191.85</v>
      </c>
      <c r="KI5" s="70">
        <v>191.04</v>
      </c>
      <c r="KJ5" s="70">
        <v>190.23</v>
      </c>
      <c r="KK5" s="70">
        <v>189.42</v>
      </c>
      <c r="KL5" s="70">
        <v>188.61</v>
      </c>
      <c r="KM5" s="70">
        <v>187.8</v>
      </c>
      <c r="KN5" s="70">
        <v>187</v>
      </c>
      <c r="KO5" s="70">
        <v>186.2</v>
      </c>
      <c r="KP5" s="70">
        <v>185.39</v>
      </c>
      <c r="KQ5" s="70">
        <v>184.59</v>
      </c>
      <c r="KR5" s="74">
        <f t="shared" ref="KR5:KR21" si="13">KR4+0.75</f>
        <v>183.77</v>
      </c>
      <c r="KS5" s="74">
        <f t="shared" ref="KS5:KS21" si="14">KS4+0.75</f>
        <v>182.98</v>
      </c>
      <c r="KT5" s="74">
        <f t="shared" ref="KT5:LI20" si="15">KT4+0.75</f>
        <v>182.16</v>
      </c>
      <c r="KU5" s="74">
        <f t="shared" si="12"/>
        <v>181.37</v>
      </c>
      <c r="KV5" s="74">
        <f t="shared" si="12"/>
        <v>180.59</v>
      </c>
      <c r="KW5" s="74">
        <f t="shared" si="12"/>
        <v>179.8</v>
      </c>
      <c r="KX5" s="74">
        <f t="shared" si="12"/>
        <v>179.01</v>
      </c>
      <c r="KY5" s="74">
        <f t="shared" si="12"/>
        <v>178.23</v>
      </c>
      <c r="KZ5" s="74">
        <f t="shared" si="12"/>
        <v>177.44</v>
      </c>
      <c r="LA5" s="74">
        <f t="shared" si="12"/>
        <v>176.66</v>
      </c>
      <c r="LB5" s="74">
        <f t="shared" si="12"/>
        <v>175.88</v>
      </c>
      <c r="LC5" s="74">
        <f t="shared" si="12"/>
        <v>175.1</v>
      </c>
      <c r="LD5" s="74">
        <f t="shared" si="12"/>
        <v>174.32</v>
      </c>
      <c r="LE5" s="74">
        <f t="shared" si="12"/>
        <v>173.54</v>
      </c>
      <c r="LF5" s="74">
        <f t="shared" si="12"/>
        <v>172.77</v>
      </c>
      <c r="LG5" s="74">
        <f t="shared" si="12"/>
        <v>172</v>
      </c>
      <c r="LH5" s="74">
        <f t="shared" si="12"/>
        <v>171.22</v>
      </c>
      <c r="LI5" s="74">
        <f t="shared" si="12"/>
        <v>170.45</v>
      </c>
      <c r="LJ5" s="74">
        <f t="shared" si="12"/>
        <v>169.68</v>
      </c>
      <c r="LK5" s="74">
        <f t="shared" si="12"/>
        <v>168.91</v>
      </c>
      <c r="LL5" s="74">
        <f t="shared" si="12"/>
        <v>168.14</v>
      </c>
      <c r="LM5" s="74">
        <f t="shared" si="12"/>
        <v>167.38</v>
      </c>
      <c r="LN5" s="74">
        <f t="shared" si="12"/>
        <v>166.61</v>
      </c>
      <c r="LO5" s="74">
        <f t="shared" si="12"/>
        <v>165.85</v>
      </c>
      <c r="LP5" s="74">
        <f t="shared" si="12"/>
        <v>165.09</v>
      </c>
      <c r="LQ5" s="74">
        <f t="shared" si="12"/>
        <v>164.33</v>
      </c>
      <c r="LR5" s="74">
        <f t="shared" si="12"/>
        <v>163.57</v>
      </c>
      <c r="LS5" s="74">
        <f t="shared" si="12"/>
        <v>162.81</v>
      </c>
      <c r="LT5" s="74">
        <f t="shared" si="12"/>
        <v>162.06</v>
      </c>
      <c r="LU5" s="74">
        <f t="shared" si="12"/>
        <v>161.31</v>
      </c>
      <c r="LV5" s="74">
        <f t="shared" si="12"/>
        <v>160.55000000000001</v>
      </c>
      <c r="LW5" s="74">
        <f t="shared" si="12"/>
        <v>159.80000000000001</v>
      </c>
      <c r="LX5" s="74">
        <f t="shared" si="12"/>
        <v>159.05000000000001</v>
      </c>
      <c r="LY5" s="74">
        <f t="shared" si="12"/>
        <v>158.30000000000001</v>
      </c>
      <c r="LZ5" s="74">
        <f t="shared" si="12"/>
        <v>157.56</v>
      </c>
      <c r="MA5" s="74">
        <f t="shared" si="12"/>
        <v>156.81</v>
      </c>
      <c r="MB5" s="74">
        <f t="shared" si="12"/>
        <v>156.07</v>
      </c>
      <c r="MC5" s="74">
        <f t="shared" si="12"/>
        <v>155.33000000000001</v>
      </c>
      <c r="MD5" s="74">
        <f t="shared" si="12"/>
        <v>154.59</v>
      </c>
      <c r="ME5" s="74">
        <f t="shared" si="12"/>
        <v>153.86000000000001</v>
      </c>
      <c r="MF5" s="74">
        <f t="shared" si="12"/>
        <v>153.12</v>
      </c>
      <c r="MG5" s="74">
        <f t="shared" si="12"/>
        <v>152.38999999999999</v>
      </c>
      <c r="MH5" s="74">
        <f t="shared" si="12"/>
        <v>151.65</v>
      </c>
      <c r="MI5" s="74">
        <f t="shared" si="12"/>
        <v>150.91999999999999</v>
      </c>
      <c r="MJ5" s="74">
        <f t="shared" si="12"/>
        <v>150.19</v>
      </c>
      <c r="MK5" s="74">
        <f t="shared" si="12"/>
        <v>149.46</v>
      </c>
      <c r="ML5" s="74">
        <f t="shared" si="12"/>
        <v>148.74</v>
      </c>
      <c r="MM5" s="74">
        <f t="shared" si="12"/>
        <v>148.01</v>
      </c>
      <c r="MN5" s="74">
        <f t="shared" si="12"/>
        <v>147.29</v>
      </c>
      <c r="MO5" s="74">
        <f t="shared" si="12"/>
        <v>146.57</v>
      </c>
      <c r="MP5" s="74">
        <f t="shared" si="12"/>
        <v>145.85</v>
      </c>
      <c r="MQ5" s="74">
        <f t="shared" si="12"/>
        <v>145.13999999999999</v>
      </c>
      <c r="MR5" s="74">
        <f t="shared" si="12"/>
        <v>144.41999999999999</v>
      </c>
      <c r="MS5" s="74">
        <f t="shared" si="12"/>
        <v>143.71</v>
      </c>
      <c r="MT5" s="74">
        <f t="shared" si="12"/>
        <v>142.99</v>
      </c>
      <c r="MU5" s="74">
        <f t="shared" si="12"/>
        <v>142.28</v>
      </c>
      <c r="MV5" s="74">
        <f t="shared" si="12"/>
        <v>141.57</v>
      </c>
      <c r="MW5" s="74">
        <f t="shared" si="12"/>
        <v>140.87</v>
      </c>
      <c r="MX5" s="74">
        <f t="shared" si="12"/>
        <v>140.16</v>
      </c>
      <c r="MY5" s="74">
        <f t="shared" si="12"/>
        <v>139.46</v>
      </c>
    </row>
    <row r="6" spans="1:363" ht="15.6" x14ac:dyDescent="0.3">
      <c r="A6" s="67" t="s">
        <v>6</v>
      </c>
      <c r="B6" s="72">
        <v>2016</v>
      </c>
      <c r="C6" s="70">
        <v>474.02</v>
      </c>
      <c r="D6" s="70">
        <v>472.98</v>
      </c>
      <c r="E6" s="70">
        <v>471.94</v>
      </c>
      <c r="F6" s="70">
        <v>470.9</v>
      </c>
      <c r="G6" s="70">
        <v>469.86</v>
      </c>
      <c r="H6" s="70">
        <v>468.82</v>
      </c>
      <c r="I6" s="70">
        <v>467.78</v>
      </c>
      <c r="J6" s="70">
        <v>466.74</v>
      </c>
      <c r="K6" s="70">
        <v>465.7</v>
      </c>
      <c r="L6" s="70">
        <v>464.66</v>
      </c>
      <c r="M6" s="70">
        <v>463.62</v>
      </c>
      <c r="N6" s="70">
        <v>462.58</v>
      </c>
      <c r="O6" s="70">
        <v>461.54</v>
      </c>
      <c r="P6" s="70">
        <v>460.5</v>
      </c>
      <c r="Q6" s="70">
        <v>459.47</v>
      </c>
      <c r="R6" s="70">
        <v>458.43</v>
      </c>
      <c r="S6" s="70">
        <v>457.39</v>
      </c>
      <c r="T6" s="70">
        <v>456.35</v>
      </c>
      <c r="U6" s="70">
        <v>455.31</v>
      </c>
      <c r="V6" s="70">
        <v>454.27</v>
      </c>
      <c r="W6" s="70">
        <v>453.24</v>
      </c>
      <c r="X6" s="70">
        <v>452.2</v>
      </c>
      <c r="Y6" s="70">
        <v>451.16</v>
      </c>
      <c r="Z6" s="70">
        <v>450.12</v>
      </c>
      <c r="AA6" s="70">
        <v>449.08</v>
      </c>
      <c r="AB6" s="70">
        <v>448.05</v>
      </c>
      <c r="AC6" s="70">
        <v>447.01</v>
      </c>
      <c r="AD6" s="70">
        <v>445.97</v>
      </c>
      <c r="AE6" s="70">
        <v>444.93</v>
      </c>
      <c r="AF6" s="70">
        <v>443.9</v>
      </c>
      <c r="AG6" s="70">
        <v>442.86</v>
      </c>
      <c r="AH6" s="70">
        <v>441.82</v>
      </c>
      <c r="AI6" s="70">
        <v>440.79</v>
      </c>
      <c r="AJ6" s="70">
        <v>439.75</v>
      </c>
      <c r="AK6" s="70">
        <v>438.71</v>
      </c>
      <c r="AL6" s="70">
        <v>437.68</v>
      </c>
      <c r="AM6" s="70">
        <v>436.64</v>
      </c>
      <c r="AN6" s="70">
        <v>435.6</v>
      </c>
      <c r="AO6" s="70">
        <v>434.57</v>
      </c>
      <c r="AP6" s="70">
        <v>433.53</v>
      </c>
      <c r="AQ6" s="70">
        <v>432.5</v>
      </c>
      <c r="AR6" s="70">
        <v>431.46</v>
      </c>
      <c r="AS6" s="70">
        <v>430.42</v>
      </c>
      <c r="AT6" s="70">
        <v>429.39</v>
      </c>
      <c r="AU6" s="70">
        <v>428.35</v>
      </c>
      <c r="AV6" s="70">
        <v>427.32</v>
      </c>
      <c r="AW6" s="70">
        <v>426.28</v>
      </c>
      <c r="AX6" s="70">
        <v>425.25</v>
      </c>
      <c r="AY6" s="70">
        <v>424.21</v>
      </c>
      <c r="AZ6" s="70">
        <v>423.18</v>
      </c>
      <c r="BA6" s="70">
        <v>422.14</v>
      </c>
      <c r="BB6" s="70">
        <v>421.11</v>
      </c>
      <c r="BC6" s="70">
        <v>420.07</v>
      </c>
      <c r="BD6" s="70">
        <v>419.04</v>
      </c>
      <c r="BE6" s="70">
        <v>418.01</v>
      </c>
      <c r="BF6" s="70">
        <v>416.97</v>
      </c>
      <c r="BG6" s="70">
        <v>415.94</v>
      </c>
      <c r="BH6" s="70">
        <v>414.9</v>
      </c>
      <c r="BI6" s="70">
        <v>413.87</v>
      </c>
      <c r="BJ6" s="70">
        <v>412.84</v>
      </c>
      <c r="BK6" s="70">
        <v>411.8</v>
      </c>
      <c r="BL6" s="70">
        <v>410.77</v>
      </c>
      <c r="BM6" s="70">
        <v>409.74</v>
      </c>
      <c r="BN6" s="70">
        <v>408.7</v>
      </c>
      <c r="BO6" s="70">
        <v>407.67</v>
      </c>
      <c r="BP6" s="70">
        <v>406.64</v>
      </c>
      <c r="BQ6" s="70">
        <v>405.6</v>
      </c>
      <c r="BR6" s="70">
        <v>404.57</v>
      </c>
      <c r="BS6" s="70">
        <v>403.54</v>
      </c>
      <c r="BT6" s="70">
        <v>402.5</v>
      </c>
      <c r="BU6" s="70">
        <v>401.47</v>
      </c>
      <c r="BV6" s="70">
        <v>400.44</v>
      </c>
      <c r="BW6" s="70">
        <v>399.41</v>
      </c>
      <c r="BX6" s="70">
        <v>398.38</v>
      </c>
      <c r="BY6" s="70">
        <v>397.35</v>
      </c>
      <c r="BZ6" s="70">
        <v>396.32</v>
      </c>
      <c r="CA6" s="70">
        <v>395.3</v>
      </c>
      <c r="CB6" s="70">
        <v>394.27</v>
      </c>
      <c r="CC6" s="70">
        <v>393.24</v>
      </c>
      <c r="CD6" s="70">
        <v>392.22</v>
      </c>
      <c r="CE6" s="70">
        <v>391.19</v>
      </c>
      <c r="CF6" s="70">
        <v>390.16</v>
      </c>
      <c r="CG6" s="70">
        <v>389.14</v>
      </c>
      <c r="CH6" s="70">
        <v>388.11</v>
      </c>
      <c r="CI6" s="70">
        <v>387.08</v>
      </c>
      <c r="CJ6" s="70">
        <v>386.06</v>
      </c>
      <c r="CK6" s="70">
        <v>385.03</v>
      </c>
      <c r="CL6" s="70">
        <v>384.01</v>
      </c>
      <c r="CM6" s="70">
        <v>382.99</v>
      </c>
      <c r="CN6" s="70">
        <v>381.96</v>
      </c>
      <c r="CO6" s="70">
        <v>380.94</v>
      </c>
      <c r="CP6" s="70">
        <v>379.91</v>
      </c>
      <c r="CQ6" s="70">
        <v>378.89</v>
      </c>
      <c r="CR6" s="70">
        <v>377.86</v>
      </c>
      <c r="CS6" s="70">
        <v>376.84</v>
      </c>
      <c r="CT6" s="70">
        <v>375.82</v>
      </c>
      <c r="CU6" s="70">
        <v>374.79</v>
      </c>
      <c r="CV6" s="70">
        <v>373.77</v>
      </c>
      <c r="CW6" s="70">
        <v>372.75</v>
      </c>
      <c r="CX6" s="70">
        <v>371.73</v>
      </c>
      <c r="CY6" s="70">
        <v>370.71</v>
      </c>
      <c r="CZ6" s="70">
        <v>369.69</v>
      </c>
      <c r="DA6" s="70">
        <v>368.67</v>
      </c>
      <c r="DB6" s="70">
        <v>367.65</v>
      </c>
      <c r="DC6" s="70">
        <v>366.63</v>
      </c>
      <c r="DD6" s="70">
        <v>365.61</v>
      </c>
      <c r="DE6" s="70">
        <v>364.59</v>
      </c>
      <c r="DF6" s="70">
        <v>363.57</v>
      </c>
      <c r="DG6" s="70">
        <v>362.55</v>
      </c>
      <c r="DH6" s="70">
        <v>361.53</v>
      </c>
      <c r="DI6" s="70">
        <v>360.52</v>
      </c>
      <c r="DJ6" s="70">
        <v>359.5</v>
      </c>
      <c r="DK6" s="70">
        <v>358.48</v>
      </c>
      <c r="DL6" s="70">
        <v>357.47</v>
      </c>
      <c r="DM6" s="70">
        <v>356.45</v>
      </c>
      <c r="DN6" s="70">
        <v>355.43</v>
      </c>
      <c r="DO6" s="70">
        <v>354.42</v>
      </c>
      <c r="DP6" s="70">
        <v>353.4</v>
      </c>
      <c r="DQ6" s="70">
        <v>352.39</v>
      </c>
      <c r="DR6" s="70">
        <v>351.38</v>
      </c>
      <c r="DS6" s="70">
        <v>350.36</v>
      </c>
      <c r="DT6" s="70">
        <v>349.35</v>
      </c>
      <c r="DU6" s="70">
        <v>348.34</v>
      </c>
      <c r="DV6" s="70">
        <v>347.33</v>
      </c>
      <c r="DW6" s="70">
        <v>346.32</v>
      </c>
      <c r="DX6" s="70">
        <v>345.32</v>
      </c>
      <c r="DY6" s="70">
        <v>344.31</v>
      </c>
      <c r="DZ6" s="70">
        <v>343.3</v>
      </c>
      <c r="EA6" s="70">
        <v>342.29</v>
      </c>
      <c r="EB6" s="70">
        <v>341.29</v>
      </c>
      <c r="EC6" s="70">
        <v>340.28</v>
      </c>
      <c r="ED6" s="70">
        <v>339.28</v>
      </c>
      <c r="EE6" s="70">
        <v>338.28</v>
      </c>
      <c r="EF6" s="70">
        <v>337.28</v>
      </c>
      <c r="EG6" s="70">
        <v>336.28</v>
      </c>
      <c r="EH6" s="70">
        <v>335.28</v>
      </c>
      <c r="EI6" s="70">
        <v>334.28</v>
      </c>
      <c r="EJ6" s="70">
        <v>333.29</v>
      </c>
      <c r="EK6" s="70">
        <v>332.29</v>
      </c>
      <c r="EL6" s="70">
        <v>331.3</v>
      </c>
      <c r="EM6" s="70">
        <v>330.3</v>
      </c>
      <c r="EN6" s="70">
        <v>329.31</v>
      </c>
      <c r="EO6" s="70">
        <v>328.31</v>
      </c>
      <c r="EP6" s="70">
        <v>327.32</v>
      </c>
      <c r="EQ6" s="70">
        <v>326.32</v>
      </c>
      <c r="ER6" s="70">
        <v>325.33999999999997</v>
      </c>
      <c r="ES6" s="70">
        <v>324.35000000000002</v>
      </c>
      <c r="ET6" s="70">
        <v>323.35000000000002</v>
      </c>
      <c r="EU6" s="70">
        <v>322.37</v>
      </c>
      <c r="EV6" s="70">
        <v>321.39</v>
      </c>
      <c r="EW6" s="70">
        <v>320.39999999999998</v>
      </c>
      <c r="EX6" s="70">
        <v>319.41000000000003</v>
      </c>
      <c r="EY6" s="70">
        <v>318.43</v>
      </c>
      <c r="EZ6" s="70">
        <v>317.44</v>
      </c>
      <c r="FA6" s="70">
        <v>316.45999999999998</v>
      </c>
      <c r="FB6" s="70">
        <v>315.47000000000003</v>
      </c>
      <c r="FC6" s="70">
        <v>314.49</v>
      </c>
      <c r="FD6" s="70">
        <v>313.51</v>
      </c>
      <c r="FE6" s="70">
        <v>312.52999999999997</v>
      </c>
      <c r="FF6" s="70">
        <v>311.54000000000002</v>
      </c>
      <c r="FG6" s="70">
        <v>310.57</v>
      </c>
      <c r="FH6" s="70">
        <v>309.60000000000002</v>
      </c>
      <c r="FI6" s="70">
        <v>308.62</v>
      </c>
      <c r="FJ6" s="70">
        <v>307.64999999999998</v>
      </c>
      <c r="FK6" s="70">
        <v>306.67</v>
      </c>
      <c r="FL6" s="70">
        <v>305.7</v>
      </c>
      <c r="FM6" s="70">
        <v>304.72000000000003</v>
      </c>
      <c r="FN6" s="70">
        <v>303.75</v>
      </c>
      <c r="FO6" s="70">
        <v>302.77999999999997</v>
      </c>
      <c r="FP6" s="70">
        <v>301.81</v>
      </c>
      <c r="FQ6" s="70">
        <v>300.83999999999997</v>
      </c>
      <c r="FR6" s="70">
        <v>299.87</v>
      </c>
      <c r="FS6" s="70">
        <v>298.89999999999998</v>
      </c>
      <c r="FT6" s="70">
        <v>297.94</v>
      </c>
      <c r="FU6" s="70">
        <v>296.97000000000003</v>
      </c>
      <c r="FV6" s="70">
        <v>296</v>
      </c>
      <c r="FW6" s="70">
        <v>295.04000000000002</v>
      </c>
      <c r="FX6" s="70">
        <v>294.07</v>
      </c>
      <c r="FY6" s="70">
        <v>293.10000000000002</v>
      </c>
      <c r="FZ6" s="70">
        <v>292.14999999999998</v>
      </c>
      <c r="GA6" s="70">
        <v>291.19</v>
      </c>
      <c r="GB6" s="70">
        <v>290.23</v>
      </c>
      <c r="GC6" s="70">
        <v>289.26</v>
      </c>
      <c r="GD6" s="70">
        <v>288.31</v>
      </c>
      <c r="GE6" s="70">
        <v>287.35000000000002</v>
      </c>
      <c r="GF6" s="70">
        <v>286.39999999999998</v>
      </c>
      <c r="GG6" s="70">
        <v>285.45</v>
      </c>
      <c r="GH6" s="70">
        <v>284.49</v>
      </c>
      <c r="GI6" s="70">
        <v>283.54000000000002</v>
      </c>
      <c r="GJ6" s="70">
        <v>282.58999999999997</v>
      </c>
      <c r="GK6" s="70">
        <v>281.63</v>
      </c>
      <c r="GL6" s="70">
        <v>280.68</v>
      </c>
      <c r="GM6" s="70">
        <v>279.73</v>
      </c>
      <c r="GN6" s="70">
        <v>278.79000000000002</v>
      </c>
      <c r="GO6" s="70">
        <v>277.85000000000002</v>
      </c>
      <c r="GP6" s="70">
        <v>276.89999999999998</v>
      </c>
      <c r="GQ6" s="70">
        <v>275.95999999999998</v>
      </c>
      <c r="GR6" s="70">
        <v>275.01</v>
      </c>
      <c r="GS6" s="70">
        <v>274.07</v>
      </c>
      <c r="GT6" s="70">
        <v>273.14</v>
      </c>
      <c r="GU6" s="70">
        <v>272.2</v>
      </c>
      <c r="GV6" s="70">
        <v>271.26</v>
      </c>
      <c r="GW6" s="70">
        <v>270.32</v>
      </c>
      <c r="GX6" s="70">
        <v>269.39999999999998</v>
      </c>
      <c r="GY6" s="70">
        <v>268.45999999999998</v>
      </c>
      <c r="GZ6" s="70">
        <v>267.52999999999997</v>
      </c>
      <c r="HA6" s="70">
        <v>266.60000000000002</v>
      </c>
      <c r="HB6" s="70">
        <v>265.67</v>
      </c>
      <c r="HC6" s="70">
        <v>264.75</v>
      </c>
      <c r="HD6" s="70">
        <v>263.82</v>
      </c>
      <c r="HE6" s="70">
        <v>262.89</v>
      </c>
      <c r="HF6" s="70">
        <v>261.97000000000003</v>
      </c>
      <c r="HG6" s="70">
        <v>261.04000000000002</v>
      </c>
      <c r="HH6" s="70">
        <v>260.12</v>
      </c>
      <c r="HI6" s="70">
        <v>259.2</v>
      </c>
      <c r="HJ6" s="70">
        <v>258.27999999999997</v>
      </c>
      <c r="HK6" s="70">
        <v>257.35000000000002</v>
      </c>
      <c r="HL6" s="70">
        <v>256.45</v>
      </c>
      <c r="HM6" s="70">
        <v>255.54</v>
      </c>
      <c r="HN6" s="70">
        <v>254.63</v>
      </c>
      <c r="HO6" s="70">
        <v>253.72</v>
      </c>
      <c r="HP6" s="70">
        <v>252.81</v>
      </c>
      <c r="HQ6" s="70">
        <v>251.91</v>
      </c>
      <c r="HR6" s="70">
        <v>251</v>
      </c>
      <c r="HS6" s="70">
        <v>250.1</v>
      </c>
      <c r="HT6" s="70">
        <v>249.19</v>
      </c>
      <c r="HU6" s="70">
        <v>248.29</v>
      </c>
      <c r="HV6" s="70">
        <v>247.39</v>
      </c>
      <c r="HW6" s="70">
        <v>246.49</v>
      </c>
      <c r="HX6" s="70">
        <v>245.59</v>
      </c>
      <c r="HY6" s="70">
        <v>244.7</v>
      </c>
      <c r="HZ6" s="70">
        <v>243.8</v>
      </c>
      <c r="IA6" s="70">
        <v>242.91</v>
      </c>
      <c r="IB6" s="70">
        <v>242.02</v>
      </c>
      <c r="IC6" s="70">
        <v>241.12</v>
      </c>
      <c r="ID6" s="70">
        <v>240.23</v>
      </c>
      <c r="IE6" s="70">
        <v>239.34</v>
      </c>
      <c r="IF6" s="70">
        <v>238.46</v>
      </c>
      <c r="IG6" s="70">
        <v>237.57</v>
      </c>
      <c r="IH6" s="70">
        <v>236.68</v>
      </c>
      <c r="II6" s="70">
        <v>235.8</v>
      </c>
      <c r="IJ6" s="70">
        <v>234.91</v>
      </c>
      <c r="IK6" s="70">
        <v>234.03</v>
      </c>
      <c r="IL6" s="70">
        <v>233.15</v>
      </c>
      <c r="IM6" s="70">
        <v>232.28</v>
      </c>
      <c r="IN6" s="70">
        <v>231.4</v>
      </c>
      <c r="IO6" s="70">
        <v>230.52</v>
      </c>
      <c r="IP6" s="70">
        <v>229.65</v>
      </c>
      <c r="IQ6" s="70">
        <v>228.78</v>
      </c>
      <c r="IR6" s="70">
        <v>227.9</v>
      </c>
      <c r="IS6" s="70">
        <v>227.03</v>
      </c>
      <c r="IT6" s="70">
        <v>226.17</v>
      </c>
      <c r="IU6" s="70">
        <v>225.3</v>
      </c>
      <c r="IV6" s="70">
        <v>224.44</v>
      </c>
      <c r="IW6" s="70">
        <v>223.58</v>
      </c>
      <c r="IX6" s="70">
        <v>222.72</v>
      </c>
      <c r="IY6" s="70">
        <v>221.86</v>
      </c>
      <c r="IZ6" s="70">
        <v>221.01</v>
      </c>
      <c r="JA6" s="70">
        <v>220.15</v>
      </c>
      <c r="JB6" s="70">
        <v>219.3</v>
      </c>
      <c r="JC6" s="70">
        <v>218.45</v>
      </c>
      <c r="JD6" s="70">
        <v>217.6</v>
      </c>
      <c r="JE6" s="70">
        <v>216.75</v>
      </c>
      <c r="JF6" s="70">
        <v>215.9</v>
      </c>
      <c r="JG6" s="70">
        <v>215.05</v>
      </c>
      <c r="JH6" s="70">
        <v>214.21</v>
      </c>
      <c r="JI6" s="70">
        <v>213.37</v>
      </c>
      <c r="JJ6" s="70">
        <v>212.52</v>
      </c>
      <c r="JK6" s="70">
        <v>211.68</v>
      </c>
      <c r="JL6" s="70">
        <v>210.84</v>
      </c>
      <c r="JM6" s="70">
        <v>210.01</v>
      </c>
      <c r="JN6" s="70">
        <v>209.17</v>
      </c>
      <c r="JO6" s="70">
        <v>208.33</v>
      </c>
      <c r="JP6" s="70">
        <v>207.5</v>
      </c>
      <c r="JQ6" s="70">
        <v>206.66</v>
      </c>
      <c r="JR6" s="70">
        <v>205.83</v>
      </c>
      <c r="JS6" s="70">
        <v>205</v>
      </c>
      <c r="JT6" s="70">
        <v>204.17</v>
      </c>
      <c r="JU6" s="70">
        <v>203.34</v>
      </c>
      <c r="JV6" s="70">
        <v>202.51</v>
      </c>
      <c r="JW6" s="70">
        <v>201.68</v>
      </c>
      <c r="JX6" s="70">
        <v>200.85</v>
      </c>
      <c r="JY6" s="70">
        <v>200.02</v>
      </c>
      <c r="JZ6" s="70">
        <v>199.2</v>
      </c>
      <c r="KA6" s="70">
        <v>198.38</v>
      </c>
      <c r="KB6" s="70">
        <v>197.55</v>
      </c>
      <c r="KC6" s="70">
        <v>196.73</v>
      </c>
      <c r="KD6" s="70">
        <v>195.91</v>
      </c>
      <c r="KE6" s="70">
        <v>195.09</v>
      </c>
      <c r="KF6" s="70">
        <v>194.27</v>
      </c>
      <c r="KG6" s="70">
        <v>193.46</v>
      </c>
      <c r="KH6" s="70">
        <v>192.64</v>
      </c>
      <c r="KI6" s="70">
        <v>191.83</v>
      </c>
      <c r="KJ6" s="70">
        <v>191.01</v>
      </c>
      <c r="KK6" s="70">
        <v>190.2</v>
      </c>
      <c r="KL6" s="70">
        <v>189.39</v>
      </c>
      <c r="KM6" s="70">
        <v>188.58</v>
      </c>
      <c r="KN6" s="70">
        <v>187.78</v>
      </c>
      <c r="KO6" s="70">
        <v>186.97</v>
      </c>
      <c r="KP6" s="70">
        <v>186.17</v>
      </c>
      <c r="KQ6" s="70">
        <v>185.36</v>
      </c>
      <c r="KR6" s="74">
        <f t="shared" si="13"/>
        <v>184.52</v>
      </c>
      <c r="KS6" s="74">
        <f t="shared" si="14"/>
        <v>183.73</v>
      </c>
      <c r="KT6" s="74">
        <f t="shared" si="15"/>
        <v>182.91</v>
      </c>
      <c r="KU6" s="74">
        <f t="shared" si="12"/>
        <v>182.12</v>
      </c>
      <c r="KV6" s="74">
        <f t="shared" si="12"/>
        <v>181.34</v>
      </c>
      <c r="KW6" s="74">
        <f t="shared" si="12"/>
        <v>180.55</v>
      </c>
      <c r="KX6" s="74">
        <f t="shared" si="12"/>
        <v>179.76</v>
      </c>
      <c r="KY6" s="74">
        <f t="shared" si="12"/>
        <v>178.98</v>
      </c>
      <c r="KZ6" s="74">
        <f t="shared" si="12"/>
        <v>178.19</v>
      </c>
      <c r="LA6" s="74">
        <f t="shared" si="12"/>
        <v>177.41</v>
      </c>
      <c r="LB6" s="74">
        <f t="shared" si="12"/>
        <v>176.63</v>
      </c>
      <c r="LC6" s="74">
        <f t="shared" si="12"/>
        <v>175.85</v>
      </c>
      <c r="LD6" s="74">
        <f t="shared" si="12"/>
        <v>175.07</v>
      </c>
      <c r="LE6" s="74">
        <f t="shared" si="12"/>
        <v>174.29</v>
      </c>
      <c r="LF6" s="74">
        <f t="shared" si="12"/>
        <v>173.52</v>
      </c>
      <c r="LG6" s="74">
        <f t="shared" si="12"/>
        <v>172.75</v>
      </c>
      <c r="LH6" s="74">
        <f t="shared" si="12"/>
        <v>171.97</v>
      </c>
      <c r="LI6" s="74">
        <f t="shared" si="12"/>
        <v>171.2</v>
      </c>
      <c r="LJ6" s="74">
        <f t="shared" si="12"/>
        <v>170.43</v>
      </c>
      <c r="LK6" s="74">
        <f t="shared" si="12"/>
        <v>169.66</v>
      </c>
      <c r="LL6" s="74">
        <f t="shared" si="12"/>
        <v>168.89</v>
      </c>
      <c r="LM6" s="74">
        <f t="shared" si="12"/>
        <v>168.13</v>
      </c>
      <c r="LN6" s="74">
        <f t="shared" si="12"/>
        <v>167.36</v>
      </c>
      <c r="LO6" s="74">
        <f t="shared" si="12"/>
        <v>166.6</v>
      </c>
      <c r="LP6" s="74">
        <f t="shared" si="12"/>
        <v>165.84</v>
      </c>
      <c r="LQ6" s="74">
        <f t="shared" si="12"/>
        <v>165.08</v>
      </c>
      <c r="LR6" s="74">
        <f t="shared" si="12"/>
        <v>164.32</v>
      </c>
      <c r="LS6" s="74">
        <f t="shared" si="12"/>
        <v>163.56</v>
      </c>
      <c r="LT6" s="74">
        <f t="shared" si="12"/>
        <v>162.81</v>
      </c>
      <c r="LU6" s="74">
        <f t="shared" si="12"/>
        <v>162.06</v>
      </c>
      <c r="LV6" s="74">
        <f t="shared" si="12"/>
        <v>161.30000000000001</v>
      </c>
      <c r="LW6" s="74">
        <f t="shared" si="12"/>
        <v>160.55000000000001</v>
      </c>
      <c r="LX6" s="74">
        <f t="shared" si="12"/>
        <v>159.80000000000001</v>
      </c>
      <c r="LY6" s="74">
        <f t="shared" si="12"/>
        <v>159.05000000000001</v>
      </c>
      <c r="LZ6" s="74">
        <f t="shared" si="12"/>
        <v>158.31</v>
      </c>
      <c r="MA6" s="74">
        <f t="shared" si="12"/>
        <v>157.56</v>
      </c>
      <c r="MB6" s="74">
        <f t="shared" si="12"/>
        <v>156.82</v>
      </c>
      <c r="MC6" s="74">
        <f t="shared" si="12"/>
        <v>156.08000000000001</v>
      </c>
      <c r="MD6" s="74">
        <f t="shared" si="12"/>
        <v>155.34</v>
      </c>
      <c r="ME6" s="74">
        <f t="shared" si="12"/>
        <v>154.61000000000001</v>
      </c>
      <c r="MF6" s="74">
        <f t="shared" si="12"/>
        <v>153.87</v>
      </c>
      <c r="MG6" s="74">
        <f t="shared" si="12"/>
        <v>153.13999999999999</v>
      </c>
      <c r="MH6" s="74">
        <f t="shared" si="12"/>
        <v>152.4</v>
      </c>
      <c r="MI6" s="74">
        <f t="shared" si="12"/>
        <v>151.66999999999999</v>
      </c>
      <c r="MJ6" s="74">
        <f t="shared" si="12"/>
        <v>150.94</v>
      </c>
      <c r="MK6" s="74">
        <f t="shared" si="12"/>
        <v>150.21</v>
      </c>
      <c r="ML6" s="74">
        <f t="shared" si="12"/>
        <v>149.49</v>
      </c>
      <c r="MM6" s="74">
        <f t="shared" si="12"/>
        <v>148.76</v>
      </c>
      <c r="MN6" s="74">
        <f t="shared" si="12"/>
        <v>148.04</v>
      </c>
      <c r="MO6" s="74">
        <f t="shared" si="12"/>
        <v>147.32</v>
      </c>
      <c r="MP6" s="74">
        <f t="shared" si="12"/>
        <v>146.6</v>
      </c>
      <c r="MQ6" s="74">
        <f t="shared" si="12"/>
        <v>145.88999999999999</v>
      </c>
      <c r="MR6" s="74">
        <f t="shared" si="12"/>
        <v>145.16999999999999</v>
      </c>
      <c r="MS6" s="74">
        <f t="shared" si="12"/>
        <v>144.46</v>
      </c>
      <c r="MT6" s="74">
        <f t="shared" si="12"/>
        <v>143.74</v>
      </c>
      <c r="MU6" s="74">
        <f t="shared" si="12"/>
        <v>143.03</v>
      </c>
      <c r="MV6" s="74">
        <f t="shared" si="12"/>
        <v>142.32</v>
      </c>
      <c r="MW6" s="74">
        <f t="shared" si="12"/>
        <v>141.62</v>
      </c>
      <c r="MX6" s="74">
        <f t="shared" si="12"/>
        <v>140.91</v>
      </c>
      <c r="MY6" s="74">
        <f t="shared" si="12"/>
        <v>140.21</v>
      </c>
    </row>
    <row r="7" spans="1:363" ht="15.6" x14ac:dyDescent="0.3">
      <c r="A7" s="67" t="s">
        <v>6</v>
      </c>
      <c r="B7" s="72">
        <v>2017</v>
      </c>
      <c r="C7" s="70">
        <v>475.07</v>
      </c>
      <c r="D7" s="70">
        <v>474.03</v>
      </c>
      <c r="E7" s="70">
        <v>472.99</v>
      </c>
      <c r="F7" s="70">
        <v>471.95</v>
      </c>
      <c r="G7" s="70">
        <v>470.91</v>
      </c>
      <c r="H7" s="70">
        <v>469.87</v>
      </c>
      <c r="I7" s="70">
        <v>468.83</v>
      </c>
      <c r="J7" s="70">
        <v>467.79</v>
      </c>
      <c r="K7" s="70">
        <v>466.75</v>
      </c>
      <c r="L7" s="70">
        <v>465.71</v>
      </c>
      <c r="M7" s="70">
        <v>464.67</v>
      </c>
      <c r="N7" s="70">
        <v>463.63</v>
      </c>
      <c r="O7" s="70">
        <v>462.59</v>
      </c>
      <c r="P7" s="70">
        <v>461.55</v>
      </c>
      <c r="Q7" s="70">
        <v>460.51</v>
      </c>
      <c r="R7" s="70">
        <v>459.48</v>
      </c>
      <c r="S7" s="70">
        <v>458.44</v>
      </c>
      <c r="T7" s="70">
        <v>457.4</v>
      </c>
      <c r="U7" s="70">
        <v>456.36</v>
      </c>
      <c r="V7" s="70">
        <v>455.32</v>
      </c>
      <c r="W7" s="70">
        <v>454.28</v>
      </c>
      <c r="X7" s="70">
        <v>453.25</v>
      </c>
      <c r="Y7" s="70">
        <v>452.21</v>
      </c>
      <c r="Z7" s="70">
        <v>451.17</v>
      </c>
      <c r="AA7" s="70">
        <v>450.13</v>
      </c>
      <c r="AB7" s="70">
        <v>449.09</v>
      </c>
      <c r="AC7" s="70">
        <v>448.06</v>
      </c>
      <c r="AD7" s="70">
        <v>447.02</v>
      </c>
      <c r="AE7" s="70">
        <v>445.98</v>
      </c>
      <c r="AF7" s="70">
        <v>444.95</v>
      </c>
      <c r="AG7" s="70">
        <v>443.91</v>
      </c>
      <c r="AH7" s="70">
        <v>442.87</v>
      </c>
      <c r="AI7" s="70">
        <v>441.83</v>
      </c>
      <c r="AJ7" s="70">
        <v>440.8</v>
      </c>
      <c r="AK7" s="70">
        <v>439.76</v>
      </c>
      <c r="AL7" s="70">
        <v>438.72</v>
      </c>
      <c r="AM7" s="70">
        <v>437.69</v>
      </c>
      <c r="AN7" s="70">
        <v>436.65</v>
      </c>
      <c r="AO7" s="70">
        <v>435.61</v>
      </c>
      <c r="AP7" s="70">
        <v>434.58</v>
      </c>
      <c r="AQ7" s="70">
        <v>433.54</v>
      </c>
      <c r="AR7" s="70">
        <v>432.51</v>
      </c>
      <c r="AS7" s="70">
        <v>431.47</v>
      </c>
      <c r="AT7" s="70">
        <v>430.44</v>
      </c>
      <c r="AU7" s="70">
        <v>429.4</v>
      </c>
      <c r="AV7" s="70">
        <v>428.36</v>
      </c>
      <c r="AW7" s="70">
        <v>427.33</v>
      </c>
      <c r="AX7" s="70">
        <v>426.29</v>
      </c>
      <c r="AY7" s="70">
        <v>425.26</v>
      </c>
      <c r="AZ7" s="70">
        <v>424.22</v>
      </c>
      <c r="BA7" s="70">
        <v>423.19</v>
      </c>
      <c r="BB7" s="70">
        <v>422.16</v>
      </c>
      <c r="BC7" s="70">
        <v>421.12</v>
      </c>
      <c r="BD7" s="70">
        <v>420.09</v>
      </c>
      <c r="BE7" s="70">
        <v>419.05</v>
      </c>
      <c r="BF7" s="70">
        <v>418.02</v>
      </c>
      <c r="BG7" s="70">
        <v>416.98</v>
      </c>
      <c r="BH7" s="70">
        <v>415.95</v>
      </c>
      <c r="BI7" s="70">
        <v>414.92</v>
      </c>
      <c r="BJ7" s="70">
        <v>413.88</v>
      </c>
      <c r="BK7" s="70">
        <v>412.85</v>
      </c>
      <c r="BL7" s="70">
        <v>411.81</v>
      </c>
      <c r="BM7" s="70">
        <v>410.78</v>
      </c>
      <c r="BN7" s="70">
        <v>409.75</v>
      </c>
      <c r="BO7" s="70">
        <v>408.71</v>
      </c>
      <c r="BP7" s="70">
        <v>407.68</v>
      </c>
      <c r="BQ7" s="70">
        <v>406.64</v>
      </c>
      <c r="BR7" s="70">
        <v>405.61</v>
      </c>
      <c r="BS7" s="70">
        <v>404.58</v>
      </c>
      <c r="BT7" s="70">
        <v>403.55</v>
      </c>
      <c r="BU7" s="70">
        <v>402.51</v>
      </c>
      <c r="BV7" s="70">
        <v>401.48</v>
      </c>
      <c r="BW7" s="70">
        <v>400.45</v>
      </c>
      <c r="BX7" s="70">
        <v>399.42</v>
      </c>
      <c r="BY7" s="70">
        <v>398.39</v>
      </c>
      <c r="BZ7" s="70">
        <v>397.36</v>
      </c>
      <c r="CA7" s="70">
        <v>396.34</v>
      </c>
      <c r="CB7" s="70">
        <v>395.31</v>
      </c>
      <c r="CC7" s="70">
        <v>394.28</v>
      </c>
      <c r="CD7" s="70">
        <v>393.25</v>
      </c>
      <c r="CE7" s="70">
        <v>392.23</v>
      </c>
      <c r="CF7" s="70">
        <v>391.2</v>
      </c>
      <c r="CG7" s="70">
        <v>390.17</v>
      </c>
      <c r="CH7" s="70">
        <v>389.15</v>
      </c>
      <c r="CI7" s="70">
        <v>388.12</v>
      </c>
      <c r="CJ7" s="70">
        <v>387.1</v>
      </c>
      <c r="CK7" s="70">
        <v>386.07</v>
      </c>
      <c r="CL7" s="70">
        <v>385.04</v>
      </c>
      <c r="CM7" s="70">
        <v>384.02</v>
      </c>
      <c r="CN7" s="70">
        <v>382.99</v>
      </c>
      <c r="CO7" s="70">
        <v>381.97</v>
      </c>
      <c r="CP7" s="70">
        <v>380.94</v>
      </c>
      <c r="CQ7" s="70">
        <v>379.92</v>
      </c>
      <c r="CR7" s="70">
        <v>378.89</v>
      </c>
      <c r="CS7" s="70">
        <v>377.87</v>
      </c>
      <c r="CT7" s="70">
        <v>376.85</v>
      </c>
      <c r="CU7" s="70">
        <v>375.82</v>
      </c>
      <c r="CV7" s="70">
        <v>374.8</v>
      </c>
      <c r="CW7" s="70">
        <v>373.78</v>
      </c>
      <c r="CX7" s="70">
        <v>372.76</v>
      </c>
      <c r="CY7" s="70">
        <v>371.74</v>
      </c>
      <c r="CZ7" s="70">
        <v>370.71</v>
      </c>
      <c r="DA7" s="70">
        <v>369.69</v>
      </c>
      <c r="DB7" s="70">
        <v>368.67</v>
      </c>
      <c r="DC7" s="70">
        <v>367.65</v>
      </c>
      <c r="DD7" s="70">
        <v>366.63</v>
      </c>
      <c r="DE7" s="70">
        <v>365.61</v>
      </c>
      <c r="DF7" s="70">
        <v>364.59</v>
      </c>
      <c r="DG7" s="70">
        <v>363.57</v>
      </c>
      <c r="DH7" s="70">
        <v>362.55</v>
      </c>
      <c r="DI7" s="70">
        <v>361.54</v>
      </c>
      <c r="DJ7" s="70">
        <v>360.52</v>
      </c>
      <c r="DK7" s="70">
        <v>359.5</v>
      </c>
      <c r="DL7" s="70">
        <v>358.49</v>
      </c>
      <c r="DM7" s="70">
        <v>357.47</v>
      </c>
      <c r="DN7" s="70">
        <v>356.45</v>
      </c>
      <c r="DO7" s="70">
        <v>355.44</v>
      </c>
      <c r="DP7" s="70">
        <v>354.42</v>
      </c>
      <c r="DQ7" s="70">
        <v>353.41</v>
      </c>
      <c r="DR7" s="70">
        <v>352.39</v>
      </c>
      <c r="DS7" s="70">
        <v>351.38</v>
      </c>
      <c r="DT7" s="70">
        <v>350.37</v>
      </c>
      <c r="DU7" s="70">
        <v>349.35</v>
      </c>
      <c r="DV7" s="70">
        <v>348.34</v>
      </c>
      <c r="DW7" s="70">
        <v>347.34</v>
      </c>
      <c r="DX7" s="70">
        <v>346.33</v>
      </c>
      <c r="DY7" s="70">
        <v>345.32</v>
      </c>
      <c r="DZ7" s="70">
        <v>344.31</v>
      </c>
      <c r="EA7" s="70">
        <v>343.3</v>
      </c>
      <c r="EB7" s="70">
        <v>342.3</v>
      </c>
      <c r="EC7" s="70">
        <v>341.29</v>
      </c>
      <c r="ED7" s="70">
        <v>340.29</v>
      </c>
      <c r="EE7" s="70">
        <v>339.28</v>
      </c>
      <c r="EF7" s="70">
        <v>338.28</v>
      </c>
      <c r="EG7" s="70">
        <v>337.28</v>
      </c>
      <c r="EH7" s="70">
        <v>336.28</v>
      </c>
      <c r="EI7" s="70">
        <v>335.29</v>
      </c>
      <c r="EJ7" s="70">
        <v>334.29</v>
      </c>
      <c r="EK7" s="70">
        <v>333.29</v>
      </c>
      <c r="EL7" s="70">
        <v>332.3</v>
      </c>
      <c r="EM7" s="70">
        <v>331.3</v>
      </c>
      <c r="EN7" s="70">
        <v>330.31</v>
      </c>
      <c r="EO7" s="70">
        <v>329.31</v>
      </c>
      <c r="EP7" s="70">
        <v>328.32</v>
      </c>
      <c r="EQ7" s="70">
        <v>327.32</v>
      </c>
      <c r="ER7" s="70">
        <v>326.32</v>
      </c>
      <c r="ES7" s="70">
        <v>325.33999999999997</v>
      </c>
      <c r="ET7" s="70">
        <v>324.35000000000002</v>
      </c>
      <c r="EU7" s="70">
        <v>323.37</v>
      </c>
      <c r="EV7" s="70">
        <v>322.38</v>
      </c>
      <c r="EW7" s="70">
        <v>321.39</v>
      </c>
      <c r="EX7" s="70">
        <v>320.39999999999998</v>
      </c>
      <c r="EY7" s="70">
        <v>319.42</v>
      </c>
      <c r="EZ7" s="70">
        <v>318.43</v>
      </c>
      <c r="FA7" s="70">
        <v>317.44</v>
      </c>
      <c r="FB7" s="70">
        <v>316.45999999999998</v>
      </c>
      <c r="FC7" s="70">
        <v>315.48</v>
      </c>
      <c r="FD7" s="70">
        <v>314.5</v>
      </c>
      <c r="FE7" s="70">
        <v>313.51</v>
      </c>
      <c r="FF7" s="70">
        <v>312.54000000000002</v>
      </c>
      <c r="FG7" s="70">
        <v>311.56</v>
      </c>
      <c r="FH7" s="70">
        <v>310.57</v>
      </c>
      <c r="FI7" s="70">
        <v>309.60000000000002</v>
      </c>
      <c r="FJ7" s="70">
        <v>308.63</v>
      </c>
      <c r="FK7" s="70">
        <v>307.64999999999998</v>
      </c>
      <c r="FL7" s="70">
        <v>306.67</v>
      </c>
      <c r="FM7" s="70">
        <v>305.7</v>
      </c>
      <c r="FN7" s="70">
        <v>304.73</v>
      </c>
      <c r="FO7" s="70">
        <v>303.75</v>
      </c>
      <c r="FP7" s="70">
        <v>302.77999999999997</v>
      </c>
      <c r="FQ7" s="70">
        <v>301.81</v>
      </c>
      <c r="FR7" s="70">
        <v>300.83999999999997</v>
      </c>
      <c r="FS7" s="70">
        <v>299.87</v>
      </c>
      <c r="FT7" s="70">
        <v>298.91000000000003</v>
      </c>
      <c r="FU7" s="70">
        <v>297.94</v>
      </c>
      <c r="FV7" s="70">
        <v>296.97000000000003</v>
      </c>
      <c r="FW7" s="70">
        <v>296.01</v>
      </c>
      <c r="FX7" s="70">
        <v>295.04000000000002</v>
      </c>
      <c r="FY7" s="70">
        <v>294.07</v>
      </c>
      <c r="FZ7" s="70">
        <v>293.10000000000002</v>
      </c>
      <c r="GA7" s="70">
        <v>292.14999999999998</v>
      </c>
      <c r="GB7" s="70">
        <v>291.19</v>
      </c>
      <c r="GC7" s="70">
        <v>290.23</v>
      </c>
      <c r="GD7" s="70">
        <v>289.26</v>
      </c>
      <c r="GE7" s="70">
        <v>288.31</v>
      </c>
      <c r="GF7" s="70">
        <v>287.35000000000002</v>
      </c>
      <c r="GG7" s="70">
        <v>286.39999999999998</v>
      </c>
      <c r="GH7" s="70">
        <v>285.44</v>
      </c>
      <c r="GI7" s="70">
        <v>284.49</v>
      </c>
      <c r="GJ7" s="70">
        <v>283.54000000000002</v>
      </c>
      <c r="GK7" s="70">
        <v>282.57</v>
      </c>
      <c r="GL7" s="70">
        <v>281.63</v>
      </c>
      <c r="GM7" s="70">
        <v>280.68</v>
      </c>
      <c r="GN7" s="70">
        <v>279.74</v>
      </c>
      <c r="GO7" s="70">
        <v>278.79000000000002</v>
      </c>
      <c r="GP7" s="70">
        <v>277.85000000000002</v>
      </c>
      <c r="GQ7" s="70">
        <v>276.89999999999998</v>
      </c>
      <c r="GR7" s="70">
        <v>275.95999999999998</v>
      </c>
      <c r="GS7" s="70">
        <v>275.01</v>
      </c>
      <c r="GT7" s="70">
        <v>274.07</v>
      </c>
      <c r="GU7" s="70">
        <v>273.14</v>
      </c>
      <c r="GV7" s="70">
        <v>272.2</v>
      </c>
      <c r="GW7" s="70">
        <v>271.26</v>
      </c>
      <c r="GX7" s="70">
        <v>270.32</v>
      </c>
      <c r="GY7" s="70">
        <v>269.39999999999998</v>
      </c>
      <c r="GZ7" s="70">
        <v>268.45999999999998</v>
      </c>
      <c r="HA7" s="70">
        <v>267.52999999999997</v>
      </c>
      <c r="HB7" s="70">
        <v>266.60000000000002</v>
      </c>
      <c r="HC7" s="70">
        <v>265.67</v>
      </c>
      <c r="HD7" s="70">
        <v>264.74</v>
      </c>
      <c r="HE7" s="70">
        <v>263.82</v>
      </c>
      <c r="HF7" s="70">
        <v>262.89</v>
      </c>
      <c r="HG7" s="70">
        <v>261.97000000000003</v>
      </c>
      <c r="HH7" s="70">
        <v>261.04000000000002</v>
      </c>
      <c r="HI7" s="70">
        <v>260.12</v>
      </c>
      <c r="HJ7" s="70">
        <v>259.2</v>
      </c>
      <c r="HK7" s="70">
        <v>258.27999999999997</v>
      </c>
      <c r="HL7" s="70">
        <v>257.37</v>
      </c>
      <c r="HM7" s="70">
        <v>256.45</v>
      </c>
      <c r="HN7" s="70">
        <v>255.54</v>
      </c>
      <c r="HO7" s="70">
        <v>254.63</v>
      </c>
      <c r="HP7" s="70">
        <v>253.72</v>
      </c>
      <c r="HQ7" s="70">
        <v>252.82</v>
      </c>
      <c r="HR7" s="70">
        <v>251.91</v>
      </c>
      <c r="HS7" s="70">
        <v>251</v>
      </c>
      <c r="HT7" s="70">
        <v>250.1</v>
      </c>
      <c r="HU7" s="70">
        <v>249.19</v>
      </c>
      <c r="HV7" s="70">
        <v>248.29</v>
      </c>
      <c r="HW7" s="70">
        <v>247.39</v>
      </c>
      <c r="HX7" s="70">
        <v>246.49</v>
      </c>
      <c r="HY7" s="70">
        <v>245.59</v>
      </c>
      <c r="HZ7" s="70">
        <v>244.7</v>
      </c>
      <c r="IA7" s="70">
        <v>243.8</v>
      </c>
      <c r="IB7" s="70">
        <v>242.91</v>
      </c>
      <c r="IC7" s="70">
        <v>242.01</v>
      </c>
      <c r="ID7" s="70">
        <v>241.12</v>
      </c>
      <c r="IE7" s="70">
        <v>240.23</v>
      </c>
      <c r="IF7" s="70">
        <v>239.34</v>
      </c>
      <c r="IG7" s="70">
        <v>238.45</v>
      </c>
      <c r="IH7" s="70">
        <v>237.56</v>
      </c>
      <c r="II7" s="70">
        <v>236.68</v>
      </c>
      <c r="IJ7" s="70">
        <v>235.79</v>
      </c>
      <c r="IK7" s="70">
        <v>234.91</v>
      </c>
      <c r="IL7" s="70">
        <v>234.03</v>
      </c>
      <c r="IM7" s="70">
        <v>233.15</v>
      </c>
      <c r="IN7" s="70">
        <v>232.27</v>
      </c>
      <c r="IO7" s="70">
        <v>231.39</v>
      </c>
      <c r="IP7" s="70">
        <v>230.52</v>
      </c>
      <c r="IQ7" s="70">
        <v>229.64</v>
      </c>
      <c r="IR7" s="70">
        <v>228.77</v>
      </c>
      <c r="IS7" s="70">
        <v>227.9</v>
      </c>
      <c r="IT7" s="70">
        <v>227.03</v>
      </c>
      <c r="IU7" s="70">
        <v>226.16</v>
      </c>
      <c r="IV7" s="70">
        <v>225.3</v>
      </c>
      <c r="IW7" s="70">
        <v>224.43</v>
      </c>
      <c r="IX7" s="70">
        <v>223.57</v>
      </c>
      <c r="IY7" s="70">
        <v>222.72</v>
      </c>
      <c r="IZ7" s="70">
        <v>221.86</v>
      </c>
      <c r="JA7" s="70">
        <v>221</v>
      </c>
      <c r="JB7" s="70">
        <v>220.15</v>
      </c>
      <c r="JC7" s="70">
        <v>219.3</v>
      </c>
      <c r="JD7" s="70">
        <v>218.44</v>
      </c>
      <c r="JE7" s="70">
        <v>217.59</v>
      </c>
      <c r="JF7" s="70">
        <v>216.74</v>
      </c>
      <c r="JG7" s="70">
        <v>215.89</v>
      </c>
      <c r="JH7" s="70">
        <v>215.05</v>
      </c>
      <c r="JI7" s="70">
        <v>214.2</v>
      </c>
      <c r="JJ7" s="70">
        <v>213.36</v>
      </c>
      <c r="JK7" s="70">
        <v>212.52</v>
      </c>
      <c r="JL7" s="70">
        <v>211.68</v>
      </c>
      <c r="JM7" s="70">
        <v>210.83</v>
      </c>
      <c r="JN7" s="70">
        <v>210</v>
      </c>
      <c r="JO7" s="70">
        <v>209.16</v>
      </c>
      <c r="JP7" s="70">
        <v>208.32</v>
      </c>
      <c r="JQ7" s="70">
        <v>207.49</v>
      </c>
      <c r="JR7" s="70">
        <v>206.65</v>
      </c>
      <c r="JS7" s="70">
        <v>205.82</v>
      </c>
      <c r="JT7" s="70">
        <v>204.98</v>
      </c>
      <c r="JU7" s="70">
        <v>204.15</v>
      </c>
      <c r="JV7" s="70">
        <v>203.32</v>
      </c>
      <c r="JW7" s="70">
        <v>202.49</v>
      </c>
      <c r="JX7" s="70">
        <v>201.66</v>
      </c>
      <c r="JY7" s="70">
        <v>200.83</v>
      </c>
      <c r="JZ7" s="70">
        <v>200</v>
      </c>
      <c r="KA7" s="70">
        <v>199.18</v>
      </c>
      <c r="KB7" s="70">
        <v>198.35</v>
      </c>
      <c r="KC7" s="70">
        <v>197.53</v>
      </c>
      <c r="KD7" s="70">
        <v>196.7</v>
      </c>
      <c r="KE7" s="70">
        <v>195.88</v>
      </c>
      <c r="KF7" s="70">
        <v>195.06</v>
      </c>
      <c r="KG7" s="70">
        <v>194.24</v>
      </c>
      <c r="KH7" s="70">
        <v>193.43</v>
      </c>
      <c r="KI7" s="70">
        <v>192.61</v>
      </c>
      <c r="KJ7" s="70">
        <v>191.8</v>
      </c>
      <c r="KK7" s="70">
        <v>190.98</v>
      </c>
      <c r="KL7" s="70">
        <v>190.17</v>
      </c>
      <c r="KM7" s="70">
        <v>189.36</v>
      </c>
      <c r="KN7" s="70">
        <v>188.55</v>
      </c>
      <c r="KO7" s="70">
        <v>187.74</v>
      </c>
      <c r="KP7" s="70">
        <v>186.93</v>
      </c>
      <c r="KQ7" s="70">
        <v>186.13</v>
      </c>
      <c r="KR7" s="74">
        <f t="shared" si="13"/>
        <v>185.27</v>
      </c>
      <c r="KS7" s="74">
        <f t="shared" si="14"/>
        <v>184.48</v>
      </c>
      <c r="KT7" s="74">
        <f t="shared" si="15"/>
        <v>183.66</v>
      </c>
      <c r="KU7" s="74">
        <f t="shared" si="12"/>
        <v>182.87</v>
      </c>
      <c r="KV7" s="74">
        <f t="shared" si="12"/>
        <v>182.09</v>
      </c>
      <c r="KW7" s="74">
        <f t="shared" si="12"/>
        <v>181.3</v>
      </c>
      <c r="KX7" s="74">
        <f t="shared" si="12"/>
        <v>180.51</v>
      </c>
      <c r="KY7" s="74">
        <f t="shared" si="12"/>
        <v>179.73</v>
      </c>
      <c r="KZ7" s="74">
        <f t="shared" si="12"/>
        <v>178.94</v>
      </c>
      <c r="LA7" s="74">
        <f t="shared" si="12"/>
        <v>178.16</v>
      </c>
      <c r="LB7" s="74">
        <f t="shared" si="12"/>
        <v>177.38</v>
      </c>
      <c r="LC7" s="74">
        <f t="shared" si="12"/>
        <v>176.6</v>
      </c>
      <c r="LD7" s="74">
        <f t="shared" si="12"/>
        <v>175.82</v>
      </c>
      <c r="LE7" s="74">
        <f t="shared" si="12"/>
        <v>175.04</v>
      </c>
      <c r="LF7" s="74">
        <f t="shared" si="12"/>
        <v>174.27</v>
      </c>
      <c r="LG7" s="74">
        <f t="shared" si="12"/>
        <v>173.5</v>
      </c>
      <c r="LH7" s="74">
        <f t="shared" si="12"/>
        <v>172.72</v>
      </c>
      <c r="LI7" s="74">
        <f t="shared" si="12"/>
        <v>171.95</v>
      </c>
      <c r="LJ7" s="74">
        <f t="shared" si="12"/>
        <v>171.18</v>
      </c>
      <c r="LK7" s="74">
        <f t="shared" si="12"/>
        <v>170.41</v>
      </c>
      <c r="LL7" s="74">
        <f t="shared" si="12"/>
        <v>169.64</v>
      </c>
      <c r="LM7" s="74">
        <f t="shared" si="12"/>
        <v>168.88</v>
      </c>
      <c r="LN7" s="74">
        <f t="shared" si="12"/>
        <v>168.11</v>
      </c>
      <c r="LO7" s="74">
        <f t="shared" si="12"/>
        <v>167.35</v>
      </c>
      <c r="LP7" s="74">
        <f t="shared" si="12"/>
        <v>166.59</v>
      </c>
      <c r="LQ7" s="74">
        <f t="shared" si="12"/>
        <v>165.83</v>
      </c>
      <c r="LR7" s="74">
        <f t="shared" si="12"/>
        <v>165.07</v>
      </c>
      <c r="LS7" s="74">
        <f t="shared" si="12"/>
        <v>164.31</v>
      </c>
      <c r="LT7" s="74">
        <f t="shared" si="12"/>
        <v>163.56</v>
      </c>
      <c r="LU7" s="74">
        <f t="shared" si="12"/>
        <v>162.81</v>
      </c>
      <c r="LV7" s="74">
        <f t="shared" si="12"/>
        <v>162.05000000000001</v>
      </c>
      <c r="LW7" s="74">
        <f t="shared" si="12"/>
        <v>161.30000000000001</v>
      </c>
      <c r="LX7" s="74">
        <f t="shared" si="12"/>
        <v>160.55000000000001</v>
      </c>
      <c r="LY7" s="74">
        <f t="shared" si="12"/>
        <v>159.80000000000001</v>
      </c>
      <c r="LZ7" s="74">
        <f t="shared" si="12"/>
        <v>159.06</v>
      </c>
      <c r="MA7" s="74">
        <f t="shared" si="12"/>
        <v>158.31</v>
      </c>
      <c r="MB7" s="74">
        <f t="shared" si="12"/>
        <v>157.57</v>
      </c>
      <c r="MC7" s="74">
        <f t="shared" si="12"/>
        <v>156.83000000000001</v>
      </c>
      <c r="MD7" s="74">
        <f t="shared" si="12"/>
        <v>156.09</v>
      </c>
      <c r="ME7" s="74">
        <f t="shared" si="12"/>
        <v>155.36000000000001</v>
      </c>
      <c r="MF7" s="74">
        <f t="shared" si="12"/>
        <v>154.62</v>
      </c>
      <c r="MG7" s="74">
        <f t="shared" si="12"/>
        <v>153.88999999999999</v>
      </c>
      <c r="MH7" s="74">
        <f t="shared" si="12"/>
        <v>153.15</v>
      </c>
      <c r="MI7" s="74">
        <f t="shared" si="12"/>
        <v>152.41999999999999</v>
      </c>
      <c r="MJ7" s="74">
        <f t="shared" si="12"/>
        <v>151.69</v>
      </c>
      <c r="MK7" s="74">
        <f t="shared" si="12"/>
        <v>150.96</v>
      </c>
      <c r="ML7" s="74">
        <f t="shared" si="12"/>
        <v>150.24</v>
      </c>
      <c r="MM7" s="74">
        <f t="shared" si="12"/>
        <v>149.51</v>
      </c>
      <c r="MN7" s="74">
        <f t="shared" si="12"/>
        <v>148.79</v>
      </c>
      <c r="MO7" s="74">
        <f t="shared" si="12"/>
        <v>148.07</v>
      </c>
      <c r="MP7" s="74">
        <f t="shared" si="12"/>
        <v>147.35</v>
      </c>
      <c r="MQ7" s="74">
        <f t="shared" si="12"/>
        <v>146.63999999999999</v>
      </c>
      <c r="MR7" s="74">
        <f t="shared" si="12"/>
        <v>145.91999999999999</v>
      </c>
      <c r="MS7" s="74">
        <f t="shared" si="12"/>
        <v>145.21</v>
      </c>
      <c r="MT7" s="74">
        <f t="shared" si="12"/>
        <v>144.49</v>
      </c>
      <c r="MU7" s="74">
        <f t="shared" si="12"/>
        <v>143.78</v>
      </c>
      <c r="MV7" s="74">
        <f t="shared" si="12"/>
        <v>143.07</v>
      </c>
      <c r="MW7" s="74">
        <f t="shared" si="12"/>
        <v>142.37</v>
      </c>
      <c r="MX7" s="74">
        <f t="shared" si="12"/>
        <v>141.66</v>
      </c>
      <c r="MY7" s="74">
        <f t="shared" si="12"/>
        <v>140.96</v>
      </c>
    </row>
    <row r="8" spans="1:363" ht="15.6" x14ac:dyDescent="0.3">
      <c r="A8" s="67" t="s">
        <v>6</v>
      </c>
      <c r="B8" s="72">
        <v>2018</v>
      </c>
      <c r="C8" s="70">
        <v>476.11</v>
      </c>
      <c r="D8" s="70">
        <v>475.07</v>
      </c>
      <c r="E8" s="70">
        <v>474.03</v>
      </c>
      <c r="F8" s="70">
        <v>472.99</v>
      </c>
      <c r="G8" s="70">
        <v>471.95</v>
      </c>
      <c r="H8" s="70">
        <v>470.91</v>
      </c>
      <c r="I8" s="70">
        <v>469.87</v>
      </c>
      <c r="J8" s="70">
        <v>468.83</v>
      </c>
      <c r="K8" s="70">
        <v>467.79</v>
      </c>
      <c r="L8" s="70">
        <v>466.75</v>
      </c>
      <c r="M8" s="70">
        <v>465.71</v>
      </c>
      <c r="N8" s="70">
        <v>464.67</v>
      </c>
      <c r="O8" s="70">
        <v>463.63</v>
      </c>
      <c r="P8" s="70">
        <v>462.59</v>
      </c>
      <c r="Q8" s="70">
        <v>461.56</v>
      </c>
      <c r="R8" s="70">
        <v>460.52</v>
      </c>
      <c r="S8" s="70">
        <v>459.48</v>
      </c>
      <c r="T8" s="70">
        <v>458.44</v>
      </c>
      <c r="U8" s="70">
        <v>457.4</v>
      </c>
      <c r="V8" s="70">
        <v>456.36</v>
      </c>
      <c r="W8" s="70">
        <v>455.33</v>
      </c>
      <c r="X8" s="70">
        <v>454.29</v>
      </c>
      <c r="Y8" s="70">
        <v>453.25</v>
      </c>
      <c r="Z8" s="70">
        <v>452.21</v>
      </c>
      <c r="AA8" s="70">
        <v>451.17</v>
      </c>
      <c r="AB8" s="70">
        <v>450.14</v>
      </c>
      <c r="AC8" s="70">
        <v>449.1</v>
      </c>
      <c r="AD8" s="70">
        <v>448.06</v>
      </c>
      <c r="AE8" s="70">
        <v>447.02</v>
      </c>
      <c r="AF8" s="70">
        <v>445.99</v>
      </c>
      <c r="AG8" s="70">
        <v>444.95</v>
      </c>
      <c r="AH8" s="70">
        <v>443.91</v>
      </c>
      <c r="AI8" s="70">
        <v>442.88</v>
      </c>
      <c r="AJ8" s="70">
        <v>441.84</v>
      </c>
      <c r="AK8" s="70">
        <v>440.8</v>
      </c>
      <c r="AL8" s="70">
        <v>439.76</v>
      </c>
      <c r="AM8" s="70">
        <v>438.73</v>
      </c>
      <c r="AN8" s="70">
        <v>437.69</v>
      </c>
      <c r="AO8" s="70">
        <v>436.66</v>
      </c>
      <c r="AP8" s="70">
        <v>435.62</v>
      </c>
      <c r="AQ8" s="70">
        <v>434.58</v>
      </c>
      <c r="AR8" s="70">
        <v>433.55</v>
      </c>
      <c r="AS8" s="70">
        <v>432.51</v>
      </c>
      <c r="AT8" s="70">
        <v>431.48</v>
      </c>
      <c r="AU8" s="70">
        <v>430.44</v>
      </c>
      <c r="AV8" s="70">
        <v>429.4</v>
      </c>
      <c r="AW8" s="70">
        <v>428.37</v>
      </c>
      <c r="AX8" s="70">
        <v>427.33</v>
      </c>
      <c r="AY8" s="70">
        <v>426.3</v>
      </c>
      <c r="AZ8" s="70">
        <v>425.26</v>
      </c>
      <c r="BA8" s="70">
        <v>424.23</v>
      </c>
      <c r="BB8" s="70">
        <v>423.19</v>
      </c>
      <c r="BC8" s="70">
        <v>422.16</v>
      </c>
      <c r="BD8" s="70">
        <v>421.13</v>
      </c>
      <c r="BE8" s="70">
        <v>420.09</v>
      </c>
      <c r="BF8" s="70">
        <v>419.06</v>
      </c>
      <c r="BG8" s="70">
        <v>418.02</v>
      </c>
      <c r="BH8" s="70">
        <v>416.99</v>
      </c>
      <c r="BI8" s="70">
        <v>415.95</v>
      </c>
      <c r="BJ8" s="70">
        <v>414.92</v>
      </c>
      <c r="BK8" s="70">
        <v>413.88</v>
      </c>
      <c r="BL8" s="70">
        <v>412.85</v>
      </c>
      <c r="BM8" s="70">
        <v>411.82</v>
      </c>
      <c r="BN8" s="70">
        <v>410.78</v>
      </c>
      <c r="BO8" s="70">
        <v>409.75</v>
      </c>
      <c r="BP8" s="70">
        <v>408.71</v>
      </c>
      <c r="BQ8" s="70">
        <v>407.68</v>
      </c>
      <c r="BR8" s="70">
        <v>406.65</v>
      </c>
      <c r="BS8" s="70">
        <v>405.61</v>
      </c>
      <c r="BT8" s="70">
        <v>404.58</v>
      </c>
      <c r="BU8" s="70">
        <v>403.55</v>
      </c>
      <c r="BV8" s="70">
        <v>402.52</v>
      </c>
      <c r="BW8" s="70">
        <v>401.49</v>
      </c>
      <c r="BX8" s="70">
        <v>400.46</v>
      </c>
      <c r="BY8" s="70">
        <v>399.43</v>
      </c>
      <c r="BZ8" s="70">
        <v>398.4</v>
      </c>
      <c r="CA8" s="70">
        <v>397.37</v>
      </c>
      <c r="CB8" s="70">
        <v>396.34</v>
      </c>
      <c r="CC8" s="70">
        <v>395.31</v>
      </c>
      <c r="CD8" s="70">
        <v>394.29</v>
      </c>
      <c r="CE8" s="70">
        <v>393.26</v>
      </c>
      <c r="CF8" s="70">
        <v>392.23</v>
      </c>
      <c r="CG8" s="70">
        <v>391.2</v>
      </c>
      <c r="CH8" s="70">
        <v>390.18</v>
      </c>
      <c r="CI8" s="70">
        <v>389.15</v>
      </c>
      <c r="CJ8" s="70">
        <v>388.12</v>
      </c>
      <c r="CK8" s="70">
        <v>387.1</v>
      </c>
      <c r="CL8" s="70">
        <v>386.07</v>
      </c>
      <c r="CM8" s="70">
        <v>385.05</v>
      </c>
      <c r="CN8" s="70">
        <v>384.02</v>
      </c>
      <c r="CO8" s="70">
        <v>383</v>
      </c>
      <c r="CP8" s="70">
        <v>381.97</v>
      </c>
      <c r="CQ8" s="70">
        <v>380.94</v>
      </c>
      <c r="CR8" s="70">
        <v>379.92</v>
      </c>
      <c r="CS8" s="70">
        <v>378.89</v>
      </c>
      <c r="CT8" s="70">
        <v>377.87</v>
      </c>
      <c r="CU8" s="70">
        <v>376.84</v>
      </c>
      <c r="CV8" s="70">
        <v>375.82</v>
      </c>
      <c r="CW8" s="70">
        <v>374.8</v>
      </c>
      <c r="CX8" s="70">
        <v>373.78</v>
      </c>
      <c r="CY8" s="70">
        <v>372.76</v>
      </c>
      <c r="CZ8" s="70">
        <v>371.73</v>
      </c>
      <c r="DA8" s="70">
        <v>370.71</v>
      </c>
      <c r="DB8" s="70">
        <v>369.69</v>
      </c>
      <c r="DC8" s="70">
        <v>368.67</v>
      </c>
      <c r="DD8" s="70">
        <v>367.65</v>
      </c>
      <c r="DE8" s="70">
        <v>366.63</v>
      </c>
      <c r="DF8" s="70">
        <v>365.61</v>
      </c>
      <c r="DG8" s="70">
        <v>364.59</v>
      </c>
      <c r="DH8" s="70">
        <v>363.57</v>
      </c>
      <c r="DI8" s="70">
        <v>362.55</v>
      </c>
      <c r="DJ8" s="70">
        <v>361.53</v>
      </c>
      <c r="DK8" s="70">
        <v>360.52</v>
      </c>
      <c r="DL8" s="70">
        <v>359.5</v>
      </c>
      <c r="DM8" s="70">
        <v>358.48</v>
      </c>
      <c r="DN8" s="70">
        <v>357.46</v>
      </c>
      <c r="DO8" s="70">
        <v>356.45</v>
      </c>
      <c r="DP8" s="70">
        <v>355.43</v>
      </c>
      <c r="DQ8" s="70">
        <v>354.42</v>
      </c>
      <c r="DR8" s="70">
        <v>353.4</v>
      </c>
      <c r="DS8" s="70">
        <v>352.38</v>
      </c>
      <c r="DT8" s="70">
        <v>351.37</v>
      </c>
      <c r="DU8" s="70">
        <v>350.36</v>
      </c>
      <c r="DV8" s="70">
        <v>349.35</v>
      </c>
      <c r="DW8" s="70">
        <v>348.34</v>
      </c>
      <c r="DX8" s="70">
        <v>347.33</v>
      </c>
      <c r="DY8" s="70">
        <v>346.32</v>
      </c>
      <c r="DZ8" s="70">
        <v>345.31</v>
      </c>
      <c r="EA8" s="70">
        <v>344.31</v>
      </c>
      <c r="EB8" s="70">
        <v>343.3</v>
      </c>
      <c r="EC8" s="70">
        <v>342.29</v>
      </c>
      <c r="ED8" s="70">
        <v>341.29</v>
      </c>
      <c r="EE8" s="70">
        <v>340.28</v>
      </c>
      <c r="EF8" s="70">
        <v>339.28</v>
      </c>
      <c r="EG8" s="70">
        <v>338.28</v>
      </c>
      <c r="EH8" s="70">
        <v>337.28</v>
      </c>
      <c r="EI8" s="70">
        <v>336.28</v>
      </c>
      <c r="EJ8" s="70">
        <v>335.29</v>
      </c>
      <c r="EK8" s="70">
        <v>334.29</v>
      </c>
      <c r="EL8" s="70">
        <v>333.29</v>
      </c>
      <c r="EM8" s="70">
        <v>332.29</v>
      </c>
      <c r="EN8" s="70">
        <v>331.3</v>
      </c>
      <c r="EO8" s="70">
        <v>330.3</v>
      </c>
      <c r="EP8" s="70">
        <v>329.31</v>
      </c>
      <c r="EQ8" s="70">
        <v>328.31</v>
      </c>
      <c r="ER8" s="70">
        <v>327.32</v>
      </c>
      <c r="ES8" s="70">
        <v>326.32</v>
      </c>
      <c r="ET8" s="70">
        <v>325.33999999999997</v>
      </c>
      <c r="EU8" s="70">
        <v>324.35000000000002</v>
      </c>
      <c r="EV8" s="70">
        <v>323.35000000000002</v>
      </c>
      <c r="EW8" s="70">
        <v>322.38</v>
      </c>
      <c r="EX8" s="70">
        <v>321.39</v>
      </c>
      <c r="EY8" s="70">
        <v>320.39999999999998</v>
      </c>
      <c r="EZ8" s="70">
        <v>319.41000000000003</v>
      </c>
      <c r="FA8" s="70">
        <v>318.43</v>
      </c>
      <c r="FB8" s="70">
        <v>317.44</v>
      </c>
      <c r="FC8" s="70">
        <v>316.45</v>
      </c>
      <c r="FD8" s="70">
        <v>315.47000000000003</v>
      </c>
      <c r="FE8" s="70">
        <v>314.49</v>
      </c>
      <c r="FF8" s="70">
        <v>313.51</v>
      </c>
      <c r="FG8" s="70">
        <v>312.52999999999997</v>
      </c>
      <c r="FH8" s="70">
        <v>311.56</v>
      </c>
      <c r="FI8" s="70">
        <v>310.57</v>
      </c>
      <c r="FJ8" s="70">
        <v>309.60000000000002</v>
      </c>
      <c r="FK8" s="70">
        <v>308.62</v>
      </c>
      <c r="FL8" s="70">
        <v>307.64999999999998</v>
      </c>
      <c r="FM8" s="70">
        <v>306.67</v>
      </c>
      <c r="FN8" s="70">
        <v>305.7</v>
      </c>
      <c r="FO8" s="70">
        <v>304.72000000000003</v>
      </c>
      <c r="FP8" s="70">
        <v>303.75</v>
      </c>
      <c r="FQ8" s="70">
        <v>302.77999999999997</v>
      </c>
      <c r="FR8" s="70">
        <v>301.81</v>
      </c>
      <c r="FS8" s="70">
        <v>300.83999999999997</v>
      </c>
      <c r="FT8" s="70">
        <v>299.87</v>
      </c>
      <c r="FU8" s="70">
        <v>298.89999999999998</v>
      </c>
      <c r="FV8" s="70">
        <v>297.93</v>
      </c>
      <c r="FW8" s="70">
        <v>296.97000000000003</v>
      </c>
      <c r="FX8" s="70">
        <v>296</v>
      </c>
      <c r="FY8" s="70">
        <v>295.02999999999997</v>
      </c>
      <c r="FZ8" s="70">
        <v>294.07</v>
      </c>
      <c r="GA8" s="70">
        <v>293.10000000000002</v>
      </c>
      <c r="GB8" s="70">
        <v>292.14</v>
      </c>
      <c r="GC8" s="70">
        <v>291.18</v>
      </c>
      <c r="GD8" s="70">
        <v>290.22000000000003</v>
      </c>
      <c r="GE8" s="70">
        <v>289.26</v>
      </c>
      <c r="GF8" s="70">
        <v>288.31</v>
      </c>
      <c r="GG8" s="70">
        <v>287.35000000000002</v>
      </c>
      <c r="GH8" s="70">
        <v>286.39</v>
      </c>
      <c r="GI8" s="70">
        <v>285.44</v>
      </c>
      <c r="GJ8" s="70">
        <v>284.48</v>
      </c>
      <c r="GK8" s="70">
        <v>283.52999999999997</v>
      </c>
      <c r="GL8" s="70">
        <v>282.57</v>
      </c>
      <c r="GM8" s="70">
        <v>281.62</v>
      </c>
      <c r="GN8" s="70">
        <v>280.68</v>
      </c>
      <c r="GO8" s="70">
        <v>279.73</v>
      </c>
      <c r="GP8" s="70">
        <v>278.79000000000002</v>
      </c>
      <c r="GQ8" s="70">
        <v>277.83999999999997</v>
      </c>
      <c r="GR8" s="70">
        <v>276.89999999999998</v>
      </c>
      <c r="GS8" s="70">
        <v>275.95999999999998</v>
      </c>
      <c r="GT8" s="70">
        <v>275.01</v>
      </c>
      <c r="GU8" s="70">
        <v>274.07</v>
      </c>
      <c r="GV8" s="70">
        <v>273.14</v>
      </c>
      <c r="GW8" s="70">
        <v>272.2</v>
      </c>
      <c r="GX8" s="70">
        <v>271.26</v>
      </c>
      <c r="GY8" s="70">
        <v>270.32</v>
      </c>
      <c r="GZ8" s="70">
        <v>269.39</v>
      </c>
      <c r="HA8" s="70">
        <v>268.45999999999998</v>
      </c>
      <c r="HB8" s="70">
        <v>267.52999999999997</v>
      </c>
      <c r="HC8" s="70">
        <v>266.60000000000002</v>
      </c>
      <c r="HD8" s="70">
        <v>265.67</v>
      </c>
      <c r="HE8" s="70">
        <v>264.74</v>
      </c>
      <c r="HF8" s="70">
        <v>263.81</v>
      </c>
      <c r="HG8" s="70">
        <v>262.88</v>
      </c>
      <c r="HH8" s="70">
        <v>261.95999999999998</v>
      </c>
      <c r="HI8" s="70">
        <v>261.04000000000002</v>
      </c>
      <c r="HJ8" s="70">
        <v>260.10000000000002</v>
      </c>
      <c r="HK8" s="70">
        <v>259.19</v>
      </c>
      <c r="HL8" s="70">
        <v>258.27999999999997</v>
      </c>
      <c r="HM8" s="70">
        <v>257.35000000000002</v>
      </c>
      <c r="HN8" s="70">
        <v>256.45</v>
      </c>
      <c r="HO8" s="70">
        <v>255.54</v>
      </c>
      <c r="HP8" s="70">
        <v>254.63</v>
      </c>
      <c r="HQ8" s="70">
        <v>253.72</v>
      </c>
      <c r="HR8" s="70">
        <v>252.81</v>
      </c>
      <c r="HS8" s="70">
        <v>251.9</v>
      </c>
      <c r="HT8" s="70">
        <v>251</v>
      </c>
      <c r="HU8" s="70">
        <v>250.09</v>
      </c>
      <c r="HV8" s="70">
        <v>249.19</v>
      </c>
      <c r="HW8" s="70">
        <v>248.28</v>
      </c>
      <c r="HX8" s="70">
        <v>247.38</v>
      </c>
      <c r="HY8" s="70">
        <v>246.49</v>
      </c>
      <c r="HZ8" s="70">
        <v>245.59</v>
      </c>
      <c r="IA8" s="70">
        <v>244.69</v>
      </c>
      <c r="IB8" s="70">
        <v>243.79</v>
      </c>
      <c r="IC8" s="70">
        <v>242.9</v>
      </c>
      <c r="ID8" s="70">
        <v>242.01</v>
      </c>
      <c r="IE8" s="70">
        <v>241.11</v>
      </c>
      <c r="IF8" s="70">
        <v>240.22</v>
      </c>
      <c r="IG8" s="70">
        <v>239.33</v>
      </c>
      <c r="IH8" s="70">
        <v>238.44</v>
      </c>
      <c r="II8" s="70">
        <v>237.55</v>
      </c>
      <c r="IJ8" s="70">
        <v>236.67</v>
      </c>
      <c r="IK8" s="70">
        <v>235.78</v>
      </c>
      <c r="IL8" s="70">
        <v>234.9</v>
      </c>
      <c r="IM8" s="70">
        <v>234.02</v>
      </c>
      <c r="IN8" s="70">
        <v>233.14</v>
      </c>
      <c r="IO8" s="70">
        <v>232.26</v>
      </c>
      <c r="IP8" s="70">
        <v>231.38</v>
      </c>
      <c r="IQ8" s="70">
        <v>230.51</v>
      </c>
      <c r="IR8" s="70">
        <v>229.63</v>
      </c>
      <c r="IS8" s="70">
        <v>228.76</v>
      </c>
      <c r="IT8" s="70">
        <v>227.89</v>
      </c>
      <c r="IU8" s="70">
        <v>227.01</v>
      </c>
      <c r="IV8" s="70">
        <v>226.15</v>
      </c>
      <c r="IW8" s="70">
        <v>225.29</v>
      </c>
      <c r="IX8" s="70">
        <v>224.43</v>
      </c>
      <c r="IY8" s="70">
        <v>223.57</v>
      </c>
      <c r="IZ8" s="70">
        <v>222.71</v>
      </c>
      <c r="JA8" s="70">
        <v>221.85</v>
      </c>
      <c r="JB8" s="70">
        <v>220.99</v>
      </c>
      <c r="JC8" s="70">
        <v>220.14</v>
      </c>
      <c r="JD8" s="70">
        <v>219.28</v>
      </c>
      <c r="JE8" s="70">
        <v>218.43</v>
      </c>
      <c r="JF8" s="70">
        <v>217.58</v>
      </c>
      <c r="JG8" s="70">
        <v>216.73</v>
      </c>
      <c r="JH8" s="70">
        <v>215.88</v>
      </c>
      <c r="JI8" s="70">
        <v>215.04</v>
      </c>
      <c r="JJ8" s="70">
        <v>214.19</v>
      </c>
      <c r="JK8" s="70">
        <v>213.35</v>
      </c>
      <c r="JL8" s="70">
        <v>212.5</v>
      </c>
      <c r="JM8" s="70">
        <v>211.66</v>
      </c>
      <c r="JN8" s="70">
        <v>210.82</v>
      </c>
      <c r="JO8" s="70">
        <v>209.98</v>
      </c>
      <c r="JP8" s="70">
        <v>209.14</v>
      </c>
      <c r="JQ8" s="70">
        <v>208.3</v>
      </c>
      <c r="JR8" s="70">
        <v>207.47</v>
      </c>
      <c r="JS8" s="70">
        <v>206.63</v>
      </c>
      <c r="JT8" s="70">
        <v>205.8</v>
      </c>
      <c r="JU8" s="70">
        <v>204.96</v>
      </c>
      <c r="JV8" s="70">
        <v>204.13</v>
      </c>
      <c r="JW8" s="70">
        <v>203.29</v>
      </c>
      <c r="JX8" s="70">
        <v>202.46</v>
      </c>
      <c r="JY8" s="70">
        <v>201.63</v>
      </c>
      <c r="JZ8" s="70">
        <v>200.8</v>
      </c>
      <c r="KA8" s="70">
        <v>199.98</v>
      </c>
      <c r="KB8" s="70">
        <v>199.15</v>
      </c>
      <c r="KC8" s="70">
        <v>198.32</v>
      </c>
      <c r="KD8" s="70">
        <v>197.5</v>
      </c>
      <c r="KE8" s="70">
        <v>196.67</v>
      </c>
      <c r="KF8" s="70">
        <v>195.85</v>
      </c>
      <c r="KG8" s="70">
        <v>195.03</v>
      </c>
      <c r="KH8" s="70">
        <v>194.21</v>
      </c>
      <c r="KI8" s="70">
        <v>193.39</v>
      </c>
      <c r="KJ8" s="70">
        <v>192.57</v>
      </c>
      <c r="KK8" s="70">
        <v>191.76</v>
      </c>
      <c r="KL8" s="70">
        <v>190.94</v>
      </c>
      <c r="KM8" s="70">
        <v>190.13</v>
      </c>
      <c r="KN8" s="70">
        <v>189.32</v>
      </c>
      <c r="KO8" s="70">
        <v>188.51</v>
      </c>
      <c r="KP8" s="70">
        <v>187.7</v>
      </c>
      <c r="KQ8" s="70">
        <v>186.89</v>
      </c>
      <c r="KR8" s="74">
        <f t="shared" si="13"/>
        <v>186.02</v>
      </c>
      <c r="KS8" s="74">
        <f t="shared" si="14"/>
        <v>185.23</v>
      </c>
      <c r="KT8" s="74">
        <f t="shared" si="15"/>
        <v>184.41</v>
      </c>
      <c r="KU8" s="74">
        <f t="shared" si="12"/>
        <v>183.62</v>
      </c>
      <c r="KV8" s="74">
        <f t="shared" si="12"/>
        <v>182.84</v>
      </c>
      <c r="KW8" s="74">
        <f t="shared" si="12"/>
        <v>182.05</v>
      </c>
      <c r="KX8" s="74">
        <f t="shared" si="12"/>
        <v>181.26</v>
      </c>
      <c r="KY8" s="74">
        <f t="shared" si="12"/>
        <v>180.48</v>
      </c>
      <c r="KZ8" s="74">
        <f t="shared" si="12"/>
        <v>179.69</v>
      </c>
      <c r="LA8" s="74">
        <f t="shared" si="12"/>
        <v>178.91</v>
      </c>
      <c r="LB8" s="74">
        <f t="shared" si="12"/>
        <v>178.13</v>
      </c>
      <c r="LC8" s="74">
        <f t="shared" si="12"/>
        <v>177.35</v>
      </c>
      <c r="LD8" s="74">
        <f t="shared" si="12"/>
        <v>176.57</v>
      </c>
      <c r="LE8" s="74">
        <f t="shared" si="12"/>
        <v>175.79</v>
      </c>
      <c r="LF8" s="74">
        <f t="shared" si="12"/>
        <v>175.02</v>
      </c>
      <c r="LG8" s="74">
        <f t="shared" si="12"/>
        <v>174.25</v>
      </c>
      <c r="LH8" s="74">
        <f t="shared" si="12"/>
        <v>173.47</v>
      </c>
      <c r="LI8" s="74">
        <f t="shared" si="12"/>
        <v>172.7</v>
      </c>
      <c r="LJ8" s="74">
        <f t="shared" si="12"/>
        <v>171.93</v>
      </c>
      <c r="LK8" s="74">
        <f t="shared" si="12"/>
        <v>171.16</v>
      </c>
      <c r="LL8" s="74">
        <f t="shared" si="12"/>
        <v>170.39</v>
      </c>
      <c r="LM8" s="74">
        <f t="shared" si="12"/>
        <v>169.63</v>
      </c>
      <c r="LN8" s="74">
        <f t="shared" si="12"/>
        <v>168.86</v>
      </c>
      <c r="LO8" s="74">
        <f t="shared" si="12"/>
        <v>168.1</v>
      </c>
      <c r="LP8" s="74">
        <f t="shared" si="12"/>
        <v>167.34</v>
      </c>
      <c r="LQ8" s="74">
        <f t="shared" si="12"/>
        <v>166.58</v>
      </c>
      <c r="LR8" s="74">
        <f t="shared" si="12"/>
        <v>165.82</v>
      </c>
      <c r="LS8" s="74">
        <f t="shared" si="12"/>
        <v>165.06</v>
      </c>
      <c r="LT8" s="74">
        <f t="shared" si="12"/>
        <v>164.31</v>
      </c>
      <c r="LU8" s="74">
        <f t="shared" si="12"/>
        <v>163.56</v>
      </c>
      <c r="LV8" s="74">
        <f t="shared" si="12"/>
        <v>162.80000000000001</v>
      </c>
      <c r="LW8" s="74">
        <f t="shared" ref="LW8:MY16" si="16">LW7+0.75</f>
        <v>162.05000000000001</v>
      </c>
      <c r="LX8" s="74">
        <f t="shared" si="16"/>
        <v>161.30000000000001</v>
      </c>
      <c r="LY8" s="74">
        <f t="shared" si="16"/>
        <v>160.55000000000001</v>
      </c>
      <c r="LZ8" s="74">
        <f t="shared" si="16"/>
        <v>159.81</v>
      </c>
      <c r="MA8" s="74">
        <f t="shared" si="16"/>
        <v>159.06</v>
      </c>
      <c r="MB8" s="74">
        <f t="shared" si="16"/>
        <v>158.32</v>
      </c>
      <c r="MC8" s="74">
        <f t="shared" si="16"/>
        <v>157.58000000000001</v>
      </c>
      <c r="MD8" s="74">
        <f t="shared" si="16"/>
        <v>156.84</v>
      </c>
      <c r="ME8" s="74">
        <f t="shared" si="16"/>
        <v>156.11000000000001</v>
      </c>
      <c r="MF8" s="74">
        <f t="shared" si="16"/>
        <v>155.37</v>
      </c>
      <c r="MG8" s="74">
        <f t="shared" si="16"/>
        <v>154.63999999999999</v>
      </c>
      <c r="MH8" s="74">
        <f t="shared" si="16"/>
        <v>153.9</v>
      </c>
      <c r="MI8" s="74">
        <f t="shared" si="16"/>
        <v>153.16999999999999</v>
      </c>
      <c r="MJ8" s="74">
        <f t="shared" si="16"/>
        <v>152.44</v>
      </c>
      <c r="MK8" s="74">
        <f t="shared" si="16"/>
        <v>151.71</v>
      </c>
      <c r="ML8" s="74">
        <f t="shared" si="16"/>
        <v>150.99</v>
      </c>
      <c r="MM8" s="74">
        <f t="shared" si="16"/>
        <v>150.26</v>
      </c>
      <c r="MN8" s="74">
        <f t="shared" si="16"/>
        <v>149.54</v>
      </c>
      <c r="MO8" s="74">
        <f t="shared" si="16"/>
        <v>148.82</v>
      </c>
      <c r="MP8" s="74">
        <f t="shared" si="16"/>
        <v>148.1</v>
      </c>
      <c r="MQ8" s="74">
        <f t="shared" si="16"/>
        <v>147.38999999999999</v>
      </c>
      <c r="MR8" s="74">
        <f t="shared" si="16"/>
        <v>146.66999999999999</v>
      </c>
      <c r="MS8" s="74">
        <f t="shared" si="16"/>
        <v>145.96</v>
      </c>
      <c r="MT8" s="74">
        <f t="shared" si="16"/>
        <v>145.24</v>
      </c>
      <c r="MU8" s="74">
        <f t="shared" si="16"/>
        <v>144.53</v>
      </c>
      <c r="MV8" s="74">
        <f t="shared" si="16"/>
        <v>143.82</v>
      </c>
      <c r="MW8" s="74">
        <f t="shared" si="16"/>
        <v>143.12</v>
      </c>
      <c r="MX8" s="74">
        <f t="shared" si="16"/>
        <v>142.41</v>
      </c>
      <c r="MY8" s="74">
        <f t="shared" si="16"/>
        <v>141.71</v>
      </c>
    </row>
    <row r="9" spans="1:363" ht="15.6" x14ac:dyDescent="0.3">
      <c r="A9" s="67" t="s">
        <v>6</v>
      </c>
      <c r="B9" s="72">
        <v>2019</v>
      </c>
      <c r="C9" s="70">
        <v>477.14</v>
      </c>
      <c r="D9" s="70">
        <v>476.1</v>
      </c>
      <c r="E9" s="70">
        <v>475.06</v>
      </c>
      <c r="F9" s="70">
        <v>474.02</v>
      </c>
      <c r="G9" s="70">
        <v>472.98</v>
      </c>
      <c r="H9" s="70">
        <v>471.94</v>
      </c>
      <c r="I9" s="70">
        <v>470.9</v>
      </c>
      <c r="J9" s="70">
        <v>469.86</v>
      </c>
      <c r="K9" s="70">
        <v>468.82</v>
      </c>
      <c r="L9" s="70">
        <v>467.79</v>
      </c>
      <c r="M9" s="70">
        <v>466.75</v>
      </c>
      <c r="N9" s="70">
        <v>465.71</v>
      </c>
      <c r="O9" s="70">
        <v>464.67</v>
      </c>
      <c r="P9" s="70">
        <v>463.63</v>
      </c>
      <c r="Q9" s="70">
        <v>462.59</v>
      </c>
      <c r="R9" s="70">
        <v>461.55</v>
      </c>
      <c r="S9" s="70">
        <v>460.51</v>
      </c>
      <c r="T9" s="70">
        <v>459.48</v>
      </c>
      <c r="U9" s="70">
        <v>458.44</v>
      </c>
      <c r="V9" s="70">
        <v>457.4</v>
      </c>
      <c r="W9" s="70">
        <v>456.36</v>
      </c>
      <c r="X9" s="70">
        <v>455.32</v>
      </c>
      <c r="Y9" s="70">
        <v>454.28</v>
      </c>
      <c r="Z9" s="70">
        <v>453.25</v>
      </c>
      <c r="AA9" s="70">
        <v>452.21</v>
      </c>
      <c r="AB9" s="70">
        <v>451.17</v>
      </c>
      <c r="AC9" s="70">
        <v>450.13</v>
      </c>
      <c r="AD9" s="70">
        <v>449.1</v>
      </c>
      <c r="AE9" s="70">
        <v>448.06</v>
      </c>
      <c r="AF9" s="70">
        <v>447.02</v>
      </c>
      <c r="AG9" s="70">
        <v>445.98</v>
      </c>
      <c r="AH9" s="70">
        <v>444.95</v>
      </c>
      <c r="AI9" s="70">
        <v>443.91</v>
      </c>
      <c r="AJ9" s="70">
        <v>442.87</v>
      </c>
      <c r="AK9" s="70">
        <v>441.84</v>
      </c>
      <c r="AL9" s="70">
        <v>440.8</v>
      </c>
      <c r="AM9" s="70">
        <v>439.76</v>
      </c>
      <c r="AN9" s="70">
        <v>438.73</v>
      </c>
      <c r="AO9" s="70">
        <v>437.69</v>
      </c>
      <c r="AP9" s="70">
        <v>436.65</v>
      </c>
      <c r="AQ9" s="70">
        <v>435.62</v>
      </c>
      <c r="AR9" s="70">
        <v>434.58</v>
      </c>
      <c r="AS9" s="70">
        <v>433.55</v>
      </c>
      <c r="AT9" s="70">
        <v>432.51</v>
      </c>
      <c r="AU9" s="70">
        <v>431.47</v>
      </c>
      <c r="AV9" s="70">
        <v>430.44</v>
      </c>
      <c r="AW9" s="70">
        <v>429.4</v>
      </c>
      <c r="AX9" s="70">
        <v>428.37</v>
      </c>
      <c r="AY9" s="70">
        <v>427.33</v>
      </c>
      <c r="AZ9" s="70">
        <v>426.3</v>
      </c>
      <c r="BA9" s="70">
        <v>425.26</v>
      </c>
      <c r="BB9" s="70">
        <v>424.23</v>
      </c>
      <c r="BC9" s="70">
        <v>423.19</v>
      </c>
      <c r="BD9" s="70">
        <v>422.16</v>
      </c>
      <c r="BE9" s="70">
        <v>421.12</v>
      </c>
      <c r="BF9" s="70">
        <v>420.09</v>
      </c>
      <c r="BG9" s="70">
        <v>419.05</v>
      </c>
      <c r="BH9" s="70">
        <v>418.02</v>
      </c>
      <c r="BI9" s="70">
        <v>416.98</v>
      </c>
      <c r="BJ9" s="70">
        <v>415.95</v>
      </c>
      <c r="BK9" s="70">
        <v>414.91</v>
      </c>
      <c r="BL9" s="70">
        <v>413.88</v>
      </c>
      <c r="BM9" s="70">
        <v>412.85</v>
      </c>
      <c r="BN9" s="70">
        <v>411.81</v>
      </c>
      <c r="BO9" s="70">
        <v>410.78</v>
      </c>
      <c r="BP9" s="70">
        <v>409.74</v>
      </c>
      <c r="BQ9" s="70">
        <v>408.71</v>
      </c>
      <c r="BR9" s="70">
        <v>407.68</v>
      </c>
      <c r="BS9" s="70">
        <v>406.64</v>
      </c>
      <c r="BT9" s="70">
        <v>405.61</v>
      </c>
      <c r="BU9" s="70">
        <v>404.58</v>
      </c>
      <c r="BV9" s="70">
        <v>403.55</v>
      </c>
      <c r="BW9" s="70">
        <v>402.51</v>
      </c>
      <c r="BX9" s="70">
        <v>401.48</v>
      </c>
      <c r="BY9" s="70">
        <v>400.45</v>
      </c>
      <c r="BZ9" s="70">
        <v>399.42</v>
      </c>
      <c r="CA9" s="70">
        <v>398.4</v>
      </c>
      <c r="CB9" s="70">
        <v>397.37</v>
      </c>
      <c r="CC9" s="70">
        <v>396.34</v>
      </c>
      <c r="CD9" s="70">
        <v>395.31</v>
      </c>
      <c r="CE9" s="70">
        <v>394.28</v>
      </c>
      <c r="CF9" s="70">
        <v>393.26</v>
      </c>
      <c r="CG9" s="70">
        <v>392.23</v>
      </c>
      <c r="CH9" s="70">
        <v>391.2</v>
      </c>
      <c r="CI9" s="70">
        <v>390.17</v>
      </c>
      <c r="CJ9" s="70">
        <v>389.15</v>
      </c>
      <c r="CK9" s="70">
        <v>388.12</v>
      </c>
      <c r="CL9" s="70">
        <v>387.09</v>
      </c>
      <c r="CM9" s="70">
        <v>386.07</v>
      </c>
      <c r="CN9" s="70">
        <v>385.04</v>
      </c>
      <c r="CO9" s="70">
        <v>384.02</v>
      </c>
      <c r="CP9" s="70">
        <v>382.99</v>
      </c>
      <c r="CQ9" s="70">
        <v>381.96</v>
      </c>
      <c r="CR9" s="70">
        <v>380.94</v>
      </c>
      <c r="CS9" s="70">
        <v>379.91</v>
      </c>
      <c r="CT9" s="70">
        <v>378.89</v>
      </c>
      <c r="CU9" s="70">
        <v>377.86</v>
      </c>
      <c r="CV9" s="70">
        <v>376.84</v>
      </c>
      <c r="CW9" s="70">
        <v>375.82</v>
      </c>
      <c r="CX9" s="70">
        <v>374.79</v>
      </c>
      <c r="CY9" s="70">
        <v>373.77</v>
      </c>
      <c r="CZ9" s="70">
        <v>372.75</v>
      </c>
      <c r="DA9" s="70">
        <v>371.73</v>
      </c>
      <c r="DB9" s="70">
        <v>370.71</v>
      </c>
      <c r="DC9" s="70">
        <v>369.68</v>
      </c>
      <c r="DD9" s="70">
        <v>368.66</v>
      </c>
      <c r="DE9" s="70">
        <v>367.64</v>
      </c>
      <c r="DF9" s="70">
        <v>366.62</v>
      </c>
      <c r="DG9" s="70">
        <v>365.6</v>
      </c>
      <c r="DH9" s="70">
        <v>364.58</v>
      </c>
      <c r="DI9" s="70">
        <v>363.56</v>
      </c>
      <c r="DJ9" s="70">
        <v>362.54</v>
      </c>
      <c r="DK9" s="70">
        <v>361.52</v>
      </c>
      <c r="DL9" s="70">
        <v>360.51</v>
      </c>
      <c r="DM9" s="70">
        <v>359.49</v>
      </c>
      <c r="DN9" s="70">
        <v>358.47</v>
      </c>
      <c r="DO9" s="70">
        <v>357.45</v>
      </c>
      <c r="DP9" s="70">
        <v>356.44</v>
      </c>
      <c r="DQ9" s="70">
        <v>355.42</v>
      </c>
      <c r="DR9" s="70">
        <v>354.4</v>
      </c>
      <c r="DS9" s="70">
        <v>353.39</v>
      </c>
      <c r="DT9" s="70">
        <v>352.37</v>
      </c>
      <c r="DU9" s="70">
        <v>351.36</v>
      </c>
      <c r="DV9" s="70">
        <v>350.35</v>
      </c>
      <c r="DW9" s="70">
        <v>349.34</v>
      </c>
      <c r="DX9" s="70">
        <v>348.33</v>
      </c>
      <c r="DY9" s="70">
        <v>347.32</v>
      </c>
      <c r="DZ9" s="70">
        <v>346.31</v>
      </c>
      <c r="EA9" s="70">
        <v>345.3</v>
      </c>
      <c r="EB9" s="70">
        <v>344.3</v>
      </c>
      <c r="EC9" s="70">
        <v>343.29</v>
      </c>
      <c r="ED9" s="70">
        <v>342.28</v>
      </c>
      <c r="EE9" s="70">
        <v>341.28</v>
      </c>
      <c r="EF9" s="70">
        <v>340.27</v>
      </c>
      <c r="EG9" s="70">
        <v>339.27</v>
      </c>
      <c r="EH9" s="70">
        <v>338.27</v>
      </c>
      <c r="EI9" s="70">
        <v>337.27</v>
      </c>
      <c r="EJ9" s="70">
        <v>336.27</v>
      </c>
      <c r="EK9" s="70">
        <v>335.28</v>
      </c>
      <c r="EL9" s="70">
        <v>334.28</v>
      </c>
      <c r="EM9" s="70">
        <v>333.28</v>
      </c>
      <c r="EN9" s="70">
        <v>332.29</v>
      </c>
      <c r="EO9" s="70">
        <v>331.29</v>
      </c>
      <c r="EP9" s="70">
        <v>330.29</v>
      </c>
      <c r="EQ9" s="70">
        <v>329.3</v>
      </c>
      <c r="ER9" s="70">
        <v>328.31</v>
      </c>
      <c r="ES9" s="70">
        <v>327.31</v>
      </c>
      <c r="ET9" s="70">
        <v>326.32</v>
      </c>
      <c r="EU9" s="70">
        <v>325.32</v>
      </c>
      <c r="EV9" s="70">
        <v>324.33999999999997</v>
      </c>
      <c r="EW9" s="70">
        <v>323.35000000000002</v>
      </c>
      <c r="EX9" s="70">
        <v>322.37</v>
      </c>
      <c r="EY9" s="70">
        <v>321.38</v>
      </c>
      <c r="EZ9" s="70">
        <v>320.39</v>
      </c>
      <c r="FA9" s="70">
        <v>319.39999999999998</v>
      </c>
      <c r="FB9" s="70">
        <v>318.41000000000003</v>
      </c>
      <c r="FC9" s="70">
        <v>317.43</v>
      </c>
      <c r="FD9" s="70">
        <v>316.45</v>
      </c>
      <c r="FE9" s="70">
        <v>315.47000000000003</v>
      </c>
      <c r="FF9" s="70">
        <v>314.48</v>
      </c>
      <c r="FG9" s="70">
        <v>313.5</v>
      </c>
      <c r="FH9" s="70">
        <v>312.51</v>
      </c>
      <c r="FI9" s="70">
        <v>311.54000000000002</v>
      </c>
      <c r="FJ9" s="70">
        <v>310.57</v>
      </c>
      <c r="FK9" s="70">
        <v>309.58999999999997</v>
      </c>
      <c r="FL9" s="70">
        <v>308.60000000000002</v>
      </c>
      <c r="FM9" s="70">
        <v>307.64</v>
      </c>
      <c r="FN9" s="70">
        <v>306.66000000000003</v>
      </c>
      <c r="FO9" s="70">
        <v>305.68</v>
      </c>
      <c r="FP9" s="70">
        <v>304.70999999999998</v>
      </c>
      <c r="FQ9" s="70">
        <v>303.74</v>
      </c>
      <c r="FR9" s="70">
        <v>302.76</v>
      </c>
      <c r="FS9" s="70">
        <v>301.79000000000002</v>
      </c>
      <c r="FT9" s="70">
        <v>300.82</v>
      </c>
      <c r="FU9" s="70">
        <v>299.85000000000002</v>
      </c>
      <c r="FV9" s="70">
        <v>298.89</v>
      </c>
      <c r="FW9" s="70">
        <v>297.92</v>
      </c>
      <c r="FX9" s="70">
        <v>296.95</v>
      </c>
      <c r="FY9" s="70">
        <v>295.99</v>
      </c>
      <c r="FZ9" s="70">
        <v>295.01</v>
      </c>
      <c r="GA9" s="70">
        <v>294.06</v>
      </c>
      <c r="GB9" s="70">
        <v>293.08999999999997</v>
      </c>
      <c r="GC9" s="70">
        <v>292.13</v>
      </c>
      <c r="GD9" s="70">
        <v>291.17</v>
      </c>
      <c r="GE9" s="70">
        <v>290.20999999999998</v>
      </c>
      <c r="GF9" s="70">
        <v>289.25</v>
      </c>
      <c r="GG9" s="70">
        <v>288.29000000000002</v>
      </c>
      <c r="GH9" s="70">
        <v>287.33999999999997</v>
      </c>
      <c r="GI9" s="70">
        <v>286.38</v>
      </c>
      <c r="GJ9" s="70">
        <v>285.42</v>
      </c>
      <c r="GK9" s="70">
        <v>284.47000000000003</v>
      </c>
      <c r="GL9" s="70">
        <v>283.51</v>
      </c>
      <c r="GM9" s="70">
        <v>282.56</v>
      </c>
      <c r="GN9" s="70">
        <v>281.60000000000002</v>
      </c>
      <c r="GO9" s="70">
        <v>280.67</v>
      </c>
      <c r="GP9" s="70">
        <v>279.72000000000003</v>
      </c>
      <c r="GQ9" s="70">
        <v>278.76</v>
      </c>
      <c r="GR9" s="70">
        <v>277.82</v>
      </c>
      <c r="GS9" s="70">
        <v>276.89</v>
      </c>
      <c r="GT9" s="70">
        <v>275.94</v>
      </c>
      <c r="GU9" s="70">
        <v>275</v>
      </c>
      <c r="GV9" s="70">
        <v>274.06</v>
      </c>
      <c r="GW9" s="70">
        <v>273.12</v>
      </c>
      <c r="GX9" s="70">
        <v>272.18</v>
      </c>
      <c r="GY9" s="70">
        <v>271.25</v>
      </c>
      <c r="GZ9" s="70">
        <v>270.31</v>
      </c>
      <c r="HA9" s="70">
        <v>269.38</v>
      </c>
      <c r="HB9" s="70">
        <v>268.44</v>
      </c>
      <c r="HC9" s="70">
        <v>267.51</v>
      </c>
      <c r="HD9" s="70">
        <v>266.57</v>
      </c>
      <c r="HE9" s="70">
        <v>265.64999999999998</v>
      </c>
      <c r="HF9" s="70">
        <v>264.72000000000003</v>
      </c>
      <c r="HG9" s="70">
        <v>263.79000000000002</v>
      </c>
      <c r="HH9" s="70">
        <v>262.87</v>
      </c>
      <c r="HI9" s="70">
        <v>261.95</v>
      </c>
      <c r="HJ9" s="70">
        <v>261.01</v>
      </c>
      <c r="HK9" s="70">
        <v>260.10000000000002</v>
      </c>
      <c r="HL9" s="70">
        <v>259.18</v>
      </c>
      <c r="HM9" s="70">
        <v>258.26</v>
      </c>
      <c r="HN9" s="70">
        <v>257.35000000000002</v>
      </c>
      <c r="HO9" s="70">
        <v>256.44</v>
      </c>
      <c r="HP9" s="70">
        <v>255.53</v>
      </c>
      <c r="HQ9" s="70">
        <v>254.62</v>
      </c>
      <c r="HR9" s="70">
        <v>253.71</v>
      </c>
      <c r="HS9" s="70">
        <v>252.8</v>
      </c>
      <c r="HT9" s="70">
        <v>251.89</v>
      </c>
      <c r="HU9" s="70">
        <v>250.99</v>
      </c>
      <c r="HV9" s="70">
        <v>250.08</v>
      </c>
      <c r="HW9" s="70">
        <v>249.18</v>
      </c>
      <c r="HX9" s="70">
        <v>248.27</v>
      </c>
      <c r="HY9" s="70">
        <v>247.37</v>
      </c>
      <c r="HZ9" s="70">
        <v>246.47</v>
      </c>
      <c r="IA9" s="70">
        <v>245.58</v>
      </c>
      <c r="IB9" s="70">
        <v>244.68</v>
      </c>
      <c r="IC9" s="70">
        <v>243.78</v>
      </c>
      <c r="ID9" s="70">
        <v>242.89</v>
      </c>
      <c r="IE9" s="70">
        <v>241.99</v>
      </c>
      <c r="IF9" s="70">
        <v>241.1</v>
      </c>
      <c r="IG9" s="70">
        <v>240.21</v>
      </c>
      <c r="IH9" s="70">
        <v>239.32</v>
      </c>
      <c r="II9" s="70">
        <v>238.43</v>
      </c>
      <c r="IJ9" s="70">
        <v>237.54</v>
      </c>
      <c r="IK9" s="70">
        <v>236.65</v>
      </c>
      <c r="IL9" s="70">
        <v>235.77</v>
      </c>
      <c r="IM9" s="70">
        <v>234.89</v>
      </c>
      <c r="IN9" s="70">
        <v>234</v>
      </c>
      <c r="IO9" s="70">
        <v>233.12</v>
      </c>
      <c r="IP9" s="70">
        <v>232.24</v>
      </c>
      <c r="IQ9" s="70">
        <v>231.37</v>
      </c>
      <c r="IR9" s="70">
        <v>230.49</v>
      </c>
      <c r="IS9" s="70">
        <v>229.61</v>
      </c>
      <c r="IT9" s="70">
        <v>228.74</v>
      </c>
      <c r="IU9" s="70">
        <v>227.87</v>
      </c>
      <c r="IV9" s="70">
        <v>227</v>
      </c>
      <c r="IW9" s="70">
        <v>226.14</v>
      </c>
      <c r="IX9" s="70">
        <v>225.27</v>
      </c>
      <c r="IY9" s="70">
        <v>224.41</v>
      </c>
      <c r="IZ9" s="70">
        <v>223.55</v>
      </c>
      <c r="JA9" s="70">
        <v>222.69</v>
      </c>
      <c r="JB9" s="70">
        <v>221.83</v>
      </c>
      <c r="JC9" s="70">
        <v>220.98</v>
      </c>
      <c r="JD9" s="70">
        <v>220.12</v>
      </c>
      <c r="JE9" s="70">
        <v>219.27</v>
      </c>
      <c r="JF9" s="70">
        <v>218.41</v>
      </c>
      <c r="JG9" s="70">
        <v>217.56</v>
      </c>
      <c r="JH9" s="70">
        <v>216.71</v>
      </c>
      <c r="JI9" s="70">
        <v>215.86</v>
      </c>
      <c r="JJ9" s="70">
        <v>215.02</v>
      </c>
      <c r="JK9" s="70">
        <v>214.17</v>
      </c>
      <c r="JL9" s="70">
        <v>213.33</v>
      </c>
      <c r="JM9" s="70">
        <v>212.48</v>
      </c>
      <c r="JN9" s="70">
        <v>211.64</v>
      </c>
      <c r="JO9" s="70">
        <v>210.8</v>
      </c>
      <c r="JP9" s="70">
        <v>209.96</v>
      </c>
      <c r="JQ9" s="70">
        <v>209.12</v>
      </c>
      <c r="JR9" s="70">
        <v>208.28</v>
      </c>
      <c r="JS9" s="70">
        <v>207.44</v>
      </c>
      <c r="JT9" s="70">
        <v>206.61</v>
      </c>
      <c r="JU9" s="70">
        <v>205.77</v>
      </c>
      <c r="JV9" s="70">
        <v>204.93</v>
      </c>
      <c r="JW9" s="70">
        <v>204.1</v>
      </c>
      <c r="JX9" s="70">
        <v>203.26</v>
      </c>
      <c r="JY9" s="70">
        <v>202.43</v>
      </c>
      <c r="JZ9" s="70">
        <v>201.6</v>
      </c>
      <c r="KA9" s="70">
        <v>200.77</v>
      </c>
      <c r="KB9" s="70">
        <v>199.94</v>
      </c>
      <c r="KC9" s="70">
        <v>199.11</v>
      </c>
      <c r="KD9" s="70">
        <v>198.28</v>
      </c>
      <c r="KE9" s="70">
        <v>197.46</v>
      </c>
      <c r="KF9" s="70">
        <v>196.63</v>
      </c>
      <c r="KG9" s="70">
        <v>195.81</v>
      </c>
      <c r="KH9" s="70">
        <v>194.99</v>
      </c>
      <c r="KI9" s="70">
        <v>194.17</v>
      </c>
      <c r="KJ9" s="70">
        <v>193.35</v>
      </c>
      <c r="KK9" s="70">
        <v>192.53</v>
      </c>
      <c r="KL9" s="70">
        <v>191.71</v>
      </c>
      <c r="KM9" s="70">
        <v>190.9</v>
      </c>
      <c r="KN9" s="70">
        <v>190.08</v>
      </c>
      <c r="KO9" s="70">
        <v>189.27</v>
      </c>
      <c r="KP9" s="70">
        <v>188.46</v>
      </c>
      <c r="KQ9" s="70">
        <v>187.65</v>
      </c>
      <c r="KR9" s="74">
        <f t="shared" si="13"/>
        <v>186.77</v>
      </c>
      <c r="KS9" s="74">
        <f t="shared" si="14"/>
        <v>185.98</v>
      </c>
      <c r="KT9" s="74">
        <f t="shared" si="15"/>
        <v>185.16</v>
      </c>
      <c r="KU9" s="74">
        <f t="shared" si="15"/>
        <v>184.37</v>
      </c>
      <c r="KV9" s="74">
        <f t="shared" si="15"/>
        <v>183.59</v>
      </c>
      <c r="KW9" s="74">
        <f t="shared" si="15"/>
        <v>182.8</v>
      </c>
      <c r="KX9" s="74">
        <f t="shared" si="15"/>
        <v>182.01</v>
      </c>
      <c r="KY9" s="74">
        <f t="shared" si="15"/>
        <v>181.23</v>
      </c>
      <c r="KZ9" s="74">
        <f t="shared" si="15"/>
        <v>180.44</v>
      </c>
      <c r="LA9" s="74">
        <f t="shared" si="15"/>
        <v>179.66</v>
      </c>
      <c r="LB9" s="74">
        <f t="shared" si="15"/>
        <v>178.88</v>
      </c>
      <c r="LC9" s="74">
        <f t="shared" si="15"/>
        <v>178.1</v>
      </c>
      <c r="LD9" s="74">
        <f t="shared" si="15"/>
        <v>177.32</v>
      </c>
      <c r="LE9" s="74">
        <f t="shared" si="15"/>
        <v>176.54</v>
      </c>
      <c r="LF9" s="74">
        <f t="shared" si="15"/>
        <v>175.77</v>
      </c>
      <c r="LG9" s="74">
        <f t="shared" si="15"/>
        <v>175</v>
      </c>
      <c r="LH9" s="74">
        <f t="shared" si="15"/>
        <v>174.22</v>
      </c>
      <c r="LI9" s="74">
        <f t="shared" si="15"/>
        <v>173.45</v>
      </c>
      <c r="LJ9" s="74">
        <f t="shared" ref="LJ9:LY24" si="17">LJ8+0.75</f>
        <v>172.68</v>
      </c>
      <c r="LK9" s="74">
        <f t="shared" si="17"/>
        <v>171.91</v>
      </c>
      <c r="LL9" s="74">
        <f t="shared" si="17"/>
        <v>171.14</v>
      </c>
      <c r="LM9" s="74">
        <f t="shared" si="17"/>
        <v>170.38</v>
      </c>
      <c r="LN9" s="74">
        <f t="shared" si="17"/>
        <v>169.61</v>
      </c>
      <c r="LO9" s="74">
        <f t="shared" si="17"/>
        <v>168.85</v>
      </c>
      <c r="LP9" s="74">
        <f t="shared" si="17"/>
        <v>168.09</v>
      </c>
      <c r="LQ9" s="74">
        <f t="shared" si="17"/>
        <v>167.33</v>
      </c>
      <c r="LR9" s="74">
        <f t="shared" si="17"/>
        <v>166.57</v>
      </c>
      <c r="LS9" s="74">
        <f t="shared" si="17"/>
        <v>165.81</v>
      </c>
      <c r="LT9" s="74">
        <f t="shared" si="17"/>
        <v>165.06</v>
      </c>
      <c r="LU9" s="74">
        <f t="shared" si="17"/>
        <v>164.31</v>
      </c>
      <c r="LV9" s="74">
        <f t="shared" si="17"/>
        <v>163.55000000000001</v>
      </c>
      <c r="LW9" s="74">
        <f t="shared" si="16"/>
        <v>162.80000000000001</v>
      </c>
      <c r="LX9" s="74">
        <f t="shared" si="16"/>
        <v>162.05000000000001</v>
      </c>
      <c r="LY9" s="74">
        <f t="shared" si="16"/>
        <v>161.30000000000001</v>
      </c>
      <c r="LZ9" s="74">
        <f t="shared" si="16"/>
        <v>160.56</v>
      </c>
      <c r="MA9" s="74">
        <f t="shared" si="16"/>
        <v>159.81</v>
      </c>
      <c r="MB9" s="74">
        <f t="shared" si="16"/>
        <v>159.07</v>
      </c>
      <c r="MC9" s="74">
        <f t="shared" si="16"/>
        <v>158.33000000000001</v>
      </c>
      <c r="MD9" s="74">
        <f t="shared" si="16"/>
        <v>157.59</v>
      </c>
      <c r="ME9" s="74">
        <f t="shared" si="16"/>
        <v>156.86000000000001</v>
      </c>
      <c r="MF9" s="74">
        <f t="shared" si="16"/>
        <v>156.12</v>
      </c>
      <c r="MG9" s="74">
        <f t="shared" si="16"/>
        <v>155.38999999999999</v>
      </c>
      <c r="MH9" s="74">
        <f t="shared" si="16"/>
        <v>154.65</v>
      </c>
      <c r="MI9" s="74">
        <f t="shared" si="16"/>
        <v>153.91999999999999</v>
      </c>
      <c r="MJ9" s="74">
        <f t="shared" si="16"/>
        <v>153.19</v>
      </c>
      <c r="MK9" s="74">
        <f t="shared" si="16"/>
        <v>152.46</v>
      </c>
      <c r="ML9" s="74">
        <f t="shared" si="16"/>
        <v>151.74</v>
      </c>
      <c r="MM9" s="74">
        <f t="shared" si="16"/>
        <v>151.01</v>
      </c>
      <c r="MN9" s="74">
        <f t="shared" si="16"/>
        <v>150.29</v>
      </c>
      <c r="MO9" s="74">
        <f t="shared" si="16"/>
        <v>149.57</v>
      </c>
      <c r="MP9" s="74">
        <f t="shared" si="16"/>
        <v>148.85</v>
      </c>
      <c r="MQ9" s="74">
        <f t="shared" si="16"/>
        <v>148.13999999999999</v>
      </c>
      <c r="MR9" s="74">
        <f t="shared" si="16"/>
        <v>147.41999999999999</v>
      </c>
      <c r="MS9" s="74">
        <f t="shared" si="16"/>
        <v>146.71</v>
      </c>
      <c r="MT9" s="74">
        <f t="shared" si="16"/>
        <v>145.99</v>
      </c>
      <c r="MU9" s="74">
        <f t="shared" si="16"/>
        <v>145.28</v>
      </c>
      <c r="MV9" s="74">
        <f t="shared" si="16"/>
        <v>144.57</v>
      </c>
      <c r="MW9" s="74">
        <f t="shared" si="16"/>
        <v>143.87</v>
      </c>
      <c r="MX9" s="74">
        <f t="shared" si="16"/>
        <v>143.16</v>
      </c>
      <c r="MY9" s="74">
        <f t="shared" si="16"/>
        <v>142.46</v>
      </c>
    </row>
    <row r="10" spans="1:363" ht="15.6" x14ac:dyDescent="0.3">
      <c r="A10" s="67" t="s">
        <v>6</v>
      </c>
      <c r="B10" s="72">
        <v>2020</v>
      </c>
      <c r="C10" s="70">
        <v>478.17</v>
      </c>
      <c r="D10" s="70">
        <v>477.13</v>
      </c>
      <c r="E10" s="70">
        <v>476.09</v>
      </c>
      <c r="F10" s="70">
        <v>475.05</v>
      </c>
      <c r="G10" s="70">
        <v>474.01</v>
      </c>
      <c r="H10" s="70">
        <v>472.97</v>
      </c>
      <c r="I10" s="70">
        <v>471.93</v>
      </c>
      <c r="J10" s="70">
        <v>470.89</v>
      </c>
      <c r="K10" s="70">
        <v>469.85</v>
      </c>
      <c r="L10" s="70">
        <v>468.81</v>
      </c>
      <c r="M10" s="70">
        <v>467.77</v>
      </c>
      <c r="N10" s="70">
        <v>466.73</v>
      </c>
      <c r="O10" s="70">
        <v>465.69</v>
      </c>
      <c r="P10" s="70">
        <v>464.66</v>
      </c>
      <c r="Q10" s="70">
        <v>463.62</v>
      </c>
      <c r="R10" s="70">
        <v>462.58</v>
      </c>
      <c r="S10" s="70">
        <v>461.54</v>
      </c>
      <c r="T10" s="70">
        <v>460.5</v>
      </c>
      <c r="U10" s="70">
        <v>459.46</v>
      </c>
      <c r="V10" s="70">
        <v>458.43</v>
      </c>
      <c r="W10" s="70">
        <v>457.39</v>
      </c>
      <c r="X10" s="70">
        <v>456.35</v>
      </c>
      <c r="Y10" s="70">
        <v>455.31</v>
      </c>
      <c r="Z10" s="70">
        <v>454.27</v>
      </c>
      <c r="AA10" s="70">
        <v>453.24</v>
      </c>
      <c r="AB10" s="70">
        <v>452.2</v>
      </c>
      <c r="AC10" s="70">
        <v>451.16</v>
      </c>
      <c r="AD10" s="70">
        <v>450.12</v>
      </c>
      <c r="AE10" s="70">
        <v>449.09</v>
      </c>
      <c r="AF10" s="70">
        <v>448.05</v>
      </c>
      <c r="AG10" s="70">
        <v>447.01</v>
      </c>
      <c r="AH10" s="70">
        <v>445.97</v>
      </c>
      <c r="AI10" s="70">
        <v>444.94</v>
      </c>
      <c r="AJ10" s="70">
        <v>443.9</v>
      </c>
      <c r="AK10" s="70">
        <v>442.86</v>
      </c>
      <c r="AL10" s="70">
        <v>441.83</v>
      </c>
      <c r="AM10" s="70">
        <v>440.79</v>
      </c>
      <c r="AN10" s="70">
        <v>439.75</v>
      </c>
      <c r="AO10" s="70">
        <v>438.72</v>
      </c>
      <c r="AP10" s="70">
        <v>437.68</v>
      </c>
      <c r="AQ10" s="70">
        <v>436.64</v>
      </c>
      <c r="AR10" s="70">
        <v>435.61</v>
      </c>
      <c r="AS10" s="70">
        <v>434.57</v>
      </c>
      <c r="AT10" s="70">
        <v>433.54</v>
      </c>
      <c r="AU10" s="70">
        <v>432.5</v>
      </c>
      <c r="AV10" s="70">
        <v>431.46</v>
      </c>
      <c r="AW10" s="70">
        <v>430.43</v>
      </c>
      <c r="AX10" s="70">
        <v>429.39</v>
      </c>
      <c r="AY10" s="70">
        <v>428.36</v>
      </c>
      <c r="AZ10" s="70">
        <v>427.32</v>
      </c>
      <c r="BA10" s="70">
        <v>426.29</v>
      </c>
      <c r="BB10" s="70">
        <v>425.25</v>
      </c>
      <c r="BC10" s="70">
        <v>424.22</v>
      </c>
      <c r="BD10" s="70">
        <v>423.18</v>
      </c>
      <c r="BE10" s="70">
        <v>422.15</v>
      </c>
      <c r="BF10" s="70">
        <v>421.11</v>
      </c>
      <c r="BG10" s="70">
        <v>420.08</v>
      </c>
      <c r="BH10" s="70">
        <v>419.04</v>
      </c>
      <c r="BI10" s="70">
        <v>418.01</v>
      </c>
      <c r="BJ10" s="70">
        <v>416.97</v>
      </c>
      <c r="BK10" s="70">
        <v>415.94</v>
      </c>
      <c r="BL10" s="70">
        <v>414.9</v>
      </c>
      <c r="BM10" s="70">
        <v>413.87</v>
      </c>
      <c r="BN10" s="70">
        <v>412.84</v>
      </c>
      <c r="BO10" s="70">
        <v>411.8</v>
      </c>
      <c r="BP10" s="70">
        <v>410.77</v>
      </c>
      <c r="BQ10" s="70">
        <v>409.73</v>
      </c>
      <c r="BR10" s="70">
        <v>408.7</v>
      </c>
      <c r="BS10" s="70">
        <v>407.67</v>
      </c>
      <c r="BT10" s="70">
        <v>406.63</v>
      </c>
      <c r="BU10" s="70">
        <v>405.6</v>
      </c>
      <c r="BV10" s="70">
        <v>404.57</v>
      </c>
      <c r="BW10" s="70">
        <v>403.53</v>
      </c>
      <c r="BX10" s="70">
        <v>402.5</v>
      </c>
      <c r="BY10" s="70">
        <v>401.47</v>
      </c>
      <c r="BZ10" s="70">
        <v>400.44</v>
      </c>
      <c r="CA10" s="70">
        <v>399.42</v>
      </c>
      <c r="CB10" s="70">
        <v>398.39</v>
      </c>
      <c r="CC10" s="70">
        <v>397.36</v>
      </c>
      <c r="CD10" s="70">
        <v>396.33</v>
      </c>
      <c r="CE10" s="70">
        <v>395.3</v>
      </c>
      <c r="CF10" s="70">
        <v>394.27</v>
      </c>
      <c r="CG10" s="70">
        <v>393.24</v>
      </c>
      <c r="CH10" s="70">
        <v>392.22</v>
      </c>
      <c r="CI10" s="70">
        <v>391.19</v>
      </c>
      <c r="CJ10" s="70">
        <v>390.16</v>
      </c>
      <c r="CK10" s="70">
        <v>389.14</v>
      </c>
      <c r="CL10" s="70">
        <v>388.11</v>
      </c>
      <c r="CM10" s="70">
        <v>387.08</v>
      </c>
      <c r="CN10" s="70">
        <v>386.06</v>
      </c>
      <c r="CO10" s="70">
        <v>385.03</v>
      </c>
      <c r="CP10" s="70">
        <v>384</v>
      </c>
      <c r="CQ10" s="70">
        <v>382.98</v>
      </c>
      <c r="CR10" s="70">
        <v>381.95</v>
      </c>
      <c r="CS10" s="70">
        <v>380.92</v>
      </c>
      <c r="CT10" s="70">
        <v>379.9</v>
      </c>
      <c r="CU10" s="70">
        <v>378.87</v>
      </c>
      <c r="CV10" s="70">
        <v>377.85</v>
      </c>
      <c r="CW10" s="70">
        <v>376.83</v>
      </c>
      <c r="CX10" s="70">
        <v>375.8</v>
      </c>
      <c r="CY10" s="70">
        <v>374.78</v>
      </c>
      <c r="CZ10" s="70">
        <v>373.76</v>
      </c>
      <c r="DA10" s="70">
        <v>372.73</v>
      </c>
      <c r="DB10" s="70">
        <v>371.71</v>
      </c>
      <c r="DC10" s="70">
        <v>370.69</v>
      </c>
      <c r="DD10" s="70">
        <v>369.67</v>
      </c>
      <c r="DE10" s="70">
        <v>368.65</v>
      </c>
      <c r="DF10" s="70">
        <v>367.62</v>
      </c>
      <c r="DG10" s="70">
        <v>366.6</v>
      </c>
      <c r="DH10" s="70">
        <v>365.58</v>
      </c>
      <c r="DI10" s="70">
        <v>364.56</v>
      </c>
      <c r="DJ10" s="70">
        <v>363.54</v>
      </c>
      <c r="DK10" s="70">
        <v>362.53</v>
      </c>
      <c r="DL10" s="70">
        <v>361.51</v>
      </c>
      <c r="DM10" s="70">
        <v>360.49</v>
      </c>
      <c r="DN10" s="70">
        <v>359.47</v>
      </c>
      <c r="DO10" s="70">
        <v>358.45</v>
      </c>
      <c r="DP10" s="70">
        <v>357.43</v>
      </c>
      <c r="DQ10" s="70">
        <v>356.42</v>
      </c>
      <c r="DR10" s="70">
        <v>355.4</v>
      </c>
      <c r="DS10" s="70">
        <v>354.38</v>
      </c>
      <c r="DT10" s="70">
        <v>353.37</v>
      </c>
      <c r="DU10" s="70">
        <v>352.36</v>
      </c>
      <c r="DV10" s="70">
        <v>351.35</v>
      </c>
      <c r="DW10" s="70">
        <v>350.33</v>
      </c>
      <c r="DX10" s="70">
        <v>349.32</v>
      </c>
      <c r="DY10" s="70">
        <v>348.31</v>
      </c>
      <c r="DZ10" s="70">
        <v>347.3</v>
      </c>
      <c r="EA10" s="70">
        <v>346.29</v>
      </c>
      <c r="EB10" s="70">
        <v>345.29</v>
      </c>
      <c r="EC10" s="70">
        <v>344.28</v>
      </c>
      <c r="ED10" s="70">
        <v>343.27</v>
      </c>
      <c r="EE10" s="70">
        <v>342.26</v>
      </c>
      <c r="EF10" s="70">
        <v>341.26</v>
      </c>
      <c r="EG10" s="70">
        <v>340.26</v>
      </c>
      <c r="EH10" s="70">
        <v>339.26</v>
      </c>
      <c r="EI10" s="70">
        <v>338.26</v>
      </c>
      <c r="EJ10" s="70">
        <v>337.26</v>
      </c>
      <c r="EK10" s="70">
        <v>336.26</v>
      </c>
      <c r="EL10" s="70">
        <v>335.26</v>
      </c>
      <c r="EM10" s="70">
        <v>334.26</v>
      </c>
      <c r="EN10" s="70">
        <v>333.27</v>
      </c>
      <c r="EO10" s="70">
        <v>332.27</v>
      </c>
      <c r="EP10" s="70">
        <v>331.27</v>
      </c>
      <c r="EQ10" s="70">
        <v>330.28</v>
      </c>
      <c r="ER10" s="70">
        <v>329.28</v>
      </c>
      <c r="ES10" s="70">
        <v>328.29</v>
      </c>
      <c r="ET10" s="70">
        <v>327.29000000000002</v>
      </c>
      <c r="EU10" s="70">
        <v>326.31</v>
      </c>
      <c r="EV10" s="70">
        <v>325.32</v>
      </c>
      <c r="EW10" s="70">
        <v>324.32</v>
      </c>
      <c r="EX10" s="70">
        <v>323.33999999999997</v>
      </c>
      <c r="EY10" s="70">
        <v>322.35000000000002</v>
      </c>
      <c r="EZ10" s="70">
        <v>321.35000000000002</v>
      </c>
      <c r="FA10" s="70">
        <v>320.37</v>
      </c>
      <c r="FB10" s="70">
        <v>319.38</v>
      </c>
      <c r="FC10" s="70">
        <v>318.39999999999998</v>
      </c>
      <c r="FD10" s="70">
        <v>317.41000000000003</v>
      </c>
      <c r="FE10" s="70">
        <v>316.43</v>
      </c>
      <c r="FF10" s="70">
        <v>315.45</v>
      </c>
      <c r="FG10" s="70">
        <v>314.47000000000003</v>
      </c>
      <c r="FH10" s="70">
        <v>313.49</v>
      </c>
      <c r="FI10" s="70">
        <v>312.51</v>
      </c>
      <c r="FJ10" s="70">
        <v>311.52999999999997</v>
      </c>
      <c r="FK10" s="70">
        <v>310.54000000000002</v>
      </c>
      <c r="FL10" s="70">
        <v>309.57</v>
      </c>
      <c r="FM10" s="70">
        <v>308.60000000000002</v>
      </c>
      <c r="FN10" s="70">
        <v>307.62</v>
      </c>
      <c r="FO10" s="70">
        <v>306.64</v>
      </c>
      <c r="FP10" s="70">
        <v>305.67</v>
      </c>
      <c r="FQ10" s="70">
        <v>304.7</v>
      </c>
      <c r="FR10" s="70">
        <v>303.72000000000003</v>
      </c>
      <c r="FS10" s="70">
        <v>302.75</v>
      </c>
      <c r="FT10" s="70">
        <v>301.77999999999997</v>
      </c>
      <c r="FU10" s="70">
        <v>300.81</v>
      </c>
      <c r="FV10" s="70">
        <v>299.83999999999997</v>
      </c>
      <c r="FW10" s="70">
        <v>298.87</v>
      </c>
      <c r="FX10" s="70">
        <v>297.89999999999998</v>
      </c>
      <c r="FY10" s="70">
        <v>296.93</v>
      </c>
      <c r="FZ10" s="70">
        <v>295.97000000000003</v>
      </c>
      <c r="GA10" s="70">
        <v>295</v>
      </c>
      <c r="GB10" s="70">
        <v>294.04000000000002</v>
      </c>
      <c r="GC10" s="70">
        <v>293.07</v>
      </c>
      <c r="GD10" s="70">
        <v>292.10000000000002</v>
      </c>
      <c r="GE10" s="70">
        <v>291.14999999999998</v>
      </c>
      <c r="GF10" s="70">
        <v>290.19</v>
      </c>
      <c r="GG10" s="70">
        <v>289.23</v>
      </c>
      <c r="GH10" s="70">
        <v>288.26</v>
      </c>
      <c r="GI10" s="70">
        <v>287.32</v>
      </c>
      <c r="GJ10" s="70">
        <v>286.35000000000002</v>
      </c>
      <c r="GK10" s="70">
        <v>285.39999999999998</v>
      </c>
      <c r="GL10" s="70">
        <v>284.45</v>
      </c>
      <c r="GM10" s="70">
        <v>283.49</v>
      </c>
      <c r="GN10" s="70">
        <v>282.54000000000002</v>
      </c>
      <c r="GO10" s="70">
        <v>281.60000000000002</v>
      </c>
      <c r="GP10" s="70">
        <v>280.64999999999998</v>
      </c>
      <c r="GQ10" s="70">
        <v>279.7</v>
      </c>
      <c r="GR10" s="70">
        <v>278.76</v>
      </c>
      <c r="GS10" s="70">
        <v>277.81</v>
      </c>
      <c r="GT10" s="70">
        <v>276.87</v>
      </c>
      <c r="GU10" s="70">
        <v>275.93</v>
      </c>
      <c r="GV10" s="70">
        <v>274.98</v>
      </c>
      <c r="GW10" s="70">
        <v>274.04000000000002</v>
      </c>
      <c r="GX10" s="70">
        <v>273.10000000000002</v>
      </c>
      <c r="GY10" s="70">
        <v>272.16000000000003</v>
      </c>
      <c r="GZ10" s="70">
        <v>271.23</v>
      </c>
      <c r="HA10" s="70">
        <v>270.29000000000002</v>
      </c>
      <c r="HB10" s="70">
        <v>269.35000000000002</v>
      </c>
      <c r="HC10" s="70">
        <v>268.43</v>
      </c>
      <c r="HD10" s="70">
        <v>267.49</v>
      </c>
      <c r="HE10" s="70">
        <v>266.56</v>
      </c>
      <c r="HF10" s="70">
        <v>265.63</v>
      </c>
      <c r="HG10" s="70">
        <v>264.7</v>
      </c>
      <c r="HH10" s="70">
        <v>263.77999999999997</v>
      </c>
      <c r="HI10" s="70">
        <v>262.85000000000002</v>
      </c>
      <c r="HJ10" s="70">
        <v>261.93</v>
      </c>
      <c r="HK10" s="70">
        <v>261</v>
      </c>
      <c r="HL10" s="70">
        <v>260.07</v>
      </c>
      <c r="HM10" s="70">
        <v>259.17</v>
      </c>
      <c r="HN10" s="70">
        <v>258.25</v>
      </c>
      <c r="HO10" s="70">
        <v>257.33999999999997</v>
      </c>
      <c r="HP10" s="70">
        <v>256.42</v>
      </c>
      <c r="HQ10" s="70">
        <v>255.51</v>
      </c>
      <c r="HR10" s="70">
        <v>254.6</v>
      </c>
      <c r="HS10" s="70">
        <v>253.69</v>
      </c>
      <c r="HT10" s="70">
        <v>252.78</v>
      </c>
      <c r="HU10" s="70">
        <v>251.87</v>
      </c>
      <c r="HV10" s="70">
        <v>250.97</v>
      </c>
      <c r="HW10" s="70">
        <v>250.06</v>
      </c>
      <c r="HX10" s="70">
        <v>249.16</v>
      </c>
      <c r="HY10" s="70">
        <v>248.26</v>
      </c>
      <c r="HZ10" s="70">
        <v>247.36</v>
      </c>
      <c r="IA10" s="70">
        <v>246.46</v>
      </c>
      <c r="IB10" s="70">
        <v>245.56</v>
      </c>
      <c r="IC10" s="70">
        <v>244.66</v>
      </c>
      <c r="ID10" s="70">
        <v>243.76</v>
      </c>
      <c r="IE10" s="70">
        <v>242.87</v>
      </c>
      <c r="IF10" s="70">
        <v>241.97</v>
      </c>
      <c r="IG10" s="70">
        <v>241.08</v>
      </c>
      <c r="IH10" s="70">
        <v>240.19</v>
      </c>
      <c r="II10" s="70">
        <v>239.29</v>
      </c>
      <c r="IJ10" s="70">
        <v>238.41</v>
      </c>
      <c r="IK10" s="70">
        <v>237.52</v>
      </c>
      <c r="IL10" s="70">
        <v>236.63</v>
      </c>
      <c r="IM10" s="70">
        <v>235.75</v>
      </c>
      <c r="IN10" s="70">
        <v>234.86</v>
      </c>
      <c r="IO10" s="70">
        <v>233.98</v>
      </c>
      <c r="IP10" s="70">
        <v>233.1</v>
      </c>
      <c r="IQ10" s="70">
        <v>232.22</v>
      </c>
      <c r="IR10" s="70">
        <v>231.34</v>
      </c>
      <c r="IS10" s="70">
        <v>230.47</v>
      </c>
      <c r="IT10" s="70">
        <v>229.59</v>
      </c>
      <c r="IU10" s="70">
        <v>228.71</v>
      </c>
      <c r="IV10" s="70">
        <v>227.85</v>
      </c>
      <c r="IW10" s="70">
        <v>226.98</v>
      </c>
      <c r="IX10" s="70">
        <v>226.12</v>
      </c>
      <c r="IY10" s="70">
        <v>225.25</v>
      </c>
      <c r="IZ10" s="70">
        <v>224.39</v>
      </c>
      <c r="JA10" s="70">
        <v>223.53</v>
      </c>
      <c r="JB10" s="70">
        <v>222.67</v>
      </c>
      <c r="JC10" s="70">
        <v>221.81</v>
      </c>
      <c r="JD10" s="70">
        <v>220.96</v>
      </c>
      <c r="JE10" s="70">
        <v>220.1</v>
      </c>
      <c r="JF10" s="70">
        <v>219.24</v>
      </c>
      <c r="JG10" s="70">
        <v>218.39</v>
      </c>
      <c r="JH10" s="70">
        <v>217.54</v>
      </c>
      <c r="JI10" s="70">
        <v>216.69</v>
      </c>
      <c r="JJ10" s="70">
        <v>215.84</v>
      </c>
      <c r="JK10" s="70">
        <v>214.99</v>
      </c>
      <c r="JL10" s="70">
        <v>214.15</v>
      </c>
      <c r="JM10" s="70">
        <v>213.3</v>
      </c>
      <c r="JN10" s="70">
        <v>212.46</v>
      </c>
      <c r="JO10" s="70">
        <v>211.61</v>
      </c>
      <c r="JP10" s="70">
        <v>210.77</v>
      </c>
      <c r="JQ10" s="70">
        <v>209.93</v>
      </c>
      <c r="JR10" s="70">
        <v>209.09</v>
      </c>
      <c r="JS10" s="70">
        <v>208.25</v>
      </c>
      <c r="JT10" s="70">
        <v>207.41</v>
      </c>
      <c r="JU10" s="70">
        <v>206.57</v>
      </c>
      <c r="JV10" s="70">
        <v>205.73</v>
      </c>
      <c r="JW10" s="70">
        <v>204.9</v>
      </c>
      <c r="JX10" s="70">
        <v>204.06</v>
      </c>
      <c r="JY10" s="70">
        <v>203.23</v>
      </c>
      <c r="JZ10" s="70">
        <v>202.39</v>
      </c>
      <c r="KA10" s="70">
        <v>201.56</v>
      </c>
      <c r="KB10" s="70">
        <v>200.73</v>
      </c>
      <c r="KC10" s="70">
        <v>199.9</v>
      </c>
      <c r="KD10" s="70">
        <v>199.07</v>
      </c>
      <c r="KE10" s="70">
        <v>198.24</v>
      </c>
      <c r="KF10" s="70">
        <v>197.41</v>
      </c>
      <c r="KG10" s="70">
        <v>196.59</v>
      </c>
      <c r="KH10" s="70">
        <v>195.77</v>
      </c>
      <c r="KI10" s="70">
        <v>194.94</v>
      </c>
      <c r="KJ10" s="70">
        <v>194.12</v>
      </c>
      <c r="KK10" s="70">
        <v>193.3</v>
      </c>
      <c r="KL10" s="70">
        <v>192.48</v>
      </c>
      <c r="KM10" s="70">
        <v>191.66</v>
      </c>
      <c r="KN10" s="70">
        <v>190.85</v>
      </c>
      <c r="KO10" s="70">
        <v>190.03</v>
      </c>
      <c r="KP10" s="70">
        <v>189.22</v>
      </c>
      <c r="KQ10" s="70">
        <v>188.41</v>
      </c>
      <c r="KR10" s="74">
        <f t="shared" si="13"/>
        <v>187.52</v>
      </c>
      <c r="KS10" s="74">
        <f t="shared" si="14"/>
        <v>186.73</v>
      </c>
      <c r="KT10" s="74">
        <f t="shared" si="15"/>
        <v>185.91</v>
      </c>
      <c r="KU10" s="74">
        <f t="shared" si="15"/>
        <v>185.12</v>
      </c>
      <c r="KV10" s="74">
        <f t="shared" si="15"/>
        <v>184.34</v>
      </c>
      <c r="KW10" s="74">
        <f t="shared" si="15"/>
        <v>183.55</v>
      </c>
      <c r="KX10" s="74">
        <f t="shared" si="15"/>
        <v>182.76</v>
      </c>
      <c r="KY10" s="74">
        <f t="shared" si="15"/>
        <v>181.98</v>
      </c>
      <c r="KZ10" s="74">
        <f t="shared" si="15"/>
        <v>181.19</v>
      </c>
      <c r="LA10" s="74">
        <f t="shared" si="15"/>
        <v>180.41</v>
      </c>
      <c r="LB10" s="74">
        <f t="shared" si="15"/>
        <v>179.63</v>
      </c>
      <c r="LC10" s="74">
        <f t="shared" si="15"/>
        <v>178.85</v>
      </c>
      <c r="LD10" s="74">
        <f t="shared" si="15"/>
        <v>178.07</v>
      </c>
      <c r="LE10" s="74">
        <f t="shared" si="15"/>
        <v>177.29</v>
      </c>
      <c r="LF10" s="74">
        <f t="shared" si="15"/>
        <v>176.52</v>
      </c>
      <c r="LG10" s="74">
        <f t="shared" si="15"/>
        <v>175.75</v>
      </c>
      <c r="LH10" s="74">
        <f t="shared" si="15"/>
        <v>174.97</v>
      </c>
      <c r="LI10" s="74">
        <f t="shared" si="15"/>
        <v>174.2</v>
      </c>
      <c r="LJ10" s="74">
        <f t="shared" si="17"/>
        <v>173.43</v>
      </c>
      <c r="LK10" s="74">
        <f t="shared" si="17"/>
        <v>172.66</v>
      </c>
      <c r="LL10" s="74">
        <f t="shared" si="17"/>
        <v>171.89</v>
      </c>
      <c r="LM10" s="74">
        <f t="shared" si="17"/>
        <v>171.13</v>
      </c>
      <c r="LN10" s="74">
        <f t="shared" si="17"/>
        <v>170.36</v>
      </c>
      <c r="LO10" s="74">
        <f t="shared" si="17"/>
        <v>169.6</v>
      </c>
      <c r="LP10" s="74">
        <f t="shared" si="17"/>
        <v>168.84</v>
      </c>
      <c r="LQ10" s="74">
        <f t="shared" si="17"/>
        <v>168.08</v>
      </c>
      <c r="LR10" s="74">
        <f t="shared" si="17"/>
        <v>167.32</v>
      </c>
      <c r="LS10" s="74">
        <f t="shared" si="17"/>
        <v>166.56</v>
      </c>
      <c r="LT10" s="74">
        <f t="shared" si="17"/>
        <v>165.81</v>
      </c>
      <c r="LU10" s="74">
        <f t="shared" si="17"/>
        <v>165.06</v>
      </c>
      <c r="LV10" s="74">
        <f t="shared" si="17"/>
        <v>164.3</v>
      </c>
      <c r="LW10" s="74">
        <f t="shared" si="16"/>
        <v>163.55000000000001</v>
      </c>
      <c r="LX10" s="74">
        <f t="shared" si="16"/>
        <v>162.80000000000001</v>
      </c>
      <c r="LY10" s="74">
        <f t="shared" si="16"/>
        <v>162.05000000000001</v>
      </c>
      <c r="LZ10" s="74">
        <f t="shared" si="16"/>
        <v>161.31</v>
      </c>
      <c r="MA10" s="74">
        <f t="shared" si="16"/>
        <v>160.56</v>
      </c>
      <c r="MB10" s="74">
        <f t="shared" si="16"/>
        <v>159.82</v>
      </c>
      <c r="MC10" s="74">
        <f t="shared" si="16"/>
        <v>159.08000000000001</v>
      </c>
      <c r="MD10" s="74">
        <f t="shared" si="16"/>
        <v>158.34</v>
      </c>
      <c r="ME10" s="74">
        <f t="shared" si="16"/>
        <v>157.61000000000001</v>
      </c>
      <c r="MF10" s="74">
        <f t="shared" si="16"/>
        <v>156.87</v>
      </c>
      <c r="MG10" s="74">
        <f t="shared" si="16"/>
        <v>156.13999999999999</v>
      </c>
      <c r="MH10" s="74">
        <f t="shared" si="16"/>
        <v>155.4</v>
      </c>
      <c r="MI10" s="74">
        <f t="shared" si="16"/>
        <v>154.66999999999999</v>
      </c>
      <c r="MJ10" s="74">
        <f t="shared" si="16"/>
        <v>153.94</v>
      </c>
      <c r="MK10" s="74">
        <f t="shared" si="16"/>
        <v>153.21</v>
      </c>
      <c r="ML10" s="74">
        <f t="shared" si="16"/>
        <v>152.49</v>
      </c>
      <c r="MM10" s="74">
        <f t="shared" si="16"/>
        <v>151.76</v>
      </c>
      <c r="MN10" s="74">
        <f t="shared" si="16"/>
        <v>151.04</v>
      </c>
      <c r="MO10" s="74">
        <f t="shared" si="16"/>
        <v>150.32</v>
      </c>
      <c r="MP10" s="74">
        <f t="shared" si="16"/>
        <v>149.6</v>
      </c>
      <c r="MQ10" s="74">
        <f t="shared" si="16"/>
        <v>148.88999999999999</v>
      </c>
      <c r="MR10" s="74">
        <f t="shared" si="16"/>
        <v>148.16999999999999</v>
      </c>
      <c r="MS10" s="74">
        <f t="shared" si="16"/>
        <v>147.46</v>
      </c>
      <c r="MT10" s="74">
        <f t="shared" si="16"/>
        <v>146.74</v>
      </c>
      <c r="MU10" s="74">
        <f t="shared" si="16"/>
        <v>146.03</v>
      </c>
      <c r="MV10" s="74">
        <f t="shared" si="16"/>
        <v>145.32</v>
      </c>
      <c r="MW10" s="74">
        <f t="shared" si="16"/>
        <v>144.62</v>
      </c>
      <c r="MX10" s="74">
        <f t="shared" si="16"/>
        <v>143.91</v>
      </c>
      <c r="MY10" s="74">
        <f t="shared" si="16"/>
        <v>143.21</v>
      </c>
    </row>
    <row r="11" spans="1:363" ht="15.6" x14ac:dyDescent="0.3">
      <c r="A11" s="67" t="s">
        <v>6</v>
      </c>
      <c r="B11" s="72">
        <v>2021</v>
      </c>
      <c r="C11" s="70">
        <v>479.19</v>
      </c>
      <c r="D11" s="70">
        <v>478.15</v>
      </c>
      <c r="E11" s="70">
        <v>477.11</v>
      </c>
      <c r="F11" s="70">
        <v>476.07</v>
      </c>
      <c r="G11" s="70">
        <v>475.03</v>
      </c>
      <c r="H11" s="70">
        <v>473.99</v>
      </c>
      <c r="I11" s="70">
        <v>472.95</v>
      </c>
      <c r="J11" s="70">
        <v>471.91</v>
      </c>
      <c r="K11" s="70">
        <v>470.87</v>
      </c>
      <c r="L11" s="70">
        <v>469.83</v>
      </c>
      <c r="M11" s="70">
        <v>468.79</v>
      </c>
      <c r="N11" s="70">
        <v>467.75</v>
      </c>
      <c r="O11" s="70">
        <v>466.72</v>
      </c>
      <c r="P11" s="70">
        <v>465.68</v>
      </c>
      <c r="Q11" s="70">
        <v>464.64</v>
      </c>
      <c r="R11" s="70">
        <v>463.6</v>
      </c>
      <c r="S11" s="70">
        <v>462.56</v>
      </c>
      <c r="T11" s="70">
        <v>461.52</v>
      </c>
      <c r="U11" s="70">
        <v>460.49</v>
      </c>
      <c r="V11" s="70">
        <v>459.45</v>
      </c>
      <c r="W11" s="70">
        <v>458.41</v>
      </c>
      <c r="X11" s="70">
        <v>457.37</v>
      </c>
      <c r="Y11" s="70">
        <v>456.33</v>
      </c>
      <c r="Z11" s="70">
        <v>455.29</v>
      </c>
      <c r="AA11" s="70">
        <v>454.26</v>
      </c>
      <c r="AB11" s="70">
        <v>453.22</v>
      </c>
      <c r="AC11" s="70">
        <v>452.18</v>
      </c>
      <c r="AD11" s="70">
        <v>451.14</v>
      </c>
      <c r="AE11" s="70">
        <v>450.11</v>
      </c>
      <c r="AF11" s="70">
        <v>449.07</v>
      </c>
      <c r="AG11" s="70">
        <v>448.03</v>
      </c>
      <c r="AH11" s="70">
        <v>446.99</v>
      </c>
      <c r="AI11" s="70">
        <v>445.96</v>
      </c>
      <c r="AJ11" s="70">
        <v>444.92</v>
      </c>
      <c r="AK11" s="70">
        <v>443.88</v>
      </c>
      <c r="AL11" s="70">
        <v>442.85</v>
      </c>
      <c r="AM11" s="70">
        <v>441.81</v>
      </c>
      <c r="AN11" s="70">
        <v>440.77</v>
      </c>
      <c r="AO11" s="70">
        <v>439.74</v>
      </c>
      <c r="AP11" s="70">
        <v>438.7</v>
      </c>
      <c r="AQ11" s="70">
        <v>437.66</v>
      </c>
      <c r="AR11" s="70">
        <v>436.63</v>
      </c>
      <c r="AS11" s="70">
        <v>435.59</v>
      </c>
      <c r="AT11" s="70">
        <v>434.56</v>
      </c>
      <c r="AU11" s="70">
        <v>433.52</v>
      </c>
      <c r="AV11" s="70">
        <v>432.48</v>
      </c>
      <c r="AW11" s="70">
        <v>431.45</v>
      </c>
      <c r="AX11" s="70">
        <v>430.41</v>
      </c>
      <c r="AY11" s="70">
        <v>429.38</v>
      </c>
      <c r="AZ11" s="70">
        <v>428.34</v>
      </c>
      <c r="BA11" s="70">
        <v>427.31</v>
      </c>
      <c r="BB11" s="70">
        <v>426.27</v>
      </c>
      <c r="BC11" s="70">
        <v>425.24</v>
      </c>
      <c r="BD11" s="70">
        <v>424.2</v>
      </c>
      <c r="BE11" s="70">
        <v>423.17</v>
      </c>
      <c r="BF11" s="70">
        <v>422.13</v>
      </c>
      <c r="BG11" s="70">
        <v>421.1</v>
      </c>
      <c r="BH11" s="70">
        <v>420.06</v>
      </c>
      <c r="BI11" s="70">
        <v>419.03</v>
      </c>
      <c r="BJ11" s="70">
        <v>417.99</v>
      </c>
      <c r="BK11" s="70">
        <v>416.96</v>
      </c>
      <c r="BL11" s="70">
        <v>415.92</v>
      </c>
      <c r="BM11" s="70">
        <v>414.89</v>
      </c>
      <c r="BN11" s="70">
        <v>413.85</v>
      </c>
      <c r="BO11" s="70">
        <v>412.82</v>
      </c>
      <c r="BP11" s="70">
        <v>411.78</v>
      </c>
      <c r="BQ11" s="70">
        <v>410.75</v>
      </c>
      <c r="BR11" s="70">
        <v>409.71</v>
      </c>
      <c r="BS11" s="70">
        <v>408.68</v>
      </c>
      <c r="BT11" s="70">
        <v>407.65</v>
      </c>
      <c r="BU11" s="70">
        <v>406.61</v>
      </c>
      <c r="BV11" s="70">
        <v>405.58</v>
      </c>
      <c r="BW11" s="70">
        <v>404.55</v>
      </c>
      <c r="BX11" s="70">
        <v>403.52</v>
      </c>
      <c r="BY11" s="70">
        <v>402.49</v>
      </c>
      <c r="BZ11" s="70">
        <v>401.46</v>
      </c>
      <c r="CA11" s="70">
        <v>400.43</v>
      </c>
      <c r="CB11" s="70">
        <v>399.4</v>
      </c>
      <c r="CC11" s="70">
        <v>398.37</v>
      </c>
      <c r="CD11" s="70">
        <v>397.34</v>
      </c>
      <c r="CE11" s="70">
        <v>396.31</v>
      </c>
      <c r="CF11" s="70">
        <v>395.28</v>
      </c>
      <c r="CG11" s="70">
        <v>394.26</v>
      </c>
      <c r="CH11" s="70">
        <v>393.23</v>
      </c>
      <c r="CI11" s="70">
        <v>392.2</v>
      </c>
      <c r="CJ11" s="70">
        <v>391.17</v>
      </c>
      <c r="CK11" s="70">
        <v>390.14</v>
      </c>
      <c r="CL11" s="70">
        <v>389.12</v>
      </c>
      <c r="CM11" s="70">
        <v>388.09</v>
      </c>
      <c r="CN11" s="70">
        <v>387.06</v>
      </c>
      <c r="CO11" s="70">
        <v>386.04</v>
      </c>
      <c r="CP11" s="70">
        <v>385.01</v>
      </c>
      <c r="CQ11" s="70">
        <v>383.98</v>
      </c>
      <c r="CR11" s="70">
        <v>382.96</v>
      </c>
      <c r="CS11" s="70">
        <v>381.93</v>
      </c>
      <c r="CT11" s="70">
        <v>380.9</v>
      </c>
      <c r="CU11" s="70">
        <v>379.88</v>
      </c>
      <c r="CV11" s="70">
        <v>378.85</v>
      </c>
      <c r="CW11" s="70">
        <v>377.83</v>
      </c>
      <c r="CX11" s="70">
        <v>376.81</v>
      </c>
      <c r="CY11" s="70">
        <v>375.78</v>
      </c>
      <c r="CZ11" s="70">
        <v>374.76</v>
      </c>
      <c r="DA11" s="70">
        <v>373.74</v>
      </c>
      <c r="DB11" s="70">
        <v>372.71</v>
      </c>
      <c r="DC11" s="70">
        <v>371.69</v>
      </c>
      <c r="DD11" s="70">
        <v>370.67</v>
      </c>
      <c r="DE11" s="70">
        <v>369.64</v>
      </c>
      <c r="DF11" s="70">
        <v>368.62</v>
      </c>
      <c r="DG11" s="70">
        <v>367.6</v>
      </c>
      <c r="DH11" s="70">
        <v>366.58</v>
      </c>
      <c r="DI11" s="70">
        <v>365.56</v>
      </c>
      <c r="DJ11" s="70">
        <v>364.54</v>
      </c>
      <c r="DK11" s="70">
        <v>363.52</v>
      </c>
      <c r="DL11" s="70">
        <v>362.5</v>
      </c>
      <c r="DM11" s="70">
        <v>361.48</v>
      </c>
      <c r="DN11" s="70">
        <v>360.46</v>
      </c>
      <c r="DO11" s="70">
        <v>359.44</v>
      </c>
      <c r="DP11" s="70">
        <v>358.43</v>
      </c>
      <c r="DQ11" s="70">
        <v>357.41</v>
      </c>
      <c r="DR11" s="70">
        <v>356.39</v>
      </c>
      <c r="DS11" s="70">
        <v>355.37</v>
      </c>
      <c r="DT11" s="70">
        <v>354.36</v>
      </c>
      <c r="DU11" s="70">
        <v>353.35</v>
      </c>
      <c r="DV11" s="70">
        <v>352.33</v>
      </c>
      <c r="DW11" s="70">
        <v>351.32</v>
      </c>
      <c r="DX11" s="70">
        <v>350.31</v>
      </c>
      <c r="DY11" s="70">
        <v>349.3</v>
      </c>
      <c r="DZ11" s="70">
        <v>348.29</v>
      </c>
      <c r="EA11" s="70">
        <v>347.28</v>
      </c>
      <c r="EB11" s="70">
        <v>346.27</v>
      </c>
      <c r="EC11" s="70">
        <v>345.26</v>
      </c>
      <c r="ED11" s="70">
        <v>344.25</v>
      </c>
      <c r="EE11" s="70">
        <v>343.25</v>
      </c>
      <c r="EF11" s="70">
        <v>342.24</v>
      </c>
      <c r="EG11" s="70">
        <v>341.24</v>
      </c>
      <c r="EH11" s="70">
        <v>340.24</v>
      </c>
      <c r="EI11" s="70">
        <v>339.24</v>
      </c>
      <c r="EJ11" s="70">
        <v>338.24</v>
      </c>
      <c r="EK11" s="70">
        <v>337.24</v>
      </c>
      <c r="EL11" s="70">
        <v>336.24</v>
      </c>
      <c r="EM11" s="70">
        <v>335.24</v>
      </c>
      <c r="EN11" s="70">
        <v>334.24</v>
      </c>
      <c r="EO11" s="70">
        <v>333.24</v>
      </c>
      <c r="EP11" s="70">
        <v>332.25</v>
      </c>
      <c r="EQ11" s="70">
        <v>331.25</v>
      </c>
      <c r="ER11" s="70">
        <v>330.26</v>
      </c>
      <c r="ES11" s="70">
        <v>329.26</v>
      </c>
      <c r="ET11" s="70">
        <v>328.27</v>
      </c>
      <c r="EU11" s="70">
        <v>327.27999999999997</v>
      </c>
      <c r="EV11" s="70">
        <v>326.29000000000002</v>
      </c>
      <c r="EW11" s="70">
        <v>325.29000000000002</v>
      </c>
      <c r="EX11" s="70">
        <v>324.31</v>
      </c>
      <c r="EY11" s="70">
        <v>323.32</v>
      </c>
      <c r="EZ11" s="70">
        <v>322.32</v>
      </c>
      <c r="FA11" s="70">
        <v>321.33999999999997</v>
      </c>
      <c r="FB11" s="70">
        <v>320.35000000000002</v>
      </c>
      <c r="FC11" s="70">
        <v>319.35000000000002</v>
      </c>
      <c r="FD11" s="70">
        <v>318.38</v>
      </c>
      <c r="FE11" s="70">
        <v>317.39</v>
      </c>
      <c r="FF11" s="70">
        <v>316.41000000000003</v>
      </c>
      <c r="FG11" s="70">
        <v>315.43</v>
      </c>
      <c r="FH11" s="70">
        <v>314.45</v>
      </c>
      <c r="FI11" s="70">
        <v>313.47000000000003</v>
      </c>
      <c r="FJ11" s="70">
        <v>312.49</v>
      </c>
      <c r="FK11" s="70">
        <v>311.51</v>
      </c>
      <c r="FL11" s="70">
        <v>310.52999999999997</v>
      </c>
      <c r="FM11" s="70">
        <v>309.54000000000002</v>
      </c>
      <c r="FN11" s="70">
        <v>308.57</v>
      </c>
      <c r="FO11" s="70">
        <v>307.58999999999997</v>
      </c>
      <c r="FP11" s="70">
        <v>306.62</v>
      </c>
      <c r="FQ11" s="70">
        <v>305.64999999999998</v>
      </c>
      <c r="FR11" s="70">
        <v>304.67</v>
      </c>
      <c r="FS11" s="70">
        <v>303.7</v>
      </c>
      <c r="FT11" s="70">
        <v>302.73</v>
      </c>
      <c r="FU11" s="70">
        <v>301.76</v>
      </c>
      <c r="FV11" s="70">
        <v>300.79000000000002</v>
      </c>
      <c r="FW11" s="70">
        <v>299.82</v>
      </c>
      <c r="FX11" s="70">
        <v>298.85000000000002</v>
      </c>
      <c r="FY11" s="70">
        <v>297.88</v>
      </c>
      <c r="FZ11" s="70">
        <v>296.91000000000003</v>
      </c>
      <c r="GA11" s="70">
        <v>295.94</v>
      </c>
      <c r="GB11" s="70">
        <v>294.98</v>
      </c>
      <c r="GC11" s="70">
        <v>294.01</v>
      </c>
      <c r="GD11" s="70">
        <v>293.04000000000002</v>
      </c>
      <c r="GE11" s="70">
        <v>292.08999999999997</v>
      </c>
      <c r="GF11" s="70">
        <v>291.13</v>
      </c>
      <c r="GG11" s="70">
        <v>290.17</v>
      </c>
      <c r="GH11" s="70">
        <v>289.20999999999998</v>
      </c>
      <c r="GI11" s="70">
        <v>288.25</v>
      </c>
      <c r="GJ11" s="70">
        <v>287.29000000000002</v>
      </c>
      <c r="GK11" s="70">
        <v>286.32</v>
      </c>
      <c r="GL11" s="70">
        <v>285.38</v>
      </c>
      <c r="GM11" s="70">
        <v>284.42</v>
      </c>
      <c r="GN11" s="70">
        <v>283.47000000000003</v>
      </c>
      <c r="GO11" s="70">
        <v>282.51</v>
      </c>
      <c r="GP11" s="70">
        <v>281.57</v>
      </c>
      <c r="GQ11" s="70">
        <v>280.63</v>
      </c>
      <c r="GR11" s="70">
        <v>279.68</v>
      </c>
      <c r="GS11" s="70">
        <v>278.73</v>
      </c>
      <c r="GT11" s="70">
        <v>277.79000000000002</v>
      </c>
      <c r="GU11" s="70">
        <v>276.83999999999997</v>
      </c>
      <c r="GV11" s="70">
        <v>275.89999999999998</v>
      </c>
      <c r="GW11" s="70">
        <v>274.95999999999998</v>
      </c>
      <c r="GX11" s="70">
        <v>274.01</v>
      </c>
      <c r="GY11" s="70">
        <v>273.07</v>
      </c>
      <c r="GZ11" s="70">
        <v>272.14</v>
      </c>
      <c r="HA11" s="70">
        <v>271.2</v>
      </c>
      <c r="HB11" s="70">
        <v>270.26</v>
      </c>
      <c r="HC11" s="70">
        <v>269.32</v>
      </c>
      <c r="HD11" s="70">
        <v>268.39999999999998</v>
      </c>
      <c r="HE11" s="70">
        <v>267.47000000000003</v>
      </c>
      <c r="HF11" s="70">
        <v>266.54000000000002</v>
      </c>
      <c r="HG11" s="70">
        <v>265.60000000000002</v>
      </c>
      <c r="HH11" s="70">
        <v>264.68</v>
      </c>
      <c r="HI11" s="70">
        <v>263.75</v>
      </c>
      <c r="HJ11" s="70">
        <v>262.82</v>
      </c>
      <c r="HK11" s="70">
        <v>261.89999999999998</v>
      </c>
      <c r="HL11" s="70">
        <v>260.98</v>
      </c>
      <c r="HM11" s="70">
        <v>260.06</v>
      </c>
      <c r="HN11" s="70">
        <v>259.14999999999998</v>
      </c>
      <c r="HO11" s="70">
        <v>258.23</v>
      </c>
      <c r="HP11" s="70">
        <v>257.32</v>
      </c>
      <c r="HQ11" s="70">
        <v>256.39999999999998</v>
      </c>
      <c r="HR11" s="70">
        <v>255.49</v>
      </c>
      <c r="HS11" s="70">
        <v>254.58</v>
      </c>
      <c r="HT11" s="70">
        <v>253.67</v>
      </c>
      <c r="HU11" s="70">
        <v>252.76</v>
      </c>
      <c r="HV11" s="70">
        <v>251.85</v>
      </c>
      <c r="HW11" s="70">
        <v>250.94</v>
      </c>
      <c r="HX11" s="70">
        <v>250.04</v>
      </c>
      <c r="HY11" s="70">
        <v>249.14</v>
      </c>
      <c r="HZ11" s="70">
        <v>248.23</v>
      </c>
      <c r="IA11" s="70">
        <v>247.33</v>
      </c>
      <c r="IB11" s="70">
        <v>246.43</v>
      </c>
      <c r="IC11" s="70">
        <v>245.53</v>
      </c>
      <c r="ID11" s="70">
        <v>244.63</v>
      </c>
      <c r="IE11" s="70">
        <v>243.74</v>
      </c>
      <c r="IF11" s="70">
        <v>242.84</v>
      </c>
      <c r="IG11" s="70">
        <v>241.94</v>
      </c>
      <c r="IH11" s="70">
        <v>241.05</v>
      </c>
      <c r="II11" s="70">
        <v>240.16</v>
      </c>
      <c r="IJ11" s="70">
        <v>239.27</v>
      </c>
      <c r="IK11" s="70">
        <v>238.38</v>
      </c>
      <c r="IL11" s="70">
        <v>237.49</v>
      </c>
      <c r="IM11" s="70">
        <v>236.61</v>
      </c>
      <c r="IN11" s="70">
        <v>235.72</v>
      </c>
      <c r="IO11" s="70">
        <v>234.84</v>
      </c>
      <c r="IP11" s="70">
        <v>233.95</v>
      </c>
      <c r="IQ11" s="70">
        <v>233.07</v>
      </c>
      <c r="IR11" s="70">
        <v>232.19</v>
      </c>
      <c r="IS11" s="70">
        <v>231.31</v>
      </c>
      <c r="IT11" s="70">
        <v>230.44</v>
      </c>
      <c r="IU11" s="70">
        <v>229.56</v>
      </c>
      <c r="IV11" s="70">
        <v>228.69</v>
      </c>
      <c r="IW11" s="70">
        <v>227.82</v>
      </c>
      <c r="IX11" s="70">
        <v>226.96</v>
      </c>
      <c r="IY11" s="70">
        <v>226.09</v>
      </c>
      <c r="IZ11" s="70">
        <v>225.23</v>
      </c>
      <c r="JA11" s="70">
        <v>224.37</v>
      </c>
      <c r="JB11" s="70">
        <v>223.5</v>
      </c>
      <c r="JC11" s="70">
        <v>222.64</v>
      </c>
      <c r="JD11" s="70">
        <v>221.79</v>
      </c>
      <c r="JE11" s="70">
        <v>220.93</v>
      </c>
      <c r="JF11" s="70">
        <v>220.07</v>
      </c>
      <c r="JG11" s="70">
        <v>219.22</v>
      </c>
      <c r="JH11" s="70">
        <v>218.36</v>
      </c>
      <c r="JI11" s="70">
        <v>217.51</v>
      </c>
      <c r="JJ11" s="70">
        <v>216.66</v>
      </c>
      <c r="JK11" s="70">
        <v>215.81</v>
      </c>
      <c r="JL11" s="70">
        <v>214.96</v>
      </c>
      <c r="JM11" s="70">
        <v>214.12</v>
      </c>
      <c r="JN11" s="70">
        <v>213.27</v>
      </c>
      <c r="JO11" s="70">
        <v>212.42</v>
      </c>
      <c r="JP11" s="70">
        <v>211.58</v>
      </c>
      <c r="JQ11" s="70">
        <v>210.74</v>
      </c>
      <c r="JR11" s="70">
        <v>209.9</v>
      </c>
      <c r="JS11" s="70">
        <v>209.05</v>
      </c>
      <c r="JT11" s="70">
        <v>208.21</v>
      </c>
      <c r="JU11" s="70">
        <v>207.37</v>
      </c>
      <c r="JV11" s="70">
        <v>206.53</v>
      </c>
      <c r="JW11" s="70">
        <v>205.69</v>
      </c>
      <c r="JX11" s="70">
        <v>204.86</v>
      </c>
      <c r="JY11" s="70">
        <v>204.02</v>
      </c>
      <c r="JZ11" s="70">
        <v>203.18</v>
      </c>
      <c r="KA11" s="70">
        <v>202.35</v>
      </c>
      <c r="KB11" s="70">
        <v>201.51</v>
      </c>
      <c r="KC11" s="70">
        <v>200.68</v>
      </c>
      <c r="KD11" s="70">
        <v>199.85</v>
      </c>
      <c r="KE11" s="70">
        <v>199.02</v>
      </c>
      <c r="KF11" s="70">
        <v>198.19</v>
      </c>
      <c r="KG11" s="70">
        <v>197.36</v>
      </c>
      <c r="KH11" s="70">
        <v>196.54</v>
      </c>
      <c r="KI11" s="70">
        <v>195.71</v>
      </c>
      <c r="KJ11" s="70">
        <v>194.89</v>
      </c>
      <c r="KK11" s="70">
        <v>194.07</v>
      </c>
      <c r="KL11" s="70">
        <v>193.25</v>
      </c>
      <c r="KM11" s="70">
        <v>192.43</v>
      </c>
      <c r="KN11" s="70">
        <v>191.61</v>
      </c>
      <c r="KO11" s="70">
        <v>190.79</v>
      </c>
      <c r="KP11" s="70">
        <v>189.97</v>
      </c>
      <c r="KQ11" s="70">
        <v>189.16</v>
      </c>
      <c r="KR11" s="74">
        <f t="shared" si="13"/>
        <v>188.27</v>
      </c>
      <c r="KS11" s="74">
        <f t="shared" si="14"/>
        <v>187.48</v>
      </c>
      <c r="KT11" s="74">
        <f t="shared" si="15"/>
        <v>186.66</v>
      </c>
      <c r="KU11" s="74">
        <f t="shared" si="15"/>
        <v>185.87</v>
      </c>
      <c r="KV11" s="74">
        <f t="shared" si="15"/>
        <v>185.09</v>
      </c>
      <c r="KW11" s="74">
        <f t="shared" si="15"/>
        <v>184.3</v>
      </c>
      <c r="KX11" s="74">
        <f t="shared" si="15"/>
        <v>183.51</v>
      </c>
      <c r="KY11" s="74">
        <f t="shared" si="15"/>
        <v>182.73</v>
      </c>
      <c r="KZ11" s="74">
        <f t="shared" si="15"/>
        <v>181.94</v>
      </c>
      <c r="LA11" s="74">
        <f t="shared" si="15"/>
        <v>181.16</v>
      </c>
      <c r="LB11" s="74">
        <f t="shared" si="15"/>
        <v>180.38</v>
      </c>
      <c r="LC11" s="74">
        <f t="shared" si="15"/>
        <v>179.6</v>
      </c>
      <c r="LD11" s="74">
        <f t="shared" si="15"/>
        <v>178.82</v>
      </c>
      <c r="LE11" s="74">
        <f t="shared" si="15"/>
        <v>178.04</v>
      </c>
      <c r="LF11" s="74">
        <f t="shared" si="15"/>
        <v>177.27</v>
      </c>
      <c r="LG11" s="74">
        <f t="shared" si="15"/>
        <v>176.5</v>
      </c>
      <c r="LH11" s="74">
        <f t="shared" si="15"/>
        <v>175.72</v>
      </c>
      <c r="LI11" s="74">
        <f t="shared" si="15"/>
        <v>174.95</v>
      </c>
      <c r="LJ11" s="74">
        <f t="shared" si="17"/>
        <v>174.18</v>
      </c>
      <c r="LK11" s="74">
        <f t="shared" si="17"/>
        <v>173.41</v>
      </c>
      <c r="LL11" s="74">
        <f t="shared" si="17"/>
        <v>172.64</v>
      </c>
      <c r="LM11" s="74">
        <f t="shared" si="17"/>
        <v>171.88</v>
      </c>
      <c r="LN11" s="74">
        <f t="shared" si="17"/>
        <v>171.11</v>
      </c>
      <c r="LO11" s="74">
        <f t="shared" si="17"/>
        <v>170.35</v>
      </c>
      <c r="LP11" s="74">
        <f t="shared" si="17"/>
        <v>169.59</v>
      </c>
      <c r="LQ11" s="74">
        <f t="shared" si="17"/>
        <v>168.83</v>
      </c>
      <c r="LR11" s="74">
        <f t="shared" si="17"/>
        <v>168.07</v>
      </c>
      <c r="LS11" s="74">
        <f t="shared" si="17"/>
        <v>167.31</v>
      </c>
      <c r="LT11" s="74">
        <f t="shared" si="17"/>
        <v>166.56</v>
      </c>
      <c r="LU11" s="74">
        <f t="shared" si="17"/>
        <v>165.81</v>
      </c>
      <c r="LV11" s="74">
        <f t="shared" si="17"/>
        <v>165.05</v>
      </c>
      <c r="LW11" s="74">
        <f t="shared" si="16"/>
        <v>164.3</v>
      </c>
      <c r="LX11" s="74">
        <f t="shared" si="16"/>
        <v>163.55000000000001</v>
      </c>
      <c r="LY11" s="74">
        <f t="shared" si="16"/>
        <v>162.80000000000001</v>
      </c>
      <c r="LZ11" s="74">
        <f t="shared" si="16"/>
        <v>162.06</v>
      </c>
      <c r="MA11" s="74">
        <f t="shared" si="16"/>
        <v>161.31</v>
      </c>
      <c r="MB11" s="74">
        <f t="shared" si="16"/>
        <v>160.57</v>
      </c>
      <c r="MC11" s="74">
        <f t="shared" si="16"/>
        <v>159.83000000000001</v>
      </c>
      <c r="MD11" s="74">
        <f t="shared" si="16"/>
        <v>159.09</v>
      </c>
      <c r="ME11" s="74">
        <f t="shared" si="16"/>
        <v>158.36000000000001</v>
      </c>
      <c r="MF11" s="74">
        <f t="shared" si="16"/>
        <v>157.62</v>
      </c>
      <c r="MG11" s="74">
        <f t="shared" si="16"/>
        <v>156.88999999999999</v>
      </c>
      <c r="MH11" s="74">
        <f t="shared" si="16"/>
        <v>156.15</v>
      </c>
      <c r="MI11" s="74">
        <f t="shared" si="16"/>
        <v>155.41999999999999</v>
      </c>
      <c r="MJ11" s="74">
        <f t="shared" si="16"/>
        <v>154.69</v>
      </c>
      <c r="MK11" s="74">
        <f t="shared" si="16"/>
        <v>153.96</v>
      </c>
      <c r="ML11" s="74">
        <f t="shared" si="16"/>
        <v>153.24</v>
      </c>
      <c r="MM11" s="74">
        <f t="shared" si="16"/>
        <v>152.51</v>
      </c>
      <c r="MN11" s="74">
        <f t="shared" si="16"/>
        <v>151.79</v>
      </c>
      <c r="MO11" s="74">
        <f t="shared" si="16"/>
        <v>151.07</v>
      </c>
      <c r="MP11" s="74">
        <f t="shared" si="16"/>
        <v>150.35</v>
      </c>
      <c r="MQ11" s="74">
        <f t="shared" si="16"/>
        <v>149.63999999999999</v>
      </c>
      <c r="MR11" s="74">
        <f t="shared" si="16"/>
        <v>148.91999999999999</v>
      </c>
      <c r="MS11" s="74">
        <f t="shared" si="16"/>
        <v>148.21</v>
      </c>
      <c r="MT11" s="74">
        <f t="shared" si="16"/>
        <v>147.49</v>
      </c>
      <c r="MU11" s="74">
        <f t="shared" si="16"/>
        <v>146.78</v>
      </c>
      <c r="MV11" s="74">
        <f t="shared" si="16"/>
        <v>146.07</v>
      </c>
      <c r="MW11" s="74">
        <f t="shared" si="16"/>
        <v>145.37</v>
      </c>
      <c r="MX11" s="74">
        <f t="shared" si="16"/>
        <v>144.66</v>
      </c>
      <c r="MY11" s="74">
        <f t="shared" si="16"/>
        <v>143.96</v>
      </c>
    </row>
    <row r="12" spans="1:363" ht="15.6" x14ac:dyDescent="0.3">
      <c r="A12" s="67" t="s">
        <v>6</v>
      </c>
      <c r="B12" s="72">
        <v>2022</v>
      </c>
      <c r="C12" s="70">
        <v>480.2</v>
      </c>
      <c r="D12" s="70">
        <v>479.16</v>
      </c>
      <c r="E12" s="70">
        <v>478.12</v>
      </c>
      <c r="F12" s="70">
        <v>477.08</v>
      </c>
      <c r="G12" s="70">
        <v>476.04</v>
      </c>
      <c r="H12" s="70">
        <v>475</v>
      </c>
      <c r="I12" s="70">
        <v>473.96</v>
      </c>
      <c r="J12" s="70">
        <v>472.92</v>
      </c>
      <c r="K12" s="70">
        <v>471.88</v>
      </c>
      <c r="L12" s="70">
        <v>470.85</v>
      </c>
      <c r="M12" s="70">
        <v>469.81</v>
      </c>
      <c r="N12" s="70">
        <v>468.77</v>
      </c>
      <c r="O12" s="70">
        <v>467.73</v>
      </c>
      <c r="P12" s="70">
        <v>466.69</v>
      </c>
      <c r="Q12" s="70">
        <v>465.65</v>
      </c>
      <c r="R12" s="70">
        <v>464.61</v>
      </c>
      <c r="S12" s="70">
        <v>463.57</v>
      </c>
      <c r="T12" s="70">
        <v>462.54</v>
      </c>
      <c r="U12" s="70">
        <v>461.5</v>
      </c>
      <c r="V12" s="70">
        <v>460.46</v>
      </c>
      <c r="W12" s="70">
        <v>459.42</v>
      </c>
      <c r="X12" s="70">
        <v>458.38</v>
      </c>
      <c r="Y12" s="70">
        <v>457.35</v>
      </c>
      <c r="Z12" s="70">
        <v>456.31</v>
      </c>
      <c r="AA12" s="70">
        <v>455.27</v>
      </c>
      <c r="AB12" s="70">
        <v>454.23</v>
      </c>
      <c r="AC12" s="70">
        <v>453.19</v>
      </c>
      <c r="AD12" s="70">
        <v>452.16</v>
      </c>
      <c r="AE12" s="70">
        <v>451.12</v>
      </c>
      <c r="AF12" s="70">
        <v>450.08</v>
      </c>
      <c r="AG12" s="70">
        <v>449.05</v>
      </c>
      <c r="AH12" s="70">
        <v>448.01</v>
      </c>
      <c r="AI12" s="70">
        <v>446.97</v>
      </c>
      <c r="AJ12" s="70">
        <v>445.93</v>
      </c>
      <c r="AK12" s="70">
        <v>444.9</v>
      </c>
      <c r="AL12" s="70">
        <v>443.86</v>
      </c>
      <c r="AM12" s="70">
        <v>442.82</v>
      </c>
      <c r="AN12" s="70">
        <v>441.79</v>
      </c>
      <c r="AO12" s="70">
        <v>440.75</v>
      </c>
      <c r="AP12" s="70">
        <v>439.71</v>
      </c>
      <c r="AQ12" s="70">
        <v>438.68</v>
      </c>
      <c r="AR12" s="70">
        <v>437.64</v>
      </c>
      <c r="AS12" s="70">
        <v>436.6</v>
      </c>
      <c r="AT12" s="70">
        <v>435.57</v>
      </c>
      <c r="AU12" s="70">
        <v>434.53</v>
      </c>
      <c r="AV12" s="70">
        <v>433.5</v>
      </c>
      <c r="AW12" s="70">
        <v>432.46</v>
      </c>
      <c r="AX12" s="70">
        <v>431.42</v>
      </c>
      <c r="AY12" s="70">
        <v>430.39</v>
      </c>
      <c r="AZ12" s="70">
        <v>429.35</v>
      </c>
      <c r="BA12" s="70">
        <v>428.32</v>
      </c>
      <c r="BB12" s="70">
        <v>427.28</v>
      </c>
      <c r="BC12" s="70">
        <v>426.25</v>
      </c>
      <c r="BD12" s="70">
        <v>425.21</v>
      </c>
      <c r="BE12" s="70">
        <v>424.18</v>
      </c>
      <c r="BF12" s="70">
        <v>423.14</v>
      </c>
      <c r="BG12" s="70">
        <v>422.11</v>
      </c>
      <c r="BH12" s="70">
        <v>421.07</v>
      </c>
      <c r="BI12" s="70">
        <v>420.04</v>
      </c>
      <c r="BJ12" s="70">
        <v>419</v>
      </c>
      <c r="BK12" s="70">
        <v>417.97</v>
      </c>
      <c r="BL12" s="70">
        <v>416.93</v>
      </c>
      <c r="BM12" s="70">
        <v>415.9</v>
      </c>
      <c r="BN12" s="70">
        <v>414.86</v>
      </c>
      <c r="BO12" s="70">
        <v>413.83</v>
      </c>
      <c r="BP12" s="70">
        <v>412.79</v>
      </c>
      <c r="BQ12" s="70">
        <v>411.76</v>
      </c>
      <c r="BR12" s="70">
        <v>410.72</v>
      </c>
      <c r="BS12" s="70">
        <v>409.69</v>
      </c>
      <c r="BT12" s="70">
        <v>408.66</v>
      </c>
      <c r="BU12" s="70">
        <v>407.62</v>
      </c>
      <c r="BV12" s="70">
        <v>406.59</v>
      </c>
      <c r="BW12" s="70">
        <v>405.56</v>
      </c>
      <c r="BX12" s="70">
        <v>404.53</v>
      </c>
      <c r="BY12" s="70">
        <v>403.49</v>
      </c>
      <c r="BZ12" s="70">
        <v>402.46</v>
      </c>
      <c r="CA12" s="70">
        <v>401.43</v>
      </c>
      <c r="CB12" s="70">
        <v>400.4</v>
      </c>
      <c r="CC12" s="70">
        <v>399.37</v>
      </c>
      <c r="CD12" s="70">
        <v>398.35</v>
      </c>
      <c r="CE12" s="70">
        <v>397.32</v>
      </c>
      <c r="CF12" s="70">
        <v>396.29</v>
      </c>
      <c r="CG12" s="70">
        <v>395.26</v>
      </c>
      <c r="CH12" s="70">
        <v>394.23</v>
      </c>
      <c r="CI12" s="70">
        <v>393.2</v>
      </c>
      <c r="CJ12" s="70">
        <v>392.17</v>
      </c>
      <c r="CK12" s="70">
        <v>391.15</v>
      </c>
      <c r="CL12" s="70">
        <v>390.12</v>
      </c>
      <c r="CM12" s="70">
        <v>389.09</v>
      </c>
      <c r="CN12" s="70">
        <v>388.06</v>
      </c>
      <c r="CO12" s="70">
        <v>387.04</v>
      </c>
      <c r="CP12" s="70">
        <v>386.01</v>
      </c>
      <c r="CQ12" s="70">
        <v>384.98</v>
      </c>
      <c r="CR12" s="70">
        <v>383.95</v>
      </c>
      <c r="CS12" s="70">
        <v>382.93</v>
      </c>
      <c r="CT12" s="70">
        <v>381.9</v>
      </c>
      <c r="CU12" s="70">
        <v>380.87</v>
      </c>
      <c r="CV12" s="70">
        <v>379.85</v>
      </c>
      <c r="CW12" s="70">
        <v>378.83</v>
      </c>
      <c r="CX12" s="70">
        <v>377.8</v>
      </c>
      <c r="CY12" s="70">
        <v>376.78</v>
      </c>
      <c r="CZ12" s="70">
        <v>375.75</v>
      </c>
      <c r="DA12" s="70">
        <v>374.73</v>
      </c>
      <c r="DB12" s="70">
        <v>373.71</v>
      </c>
      <c r="DC12" s="70">
        <v>372.68</v>
      </c>
      <c r="DD12" s="70">
        <v>371.66</v>
      </c>
      <c r="DE12" s="70">
        <v>370.64</v>
      </c>
      <c r="DF12" s="70">
        <v>369.61</v>
      </c>
      <c r="DG12" s="70">
        <v>368.59</v>
      </c>
      <c r="DH12" s="70">
        <v>367.57</v>
      </c>
      <c r="DI12" s="70">
        <v>366.55</v>
      </c>
      <c r="DJ12" s="70">
        <v>365.53</v>
      </c>
      <c r="DK12" s="70">
        <v>364.51</v>
      </c>
      <c r="DL12" s="70">
        <v>363.49</v>
      </c>
      <c r="DM12" s="70">
        <v>362.47</v>
      </c>
      <c r="DN12" s="70">
        <v>361.45</v>
      </c>
      <c r="DO12" s="70">
        <v>360.43</v>
      </c>
      <c r="DP12" s="70">
        <v>359.41</v>
      </c>
      <c r="DQ12" s="70">
        <v>358.39</v>
      </c>
      <c r="DR12" s="70">
        <v>357.38</v>
      </c>
      <c r="DS12" s="70">
        <v>356.36</v>
      </c>
      <c r="DT12" s="70">
        <v>355.34</v>
      </c>
      <c r="DU12" s="70">
        <v>354.33</v>
      </c>
      <c r="DV12" s="70">
        <v>353.32</v>
      </c>
      <c r="DW12" s="70">
        <v>352.3</v>
      </c>
      <c r="DX12" s="70">
        <v>351.29</v>
      </c>
      <c r="DY12" s="70">
        <v>350.28</v>
      </c>
      <c r="DZ12" s="70">
        <v>349.27</v>
      </c>
      <c r="EA12" s="70">
        <v>348.26</v>
      </c>
      <c r="EB12" s="70">
        <v>347.25</v>
      </c>
      <c r="EC12" s="70">
        <v>346.24</v>
      </c>
      <c r="ED12" s="70">
        <v>345.23</v>
      </c>
      <c r="EE12" s="70">
        <v>344.22</v>
      </c>
      <c r="EF12" s="70">
        <v>343.22</v>
      </c>
      <c r="EG12" s="70">
        <v>342.22</v>
      </c>
      <c r="EH12" s="70">
        <v>341.21</v>
      </c>
      <c r="EI12" s="70">
        <v>340.21</v>
      </c>
      <c r="EJ12" s="70">
        <v>339.21</v>
      </c>
      <c r="EK12" s="70">
        <v>338.21</v>
      </c>
      <c r="EL12" s="70">
        <v>337.21</v>
      </c>
      <c r="EM12" s="70">
        <v>336.21</v>
      </c>
      <c r="EN12" s="70">
        <v>335.21</v>
      </c>
      <c r="EO12" s="70">
        <v>334.21</v>
      </c>
      <c r="EP12" s="70">
        <v>333.21</v>
      </c>
      <c r="EQ12" s="70">
        <v>332.22</v>
      </c>
      <c r="ER12" s="70">
        <v>331.22</v>
      </c>
      <c r="ES12" s="70">
        <v>330.23</v>
      </c>
      <c r="ET12" s="70">
        <v>329.24</v>
      </c>
      <c r="EU12" s="70">
        <v>328.24</v>
      </c>
      <c r="EV12" s="70">
        <v>327.25</v>
      </c>
      <c r="EW12" s="70">
        <v>326.26</v>
      </c>
      <c r="EX12" s="70">
        <v>325.26</v>
      </c>
      <c r="EY12" s="70">
        <v>324.27999999999997</v>
      </c>
      <c r="EZ12" s="70">
        <v>323.29000000000002</v>
      </c>
      <c r="FA12" s="70">
        <v>322.29000000000002</v>
      </c>
      <c r="FB12" s="70">
        <v>321.31</v>
      </c>
      <c r="FC12" s="70">
        <v>320.32</v>
      </c>
      <c r="FD12" s="70">
        <v>319.32</v>
      </c>
      <c r="FE12" s="70">
        <v>318.35000000000002</v>
      </c>
      <c r="FF12" s="70">
        <v>317.37</v>
      </c>
      <c r="FG12" s="70">
        <v>316.38</v>
      </c>
      <c r="FH12" s="70">
        <v>315.39999999999998</v>
      </c>
      <c r="FI12" s="70">
        <v>314.42</v>
      </c>
      <c r="FJ12" s="70">
        <v>313.44</v>
      </c>
      <c r="FK12" s="70">
        <v>312.45999999999998</v>
      </c>
      <c r="FL12" s="70">
        <v>311.48</v>
      </c>
      <c r="FM12" s="70">
        <v>310.5</v>
      </c>
      <c r="FN12" s="70">
        <v>309.51</v>
      </c>
      <c r="FO12" s="70">
        <v>308.54000000000002</v>
      </c>
      <c r="FP12" s="70">
        <v>307.57</v>
      </c>
      <c r="FQ12" s="70">
        <v>306.58999999999997</v>
      </c>
      <c r="FR12" s="70">
        <v>305.62</v>
      </c>
      <c r="FS12" s="70">
        <v>304.64</v>
      </c>
      <c r="FT12" s="70">
        <v>303.67</v>
      </c>
      <c r="FU12" s="70">
        <v>302.7</v>
      </c>
      <c r="FV12" s="70">
        <v>301.73</v>
      </c>
      <c r="FW12" s="70">
        <v>300.76</v>
      </c>
      <c r="FX12" s="70">
        <v>299.79000000000002</v>
      </c>
      <c r="FY12" s="70">
        <v>298.82</v>
      </c>
      <c r="FZ12" s="70">
        <v>297.85000000000002</v>
      </c>
      <c r="GA12" s="70">
        <v>296.88</v>
      </c>
      <c r="GB12" s="70">
        <v>295.91000000000003</v>
      </c>
      <c r="GC12" s="70">
        <v>294.95</v>
      </c>
      <c r="GD12" s="70">
        <v>293.98</v>
      </c>
      <c r="GE12" s="70">
        <v>293.01</v>
      </c>
      <c r="GF12" s="70">
        <v>292.06</v>
      </c>
      <c r="GG12" s="70">
        <v>291.10000000000002</v>
      </c>
      <c r="GH12" s="70">
        <v>290.14</v>
      </c>
      <c r="GI12" s="70">
        <v>289.18</v>
      </c>
      <c r="GJ12" s="70">
        <v>288.22000000000003</v>
      </c>
      <c r="GK12" s="70">
        <v>287.26</v>
      </c>
      <c r="GL12" s="70">
        <v>286.29000000000002</v>
      </c>
      <c r="GM12" s="70">
        <v>285.33999999999997</v>
      </c>
      <c r="GN12" s="70">
        <v>284.39</v>
      </c>
      <c r="GO12" s="70">
        <v>283.44</v>
      </c>
      <c r="GP12" s="70">
        <v>282.49</v>
      </c>
      <c r="GQ12" s="70">
        <v>281.54000000000002</v>
      </c>
      <c r="GR12" s="70">
        <v>280.60000000000002</v>
      </c>
      <c r="GS12" s="70">
        <v>279.64999999999998</v>
      </c>
      <c r="GT12" s="70">
        <v>278.7</v>
      </c>
      <c r="GU12" s="70">
        <v>277.76</v>
      </c>
      <c r="GV12" s="70">
        <v>276.81</v>
      </c>
      <c r="GW12" s="70">
        <v>275.87</v>
      </c>
      <c r="GX12" s="70">
        <v>274.93</v>
      </c>
      <c r="GY12" s="70">
        <v>273.99</v>
      </c>
      <c r="GZ12" s="70">
        <v>273.04000000000002</v>
      </c>
      <c r="HA12" s="70">
        <v>272.10000000000002</v>
      </c>
      <c r="HB12" s="70">
        <v>271.17</v>
      </c>
      <c r="HC12" s="70">
        <v>270.24</v>
      </c>
      <c r="HD12" s="70">
        <v>269.29000000000002</v>
      </c>
      <c r="HE12" s="70">
        <v>268.37</v>
      </c>
      <c r="HF12" s="70">
        <v>267.44</v>
      </c>
      <c r="HG12" s="70">
        <v>266.51</v>
      </c>
      <c r="HH12" s="70">
        <v>265.57</v>
      </c>
      <c r="HI12" s="70">
        <v>264.64999999999998</v>
      </c>
      <c r="HJ12" s="70">
        <v>263.72000000000003</v>
      </c>
      <c r="HK12" s="70">
        <v>262.79000000000002</v>
      </c>
      <c r="HL12" s="70">
        <v>261.87</v>
      </c>
      <c r="HM12" s="70">
        <v>260.95</v>
      </c>
      <c r="HN12" s="70">
        <v>260.04000000000002</v>
      </c>
      <c r="HO12" s="70">
        <v>259.12</v>
      </c>
      <c r="HP12" s="70">
        <v>258.2</v>
      </c>
      <c r="HQ12" s="70">
        <v>257.29000000000002</v>
      </c>
      <c r="HR12" s="70">
        <v>256.37</v>
      </c>
      <c r="HS12" s="70">
        <v>255.46</v>
      </c>
      <c r="HT12" s="70">
        <v>254.55</v>
      </c>
      <c r="HU12" s="70">
        <v>253.64</v>
      </c>
      <c r="HV12" s="70">
        <v>252.73</v>
      </c>
      <c r="HW12" s="70">
        <v>251.82</v>
      </c>
      <c r="HX12" s="70">
        <v>250.91</v>
      </c>
      <c r="HY12" s="70">
        <v>250.01</v>
      </c>
      <c r="HZ12" s="70">
        <v>249.11</v>
      </c>
      <c r="IA12" s="70">
        <v>248.2</v>
      </c>
      <c r="IB12" s="70">
        <v>247.3</v>
      </c>
      <c r="IC12" s="70">
        <v>246.4</v>
      </c>
      <c r="ID12" s="70">
        <v>245.5</v>
      </c>
      <c r="IE12" s="70">
        <v>244.6</v>
      </c>
      <c r="IF12" s="70">
        <v>243.7</v>
      </c>
      <c r="IG12" s="70">
        <v>242.81</v>
      </c>
      <c r="IH12" s="70">
        <v>241.91</v>
      </c>
      <c r="II12" s="70">
        <v>241.02</v>
      </c>
      <c r="IJ12" s="70">
        <v>240.13</v>
      </c>
      <c r="IK12" s="70">
        <v>239.24</v>
      </c>
      <c r="IL12" s="70">
        <v>238.35</v>
      </c>
      <c r="IM12" s="70">
        <v>237.46</v>
      </c>
      <c r="IN12" s="70">
        <v>236.57</v>
      </c>
      <c r="IO12" s="70">
        <v>235.69</v>
      </c>
      <c r="IP12" s="70">
        <v>234.8</v>
      </c>
      <c r="IQ12" s="70">
        <v>233.92</v>
      </c>
      <c r="IR12" s="70">
        <v>233.04</v>
      </c>
      <c r="IS12" s="70">
        <v>232.16</v>
      </c>
      <c r="IT12" s="70">
        <v>231.28</v>
      </c>
      <c r="IU12" s="70">
        <v>230.4</v>
      </c>
      <c r="IV12" s="70">
        <v>229.53</v>
      </c>
      <c r="IW12" s="70">
        <v>228.66</v>
      </c>
      <c r="IX12" s="70">
        <v>227.79</v>
      </c>
      <c r="IY12" s="70">
        <v>226.93</v>
      </c>
      <c r="IZ12" s="70">
        <v>226.06</v>
      </c>
      <c r="JA12" s="70">
        <v>225.2</v>
      </c>
      <c r="JB12" s="70">
        <v>224.33</v>
      </c>
      <c r="JC12" s="70">
        <v>223.47</v>
      </c>
      <c r="JD12" s="70">
        <v>222.61</v>
      </c>
      <c r="JE12" s="70">
        <v>221.75</v>
      </c>
      <c r="JF12" s="70">
        <v>220.89</v>
      </c>
      <c r="JG12" s="70">
        <v>220.04</v>
      </c>
      <c r="JH12" s="70">
        <v>219.18</v>
      </c>
      <c r="JI12" s="70">
        <v>218.33</v>
      </c>
      <c r="JJ12" s="70">
        <v>217.48</v>
      </c>
      <c r="JK12" s="70">
        <v>216.63</v>
      </c>
      <c r="JL12" s="70">
        <v>215.77</v>
      </c>
      <c r="JM12" s="70">
        <v>214.93</v>
      </c>
      <c r="JN12" s="70">
        <v>214.08</v>
      </c>
      <c r="JO12" s="70">
        <v>213.23</v>
      </c>
      <c r="JP12" s="70">
        <v>212.39</v>
      </c>
      <c r="JQ12" s="70">
        <v>211.54</v>
      </c>
      <c r="JR12" s="70">
        <v>210.7</v>
      </c>
      <c r="JS12" s="70">
        <v>209.85</v>
      </c>
      <c r="JT12" s="70">
        <v>209.01</v>
      </c>
      <c r="JU12" s="70">
        <v>208.17</v>
      </c>
      <c r="JV12" s="70">
        <v>207.33</v>
      </c>
      <c r="JW12" s="70">
        <v>206.49</v>
      </c>
      <c r="JX12" s="70">
        <v>205.65</v>
      </c>
      <c r="JY12" s="70">
        <v>204.81</v>
      </c>
      <c r="JZ12" s="70">
        <v>203.97</v>
      </c>
      <c r="KA12" s="70">
        <v>203.13</v>
      </c>
      <c r="KB12" s="70">
        <v>202.3</v>
      </c>
      <c r="KC12" s="70">
        <v>201.46</v>
      </c>
      <c r="KD12" s="70">
        <v>200.63</v>
      </c>
      <c r="KE12" s="70">
        <v>199.79</v>
      </c>
      <c r="KF12" s="70">
        <v>198.96</v>
      </c>
      <c r="KG12" s="70">
        <v>198.14</v>
      </c>
      <c r="KH12" s="70">
        <v>197.31</v>
      </c>
      <c r="KI12" s="70">
        <v>196.48</v>
      </c>
      <c r="KJ12" s="70">
        <v>195.65</v>
      </c>
      <c r="KK12" s="70">
        <v>194.83</v>
      </c>
      <c r="KL12" s="70">
        <v>194.01</v>
      </c>
      <c r="KM12" s="70">
        <v>193.18</v>
      </c>
      <c r="KN12" s="70">
        <v>192.36</v>
      </c>
      <c r="KO12" s="70">
        <v>191.54</v>
      </c>
      <c r="KP12" s="70">
        <v>190.73</v>
      </c>
      <c r="KQ12" s="70">
        <v>189.91</v>
      </c>
      <c r="KR12" s="74">
        <f t="shared" si="13"/>
        <v>189.02</v>
      </c>
      <c r="KS12" s="74">
        <f t="shared" si="14"/>
        <v>188.23</v>
      </c>
      <c r="KT12" s="74">
        <f t="shared" si="15"/>
        <v>187.41</v>
      </c>
      <c r="KU12" s="74">
        <f t="shared" si="15"/>
        <v>186.62</v>
      </c>
      <c r="KV12" s="74">
        <f t="shared" si="15"/>
        <v>185.84</v>
      </c>
      <c r="KW12" s="74">
        <f t="shared" si="15"/>
        <v>185.05</v>
      </c>
      <c r="KX12" s="74">
        <f t="shared" si="15"/>
        <v>184.26</v>
      </c>
      <c r="KY12" s="74">
        <f t="shared" si="15"/>
        <v>183.48</v>
      </c>
      <c r="KZ12" s="74">
        <f t="shared" si="15"/>
        <v>182.69</v>
      </c>
      <c r="LA12" s="74">
        <f t="shared" si="15"/>
        <v>181.91</v>
      </c>
      <c r="LB12" s="74">
        <f t="shared" si="15"/>
        <v>181.13</v>
      </c>
      <c r="LC12" s="74">
        <f t="shared" si="15"/>
        <v>180.35</v>
      </c>
      <c r="LD12" s="74">
        <f t="shared" si="15"/>
        <v>179.57</v>
      </c>
      <c r="LE12" s="74">
        <f t="shared" si="15"/>
        <v>178.79</v>
      </c>
      <c r="LF12" s="74">
        <f t="shared" si="15"/>
        <v>178.02</v>
      </c>
      <c r="LG12" s="74">
        <f t="shared" si="15"/>
        <v>177.25</v>
      </c>
      <c r="LH12" s="74">
        <f t="shared" si="15"/>
        <v>176.47</v>
      </c>
      <c r="LI12" s="74">
        <f t="shared" si="15"/>
        <v>175.7</v>
      </c>
      <c r="LJ12" s="74">
        <f t="shared" si="17"/>
        <v>174.93</v>
      </c>
      <c r="LK12" s="74">
        <f t="shared" si="17"/>
        <v>174.16</v>
      </c>
      <c r="LL12" s="74">
        <f t="shared" si="17"/>
        <v>173.39</v>
      </c>
      <c r="LM12" s="74">
        <f t="shared" si="17"/>
        <v>172.63</v>
      </c>
      <c r="LN12" s="74">
        <f t="shared" si="17"/>
        <v>171.86</v>
      </c>
      <c r="LO12" s="74">
        <f t="shared" si="17"/>
        <v>171.1</v>
      </c>
      <c r="LP12" s="74">
        <f t="shared" si="17"/>
        <v>170.34</v>
      </c>
      <c r="LQ12" s="74">
        <f t="shared" si="17"/>
        <v>169.58</v>
      </c>
      <c r="LR12" s="74">
        <f t="shared" si="17"/>
        <v>168.82</v>
      </c>
      <c r="LS12" s="74">
        <f t="shared" si="17"/>
        <v>168.06</v>
      </c>
      <c r="LT12" s="74">
        <f t="shared" si="17"/>
        <v>167.31</v>
      </c>
      <c r="LU12" s="74">
        <f t="shared" si="17"/>
        <v>166.56</v>
      </c>
      <c r="LV12" s="74">
        <f t="shared" si="17"/>
        <v>165.8</v>
      </c>
      <c r="LW12" s="74">
        <f t="shared" si="16"/>
        <v>165.05</v>
      </c>
      <c r="LX12" s="74">
        <f t="shared" si="16"/>
        <v>164.3</v>
      </c>
      <c r="LY12" s="74">
        <f t="shared" si="16"/>
        <v>163.55000000000001</v>
      </c>
      <c r="LZ12" s="74">
        <f t="shared" si="16"/>
        <v>162.81</v>
      </c>
      <c r="MA12" s="74">
        <f t="shared" si="16"/>
        <v>162.06</v>
      </c>
      <c r="MB12" s="74">
        <f t="shared" si="16"/>
        <v>161.32</v>
      </c>
      <c r="MC12" s="74">
        <f t="shared" si="16"/>
        <v>160.58000000000001</v>
      </c>
      <c r="MD12" s="74">
        <f t="shared" si="16"/>
        <v>159.84</v>
      </c>
      <c r="ME12" s="74">
        <f t="shared" si="16"/>
        <v>159.11000000000001</v>
      </c>
      <c r="MF12" s="74">
        <f t="shared" si="16"/>
        <v>158.37</v>
      </c>
      <c r="MG12" s="74">
        <f t="shared" si="16"/>
        <v>157.63999999999999</v>
      </c>
      <c r="MH12" s="74">
        <f t="shared" si="16"/>
        <v>156.9</v>
      </c>
      <c r="MI12" s="74">
        <f t="shared" si="16"/>
        <v>156.16999999999999</v>
      </c>
      <c r="MJ12" s="74">
        <f t="shared" si="16"/>
        <v>155.44</v>
      </c>
      <c r="MK12" s="74">
        <f t="shared" si="16"/>
        <v>154.71</v>
      </c>
      <c r="ML12" s="74">
        <f t="shared" si="16"/>
        <v>153.99</v>
      </c>
      <c r="MM12" s="74">
        <f t="shared" si="16"/>
        <v>153.26</v>
      </c>
      <c r="MN12" s="74">
        <f t="shared" si="16"/>
        <v>152.54</v>
      </c>
      <c r="MO12" s="74">
        <f t="shared" si="16"/>
        <v>151.82</v>
      </c>
      <c r="MP12" s="74">
        <f t="shared" si="16"/>
        <v>151.1</v>
      </c>
      <c r="MQ12" s="74">
        <f t="shared" si="16"/>
        <v>150.38999999999999</v>
      </c>
      <c r="MR12" s="74">
        <f t="shared" si="16"/>
        <v>149.66999999999999</v>
      </c>
      <c r="MS12" s="74">
        <f t="shared" si="16"/>
        <v>148.96</v>
      </c>
      <c r="MT12" s="74">
        <f t="shared" si="16"/>
        <v>148.24</v>
      </c>
      <c r="MU12" s="74">
        <f t="shared" si="16"/>
        <v>147.53</v>
      </c>
      <c r="MV12" s="74">
        <f t="shared" si="16"/>
        <v>146.82</v>
      </c>
      <c r="MW12" s="74">
        <f t="shared" si="16"/>
        <v>146.12</v>
      </c>
      <c r="MX12" s="74">
        <f t="shared" si="16"/>
        <v>145.41</v>
      </c>
      <c r="MY12" s="74">
        <f t="shared" si="16"/>
        <v>144.71</v>
      </c>
    </row>
    <row r="13" spans="1:363" ht="15.6" x14ac:dyDescent="0.3">
      <c r="A13" s="67" t="s">
        <v>6</v>
      </c>
      <c r="B13" s="72">
        <v>2023</v>
      </c>
      <c r="C13" s="70">
        <v>481.2</v>
      </c>
      <c r="D13" s="70">
        <v>480.16</v>
      </c>
      <c r="E13" s="70">
        <v>479.12</v>
      </c>
      <c r="F13" s="70">
        <v>478.09</v>
      </c>
      <c r="G13" s="70">
        <v>477.05</v>
      </c>
      <c r="H13" s="70">
        <v>476.01</v>
      </c>
      <c r="I13" s="70">
        <v>474.97</v>
      </c>
      <c r="J13" s="70">
        <v>473.93</v>
      </c>
      <c r="K13" s="70">
        <v>472.89</v>
      </c>
      <c r="L13" s="70">
        <v>471.85</v>
      </c>
      <c r="M13" s="70">
        <v>470.81</v>
      </c>
      <c r="N13" s="70">
        <v>469.77</v>
      </c>
      <c r="O13" s="70">
        <v>468.73</v>
      </c>
      <c r="P13" s="70">
        <v>467.7</v>
      </c>
      <c r="Q13" s="70">
        <v>466.66</v>
      </c>
      <c r="R13" s="70">
        <v>465.62</v>
      </c>
      <c r="S13" s="70">
        <v>464.58</v>
      </c>
      <c r="T13" s="70">
        <v>463.54</v>
      </c>
      <c r="U13" s="70">
        <v>462.5</v>
      </c>
      <c r="V13" s="70">
        <v>461.47</v>
      </c>
      <c r="W13" s="70">
        <v>460.43</v>
      </c>
      <c r="X13" s="70">
        <v>459.39</v>
      </c>
      <c r="Y13" s="70">
        <v>458.35</v>
      </c>
      <c r="Z13" s="70">
        <v>457.31</v>
      </c>
      <c r="AA13" s="70">
        <v>456.28</v>
      </c>
      <c r="AB13" s="70">
        <v>455.24</v>
      </c>
      <c r="AC13" s="70">
        <v>454.2</v>
      </c>
      <c r="AD13" s="70">
        <v>453.16</v>
      </c>
      <c r="AE13" s="70">
        <v>452.13</v>
      </c>
      <c r="AF13" s="70">
        <v>451.09</v>
      </c>
      <c r="AG13" s="70">
        <v>450.05</v>
      </c>
      <c r="AH13" s="70">
        <v>449.01</v>
      </c>
      <c r="AI13" s="70">
        <v>447.98</v>
      </c>
      <c r="AJ13" s="70">
        <v>446.94</v>
      </c>
      <c r="AK13" s="70">
        <v>445.9</v>
      </c>
      <c r="AL13" s="70">
        <v>444.87</v>
      </c>
      <c r="AM13" s="70">
        <v>443.83</v>
      </c>
      <c r="AN13" s="70">
        <v>442.79</v>
      </c>
      <c r="AO13" s="70">
        <v>441.76</v>
      </c>
      <c r="AP13" s="70">
        <v>440.72</v>
      </c>
      <c r="AQ13" s="70">
        <v>439.68</v>
      </c>
      <c r="AR13" s="70">
        <v>438.65</v>
      </c>
      <c r="AS13" s="70">
        <v>437.61</v>
      </c>
      <c r="AT13" s="70">
        <v>436.57</v>
      </c>
      <c r="AU13" s="70">
        <v>435.54</v>
      </c>
      <c r="AV13" s="70">
        <v>434.5</v>
      </c>
      <c r="AW13" s="70">
        <v>433.47</v>
      </c>
      <c r="AX13" s="70">
        <v>432.43</v>
      </c>
      <c r="AY13" s="70">
        <v>431.39</v>
      </c>
      <c r="AZ13" s="70">
        <v>430.36</v>
      </c>
      <c r="BA13" s="70">
        <v>429.32</v>
      </c>
      <c r="BB13" s="70">
        <v>428.29</v>
      </c>
      <c r="BC13" s="70">
        <v>427.25</v>
      </c>
      <c r="BD13" s="70">
        <v>426.22</v>
      </c>
      <c r="BE13" s="70">
        <v>425.18</v>
      </c>
      <c r="BF13" s="70">
        <v>424.15</v>
      </c>
      <c r="BG13" s="70">
        <v>423.11</v>
      </c>
      <c r="BH13" s="70">
        <v>422.08</v>
      </c>
      <c r="BI13" s="70">
        <v>421.04</v>
      </c>
      <c r="BJ13" s="70">
        <v>420</v>
      </c>
      <c r="BK13" s="70">
        <v>418.97</v>
      </c>
      <c r="BL13" s="70">
        <v>417.93</v>
      </c>
      <c r="BM13" s="70">
        <v>416.9</v>
      </c>
      <c r="BN13" s="70">
        <v>415.86</v>
      </c>
      <c r="BO13" s="70">
        <v>414.83</v>
      </c>
      <c r="BP13" s="70">
        <v>413.79</v>
      </c>
      <c r="BQ13" s="70">
        <v>412.76</v>
      </c>
      <c r="BR13" s="70">
        <v>411.73</v>
      </c>
      <c r="BS13" s="70">
        <v>410.69</v>
      </c>
      <c r="BT13" s="70">
        <v>409.66</v>
      </c>
      <c r="BU13" s="70">
        <v>408.62</v>
      </c>
      <c r="BV13" s="70">
        <v>407.59</v>
      </c>
      <c r="BW13" s="70">
        <v>406.56</v>
      </c>
      <c r="BX13" s="70">
        <v>405.53</v>
      </c>
      <c r="BY13" s="70">
        <v>404.49</v>
      </c>
      <c r="BZ13" s="70">
        <v>403.46</v>
      </c>
      <c r="CA13" s="70">
        <v>402.43</v>
      </c>
      <c r="CB13" s="70">
        <v>401.4</v>
      </c>
      <c r="CC13" s="70">
        <v>400.37</v>
      </c>
      <c r="CD13" s="70">
        <v>399.34</v>
      </c>
      <c r="CE13" s="70">
        <v>398.32</v>
      </c>
      <c r="CF13" s="70">
        <v>397.29</v>
      </c>
      <c r="CG13" s="70">
        <v>396.26</v>
      </c>
      <c r="CH13" s="70">
        <v>395.23</v>
      </c>
      <c r="CI13" s="70">
        <v>394.2</v>
      </c>
      <c r="CJ13" s="70">
        <v>393.17</v>
      </c>
      <c r="CK13" s="70">
        <v>392.14</v>
      </c>
      <c r="CL13" s="70">
        <v>391.11</v>
      </c>
      <c r="CM13" s="70">
        <v>390.09</v>
      </c>
      <c r="CN13" s="70">
        <v>389.06</v>
      </c>
      <c r="CO13" s="70">
        <v>388.03</v>
      </c>
      <c r="CP13" s="70">
        <v>387</v>
      </c>
      <c r="CQ13" s="70">
        <v>385.98</v>
      </c>
      <c r="CR13" s="70">
        <v>384.95</v>
      </c>
      <c r="CS13" s="70">
        <v>383.92</v>
      </c>
      <c r="CT13" s="70">
        <v>382.89</v>
      </c>
      <c r="CU13" s="70">
        <v>381.87</v>
      </c>
      <c r="CV13" s="70">
        <v>380.84</v>
      </c>
      <c r="CW13" s="70">
        <v>379.82</v>
      </c>
      <c r="CX13" s="70">
        <v>378.79</v>
      </c>
      <c r="CY13" s="70">
        <v>377.77</v>
      </c>
      <c r="CZ13" s="70">
        <v>376.74</v>
      </c>
      <c r="DA13" s="70">
        <v>375.72</v>
      </c>
      <c r="DB13" s="70">
        <v>374.69</v>
      </c>
      <c r="DC13" s="70">
        <v>373.67</v>
      </c>
      <c r="DD13" s="70">
        <v>372.65</v>
      </c>
      <c r="DE13" s="70">
        <v>371.62</v>
      </c>
      <c r="DF13" s="70">
        <v>370.6</v>
      </c>
      <c r="DG13" s="70">
        <v>369.58</v>
      </c>
      <c r="DH13" s="70">
        <v>368.56</v>
      </c>
      <c r="DI13" s="70">
        <v>367.53</v>
      </c>
      <c r="DJ13" s="70">
        <v>366.51</v>
      </c>
      <c r="DK13" s="70">
        <v>365.49</v>
      </c>
      <c r="DL13" s="70">
        <v>364.47</v>
      </c>
      <c r="DM13" s="70">
        <v>363.45</v>
      </c>
      <c r="DN13" s="70">
        <v>362.43</v>
      </c>
      <c r="DO13" s="70">
        <v>361.41</v>
      </c>
      <c r="DP13" s="70">
        <v>360.39</v>
      </c>
      <c r="DQ13" s="70">
        <v>359.37</v>
      </c>
      <c r="DR13" s="70">
        <v>358.35</v>
      </c>
      <c r="DS13" s="70">
        <v>357.34</v>
      </c>
      <c r="DT13" s="70">
        <v>356.32</v>
      </c>
      <c r="DU13" s="70">
        <v>355.31</v>
      </c>
      <c r="DV13" s="70">
        <v>354.29</v>
      </c>
      <c r="DW13" s="70">
        <v>353.28</v>
      </c>
      <c r="DX13" s="70">
        <v>352.27</v>
      </c>
      <c r="DY13" s="70">
        <v>351.25</v>
      </c>
      <c r="DZ13" s="70">
        <v>350.24</v>
      </c>
      <c r="EA13" s="70">
        <v>349.23</v>
      </c>
      <c r="EB13" s="70">
        <v>348.22</v>
      </c>
      <c r="EC13" s="70">
        <v>347.21</v>
      </c>
      <c r="ED13" s="70">
        <v>346.2</v>
      </c>
      <c r="EE13" s="70">
        <v>345.19</v>
      </c>
      <c r="EF13" s="70">
        <v>344.19</v>
      </c>
      <c r="EG13" s="70">
        <v>343.18</v>
      </c>
      <c r="EH13" s="70">
        <v>342.18</v>
      </c>
      <c r="EI13" s="70">
        <v>341.18</v>
      </c>
      <c r="EJ13" s="70">
        <v>340.18</v>
      </c>
      <c r="EK13" s="70">
        <v>339.18</v>
      </c>
      <c r="EL13" s="70">
        <v>338.17</v>
      </c>
      <c r="EM13" s="70">
        <v>337.17</v>
      </c>
      <c r="EN13" s="70">
        <v>336.17</v>
      </c>
      <c r="EO13" s="70">
        <v>335.18</v>
      </c>
      <c r="EP13" s="70">
        <v>334.18</v>
      </c>
      <c r="EQ13" s="70">
        <v>333.18</v>
      </c>
      <c r="ER13" s="70">
        <v>332.18</v>
      </c>
      <c r="ES13" s="70">
        <v>331.19</v>
      </c>
      <c r="ET13" s="70">
        <v>330.19</v>
      </c>
      <c r="EU13" s="70">
        <v>329.2</v>
      </c>
      <c r="EV13" s="70">
        <v>328.21</v>
      </c>
      <c r="EW13" s="70">
        <v>327.22000000000003</v>
      </c>
      <c r="EX13" s="70">
        <v>326.22000000000003</v>
      </c>
      <c r="EY13" s="70">
        <v>325.23</v>
      </c>
      <c r="EZ13" s="70">
        <v>324.24</v>
      </c>
      <c r="FA13" s="70">
        <v>323.25</v>
      </c>
      <c r="FB13" s="70">
        <v>322.26</v>
      </c>
      <c r="FC13" s="70">
        <v>321.26</v>
      </c>
      <c r="FD13" s="70">
        <v>320.27999999999997</v>
      </c>
      <c r="FE13" s="70">
        <v>319.29000000000002</v>
      </c>
      <c r="FF13" s="70">
        <v>318.32</v>
      </c>
      <c r="FG13" s="70">
        <v>317.32</v>
      </c>
      <c r="FH13" s="70">
        <v>316.35000000000002</v>
      </c>
      <c r="FI13" s="70">
        <v>315.37</v>
      </c>
      <c r="FJ13" s="70">
        <v>314.38</v>
      </c>
      <c r="FK13" s="70">
        <v>313.39999999999998</v>
      </c>
      <c r="FL13" s="70">
        <v>312.42</v>
      </c>
      <c r="FM13" s="70">
        <v>311.44</v>
      </c>
      <c r="FN13" s="70">
        <v>310.45999999999998</v>
      </c>
      <c r="FO13" s="70">
        <v>309.48</v>
      </c>
      <c r="FP13" s="70">
        <v>308.51</v>
      </c>
      <c r="FQ13" s="70">
        <v>307.52999999999997</v>
      </c>
      <c r="FR13" s="70">
        <v>306.56</v>
      </c>
      <c r="FS13" s="70">
        <v>305.57</v>
      </c>
      <c r="FT13" s="70">
        <v>304.60000000000002</v>
      </c>
      <c r="FU13" s="70">
        <v>303.64</v>
      </c>
      <c r="FV13" s="70">
        <v>302.66000000000003</v>
      </c>
      <c r="FW13" s="70">
        <v>301.69</v>
      </c>
      <c r="FX13" s="70">
        <v>300.72000000000003</v>
      </c>
      <c r="FY13" s="70">
        <v>299.75</v>
      </c>
      <c r="FZ13" s="70">
        <v>298.77999999999997</v>
      </c>
      <c r="GA13" s="70">
        <v>297.81</v>
      </c>
      <c r="GB13" s="70">
        <v>296.83999999999997</v>
      </c>
      <c r="GC13" s="70">
        <v>295.88</v>
      </c>
      <c r="GD13" s="70">
        <v>294.91000000000003</v>
      </c>
      <c r="GE13" s="70">
        <v>293.95</v>
      </c>
      <c r="GF13" s="70">
        <v>292.98</v>
      </c>
      <c r="GG13" s="70">
        <v>292.01</v>
      </c>
      <c r="GH13" s="70">
        <v>291.06</v>
      </c>
      <c r="GI13" s="70">
        <v>290.10000000000002</v>
      </c>
      <c r="GJ13" s="70">
        <v>289.14</v>
      </c>
      <c r="GK13" s="70">
        <v>288.18</v>
      </c>
      <c r="GL13" s="70">
        <v>287.22000000000003</v>
      </c>
      <c r="GM13" s="70">
        <v>286.26</v>
      </c>
      <c r="GN13" s="70">
        <v>285.31</v>
      </c>
      <c r="GO13" s="70">
        <v>284.35000000000002</v>
      </c>
      <c r="GP13" s="70">
        <v>283.41000000000003</v>
      </c>
      <c r="GQ13" s="70">
        <v>282.45999999999998</v>
      </c>
      <c r="GR13" s="70">
        <v>281.51</v>
      </c>
      <c r="GS13" s="70">
        <v>280.56</v>
      </c>
      <c r="GT13" s="70">
        <v>279.60000000000002</v>
      </c>
      <c r="GU13" s="70">
        <v>278.67</v>
      </c>
      <c r="GV13" s="70">
        <v>277.72000000000003</v>
      </c>
      <c r="GW13" s="70">
        <v>276.77999999999997</v>
      </c>
      <c r="GX13" s="70">
        <v>275.82</v>
      </c>
      <c r="GY13" s="70">
        <v>274.89</v>
      </c>
      <c r="GZ13" s="70">
        <v>273.95</v>
      </c>
      <c r="HA13" s="70">
        <v>273.01</v>
      </c>
      <c r="HB13" s="70">
        <v>272.07</v>
      </c>
      <c r="HC13" s="70">
        <v>271.14</v>
      </c>
      <c r="HD13" s="70">
        <v>270.2</v>
      </c>
      <c r="HE13" s="70">
        <v>269.26</v>
      </c>
      <c r="HF13" s="70">
        <v>268.32</v>
      </c>
      <c r="HG13" s="70">
        <v>267.39999999999998</v>
      </c>
      <c r="HH13" s="70">
        <v>266.47000000000003</v>
      </c>
      <c r="HI13" s="70">
        <v>265.54000000000002</v>
      </c>
      <c r="HJ13" s="70">
        <v>264.60000000000002</v>
      </c>
      <c r="HK13" s="70">
        <v>263.68</v>
      </c>
      <c r="HL13" s="70">
        <v>262.76</v>
      </c>
      <c r="HM13" s="70">
        <v>261.83999999999997</v>
      </c>
      <c r="HN13" s="70">
        <v>260.92</v>
      </c>
      <c r="HO13" s="70">
        <v>260</v>
      </c>
      <c r="HP13" s="70">
        <v>259.07</v>
      </c>
      <c r="HQ13" s="70">
        <v>258.17</v>
      </c>
      <c r="HR13" s="70">
        <v>257.25</v>
      </c>
      <c r="HS13" s="70">
        <v>256.33999999999997</v>
      </c>
      <c r="HT13" s="70">
        <v>255.43</v>
      </c>
      <c r="HU13" s="70">
        <v>254.51</v>
      </c>
      <c r="HV13" s="70">
        <v>253.6</v>
      </c>
      <c r="HW13" s="70">
        <v>252.69</v>
      </c>
      <c r="HX13" s="70">
        <v>251.79</v>
      </c>
      <c r="HY13" s="70">
        <v>250.88</v>
      </c>
      <c r="HZ13" s="70">
        <v>249.97</v>
      </c>
      <c r="IA13" s="70">
        <v>249.07</v>
      </c>
      <c r="IB13" s="70">
        <v>248.17</v>
      </c>
      <c r="IC13" s="70">
        <v>247.26</v>
      </c>
      <c r="ID13" s="70">
        <v>246.36</v>
      </c>
      <c r="IE13" s="70">
        <v>245.46</v>
      </c>
      <c r="IF13" s="70">
        <v>244.56</v>
      </c>
      <c r="IG13" s="70">
        <v>243.67</v>
      </c>
      <c r="IH13" s="70">
        <v>242.77</v>
      </c>
      <c r="II13" s="70">
        <v>241.87</v>
      </c>
      <c r="IJ13" s="70">
        <v>240.98</v>
      </c>
      <c r="IK13" s="70">
        <v>240.09</v>
      </c>
      <c r="IL13" s="70">
        <v>239.2</v>
      </c>
      <c r="IM13" s="70">
        <v>238.31</v>
      </c>
      <c r="IN13" s="70">
        <v>237.42</v>
      </c>
      <c r="IO13" s="70">
        <v>236.53</v>
      </c>
      <c r="IP13" s="70">
        <v>235.65</v>
      </c>
      <c r="IQ13" s="70">
        <v>234.76</v>
      </c>
      <c r="IR13" s="70">
        <v>233.88</v>
      </c>
      <c r="IS13" s="70">
        <v>233</v>
      </c>
      <c r="IT13" s="70">
        <v>232.12</v>
      </c>
      <c r="IU13" s="70">
        <v>231.24</v>
      </c>
      <c r="IV13" s="70">
        <v>230.36</v>
      </c>
      <c r="IW13" s="70">
        <v>229.49</v>
      </c>
      <c r="IX13" s="70">
        <v>228.62</v>
      </c>
      <c r="IY13" s="70">
        <v>227.76</v>
      </c>
      <c r="IZ13" s="70">
        <v>226.89</v>
      </c>
      <c r="JA13" s="70">
        <v>226.02</v>
      </c>
      <c r="JB13" s="70">
        <v>225.16</v>
      </c>
      <c r="JC13" s="70">
        <v>224.3</v>
      </c>
      <c r="JD13" s="70">
        <v>223.43</v>
      </c>
      <c r="JE13" s="70">
        <v>222.57</v>
      </c>
      <c r="JF13" s="70">
        <v>221.71</v>
      </c>
      <c r="JG13" s="70">
        <v>220.85</v>
      </c>
      <c r="JH13" s="70">
        <v>220</v>
      </c>
      <c r="JI13" s="70">
        <v>219.14</v>
      </c>
      <c r="JJ13" s="70">
        <v>218.29</v>
      </c>
      <c r="JK13" s="70">
        <v>217.44</v>
      </c>
      <c r="JL13" s="70">
        <v>216.58</v>
      </c>
      <c r="JM13" s="70">
        <v>215.73</v>
      </c>
      <c r="JN13" s="70">
        <v>214.88</v>
      </c>
      <c r="JO13" s="70">
        <v>214.03</v>
      </c>
      <c r="JP13" s="70">
        <v>213.19</v>
      </c>
      <c r="JQ13" s="70">
        <v>212.34</v>
      </c>
      <c r="JR13" s="70">
        <v>211.5</v>
      </c>
      <c r="JS13" s="70">
        <v>210.65</v>
      </c>
      <c r="JT13" s="70">
        <v>209.81</v>
      </c>
      <c r="JU13" s="70">
        <v>208.96</v>
      </c>
      <c r="JV13" s="70">
        <v>208.12</v>
      </c>
      <c r="JW13" s="70">
        <v>207.27</v>
      </c>
      <c r="JX13" s="70">
        <v>206.43</v>
      </c>
      <c r="JY13" s="70">
        <v>205.59</v>
      </c>
      <c r="JZ13" s="70">
        <v>204.75</v>
      </c>
      <c r="KA13" s="70">
        <v>203.91</v>
      </c>
      <c r="KB13" s="70">
        <v>203.07</v>
      </c>
      <c r="KC13" s="70">
        <v>202.24</v>
      </c>
      <c r="KD13" s="70">
        <v>201.4</v>
      </c>
      <c r="KE13" s="70">
        <v>200.57</v>
      </c>
      <c r="KF13" s="70">
        <v>199.73</v>
      </c>
      <c r="KG13" s="70">
        <v>198.9</v>
      </c>
      <c r="KH13" s="70">
        <v>198.07</v>
      </c>
      <c r="KI13" s="70">
        <v>197.24</v>
      </c>
      <c r="KJ13" s="70">
        <v>196.42</v>
      </c>
      <c r="KK13" s="70">
        <v>195.59</v>
      </c>
      <c r="KL13" s="70">
        <v>194.76</v>
      </c>
      <c r="KM13" s="70">
        <v>193.94</v>
      </c>
      <c r="KN13" s="70">
        <v>193.12</v>
      </c>
      <c r="KO13" s="70">
        <v>192.29</v>
      </c>
      <c r="KP13" s="70">
        <v>191.47</v>
      </c>
      <c r="KQ13" s="70">
        <v>190.66</v>
      </c>
      <c r="KR13" s="74">
        <f t="shared" si="13"/>
        <v>189.77</v>
      </c>
      <c r="KS13" s="74">
        <f t="shared" si="14"/>
        <v>188.98</v>
      </c>
      <c r="KT13" s="74">
        <f t="shared" si="15"/>
        <v>188.16</v>
      </c>
      <c r="KU13" s="74">
        <f t="shared" si="15"/>
        <v>187.37</v>
      </c>
      <c r="KV13" s="74">
        <f t="shared" si="15"/>
        <v>186.59</v>
      </c>
      <c r="KW13" s="74">
        <f t="shared" si="15"/>
        <v>185.8</v>
      </c>
      <c r="KX13" s="74">
        <f t="shared" si="15"/>
        <v>185.01</v>
      </c>
      <c r="KY13" s="74">
        <f t="shared" si="15"/>
        <v>184.23</v>
      </c>
      <c r="KZ13" s="74">
        <f t="shared" si="15"/>
        <v>183.44</v>
      </c>
      <c r="LA13" s="74">
        <f t="shared" si="15"/>
        <v>182.66</v>
      </c>
      <c r="LB13" s="74">
        <f t="shared" si="15"/>
        <v>181.88</v>
      </c>
      <c r="LC13" s="74">
        <f t="shared" si="15"/>
        <v>181.1</v>
      </c>
      <c r="LD13" s="74">
        <f t="shared" si="15"/>
        <v>180.32</v>
      </c>
      <c r="LE13" s="74">
        <f t="shared" si="15"/>
        <v>179.54</v>
      </c>
      <c r="LF13" s="74">
        <f t="shared" si="15"/>
        <v>178.77</v>
      </c>
      <c r="LG13" s="74">
        <f t="shared" si="15"/>
        <v>178</v>
      </c>
      <c r="LH13" s="74">
        <f t="shared" si="15"/>
        <v>177.22</v>
      </c>
      <c r="LI13" s="74">
        <f t="shared" si="15"/>
        <v>176.45</v>
      </c>
      <c r="LJ13" s="74">
        <f t="shared" si="17"/>
        <v>175.68</v>
      </c>
      <c r="LK13" s="74">
        <f t="shared" si="17"/>
        <v>174.91</v>
      </c>
      <c r="LL13" s="74">
        <f t="shared" si="17"/>
        <v>174.14</v>
      </c>
      <c r="LM13" s="74">
        <f t="shared" si="17"/>
        <v>173.38</v>
      </c>
      <c r="LN13" s="74">
        <f t="shared" si="17"/>
        <v>172.61</v>
      </c>
      <c r="LO13" s="74">
        <f t="shared" si="17"/>
        <v>171.85</v>
      </c>
      <c r="LP13" s="74">
        <f t="shared" si="17"/>
        <v>171.09</v>
      </c>
      <c r="LQ13" s="74">
        <f t="shared" si="17"/>
        <v>170.33</v>
      </c>
      <c r="LR13" s="74">
        <f t="shared" si="17"/>
        <v>169.57</v>
      </c>
      <c r="LS13" s="74">
        <f t="shared" si="17"/>
        <v>168.81</v>
      </c>
      <c r="LT13" s="74">
        <f t="shared" si="17"/>
        <v>168.06</v>
      </c>
      <c r="LU13" s="74">
        <f t="shared" si="17"/>
        <v>167.31</v>
      </c>
      <c r="LV13" s="74">
        <f t="shared" si="17"/>
        <v>166.55</v>
      </c>
      <c r="LW13" s="74">
        <f t="shared" si="16"/>
        <v>165.8</v>
      </c>
      <c r="LX13" s="74">
        <f t="shared" si="16"/>
        <v>165.05</v>
      </c>
      <c r="LY13" s="74">
        <f t="shared" si="16"/>
        <v>164.3</v>
      </c>
      <c r="LZ13" s="74">
        <f t="shared" si="16"/>
        <v>163.56</v>
      </c>
      <c r="MA13" s="74">
        <f t="shared" si="16"/>
        <v>162.81</v>
      </c>
      <c r="MB13" s="74">
        <f t="shared" si="16"/>
        <v>162.07</v>
      </c>
      <c r="MC13" s="74">
        <f t="shared" si="16"/>
        <v>161.33000000000001</v>
      </c>
      <c r="MD13" s="74">
        <f t="shared" si="16"/>
        <v>160.59</v>
      </c>
      <c r="ME13" s="74">
        <f t="shared" si="16"/>
        <v>159.86000000000001</v>
      </c>
      <c r="MF13" s="74">
        <f t="shared" si="16"/>
        <v>159.12</v>
      </c>
      <c r="MG13" s="74">
        <f t="shared" si="16"/>
        <v>158.38999999999999</v>
      </c>
      <c r="MH13" s="74">
        <f t="shared" si="16"/>
        <v>157.65</v>
      </c>
      <c r="MI13" s="74">
        <f t="shared" si="16"/>
        <v>156.91999999999999</v>
      </c>
      <c r="MJ13" s="74">
        <f t="shared" si="16"/>
        <v>156.19</v>
      </c>
      <c r="MK13" s="74">
        <f t="shared" si="16"/>
        <v>155.46</v>
      </c>
      <c r="ML13" s="74">
        <f t="shared" si="16"/>
        <v>154.74</v>
      </c>
      <c r="MM13" s="74">
        <f t="shared" si="16"/>
        <v>154.01</v>
      </c>
      <c r="MN13" s="74">
        <f t="shared" si="16"/>
        <v>153.29</v>
      </c>
      <c r="MO13" s="74">
        <f t="shared" si="16"/>
        <v>152.57</v>
      </c>
      <c r="MP13" s="74">
        <f t="shared" si="16"/>
        <v>151.85</v>
      </c>
      <c r="MQ13" s="74">
        <f t="shared" si="16"/>
        <v>151.13999999999999</v>
      </c>
      <c r="MR13" s="74">
        <f t="shared" si="16"/>
        <v>150.41999999999999</v>
      </c>
      <c r="MS13" s="74">
        <f t="shared" si="16"/>
        <v>149.71</v>
      </c>
      <c r="MT13" s="74">
        <f t="shared" si="16"/>
        <v>148.99</v>
      </c>
      <c r="MU13" s="74">
        <f t="shared" si="16"/>
        <v>148.28</v>
      </c>
      <c r="MV13" s="74">
        <f t="shared" si="16"/>
        <v>147.57</v>
      </c>
      <c r="MW13" s="74">
        <f t="shared" si="16"/>
        <v>146.87</v>
      </c>
      <c r="MX13" s="74">
        <f t="shared" si="16"/>
        <v>146.16</v>
      </c>
      <c r="MY13" s="74">
        <f t="shared" si="16"/>
        <v>145.46</v>
      </c>
    </row>
    <row r="14" spans="1:363" ht="15.6" x14ac:dyDescent="0.3">
      <c r="A14" s="67" t="s">
        <v>6</v>
      </c>
      <c r="B14" s="72">
        <v>2024</v>
      </c>
      <c r="C14" s="70">
        <v>482.2</v>
      </c>
      <c r="D14" s="70">
        <v>481.16</v>
      </c>
      <c r="E14" s="70">
        <v>480.12</v>
      </c>
      <c r="F14" s="70">
        <v>479.08</v>
      </c>
      <c r="G14" s="70">
        <v>478.04</v>
      </c>
      <c r="H14" s="70">
        <v>477.01</v>
      </c>
      <c r="I14" s="70">
        <v>475.97</v>
      </c>
      <c r="J14" s="70">
        <v>474.93</v>
      </c>
      <c r="K14" s="70">
        <v>473.89</v>
      </c>
      <c r="L14" s="70">
        <v>472.85</v>
      </c>
      <c r="M14" s="70">
        <v>471.81</v>
      </c>
      <c r="N14" s="70">
        <v>470.77</v>
      </c>
      <c r="O14" s="70">
        <v>469.73</v>
      </c>
      <c r="P14" s="70">
        <v>468.7</v>
      </c>
      <c r="Q14" s="70">
        <v>467.66</v>
      </c>
      <c r="R14" s="70">
        <v>466.62</v>
      </c>
      <c r="S14" s="70">
        <v>465.58</v>
      </c>
      <c r="T14" s="70">
        <v>464.54</v>
      </c>
      <c r="U14" s="70">
        <v>463.5</v>
      </c>
      <c r="V14" s="70">
        <v>462.47</v>
      </c>
      <c r="W14" s="70">
        <v>461.43</v>
      </c>
      <c r="X14" s="70">
        <v>460.39</v>
      </c>
      <c r="Y14" s="70">
        <v>459.35</v>
      </c>
      <c r="Z14" s="70">
        <v>458.31</v>
      </c>
      <c r="AA14" s="70">
        <v>457.28</v>
      </c>
      <c r="AB14" s="70">
        <v>456.24</v>
      </c>
      <c r="AC14" s="70">
        <v>455.2</v>
      </c>
      <c r="AD14" s="70">
        <v>454.16</v>
      </c>
      <c r="AE14" s="70">
        <v>453.13</v>
      </c>
      <c r="AF14" s="70">
        <v>452.09</v>
      </c>
      <c r="AG14" s="70">
        <v>451.05</v>
      </c>
      <c r="AH14" s="70">
        <v>450.01</v>
      </c>
      <c r="AI14" s="70">
        <v>448.98</v>
      </c>
      <c r="AJ14" s="70">
        <v>447.94</v>
      </c>
      <c r="AK14" s="70">
        <v>446.9</v>
      </c>
      <c r="AL14" s="70">
        <v>445.87</v>
      </c>
      <c r="AM14" s="70">
        <v>444.83</v>
      </c>
      <c r="AN14" s="70">
        <v>443.79</v>
      </c>
      <c r="AO14" s="70">
        <v>442.76</v>
      </c>
      <c r="AP14" s="70">
        <v>441.72</v>
      </c>
      <c r="AQ14" s="70">
        <v>440.68</v>
      </c>
      <c r="AR14" s="70">
        <v>439.65</v>
      </c>
      <c r="AS14" s="70">
        <v>438.61</v>
      </c>
      <c r="AT14" s="70">
        <v>437.57</v>
      </c>
      <c r="AU14" s="70">
        <v>436.54</v>
      </c>
      <c r="AV14" s="70">
        <v>435.5</v>
      </c>
      <c r="AW14" s="70">
        <v>434.46</v>
      </c>
      <c r="AX14" s="70">
        <v>433.43</v>
      </c>
      <c r="AY14" s="70">
        <v>432.39</v>
      </c>
      <c r="AZ14" s="70">
        <v>431.36</v>
      </c>
      <c r="BA14" s="70">
        <v>430.32</v>
      </c>
      <c r="BB14" s="70">
        <v>429.29</v>
      </c>
      <c r="BC14" s="70">
        <v>428.25</v>
      </c>
      <c r="BD14" s="70">
        <v>427.21</v>
      </c>
      <c r="BE14" s="70">
        <v>426.18</v>
      </c>
      <c r="BF14" s="70">
        <v>425.14</v>
      </c>
      <c r="BG14" s="70">
        <v>424.11</v>
      </c>
      <c r="BH14" s="70">
        <v>423.07</v>
      </c>
      <c r="BI14" s="70">
        <v>422.04</v>
      </c>
      <c r="BJ14" s="70">
        <v>421</v>
      </c>
      <c r="BK14" s="70">
        <v>419.97</v>
      </c>
      <c r="BL14" s="70">
        <v>418.93</v>
      </c>
      <c r="BM14" s="70">
        <v>417.9</v>
      </c>
      <c r="BN14" s="70">
        <v>416.86</v>
      </c>
      <c r="BO14" s="70">
        <v>415.83</v>
      </c>
      <c r="BP14" s="70">
        <v>414.79</v>
      </c>
      <c r="BQ14" s="70">
        <v>413.76</v>
      </c>
      <c r="BR14" s="70">
        <v>412.72</v>
      </c>
      <c r="BS14" s="70">
        <v>411.69</v>
      </c>
      <c r="BT14" s="70">
        <v>410.65</v>
      </c>
      <c r="BU14" s="70">
        <v>409.62</v>
      </c>
      <c r="BV14" s="70">
        <v>408.58</v>
      </c>
      <c r="BW14" s="70">
        <v>407.55</v>
      </c>
      <c r="BX14" s="70">
        <v>406.52</v>
      </c>
      <c r="BY14" s="70">
        <v>405.49</v>
      </c>
      <c r="BZ14" s="70">
        <v>404.46</v>
      </c>
      <c r="CA14" s="70">
        <v>403.43</v>
      </c>
      <c r="CB14" s="70">
        <v>402.4</v>
      </c>
      <c r="CC14" s="70">
        <v>401.37</v>
      </c>
      <c r="CD14" s="70">
        <v>400.34</v>
      </c>
      <c r="CE14" s="70">
        <v>399.31</v>
      </c>
      <c r="CF14" s="70">
        <v>398.28</v>
      </c>
      <c r="CG14" s="70">
        <v>397.25</v>
      </c>
      <c r="CH14" s="70">
        <v>396.22</v>
      </c>
      <c r="CI14" s="70">
        <v>395.19</v>
      </c>
      <c r="CJ14" s="70">
        <v>394.16</v>
      </c>
      <c r="CK14" s="70">
        <v>393.13</v>
      </c>
      <c r="CL14" s="70">
        <v>392.1</v>
      </c>
      <c r="CM14" s="70">
        <v>391.08</v>
      </c>
      <c r="CN14" s="70">
        <v>390.05</v>
      </c>
      <c r="CO14" s="70">
        <v>389.02</v>
      </c>
      <c r="CP14" s="70">
        <v>387.99</v>
      </c>
      <c r="CQ14" s="70">
        <v>386.96</v>
      </c>
      <c r="CR14" s="70">
        <v>385.93</v>
      </c>
      <c r="CS14" s="70">
        <v>384.91</v>
      </c>
      <c r="CT14" s="70">
        <v>383.88</v>
      </c>
      <c r="CU14" s="70">
        <v>382.85</v>
      </c>
      <c r="CV14" s="70">
        <v>381.83</v>
      </c>
      <c r="CW14" s="70">
        <v>380.8</v>
      </c>
      <c r="CX14" s="70">
        <v>379.78</v>
      </c>
      <c r="CY14" s="70">
        <v>378.75</v>
      </c>
      <c r="CZ14" s="70">
        <v>377.73</v>
      </c>
      <c r="DA14" s="70">
        <v>376.7</v>
      </c>
      <c r="DB14" s="70">
        <v>375.68</v>
      </c>
      <c r="DC14" s="70">
        <v>374.65</v>
      </c>
      <c r="DD14" s="70">
        <v>373.63</v>
      </c>
      <c r="DE14" s="70">
        <v>372.6</v>
      </c>
      <c r="DF14" s="70">
        <v>371.58</v>
      </c>
      <c r="DG14" s="70">
        <v>370.56</v>
      </c>
      <c r="DH14" s="70">
        <v>369.53</v>
      </c>
      <c r="DI14" s="70">
        <v>368.51</v>
      </c>
      <c r="DJ14" s="70">
        <v>367.49</v>
      </c>
      <c r="DK14" s="70">
        <v>366.47</v>
      </c>
      <c r="DL14" s="70">
        <v>365.45</v>
      </c>
      <c r="DM14" s="70">
        <v>364.43</v>
      </c>
      <c r="DN14" s="70">
        <v>363.41</v>
      </c>
      <c r="DO14" s="70">
        <v>362.39</v>
      </c>
      <c r="DP14" s="70">
        <v>361.37</v>
      </c>
      <c r="DQ14" s="70">
        <v>360.35</v>
      </c>
      <c r="DR14" s="70">
        <v>359.33</v>
      </c>
      <c r="DS14" s="70">
        <v>358.31</v>
      </c>
      <c r="DT14" s="70">
        <v>357.29</v>
      </c>
      <c r="DU14" s="70">
        <v>356.28</v>
      </c>
      <c r="DV14" s="70">
        <v>355.26</v>
      </c>
      <c r="DW14" s="70">
        <v>354.25</v>
      </c>
      <c r="DX14" s="70">
        <v>353.24</v>
      </c>
      <c r="DY14" s="70">
        <v>352.22</v>
      </c>
      <c r="DZ14" s="70">
        <v>351.21</v>
      </c>
      <c r="EA14" s="70">
        <v>350.2</v>
      </c>
      <c r="EB14" s="70">
        <v>349.19</v>
      </c>
      <c r="EC14" s="70">
        <v>348.18</v>
      </c>
      <c r="ED14" s="70">
        <v>347.17</v>
      </c>
      <c r="EE14" s="70">
        <v>346.16</v>
      </c>
      <c r="EF14" s="70">
        <v>345.15</v>
      </c>
      <c r="EG14" s="70">
        <v>344.15</v>
      </c>
      <c r="EH14" s="70">
        <v>343.14</v>
      </c>
      <c r="EI14" s="70">
        <v>342.14</v>
      </c>
      <c r="EJ14" s="70">
        <v>341.14</v>
      </c>
      <c r="EK14" s="70">
        <v>340.14</v>
      </c>
      <c r="EL14" s="70">
        <v>339.13</v>
      </c>
      <c r="EM14" s="70">
        <v>338.13</v>
      </c>
      <c r="EN14" s="70">
        <v>337.13</v>
      </c>
      <c r="EO14" s="70">
        <v>336.13</v>
      </c>
      <c r="EP14" s="70">
        <v>335.13</v>
      </c>
      <c r="EQ14" s="70">
        <v>334.13</v>
      </c>
      <c r="ER14" s="70">
        <v>333.14</v>
      </c>
      <c r="ES14" s="70">
        <v>332.14</v>
      </c>
      <c r="ET14" s="70">
        <v>331.15</v>
      </c>
      <c r="EU14" s="70">
        <v>330.15</v>
      </c>
      <c r="EV14" s="70">
        <v>329.16</v>
      </c>
      <c r="EW14" s="70">
        <v>328.17</v>
      </c>
      <c r="EX14" s="70">
        <v>327.17</v>
      </c>
      <c r="EY14" s="70">
        <v>326.18</v>
      </c>
      <c r="EZ14" s="70">
        <v>325.19</v>
      </c>
      <c r="FA14" s="70">
        <v>324.2</v>
      </c>
      <c r="FB14" s="70">
        <v>323.20999999999998</v>
      </c>
      <c r="FC14" s="70">
        <v>322.22000000000003</v>
      </c>
      <c r="FD14" s="70">
        <v>321.23</v>
      </c>
      <c r="FE14" s="70">
        <v>320.24</v>
      </c>
      <c r="FF14" s="70">
        <v>319.26</v>
      </c>
      <c r="FG14" s="70">
        <v>318.27999999999997</v>
      </c>
      <c r="FH14" s="70">
        <v>317.29000000000002</v>
      </c>
      <c r="FI14" s="70">
        <v>316.31</v>
      </c>
      <c r="FJ14" s="70">
        <v>315.32</v>
      </c>
      <c r="FK14" s="70">
        <v>314.33999999999997</v>
      </c>
      <c r="FL14" s="70">
        <v>313.35000000000002</v>
      </c>
      <c r="FM14" s="70">
        <v>312.38</v>
      </c>
      <c r="FN14" s="70">
        <v>311.39999999999998</v>
      </c>
      <c r="FO14" s="70">
        <v>310.42</v>
      </c>
      <c r="FP14" s="70">
        <v>309.44</v>
      </c>
      <c r="FQ14" s="70">
        <v>308.47000000000003</v>
      </c>
      <c r="FR14" s="70">
        <v>307.49</v>
      </c>
      <c r="FS14" s="70">
        <v>306.51</v>
      </c>
      <c r="FT14" s="70">
        <v>305.54000000000002</v>
      </c>
      <c r="FU14" s="70">
        <v>304.57</v>
      </c>
      <c r="FV14" s="70">
        <v>303.58999999999997</v>
      </c>
      <c r="FW14" s="70">
        <v>302.62</v>
      </c>
      <c r="FX14" s="70">
        <v>301.64999999999998</v>
      </c>
      <c r="FY14" s="70">
        <v>300.68</v>
      </c>
      <c r="FZ14" s="70">
        <v>299.70999999999998</v>
      </c>
      <c r="GA14" s="70">
        <v>298.74</v>
      </c>
      <c r="GB14" s="70">
        <v>297.76</v>
      </c>
      <c r="GC14" s="70">
        <v>296.79000000000002</v>
      </c>
      <c r="GD14" s="70">
        <v>295.82</v>
      </c>
      <c r="GE14" s="70">
        <v>294.87</v>
      </c>
      <c r="GF14" s="70">
        <v>293.91000000000003</v>
      </c>
      <c r="GG14" s="70">
        <v>292.94</v>
      </c>
      <c r="GH14" s="70">
        <v>291.98</v>
      </c>
      <c r="GI14" s="70">
        <v>291.01</v>
      </c>
      <c r="GJ14" s="70">
        <v>290.04000000000002</v>
      </c>
      <c r="GK14" s="70">
        <v>289.08999999999997</v>
      </c>
      <c r="GL14" s="70">
        <v>288.13</v>
      </c>
      <c r="GM14" s="70">
        <v>287.18</v>
      </c>
      <c r="GN14" s="70">
        <v>286.22000000000003</v>
      </c>
      <c r="GO14" s="70">
        <v>285.26</v>
      </c>
      <c r="GP14" s="70">
        <v>284.32</v>
      </c>
      <c r="GQ14" s="70">
        <v>283.37</v>
      </c>
      <c r="GR14" s="70">
        <v>282.42</v>
      </c>
      <c r="GS14" s="70">
        <v>281.47000000000003</v>
      </c>
      <c r="GT14" s="70">
        <v>280.51</v>
      </c>
      <c r="GU14" s="70">
        <v>279.57</v>
      </c>
      <c r="GV14" s="70">
        <v>278.63</v>
      </c>
      <c r="GW14" s="70">
        <v>277.68</v>
      </c>
      <c r="GX14" s="70">
        <v>276.73</v>
      </c>
      <c r="GY14" s="70">
        <v>275.79000000000002</v>
      </c>
      <c r="GZ14" s="70">
        <v>274.85000000000002</v>
      </c>
      <c r="HA14" s="70">
        <v>273.91000000000003</v>
      </c>
      <c r="HB14" s="70">
        <v>272.97000000000003</v>
      </c>
      <c r="HC14" s="70">
        <v>272.02999999999997</v>
      </c>
      <c r="HD14" s="70">
        <v>271.10000000000002</v>
      </c>
      <c r="HE14" s="70">
        <v>270.16000000000003</v>
      </c>
      <c r="HF14" s="70">
        <v>269.22000000000003</v>
      </c>
      <c r="HG14" s="70">
        <v>268.29000000000002</v>
      </c>
      <c r="HH14" s="70">
        <v>267.35000000000002</v>
      </c>
      <c r="HI14" s="70">
        <v>266.43</v>
      </c>
      <c r="HJ14" s="70">
        <v>265.5</v>
      </c>
      <c r="HK14" s="70">
        <v>264.57</v>
      </c>
      <c r="HL14" s="70">
        <v>263.64</v>
      </c>
      <c r="HM14" s="70">
        <v>262.72000000000003</v>
      </c>
      <c r="HN14" s="70">
        <v>261.79000000000002</v>
      </c>
      <c r="HO14" s="70">
        <v>260.88</v>
      </c>
      <c r="HP14" s="70">
        <v>259.95999999999998</v>
      </c>
      <c r="HQ14" s="70">
        <v>259.04000000000002</v>
      </c>
      <c r="HR14" s="70">
        <v>258.13</v>
      </c>
      <c r="HS14" s="70">
        <v>257.20999999999998</v>
      </c>
      <c r="HT14" s="70">
        <v>256.29000000000002</v>
      </c>
      <c r="HU14" s="70">
        <v>255.39</v>
      </c>
      <c r="HV14" s="70">
        <v>254.47</v>
      </c>
      <c r="HW14" s="70">
        <v>253.56</v>
      </c>
      <c r="HX14" s="70">
        <v>252.65</v>
      </c>
      <c r="HY14" s="70">
        <v>251.75</v>
      </c>
      <c r="HZ14" s="70">
        <v>250.84</v>
      </c>
      <c r="IA14" s="70">
        <v>249.93</v>
      </c>
      <c r="IB14" s="70">
        <v>249.03</v>
      </c>
      <c r="IC14" s="70">
        <v>248.13</v>
      </c>
      <c r="ID14" s="70">
        <v>247.22</v>
      </c>
      <c r="IE14" s="70">
        <v>246.32</v>
      </c>
      <c r="IF14" s="70">
        <v>245.42</v>
      </c>
      <c r="IG14" s="70">
        <v>244.52</v>
      </c>
      <c r="IH14" s="70">
        <v>243.62</v>
      </c>
      <c r="II14" s="70">
        <v>242.72</v>
      </c>
      <c r="IJ14" s="70">
        <v>241.83</v>
      </c>
      <c r="IK14" s="70">
        <v>240.94</v>
      </c>
      <c r="IL14" s="70">
        <v>240.04</v>
      </c>
      <c r="IM14" s="70">
        <v>239.15</v>
      </c>
      <c r="IN14" s="70">
        <v>238.26</v>
      </c>
      <c r="IO14" s="70">
        <v>237.37</v>
      </c>
      <c r="IP14" s="70">
        <v>236.49</v>
      </c>
      <c r="IQ14" s="70">
        <v>235.6</v>
      </c>
      <c r="IR14" s="70">
        <v>234.72</v>
      </c>
      <c r="IS14" s="70">
        <v>233.83</v>
      </c>
      <c r="IT14" s="70">
        <v>232.95</v>
      </c>
      <c r="IU14" s="70">
        <v>232.07</v>
      </c>
      <c r="IV14" s="70">
        <v>231.19</v>
      </c>
      <c r="IW14" s="70">
        <v>230.32</v>
      </c>
      <c r="IX14" s="70">
        <v>229.45</v>
      </c>
      <c r="IY14" s="70">
        <v>228.58</v>
      </c>
      <c r="IZ14" s="70">
        <v>227.71</v>
      </c>
      <c r="JA14" s="70">
        <v>226.85</v>
      </c>
      <c r="JB14" s="70">
        <v>225.98</v>
      </c>
      <c r="JC14" s="70">
        <v>225.12</v>
      </c>
      <c r="JD14" s="70">
        <v>224.25</v>
      </c>
      <c r="JE14" s="70">
        <v>223.39</v>
      </c>
      <c r="JF14" s="70">
        <v>222.53</v>
      </c>
      <c r="JG14" s="70">
        <v>221.67</v>
      </c>
      <c r="JH14" s="70">
        <v>220.81</v>
      </c>
      <c r="JI14" s="70">
        <v>219.95</v>
      </c>
      <c r="JJ14" s="70">
        <v>219.1</v>
      </c>
      <c r="JK14" s="70">
        <v>218.24</v>
      </c>
      <c r="JL14" s="70">
        <v>217.39</v>
      </c>
      <c r="JM14" s="70">
        <v>216.54</v>
      </c>
      <c r="JN14" s="70">
        <v>215.68</v>
      </c>
      <c r="JO14" s="70">
        <v>214.83</v>
      </c>
      <c r="JP14" s="70">
        <v>213.99</v>
      </c>
      <c r="JQ14" s="70">
        <v>213.14</v>
      </c>
      <c r="JR14" s="70">
        <v>212.29</v>
      </c>
      <c r="JS14" s="70">
        <v>211.44</v>
      </c>
      <c r="JT14" s="70">
        <v>210.6</v>
      </c>
      <c r="JU14" s="70">
        <v>209.75</v>
      </c>
      <c r="JV14" s="70">
        <v>208.9</v>
      </c>
      <c r="JW14" s="70">
        <v>208.06</v>
      </c>
      <c r="JX14" s="70">
        <v>207.21</v>
      </c>
      <c r="JY14" s="70">
        <v>206.37</v>
      </c>
      <c r="JZ14" s="70">
        <v>205.53</v>
      </c>
      <c r="KA14" s="70">
        <v>204.69</v>
      </c>
      <c r="KB14" s="70">
        <v>203.85</v>
      </c>
      <c r="KC14" s="70">
        <v>203.01</v>
      </c>
      <c r="KD14" s="70">
        <v>202.17</v>
      </c>
      <c r="KE14" s="70">
        <v>201.34</v>
      </c>
      <c r="KF14" s="70">
        <v>200.5</v>
      </c>
      <c r="KG14" s="70">
        <v>199.67</v>
      </c>
      <c r="KH14" s="70">
        <v>198.84</v>
      </c>
      <c r="KI14" s="70">
        <v>198</v>
      </c>
      <c r="KJ14" s="70">
        <v>197.17</v>
      </c>
      <c r="KK14" s="70">
        <v>196.35</v>
      </c>
      <c r="KL14" s="70">
        <v>195.52</v>
      </c>
      <c r="KM14" s="70">
        <v>194.69</v>
      </c>
      <c r="KN14" s="70">
        <v>193.87</v>
      </c>
      <c r="KO14" s="70">
        <v>193.04</v>
      </c>
      <c r="KP14" s="70">
        <v>192.22</v>
      </c>
      <c r="KQ14" s="70">
        <v>191.4</v>
      </c>
      <c r="KR14" s="74">
        <f t="shared" si="13"/>
        <v>190.52</v>
      </c>
      <c r="KS14" s="74">
        <f t="shared" si="14"/>
        <v>189.73</v>
      </c>
      <c r="KT14" s="74">
        <f t="shared" si="15"/>
        <v>188.91</v>
      </c>
      <c r="KU14" s="74">
        <f t="shared" si="15"/>
        <v>188.12</v>
      </c>
      <c r="KV14" s="74">
        <f t="shared" si="15"/>
        <v>187.34</v>
      </c>
      <c r="KW14" s="74">
        <f t="shared" si="15"/>
        <v>186.55</v>
      </c>
      <c r="KX14" s="74">
        <f t="shared" si="15"/>
        <v>185.76</v>
      </c>
      <c r="KY14" s="74">
        <f t="shared" si="15"/>
        <v>184.98</v>
      </c>
      <c r="KZ14" s="74">
        <f t="shared" si="15"/>
        <v>184.19</v>
      </c>
      <c r="LA14" s="74">
        <f t="shared" si="15"/>
        <v>183.41</v>
      </c>
      <c r="LB14" s="74">
        <f t="shared" si="15"/>
        <v>182.63</v>
      </c>
      <c r="LC14" s="74">
        <f t="shared" si="15"/>
        <v>181.85</v>
      </c>
      <c r="LD14" s="74">
        <f t="shared" si="15"/>
        <v>181.07</v>
      </c>
      <c r="LE14" s="74">
        <f t="shared" si="15"/>
        <v>180.29</v>
      </c>
      <c r="LF14" s="74">
        <f t="shared" si="15"/>
        <v>179.52</v>
      </c>
      <c r="LG14" s="74">
        <f t="shared" si="15"/>
        <v>178.75</v>
      </c>
      <c r="LH14" s="74">
        <f t="shared" si="15"/>
        <v>177.97</v>
      </c>
      <c r="LI14" s="74">
        <f t="shared" si="15"/>
        <v>177.2</v>
      </c>
      <c r="LJ14" s="74">
        <f t="shared" si="17"/>
        <v>176.43</v>
      </c>
      <c r="LK14" s="74">
        <f t="shared" si="17"/>
        <v>175.66</v>
      </c>
      <c r="LL14" s="74">
        <f t="shared" si="17"/>
        <v>174.89</v>
      </c>
      <c r="LM14" s="74">
        <f t="shared" si="17"/>
        <v>174.13</v>
      </c>
      <c r="LN14" s="74">
        <f t="shared" si="17"/>
        <v>173.36</v>
      </c>
      <c r="LO14" s="74">
        <f t="shared" si="17"/>
        <v>172.6</v>
      </c>
      <c r="LP14" s="74">
        <f t="shared" si="17"/>
        <v>171.84</v>
      </c>
      <c r="LQ14" s="74">
        <f t="shared" si="17"/>
        <v>171.08</v>
      </c>
      <c r="LR14" s="74">
        <f t="shared" si="17"/>
        <v>170.32</v>
      </c>
      <c r="LS14" s="74">
        <f t="shared" si="17"/>
        <v>169.56</v>
      </c>
      <c r="LT14" s="74">
        <f t="shared" si="17"/>
        <v>168.81</v>
      </c>
      <c r="LU14" s="74">
        <f t="shared" si="17"/>
        <v>168.06</v>
      </c>
      <c r="LV14" s="74">
        <f t="shared" si="17"/>
        <v>167.3</v>
      </c>
      <c r="LW14" s="74">
        <f t="shared" si="16"/>
        <v>166.55</v>
      </c>
      <c r="LX14" s="74">
        <f t="shared" si="16"/>
        <v>165.8</v>
      </c>
      <c r="LY14" s="74">
        <f t="shared" si="16"/>
        <v>165.05</v>
      </c>
      <c r="LZ14" s="74">
        <f t="shared" si="16"/>
        <v>164.31</v>
      </c>
      <c r="MA14" s="74">
        <f t="shared" si="16"/>
        <v>163.56</v>
      </c>
      <c r="MB14" s="74">
        <f t="shared" si="16"/>
        <v>162.82</v>
      </c>
      <c r="MC14" s="74">
        <f t="shared" si="16"/>
        <v>162.08000000000001</v>
      </c>
      <c r="MD14" s="74">
        <f t="shared" si="16"/>
        <v>161.34</v>
      </c>
      <c r="ME14" s="74">
        <f t="shared" si="16"/>
        <v>160.61000000000001</v>
      </c>
      <c r="MF14" s="74">
        <f t="shared" si="16"/>
        <v>159.87</v>
      </c>
      <c r="MG14" s="74">
        <f t="shared" si="16"/>
        <v>159.13999999999999</v>
      </c>
      <c r="MH14" s="74">
        <f t="shared" si="16"/>
        <v>158.4</v>
      </c>
      <c r="MI14" s="74">
        <f t="shared" si="16"/>
        <v>157.66999999999999</v>
      </c>
      <c r="MJ14" s="74">
        <f t="shared" si="16"/>
        <v>156.94</v>
      </c>
      <c r="MK14" s="74">
        <f t="shared" si="16"/>
        <v>156.21</v>
      </c>
      <c r="ML14" s="74">
        <f t="shared" si="16"/>
        <v>155.49</v>
      </c>
      <c r="MM14" s="74">
        <f t="shared" si="16"/>
        <v>154.76</v>
      </c>
      <c r="MN14" s="74">
        <f t="shared" si="16"/>
        <v>154.04</v>
      </c>
      <c r="MO14" s="74">
        <f t="shared" si="16"/>
        <v>153.32</v>
      </c>
      <c r="MP14" s="74">
        <f t="shared" si="16"/>
        <v>152.6</v>
      </c>
      <c r="MQ14" s="74">
        <f t="shared" si="16"/>
        <v>151.88999999999999</v>
      </c>
      <c r="MR14" s="74">
        <f t="shared" si="16"/>
        <v>151.16999999999999</v>
      </c>
      <c r="MS14" s="74">
        <f t="shared" si="16"/>
        <v>150.46</v>
      </c>
      <c r="MT14" s="74">
        <f t="shared" si="16"/>
        <v>149.74</v>
      </c>
      <c r="MU14" s="74">
        <f t="shared" si="16"/>
        <v>149.03</v>
      </c>
      <c r="MV14" s="74">
        <f t="shared" si="16"/>
        <v>148.32</v>
      </c>
      <c r="MW14" s="74">
        <f t="shared" si="16"/>
        <v>147.62</v>
      </c>
      <c r="MX14" s="74">
        <f t="shared" si="16"/>
        <v>146.91</v>
      </c>
      <c r="MY14" s="74">
        <f t="shared" si="16"/>
        <v>146.21</v>
      </c>
    </row>
    <row r="15" spans="1:363" ht="15.6" x14ac:dyDescent="0.3">
      <c r="A15" s="67" t="s">
        <v>6</v>
      </c>
      <c r="B15" s="72">
        <v>2025</v>
      </c>
      <c r="C15" s="70">
        <v>483.19</v>
      </c>
      <c r="D15" s="70">
        <v>482.15</v>
      </c>
      <c r="E15" s="70">
        <v>481.11</v>
      </c>
      <c r="F15" s="70">
        <v>480.07</v>
      </c>
      <c r="G15" s="70">
        <v>479.04</v>
      </c>
      <c r="H15" s="70">
        <v>478</v>
      </c>
      <c r="I15" s="70">
        <v>476.96</v>
      </c>
      <c r="J15" s="70">
        <v>475.92</v>
      </c>
      <c r="K15" s="70">
        <v>474.88</v>
      </c>
      <c r="L15" s="70">
        <v>473.84</v>
      </c>
      <c r="M15" s="70">
        <v>472.8</v>
      </c>
      <c r="N15" s="70">
        <v>471.76</v>
      </c>
      <c r="O15" s="70">
        <v>470.73</v>
      </c>
      <c r="P15" s="70">
        <v>469.69</v>
      </c>
      <c r="Q15" s="70">
        <v>468.65</v>
      </c>
      <c r="R15" s="70">
        <v>467.61</v>
      </c>
      <c r="S15" s="70">
        <v>466.57</v>
      </c>
      <c r="T15" s="70">
        <v>465.53</v>
      </c>
      <c r="U15" s="70">
        <v>464.5</v>
      </c>
      <c r="V15" s="70">
        <v>463.46</v>
      </c>
      <c r="W15" s="70">
        <v>462.42</v>
      </c>
      <c r="X15" s="70">
        <v>461.38</v>
      </c>
      <c r="Y15" s="70">
        <v>460.34</v>
      </c>
      <c r="Z15" s="70">
        <v>459.31</v>
      </c>
      <c r="AA15" s="70">
        <v>458.27</v>
      </c>
      <c r="AB15" s="70">
        <v>457.23</v>
      </c>
      <c r="AC15" s="70">
        <v>456.19</v>
      </c>
      <c r="AD15" s="70">
        <v>455.16</v>
      </c>
      <c r="AE15" s="70">
        <v>454.12</v>
      </c>
      <c r="AF15" s="70">
        <v>453.08</v>
      </c>
      <c r="AG15" s="70">
        <v>452.04</v>
      </c>
      <c r="AH15" s="70">
        <v>451.01</v>
      </c>
      <c r="AI15" s="70">
        <v>449.97</v>
      </c>
      <c r="AJ15" s="70">
        <v>448.93</v>
      </c>
      <c r="AK15" s="70">
        <v>447.9</v>
      </c>
      <c r="AL15" s="70">
        <v>446.86</v>
      </c>
      <c r="AM15" s="70">
        <v>445.82</v>
      </c>
      <c r="AN15" s="70">
        <v>444.78</v>
      </c>
      <c r="AO15" s="70">
        <v>443.75</v>
      </c>
      <c r="AP15" s="70">
        <v>442.71</v>
      </c>
      <c r="AQ15" s="70">
        <v>441.67</v>
      </c>
      <c r="AR15" s="70">
        <v>440.64</v>
      </c>
      <c r="AS15" s="70">
        <v>439.6</v>
      </c>
      <c r="AT15" s="70">
        <v>438.56</v>
      </c>
      <c r="AU15" s="70">
        <v>437.53</v>
      </c>
      <c r="AV15" s="70">
        <v>436.49</v>
      </c>
      <c r="AW15" s="70">
        <v>435.46</v>
      </c>
      <c r="AX15" s="70">
        <v>434.42</v>
      </c>
      <c r="AY15" s="70">
        <v>433.38</v>
      </c>
      <c r="AZ15" s="70">
        <v>432.35</v>
      </c>
      <c r="BA15" s="70">
        <v>431.31</v>
      </c>
      <c r="BB15" s="70">
        <v>430.28</v>
      </c>
      <c r="BC15" s="70">
        <v>429.24</v>
      </c>
      <c r="BD15" s="70">
        <v>428.21</v>
      </c>
      <c r="BE15" s="70">
        <v>427.17</v>
      </c>
      <c r="BF15" s="70">
        <v>426.13</v>
      </c>
      <c r="BG15" s="70">
        <v>425.1</v>
      </c>
      <c r="BH15" s="70">
        <v>424.06</v>
      </c>
      <c r="BI15" s="70">
        <v>423.03</v>
      </c>
      <c r="BJ15" s="70">
        <v>421.99</v>
      </c>
      <c r="BK15" s="70">
        <v>420.96</v>
      </c>
      <c r="BL15" s="70">
        <v>419.92</v>
      </c>
      <c r="BM15" s="70">
        <v>418.89</v>
      </c>
      <c r="BN15" s="70">
        <v>417.85</v>
      </c>
      <c r="BO15" s="70">
        <v>416.81</v>
      </c>
      <c r="BP15" s="70">
        <v>415.78</v>
      </c>
      <c r="BQ15" s="70">
        <v>414.74</v>
      </c>
      <c r="BR15" s="70">
        <v>413.71</v>
      </c>
      <c r="BS15" s="70">
        <v>412.67</v>
      </c>
      <c r="BT15" s="70">
        <v>411.64</v>
      </c>
      <c r="BU15" s="70">
        <v>410.61</v>
      </c>
      <c r="BV15" s="70">
        <v>409.57</v>
      </c>
      <c r="BW15" s="70">
        <v>408.54</v>
      </c>
      <c r="BX15" s="70">
        <v>407.51</v>
      </c>
      <c r="BY15" s="70">
        <v>406.48</v>
      </c>
      <c r="BZ15" s="70">
        <v>405.44</v>
      </c>
      <c r="CA15" s="70">
        <v>404.41</v>
      </c>
      <c r="CB15" s="70">
        <v>403.38</v>
      </c>
      <c r="CC15" s="70">
        <v>402.35</v>
      </c>
      <c r="CD15" s="70">
        <v>401.32</v>
      </c>
      <c r="CE15" s="70">
        <v>400.29</v>
      </c>
      <c r="CF15" s="70">
        <v>399.26</v>
      </c>
      <c r="CG15" s="70">
        <v>398.23</v>
      </c>
      <c r="CH15" s="70">
        <v>397.2</v>
      </c>
      <c r="CI15" s="70">
        <v>396.17</v>
      </c>
      <c r="CJ15" s="70">
        <v>395.14</v>
      </c>
      <c r="CK15" s="70">
        <v>394.12</v>
      </c>
      <c r="CL15" s="70">
        <v>393.09</v>
      </c>
      <c r="CM15" s="70">
        <v>392.06</v>
      </c>
      <c r="CN15" s="70">
        <v>391.03</v>
      </c>
      <c r="CO15" s="70">
        <v>390</v>
      </c>
      <c r="CP15" s="70">
        <v>388.97</v>
      </c>
      <c r="CQ15" s="70">
        <v>387.94</v>
      </c>
      <c r="CR15" s="70">
        <v>386.91</v>
      </c>
      <c r="CS15" s="70">
        <v>385.89</v>
      </c>
      <c r="CT15" s="70">
        <v>384.86</v>
      </c>
      <c r="CU15" s="70">
        <v>383.83</v>
      </c>
      <c r="CV15" s="70">
        <v>382.8</v>
      </c>
      <c r="CW15" s="70">
        <v>381.78</v>
      </c>
      <c r="CX15" s="70">
        <v>380.75</v>
      </c>
      <c r="CY15" s="70">
        <v>379.73</v>
      </c>
      <c r="CZ15" s="70">
        <v>378.7</v>
      </c>
      <c r="DA15" s="70">
        <v>377.68</v>
      </c>
      <c r="DB15" s="70">
        <v>376.65</v>
      </c>
      <c r="DC15" s="70">
        <v>375.63</v>
      </c>
      <c r="DD15" s="70">
        <v>374.6</v>
      </c>
      <c r="DE15" s="70">
        <v>373.58</v>
      </c>
      <c r="DF15" s="70">
        <v>372.55</v>
      </c>
      <c r="DG15" s="70">
        <v>371.53</v>
      </c>
      <c r="DH15" s="70">
        <v>370.51</v>
      </c>
      <c r="DI15" s="70">
        <v>369.48</v>
      </c>
      <c r="DJ15" s="70">
        <v>368.46</v>
      </c>
      <c r="DK15" s="70">
        <v>367.44</v>
      </c>
      <c r="DL15" s="70">
        <v>366.42</v>
      </c>
      <c r="DM15" s="70">
        <v>365.4</v>
      </c>
      <c r="DN15" s="70">
        <v>364.38</v>
      </c>
      <c r="DO15" s="70">
        <v>363.36</v>
      </c>
      <c r="DP15" s="70">
        <v>362.34</v>
      </c>
      <c r="DQ15" s="70">
        <v>361.31</v>
      </c>
      <c r="DR15" s="70">
        <v>360.29</v>
      </c>
      <c r="DS15" s="70">
        <v>359.28</v>
      </c>
      <c r="DT15" s="70">
        <v>358.26</v>
      </c>
      <c r="DU15" s="70">
        <v>357.24</v>
      </c>
      <c r="DV15" s="70">
        <v>356.23</v>
      </c>
      <c r="DW15" s="70">
        <v>355.21</v>
      </c>
      <c r="DX15" s="70">
        <v>354.2</v>
      </c>
      <c r="DY15" s="70">
        <v>353.19</v>
      </c>
      <c r="DZ15" s="70">
        <v>352.17</v>
      </c>
      <c r="EA15" s="70">
        <v>351.16</v>
      </c>
      <c r="EB15" s="70">
        <v>350.15</v>
      </c>
      <c r="EC15" s="70">
        <v>349.14</v>
      </c>
      <c r="ED15" s="70">
        <v>348.13</v>
      </c>
      <c r="EE15" s="70">
        <v>347.12</v>
      </c>
      <c r="EF15" s="70">
        <v>346.11</v>
      </c>
      <c r="EG15" s="70">
        <v>345.11</v>
      </c>
      <c r="EH15" s="70">
        <v>344.1</v>
      </c>
      <c r="EI15" s="70">
        <v>343.1</v>
      </c>
      <c r="EJ15" s="70">
        <v>342.09</v>
      </c>
      <c r="EK15" s="70">
        <v>341.09</v>
      </c>
      <c r="EL15" s="70">
        <v>340.09</v>
      </c>
      <c r="EM15" s="70">
        <v>339.09</v>
      </c>
      <c r="EN15" s="70">
        <v>338.09</v>
      </c>
      <c r="EO15" s="70">
        <v>337.08</v>
      </c>
      <c r="EP15" s="70">
        <v>336.08</v>
      </c>
      <c r="EQ15" s="70">
        <v>335.08</v>
      </c>
      <c r="ER15" s="70">
        <v>334.09</v>
      </c>
      <c r="ES15" s="70">
        <v>333.09</v>
      </c>
      <c r="ET15" s="70">
        <v>332.1</v>
      </c>
      <c r="EU15" s="70">
        <v>331.1</v>
      </c>
      <c r="EV15" s="70">
        <v>330.11</v>
      </c>
      <c r="EW15" s="70">
        <v>329.11</v>
      </c>
      <c r="EX15" s="70">
        <v>328.12</v>
      </c>
      <c r="EY15" s="70">
        <v>327.13</v>
      </c>
      <c r="EZ15" s="70">
        <v>326.13</v>
      </c>
      <c r="FA15" s="70">
        <v>325.14</v>
      </c>
      <c r="FB15" s="70">
        <v>324.14999999999998</v>
      </c>
      <c r="FC15" s="70">
        <v>323.16000000000003</v>
      </c>
      <c r="FD15" s="70">
        <v>322.17</v>
      </c>
      <c r="FE15" s="70">
        <v>321.18</v>
      </c>
      <c r="FF15" s="70">
        <v>320.2</v>
      </c>
      <c r="FG15" s="70">
        <v>319.20999999999998</v>
      </c>
      <c r="FH15" s="70">
        <v>318.23</v>
      </c>
      <c r="FI15" s="70">
        <v>317.25</v>
      </c>
      <c r="FJ15" s="70">
        <v>316.26</v>
      </c>
      <c r="FK15" s="70">
        <v>315.27999999999997</v>
      </c>
      <c r="FL15" s="70">
        <v>314.29000000000002</v>
      </c>
      <c r="FM15" s="70">
        <v>313.31</v>
      </c>
      <c r="FN15" s="70">
        <v>312.32</v>
      </c>
      <c r="FO15" s="70">
        <v>311.35000000000002</v>
      </c>
      <c r="FP15" s="70">
        <v>310.37</v>
      </c>
      <c r="FQ15" s="70">
        <v>309.39999999999998</v>
      </c>
      <c r="FR15" s="70">
        <v>308.42</v>
      </c>
      <c r="FS15" s="70">
        <v>307.44</v>
      </c>
      <c r="FT15" s="70">
        <v>306.47000000000003</v>
      </c>
      <c r="FU15" s="70">
        <v>305.49</v>
      </c>
      <c r="FV15" s="70">
        <v>304.51</v>
      </c>
      <c r="FW15" s="70">
        <v>303.54000000000002</v>
      </c>
      <c r="FX15" s="70">
        <v>302.57</v>
      </c>
      <c r="FY15" s="70">
        <v>301.60000000000002</v>
      </c>
      <c r="FZ15" s="70">
        <v>300.63</v>
      </c>
      <c r="GA15" s="70">
        <v>299.66000000000003</v>
      </c>
      <c r="GB15" s="70">
        <v>298.69</v>
      </c>
      <c r="GC15" s="70">
        <v>297.72000000000003</v>
      </c>
      <c r="GD15" s="70">
        <v>296.75</v>
      </c>
      <c r="GE15" s="70">
        <v>295.79000000000002</v>
      </c>
      <c r="GF15" s="70">
        <v>294.82</v>
      </c>
      <c r="GG15" s="70">
        <v>293.85000000000002</v>
      </c>
      <c r="GH15" s="70">
        <v>292.89</v>
      </c>
      <c r="GI15" s="70">
        <v>291.93</v>
      </c>
      <c r="GJ15" s="70">
        <v>290.97000000000003</v>
      </c>
      <c r="GK15" s="70">
        <v>290</v>
      </c>
      <c r="GL15" s="70">
        <v>289.04000000000002</v>
      </c>
      <c r="GM15" s="70">
        <v>288.07</v>
      </c>
      <c r="GN15" s="70">
        <v>287.13</v>
      </c>
      <c r="GO15" s="70">
        <v>286.18</v>
      </c>
      <c r="GP15" s="70">
        <v>285.22000000000003</v>
      </c>
      <c r="GQ15" s="70">
        <v>284.26</v>
      </c>
      <c r="GR15" s="70">
        <v>283.32</v>
      </c>
      <c r="GS15" s="70">
        <v>282.37</v>
      </c>
      <c r="GT15" s="70">
        <v>281.42</v>
      </c>
      <c r="GU15" s="70">
        <v>280.47000000000003</v>
      </c>
      <c r="GV15" s="70">
        <v>279.51</v>
      </c>
      <c r="GW15" s="70">
        <v>278.57</v>
      </c>
      <c r="GX15" s="70">
        <v>277.63</v>
      </c>
      <c r="GY15" s="70">
        <v>276.69</v>
      </c>
      <c r="GZ15" s="70">
        <v>275.74</v>
      </c>
      <c r="HA15" s="70">
        <v>274.79000000000002</v>
      </c>
      <c r="HB15" s="70">
        <v>273.85000000000002</v>
      </c>
      <c r="HC15" s="70">
        <v>272.92</v>
      </c>
      <c r="HD15" s="70">
        <v>271.98</v>
      </c>
      <c r="HE15" s="70">
        <v>271.04000000000002</v>
      </c>
      <c r="HF15" s="70">
        <v>270.10000000000002</v>
      </c>
      <c r="HG15" s="70">
        <v>269.18</v>
      </c>
      <c r="HH15" s="70">
        <v>268.24</v>
      </c>
      <c r="HI15" s="70">
        <v>267.31</v>
      </c>
      <c r="HJ15" s="70">
        <v>266.38</v>
      </c>
      <c r="HK15" s="70">
        <v>265.45</v>
      </c>
      <c r="HL15" s="70">
        <v>264.51</v>
      </c>
      <c r="HM15" s="70">
        <v>263.60000000000002</v>
      </c>
      <c r="HN15" s="70">
        <v>262.68</v>
      </c>
      <c r="HO15" s="70">
        <v>261.76</v>
      </c>
      <c r="HP15" s="70">
        <v>260.83999999999997</v>
      </c>
      <c r="HQ15" s="70">
        <v>259.92</v>
      </c>
      <c r="HR15" s="70">
        <v>259</v>
      </c>
      <c r="HS15" s="70">
        <v>258.07</v>
      </c>
      <c r="HT15" s="70">
        <v>257.17</v>
      </c>
      <c r="HU15" s="70">
        <v>256.25</v>
      </c>
      <c r="HV15" s="70">
        <v>255.34</v>
      </c>
      <c r="HW15" s="70">
        <v>254.43</v>
      </c>
      <c r="HX15" s="70">
        <v>253.52</v>
      </c>
      <c r="HY15" s="70">
        <v>252.61</v>
      </c>
      <c r="HZ15" s="70">
        <v>251.7</v>
      </c>
      <c r="IA15" s="70">
        <v>250.79</v>
      </c>
      <c r="IB15" s="70">
        <v>249.89</v>
      </c>
      <c r="IC15" s="70">
        <v>248.98</v>
      </c>
      <c r="ID15" s="70">
        <v>248.08</v>
      </c>
      <c r="IE15" s="70">
        <v>247.17</v>
      </c>
      <c r="IF15" s="70">
        <v>246.27</v>
      </c>
      <c r="IG15" s="70">
        <v>245.37</v>
      </c>
      <c r="IH15" s="70">
        <v>244.47</v>
      </c>
      <c r="II15" s="70">
        <v>243.57</v>
      </c>
      <c r="IJ15" s="70">
        <v>242.68</v>
      </c>
      <c r="IK15" s="70">
        <v>241.78</v>
      </c>
      <c r="IL15" s="70">
        <v>240.89</v>
      </c>
      <c r="IM15" s="70">
        <v>239.99</v>
      </c>
      <c r="IN15" s="70">
        <v>239.1</v>
      </c>
      <c r="IO15" s="70">
        <v>238.21</v>
      </c>
      <c r="IP15" s="70">
        <v>237.32</v>
      </c>
      <c r="IQ15" s="70">
        <v>236.44</v>
      </c>
      <c r="IR15" s="70">
        <v>235.55</v>
      </c>
      <c r="IS15" s="70">
        <v>234.66</v>
      </c>
      <c r="IT15" s="70">
        <v>233.78</v>
      </c>
      <c r="IU15" s="70">
        <v>232.9</v>
      </c>
      <c r="IV15" s="70">
        <v>232.02</v>
      </c>
      <c r="IW15" s="70">
        <v>231.15</v>
      </c>
      <c r="IX15" s="70">
        <v>230.28</v>
      </c>
      <c r="IY15" s="70">
        <v>229.4</v>
      </c>
      <c r="IZ15" s="70">
        <v>228.53</v>
      </c>
      <c r="JA15" s="70">
        <v>227.67</v>
      </c>
      <c r="JB15" s="70">
        <v>226.8</v>
      </c>
      <c r="JC15" s="70">
        <v>225.93</v>
      </c>
      <c r="JD15" s="70">
        <v>225.07</v>
      </c>
      <c r="JE15" s="70">
        <v>224.2</v>
      </c>
      <c r="JF15" s="70">
        <v>223.34</v>
      </c>
      <c r="JG15" s="70">
        <v>222.48</v>
      </c>
      <c r="JH15" s="70">
        <v>221.62</v>
      </c>
      <c r="JI15" s="70">
        <v>220.76</v>
      </c>
      <c r="JJ15" s="70">
        <v>219.9</v>
      </c>
      <c r="JK15" s="70">
        <v>219.04</v>
      </c>
      <c r="JL15" s="70">
        <v>218.19</v>
      </c>
      <c r="JM15" s="70">
        <v>217.34</v>
      </c>
      <c r="JN15" s="70">
        <v>216.48</v>
      </c>
      <c r="JO15" s="70">
        <v>215.63</v>
      </c>
      <c r="JP15" s="70">
        <v>214.78</v>
      </c>
      <c r="JQ15" s="70">
        <v>213.93</v>
      </c>
      <c r="JR15" s="70">
        <v>213.08</v>
      </c>
      <c r="JS15" s="70">
        <v>212.23</v>
      </c>
      <c r="JT15" s="70">
        <v>211.38</v>
      </c>
      <c r="JU15" s="70">
        <v>210.53</v>
      </c>
      <c r="JV15" s="70">
        <v>209.69</v>
      </c>
      <c r="JW15" s="70">
        <v>208.84</v>
      </c>
      <c r="JX15" s="70">
        <v>207.99</v>
      </c>
      <c r="JY15" s="70">
        <v>207.15</v>
      </c>
      <c r="JZ15" s="70">
        <v>206.31</v>
      </c>
      <c r="KA15" s="70">
        <v>205.46</v>
      </c>
      <c r="KB15" s="70">
        <v>204.62</v>
      </c>
      <c r="KC15" s="70">
        <v>203.78</v>
      </c>
      <c r="KD15" s="70">
        <v>202.94</v>
      </c>
      <c r="KE15" s="70">
        <v>202.1</v>
      </c>
      <c r="KF15" s="70">
        <v>201.26</v>
      </c>
      <c r="KG15" s="70">
        <v>200.43</v>
      </c>
      <c r="KH15" s="70">
        <v>199.59</v>
      </c>
      <c r="KI15" s="70">
        <v>198.76</v>
      </c>
      <c r="KJ15" s="70">
        <v>197.93</v>
      </c>
      <c r="KK15" s="70">
        <v>197.1</v>
      </c>
      <c r="KL15" s="70">
        <v>196.27</v>
      </c>
      <c r="KM15" s="70">
        <v>195.44</v>
      </c>
      <c r="KN15" s="70">
        <v>194.61</v>
      </c>
      <c r="KO15" s="70">
        <v>193.79</v>
      </c>
      <c r="KP15" s="70">
        <v>192.96</v>
      </c>
      <c r="KQ15" s="70">
        <v>192.14</v>
      </c>
      <c r="KR15" s="74">
        <f t="shared" si="13"/>
        <v>191.27</v>
      </c>
      <c r="KS15" s="74">
        <f t="shared" si="14"/>
        <v>190.48</v>
      </c>
      <c r="KT15" s="74">
        <f t="shared" si="15"/>
        <v>189.66</v>
      </c>
      <c r="KU15" s="74">
        <f t="shared" si="15"/>
        <v>188.87</v>
      </c>
      <c r="KV15" s="74">
        <f t="shared" si="15"/>
        <v>188.09</v>
      </c>
      <c r="KW15" s="74">
        <f t="shared" si="15"/>
        <v>187.3</v>
      </c>
      <c r="KX15" s="74">
        <f t="shared" si="15"/>
        <v>186.51</v>
      </c>
      <c r="KY15" s="74">
        <f t="shared" si="15"/>
        <v>185.73</v>
      </c>
      <c r="KZ15" s="74">
        <f t="shared" si="15"/>
        <v>184.94</v>
      </c>
      <c r="LA15" s="74">
        <f t="shared" si="15"/>
        <v>184.16</v>
      </c>
      <c r="LB15" s="74">
        <f t="shared" si="15"/>
        <v>183.38</v>
      </c>
      <c r="LC15" s="74">
        <f t="shared" si="15"/>
        <v>182.6</v>
      </c>
      <c r="LD15" s="74">
        <f t="shared" si="15"/>
        <v>181.82</v>
      </c>
      <c r="LE15" s="74">
        <f t="shared" si="15"/>
        <v>181.04</v>
      </c>
      <c r="LF15" s="74">
        <f t="shared" si="15"/>
        <v>180.27</v>
      </c>
      <c r="LG15" s="74">
        <f t="shared" si="15"/>
        <v>179.5</v>
      </c>
      <c r="LH15" s="74">
        <f t="shared" si="15"/>
        <v>178.72</v>
      </c>
      <c r="LI15" s="74">
        <f t="shared" si="15"/>
        <v>177.95</v>
      </c>
      <c r="LJ15" s="74">
        <f t="shared" si="17"/>
        <v>177.18</v>
      </c>
      <c r="LK15" s="74">
        <f t="shared" si="17"/>
        <v>176.41</v>
      </c>
      <c r="LL15" s="74">
        <f t="shared" si="17"/>
        <v>175.64</v>
      </c>
      <c r="LM15" s="74">
        <f t="shared" si="17"/>
        <v>174.88</v>
      </c>
      <c r="LN15" s="74">
        <f t="shared" si="17"/>
        <v>174.11</v>
      </c>
      <c r="LO15" s="74">
        <f t="shared" si="17"/>
        <v>173.35</v>
      </c>
      <c r="LP15" s="74">
        <f t="shared" si="17"/>
        <v>172.59</v>
      </c>
      <c r="LQ15" s="74">
        <f t="shared" si="17"/>
        <v>171.83</v>
      </c>
      <c r="LR15" s="74">
        <f t="shared" si="17"/>
        <v>171.07</v>
      </c>
      <c r="LS15" s="74">
        <f t="shared" si="17"/>
        <v>170.31</v>
      </c>
      <c r="LT15" s="74">
        <f t="shared" si="17"/>
        <v>169.56</v>
      </c>
      <c r="LU15" s="74">
        <f t="shared" si="17"/>
        <v>168.81</v>
      </c>
      <c r="LV15" s="74">
        <f t="shared" si="17"/>
        <v>168.05</v>
      </c>
      <c r="LW15" s="74">
        <f t="shared" si="16"/>
        <v>167.3</v>
      </c>
      <c r="LX15" s="74">
        <f t="shared" si="16"/>
        <v>166.55</v>
      </c>
      <c r="LY15" s="74">
        <f t="shared" si="16"/>
        <v>165.8</v>
      </c>
      <c r="LZ15" s="74">
        <f t="shared" si="16"/>
        <v>165.06</v>
      </c>
      <c r="MA15" s="74">
        <f t="shared" si="16"/>
        <v>164.31</v>
      </c>
      <c r="MB15" s="74">
        <f t="shared" si="16"/>
        <v>163.57</v>
      </c>
      <c r="MC15" s="74">
        <f t="shared" si="16"/>
        <v>162.83000000000001</v>
      </c>
      <c r="MD15" s="74">
        <f t="shared" si="16"/>
        <v>162.09</v>
      </c>
      <c r="ME15" s="74">
        <f t="shared" si="16"/>
        <v>161.36000000000001</v>
      </c>
      <c r="MF15" s="74">
        <f t="shared" si="16"/>
        <v>160.62</v>
      </c>
      <c r="MG15" s="74">
        <f t="shared" si="16"/>
        <v>159.88999999999999</v>
      </c>
      <c r="MH15" s="74">
        <f t="shared" si="16"/>
        <v>159.15</v>
      </c>
      <c r="MI15" s="74">
        <f t="shared" si="16"/>
        <v>158.41999999999999</v>
      </c>
      <c r="MJ15" s="74">
        <f t="shared" si="16"/>
        <v>157.69</v>
      </c>
      <c r="MK15" s="74">
        <f t="shared" si="16"/>
        <v>156.96</v>
      </c>
      <c r="ML15" s="74">
        <f t="shared" si="16"/>
        <v>156.24</v>
      </c>
      <c r="MM15" s="74">
        <f t="shared" si="16"/>
        <v>155.51</v>
      </c>
      <c r="MN15" s="74">
        <f t="shared" si="16"/>
        <v>154.79</v>
      </c>
      <c r="MO15" s="74">
        <f t="shared" si="16"/>
        <v>154.07</v>
      </c>
      <c r="MP15" s="74">
        <f t="shared" si="16"/>
        <v>153.35</v>
      </c>
      <c r="MQ15" s="74">
        <f t="shared" si="16"/>
        <v>152.63999999999999</v>
      </c>
      <c r="MR15" s="74">
        <f t="shared" si="16"/>
        <v>151.91999999999999</v>
      </c>
      <c r="MS15" s="74">
        <f t="shared" si="16"/>
        <v>151.21</v>
      </c>
      <c r="MT15" s="74">
        <f t="shared" si="16"/>
        <v>150.49</v>
      </c>
      <c r="MU15" s="74">
        <f t="shared" si="16"/>
        <v>149.78</v>
      </c>
      <c r="MV15" s="74">
        <f t="shared" si="16"/>
        <v>149.07</v>
      </c>
      <c r="MW15" s="74">
        <f t="shared" si="16"/>
        <v>148.37</v>
      </c>
      <c r="MX15" s="74">
        <f t="shared" si="16"/>
        <v>147.66</v>
      </c>
      <c r="MY15" s="74">
        <f t="shared" si="16"/>
        <v>146.96</v>
      </c>
    </row>
    <row r="16" spans="1:363" ht="15.6" x14ac:dyDescent="0.3">
      <c r="A16" s="67" t="s">
        <v>6</v>
      </c>
      <c r="B16" s="72">
        <v>2026</v>
      </c>
      <c r="C16" s="70">
        <v>484.18</v>
      </c>
      <c r="D16" s="70">
        <v>483.14</v>
      </c>
      <c r="E16" s="70">
        <v>482.1</v>
      </c>
      <c r="F16" s="70">
        <v>481.06</v>
      </c>
      <c r="G16" s="70">
        <v>480.02</v>
      </c>
      <c r="H16" s="70">
        <v>478.98</v>
      </c>
      <c r="I16" s="70">
        <v>477.94</v>
      </c>
      <c r="J16" s="70">
        <v>476.9</v>
      </c>
      <c r="K16" s="70">
        <v>475.87</v>
      </c>
      <c r="L16" s="70">
        <v>474.83</v>
      </c>
      <c r="M16" s="70">
        <v>473.79</v>
      </c>
      <c r="N16" s="70">
        <v>472.75</v>
      </c>
      <c r="O16" s="70">
        <v>471.71</v>
      </c>
      <c r="P16" s="70">
        <v>470.67</v>
      </c>
      <c r="Q16" s="70">
        <v>469.64</v>
      </c>
      <c r="R16" s="70">
        <v>468.6</v>
      </c>
      <c r="S16" s="70">
        <v>467.56</v>
      </c>
      <c r="T16" s="70">
        <v>466.52</v>
      </c>
      <c r="U16" s="70">
        <v>465.48</v>
      </c>
      <c r="V16" s="70">
        <v>464.44</v>
      </c>
      <c r="W16" s="70">
        <v>463.41</v>
      </c>
      <c r="X16" s="70">
        <v>462.37</v>
      </c>
      <c r="Y16" s="70">
        <v>461.33</v>
      </c>
      <c r="Z16" s="70">
        <v>460.29</v>
      </c>
      <c r="AA16" s="70">
        <v>459.25</v>
      </c>
      <c r="AB16" s="70">
        <v>458.22</v>
      </c>
      <c r="AC16" s="70">
        <v>457.18</v>
      </c>
      <c r="AD16" s="70">
        <v>456.14</v>
      </c>
      <c r="AE16" s="70">
        <v>455.1</v>
      </c>
      <c r="AF16" s="70">
        <v>454.07</v>
      </c>
      <c r="AG16" s="70">
        <v>453.03</v>
      </c>
      <c r="AH16" s="70">
        <v>451.99</v>
      </c>
      <c r="AI16" s="70">
        <v>450.96</v>
      </c>
      <c r="AJ16" s="70">
        <v>449.92</v>
      </c>
      <c r="AK16" s="70">
        <v>448.88</v>
      </c>
      <c r="AL16" s="70">
        <v>447.84</v>
      </c>
      <c r="AM16" s="70">
        <v>446.81</v>
      </c>
      <c r="AN16" s="70">
        <v>445.77</v>
      </c>
      <c r="AO16" s="70">
        <v>444.73</v>
      </c>
      <c r="AP16" s="70">
        <v>443.7</v>
      </c>
      <c r="AQ16" s="70">
        <v>442.66</v>
      </c>
      <c r="AR16" s="70">
        <v>441.62</v>
      </c>
      <c r="AS16" s="70">
        <v>440.59</v>
      </c>
      <c r="AT16" s="70">
        <v>439.55</v>
      </c>
      <c r="AU16" s="70">
        <v>438.51</v>
      </c>
      <c r="AV16" s="70">
        <v>437.48</v>
      </c>
      <c r="AW16" s="70">
        <v>436.44</v>
      </c>
      <c r="AX16" s="70">
        <v>435.4</v>
      </c>
      <c r="AY16" s="70">
        <v>434.37</v>
      </c>
      <c r="AZ16" s="70">
        <v>433.33</v>
      </c>
      <c r="BA16" s="70">
        <v>432.3</v>
      </c>
      <c r="BB16" s="70">
        <v>431.26</v>
      </c>
      <c r="BC16" s="70">
        <v>430.23</v>
      </c>
      <c r="BD16" s="70">
        <v>429.19</v>
      </c>
      <c r="BE16" s="70">
        <v>428.15</v>
      </c>
      <c r="BF16" s="70">
        <v>427.12</v>
      </c>
      <c r="BG16" s="70">
        <v>426.08</v>
      </c>
      <c r="BH16" s="70">
        <v>425.05</v>
      </c>
      <c r="BI16" s="70">
        <v>424.01</v>
      </c>
      <c r="BJ16" s="70">
        <v>422.98</v>
      </c>
      <c r="BK16" s="70">
        <v>421.94</v>
      </c>
      <c r="BL16" s="70">
        <v>420.9</v>
      </c>
      <c r="BM16" s="70">
        <v>419.87</v>
      </c>
      <c r="BN16" s="70">
        <v>418.83</v>
      </c>
      <c r="BO16" s="70">
        <v>417.8</v>
      </c>
      <c r="BP16" s="70">
        <v>416.76</v>
      </c>
      <c r="BQ16" s="70">
        <v>415.73</v>
      </c>
      <c r="BR16" s="70">
        <v>414.69</v>
      </c>
      <c r="BS16" s="70">
        <v>413.66</v>
      </c>
      <c r="BT16" s="70">
        <v>412.62</v>
      </c>
      <c r="BU16" s="70">
        <v>411.59</v>
      </c>
      <c r="BV16" s="70">
        <v>410.55</v>
      </c>
      <c r="BW16" s="70">
        <v>409.52</v>
      </c>
      <c r="BX16" s="70">
        <v>408.49</v>
      </c>
      <c r="BY16" s="70">
        <v>407.46</v>
      </c>
      <c r="BZ16" s="70">
        <v>406.42</v>
      </c>
      <c r="CA16" s="70">
        <v>405.39</v>
      </c>
      <c r="CB16" s="70">
        <v>404.36</v>
      </c>
      <c r="CC16" s="70">
        <v>403.33</v>
      </c>
      <c r="CD16" s="70">
        <v>402.3</v>
      </c>
      <c r="CE16" s="70">
        <v>401.27</v>
      </c>
      <c r="CF16" s="70">
        <v>400.24</v>
      </c>
      <c r="CG16" s="70">
        <v>399.21</v>
      </c>
      <c r="CH16" s="70">
        <v>398.18</v>
      </c>
      <c r="CI16" s="70">
        <v>397.15</v>
      </c>
      <c r="CJ16" s="70">
        <v>396.12</v>
      </c>
      <c r="CK16" s="70">
        <v>395.09</v>
      </c>
      <c r="CL16" s="70">
        <v>394.06</v>
      </c>
      <c r="CM16" s="70">
        <v>393.03</v>
      </c>
      <c r="CN16" s="70">
        <v>392</v>
      </c>
      <c r="CO16" s="70">
        <v>390.97</v>
      </c>
      <c r="CP16" s="70">
        <v>389.95</v>
      </c>
      <c r="CQ16" s="70">
        <v>388.92</v>
      </c>
      <c r="CR16" s="70">
        <v>387.89</v>
      </c>
      <c r="CS16" s="70">
        <v>386.86</v>
      </c>
      <c r="CT16" s="70">
        <v>385.83</v>
      </c>
      <c r="CU16" s="70">
        <v>384.8</v>
      </c>
      <c r="CV16" s="70">
        <v>383.78</v>
      </c>
      <c r="CW16" s="70">
        <v>382.75</v>
      </c>
      <c r="CX16" s="70">
        <v>381.72</v>
      </c>
      <c r="CY16" s="70">
        <v>380.7</v>
      </c>
      <c r="CZ16" s="70">
        <v>379.67</v>
      </c>
      <c r="DA16" s="70">
        <v>378.65</v>
      </c>
      <c r="DB16" s="70">
        <v>377.62</v>
      </c>
      <c r="DC16" s="70">
        <v>376.6</v>
      </c>
      <c r="DD16" s="70">
        <v>375.57</v>
      </c>
      <c r="DE16" s="70">
        <v>374.55</v>
      </c>
      <c r="DF16" s="70">
        <v>373.52</v>
      </c>
      <c r="DG16" s="70">
        <v>372.5</v>
      </c>
      <c r="DH16" s="70">
        <v>371.47</v>
      </c>
      <c r="DI16" s="70">
        <v>370.45</v>
      </c>
      <c r="DJ16" s="70">
        <v>369.43</v>
      </c>
      <c r="DK16" s="70">
        <v>368.41</v>
      </c>
      <c r="DL16" s="70">
        <v>367.38</v>
      </c>
      <c r="DM16" s="70">
        <v>366.36</v>
      </c>
      <c r="DN16" s="70">
        <v>365.34</v>
      </c>
      <c r="DO16" s="70">
        <v>364.32</v>
      </c>
      <c r="DP16" s="70">
        <v>363.3</v>
      </c>
      <c r="DQ16" s="70">
        <v>362.28</v>
      </c>
      <c r="DR16" s="70">
        <v>361.26</v>
      </c>
      <c r="DS16" s="70">
        <v>360.24</v>
      </c>
      <c r="DT16" s="70">
        <v>359.22</v>
      </c>
      <c r="DU16" s="70">
        <v>358.2</v>
      </c>
      <c r="DV16" s="70">
        <v>357.19</v>
      </c>
      <c r="DW16" s="70">
        <v>356.17</v>
      </c>
      <c r="DX16" s="70">
        <v>355.16</v>
      </c>
      <c r="DY16" s="70">
        <v>354.14</v>
      </c>
      <c r="DZ16" s="70">
        <v>353.13</v>
      </c>
      <c r="EA16" s="70">
        <v>352.12</v>
      </c>
      <c r="EB16" s="70">
        <v>351.1</v>
      </c>
      <c r="EC16" s="70">
        <v>350.09</v>
      </c>
      <c r="ED16" s="70">
        <v>349.08</v>
      </c>
      <c r="EE16" s="70">
        <v>348.07</v>
      </c>
      <c r="EF16" s="70">
        <v>347.06</v>
      </c>
      <c r="EG16" s="70">
        <v>346.06</v>
      </c>
      <c r="EH16" s="70">
        <v>345.05</v>
      </c>
      <c r="EI16" s="70">
        <v>344.05</v>
      </c>
      <c r="EJ16" s="70">
        <v>343.04</v>
      </c>
      <c r="EK16" s="70">
        <v>342.04</v>
      </c>
      <c r="EL16" s="70">
        <v>341.04</v>
      </c>
      <c r="EM16" s="70">
        <v>340.04</v>
      </c>
      <c r="EN16" s="70">
        <v>339.03</v>
      </c>
      <c r="EO16" s="70">
        <v>338.03</v>
      </c>
      <c r="EP16" s="70">
        <v>337.03</v>
      </c>
      <c r="EQ16" s="70">
        <v>336.03</v>
      </c>
      <c r="ER16" s="70">
        <v>335.03</v>
      </c>
      <c r="ES16" s="70">
        <v>334.04</v>
      </c>
      <c r="ET16" s="70">
        <v>333.04</v>
      </c>
      <c r="EU16" s="70">
        <v>332.04</v>
      </c>
      <c r="EV16" s="70">
        <v>331.05</v>
      </c>
      <c r="EW16" s="70">
        <v>330.05</v>
      </c>
      <c r="EX16" s="70">
        <v>329.06</v>
      </c>
      <c r="EY16" s="70">
        <v>328.07</v>
      </c>
      <c r="EZ16" s="70">
        <v>327.07</v>
      </c>
      <c r="FA16" s="70">
        <v>326.07</v>
      </c>
      <c r="FB16" s="70">
        <v>325.08999999999997</v>
      </c>
      <c r="FC16" s="70">
        <v>324.08999999999997</v>
      </c>
      <c r="FD16" s="70">
        <v>323.10000000000002</v>
      </c>
      <c r="FE16" s="70">
        <v>322.12</v>
      </c>
      <c r="FF16" s="70">
        <v>321.13</v>
      </c>
      <c r="FG16" s="70">
        <v>320.14999999999998</v>
      </c>
      <c r="FH16" s="70">
        <v>319.16000000000003</v>
      </c>
      <c r="FI16" s="70">
        <v>318.18</v>
      </c>
      <c r="FJ16" s="70">
        <v>317.19</v>
      </c>
      <c r="FK16" s="70">
        <v>316.20999999999998</v>
      </c>
      <c r="FL16" s="70">
        <v>315.23</v>
      </c>
      <c r="FM16" s="70">
        <v>314.24</v>
      </c>
      <c r="FN16" s="70">
        <v>313.26</v>
      </c>
      <c r="FO16" s="70">
        <v>312.27999999999997</v>
      </c>
      <c r="FP16" s="70">
        <v>311.29000000000002</v>
      </c>
      <c r="FQ16" s="70">
        <v>310.32</v>
      </c>
      <c r="FR16" s="70">
        <v>309.33999999999997</v>
      </c>
      <c r="FS16" s="70">
        <v>308.37</v>
      </c>
      <c r="FT16" s="70">
        <v>307.39</v>
      </c>
      <c r="FU16" s="70">
        <v>306.41000000000003</v>
      </c>
      <c r="FV16" s="70">
        <v>305.44</v>
      </c>
      <c r="FW16" s="70">
        <v>304.45999999999998</v>
      </c>
      <c r="FX16" s="70">
        <v>303.49</v>
      </c>
      <c r="FY16" s="70">
        <v>302.51</v>
      </c>
      <c r="FZ16" s="70">
        <v>301.54000000000002</v>
      </c>
      <c r="GA16" s="70">
        <v>300.57</v>
      </c>
      <c r="GB16" s="70">
        <v>299.60000000000002</v>
      </c>
      <c r="GC16" s="70">
        <v>298.63</v>
      </c>
      <c r="GD16" s="70">
        <v>297.67</v>
      </c>
      <c r="GE16" s="70">
        <v>296.7</v>
      </c>
      <c r="GF16" s="70">
        <v>295.73</v>
      </c>
      <c r="GG16" s="70">
        <v>294.76</v>
      </c>
      <c r="GH16" s="70">
        <v>293.79000000000002</v>
      </c>
      <c r="GI16" s="70">
        <v>292.83999999999997</v>
      </c>
      <c r="GJ16" s="70">
        <v>291.87</v>
      </c>
      <c r="GK16" s="70">
        <v>290.91000000000003</v>
      </c>
      <c r="GL16" s="70">
        <v>289.95</v>
      </c>
      <c r="GM16" s="70">
        <v>288.99</v>
      </c>
      <c r="GN16" s="70">
        <v>288.02999999999997</v>
      </c>
      <c r="GO16" s="70">
        <v>287.07</v>
      </c>
      <c r="GP16" s="70">
        <v>286.12</v>
      </c>
      <c r="GQ16" s="70">
        <v>285.17</v>
      </c>
      <c r="GR16" s="70">
        <v>284.22000000000003</v>
      </c>
      <c r="GS16" s="70">
        <v>283.26</v>
      </c>
      <c r="GT16" s="70">
        <v>282.32</v>
      </c>
      <c r="GU16" s="70">
        <v>281.37</v>
      </c>
      <c r="GV16" s="70">
        <v>280.42</v>
      </c>
      <c r="GW16" s="70">
        <v>279.47000000000003</v>
      </c>
      <c r="GX16" s="70">
        <v>278.51</v>
      </c>
      <c r="GY16" s="70">
        <v>277.57</v>
      </c>
      <c r="GZ16" s="70">
        <v>276.63</v>
      </c>
      <c r="HA16" s="70">
        <v>275.69</v>
      </c>
      <c r="HB16" s="70">
        <v>274.75</v>
      </c>
      <c r="HC16" s="70">
        <v>273.81</v>
      </c>
      <c r="HD16" s="70">
        <v>272.87</v>
      </c>
      <c r="HE16" s="70">
        <v>271.93</v>
      </c>
      <c r="HF16" s="70">
        <v>270.99</v>
      </c>
      <c r="HG16" s="70">
        <v>270.06</v>
      </c>
      <c r="HH16" s="70">
        <v>269.12</v>
      </c>
      <c r="HI16" s="70">
        <v>268.19</v>
      </c>
      <c r="HJ16" s="70">
        <v>267.25</v>
      </c>
      <c r="HK16" s="70">
        <v>266.32</v>
      </c>
      <c r="HL16" s="70">
        <v>265.39999999999998</v>
      </c>
      <c r="HM16" s="70">
        <v>264.47000000000003</v>
      </c>
      <c r="HN16" s="70">
        <v>263.54000000000002</v>
      </c>
      <c r="HO16" s="70">
        <v>262.63</v>
      </c>
      <c r="HP16" s="70">
        <v>261.70999999999998</v>
      </c>
      <c r="HQ16" s="70">
        <v>260.79000000000002</v>
      </c>
      <c r="HR16" s="70">
        <v>259.87</v>
      </c>
      <c r="HS16" s="70">
        <v>258.95</v>
      </c>
      <c r="HT16" s="70">
        <v>258.02999999999997</v>
      </c>
      <c r="HU16" s="70">
        <v>257.12</v>
      </c>
      <c r="HV16" s="70">
        <v>256.2</v>
      </c>
      <c r="HW16" s="70">
        <v>255.29</v>
      </c>
      <c r="HX16" s="70">
        <v>254.38</v>
      </c>
      <c r="HY16" s="70">
        <v>253.46</v>
      </c>
      <c r="HZ16" s="70">
        <v>252.56</v>
      </c>
      <c r="IA16" s="70">
        <v>251.65</v>
      </c>
      <c r="IB16" s="70">
        <v>250.74</v>
      </c>
      <c r="IC16" s="70">
        <v>249.83</v>
      </c>
      <c r="ID16" s="70">
        <v>248.93</v>
      </c>
      <c r="IE16" s="70">
        <v>248.02</v>
      </c>
      <c r="IF16" s="70">
        <v>247.12</v>
      </c>
      <c r="IG16" s="70">
        <v>246.22</v>
      </c>
      <c r="IH16" s="70">
        <v>245.31</v>
      </c>
      <c r="II16" s="70">
        <v>244.41</v>
      </c>
      <c r="IJ16" s="70">
        <v>243.52</v>
      </c>
      <c r="IK16" s="70">
        <v>242.62</v>
      </c>
      <c r="IL16" s="70">
        <v>241.73</v>
      </c>
      <c r="IM16" s="70">
        <v>240.83</v>
      </c>
      <c r="IN16" s="70">
        <v>239.94</v>
      </c>
      <c r="IO16" s="70">
        <v>239.05</v>
      </c>
      <c r="IP16" s="70">
        <v>238.16</v>
      </c>
      <c r="IQ16" s="70">
        <v>237.27</v>
      </c>
      <c r="IR16" s="70">
        <v>236.38</v>
      </c>
      <c r="IS16" s="70">
        <v>235.49</v>
      </c>
      <c r="IT16" s="70">
        <v>234.61</v>
      </c>
      <c r="IU16" s="70">
        <v>233.72</v>
      </c>
      <c r="IV16" s="70">
        <v>232.84</v>
      </c>
      <c r="IW16" s="70">
        <v>231.97</v>
      </c>
      <c r="IX16" s="70">
        <v>231.09</v>
      </c>
      <c r="IY16" s="70">
        <v>230.22</v>
      </c>
      <c r="IZ16" s="70">
        <v>229.35</v>
      </c>
      <c r="JA16" s="70">
        <v>228.48</v>
      </c>
      <c r="JB16" s="70">
        <v>227.61</v>
      </c>
      <c r="JC16" s="70">
        <v>226.74</v>
      </c>
      <c r="JD16" s="70">
        <v>225.88</v>
      </c>
      <c r="JE16" s="70">
        <v>225.01</v>
      </c>
      <c r="JF16" s="70">
        <v>224.15</v>
      </c>
      <c r="JG16" s="70">
        <v>223.28</v>
      </c>
      <c r="JH16" s="70">
        <v>222.42</v>
      </c>
      <c r="JI16" s="70">
        <v>221.56</v>
      </c>
      <c r="JJ16" s="70">
        <v>220.7</v>
      </c>
      <c r="JK16" s="70">
        <v>219.84</v>
      </c>
      <c r="JL16" s="70">
        <v>218.99</v>
      </c>
      <c r="JM16" s="70">
        <v>218.13</v>
      </c>
      <c r="JN16" s="70">
        <v>217.28</v>
      </c>
      <c r="JO16" s="70">
        <v>216.42</v>
      </c>
      <c r="JP16" s="70">
        <v>215.57</v>
      </c>
      <c r="JQ16" s="70">
        <v>214.72</v>
      </c>
      <c r="JR16" s="70">
        <v>213.87</v>
      </c>
      <c r="JS16" s="70">
        <v>213.02</v>
      </c>
      <c r="JT16" s="70">
        <v>212.17</v>
      </c>
      <c r="JU16" s="70">
        <v>211.32</v>
      </c>
      <c r="JV16" s="70">
        <v>210.47</v>
      </c>
      <c r="JW16" s="70">
        <v>209.62</v>
      </c>
      <c r="JX16" s="70">
        <v>208.77</v>
      </c>
      <c r="JY16" s="70">
        <v>207.92</v>
      </c>
      <c r="JZ16" s="70">
        <v>207.08</v>
      </c>
      <c r="KA16" s="70">
        <v>206.23</v>
      </c>
      <c r="KB16" s="70">
        <v>205.39</v>
      </c>
      <c r="KC16" s="70">
        <v>204.55</v>
      </c>
      <c r="KD16" s="70">
        <v>203.7</v>
      </c>
      <c r="KE16" s="70">
        <v>202.86</v>
      </c>
      <c r="KF16" s="70">
        <v>202.02</v>
      </c>
      <c r="KG16" s="70">
        <v>201.19</v>
      </c>
      <c r="KH16" s="70">
        <v>200.35</v>
      </c>
      <c r="KI16" s="70">
        <v>199.51</v>
      </c>
      <c r="KJ16" s="70">
        <v>198.68</v>
      </c>
      <c r="KK16" s="70">
        <v>197.85</v>
      </c>
      <c r="KL16" s="70">
        <v>197.02</v>
      </c>
      <c r="KM16" s="70">
        <v>196.18</v>
      </c>
      <c r="KN16" s="70">
        <v>195.36</v>
      </c>
      <c r="KO16" s="70">
        <v>194.53</v>
      </c>
      <c r="KP16" s="70">
        <v>193.7</v>
      </c>
      <c r="KQ16" s="70">
        <v>192.88</v>
      </c>
      <c r="KR16" s="74">
        <f t="shared" si="13"/>
        <v>192.02</v>
      </c>
      <c r="KS16" s="74">
        <f t="shared" si="14"/>
        <v>191.23</v>
      </c>
      <c r="KT16" s="74">
        <f t="shared" si="15"/>
        <v>190.41</v>
      </c>
      <c r="KU16" s="74">
        <f t="shared" si="15"/>
        <v>189.62</v>
      </c>
      <c r="KV16" s="74">
        <f t="shared" si="15"/>
        <v>188.84</v>
      </c>
      <c r="KW16" s="74">
        <f t="shared" si="15"/>
        <v>188.05</v>
      </c>
      <c r="KX16" s="74">
        <f t="shared" si="15"/>
        <v>187.26</v>
      </c>
      <c r="KY16" s="74">
        <f t="shared" si="15"/>
        <v>186.48</v>
      </c>
      <c r="KZ16" s="74">
        <f t="shared" si="15"/>
        <v>185.69</v>
      </c>
      <c r="LA16" s="74">
        <f t="shared" si="15"/>
        <v>184.91</v>
      </c>
      <c r="LB16" s="74">
        <f t="shared" si="15"/>
        <v>184.13</v>
      </c>
      <c r="LC16" s="74">
        <f t="shared" si="15"/>
        <v>183.35</v>
      </c>
      <c r="LD16" s="74">
        <f t="shared" si="15"/>
        <v>182.57</v>
      </c>
      <c r="LE16" s="74">
        <f t="shared" si="15"/>
        <v>181.79</v>
      </c>
      <c r="LF16" s="74">
        <f t="shared" si="15"/>
        <v>181.02</v>
      </c>
      <c r="LG16" s="74">
        <f t="shared" si="15"/>
        <v>180.25</v>
      </c>
      <c r="LH16" s="74">
        <f t="shared" si="15"/>
        <v>179.47</v>
      </c>
      <c r="LI16" s="74">
        <f t="shared" si="15"/>
        <v>178.7</v>
      </c>
      <c r="LJ16" s="74">
        <f t="shared" si="17"/>
        <v>177.93</v>
      </c>
      <c r="LK16" s="74">
        <f t="shared" si="17"/>
        <v>177.16</v>
      </c>
      <c r="LL16" s="74">
        <f t="shared" si="17"/>
        <v>176.39</v>
      </c>
      <c r="LM16" s="74">
        <f t="shared" si="17"/>
        <v>175.63</v>
      </c>
      <c r="LN16" s="74">
        <f t="shared" si="17"/>
        <v>174.86</v>
      </c>
      <c r="LO16" s="74">
        <f t="shared" si="17"/>
        <v>174.1</v>
      </c>
      <c r="LP16" s="74">
        <f t="shared" si="17"/>
        <v>173.34</v>
      </c>
      <c r="LQ16" s="74">
        <f t="shared" si="17"/>
        <v>172.58</v>
      </c>
      <c r="LR16" s="74">
        <f t="shared" si="17"/>
        <v>171.82</v>
      </c>
      <c r="LS16" s="74">
        <f t="shared" si="17"/>
        <v>171.06</v>
      </c>
      <c r="LT16" s="74">
        <f t="shared" si="17"/>
        <v>170.31</v>
      </c>
      <c r="LU16" s="74">
        <f t="shared" si="17"/>
        <v>169.56</v>
      </c>
      <c r="LV16" s="74">
        <f t="shared" si="17"/>
        <v>168.8</v>
      </c>
      <c r="LW16" s="74">
        <f t="shared" si="16"/>
        <v>168.05</v>
      </c>
      <c r="LX16" s="74">
        <f t="shared" si="16"/>
        <v>167.3</v>
      </c>
      <c r="LY16" s="74">
        <f t="shared" si="16"/>
        <v>166.55</v>
      </c>
      <c r="LZ16" s="74">
        <f t="shared" si="16"/>
        <v>165.81</v>
      </c>
      <c r="MA16" s="74">
        <f t="shared" si="16"/>
        <v>165.06</v>
      </c>
      <c r="MB16" s="74">
        <f t="shared" si="16"/>
        <v>164.32</v>
      </c>
      <c r="MC16" s="74">
        <f t="shared" si="16"/>
        <v>163.58000000000001</v>
      </c>
      <c r="MD16" s="74">
        <f t="shared" si="16"/>
        <v>162.84</v>
      </c>
      <c r="ME16" s="74">
        <f t="shared" si="16"/>
        <v>162.11000000000001</v>
      </c>
      <c r="MF16" s="74">
        <f t="shared" si="16"/>
        <v>161.37</v>
      </c>
      <c r="MG16" s="74">
        <f t="shared" si="16"/>
        <v>160.63999999999999</v>
      </c>
      <c r="MH16" s="74">
        <f t="shared" si="16"/>
        <v>159.9</v>
      </c>
      <c r="MI16" s="74">
        <f t="shared" si="16"/>
        <v>159.16999999999999</v>
      </c>
      <c r="MJ16" s="74">
        <f t="shared" si="16"/>
        <v>158.44</v>
      </c>
      <c r="MK16" s="74">
        <f t="shared" si="16"/>
        <v>157.71</v>
      </c>
      <c r="ML16" s="74">
        <f t="shared" si="16"/>
        <v>156.99</v>
      </c>
      <c r="MM16" s="74">
        <f t="shared" si="16"/>
        <v>156.26</v>
      </c>
      <c r="MN16" s="74">
        <f t="shared" si="16"/>
        <v>155.54</v>
      </c>
      <c r="MO16" s="74">
        <f t="shared" si="16"/>
        <v>154.82</v>
      </c>
      <c r="MP16" s="74">
        <f t="shared" si="16"/>
        <v>154.1</v>
      </c>
      <c r="MQ16" s="74">
        <f t="shared" si="16"/>
        <v>153.38999999999999</v>
      </c>
      <c r="MR16" s="74">
        <f t="shared" si="16"/>
        <v>152.66999999999999</v>
      </c>
      <c r="MS16" s="74">
        <f t="shared" si="16"/>
        <v>151.96</v>
      </c>
      <c r="MT16" s="74">
        <f t="shared" ref="MT16:MY31" si="18">MT15+0.75</f>
        <v>151.24</v>
      </c>
      <c r="MU16" s="74">
        <f t="shared" si="18"/>
        <v>150.53</v>
      </c>
      <c r="MV16" s="74">
        <f t="shared" si="18"/>
        <v>149.82</v>
      </c>
      <c r="MW16" s="74">
        <f t="shared" si="18"/>
        <v>149.12</v>
      </c>
      <c r="MX16" s="74">
        <f t="shared" si="18"/>
        <v>148.41</v>
      </c>
      <c r="MY16" s="74">
        <f t="shared" si="18"/>
        <v>147.71</v>
      </c>
    </row>
    <row r="17" spans="1:363" ht="15.6" x14ac:dyDescent="0.3">
      <c r="A17" s="67" t="s">
        <v>6</v>
      </c>
      <c r="B17" s="72">
        <v>2027</v>
      </c>
      <c r="C17" s="70">
        <v>485.15</v>
      </c>
      <c r="D17" s="70">
        <v>484.11</v>
      </c>
      <c r="E17" s="70">
        <v>483.08</v>
      </c>
      <c r="F17" s="70">
        <v>482.04</v>
      </c>
      <c r="G17" s="70">
        <v>481</v>
      </c>
      <c r="H17" s="70">
        <v>479.96</v>
      </c>
      <c r="I17" s="70">
        <v>478.92</v>
      </c>
      <c r="J17" s="70">
        <v>477.88</v>
      </c>
      <c r="K17" s="70">
        <v>476.84</v>
      </c>
      <c r="L17" s="70">
        <v>475.81</v>
      </c>
      <c r="M17" s="70">
        <v>474.77</v>
      </c>
      <c r="N17" s="70">
        <v>473.73</v>
      </c>
      <c r="O17" s="70">
        <v>472.69</v>
      </c>
      <c r="P17" s="70">
        <v>471.65</v>
      </c>
      <c r="Q17" s="70">
        <v>470.61</v>
      </c>
      <c r="R17" s="70">
        <v>469.58</v>
      </c>
      <c r="S17" s="70">
        <v>468.54</v>
      </c>
      <c r="T17" s="70">
        <v>467.5</v>
      </c>
      <c r="U17" s="70">
        <v>466.46</v>
      </c>
      <c r="V17" s="70">
        <v>465.42</v>
      </c>
      <c r="W17" s="70">
        <v>464.39</v>
      </c>
      <c r="X17" s="70">
        <v>463.35</v>
      </c>
      <c r="Y17" s="70">
        <v>462.31</v>
      </c>
      <c r="Z17" s="70">
        <v>461.27</v>
      </c>
      <c r="AA17" s="70">
        <v>460.23</v>
      </c>
      <c r="AB17" s="70">
        <v>459.2</v>
      </c>
      <c r="AC17" s="70">
        <v>458.16</v>
      </c>
      <c r="AD17" s="70">
        <v>457.12</v>
      </c>
      <c r="AE17" s="70">
        <v>456.08</v>
      </c>
      <c r="AF17" s="70">
        <v>455.05</v>
      </c>
      <c r="AG17" s="70">
        <v>454.01</v>
      </c>
      <c r="AH17" s="70">
        <v>452.97</v>
      </c>
      <c r="AI17" s="70">
        <v>451.93</v>
      </c>
      <c r="AJ17" s="70">
        <v>450.9</v>
      </c>
      <c r="AK17" s="70">
        <v>449.86</v>
      </c>
      <c r="AL17" s="70">
        <v>448.82</v>
      </c>
      <c r="AM17" s="70">
        <v>447.79</v>
      </c>
      <c r="AN17" s="70">
        <v>446.75</v>
      </c>
      <c r="AO17" s="70">
        <v>445.71</v>
      </c>
      <c r="AP17" s="70">
        <v>444.68</v>
      </c>
      <c r="AQ17" s="70">
        <v>443.64</v>
      </c>
      <c r="AR17" s="70">
        <v>442.6</v>
      </c>
      <c r="AS17" s="70">
        <v>441.57</v>
      </c>
      <c r="AT17" s="70">
        <v>440.53</v>
      </c>
      <c r="AU17" s="70">
        <v>439.49</v>
      </c>
      <c r="AV17" s="70">
        <v>438.46</v>
      </c>
      <c r="AW17" s="70">
        <v>437.42</v>
      </c>
      <c r="AX17" s="70">
        <v>436.38</v>
      </c>
      <c r="AY17" s="70">
        <v>435.35</v>
      </c>
      <c r="AZ17" s="70">
        <v>434.31</v>
      </c>
      <c r="BA17" s="70">
        <v>433.27</v>
      </c>
      <c r="BB17" s="70">
        <v>432.24</v>
      </c>
      <c r="BC17" s="70">
        <v>431.2</v>
      </c>
      <c r="BD17" s="70">
        <v>430.17</v>
      </c>
      <c r="BE17" s="70">
        <v>429.13</v>
      </c>
      <c r="BF17" s="70">
        <v>428.1</v>
      </c>
      <c r="BG17" s="70">
        <v>427.06</v>
      </c>
      <c r="BH17" s="70">
        <v>426.02</v>
      </c>
      <c r="BI17" s="70">
        <v>424.99</v>
      </c>
      <c r="BJ17" s="70">
        <v>423.95</v>
      </c>
      <c r="BK17" s="70">
        <v>422.92</v>
      </c>
      <c r="BL17" s="70">
        <v>421.88</v>
      </c>
      <c r="BM17" s="70">
        <v>420.84</v>
      </c>
      <c r="BN17" s="70">
        <v>419.81</v>
      </c>
      <c r="BO17" s="70">
        <v>418.77</v>
      </c>
      <c r="BP17" s="70">
        <v>417.74</v>
      </c>
      <c r="BQ17" s="70">
        <v>416.7</v>
      </c>
      <c r="BR17" s="70">
        <v>415.67</v>
      </c>
      <c r="BS17" s="70">
        <v>414.63</v>
      </c>
      <c r="BT17" s="70">
        <v>413.6</v>
      </c>
      <c r="BU17" s="70">
        <v>412.56</v>
      </c>
      <c r="BV17" s="70">
        <v>411.53</v>
      </c>
      <c r="BW17" s="70">
        <v>410.49</v>
      </c>
      <c r="BX17" s="70">
        <v>409.46</v>
      </c>
      <c r="BY17" s="70">
        <v>408.43</v>
      </c>
      <c r="BZ17" s="70">
        <v>407.4</v>
      </c>
      <c r="CA17" s="70">
        <v>406.37</v>
      </c>
      <c r="CB17" s="70">
        <v>405.34</v>
      </c>
      <c r="CC17" s="70">
        <v>404.3</v>
      </c>
      <c r="CD17" s="70">
        <v>403.27</v>
      </c>
      <c r="CE17" s="70">
        <v>402.24</v>
      </c>
      <c r="CF17" s="70">
        <v>401.21</v>
      </c>
      <c r="CG17" s="70">
        <v>400.18</v>
      </c>
      <c r="CH17" s="70">
        <v>399.15</v>
      </c>
      <c r="CI17" s="70">
        <v>398.12</v>
      </c>
      <c r="CJ17" s="70">
        <v>397.09</v>
      </c>
      <c r="CK17" s="70">
        <v>396.06</v>
      </c>
      <c r="CL17" s="70">
        <v>395.03</v>
      </c>
      <c r="CM17" s="70">
        <v>394</v>
      </c>
      <c r="CN17" s="70">
        <v>392.97</v>
      </c>
      <c r="CO17" s="70">
        <v>391.94</v>
      </c>
      <c r="CP17" s="70">
        <v>390.91</v>
      </c>
      <c r="CQ17" s="70">
        <v>389.88</v>
      </c>
      <c r="CR17" s="70">
        <v>388.86</v>
      </c>
      <c r="CS17" s="70">
        <v>387.83</v>
      </c>
      <c r="CT17" s="70">
        <v>386.8</v>
      </c>
      <c r="CU17" s="70">
        <v>385.77</v>
      </c>
      <c r="CV17" s="70">
        <v>384.74</v>
      </c>
      <c r="CW17" s="70">
        <v>383.72</v>
      </c>
      <c r="CX17" s="70">
        <v>382.69</v>
      </c>
      <c r="CY17" s="70">
        <v>381.66</v>
      </c>
      <c r="CZ17" s="70">
        <v>380.64</v>
      </c>
      <c r="DA17" s="70">
        <v>379.61</v>
      </c>
      <c r="DB17" s="70">
        <v>378.58</v>
      </c>
      <c r="DC17" s="70">
        <v>377.56</v>
      </c>
      <c r="DD17" s="70">
        <v>376.53</v>
      </c>
      <c r="DE17" s="70">
        <v>375.51</v>
      </c>
      <c r="DF17" s="70">
        <v>374.48</v>
      </c>
      <c r="DG17" s="70">
        <v>373.46</v>
      </c>
      <c r="DH17" s="70">
        <v>372.43</v>
      </c>
      <c r="DI17" s="70">
        <v>371.41</v>
      </c>
      <c r="DJ17" s="70">
        <v>370.39</v>
      </c>
      <c r="DK17" s="70">
        <v>369.36</v>
      </c>
      <c r="DL17" s="70">
        <v>368.34</v>
      </c>
      <c r="DM17" s="70">
        <v>367.32</v>
      </c>
      <c r="DN17" s="70">
        <v>366.3</v>
      </c>
      <c r="DO17" s="70">
        <v>365.28</v>
      </c>
      <c r="DP17" s="70">
        <v>364.25</v>
      </c>
      <c r="DQ17" s="70">
        <v>363.23</v>
      </c>
      <c r="DR17" s="70">
        <v>362.21</v>
      </c>
      <c r="DS17" s="70">
        <v>361.19</v>
      </c>
      <c r="DT17" s="70">
        <v>360.17</v>
      </c>
      <c r="DU17" s="70">
        <v>359.16</v>
      </c>
      <c r="DV17" s="70">
        <v>358.14</v>
      </c>
      <c r="DW17" s="70">
        <v>357.12</v>
      </c>
      <c r="DX17" s="70">
        <v>356.11</v>
      </c>
      <c r="DY17" s="70">
        <v>355.09</v>
      </c>
      <c r="DZ17" s="70">
        <v>354.08</v>
      </c>
      <c r="EA17" s="70">
        <v>353.07</v>
      </c>
      <c r="EB17" s="70">
        <v>352.05</v>
      </c>
      <c r="EC17" s="70">
        <v>351.04</v>
      </c>
      <c r="ED17" s="70">
        <v>350.03</v>
      </c>
      <c r="EE17" s="70">
        <v>349.02</v>
      </c>
      <c r="EF17" s="70">
        <v>348.01</v>
      </c>
      <c r="EG17" s="70">
        <v>347</v>
      </c>
      <c r="EH17" s="70">
        <v>346</v>
      </c>
      <c r="EI17" s="70">
        <v>344.99</v>
      </c>
      <c r="EJ17" s="70">
        <v>343.99</v>
      </c>
      <c r="EK17" s="70">
        <v>342.98</v>
      </c>
      <c r="EL17" s="70">
        <v>341.98</v>
      </c>
      <c r="EM17" s="70">
        <v>340.98</v>
      </c>
      <c r="EN17" s="70">
        <v>339.97</v>
      </c>
      <c r="EO17" s="70">
        <v>338.97</v>
      </c>
      <c r="EP17" s="70">
        <v>337.97</v>
      </c>
      <c r="EQ17" s="70">
        <v>336.97</v>
      </c>
      <c r="ER17" s="70">
        <v>335.97</v>
      </c>
      <c r="ES17" s="70">
        <v>334.97</v>
      </c>
      <c r="ET17" s="70">
        <v>333.98</v>
      </c>
      <c r="EU17" s="70">
        <v>332.98</v>
      </c>
      <c r="EV17" s="70">
        <v>331.98</v>
      </c>
      <c r="EW17" s="70">
        <v>330.99</v>
      </c>
      <c r="EX17" s="70">
        <v>329.99</v>
      </c>
      <c r="EY17" s="70">
        <v>329</v>
      </c>
      <c r="EZ17" s="70">
        <v>328</v>
      </c>
      <c r="FA17" s="70">
        <v>327.01</v>
      </c>
      <c r="FB17" s="70">
        <v>326.01</v>
      </c>
      <c r="FC17" s="70">
        <v>325.01</v>
      </c>
      <c r="FD17" s="70">
        <v>324.04000000000002</v>
      </c>
      <c r="FE17" s="70">
        <v>323.04000000000002</v>
      </c>
      <c r="FF17" s="70">
        <v>322.06</v>
      </c>
      <c r="FG17" s="70">
        <v>321.07</v>
      </c>
      <c r="FH17" s="70">
        <v>320.08999999999997</v>
      </c>
      <c r="FI17" s="70">
        <v>319.10000000000002</v>
      </c>
      <c r="FJ17" s="70">
        <v>318.12</v>
      </c>
      <c r="FK17" s="70">
        <v>317.13</v>
      </c>
      <c r="FL17" s="70">
        <v>316.14999999999998</v>
      </c>
      <c r="FM17" s="70">
        <v>315.17</v>
      </c>
      <c r="FN17" s="70">
        <v>314.18</v>
      </c>
      <c r="FO17" s="70">
        <v>313.2</v>
      </c>
      <c r="FP17" s="70">
        <v>312.22000000000003</v>
      </c>
      <c r="FQ17" s="70">
        <v>311.24</v>
      </c>
      <c r="FR17" s="70">
        <v>310.26</v>
      </c>
      <c r="FS17" s="70">
        <v>309.27999999999997</v>
      </c>
      <c r="FT17" s="70">
        <v>308.31</v>
      </c>
      <c r="FU17" s="70">
        <v>307.32</v>
      </c>
      <c r="FV17" s="70">
        <v>306.35000000000002</v>
      </c>
      <c r="FW17" s="70">
        <v>305.38</v>
      </c>
      <c r="FX17" s="70">
        <v>304.39999999999998</v>
      </c>
      <c r="FY17" s="70">
        <v>303.43</v>
      </c>
      <c r="FZ17" s="70">
        <v>302.45</v>
      </c>
      <c r="GA17" s="70">
        <v>301.48</v>
      </c>
      <c r="GB17" s="70">
        <v>300.51</v>
      </c>
      <c r="GC17" s="70">
        <v>299.54000000000002</v>
      </c>
      <c r="GD17" s="70">
        <v>298.57</v>
      </c>
      <c r="GE17" s="70">
        <v>297.60000000000002</v>
      </c>
      <c r="GF17" s="70">
        <v>296.64</v>
      </c>
      <c r="GG17" s="70">
        <v>295.67</v>
      </c>
      <c r="GH17" s="70">
        <v>294.7</v>
      </c>
      <c r="GI17" s="70">
        <v>293.74</v>
      </c>
      <c r="GJ17" s="70">
        <v>292.76</v>
      </c>
      <c r="GK17" s="70">
        <v>291.81</v>
      </c>
      <c r="GL17" s="70">
        <v>290.85000000000002</v>
      </c>
      <c r="GM17" s="70">
        <v>289.88</v>
      </c>
      <c r="GN17" s="70">
        <v>288.93</v>
      </c>
      <c r="GO17" s="70">
        <v>287.97000000000003</v>
      </c>
      <c r="GP17" s="70">
        <v>287.01</v>
      </c>
      <c r="GQ17" s="70">
        <v>286.06</v>
      </c>
      <c r="GR17" s="70">
        <v>285.10000000000002</v>
      </c>
      <c r="GS17" s="70">
        <v>284.16000000000003</v>
      </c>
      <c r="GT17" s="70">
        <v>283.20999999999998</v>
      </c>
      <c r="GU17" s="70">
        <v>282.26</v>
      </c>
      <c r="GV17" s="70">
        <v>281.31</v>
      </c>
      <c r="GW17" s="70">
        <v>280.35000000000002</v>
      </c>
      <c r="GX17" s="70">
        <v>279.41000000000003</v>
      </c>
      <c r="GY17" s="70">
        <v>278.45999999999998</v>
      </c>
      <c r="GZ17" s="70">
        <v>277.51</v>
      </c>
      <c r="HA17" s="70">
        <v>276.57</v>
      </c>
      <c r="HB17" s="70">
        <v>275.63</v>
      </c>
      <c r="HC17" s="70">
        <v>274.69</v>
      </c>
      <c r="HD17" s="70">
        <v>273.75</v>
      </c>
      <c r="HE17" s="70">
        <v>272.81</v>
      </c>
      <c r="HF17" s="70">
        <v>271.87</v>
      </c>
      <c r="HG17" s="70">
        <v>270.93</v>
      </c>
      <c r="HH17" s="70">
        <v>270</v>
      </c>
      <c r="HI17" s="70">
        <v>269.06</v>
      </c>
      <c r="HJ17" s="70">
        <v>268.13</v>
      </c>
      <c r="HK17" s="70">
        <v>267.19</v>
      </c>
      <c r="HL17" s="70">
        <v>266.26</v>
      </c>
      <c r="HM17" s="70">
        <v>265.33999999999997</v>
      </c>
      <c r="HN17" s="70">
        <v>264.42</v>
      </c>
      <c r="HO17" s="70">
        <v>263.49</v>
      </c>
      <c r="HP17" s="70">
        <v>262.57</v>
      </c>
      <c r="HQ17" s="70">
        <v>261.64999999999998</v>
      </c>
      <c r="HR17" s="70">
        <v>260.73</v>
      </c>
      <c r="HS17" s="70">
        <v>259.81</v>
      </c>
      <c r="HT17" s="70">
        <v>258.89</v>
      </c>
      <c r="HU17" s="70">
        <v>257.97000000000003</v>
      </c>
      <c r="HV17" s="70">
        <v>257.06</v>
      </c>
      <c r="HW17" s="70">
        <v>256.14</v>
      </c>
      <c r="HX17" s="70">
        <v>255.23</v>
      </c>
      <c r="HY17" s="70">
        <v>254.32</v>
      </c>
      <c r="HZ17" s="70">
        <v>253.41</v>
      </c>
      <c r="IA17" s="70">
        <v>252.5</v>
      </c>
      <c r="IB17" s="70">
        <v>251.59</v>
      </c>
      <c r="IC17" s="70">
        <v>250.68</v>
      </c>
      <c r="ID17" s="70">
        <v>249.77</v>
      </c>
      <c r="IE17" s="70">
        <v>248.87</v>
      </c>
      <c r="IF17" s="70">
        <v>247.96</v>
      </c>
      <c r="IG17" s="70">
        <v>247.06</v>
      </c>
      <c r="IH17" s="70">
        <v>246.16</v>
      </c>
      <c r="II17" s="70">
        <v>245.25</v>
      </c>
      <c r="IJ17" s="70">
        <v>244.35</v>
      </c>
      <c r="IK17" s="70">
        <v>243.46</v>
      </c>
      <c r="IL17" s="70">
        <v>242.56</v>
      </c>
      <c r="IM17" s="70">
        <v>241.66</v>
      </c>
      <c r="IN17" s="70">
        <v>240.77</v>
      </c>
      <c r="IO17" s="70">
        <v>239.88</v>
      </c>
      <c r="IP17" s="70">
        <v>238.98</v>
      </c>
      <c r="IQ17" s="70">
        <v>238.09</v>
      </c>
      <c r="IR17" s="70">
        <v>237.2</v>
      </c>
      <c r="IS17" s="70">
        <v>236.31</v>
      </c>
      <c r="IT17" s="70">
        <v>235.43</v>
      </c>
      <c r="IU17" s="70">
        <v>234.54</v>
      </c>
      <c r="IV17" s="70">
        <v>233.66</v>
      </c>
      <c r="IW17" s="70">
        <v>232.79</v>
      </c>
      <c r="IX17" s="70">
        <v>231.91</v>
      </c>
      <c r="IY17" s="70">
        <v>231.04</v>
      </c>
      <c r="IZ17" s="70">
        <v>230.16</v>
      </c>
      <c r="JA17" s="70">
        <v>229.29</v>
      </c>
      <c r="JB17" s="70">
        <v>228.42</v>
      </c>
      <c r="JC17" s="70">
        <v>227.55</v>
      </c>
      <c r="JD17" s="70">
        <v>226.68</v>
      </c>
      <c r="JE17" s="70">
        <v>225.81</v>
      </c>
      <c r="JF17" s="70">
        <v>224.95</v>
      </c>
      <c r="JG17" s="70">
        <v>224.08</v>
      </c>
      <c r="JH17" s="70">
        <v>223.22</v>
      </c>
      <c r="JI17" s="70">
        <v>222.36</v>
      </c>
      <c r="JJ17" s="70">
        <v>221.5</v>
      </c>
      <c r="JK17" s="70">
        <v>220.64</v>
      </c>
      <c r="JL17" s="70">
        <v>219.78</v>
      </c>
      <c r="JM17" s="70">
        <v>218.92</v>
      </c>
      <c r="JN17" s="70">
        <v>218.07</v>
      </c>
      <c r="JO17" s="70">
        <v>217.21</v>
      </c>
      <c r="JP17" s="70">
        <v>216.36</v>
      </c>
      <c r="JQ17" s="70">
        <v>215.5</v>
      </c>
      <c r="JR17" s="70">
        <v>214.65</v>
      </c>
      <c r="JS17" s="70">
        <v>213.8</v>
      </c>
      <c r="JT17" s="70">
        <v>212.95</v>
      </c>
      <c r="JU17" s="70">
        <v>212.09</v>
      </c>
      <c r="JV17" s="70">
        <v>211.24</v>
      </c>
      <c r="JW17" s="70">
        <v>210.39</v>
      </c>
      <c r="JX17" s="70">
        <v>209.54</v>
      </c>
      <c r="JY17" s="70">
        <v>208.69</v>
      </c>
      <c r="JZ17" s="70">
        <v>207.85</v>
      </c>
      <c r="KA17" s="70">
        <v>207</v>
      </c>
      <c r="KB17" s="70">
        <v>206.15</v>
      </c>
      <c r="KC17" s="70">
        <v>205.31</v>
      </c>
      <c r="KD17" s="70">
        <v>204.46</v>
      </c>
      <c r="KE17" s="70">
        <v>203.62</v>
      </c>
      <c r="KF17" s="70">
        <v>202.78</v>
      </c>
      <c r="KG17" s="70">
        <v>201.94</v>
      </c>
      <c r="KH17" s="70">
        <v>201.1</v>
      </c>
      <c r="KI17" s="70">
        <v>200.26</v>
      </c>
      <c r="KJ17" s="70">
        <v>199.43</v>
      </c>
      <c r="KK17" s="70">
        <v>198.59</v>
      </c>
      <c r="KL17" s="70">
        <v>197.76</v>
      </c>
      <c r="KM17" s="70">
        <v>196.93</v>
      </c>
      <c r="KN17" s="70">
        <v>196.09</v>
      </c>
      <c r="KO17" s="70">
        <v>195.26</v>
      </c>
      <c r="KP17" s="70">
        <v>194.44</v>
      </c>
      <c r="KQ17" s="70">
        <v>193.61</v>
      </c>
      <c r="KR17" s="74">
        <f t="shared" si="13"/>
        <v>192.77</v>
      </c>
      <c r="KS17" s="74">
        <f t="shared" si="14"/>
        <v>191.98</v>
      </c>
      <c r="KT17" s="74">
        <f t="shared" si="15"/>
        <v>191.16</v>
      </c>
      <c r="KU17" s="74">
        <f t="shared" si="15"/>
        <v>190.37</v>
      </c>
      <c r="KV17" s="74">
        <f t="shared" si="15"/>
        <v>189.59</v>
      </c>
      <c r="KW17" s="74">
        <f t="shared" si="15"/>
        <v>188.8</v>
      </c>
      <c r="KX17" s="74">
        <f t="shared" si="15"/>
        <v>188.01</v>
      </c>
      <c r="KY17" s="74">
        <f t="shared" si="15"/>
        <v>187.23</v>
      </c>
      <c r="KZ17" s="74">
        <f t="shared" si="15"/>
        <v>186.44</v>
      </c>
      <c r="LA17" s="74">
        <f t="shared" si="15"/>
        <v>185.66</v>
      </c>
      <c r="LB17" s="74">
        <f t="shared" si="15"/>
        <v>184.88</v>
      </c>
      <c r="LC17" s="74">
        <f t="shared" si="15"/>
        <v>184.1</v>
      </c>
      <c r="LD17" s="74">
        <f t="shared" si="15"/>
        <v>183.32</v>
      </c>
      <c r="LE17" s="74">
        <f t="shared" si="15"/>
        <v>182.54</v>
      </c>
      <c r="LF17" s="74">
        <f t="shared" si="15"/>
        <v>181.77</v>
      </c>
      <c r="LG17" s="74">
        <f t="shared" si="15"/>
        <v>181</v>
      </c>
      <c r="LH17" s="74">
        <f t="shared" si="15"/>
        <v>180.22</v>
      </c>
      <c r="LI17" s="74">
        <f t="shared" si="15"/>
        <v>179.45</v>
      </c>
      <c r="LJ17" s="74">
        <f t="shared" si="17"/>
        <v>178.68</v>
      </c>
      <c r="LK17" s="74">
        <f t="shared" si="17"/>
        <v>177.91</v>
      </c>
      <c r="LL17" s="74">
        <f t="shared" si="17"/>
        <v>177.14</v>
      </c>
      <c r="LM17" s="74">
        <f t="shared" si="17"/>
        <v>176.38</v>
      </c>
      <c r="LN17" s="74">
        <f t="shared" si="17"/>
        <v>175.61</v>
      </c>
      <c r="LO17" s="74">
        <f t="shared" si="17"/>
        <v>174.85</v>
      </c>
      <c r="LP17" s="74">
        <f t="shared" si="17"/>
        <v>174.09</v>
      </c>
      <c r="LQ17" s="74">
        <f t="shared" si="17"/>
        <v>173.33</v>
      </c>
      <c r="LR17" s="74">
        <f t="shared" si="17"/>
        <v>172.57</v>
      </c>
      <c r="LS17" s="74">
        <f t="shared" si="17"/>
        <v>171.81</v>
      </c>
      <c r="LT17" s="74">
        <f t="shared" si="17"/>
        <v>171.06</v>
      </c>
      <c r="LU17" s="74">
        <f t="shared" si="17"/>
        <v>170.31</v>
      </c>
      <c r="LV17" s="74">
        <f t="shared" si="17"/>
        <v>169.55</v>
      </c>
      <c r="LW17" s="74">
        <f t="shared" si="17"/>
        <v>168.8</v>
      </c>
      <c r="LX17" s="74">
        <f t="shared" si="17"/>
        <v>168.05</v>
      </c>
      <c r="LY17" s="74">
        <f t="shared" si="17"/>
        <v>167.3</v>
      </c>
      <c r="LZ17" s="74">
        <f t="shared" ref="LZ17:MS29" si="19">LZ16+0.75</f>
        <v>166.56</v>
      </c>
      <c r="MA17" s="74">
        <f t="shared" si="19"/>
        <v>165.81</v>
      </c>
      <c r="MB17" s="74">
        <f t="shared" si="19"/>
        <v>165.07</v>
      </c>
      <c r="MC17" s="74">
        <f t="shared" si="19"/>
        <v>164.33</v>
      </c>
      <c r="MD17" s="74">
        <f t="shared" si="19"/>
        <v>163.59</v>
      </c>
      <c r="ME17" s="74">
        <f t="shared" si="19"/>
        <v>162.86000000000001</v>
      </c>
      <c r="MF17" s="74">
        <f t="shared" si="19"/>
        <v>162.12</v>
      </c>
      <c r="MG17" s="74">
        <f t="shared" si="19"/>
        <v>161.38999999999999</v>
      </c>
      <c r="MH17" s="74">
        <f t="shared" si="19"/>
        <v>160.65</v>
      </c>
      <c r="MI17" s="74">
        <f t="shared" si="19"/>
        <v>159.91999999999999</v>
      </c>
      <c r="MJ17" s="74">
        <f t="shared" si="19"/>
        <v>159.19</v>
      </c>
      <c r="MK17" s="74">
        <f t="shared" si="19"/>
        <v>158.46</v>
      </c>
      <c r="ML17" s="74">
        <f t="shared" si="19"/>
        <v>157.74</v>
      </c>
      <c r="MM17" s="74">
        <f t="shared" si="19"/>
        <v>157.01</v>
      </c>
      <c r="MN17" s="74">
        <f t="shared" si="19"/>
        <v>156.29</v>
      </c>
      <c r="MO17" s="74">
        <f t="shared" si="19"/>
        <v>155.57</v>
      </c>
      <c r="MP17" s="74">
        <f t="shared" si="19"/>
        <v>154.85</v>
      </c>
      <c r="MQ17" s="74">
        <f t="shared" si="19"/>
        <v>154.13999999999999</v>
      </c>
      <c r="MR17" s="74">
        <f t="shared" si="19"/>
        <v>153.41999999999999</v>
      </c>
      <c r="MS17" s="74">
        <f t="shared" si="19"/>
        <v>152.71</v>
      </c>
      <c r="MT17" s="74">
        <f t="shared" si="18"/>
        <v>151.99</v>
      </c>
      <c r="MU17" s="74">
        <f t="shared" si="18"/>
        <v>151.28</v>
      </c>
      <c r="MV17" s="74">
        <f t="shared" si="18"/>
        <v>150.57</v>
      </c>
      <c r="MW17" s="74">
        <f t="shared" si="18"/>
        <v>149.87</v>
      </c>
      <c r="MX17" s="74">
        <f t="shared" si="18"/>
        <v>149.16</v>
      </c>
      <c r="MY17" s="74">
        <f t="shared" si="18"/>
        <v>148.46</v>
      </c>
    </row>
    <row r="18" spans="1:363" ht="15.6" x14ac:dyDescent="0.3">
      <c r="A18" s="67" t="s">
        <v>6</v>
      </c>
      <c r="B18" s="72">
        <v>2028</v>
      </c>
      <c r="C18" s="70">
        <v>486.12</v>
      </c>
      <c r="D18" s="70">
        <v>485.09</v>
      </c>
      <c r="E18" s="70">
        <v>484.05</v>
      </c>
      <c r="F18" s="70">
        <v>483.01</v>
      </c>
      <c r="G18" s="70">
        <v>481.97</v>
      </c>
      <c r="H18" s="70">
        <v>480.93</v>
      </c>
      <c r="I18" s="70">
        <v>479.89</v>
      </c>
      <c r="J18" s="70">
        <v>478.85</v>
      </c>
      <c r="K18" s="70">
        <v>477.82</v>
      </c>
      <c r="L18" s="70">
        <v>476.78</v>
      </c>
      <c r="M18" s="70">
        <v>475.74</v>
      </c>
      <c r="N18" s="70">
        <v>474.7</v>
      </c>
      <c r="O18" s="70">
        <v>473.66</v>
      </c>
      <c r="P18" s="70">
        <v>472.62</v>
      </c>
      <c r="Q18" s="70">
        <v>471.59</v>
      </c>
      <c r="R18" s="70">
        <v>470.55</v>
      </c>
      <c r="S18" s="70">
        <v>469.51</v>
      </c>
      <c r="T18" s="70">
        <v>468.47</v>
      </c>
      <c r="U18" s="70">
        <v>467.43</v>
      </c>
      <c r="V18" s="70">
        <v>466.4</v>
      </c>
      <c r="W18" s="70">
        <v>465.36</v>
      </c>
      <c r="X18" s="70">
        <v>464.32</v>
      </c>
      <c r="Y18" s="70">
        <v>463.28</v>
      </c>
      <c r="Z18" s="70">
        <v>462.24</v>
      </c>
      <c r="AA18" s="70">
        <v>461.21</v>
      </c>
      <c r="AB18" s="70">
        <v>460.17</v>
      </c>
      <c r="AC18" s="70">
        <v>459.13</v>
      </c>
      <c r="AD18" s="70">
        <v>458.09</v>
      </c>
      <c r="AE18" s="70">
        <v>457.06</v>
      </c>
      <c r="AF18" s="70">
        <v>456.02</v>
      </c>
      <c r="AG18" s="70">
        <v>454.98</v>
      </c>
      <c r="AH18" s="70">
        <v>453.94</v>
      </c>
      <c r="AI18" s="70">
        <v>452.91</v>
      </c>
      <c r="AJ18" s="70">
        <v>451.87</v>
      </c>
      <c r="AK18" s="70">
        <v>450.83</v>
      </c>
      <c r="AL18" s="70">
        <v>449.8</v>
      </c>
      <c r="AM18" s="70">
        <v>448.76</v>
      </c>
      <c r="AN18" s="70">
        <v>447.72</v>
      </c>
      <c r="AO18" s="70">
        <v>446.68</v>
      </c>
      <c r="AP18" s="70">
        <v>445.65</v>
      </c>
      <c r="AQ18" s="70">
        <v>444.61</v>
      </c>
      <c r="AR18" s="70">
        <v>443.57</v>
      </c>
      <c r="AS18" s="70">
        <v>442.54</v>
      </c>
      <c r="AT18" s="70">
        <v>441.5</v>
      </c>
      <c r="AU18" s="70">
        <v>440.46</v>
      </c>
      <c r="AV18" s="70">
        <v>439.43</v>
      </c>
      <c r="AW18" s="70">
        <v>438.39</v>
      </c>
      <c r="AX18" s="70">
        <v>437.35</v>
      </c>
      <c r="AY18" s="70">
        <v>436.32</v>
      </c>
      <c r="AZ18" s="70">
        <v>435.28</v>
      </c>
      <c r="BA18" s="70">
        <v>434.25</v>
      </c>
      <c r="BB18" s="70">
        <v>433.21</v>
      </c>
      <c r="BC18" s="70">
        <v>432.17</v>
      </c>
      <c r="BD18" s="70">
        <v>431.14</v>
      </c>
      <c r="BE18" s="70">
        <v>430.1</v>
      </c>
      <c r="BF18" s="70">
        <v>429.07</v>
      </c>
      <c r="BG18" s="70">
        <v>428.03</v>
      </c>
      <c r="BH18" s="70">
        <v>426.99</v>
      </c>
      <c r="BI18" s="70">
        <v>425.96</v>
      </c>
      <c r="BJ18" s="70">
        <v>424.92</v>
      </c>
      <c r="BK18" s="70">
        <v>423.89</v>
      </c>
      <c r="BL18" s="70">
        <v>422.85</v>
      </c>
      <c r="BM18" s="70">
        <v>421.81</v>
      </c>
      <c r="BN18" s="70">
        <v>420.78</v>
      </c>
      <c r="BO18" s="70">
        <v>419.74</v>
      </c>
      <c r="BP18" s="70">
        <v>418.71</v>
      </c>
      <c r="BQ18" s="70">
        <v>417.67</v>
      </c>
      <c r="BR18" s="70">
        <v>416.64</v>
      </c>
      <c r="BS18" s="70">
        <v>415.6</v>
      </c>
      <c r="BT18" s="70">
        <v>414.57</v>
      </c>
      <c r="BU18" s="70">
        <v>413.53</v>
      </c>
      <c r="BV18" s="70">
        <v>412.5</v>
      </c>
      <c r="BW18" s="70">
        <v>411.46</v>
      </c>
      <c r="BX18" s="70">
        <v>410.43</v>
      </c>
      <c r="BY18" s="70">
        <v>409.4</v>
      </c>
      <c r="BZ18" s="70">
        <v>408.37</v>
      </c>
      <c r="CA18" s="70">
        <v>407.33</v>
      </c>
      <c r="CB18" s="70">
        <v>406.3</v>
      </c>
      <c r="CC18" s="70">
        <v>405.27</v>
      </c>
      <c r="CD18" s="70">
        <v>404.24</v>
      </c>
      <c r="CE18" s="70">
        <v>403.21</v>
      </c>
      <c r="CF18" s="70">
        <v>402.18</v>
      </c>
      <c r="CG18" s="70">
        <v>401.15</v>
      </c>
      <c r="CH18" s="70">
        <v>400.12</v>
      </c>
      <c r="CI18" s="70">
        <v>399.09</v>
      </c>
      <c r="CJ18" s="70">
        <v>398.06</v>
      </c>
      <c r="CK18" s="70">
        <v>397.03</v>
      </c>
      <c r="CL18" s="70">
        <v>396</v>
      </c>
      <c r="CM18" s="70">
        <v>394.97</v>
      </c>
      <c r="CN18" s="70">
        <v>393.94</v>
      </c>
      <c r="CO18" s="70">
        <v>392.91</v>
      </c>
      <c r="CP18" s="70">
        <v>391.88</v>
      </c>
      <c r="CQ18" s="70">
        <v>390.85</v>
      </c>
      <c r="CR18" s="70">
        <v>389.82</v>
      </c>
      <c r="CS18" s="70">
        <v>388.79</v>
      </c>
      <c r="CT18" s="70">
        <v>387.76</v>
      </c>
      <c r="CU18" s="70">
        <v>386.73</v>
      </c>
      <c r="CV18" s="70">
        <v>385.7</v>
      </c>
      <c r="CW18" s="70">
        <v>384.67</v>
      </c>
      <c r="CX18" s="70">
        <v>383.65</v>
      </c>
      <c r="CY18" s="70">
        <v>382.62</v>
      </c>
      <c r="CZ18" s="70">
        <v>381.59</v>
      </c>
      <c r="DA18" s="70">
        <v>380.57</v>
      </c>
      <c r="DB18" s="70">
        <v>379.54</v>
      </c>
      <c r="DC18" s="70">
        <v>378.52</v>
      </c>
      <c r="DD18" s="70">
        <v>377.49</v>
      </c>
      <c r="DE18" s="70">
        <v>376.46</v>
      </c>
      <c r="DF18" s="70">
        <v>375.44</v>
      </c>
      <c r="DG18" s="70">
        <v>374.41</v>
      </c>
      <c r="DH18" s="70">
        <v>373.39</v>
      </c>
      <c r="DI18" s="70">
        <v>372.36</v>
      </c>
      <c r="DJ18" s="70">
        <v>371.34</v>
      </c>
      <c r="DK18" s="70">
        <v>370.32</v>
      </c>
      <c r="DL18" s="70">
        <v>369.29</v>
      </c>
      <c r="DM18" s="70">
        <v>368.27</v>
      </c>
      <c r="DN18" s="70">
        <v>367.25</v>
      </c>
      <c r="DO18" s="70">
        <v>366.23</v>
      </c>
      <c r="DP18" s="70">
        <v>365.2</v>
      </c>
      <c r="DQ18" s="70">
        <v>364.18</v>
      </c>
      <c r="DR18" s="70">
        <v>363.16</v>
      </c>
      <c r="DS18" s="70">
        <v>362.14</v>
      </c>
      <c r="DT18" s="70">
        <v>361.12</v>
      </c>
      <c r="DU18" s="70">
        <v>360.1</v>
      </c>
      <c r="DV18" s="70">
        <v>359.09</v>
      </c>
      <c r="DW18" s="70">
        <v>358.07</v>
      </c>
      <c r="DX18" s="70">
        <v>357.06</v>
      </c>
      <c r="DY18" s="70">
        <v>356.04</v>
      </c>
      <c r="DZ18" s="70">
        <v>355.03</v>
      </c>
      <c r="EA18" s="70">
        <v>354.01</v>
      </c>
      <c r="EB18" s="70">
        <v>353</v>
      </c>
      <c r="EC18" s="70">
        <v>351.98</v>
      </c>
      <c r="ED18" s="70">
        <v>350.97</v>
      </c>
      <c r="EE18" s="70">
        <v>349.96</v>
      </c>
      <c r="EF18" s="70">
        <v>348.95</v>
      </c>
      <c r="EG18" s="70">
        <v>347.94</v>
      </c>
      <c r="EH18" s="70">
        <v>346.94</v>
      </c>
      <c r="EI18" s="70">
        <v>345.93</v>
      </c>
      <c r="EJ18" s="70">
        <v>344.93</v>
      </c>
      <c r="EK18" s="70">
        <v>343.92</v>
      </c>
      <c r="EL18" s="70">
        <v>342.92</v>
      </c>
      <c r="EM18" s="70">
        <v>341.91</v>
      </c>
      <c r="EN18" s="70">
        <v>340.91</v>
      </c>
      <c r="EO18" s="70">
        <v>339.91</v>
      </c>
      <c r="EP18" s="70">
        <v>338.9</v>
      </c>
      <c r="EQ18" s="70">
        <v>337.9</v>
      </c>
      <c r="ER18" s="70">
        <v>336.9</v>
      </c>
      <c r="ES18" s="70">
        <v>335.91</v>
      </c>
      <c r="ET18" s="70">
        <v>334.91</v>
      </c>
      <c r="EU18" s="70">
        <v>333.91</v>
      </c>
      <c r="EV18" s="70">
        <v>332.91</v>
      </c>
      <c r="EW18" s="70">
        <v>331.92</v>
      </c>
      <c r="EX18" s="70">
        <v>330.92</v>
      </c>
      <c r="EY18" s="70">
        <v>329.93</v>
      </c>
      <c r="EZ18" s="70">
        <v>328.93</v>
      </c>
      <c r="FA18" s="70">
        <v>327.94</v>
      </c>
      <c r="FB18" s="70">
        <v>326.94</v>
      </c>
      <c r="FC18" s="70">
        <v>325.95</v>
      </c>
      <c r="FD18" s="70">
        <v>324.95999999999998</v>
      </c>
      <c r="FE18" s="70">
        <v>323.97000000000003</v>
      </c>
      <c r="FF18" s="70">
        <v>322.98</v>
      </c>
      <c r="FG18" s="70">
        <v>322</v>
      </c>
      <c r="FH18" s="70">
        <v>321.01</v>
      </c>
      <c r="FI18" s="70">
        <v>320.01</v>
      </c>
      <c r="FJ18" s="70">
        <v>319.04000000000002</v>
      </c>
      <c r="FK18" s="70">
        <v>318.04000000000002</v>
      </c>
      <c r="FL18" s="70">
        <v>317.07</v>
      </c>
      <c r="FM18" s="70">
        <v>316.07</v>
      </c>
      <c r="FN18" s="70">
        <v>315.10000000000002</v>
      </c>
      <c r="FO18" s="70">
        <v>314.12</v>
      </c>
      <c r="FP18" s="70">
        <v>313.14</v>
      </c>
      <c r="FQ18" s="70">
        <v>312.16000000000003</v>
      </c>
      <c r="FR18" s="70">
        <v>311.18</v>
      </c>
      <c r="FS18" s="70">
        <v>310.2</v>
      </c>
      <c r="FT18" s="70">
        <v>309.22000000000003</v>
      </c>
      <c r="FU18" s="70">
        <v>308.24</v>
      </c>
      <c r="FV18" s="70">
        <v>307.26</v>
      </c>
      <c r="FW18" s="70">
        <v>306.29000000000002</v>
      </c>
      <c r="FX18" s="70">
        <v>305.31</v>
      </c>
      <c r="FY18" s="70">
        <v>304.33999999999997</v>
      </c>
      <c r="FZ18" s="70">
        <v>303.35000000000002</v>
      </c>
      <c r="GA18" s="70">
        <v>302.39</v>
      </c>
      <c r="GB18" s="70">
        <v>301.42</v>
      </c>
      <c r="GC18" s="70">
        <v>300.45</v>
      </c>
      <c r="GD18" s="70">
        <v>299.48</v>
      </c>
      <c r="GE18" s="70">
        <v>298.51</v>
      </c>
      <c r="GF18" s="70">
        <v>297.54000000000002</v>
      </c>
      <c r="GG18" s="70">
        <v>296.57</v>
      </c>
      <c r="GH18" s="70">
        <v>295.60000000000002</v>
      </c>
      <c r="GI18" s="70">
        <v>294.64</v>
      </c>
      <c r="GJ18" s="70">
        <v>293.67</v>
      </c>
      <c r="GK18" s="70">
        <v>292.70999999999998</v>
      </c>
      <c r="GL18" s="70">
        <v>291.74</v>
      </c>
      <c r="GM18" s="70">
        <v>290.77999999999997</v>
      </c>
      <c r="GN18" s="70">
        <v>289.82</v>
      </c>
      <c r="GO18" s="70">
        <v>288.85000000000002</v>
      </c>
      <c r="GP18" s="70">
        <v>287.91000000000003</v>
      </c>
      <c r="GQ18" s="70">
        <v>286.95</v>
      </c>
      <c r="GR18" s="70">
        <v>286</v>
      </c>
      <c r="GS18" s="70">
        <v>285.04000000000002</v>
      </c>
      <c r="GT18" s="70">
        <v>284.08999999999997</v>
      </c>
      <c r="GU18" s="70">
        <v>283.14</v>
      </c>
      <c r="GV18" s="70">
        <v>282.19</v>
      </c>
      <c r="GW18" s="70">
        <v>281.24</v>
      </c>
      <c r="GX18" s="70">
        <v>280.29000000000002</v>
      </c>
      <c r="GY18" s="70">
        <v>279.33999999999997</v>
      </c>
      <c r="GZ18" s="70">
        <v>278.39999999999998</v>
      </c>
      <c r="HA18" s="70">
        <v>277.45</v>
      </c>
      <c r="HB18" s="70">
        <v>276.51</v>
      </c>
      <c r="HC18" s="70">
        <v>275.57</v>
      </c>
      <c r="HD18" s="70">
        <v>274.62</v>
      </c>
      <c r="HE18" s="70">
        <v>273.68</v>
      </c>
      <c r="HF18" s="70">
        <v>272.74</v>
      </c>
      <c r="HG18" s="70">
        <v>271.79000000000002</v>
      </c>
      <c r="HH18" s="70">
        <v>270.87</v>
      </c>
      <c r="HI18" s="70">
        <v>269.93</v>
      </c>
      <c r="HJ18" s="70">
        <v>268.99</v>
      </c>
      <c r="HK18" s="70">
        <v>268.06</v>
      </c>
      <c r="HL18" s="70">
        <v>267.13</v>
      </c>
      <c r="HM18" s="70">
        <v>266.2</v>
      </c>
      <c r="HN18" s="70">
        <v>265.27999999999997</v>
      </c>
      <c r="HO18" s="70">
        <v>264.35000000000002</v>
      </c>
      <c r="HP18" s="70">
        <v>263.43</v>
      </c>
      <c r="HQ18" s="70">
        <v>262.51</v>
      </c>
      <c r="HR18" s="70">
        <v>261.58999999999997</v>
      </c>
      <c r="HS18" s="70">
        <v>260.67</v>
      </c>
      <c r="HT18" s="70">
        <v>259.75</v>
      </c>
      <c r="HU18" s="70">
        <v>258.82</v>
      </c>
      <c r="HV18" s="70">
        <v>257.91000000000003</v>
      </c>
      <c r="HW18" s="70">
        <v>256.99</v>
      </c>
      <c r="HX18" s="70">
        <v>256.07</v>
      </c>
      <c r="HY18" s="70">
        <v>255.17</v>
      </c>
      <c r="HZ18" s="70">
        <v>254.25</v>
      </c>
      <c r="IA18" s="70">
        <v>253.34</v>
      </c>
      <c r="IB18" s="70">
        <v>252.43</v>
      </c>
      <c r="IC18" s="70">
        <v>251.52</v>
      </c>
      <c r="ID18" s="70">
        <v>250.61</v>
      </c>
      <c r="IE18" s="70">
        <v>249.71</v>
      </c>
      <c r="IF18" s="70">
        <v>248.8</v>
      </c>
      <c r="IG18" s="70">
        <v>247.9</v>
      </c>
      <c r="IH18" s="70">
        <v>246.99</v>
      </c>
      <c r="II18" s="70">
        <v>246.09</v>
      </c>
      <c r="IJ18" s="70">
        <v>245.19</v>
      </c>
      <c r="IK18" s="70">
        <v>244.29</v>
      </c>
      <c r="IL18" s="70">
        <v>243.39</v>
      </c>
      <c r="IM18" s="70">
        <v>242.49</v>
      </c>
      <c r="IN18" s="70">
        <v>241.6</v>
      </c>
      <c r="IO18" s="70">
        <v>240.7</v>
      </c>
      <c r="IP18" s="70">
        <v>239.81</v>
      </c>
      <c r="IQ18" s="70">
        <v>238.92</v>
      </c>
      <c r="IR18" s="70">
        <v>238.02</v>
      </c>
      <c r="IS18" s="70">
        <v>237.13</v>
      </c>
      <c r="IT18" s="70">
        <v>236.24</v>
      </c>
      <c r="IU18" s="70">
        <v>235.36</v>
      </c>
      <c r="IV18" s="70">
        <v>234.48</v>
      </c>
      <c r="IW18" s="70">
        <v>233.6</v>
      </c>
      <c r="IX18" s="70">
        <v>232.72</v>
      </c>
      <c r="IY18" s="70">
        <v>231.85</v>
      </c>
      <c r="IZ18" s="70">
        <v>230.97</v>
      </c>
      <c r="JA18" s="70">
        <v>230.1</v>
      </c>
      <c r="JB18" s="70">
        <v>229.23</v>
      </c>
      <c r="JC18" s="70">
        <v>228.36</v>
      </c>
      <c r="JD18" s="70">
        <v>227.48</v>
      </c>
      <c r="JE18" s="70">
        <v>226.62</v>
      </c>
      <c r="JF18" s="70">
        <v>225.75</v>
      </c>
      <c r="JG18" s="70">
        <v>224.88</v>
      </c>
      <c r="JH18" s="70">
        <v>224.02</v>
      </c>
      <c r="JI18" s="70">
        <v>223.15</v>
      </c>
      <c r="JJ18" s="70">
        <v>222.29</v>
      </c>
      <c r="JK18" s="70">
        <v>221.43</v>
      </c>
      <c r="JL18" s="70">
        <v>220.57</v>
      </c>
      <c r="JM18" s="70">
        <v>219.71</v>
      </c>
      <c r="JN18" s="70">
        <v>218.85</v>
      </c>
      <c r="JO18" s="70">
        <v>218</v>
      </c>
      <c r="JP18" s="70">
        <v>217.14</v>
      </c>
      <c r="JQ18" s="70">
        <v>216.28</v>
      </c>
      <c r="JR18" s="70">
        <v>215.43</v>
      </c>
      <c r="JS18" s="70">
        <v>214.58</v>
      </c>
      <c r="JT18" s="70">
        <v>213.72</v>
      </c>
      <c r="JU18" s="70">
        <v>212.87</v>
      </c>
      <c r="JV18" s="70">
        <v>212.01</v>
      </c>
      <c r="JW18" s="70">
        <v>211.16</v>
      </c>
      <c r="JX18" s="70">
        <v>210.31</v>
      </c>
      <c r="JY18" s="70">
        <v>209.46</v>
      </c>
      <c r="JZ18" s="70">
        <v>208.61</v>
      </c>
      <c r="KA18" s="70">
        <v>207.76</v>
      </c>
      <c r="KB18" s="70">
        <v>206.91</v>
      </c>
      <c r="KC18" s="70">
        <v>206.07</v>
      </c>
      <c r="KD18" s="70">
        <v>205.22</v>
      </c>
      <c r="KE18" s="70">
        <v>204.37</v>
      </c>
      <c r="KF18" s="70">
        <v>203.53</v>
      </c>
      <c r="KG18" s="70">
        <v>202.69</v>
      </c>
      <c r="KH18" s="70">
        <v>201.85</v>
      </c>
      <c r="KI18" s="70">
        <v>201.01</v>
      </c>
      <c r="KJ18" s="70">
        <v>200.17</v>
      </c>
      <c r="KK18" s="70">
        <v>199.34</v>
      </c>
      <c r="KL18" s="70">
        <v>198.5</v>
      </c>
      <c r="KM18" s="70">
        <v>197.66</v>
      </c>
      <c r="KN18" s="70">
        <v>196.83</v>
      </c>
      <c r="KO18" s="70">
        <v>196</v>
      </c>
      <c r="KP18" s="70">
        <v>195.17</v>
      </c>
      <c r="KQ18" s="70">
        <v>194.34</v>
      </c>
      <c r="KR18" s="74">
        <f t="shared" si="13"/>
        <v>193.52</v>
      </c>
      <c r="KS18" s="74">
        <f t="shared" si="14"/>
        <v>192.73</v>
      </c>
      <c r="KT18" s="74">
        <f t="shared" si="15"/>
        <v>191.91</v>
      </c>
      <c r="KU18" s="74">
        <f t="shared" si="15"/>
        <v>191.12</v>
      </c>
      <c r="KV18" s="74">
        <f t="shared" si="15"/>
        <v>190.34</v>
      </c>
      <c r="KW18" s="74">
        <f t="shared" si="15"/>
        <v>189.55</v>
      </c>
      <c r="KX18" s="74">
        <f t="shared" si="15"/>
        <v>188.76</v>
      </c>
      <c r="KY18" s="74">
        <f t="shared" si="15"/>
        <v>187.98</v>
      </c>
      <c r="KZ18" s="74">
        <f t="shared" si="15"/>
        <v>187.19</v>
      </c>
      <c r="LA18" s="74">
        <f t="shared" si="15"/>
        <v>186.41</v>
      </c>
      <c r="LB18" s="74">
        <f t="shared" si="15"/>
        <v>185.63</v>
      </c>
      <c r="LC18" s="74">
        <f t="shared" si="15"/>
        <v>184.85</v>
      </c>
      <c r="LD18" s="74">
        <f t="shared" si="15"/>
        <v>184.07</v>
      </c>
      <c r="LE18" s="74">
        <f t="shared" si="15"/>
        <v>183.29</v>
      </c>
      <c r="LF18" s="74">
        <f t="shared" si="15"/>
        <v>182.52</v>
      </c>
      <c r="LG18" s="74">
        <f t="shared" si="15"/>
        <v>181.75</v>
      </c>
      <c r="LH18" s="74">
        <f t="shared" si="15"/>
        <v>180.97</v>
      </c>
      <c r="LI18" s="74">
        <f t="shared" si="15"/>
        <v>180.2</v>
      </c>
      <c r="LJ18" s="74">
        <f t="shared" si="17"/>
        <v>179.43</v>
      </c>
      <c r="LK18" s="74">
        <f t="shared" si="17"/>
        <v>178.66</v>
      </c>
      <c r="LL18" s="74">
        <f t="shared" si="17"/>
        <v>177.89</v>
      </c>
      <c r="LM18" s="74">
        <f t="shared" si="17"/>
        <v>177.13</v>
      </c>
      <c r="LN18" s="74">
        <f t="shared" si="17"/>
        <v>176.36</v>
      </c>
      <c r="LO18" s="74">
        <f t="shared" si="17"/>
        <v>175.6</v>
      </c>
      <c r="LP18" s="74">
        <f t="shared" si="17"/>
        <v>174.84</v>
      </c>
      <c r="LQ18" s="74">
        <f t="shared" si="17"/>
        <v>174.08</v>
      </c>
      <c r="LR18" s="74">
        <f t="shared" si="17"/>
        <v>173.32</v>
      </c>
      <c r="LS18" s="74">
        <f t="shared" si="17"/>
        <v>172.56</v>
      </c>
      <c r="LT18" s="74">
        <f t="shared" si="17"/>
        <v>171.81</v>
      </c>
      <c r="LU18" s="74">
        <f t="shared" si="17"/>
        <v>171.06</v>
      </c>
      <c r="LV18" s="74">
        <f t="shared" si="17"/>
        <v>170.3</v>
      </c>
      <c r="LW18" s="74">
        <f t="shared" si="17"/>
        <v>169.55</v>
      </c>
      <c r="LX18" s="74">
        <f t="shared" si="17"/>
        <v>168.8</v>
      </c>
      <c r="LY18" s="74">
        <f t="shared" si="17"/>
        <v>168.05</v>
      </c>
      <c r="LZ18" s="74">
        <f t="shared" si="19"/>
        <v>167.31</v>
      </c>
      <c r="MA18" s="74">
        <f t="shared" si="19"/>
        <v>166.56</v>
      </c>
      <c r="MB18" s="74">
        <f t="shared" si="19"/>
        <v>165.82</v>
      </c>
      <c r="MC18" s="74">
        <f t="shared" si="19"/>
        <v>165.08</v>
      </c>
      <c r="MD18" s="74">
        <f t="shared" si="19"/>
        <v>164.34</v>
      </c>
      <c r="ME18" s="74">
        <f t="shared" si="19"/>
        <v>163.61000000000001</v>
      </c>
      <c r="MF18" s="74">
        <f t="shared" si="19"/>
        <v>162.87</v>
      </c>
      <c r="MG18" s="74">
        <f t="shared" si="19"/>
        <v>162.13999999999999</v>
      </c>
      <c r="MH18" s="74">
        <f t="shared" si="19"/>
        <v>161.4</v>
      </c>
      <c r="MI18" s="74">
        <f t="shared" si="19"/>
        <v>160.66999999999999</v>
      </c>
      <c r="MJ18" s="74">
        <f t="shared" si="19"/>
        <v>159.94</v>
      </c>
      <c r="MK18" s="74">
        <f t="shared" si="19"/>
        <v>159.21</v>
      </c>
      <c r="ML18" s="74">
        <f t="shared" si="19"/>
        <v>158.49</v>
      </c>
      <c r="MM18" s="74">
        <f t="shared" si="19"/>
        <v>157.76</v>
      </c>
      <c r="MN18" s="74">
        <f t="shared" si="19"/>
        <v>157.04</v>
      </c>
      <c r="MO18" s="74">
        <f t="shared" si="19"/>
        <v>156.32</v>
      </c>
      <c r="MP18" s="74">
        <f t="shared" si="19"/>
        <v>155.6</v>
      </c>
      <c r="MQ18" s="74">
        <f t="shared" si="19"/>
        <v>154.88999999999999</v>
      </c>
      <c r="MR18" s="74">
        <f t="shared" si="19"/>
        <v>154.16999999999999</v>
      </c>
      <c r="MS18" s="74">
        <f t="shared" si="19"/>
        <v>153.46</v>
      </c>
      <c r="MT18" s="74">
        <f t="shared" si="18"/>
        <v>152.74</v>
      </c>
      <c r="MU18" s="74">
        <f t="shared" si="18"/>
        <v>152.03</v>
      </c>
      <c r="MV18" s="74">
        <f t="shared" si="18"/>
        <v>151.32</v>
      </c>
      <c r="MW18" s="74">
        <f t="shared" si="18"/>
        <v>150.62</v>
      </c>
      <c r="MX18" s="74">
        <f t="shared" si="18"/>
        <v>149.91</v>
      </c>
      <c r="MY18" s="74">
        <f t="shared" si="18"/>
        <v>149.21</v>
      </c>
    </row>
    <row r="19" spans="1:363" ht="15.6" x14ac:dyDescent="0.3">
      <c r="A19" s="67" t="s">
        <v>6</v>
      </c>
      <c r="B19" s="72">
        <v>2029</v>
      </c>
      <c r="C19" s="70">
        <v>487.09</v>
      </c>
      <c r="D19" s="70">
        <v>486.05</v>
      </c>
      <c r="E19" s="70">
        <v>485.01</v>
      </c>
      <c r="F19" s="70">
        <v>483.97</v>
      </c>
      <c r="G19" s="70">
        <v>482.93</v>
      </c>
      <c r="H19" s="70">
        <v>481.9</v>
      </c>
      <c r="I19" s="70">
        <v>480.86</v>
      </c>
      <c r="J19" s="70">
        <v>479.82</v>
      </c>
      <c r="K19" s="70">
        <v>478.78</v>
      </c>
      <c r="L19" s="70">
        <v>477.74</v>
      </c>
      <c r="M19" s="70">
        <v>476.7</v>
      </c>
      <c r="N19" s="70">
        <v>475.67</v>
      </c>
      <c r="O19" s="70">
        <v>474.63</v>
      </c>
      <c r="P19" s="70">
        <v>473.59</v>
      </c>
      <c r="Q19" s="70">
        <v>472.55</v>
      </c>
      <c r="R19" s="70">
        <v>471.51</v>
      </c>
      <c r="S19" s="70">
        <v>470.47</v>
      </c>
      <c r="T19" s="70">
        <v>469.44</v>
      </c>
      <c r="U19" s="70">
        <v>468.4</v>
      </c>
      <c r="V19" s="70">
        <v>467.36</v>
      </c>
      <c r="W19" s="70">
        <v>466.32</v>
      </c>
      <c r="X19" s="70">
        <v>465.29</v>
      </c>
      <c r="Y19" s="70">
        <v>464.25</v>
      </c>
      <c r="Z19" s="70">
        <v>463.21</v>
      </c>
      <c r="AA19" s="70">
        <v>462.17</v>
      </c>
      <c r="AB19" s="70">
        <v>461.13</v>
      </c>
      <c r="AC19" s="70">
        <v>460.1</v>
      </c>
      <c r="AD19" s="70">
        <v>459.06</v>
      </c>
      <c r="AE19" s="70">
        <v>458.02</v>
      </c>
      <c r="AF19" s="70">
        <v>456.98</v>
      </c>
      <c r="AG19" s="70">
        <v>455.95</v>
      </c>
      <c r="AH19" s="70">
        <v>454.91</v>
      </c>
      <c r="AI19" s="70">
        <v>453.87</v>
      </c>
      <c r="AJ19" s="70">
        <v>452.84</v>
      </c>
      <c r="AK19" s="70">
        <v>451.8</v>
      </c>
      <c r="AL19" s="70">
        <v>450.76</v>
      </c>
      <c r="AM19" s="70">
        <v>449.72</v>
      </c>
      <c r="AN19" s="70">
        <v>448.69</v>
      </c>
      <c r="AO19" s="70">
        <v>447.65</v>
      </c>
      <c r="AP19" s="70">
        <v>446.61</v>
      </c>
      <c r="AQ19" s="70">
        <v>445.58</v>
      </c>
      <c r="AR19" s="70">
        <v>444.54</v>
      </c>
      <c r="AS19" s="70">
        <v>443.5</v>
      </c>
      <c r="AT19" s="70">
        <v>442.47</v>
      </c>
      <c r="AU19" s="70">
        <v>441.43</v>
      </c>
      <c r="AV19" s="70">
        <v>440.39</v>
      </c>
      <c r="AW19" s="70">
        <v>439.36</v>
      </c>
      <c r="AX19" s="70">
        <v>438.32</v>
      </c>
      <c r="AY19" s="70">
        <v>437.28</v>
      </c>
      <c r="AZ19" s="70">
        <v>436.25</v>
      </c>
      <c r="BA19" s="70">
        <v>435.21</v>
      </c>
      <c r="BB19" s="70">
        <v>434.17</v>
      </c>
      <c r="BC19" s="70">
        <v>433.14</v>
      </c>
      <c r="BD19" s="70">
        <v>432.1</v>
      </c>
      <c r="BE19" s="70">
        <v>431.07</v>
      </c>
      <c r="BF19" s="70">
        <v>430.03</v>
      </c>
      <c r="BG19" s="70">
        <v>428.99</v>
      </c>
      <c r="BH19" s="70">
        <v>427.96</v>
      </c>
      <c r="BI19" s="70">
        <v>426.92</v>
      </c>
      <c r="BJ19" s="70">
        <v>425.89</v>
      </c>
      <c r="BK19" s="70">
        <v>424.85</v>
      </c>
      <c r="BL19" s="70">
        <v>423.81</v>
      </c>
      <c r="BM19" s="70">
        <v>422.78</v>
      </c>
      <c r="BN19" s="70">
        <v>421.74</v>
      </c>
      <c r="BO19" s="70">
        <v>420.71</v>
      </c>
      <c r="BP19" s="70">
        <v>419.67</v>
      </c>
      <c r="BQ19" s="70">
        <v>418.63</v>
      </c>
      <c r="BR19" s="70">
        <v>417.6</v>
      </c>
      <c r="BS19" s="70">
        <v>416.56</v>
      </c>
      <c r="BT19" s="70">
        <v>415.53</v>
      </c>
      <c r="BU19" s="70">
        <v>414.49</v>
      </c>
      <c r="BV19" s="70">
        <v>413.46</v>
      </c>
      <c r="BW19" s="70">
        <v>412.42</v>
      </c>
      <c r="BX19" s="70">
        <v>411.39</v>
      </c>
      <c r="BY19" s="70">
        <v>410.36</v>
      </c>
      <c r="BZ19" s="70">
        <v>409.33</v>
      </c>
      <c r="CA19" s="70">
        <v>408.29</v>
      </c>
      <c r="CB19" s="70">
        <v>407.26</v>
      </c>
      <c r="CC19" s="70">
        <v>406.23</v>
      </c>
      <c r="CD19" s="70">
        <v>405.2</v>
      </c>
      <c r="CE19" s="70">
        <v>404.17</v>
      </c>
      <c r="CF19" s="70">
        <v>403.14</v>
      </c>
      <c r="CG19" s="70">
        <v>402.11</v>
      </c>
      <c r="CH19" s="70">
        <v>401.08</v>
      </c>
      <c r="CI19" s="70">
        <v>400.04</v>
      </c>
      <c r="CJ19" s="70">
        <v>399.01</v>
      </c>
      <c r="CK19" s="70">
        <v>397.98</v>
      </c>
      <c r="CL19" s="70">
        <v>396.95</v>
      </c>
      <c r="CM19" s="70">
        <v>395.92</v>
      </c>
      <c r="CN19" s="70">
        <v>394.89</v>
      </c>
      <c r="CO19" s="70">
        <v>393.86</v>
      </c>
      <c r="CP19" s="70">
        <v>392.83</v>
      </c>
      <c r="CQ19" s="70">
        <v>391.8</v>
      </c>
      <c r="CR19" s="70">
        <v>390.77</v>
      </c>
      <c r="CS19" s="70">
        <v>389.74</v>
      </c>
      <c r="CT19" s="70">
        <v>388.71</v>
      </c>
      <c r="CU19" s="70">
        <v>387.68</v>
      </c>
      <c r="CV19" s="70">
        <v>386.65</v>
      </c>
      <c r="CW19" s="70">
        <v>385.63</v>
      </c>
      <c r="CX19" s="70">
        <v>384.6</v>
      </c>
      <c r="CY19" s="70">
        <v>383.57</v>
      </c>
      <c r="CZ19" s="70">
        <v>382.55</v>
      </c>
      <c r="DA19" s="70">
        <v>381.52</v>
      </c>
      <c r="DB19" s="70">
        <v>380.49</v>
      </c>
      <c r="DC19" s="70">
        <v>379.47</v>
      </c>
      <c r="DD19" s="70">
        <v>378.44</v>
      </c>
      <c r="DE19" s="70">
        <v>377.41</v>
      </c>
      <c r="DF19" s="70">
        <v>376.39</v>
      </c>
      <c r="DG19" s="70">
        <v>375.36</v>
      </c>
      <c r="DH19" s="70">
        <v>374.34</v>
      </c>
      <c r="DI19" s="70">
        <v>373.31</v>
      </c>
      <c r="DJ19" s="70">
        <v>372.29</v>
      </c>
      <c r="DK19" s="70">
        <v>371.26</v>
      </c>
      <c r="DL19" s="70">
        <v>370.24</v>
      </c>
      <c r="DM19" s="70">
        <v>369.22</v>
      </c>
      <c r="DN19" s="70">
        <v>368.19</v>
      </c>
      <c r="DO19" s="70">
        <v>367.17</v>
      </c>
      <c r="DP19" s="70">
        <v>366.15</v>
      </c>
      <c r="DQ19" s="70">
        <v>365.13</v>
      </c>
      <c r="DR19" s="70">
        <v>364.1</v>
      </c>
      <c r="DS19" s="70">
        <v>363.08</v>
      </c>
      <c r="DT19" s="70">
        <v>362.06</v>
      </c>
      <c r="DU19" s="70">
        <v>361.05</v>
      </c>
      <c r="DV19" s="70">
        <v>360.03</v>
      </c>
      <c r="DW19" s="70">
        <v>359.01</v>
      </c>
      <c r="DX19" s="70">
        <v>358</v>
      </c>
      <c r="DY19" s="70">
        <v>356.98</v>
      </c>
      <c r="DZ19" s="70">
        <v>355.96</v>
      </c>
      <c r="EA19" s="70">
        <v>354.95</v>
      </c>
      <c r="EB19" s="70">
        <v>353.94</v>
      </c>
      <c r="EC19" s="70">
        <v>352.92</v>
      </c>
      <c r="ED19" s="70">
        <v>351.91</v>
      </c>
      <c r="EE19" s="70">
        <v>350.9</v>
      </c>
      <c r="EF19" s="70">
        <v>349.89</v>
      </c>
      <c r="EG19" s="70">
        <v>348.88</v>
      </c>
      <c r="EH19" s="70">
        <v>347.87</v>
      </c>
      <c r="EI19" s="70">
        <v>346.87</v>
      </c>
      <c r="EJ19" s="70">
        <v>345.86</v>
      </c>
      <c r="EK19" s="70">
        <v>344.85</v>
      </c>
      <c r="EL19" s="70">
        <v>343.85</v>
      </c>
      <c r="EM19" s="70">
        <v>342.84</v>
      </c>
      <c r="EN19" s="70">
        <v>341.84</v>
      </c>
      <c r="EO19" s="70">
        <v>340.84</v>
      </c>
      <c r="EP19" s="70">
        <v>339.83</v>
      </c>
      <c r="EQ19" s="70">
        <v>338.83</v>
      </c>
      <c r="ER19" s="70">
        <v>337.83</v>
      </c>
      <c r="ES19" s="70">
        <v>336.83</v>
      </c>
      <c r="ET19" s="70">
        <v>335.83</v>
      </c>
      <c r="EU19" s="70">
        <v>334.84</v>
      </c>
      <c r="EV19" s="70">
        <v>333.84</v>
      </c>
      <c r="EW19" s="70">
        <v>332.84</v>
      </c>
      <c r="EX19" s="70">
        <v>331.85</v>
      </c>
      <c r="EY19" s="70">
        <v>330.85</v>
      </c>
      <c r="EZ19" s="70">
        <v>329.85</v>
      </c>
      <c r="FA19" s="70">
        <v>328.86</v>
      </c>
      <c r="FB19" s="70">
        <v>327.86</v>
      </c>
      <c r="FC19" s="70">
        <v>326.87</v>
      </c>
      <c r="FD19" s="70">
        <v>325.88</v>
      </c>
      <c r="FE19" s="70">
        <v>324.89</v>
      </c>
      <c r="FF19" s="70">
        <v>323.89999999999998</v>
      </c>
      <c r="FG19" s="70">
        <v>322.91000000000003</v>
      </c>
      <c r="FH19" s="70">
        <v>321.93</v>
      </c>
      <c r="FI19" s="70">
        <v>320.94</v>
      </c>
      <c r="FJ19" s="70">
        <v>319.95</v>
      </c>
      <c r="FK19" s="70">
        <v>318.97000000000003</v>
      </c>
      <c r="FL19" s="70">
        <v>317.98</v>
      </c>
      <c r="FM19" s="70">
        <v>317</v>
      </c>
      <c r="FN19" s="70">
        <v>316.01</v>
      </c>
      <c r="FO19" s="70">
        <v>315.02999999999997</v>
      </c>
      <c r="FP19" s="70">
        <v>314.04000000000002</v>
      </c>
      <c r="FQ19" s="70">
        <v>313.06</v>
      </c>
      <c r="FR19" s="70">
        <v>312.07</v>
      </c>
      <c r="FS19" s="70">
        <v>311.10000000000002</v>
      </c>
      <c r="FT19" s="70">
        <v>310.13</v>
      </c>
      <c r="FU19" s="70">
        <v>309.14999999999998</v>
      </c>
      <c r="FV19" s="70">
        <v>308.17</v>
      </c>
      <c r="FW19" s="70">
        <v>307.19</v>
      </c>
      <c r="FX19" s="70">
        <v>306.20999999999998</v>
      </c>
      <c r="FY19" s="70">
        <v>305.24</v>
      </c>
      <c r="FZ19" s="70">
        <v>304.26</v>
      </c>
      <c r="GA19" s="70">
        <v>303.29000000000002</v>
      </c>
      <c r="GB19" s="70">
        <v>302.32</v>
      </c>
      <c r="GC19" s="70">
        <v>301.33999999999997</v>
      </c>
      <c r="GD19" s="70">
        <v>300.37</v>
      </c>
      <c r="GE19" s="70">
        <v>299.39999999999998</v>
      </c>
      <c r="GF19" s="70">
        <v>298.43</v>
      </c>
      <c r="GG19" s="70">
        <v>297.45999999999998</v>
      </c>
      <c r="GH19" s="70">
        <v>296.5</v>
      </c>
      <c r="GI19" s="70">
        <v>295.52999999999997</v>
      </c>
      <c r="GJ19" s="70">
        <v>294.56</v>
      </c>
      <c r="GK19" s="70">
        <v>293.60000000000002</v>
      </c>
      <c r="GL19" s="70">
        <v>292.63</v>
      </c>
      <c r="GM19" s="70">
        <v>291.67</v>
      </c>
      <c r="GN19" s="70">
        <v>290.70999999999998</v>
      </c>
      <c r="GO19" s="70">
        <v>289.75</v>
      </c>
      <c r="GP19" s="70">
        <v>288.79000000000002</v>
      </c>
      <c r="GQ19" s="70">
        <v>287.83999999999997</v>
      </c>
      <c r="GR19" s="70">
        <v>286.88</v>
      </c>
      <c r="GS19" s="70">
        <v>285.93</v>
      </c>
      <c r="GT19" s="70">
        <v>284.97000000000003</v>
      </c>
      <c r="GU19" s="70">
        <v>284.01</v>
      </c>
      <c r="GV19" s="70">
        <v>283.07</v>
      </c>
      <c r="GW19" s="70">
        <v>282.12</v>
      </c>
      <c r="GX19" s="70">
        <v>281.17</v>
      </c>
      <c r="GY19" s="70">
        <v>280.22000000000003</v>
      </c>
      <c r="GZ19" s="70">
        <v>279.26</v>
      </c>
      <c r="HA19" s="70">
        <v>278.32</v>
      </c>
      <c r="HB19" s="70">
        <v>277.38</v>
      </c>
      <c r="HC19" s="70">
        <v>276.44</v>
      </c>
      <c r="HD19" s="70">
        <v>275.49</v>
      </c>
      <c r="HE19" s="70">
        <v>274.54000000000002</v>
      </c>
      <c r="HF19" s="70">
        <v>273.60000000000002</v>
      </c>
      <c r="HG19" s="70">
        <v>272.67</v>
      </c>
      <c r="HH19" s="70">
        <v>271.73</v>
      </c>
      <c r="HI19" s="70">
        <v>270.79000000000002</v>
      </c>
      <c r="HJ19" s="70">
        <v>269.85000000000002</v>
      </c>
      <c r="HK19" s="70">
        <v>268.92</v>
      </c>
      <c r="HL19" s="70">
        <v>267.99</v>
      </c>
      <c r="HM19" s="70">
        <v>267.06</v>
      </c>
      <c r="HN19" s="70">
        <v>266.14</v>
      </c>
      <c r="HO19" s="70">
        <v>265.20999999999998</v>
      </c>
      <c r="HP19" s="70">
        <v>264.29000000000002</v>
      </c>
      <c r="HQ19" s="70">
        <v>263.35000000000002</v>
      </c>
      <c r="HR19" s="70">
        <v>262.44</v>
      </c>
      <c r="HS19" s="70">
        <v>261.51</v>
      </c>
      <c r="HT19" s="70">
        <v>260.60000000000002</v>
      </c>
      <c r="HU19" s="70">
        <v>259.68</v>
      </c>
      <c r="HV19" s="70">
        <v>258.76</v>
      </c>
      <c r="HW19" s="70">
        <v>257.83999999999997</v>
      </c>
      <c r="HX19" s="70">
        <v>256.93</v>
      </c>
      <c r="HY19" s="70">
        <v>256.01</v>
      </c>
      <c r="HZ19" s="70">
        <v>255.1</v>
      </c>
      <c r="IA19" s="70">
        <v>254.18</v>
      </c>
      <c r="IB19" s="70">
        <v>253.27</v>
      </c>
      <c r="IC19" s="70">
        <v>252.36</v>
      </c>
      <c r="ID19" s="70">
        <v>251.45</v>
      </c>
      <c r="IE19" s="70">
        <v>250.54</v>
      </c>
      <c r="IF19" s="70">
        <v>249.64</v>
      </c>
      <c r="IG19" s="70">
        <v>248.73</v>
      </c>
      <c r="IH19" s="70">
        <v>247.82</v>
      </c>
      <c r="II19" s="70">
        <v>246.92</v>
      </c>
      <c r="IJ19" s="70">
        <v>246.02</v>
      </c>
      <c r="IK19" s="70">
        <v>245.12</v>
      </c>
      <c r="IL19" s="70">
        <v>244.22</v>
      </c>
      <c r="IM19" s="70">
        <v>243.32</v>
      </c>
      <c r="IN19" s="70">
        <v>242.42</v>
      </c>
      <c r="IO19" s="70">
        <v>241.52</v>
      </c>
      <c r="IP19" s="70">
        <v>240.63</v>
      </c>
      <c r="IQ19" s="70">
        <v>239.73</v>
      </c>
      <c r="IR19" s="70">
        <v>238.84</v>
      </c>
      <c r="IS19" s="70">
        <v>237.95</v>
      </c>
      <c r="IT19" s="70">
        <v>237.06</v>
      </c>
      <c r="IU19" s="70">
        <v>236.17</v>
      </c>
      <c r="IV19" s="70">
        <v>235.29</v>
      </c>
      <c r="IW19" s="70">
        <v>234.41</v>
      </c>
      <c r="IX19" s="70">
        <v>233.53</v>
      </c>
      <c r="IY19" s="70">
        <v>232.65</v>
      </c>
      <c r="IZ19" s="70">
        <v>231.78</v>
      </c>
      <c r="JA19" s="70">
        <v>230.9</v>
      </c>
      <c r="JB19" s="70">
        <v>230.03</v>
      </c>
      <c r="JC19" s="70">
        <v>229.16</v>
      </c>
      <c r="JD19" s="70">
        <v>228.28</v>
      </c>
      <c r="JE19" s="70">
        <v>227.41</v>
      </c>
      <c r="JF19" s="70">
        <v>226.54</v>
      </c>
      <c r="JG19" s="70">
        <v>225.67</v>
      </c>
      <c r="JH19" s="70">
        <v>224.81</v>
      </c>
      <c r="JI19" s="70">
        <v>223.94</v>
      </c>
      <c r="JJ19" s="70">
        <v>223.08</v>
      </c>
      <c r="JK19" s="70">
        <v>222.22</v>
      </c>
      <c r="JL19" s="70">
        <v>221.36</v>
      </c>
      <c r="JM19" s="70">
        <v>220.49</v>
      </c>
      <c r="JN19" s="70">
        <v>219.64</v>
      </c>
      <c r="JO19" s="70">
        <v>218.78</v>
      </c>
      <c r="JP19" s="70">
        <v>217.92</v>
      </c>
      <c r="JQ19" s="70">
        <v>217.06</v>
      </c>
      <c r="JR19" s="70">
        <v>216.21</v>
      </c>
      <c r="JS19" s="70">
        <v>215.35</v>
      </c>
      <c r="JT19" s="70">
        <v>214.49</v>
      </c>
      <c r="JU19" s="70">
        <v>213.64</v>
      </c>
      <c r="JV19" s="70">
        <v>212.78</v>
      </c>
      <c r="JW19" s="70">
        <v>211.93</v>
      </c>
      <c r="JX19" s="70">
        <v>211.07</v>
      </c>
      <c r="JY19" s="70">
        <v>210.22</v>
      </c>
      <c r="JZ19" s="70">
        <v>209.37</v>
      </c>
      <c r="KA19" s="70">
        <v>208.52</v>
      </c>
      <c r="KB19" s="70">
        <v>207.67</v>
      </c>
      <c r="KC19" s="70">
        <v>206.82</v>
      </c>
      <c r="KD19" s="70">
        <v>205.97</v>
      </c>
      <c r="KE19" s="70">
        <v>205.13</v>
      </c>
      <c r="KF19" s="70">
        <v>204.28</v>
      </c>
      <c r="KG19" s="70">
        <v>203.44</v>
      </c>
      <c r="KH19" s="70">
        <v>202.6</v>
      </c>
      <c r="KI19" s="70">
        <v>201.75</v>
      </c>
      <c r="KJ19" s="70">
        <v>200.91</v>
      </c>
      <c r="KK19" s="70">
        <v>200.07</v>
      </c>
      <c r="KL19" s="70">
        <v>199.24</v>
      </c>
      <c r="KM19" s="70">
        <v>198.4</v>
      </c>
      <c r="KN19" s="70">
        <v>197.56</v>
      </c>
      <c r="KO19" s="70">
        <v>196.73</v>
      </c>
      <c r="KP19" s="70">
        <v>195.9</v>
      </c>
      <c r="KQ19" s="70">
        <v>195.06</v>
      </c>
      <c r="KR19" s="74">
        <f t="shared" si="13"/>
        <v>194.27</v>
      </c>
      <c r="KS19" s="74">
        <f t="shared" si="14"/>
        <v>193.48</v>
      </c>
      <c r="KT19" s="74">
        <f t="shared" si="15"/>
        <v>192.66</v>
      </c>
      <c r="KU19" s="74">
        <f t="shared" si="15"/>
        <v>191.87</v>
      </c>
      <c r="KV19" s="74">
        <f t="shared" si="15"/>
        <v>191.09</v>
      </c>
      <c r="KW19" s="74">
        <f t="shared" si="15"/>
        <v>190.3</v>
      </c>
      <c r="KX19" s="74">
        <f t="shared" si="15"/>
        <v>189.51</v>
      </c>
      <c r="KY19" s="74">
        <f t="shared" si="15"/>
        <v>188.73</v>
      </c>
      <c r="KZ19" s="74">
        <f t="shared" si="15"/>
        <v>187.94</v>
      </c>
      <c r="LA19" s="74">
        <f t="shared" si="15"/>
        <v>187.16</v>
      </c>
      <c r="LB19" s="74">
        <f t="shared" si="15"/>
        <v>186.38</v>
      </c>
      <c r="LC19" s="74">
        <f t="shared" si="15"/>
        <v>185.6</v>
      </c>
      <c r="LD19" s="74">
        <f t="shared" si="15"/>
        <v>184.82</v>
      </c>
      <c r="LE19" s="74">
        <f t="shared" si="15"/>
        <v>184.04</v>
      </c>
      <c r="LF19" s="74">
        <f t="shared" si="15"/>
        <v>183.27</v>
      </c>
      <c r="LG19" s="74">
        <f t="shared" si="15"/>
        <v>182.5</v>
      </c>
      <c r="LH19" s="74">
        <f t="shared" si="15"/>
        <v>181.72</v>
      </c>
      <c r="LI19" s="74">
        <f t="shared" si="15"/>
        <v>180.95</v>
      </c>
      <c r="LJ19" s="74">
        <f t="shared" si="17"/>
        <v>180.18</v>
      </c>
      <c r="LK19" s="74">
        <f t="shared" si="17"/>
        <v>179.41</v>
      </c>
      <c r="LL19" s="74">
        <f t="shared" si="17"/>
        <v>178.64</v>
      </c>
      <c r="LM19" s="74">
        <f t="shared" si="17"/>
        <v>177.88</v>
      </c>
      <c r="LN19" s="74">
        <f t="shared" si="17"/>
        <v>177.11</v>
      </c>
      <c r="LO19" s="74">
        <f t="shared" si="17"/>
        <v>176.35</v>
      </c>
      <c r="LP19" s="74">
        <f t="shared" si="17"/>
        <v>175.59</v>
      </c>
      <c r="LQ19" s="74">
        <f t="shared" si="17"/>
        <v>174.83</v>
      </c>
      <c r="LR19" s="74">
        <f t="shared" si="17"/>
        <v>174.07</v>
      </c>
      <c r="LS19" s="74">
        <f t="shared" si="17"/>
        <v>173.31</v>
      </c>
      <c r="LT19" s="74">
        <f t="shared" si="17"/>
        <v>172.56</v>
      </c>
      <c r="LU19" s="74">
        <f t="shared" si="17"/>
        <v>171.81</v>
      </c>
      <c r="LV19" s="74">
        <f t="shared" si="17"/>
        <v>171.05</v>
      </c>
      <c r="LW19" s="74">
        <f t="shared" si="17"/>
        <v>170.3</v>
      </c>
      <c r="LX19" s="74">
        <f t="shared" si="17"/>
        <v>169.55</v>
      </c>
      <c r="LY19" s="74">
        <f t="shared" si="17"/>
        <v>168.8</v>
      </c>
      <c r="LZ19" s="74">
        <f t="shared" si="19"/>
        <v>168.06</v>
      </c>
      <c r="MA19" s="74">
        <f t="shared" si="19"/>
        <v>167.31</v>
      </c>
      <c r="MB19" s="74">
        <f t="shared" si="19"/>
        <v>166.57</v>
      </c>
      <c r="MC19" s="74">
        <f t="shared" si="19"/>
        <v>165.83</v>
      </c>
      <c r="MD19" s="74">
        <f t="shared" si="19"/>
        <v>165.09</v>
      </c>
      <c r="ME19" s="74">
        <f t="shared" si="19"/>
        <v>164.36</v>
      </c>
      <c r="MF19" s="74">
        <f t="shared" si="19"/>
        <v>163.62</v>
      </c>
      <c r="MG19" s="74">
        <f t="shared" si="19"/>
        <v>162.88999999999999</v>
      </c>
      <c r="MH19" s="74">
        <f t="shared" si="19"/>
        <v>162.15</v>
      </c>
      <c r="MI19" s="74">
        <f t="shared" si="19"/>
        <v>161.41999999999999</v>
      </c>
      <c r="MJ19" s="74">
        <f t="shared" si="19"/>
        <v>160.69</v>
      </c>
      <c r="MK19" s="74">
        <f t="shared" si="19"/>
        <v>159.96</v>
      </c>
      <c r="ML19" s="74">
        <f t="shared" si="19"/>
        <v>159.24</v>
      </c>
      <c r="MM19" s="74">
        <f t="shared" si="19"/>
        <v>158.51</v>
      </c>
      <c r="MN19" s="74">
        <f t="shared" si="19"/>
        <v>157.79</v>
      </c>
      <c r="MO19" s="74">
        <f t="shared" si="19"/>
        <v>157.07</v>
      </c>
      <c r="MP19" s="74">
        <f t="shared" si="19"/>
        <v>156.35</v>
      </c>
      <c r="MQ19" s="74">
        <f t="shared" si="19"/>
        <v>155.63999999999999</v>
      </c>
      <c r="MR19" s="74">
        <f t="shared" si="19"/>
        <v>154.91999999999999</v>
      </c>
      <c r="MS19" s="74">
        <f t="shared" si="19"/>
        <v>154.21</v>
      </c>
      <c r="MT19" s="74">
        <f t="shared" si="18"/>
        <v>153.49</v>
      </c>
      <c r="MU19" s="74">
        <f t="shared" si="18"/>
        <v>152.78</v>
      </c>
      <c r="MV19" s="74">
        <f t="shared" si="18"/>
        <v>152.07</v>
      </c>
      <c r="MW19" s="74">
        <f t="shared" si="18"/>
        <v>151.37</v>
      </c>
      <c r="MX19" s="74">
        <f t="shared" si="18"/>
        <v>150.66</v>
      </c>
      <c r="MY19" s="74">
        <f t="shared" si="18"/>
        <v>149.96</v>
      </c>
    </row>
    <row r="20" spans="1:363" ht="15.6" x14ac:dyDescent="0.3">
      <c r="A20" s="67" t="s">
        <v>6</v>
      </c>
      <c r="B20" s="72">
        <v>2030</v>
      </c>
      <c r="C20" s="70">
        <v>488.05</v>
      </c>
      <c r="D20" s="70">
        <v>487.01</v>
      </c>
      <c r="E20" s="70">
        <v>485.97</v>
      </c>
      <c r="F20" s="70">
        <v>484.93</v>
      </c>
      <c r="G20" s="70">
        <v>483.89</v>
      </c>
      <c r="H20" s="70">
        <v>482.85</v>
      </c>
      <c r="I20" s="70">
        <v>481.81</v>
      </c>
      <c r="J20" s="70">
        <v>480.78</v>
      </c>
      <c r="K20" s="70">
        <v>479.74</v>
      </c>
      <c r="L20" s="70">
        <v>478.7</v>
      </c>
      <c r="M20" s="70">
        <v>477.66</v>
      </c>
      <c r="N20" s="70">
        <v>476.62</v>
      </c>
      <c r="O20" s="70">
        <v>475.59</v>
      </c>
      <c r="P20" s="70">
        <v>474.55</v>
      </c>
      <c r="Q20" s="70">
        <v>473.51</v>
      </c>
      <c r="R20" s="70">
        <v>472.47</v>
      </c>
      <c r="S20" s="70">
        <v>471.43</v>
      </c>
      <c r="T20" s="70">
        <v>470.4</v>
      </c>
      <c r="U20" s="70">
        <v>469.36</v>
      </c>
      <c r="V20" s="70">
        <v>468.32</v>
      </c>
      <c r="W20" s="70">
        <v>467.28</v>
      </c>
      <c r="X20" s="70">
        <v>466.24</v>
      </c>
      <c r="Y20" s="70">
        <v>465.21</v>
      </c>
      <c r="Z20" s="70">
        <v>464.17</v>
      </c>
      <c r="AA20" s="70">
        <v>463.13</v>
      </c>
      <c r="AB20" s="70">
        <v>462.09</v>
      </c>
      <c r="AC20" s="70">
        <v>461.06</v>
      </c>
      <c r="AD20" s="70">
        <v>460.02</v>
      </c>
      <c r="AE20" s="70">
        <v>458.98</v>
      </c>
      <c r="AF20" s="70">
        <v>457.94</v>
      </c>
      <c r="AG20" s="70">
        <v>456.91</v>
      </c>
      <c r="AH20" s="70">
        <v>455.87</v>
      </c>
      <c r="AI20" s="70">
        <v>454.83</v>
      </c>
      <c r="AJ20" s="70">
        <v>453.79</v>
      </c>
      <c r="AK20" s="70">
        <v>452.76</v>
      </c>
      <c r="AL20" s="70">
        <v>451.72</v>
      </c>
      <c r="AM20" s="70">
        <v>450.68</v>
      </c>
      <c r="AN20" s="70">
        <v>449.65</v>
      </c>
      <c r="AO20" s="70">
        <v>448.61</v>
      </c>
      <c r="AP20" s="70">
        <v>447.57</v>
      </c>
      <c r="AQ20" s="70">
        <v>446.53</v>
      </c>
      <c r="AR20" s="70">
        <v>445.5</v>
      </c>
      <c r="AS20" s="70">
        <v>444.46</v>
      </c>
      <c r="AT20" s="70">
        <v>443.42</v>
      </c>
      <c r="AU20" s="70">
        <v>442.39</v>
      </c>
      <c r="AV20" s="70">
        <v>441.35</v>
      </c>
      <c r="AW20" s="70">
        <v>440.31</v>
      </c>
      <c r="AX20" s="70">
        <v>439.28</v>
      </c>
      <c r="AY20" s="70">
        <v>438.24</v>
      </c>
      <c r="AZ20" s="70">
        <v>437.21</v>
      </c>
      <c r="BA20" s="70">
        <v>436.17</v>
      </c>
      <c r="BB20" s="70">
        <v>435.13</v>
      </c>
      <c r="BC20" s="70">
        <v>434.1</v>
      </c>
      <c r="BD20" s="70">
        <v>433.06</v>
      </c>
      <c r="BE20" s="70">
        <v>432.02</v>
      </c>
      <c r="BF20" s="70">
        <v>430.99</v>
      </c>
      <c r="BG20" s="70">
        <v>429.95</v>
      </c>
      <c r="BH20" s="70">
        <v>428.92</v>
      </c>
      <c r="BI20" s="70">
        <v>427.88</v>
      </c>
      <c r="BJ20" s="70">
        <v>426.84</v>
      </c>
      <c r="BK20" s="70">
        <v>425.81</v>
      </c>
      <c r="BL20" s="70">
        <v>424.77</v>
      </c>
      <c r="BM20" s="70">
        <v>423.73</v>
      </c>
      <c r="BN20" s="70">
        <v>422.7</v>
      </c>
      <c r="BO20" s="70">
        <v>421.66</v>
      </c>
      <c r="BP20" s="70">
        <v>420.63</v>
      </c>
      <c r="BQ20" s="70">
        <v>419.59</v>
      </c>
      <c r="BR20" s="70">
        <v>418.55</v>
      </c>
      <c r="BS20" s="70">
        <v>417.52</v>
      </c>
      <c r="BT20" s="70">
        <v>416.48</v>
      </c>
      <c r="BU20" s="70">
        <v>415.45</v>
      </c>
      <c r="BV20" s="70">
        <v>414.41</v>
      </c>
      <c r="BW20" s="70">
        <v>413.38</v>
      </c>
      <c r="BX20" s="70">
        <v>412.35</v>
      </c>
      <c r="BY20" s="70">
        <v>411.31</v>
      </c>
      <c r="BZ20" s="70">
        <v>410.28</v>
      </c>
      <c r="CA20" s="70">
        <v>409.25</v>
      </c>
      <c r="CB20" s="70">
        <v>408.22</v>
      </c>
      <c r="CC20" s="70">
        <v>407.18</v>
      </c>
      <c r="CD20" s="70">
        <v>406.15</v>
      </c>
      <c r="CE20" s="70">
        <v>405.12</v>
      </c>
      <c r="CF20" s="70">
        <v>404.09</v>
      </c>
      <c r="CG20" s="70">
        <v>403.06</v>
      </c>
      <c r="CH20" s="70">
        <v>402.03</v>
      </c>
      <c r="CI20" s="70">
        <v>401</v>
      </c>
      <c r="CJ20" s="70">
        <v>399.97</v>
      </c>
      <c r="CK20" s="70">
        <v>398.93</v>
      </c>
      <c r="CL20" s="70">
        <v>397.9</v>
      </c>
      <c r="CM20" s="70">
        <v>396.87</v>
      </c>
      <c r="CN20" s="70">
        <v>395.84</v>
      </c>
      <c r="CO20" s="70">
        <v>394.81</v>
      </c>
      <c r="CP20" s="70">
        <v>393.78</v>
      </c>
      <c r="CQ20" s="70">
        <v>392.75</v>
      </c>
      <c r="CR20" s="70">
        <v>391.72</v>
      </c>
      <c r="CS20" s="70">
        <v>390.69</v>
      </c>
      <c r="CT20" s="70">
        <v>389.66</v>
      </c>
      <c r="CU20" s="70">
        <v>388.63</v>
      </c>
      <c r="CV20" s="70">
        <v>387.6</v>
      </c>
      <c r="CW20" s="70">
        <v>386.57</v>
      </c>
      <c r="CX20" s="70">
        <v>385.55</v>
      </c>
      <c r="CY20" s="70">
        <v>384.52</v>
      </c>
      <c r="CZ20" s="70">
        <v>383.49</v>
      </c>
      <c r="DA20" s="70">
        <v>382.46</v>
      </c>
      <c r="DB20" s="70">
        <v>381.44</v>
      </c>
      <c r="DC20" s="70">
        <v>380.41</v>
      </c>
      <c r="DD20" s="70">
        <v>379.38</v>
      </c>
      <c r="DE20" s="70">
        <v>378.36</v>
      </c>
      <c r="DF20" s="70">
        <v>377.33</v>
      </c>
      <c r="DG20" s="70">
        <v>376.3</v>
      </c>
      <c r="DH20" s="70">
        <v>375.28</v>
      </c>
      <c r="DI20" s="70">
        <v>374.25</v>
      </c>
      <c r="DJ20" s="70">
        <v>373.23</v>
      </c>
      <c r="DK20" s="70">
        <v>372.21</v>
      </c>
      <c r="DL20" s="70">
        <v>371.18</v>
      </c>
      <c r="DM20" s="70">
        <v>370.16</v>
      </c>
      <c r="DN20" s="70">
        <v>369.13</v>
      </c>
      <c r="DO20" s="70">
        <v>368.11</v>
      </c>
      <c r="DP20" s="70">
        <v>367.09</v>
      </c>
      <c r="DQ20" s="70">
        <v>366.06</v>
      </c>
      <c r="DR20" s="70">
        <v>365.04</v>
      </c>
      <c r="DS20" s="70">
        <v>364.02</v>
      </c>
      <c r="DT20" s="70">
        <v>363</v>
      </c>
      <c r="DU20" s="70">
        <v>361.98</v>
      </c>
      <c r="DV20" s="70">
        <v>360.96</v>
      </c>
      <c r="DW20" s="70">
        <v>359.95</v>
      </c>
      <c r="DX20" s="70">
        <v>358.93</v>
      </c>
      <c r="DY20" s="70">
        <v>357.91</v>
      </c>
      <c r="DZ20" s="70">
        <v>356.9</v>
      </c>
      <c r="EA20" s="70">
        <v>355.88</v>
      </c>
      <c r="EB20" s="70">
        <v>354.87</v>
      </c>
      <c r="EC20" s="70">
        <v>353.85</v>
      </c>
      <c r="ED20" s="70">
        <v>352.84</v>
      </c>
      <c r="EE20" s="70">
        <v>351.83</v>
      </c>
      <c r="EF20" s="70">
        <v>350.82</v>
      </c>
      <c r="EG20" s="70">
        <v>349.81</v>
      </c>
      <c r="EH20" s="70">
        <v>348.8</v>
      </c>
      <c r="EI20" s="70">
        <v>347.79</v>
      </c>
      <c r="EJ20" s="70">
        <v>346.79</v>
      </c>
      <c r="EK20" s="70">
        <v>345.78</v>
      </c>
      <c r="EL20" s="70">
        <v>344.78</v>
      </c>
      <c r="EM20" s="70">
        <v>343.77</v>
      </c>
      <c r="EN20" s="70">
        <v>342.77</v>
      </c>
      <c r="EO20" s="70">
        <v>341.76</v>
      </c>
      <c r="EP20" s="70">
        <v>340.76</v>
      </c>
      <c r="EQ20" s="70">
        <v>339.75</v>
      </c>
      <c r="ER20" s="70">
        <v>338.75</v>
      </c>
      <c r="ES20" s="70">
        <v>337.75</v>
      </c>
      <c r="ET20" s="70">
        <v>336.76</v>
      </c>
      <c r="EU20" s="70">
        <v>335.76</v>
      </c>
      <c r="EV20" s="70">
        <v>334.76</v>
      </c>
      <c r="EW20" s="70">
        <v>333.76</v>
      </c>
      <c r="EX20" s="70">
        <v>332.76</v>
      </c>
      <c r="EY20" s="70">
        <v>331.77</v>
      </c>
      <c r="EZ20" s="70">
        <v>330.77</v>
      </c>
      <c r="FA20" s="70">
        <v>329.77</v>
      </c>
      <c r="FB20" s="70">
        <v>328.78</v>
      </c>
      <c r="FC20" s="70">
        <v>327.78</v>
      </c>
      <c r="FD20" s="70">
        <v>326.79000000000002</v>
      </c>
      <c r="FE20" s="70">
        <v>325.79000000000002</v>
      </c>
      <c r="FF20" s="70">
        <v>324.81</v>
      </c>
      <c r="FG20" s="70">
        <v>323.82</v>
      </c>
      <c r="FH20" s="70">
        <v>322.83999999999997</v>
      </c>
      <c r="FI20" s="70">
        <v>321.85000000000002</v>
      </c>
      <c r="FJ20" s="70">
        <v>320.85000000000002</v>
      </c>
      <c r="FK20" s="70">
        <v>319.87</v>
      </c>
      <c r="FL20" s="70">
        <v>318.89</v>
      </c>
      <c r="FM20" s="70">
        <v>317.89999999999998</v>
      </c>
      <c r="FN20" s="70">
        <v>316.92</v>
      </c>
      <c r="FO20" s="70">
        <v>315.93</v>
      </c>
      <c r="FP20" s="70">
        <v>314.95</v>
      </c>
      <c r="FQ20" s="70">
        <v>313.97000000000003</v>
      </c>
      <c r="FR20" s="70">
        <v>312.99</v>
      </c>
      <c r="FS20" s="70">
        <v>312.01</v>
      </c>
      <c r="FT20" s="70">
        <v>311.02999999999997</v>
      </c>
      <c r="FU20" s="70">
        <v>310.04000000000002</v>
      </c>
      <c r="FV20" s="70">
        <v>309.07</v>
      </c>
      <c r="FW20" s="70">
        <v>308.08999999999997</v>
      </c>
      <c r="FX20" s="70">
        <v>307.10000000000002</v>
      </c>
      <c r="FY20" s="70">
        <v>306.14</v>
      </c>
      <c r="FZ20" s="70">
        <v>305.16000000000003</v>
      </c>
      <c r="GA20" s="70">
        <v>304.18</v>
      </c>
      <c r="GB20" s="70">
        <v>303.20999999999998</v>
      </c>
      <c r="GC20" s="70">
        <v>302.24</v>
      </c>
      <c r="GD20" s="70">
        <v>301.26</v>
      </c>
      <c r="GE20" s="70">
        <v>300.29000000000002</v>
      </c>
      <c r="GF20" s="70">
        <v>299.32</v>
      </c>
      <c r="GG20" s="70">
        <v>298.35000000000002</v>
      </c>
      <c r="GH20" s="70">
        <v>297.39</v>
      </c>
      <c r="GI20" s="70">
        <v>296.42</v>
      </c>
      <c r="GJ20" s="70">
        <v>295.45</v>
      </c>
      <c r="GK20" s="70">
        <v>294.48</v>
      </c>
      <c r="GL20" s="70">
        <v>293.51</v>
      </c>
      <c r="GM20" s="70">
        <v>292.54000000000002</v>
      </c>
      <c r="GN20" s="70">
        <v>291.58999999999997</v>
      </c>
      <c r="GO20" s="70">
        <v>290.63</v>
      </c>
      <c r="GP20" s="70">
        <v>289.67</v>
      </c>
      <c r="GQ20" s="70">
        <v>288.72000000000003</v>
      </c>
      <c r="GR20" s="70">
        <v>287.76</v>
      </c>
      <c r="GS20" s="70">
        <v>286.81</v>
      </c>
      <c r="GT20" s="70">
        <v>285.85000000000002</v>
      </c>
      <c r="GU20" s="70">
        <v>284.89999999999998</v>
      </c>
      <c r="GV20" s="70">
        <v>283.94</v>
      </c>
      <c r="GW20" s="70">
        <v>282.99</v>
      </c>
      <c r="GX20" s="70">
        <v>282.04000000000002</v>
      </c>
      <c r="GY20" s="70">
        <v>281.08999999999997</v>
      </c>
      <c r="GZ20" s="70">
        <v>280.14</v>
      </c>
      <c r="HA20" s="70">
        <v>279.19</v>
      </c>
      <c r="HB20" s="70">
        <v>278.25</v>
      </c>
      <c r="HC20" s="70">
        <v>277.29000000000002</v>
      </c>
      <c r="HD20" s="70">
        <v>276.35000000000002</v>
      </c>
      <c r="HE20" s="70">
        <v>275.42</v>
      </c>
      <c r="HF20" s="70">
        <v>274.47000000000003</v>
      </c>
      <c r="HG20" s="70">
        <v>273.52999999999997</v>
      </c>
      <c r="HH20" s="70">
        <v>272.58999999999997</v>
      </c>
      <c r="HI20" s="70">
        <v>271.64999999999998</v>
      </c>
      <c r="HJ20" s="70">
        <v>270.70999999999998</v>
      </c>
      <c r="HK20" s="70">
        <v>269.77999999999997</v>
      </c>
      <c r="HL20" s="70">
        <v>268.85000000000002</v>
      </c>
      <c r="HM20" s="70">
        <v>267.92</v>
      </c>
      <c r="HN20" s="70">
        <v>266.99</v>
      </c>
      <c r="HO20" s="70">
        <v>266.06</v>
      </c>
      <c r="HP20" s="70">
        <v>265.14</v>
      </c>
      <c r="HQ20" s="70">
        <v>264.20999999999998</v>
      </c>
      <c r="HR20" s="70">
        <v>263.29000000000002</v>
      </c>
      <c r="HS20" s="70">
        <v>262.37</v>
      </c>
      <c r="HT20" s="70">
        <v>261.44</v>
      </c>
      <c r="HU20" s="70">
        <v>260.51</v>
      </c>
      <c r="HV20" s="70">
        <v>259.60000000000002</v>
      </c>
      <c r="HW20" s="70">
        <v>258.68</v>
      </c>
      <c r="HX20" s="70">
        <v>257.76</v>
      </c>
      <c r="HY20" s="70">
        <v>256.85000000000002</v>
      </c>
      <c r="HZ20" s="70">
        <v>255.94</v>
      </c>
      <c r="IA20" s="70">
        <v>255.02</v>
      </c>
      <c r="IB20" s="70">
        <v>254.11</v>
      </c>
      <c r="IC20" s="70">
        <v>253.2</v>
      </c>
      <c r="ID20" s="70">
        <v>252.29</v>
      </c>
      <c r="IE20" s="70">
        <v>251.38</v>
      </c>
      <c r="IF20" s="70">
        <v>250.47</v>
      </c>
      <c r="IG20" s="70">
        <v>249.56</v>
      </c>
      <c r="IH20" s="70">
        <v>248.65</v>
      </c>
      <c r="II20" s="70">
        <v>247.74</v>
      </c>
      <c r="IJ20" s="70">
        <v>246.84</v>
      </c>
      <c r="IK20" s="70">
        <v>245.94</v>
      </c>
      <c r="IL20" s="70">
        <v>245.04</v>
      </c>
      <c r="IM20" s="70">
        <v>244.14</v>
      </c>
      <c r="IN20" s="70">
        <v>243.24</v>
      </c>
      <c r="IO20" s="70">
        <v>242.34</v>
      </c>
      <c r="IP20" s="70">
        <v>241.44</v>
      </c>
      <c r="IQ20" s="70">
        <v>240.55</v>
      </c>
      <c r="IR20" s="70">
        <v>239.65</v>
      </c>
      <c r="IS20" s="70">
        <v>238.76</v>
      </c>
      <c r="IT20" s="70">
        <v>237.87</v>
      </c>
      <c r="IU20" s="70">
        <v>236.98</v>
      </c>
      <c r="IV20" s="70">
        <v>236.1</v>
      </c>
      <c r="IW20" s="70">
        <v>235.21</v>
      </c>
      <c r="IX20" s="70">
        <v>234.33</v>
      </c>
      <c r="IY20" s="70">
        <v>233.46</v>
      </c>
      <c r="IZ20" s="70">
        <v>232.58</v>
      </c>
      <c r="JA20" s="70">
        <v>231.7</v>
      </c>
      <c r="JB20" s="70">
        <v>230.83</v>
      </c>
      <c r="JC20" s="70">
        <v>229.95</v>
      </c>
      <c r="JD20" s="70">
        <v>229.08</v>
      </c>
      <c r="JE20" s="70">
        <v>228.21</v>
      </c>
      <c r="JF20" s="70">
        <v>227.34</v>
      </c>
      <c r="JG20" s="70">
        <v>226.46</v>
      </c>
      <c r="JH20" s="70">
        <v>225.6</v>
      </c>
      <c r="JI20" s="70">
        <v>224.73</v>
      </c>
      <c r="JJ20" s="70">
        <v>223.87</v>
      </c>
      <c r="JK20" s="70">
        <v>223</v>
      </c>
      <c r="JL20" s="70">
        <v>222.14</v>
      </c>
      <c r="JM20" s="70">
        <v>221.28</v>
      </c>
      <c r="JN20" s="70">
        <v>220.41</v>
      </c>
      <c r="JO20" s="70">
        <v>219.55</v>
      </c>
      <c r="JP20" s="70">
        <v>218.69</v>
      </c>
      <c r="JQ20" s="70">
        <v>217.84</v>
      </c>
      <c r="JR20" s="70">
        <v>216.98</v>
      </c>
      <c r="JS20" s="70">
        <v>216.12</v>
      </c>
      <c r="JT20" s="70">
        <v>215.26</v>
      </c>
      <c r="JU20" s="70">
        <v>214.4</v>
      </c>
      <c r="JV20" s="70">
        <v>213.55</v>
      </c>
      <c r="JW20" s="70">
        <v>212.69</v>
      </c>
      <c r="JX20" s="70">
        <v>211.84</v>
      </c>
      <c r="JY20" s="70">
        <v>210.98</v>
      </c>
      <c r="JZ20" s="70">
        <v>210.13</v>
      </c>
      <c r="KA20" s="70">
        <v>209.28</v>
      </c>
      <c r="KB20" s="70">
        <v>208.42</v>
      </c>
      <c r="KC20" s="70">
        <v>207.57</v>
      </c>
      <c r="KD20" s="70">
        <v>206.72</v>
      </c>
      <c r="KE20" s="70">
        <v>205.87</v>
      </c>
      <c r="KF20" s="70">
        <v>205.03</v>
      </c>
      <c r="KG20" s="70">
        <v>204.18</v>
      </c>
      <c r="KH20" s="70">
        <v>203.34</v>
      </c>
      <c r="KI20" s="70">
        <v>202.49</v>
      </c>
      <c r="KJ20" s="70">
        <v>201.65</v>
      </c>
      <c r="KK20" s="70">
        <v>200.81</v>
      </c>
      <c r="KL20" s="70">
        <v>199.97</v>
      </c>
      <c r="KM20" s="70">
        <v>199.13</v>
      </c>
      <c r="KN20" s="70">
        <v>198.29</v>
      </c>
      <c r="KO20" s="70">
        <v>197.46</v>
      </c>
      <c r="KP20" s="70">
        <v>196.62</v>
      </c>
      <c r="KQ20" s="70">
        <v>195.79</v>
      </c>
      <c r="KR20" s="74">
        <f t="shared" si="13"/>
        <v>195.02</v>
      </c>
      <c r="KS20" s="74">
        <f t="shared" si="14"/>
        <v>194.23</v>
      </c>
      <c r="KT20" s="74">
        <f t="shared" si="15"/>
        <v>193.41</v>
      </c>
      <c r="KU20" s="74">
        <f t="shared" si="15"/>
        <v>192.62</v>
      </c>
      <c r="KV20" s="74">
        <f t="shared" si="15"/>
        <v>191.84</v>
      </c>
      <c r="KW20" s="74">
        <f t="shared" si="15"/>
        <v>191.05</v>
      </c>
      <c r="KX20" s="74">
        <f t="shared" si="15"/>
        <v>190.26</v>
      </c>
      <c r="KY20" s="74">
        <f t="shared" si="15"/>
        <v>189.48</v>
      </c>
      <c r="KZ20" s="74">
        <f t="shared" si="15"/>
        <v>188.69</v>
      </c>
      <c r="LA20" s="74">
        <f t="shared" si="15"/>
        <v>187.91</v>
      </c>
      <c r="LB20" s="74">
        <f t="shared" si="15"/>
        <v>187.13</v>
      </c>
      <c r="LC20" s="74">
        <f t="shared" si="15"/>
        <v>186.35</v>
      </c>
      <c r="LD20" s="74">
        <f t="shared" si="15"/>
        <v>185.57</v>
      </c>
      <c r="LE20" s="74">
        <f t="shared" si="15"/>
        <v>184.79</v>
      </c>
      <c r="LF20" s="74">
        <f t="shared" si="15"/>
        <v>184.02</v>
      </c>
      <c r="LG20" s="74">
        <f t="shared" si="15"/>
        <v>183.25</v>
      </c>
      <c r="LH20" s="74">
        <f t="shared" si="15"/>
        <v>182.47</v>
      </c>
      <c r="LI20" s="74">
        <f t="shared" si="15"/>
        <v>181.7</v>
      </c>
      <c r="LJ20" s="74">
        <f t="shared" si="17"/>
        <v>180.93</v>
      </c>
      <c r="LK20" s="74">
        <f t="shared" si="17"/>
        <v>180.16</v>
      </c>
      <c r="LL20" s="74">
        <f t="shared" si="17"/>
        <v>179.39</v>
      </c>
      <c r="LM20" s="74">
        <f t="shared" si="17"/>
        <v>178.63</v>
      </c>
      <c r="LN20" s="74">
        <f t="shared" si="17"/>
        <v>177.86</v>
      </c>
      <c r="LO20" s="74">
        <f t="shared" si="17"/>
        <v>177.1</v>
      </c>
      <c r="LP20" s="74">
        <f t="shared" si="17"/>
        <v>176.34</v>
      </c>
      <c r="LQ20" s="74">
        <f t="shared" si="17"/>
        <v>175.58</v>
      </c>
      <c r="LR20" s="74">
        <f t="shared" si="17"/>
        <v>174.82</v>
      </c>
      <c r="LS20" s="74">
        <f t="shared" si="17"/>
        <v>174.06</v>
      </c>
      <c r="LT20" s="74">
        <f t="shared" si="17"/>
        <v>173.31</v>
      </c>
      <c r="LU20" s="74">
        <f t="shared" si="17"/>
        <v>172.56</v>
      </c>
      <c r="LV20" s="74">
        <f t="shared" si="17"/>
        <v>171.8</v>
      </c>
      <c r="LW20" s="74">
        <f t="shared" si="17"/>
        <v>171.05</v>
      </c>
      <c r="LX20" s="74">
        <f t="shared" si="17"/>
        <v>170.3</v>
      </c>
      <c r="LY20" s="74">
        <f t="shared" si="17"/>
        <v>169.55</v>
      </c>
      <c r="LZ20" s="74">
        <f t="shared" si="19"/>
        <v>168.81</v>
      </c>
      <c r="MA20" s="74">
        <f t="shared" si="19"/>
        <v>168.06</v>
      </c>
      <c r="MB20" s="74">
        <f t="shared" si="19"/>
        <v>167.32</v>
      </c>
      <c r="MC20" s="74">
        <f t="shared" si="19"/>
        <v>166.58</v>
      </c>
      <c r="MD20" s="74">
        <f t="shared" si="19"/>
        <v>165.84</v>
      </c>
      <c r="ME20" s="74">
        <f t="shared" si="19"/>
        <v>165.11</v>
      </c>
      <c r="MF20" s="74">
        <f t="shared" si="19"/>
        <v>164.37</v>
      </c>
      <c r="MG20" s="74">
        <f t="shared" si="19"/>
        <v>163.63999999999999</v>
      </c>
      <c r="MH20" s="74">
        <f t="shared" si="19"/>
        <v>162.9</v>
      </c>
      <c r="MI20" s="74">
        <f t="shared" si="19"/>
        <v>162.16999999999999</v>
      </c>
      <c r="MJ20" s="74">
        <f t="shared" si="19"/>
        <v>161.44</v>
      </c>
      <c r="MK20" s="74">
        <f t="shared" si="19"/>
        <v>160.71</v>
      </c>
      <c r="ML20" s="74">
        <f t="shared" si="19"/>
        <v>159.99</v>
      </c>
      <c r="MM20" s="74">
        <f t="shared" si="19"/>
        <v>159.26</v>
      </c>
      <c r="MN20" s="74">
        <f t="shared" si="19"/>
        <v>158.54</v>
      </c>
      <c r="MO20" s="74">
        <f t="shared" si="19"/>
        <v>157.82</v>
      </c>
      <c r="MP20" s="74">
        <f t="shared" si="19"/>
        <v>157.1</v>
      </c>
      <c r="MQ20" s="74">
        <f t="shared" si="19"/>
        <v>156.38999999999999</v>
      </c>
      <c r="MR20" s="74">
        <f t="shared" si="19"/>
        <v>155.66999999999999</v>
      </c>
      <c r="MS20" s="74">
        <f t="shared" si="19"/>
        <v>154.96</v>
      </c>
      <c r="MT20" s="74">
        <f t="shared" si="18"/>
        <v>154.24</v>
      </c>
      <c r="MU20" s="74">
        <f t="shared" si="18"/>
        <v>153.53</v>
      </c>
      <c r="MV20" s="74">
        <f t="shared" si="18"/>
        <v>152.82</v>
      </c>
      <c r="MW20" s="74">
        <f t="shared" si="18"/>
        <v>152.12</v>
      </c>
      <c r="MX20" s="74">
        <f t="shared" si="18"/>
        <v>151.41</v>
      </c>
      <c r="MY20" s="74">
        <f t="shared" si="18"/>
        <v>150.71</v>
      </c>
    </row>
    <row r="21" spans="1:363" ht="15.6" x14ac:dyDescent="0.3">
      <c r="A21" s="67" t="s">
        <v>6</v>
      </c>
      <c r="B21" s="72">
        <v>2031</v>
      </c>
      <c r="C21" s="70">
        <v>489</v>
      </c>
      <c r="D21" s="70">
        <v>487.96</v>
      </c>
      <c r="E21" s="70">
        <v>486.92</v>
      </c>
      <c r="F21" s="70">
        <v>485.88</v>
      </c>
      <c r="G21" s="70">
        <v>484.84</v>
      </c>
      <c r="H21" s="70">
        <v>483.8</v>
      </c>
      <c r="I21" s="70">
        <v>482.77</v>
      </c>
      <c r="J21" s="70">
        <v>481.73</v>
      </c>
      <c r="K21" s="70">
        <v>480.69</v>
      </c>
      <c r="L21" s="70">
        <v>479.65</v>
      </c>
      <c r="M21" s="70">
        <v>478.61</v>
      </c>
      <c r="N21" s="70">
        <v>477.57</v>
      </c>
      <c r="O21" s="70">
        <v>476.54</v>
      </c>
      <c r="P21" s="70">
        <v>475.5</v>
      </c>
      <c r="Q21" s="70">
        <v>474.46</v>
      </c>
      <c r="R21" s="70">
        <v>473.42</v>
      </c>
      <c r="S21" s="70">
        <v>472.38</v>
      </c>
      <c r="T21" s="70">
        <v>471.35</v>
      </c>
      <c r="U21" s="70">
        <v>470.31</v>
      </c>
      <c r="V21" s="70">
        <v>469.27</v>
      </c>
      <c r="W21" s="70">
        <v>468.23</v>
      </c>
      <c r="X21" s="70">
        <v>467.2</v>
      </c>
      <c r="Y21" s="70">
        <v>466.16</v>
      </c>
      <c r="Z21" s="70">
        <v>465.12</v>
      </c>
      <c r="AA21" s="70">
        <v>464.08</v>
      </c>
      <c r="AB21" s="70">
        <v>463.05</v>
      </c>
      <c r="AC21" s="70">
        <v>462.01</v>
      </c>
      <c r="AD21" s="70">
        <v>460.97</v>
      </c>
      <c r="AE21" s="70">
        <v>459.93</v>
      </c>
      <c r="AF21" s="70">
        <v>458.9</v>
      </c>
      <c r="AG21" s="70">
        <v>457.86</v>
      </c>
      <c r="AH21" s="70">
        <v>456.82</v>
      </c>
      <c r="AI21" s="70">
        <v>455.78</v>
      </c>
      <c r="AJ21" s="70">
        <v>454.75</v>
      </c>
      <c r="AK21" s="70">
        <v>453.71</v>
      </c>
      <c r="AL21" s="70">
        <v>452.67</v>
      </c>
      <c r="AM21" s="70">
        <v>451.63</v>
      </c>
      <c r="AN21" s="70">
        <v>450.6</v>
      </c>
      <c r="AO21" s="70">
        <v>449.56</v>
      </c>
      <c r="AP21" s="70">
        <v>448.52</v>
      </c>
      <c r="AQ21" s="70">
        <v>447.49</v>
      </c>
      <c r="AR21" s="70">
        <v>446.45</v>
      </c>
      <c r="AS21" s="70">
        <v>445.41</v>
      </c>
      <c r="AT21" s="70">
        <v>444.38</v>
      </c>
      <c r="AU21" s="70">
        <v>443.34</v>
      </c>
      <c r="AV21" s="70">
        <v>442.3</v>
      </c>
      <c r="AW21" s="70">
        <v>441.27</v>
      </c>
      <c r="AX21" s="70">
        <v>440.23</v>
      </c>
      <c r="AY21" s="70">
        <v>439.19</v>
      </c>
      <c r="AZ21" s="70">
        <v>438.16</v>
      </c>
      <c r="BA21" s="70">
        <v>437.12</v>
      </c>
      <c r="BB21" s="70">
        <v>436.08</v>
      </c>
      <c r="BC21" s="70">
        <v>435.05</v>
      </c>
      <c r="BD21" s="70">
        <v>434.01</v>
      </c>
      <c r="BE21" s="70">
        <v>432.98</v>
      </c>
      <c r="BF21" s="70">
        <v>431.94</v>
      </c>
      <c r="BG21" s="70">
        <v>430.9</v>
      </c>
      <c r="BH21" s="70">
        <v>429.87</v>
      </c>
      <c r="BI21" s="70">
        <v>428.83</v>
      </c>
      <c r="BJ21" s="70">
        <v>427.79</v>
      </c>
      <c r="BK21" s="70">
        <v>426.76</v>
      </c>
      <c r="BL21" s="70">
        <v>425.72</v>
      </c>
      <c r="BM21" s="70">
        <v>424.68</v>
      </c>
      <c r="BN21" s="70">
        <v>423.65</v>
      </c>
      <c r="BO21" s="70">
        <v>422.61</v>
      </c>
      <c r="BP21" s="70">
        <v>421.58</v>
      </c>
      <c r="BQ21" s="70">
        <v>420.54</v>
      </c>
      <c r="BR21" s="70">
        <v>419.5</v>
      </c>
      <c r="BS21" s="70">
        <v>418.47</v>
      </c>
      <c r="BT21" s="70">
        <v>417.43</v>
      </c>
      <c r="BU21" s="70">
        <v>416.4</v>
      </c>
      <c r="BV21" s="70">
        <v>415.36</v>
      </c>
      <c r="BW21" s="70">
        <v>414.33</v>
      </c>
      <c r="BX21" s="70">
        <v>413.29</v>
      </c>
      <c r="BY21" s="70">
        <v>412.26</v>
      </c>
      <c r="BZ21" s="70">
        <v>411.23</v>
      </c>
      <c r="CA21" s="70">
        <v>410.2</v>
      </c>
      <c r="CB21" s="70">
        <v>409.16</v>
      </c>
      <c r="CC21" s="70">
        <v>408.13</v>
      </c>
      <c r="CD21" s="70">
        <v>407.1</v>
      </c>
      <c r="CE21" s="70">
        <v>406.07</v>
      </c>
      <c r="CF21" s="70">
        <v>405.04</v>
      </c>
      <c r="CG21" s="70">
        <v>404</v>
      </c>
      <c r="CH21" s="70">
        <v>402.97</v>
      </c>
      <c r="CI21" s="70">
        <v>401.94</v>
      </c>
      <c r="CJ21" s="70">
        <v>400.91</v>
      </c>
      <c r="CK21" s="70">
        <v>399.88</v>
      </c>
      <c r="CL21" s="70">
        <v>398.85</v>
      </c>
      <c r="CM21" s="70">
        <v>397.82</v>
      </c>
      <c r="CN21" s="70">
        <v>396.79</v>
      </c>
      <c r="CO21" s="70">
        <v>395.76</v>
      </c>
      <c r="CP21" s="70">
        <v>394.72</v>
      </c>
      <c r="CQ21" s="70">
        <v>393.69</v>
      </c>
      <c r="CR21" s="70">
        <v>392.66</v>
      </c>
      <c r="CS21" s="70">
        <v>391.63</v>
      </c>
      <c r="CT21" s="70">
        <v>390.6</v>
      </c>
      <c r="CU21" s="70">
        <v>389.57</v>
      </c>
      <c r="CV21" s="70">
        <v>388.54</v>
      </c>
      <c r="CW21" s="70">
        <v>387.52</v>
      </c>
      <c r="CX21" s="70">
        <v>386.49</v>
      </c>
      <c r="CY21" s="70">
        <v>385.46</v>
      </c>
      <c r="CZ21" s="70">
        <v>384.43</v>
      </c>
      <c r="DA21" s="70">
        <v>383.4</v>
      </c>
      <c r="DB21" s="70">
        <v>382.38</v>
      </c>
      <c r="DC21" s="70">
        <v>381.35</v>
      </c>
      <c r="DD21" s="70">
        <v>380.32</v>
      </c>
      <c r="DE21" s="70">
        <v>379.29</v>
      </c>
      <c r="DF21" s="70">
        <v>378.27</v>
      </c>
      <c r="DG21" s="70">
        <v>377.24</v>
      </c>
      <c r="DH21" s="70">
        <v>376.21</v>
      </c>
      <c r="DI21" s="70">
        <v>375.19</v>
      </c>
      <c r="DJ21" s="70">
        <v>374.17</v>
      </c>
      <c r="DK21" s="70">
        <v>373.14</v>
      </c>
      <c r="DL21" s="70">
        <v>372.12</v>
      </c>
      <c r="DM21" s="70">
        <v>371.09</v>
      </c>
      <c r="DN21" s="70">
        <v>370.07</v>
      </c>
      <c r="DO21" s="70">
        <v>369.04</v>
      </c>
      <c r="DP21" s="70">
        <v>368.02</v>
      </c>
      <c r="DQ21" s="70">
        <v>367</v>
      </c>
      <c r="DR21" s="70">
        <v>365.97</v>
      </c>
      <c r="DS21" s="70">
        <v>364.95</v>
      </c>
      <c r="DT21" s="70">
        <v>363.93</v>
      </c>
      <c r="DU21" s="70">
        <v>362.91</v>
      </c>
      <c r="DV21" s="70">
        <v>361.89</v>
      </c>
      <c r="DW21" s="70">
        <v>360.88</v>
      </c>
      <c r="DX21" s="70">
        <v>359.86</v>
      </c>
      <c r="DY21" s="70">
        <v>358.84</v>
      </c>
      <c r="DZ21" s="70">
        <v>357.83</v>
      </c>
      <c r="EA21" s="70">
        <v>356.81</v>
      </c>
      <c r="EB21" s="70">
        <v>355.79</v>
      </c>
      <c r="EC21" s="70">
        <v>354.78</v>
      </c>
      <c r="ED21" s="70">
        <v>353.76</v>
      </c>
      <c r="EE21" s="70">
        <v>352.75</v>
      </c>
      <c r="EF21" s="70">
        <v>351.74</v>
      </c>
      <c r="EG21" s="70">
        <v>350.73</v>
      </c>
      <c r="EH21" s="70">
        <v>349.72</v>
      </c>
      <c r="EI21" s="70">
        <v>348.72</v>
      </c>
      <c r="EJ21" s="70">
        <v>347.71</v>
      </c>
      <c r="EK21" s="70">
        <v>346.7</v>
      </c>
      <c r="EL21" s="70">
        <v>345.7</v>
      </c>
      <c r="EM21" s="70">
        <v>344.69</v>
      </c>
      <c r="EN21" s="70">
        <v>343.68</v>
      </c>
      <c r="EO21" s="70">
        <v>342.68</v>
      </c>
      <c r="EP21" s="70">
        <v>341.67</v>
      </c>
      <c r="EQ21" s="70">
        <v>340.67</v>
      </c>
      <c r="ER21" s="70">
        <v>339.67</v>
      </c>
      <c r="ES21" s="70">
        <v>338.67</v>
      </c>
      <c r="ET21" s="70">
        <v>337.67</v>
      </c>
      <c r="EU21" s="70">
        <v>336.67</v>
      </c>
      <c r="EV21" s="70">
        <v>335.67</v>
      </c>
      <c r="EW21" s="70">
        <v>334.67</v>
      </c>
      <c r="EX21" s="70">
        <v>333.68</v>
      </c>
      <c r="EY21" s="70">
        <v>332.68</v>
      </c>
      <c r="EZ21" s="70">
        <v>331.68</v>
      </c>
      <c r="FA21" s="70">
        <v>330.68</v>
      </c>
      <c r="FB21" s="70">
        <v>329.69</v>
      </c>
      <c r="FC21" s="70">
        <v>328.69</v>
      </c>
      <c r="FD21" s="70">
        <v>327.7</v>
      </c>
      <c r="FE21" s="70">
        <v>326.70999999999998</v>
      </c>
      <c r="FF21" s="70">
        <v>325.72000000000003</v>
      </c>
      <c r="FG21" s="70">
        <v>324.73</v>
      </c>
      <c r="FH21" s="70">
        <v>323.74</v>
      </c>
      <c r="FI21" s="70">
        <v>322.75</v>
      </c>
      <c r="FJ21" s="70">
        <v>321.76</v>
      </c>
      <c r="FK21" s="70">
        <v>320.77999999999997</v>
      </c>
      <c r="FL21" s="70">
        <v>319.79000000000002</v>
      </c>
      <c r="FM21" s="70">
        <v>318.79000000000002</v>
      </c>
      <c r="FN21" s="70">
        <v>317.82</v>
      </c>
      <c r="FO21" s="70">
        <v>316.82</v>
      </c>
      <c r="FP21" s="70">
        <v>315.85000000000002</v>
      </c>
      <c r="FQ21" s="70">
        <v>314.87</v>
      </c>
      <c r="FR21" s="70">
        <v>313.89</v>
      </c>
      <c r="FS21" s="70">
        <v>312.89999999999998</v>
      </c>
      <c r="FT21" s="70">
        <v>311.92</v>
      </c>
      <c r="FU21" s="70">
        <v>310.94</v>
      </c>
      <c r="FV21" s="70">
        <v>309.95999999999998</v>
      </c>
      <c r="FW21" s="70">
        <v>308.98</v>
      </c>
      <c r="FX21" s="70">
        <v>308.01</v>
      </c>
      <c r="FY21" s="70">
        <v>307.02999999999997</v>
      </c>
      <c r="FZ21" s="70">
        <v>306.04000000000002</v>
      </c>
      <c r="GA21" s="70">
        <v>305.07</v>
      </c>
      <c r="GB21" s="70">
        <v>304.10000000000002</v>
      </c>
      <c r="GC21" s="70">
        <v>303.13</v>
      </c>
      <c r="GD21" s="70">
        <v>302.14999999999998</v>
      </c>
      <c r="GE21" s="70">
        <v>301.18</v>
      </c>
      <c r="GF21" s="70">
        <v>300.20999999999998</v>
      </c>
      <c r="GG21" s="70">
        <v>299.24</v>
      </c>
      <c r="GH21" s="70">
        <v>298.26</v>
      </c>
      <c r="GI21" s="70">
        <v>297.29000000000002</v>
      </c>
      <c r="GJ21" s="70">
        <v>296.32</v>
      </c>
      <c r="GK21" s="70">
        <v>295.35000000000002</v>
      </c>
      <c r="GL21" s="70">
        <v>294.39999999999998</v>
      </c>
      <c r="GM21" s="70">
        <v>293.43</v>
      </c>
      <c r="GN21" s="70">
        <v>292.47000000000003</v>
      </c>
      <c r="GO21" s="70">
        <v>291.51</v>
      </c>
      <c r="GP21" s="70">
        <v>290.54000000000002</v>
      </c>
      <c r="GQ21" s="70">
        <v>289.58999999999997</v>
      </c>
      <c r="GR21" s="70">
        <v>288.63</v>
      </c>
      <c r="GS21" s="70">
        <v>287.68</v>
      </c>
      <c r="GT21" s="70">
        <v>286.72000000000003</v>
      </c>
      <c r="GU21" s="70">
        <v>285.76</v>
      </c>
      <c r="GV21" s="70">
        <v>284.81</v>
      </c>
      <c r="GW21" s="70">
        <v>283.85000000000002</v>
      </c>
      <c r="GX21" s="70">
        <v>282.91000000000003</v>
      </c>
      <c r="GY21" s="70">
        <v>281.95999999999998</v>
      </c>
      <c r="GZ21" s="70">
        <v>281.01</v>
      </c>
      <c r="HA21" s="70">
        <v>280.06</v>
      </c>
      <c r="HB21" s="70">
        <v>279.10000000000002</v>
      </c>
      <c r="HC21" s="70">
        <v>278.17</v>
      </c>
      <c r="HD21" s="70">
        <v>277.22000000000003</v>
      </c>
      <c r="HE21" s="70">
        <v>276.27999999999997</v>
      </c>
      <c r="HF21" s="70">
        <v>275.32</v>
      </c>
      <c r="HG21" s="70">
        <v>274.39</v>
      </c>
      <c r="HH21" s="70">
        <v>273.45</v>
      </c>
      <c r="HI21" s="70">
        <v>272.51</v>
      </c>
      <c r="HJ21" s="70">
        <v>271.57</v>
      </c>
      <c r="HK21" s="70">
        <v>270.63</v>
      </c>
      <c r="HL21" s="70">
        <v>269.7</v>
      </c>
      <c r="HM21" s="70">
        <v>268.76</v>
      </c>
      <c r="HN21" s="70">
        <v>267.83999999999997</v>
      </c>
      <c r="HO21" s="70">
        <v>266.91000000000003</v>
      </c>
      <c r="HP21" s="70">
        <v>265.98</v>
      </c>
      <c r="HQ21" s="70">
        <v>265.06</v>
      </c>
      <c r="HR21" s="70">
        <v>264.13</v>
      </c>
      <c r="HS21" s="70">
        <v>263.20999999999998</v>
      </c>
      <c r="HT21" s="70">
        <v>262.29000000000002</v>
      </c>
      <c r="HU21" s="70">
        <v>261.35000000000002</v>
      </c>
      <c r="HV21" s="70">
        <v>260.44</v>
      </c>
      <c r="HW21" s="70">
        <v>259.51</v>
      </c>
      <c r="HX21" s="70">
        <v>258.60000000000002</v>
      </c>
      <c r="HY21" s="70">
        <v>257.69</v>
      </c>
      <c r="HZ21" s="70">
        <v>256.76</v>
      </c>
      <c r="IA21" s="70">
        <v>255.85</v>
      </c>
      <c r="IB21" s="70">
        <v>254.94</v>
      </c>
      <c r="IC21" s="70">
        <v>254.03</v>
      </c>
      <c r="ID21" s="70">
        <v>253.11</v>
      </c>
      <c r="IE21" s="70">
        <v>252.2</v>
      </c>
      <c r="IF21" s="70">
        <v>251.29</v>
      </c>
      <c r="IG21" s="70">
        <v>250.38</v>
      </c>
      <c r="IH21" s="70">
        <v>249.47</v>
      </c>
      <c r="II21" s="70">
        <v>248.57</v>
      </c>
      <c r="IJ21" s="70">
        <v>247.66</v>
      </c>
      <c r="IK21" s="70">
        <v>246.76</v>
      </c>
      <c r="IL21" s="70">
        <v>245.86</v>
      </c>
      <c r="IM21" s="70">
        <v>244.95</v>
      </c>
      <c r="IN21" s="70">
        <v>244.05</v>
      </c>
      <c r="IO21" s="70">
        <v>243.15</v>
      </c>
      <c r="IP21" s="70">
        <v>242.26</v>
      </c>
      <c r="IQ21" s="70">
        <v>241.36</v>
      </c>
      <c r="IR21" s="70">
        <v>240.46</v>
      </c>
      <c r="IS21" s="70">
        <v>239.57</v>
      </c>
      <c r="IT21" s="70">
        <v>238.67</v>
      </c>
      <c r="IU21" s="70">
        <v>237.78</v>
      </c>
      <c r="IV21" s="70">
        <v>236.9</v>
      </c>
      <c r="IW21" s="70">
        <v>236.02</v>
      </c>
      <c r="IX21" s="70">
        <v>235.13</v>
      </c>
      <c r="IY21" s="70">
        <v>234.25</v>
      </c>
      <c r="IZ21" s="70">
        <v>233.37</v>
      </c>
      <c r="JA21" s="70">
        <v>232.5</v>
      </c>
      <c r="JB21" s="70">
        <v>231.62</v>
      </c>
      <c r="JC21" s="70">
        <v>230.74</v>
      </c>
      <c r="JD21" s="70">
        <v>229.87</v>
      </c>
      <c r="JE21" s="70">
        <v>229</v>
      </c>
      <c r="JF21" s="70">
        <v>228.12</v>
      </c>
      <c r="JG21" s="70">
        <v>227.25</v>
      </c>
      <c r="JH21" s="70">
        <v>226.38</v>
      </c>
      <c r="JI21" s="70">
        <v>225.51</v>
      </c>
      <c r="JJ21" s="70">
        <v>224.65</v>
      </c>
      <c r="JK21" s="70">
        <v>223.78</v>
      </c>
      <c r="JL21" s="70">
        <v>222.92</v>
      </c>
      <c r="JM21" s="70">
        <v>222.05</v>
      </c>
      <c r="JN21" s="70">
        <v>221.19</v>
      </c>
      <c r="JO21" s="70">
        <v>220.33</v>
      </c>
      <c r="JP21" s="70">
        <v>219.47</v>
      </c>
      <c r="JQ21" s="70">
        <v>218.61</v>
      </c>
      <c r="JR21" s="70">
        <v>217.75</v>
      </c>
      <c r="JS21" s="70">
        <v>216.89</v>
      </c>
      <c r="JT21" s="70">
        <v>216.03</v>
      </c>
      <c r="JU21" s="70">
        <v>215.17</v>
      </c>
      <c r="JV21" s="70">
        <v>214.31</v>
      </c>
      <c r="JW21" s="70">
        <v>213.45</v>
      </c>
      <c r="JX21" s="70">
        <v>212.59</v>
      </c>
      <c r="JY21" s="70">
        <v>211.74</v>
      </c>
      <c r="JZ21" s="70">
        <v>210.88</v>
      </c>
      <c r="KA21" s="70">
        <v>210.03</v>
      </c>
      <c r="KB21" s="70">
        <v>209.17</v>
      </c>
      <c r="KC21" s="70">
        <v>208.32</v>
      </c>
      <c r="KD21" s="70">
        <v>207.47</v>
      </c>
      <c r="KE21" s="70">
        <v>206.62</v>
      </c>
      <c r="KF21" s="70">
        <v>205.77</v>
      </c>
      <c r="KG21" s="70">
        <v>204.92</v>
      </c>
      <c r="KH21" s="70">
        <v>204.08</v>
      </c>
      <c r="KI21" s="70">
        <v>203.23</v>
      </c>
      <c r="KJ21" s="70">
        <v>202.39</v>
      </c>
      <c r="KK21" s="70">
        <v>201.54</v>
      </c>
      <c r="KL21" s="70">
        <v>200.7</v>
      </c>
      <c r="KM21" s="70">
        <v>199.86</v>
      </c>
      <c r="KN21" s="70">
        <v>199.02</v>
      </c>
      <c r="KO21" s="70">
        <v>198.18</v>
      </c>
      <c r="KP21" s="70">
        <v>197.34</v>
      </c>
      <c r="KQ21" s="70">
        <v>196.51</v>
      </c>
      <c r="KR21" s="74">
        <f t="shared" si="13"/>
        <v>195.77</v>
      </c>
      <c r="KS21" s="74">
        <f t="shared" si="14"/>
        <v>194.98</v>
      </c>
      <c r="KT21" s="74">
        <f t="shared" ref="KT21:LG21" si="20">KT20+0.75</f>
        <v>194.16</v>
      </c>
      <c r="KU21" s="74">
        <f t="shared" si="20"/>
        <v>193.37</v>
      </c>
      <c r="KV21" s="74">
        <f t="shared" si="20"/>
        <v>192.59</v>
      </c>
      <c r="KW21" s="74">
        <f t="shared" si="20"/>
        <v>191.8</v>
      </c>
      <c r="KX21" s="74">
        <f t="shared" si="20"/>
        <v>191.01</v>
      </c>
      <c r="KY21" s="74">
        <f t="shared" si="20"/>
        <v>190.23</v>
      </c>
      <c r="KZ21" s="74">
        <f t="shared" si="20"/>
        <v>189.44</v>
      </c>
      <c r="LA21" s="74">
        <f t="shared" si="20"/>
        <v>188.66</v>
      </c>
      <c r="LB21" s="74">
        <f t="shared" si="20"/>
        <v>187.88</v>
      </c>
      <c r="LC21" s="74">
        <f t="shared" si="20"/>
        <v>187.1</v>
      </c>
      <c r="LD21" s="74">
        <f t="shared" si="20"/>
        <v>186.32</v>
      </c>
      <c r="LE21" s="74">
        <f t="shared" si="20"/>
        <v>185.54</v>
      </c>
      <c r="LF21" s="74">
        <f t="shared" si="20"/>
        <v>184.77</v>
      </c>
      <c r="LG21" s="74">
        <f t="shared" si="20"/>
        <v>184</v>
      </c>
      <c r="LH21" s="74">
        <f t="shared" ref="LH21:LW36" si="21">LH20+0.75</f>
        <v>183.22</v>
      </c>
      <c r="LI21" s="74">
        <f t="shared" si="21"/>
        <v>182.45</v>
      </c>
      <c r="LJ21" s="74">
        <f t="shared" si="17"/>
        <v>181.68</v>
      </c>
      <c r="LK21" s="74">
        <f t="shared" si="17"/>
        <v>180.91</v>
      </c>
      <c r="LL21" s="74">
        <f t="shared" si="17"/>
        <v>180.14</v>
      </c>
      <c r="LM21" s="74">
        <f t="shared" si="17"/>
        <v>179.38</v>
      </c>
      <c r="LN21" s="74">
        <f t="shared" si="17"/>
        <v>178.61</v>
      </c>
      <c r="LO21" s="74">
        <f t="shared" si="17"/>
        <v>177.85</v>
      </c>
      <c r="LP21" s="74">
        <f t="shared" si="17"/>
        <v>177.09</v>
      </c>
      <c r="LQ21" s="74">
        <f t="shared" si="17"/>
        <v>176.33</v>
      </c>
      <c r="LR21" s="74">
        <f t="shared" si="17"/>
        <v>175.57</v>
      </c>
      <c r="LS21" s="74">
        <f t="shared" si="17"/>
        <v>174.81</v>
      </c>
      <c r="LT21" s="74">
        <f t="shared" si="17"/>
        <v>174.06</v>
      </c>
      <c r="LU21" s="74">
        <f t="shared" si="17"/>
        <v>173.31</v>
      </c>
      <c r="LV21" s="74">
        <f t="shared" si="17"/>
        <v>172.55</v>
      </c>
      <c r="LW21" s="74">
        <f t="shared" si="17"/>
        <v>171.8</v>
      </c>
      <c r="LX21" s="74">
        <f t="shared" si="17"/>
        <v>171.05</v>
      </c>
      <c r="LY21" s="74">
        <f t="shared" si="17"/>
        <v>170.3</v>
      </c>
      <c r="LZ21" s="74">
        <f t="shared" si="19"/>
        <v>169.56</v>
      </c>
      <c r="MA21" s="74">
        <f t="shared" si="19"/>
        <v>168.81</v>
      </c>
      <c r="MB21" s="74">
        <f t="shared" si="19"/>
        <v>168.07</v>
      </c>
      <c r="MC21" s="74">
        <f t="shared" si="19"/>
        <v>167.33</v>
      </c>
      <c r="MD21" s="74">
        <f t="shared" si="19"/>
        <v>166.59</v>
      </c>
      <c r="ME21" s="74">
        <f t="shared" si="19"/>
        <v>165.86</v>
      </c>
      <c r="MF21" s="74">
        <f t="shared" si="19"/>
        <v>165.12</v>
      </c>
      <c r="MG21" s="74">
        <f t="shared" si="19"/>
        <v>164.39</v>
      </c>
      <c r="MH21" s="74">
        <f t="shared" si="19"/>
        <v>163.65</v>
      </c>
      <c r="MI21" s="74">
        <f t="shared" si="19"/>
        <v>162.91999999999999</v>
      </c>
      <c r="MJ21" s="74">
        <f t="shared" si="19"/>
        <v>162.19</v>
      </c>
      <c r="MK21" s="74">
        <f t="shared" si="19"/>
        <v>161.46</v>
      </c>
      <c r="ML21" s="74">
        <f t="shared" si="19"/>
        <v>160.74</v>
      </c>
      <c r="MM21" s="74">
        <f t="shared" si="19"/>
        <v>160.01</v>
      </c>
      <c r="MN21" s="74">
        <f t="shared" si="19"/>
        <v>159.29</v>
      </c>
      <c r="MO21" s="74">
        <f t="shared" si="19"/>
        <v>158.57</v>
      </c>
      <c r="MP21" s="74">
        <f t="shared" si="19"/>
        <v>157.85</v>
      </c>
      <c r="MQ21" s="74">
        <f t="shared" si="19"/>
        <v>157.13999999999999</v>
      </c>
      <c r="MR21" s="74">
        <f t="shared" si="19"/>
        <v>156.41999999999999</v>
      </c>
      <c r="MS21" s="74">
        <f t="shared" si="19"/>
        <v>155.71</v>
      </c>
      <c r="MT21" s="74">
        <f t="shared" si="18"/>
        <v>154.99</v>
      </c>
      <c r="MU21" s="74">
        <f t="shared" si="18"/>
        <v>154.28</v>
      </c>
      <c r="MV21" s="74">
        <f t="shared" si="18"/>
        <v>153.57</v>
      </c>
      <c r="MW21" s="74">
        <f t="shared" si="18"/>
        <v>152.87</v>
      </c>
      <c r="MX21" s="74">
        <f t="shared" si="18"/>
        <v>152.16</v>
      </c>
      <c r="MY21" s="74">
        <f t="shared" si="18"/>
        <v>151.46</v>
      </c>
    </row>
    <row r="22" spans="1:363" ht="15.6" x14ac:dyDescent="0.3">
      <c r="A22" s="67" t="s">
        <v>6</v>
      </c>
      <c r="B22" s="72">
        <v>2032</v>
      </c>
      <c r="C22" s="70">
        <v>489.94</v>
      </c>
      <c r="D22" s="70">
        <v>488.9</v>
      </c>
      <c r="E22" s="70">
        <v>487.86</v>
      </c>
      <c r="F22" s="70">
        <v>486.82</v>
      </c>
      <c r="G22" s="70">
        <v>485.79</v>
      </c>
      <c r="H22" s="70">
        <v>484.75</v>
      </c>
      <c r="I22" s="70">
        <v>483.71</v>
      </c>
      <c r="J22" s="70">
        <v>482.67</v>
      </c>
      <c r="K22" s="70">
        <v>481.63</v>
      </c>
      <c r="L22" s="70">
        <v>480.6</v>
      </c>
      <c r="M22" s="70">
        <v>479.56</v>
      </c>
      <c r="N22" s="70">
        <v>478.52</v>
      </c>
      <c r="O22" s="70">
        <v>477.48</v>
      </c>
      <c r="P22" s="70">
        <v>476.44</v>
      </c>
      <c r="Q22" s="70">
        <v>475.41</v>
      </c>
      <c r="R22" s="70">
        <v>474.37</v>
      </c>
      <c r="S22" s="70">
        <v>473.33</v>
      </c>
      <c r="T22" s="70">
        <v>472.29</v>
      </c>
      <c r="U22" s="70">
        <v>471.25</v>
      </c>
      <c r="V22" s="70">
        <v>470.22</v>
      </c>
      <c r="W22" s="70">
        <v>469.18</v>
      </c>
      <c r="X22" s="70">
        <v>468.14</v>
      </c>
      <c r="Y22" s="70">
        <v>467.1</v>
      </c>
      <c r="Z22" s="70">
        <v>466.07</v>
      </c>
      <c r="AA22" s="70">
        <v>465.03</v>
      </c>
      <c r="AB22" s="70">
        <v>463.99</v>
      </c>
      <c r="AC22" s="70">
        <v>462.95</v>
      </c>
      <c r="AD22" s="70">
        <v>461.92</v>
      </c>
      <c r="AE22" s="70">
        <v>460.88</v>
      </c>
      <c r="AF22" s="70">
        <v>459.84</v>
      </c>
      <c r="AG22" s="70">
        <v>458.8</v>
      </c>
      <c r="AH22" s="70">
        <v>457.77</v>
      </c>
      <c r="AI22" s="70">
        <v>456.73</v>
      </c>
      <c r="AJ22" s="70">
        <v>455.69</v>
      </c>
      <c r="AK22" s="70">
        <v>454.65</v>
      </c>
      <c r="AL22" s="70">
        <v>453.62</v>
      </c>
      <c r="AM22" s="70">
        <v>452.58</v>
      </c>
      <c r="AN22" s="70">
        <v>451.54</v>
      </c>
      <c r="AO22" s="70">
        <v>450.51</v>
      </c>
      <c r="AP22" s="70">
        <v>449.47</v>
      </c>
      <c r="AQ22" s="70">
        <v>448.43</v>
      </c>
      <c r="AR22" s="70">
        <v>447.4</v>
      </c>
      <c r="AS22" s="70">
        <v>446.36</v>
      </c>
      <c r="AT22" s="70">
        <v>445.32</v>
      </c>
      <c r="AU22" s="70">
        <v>444.28</v>
      </c>
      <c r="AV22" s="70">
        <v>443.25</v>
      </c>
      <c r="AW22" s="70">
        <v>442.21</v>
      </c>
      <c r="AX22" s="70">
        <v>441.17</v>
      </c>
      <c r="AY22" s="70">
        <v>440.14</v>
      </c>
      <c r="AZ22" s="70">
        <v>439.1</v>
      </c>
      <c r="BA22" s="70">
        <v>438.07</v>
      </c>
      <c r="BB22" s="70">
        <v>437.03</v>
      </c>
      <c r="BC22" s="70">
        <v>435.99</v>
      </c>
      <c r="BD22" s="70">
        <v>434.96</v>
      </c>
      <c r="BE22" s="70">
        <v>433.92</v>
      </c>
      <c r="BF22" s="70">
        <v>432.88</v>
      </c>
      <c r="BG22" s="70">
        <v>431.85</v>
      </c>
      <c r="BH22" s="70">
        <v>430.81</v>
      </c>
      <c r="BI22" s="70">
        <v>429.77</v>
      </c>
      <c r="BJ22" s="70">
        <v>428.74</v>
      </c>
      <c r="BK22" s="70">
        <v>427.7</v>
      </c>
      <c r="BL22" s="70">
        <v>426.67</v>
      </c>
      <c r="BM22" s="70">
        <v>425.63</v>
      </c>
      <c r="BN22" s="70">
        <v>424.59</v>
      </c>
      <c r="BO22" s="70">
        <v>423.56</v>
      </c>
      <c r="BP22" s="70">
        <v>422.52</v>
      </c>
      <c r="BQ22" s="70">
        <v>421.48</v>
      </c>
      <c r="BR22" s="70">
        <v>420.45</v>
      </c>
      <c r="BS22" s="70">
        <v>419.41</v>
      </c>
      <c r="BT22" s="70">
        <v>418.38</v>
      </c>
      <c r="BU22" s="70">
        <v>417.34</v>
      </c>
      <c r="BV22" s="70">
        <v>416.31</v>
      </c>
      <c r="BW22" s="70">
        <v>415.27</v>
      </c>
      <c r="BX22" s="70">
        <v>414.24</v>
      </c>
      <c r="BY22" s="70">
        <v>413.2</v>
      </c>
      <c r="BZ22" s="70">
        <v>412.17</v>
      </c>
      <c r="CA22" s="70">
        <v>411.14</v>
      </c>
      <c r="CB22" s="70">
        <v>410.1</v>
      </c>
      <c r="CC22" s="70">
        <v>409.07</v>
      </c>
      <c r="CD22" s="70">
        <v>408.04</v>
      </c>
      <c r="CE22" s="70">
        <v>407.01</v>
      </c>
      <c r="CF22" s="70">
        <v>405.98</v>
      </c>
      <c r="CG22" s="70">
        <v>404.94</v>
      </c>
      <c r="CH22" s="70">
        <v>403.91</v>
      </c>
      <c r="CI22" s="70">
        <v>402.88</v>
      </c>
      <c r="CJ22" s="70">
        <v>401.85</v>
      </c>
      <c r="CK22" s="70">
        <v>400.82</v>
      </c>
      <c r="CL22" s="70">
        <v>399.79</v>
      </c>
      <c r="CM22" s="70">
        <v>398.76</v>
      </c>
      <c r="CN22" s="70">
        <v>397.72</v>
      </c>
      <c r="CO22" s="70">
        <v>396.69</v>
      </c>
      <c r="CP22" s="70">
        <v>395.66</v>
      </c>
      <c r="CQ22" s="70">
        <v>394.63</v>
      </c>
      <c r="CR22" s="70">
        <v>393.6</v>
      </c>
      <c r="CS22" s="70">
        <v>392.57</v>
      </c>
      <c r="CT22" s="70">
        <v>391.54</v>
      </c>
      <c r="CU22" s="70">
        <v>390.51</v>
      </c>
      <c r="CV22" s="70">
        <v>389.48</v>
      </c>
      <c r="CW22" s="70">
        <v>388.45</v>
      </c>
      <c r="CX22" s="70">
        <v>387.42</v>
      </c>
      <c r="CY22" s="70">
        <v>386.39</v>
      </c>
      <c r="CZ22" s="70">
        <v>385.36</v>
      </c>
      <c r="DA22" s="70">
        <v>384.34</v>
      </c>
      <c r="DB22" s="70">
        <v>383.31</v>
      </c>
      <c r="DC22" s="70">
        <v>382.28</v>
      </c>
      <c r="DD22" s="70">
        <v>381.25</v>
      </c>
      <c r="DE22" s="70">
        <v>380.23</v>
      </c>
      <c r="DF22" s="70">
        <v>379.2</v>
      </c>
      <c r="DG22" s="70">
        <v>378.17</v>
      </c>
      <c r="DH22" s="70">
        <v>377.15</v>
      </c>
      <c r="DI22" s="70">
        <v>376.12</v>
      </c>
      <c r="DJ22" s="70">
        <v>375.09</v>
      </c>
      <c r="DK22" s="70">
        <v>374.07</v>
      </c>
      <c r="DL22" s="70">
        <v>373.04</v>
      </c>
      <c r="DM22" s="70">
        <v>372.02</v>
      </c>
      <c r="DN22" s="70">
        <v>370.99</v>
      </c>
      <c r="DO22" s="70">
        <v>369.97</v>
      </c>
      <c r="DP22" s="70">
        <v>368.95</v>
      </c>
      <c r="DQ22" s="70">
        <v>367.92</v>
      </c>
      <c r="DR22" s="70">
        <v>366.9</v>
      </c>
      <c r="DS22" s="70">
        <v>365.88</v>
      </c>
      <c r="DT22" s="70">
        <v>364.86</v>
      </c>
      <c r="DU22" s="70">
        <v>363.84</v>
      </c>
      <c r="DV22" s="70">
        <v>362.82</v>
      </c>
      <c r="DW22" s="70">
        <v>361.8</v>
      </c>
      <c r="DX22" s="70">
        <v>360.78</v>
      </c>
      <c r="DY22" s="70">
        <v>359.76</v>
      </c>
      <c r="DZ22" s="70">
        <v>358.75</v>
      </c>
      <c r="EA22" s="70">
        <v>357.73</v>
      </c>
      <c r="EB22" s="70">
        <v>356.71</v>
      </c>
      <c r="EC22" s="70">
        <v>355.7</v>
      </c>
      <c r="ED22" s="70">
        <v>354.68</v>
      </c>
      <c r="EE22" s="70">
        <v>353.67</v>
      </c>
      <c r="EF22" s="70">
        <v>352.66</v>
      </c>
      <c r="EG22" s="70">
        <v>351.65</v>
      </c>
      <c r="EH22" s="70">
        <v>350.64</v>
      </c>
      <c r="EI22" s="70">
        <v>349.63</v>
      </c>
      <c r="EJ22" s="70">
        <v>348.63</v>
      </c>
      <c r="EK22" s="70">
        <v>347.62</v>
      </c>
      <c r="EL22" s="70">
        <v>346.61</v>
      </c>
      <c r="EM22" s="70">
        <v>345.6</v>
      </c>
      <c r="EN22" s="70">
        <v>344.6</v>
      </c>
      <c r="EO22" s="70">
        <v>343.59</v>
      </c>
      <c r="EP22" s="70">
        <v>342.59</v>
      </c>
      <c r="EQ22" s="70">
        <v>341.58</v>
      </c>
      <c r="ER22" s="70">
        <v>340.58</v>
      </c>
      <c r="ES22" s="70">
        <v>339.58</v>
      </c>
      <c r="ET22" s="70">
        <v>338.58</v>
      </c>
      <c r="EU22" s="70">
        <v>337.58</v>
      </c>
      <c r="EV22" s="70">
        <v>336.58</v>
      </c>
      <c r="EW22" s="70">
        <v>335.58</v>
      </c>
      <c r="EX22" s="70">
        <v>334.58</v>
      </c>
      <c r="EY22" s="70">
        <v>333.59</v>
      </c>
      <c r="EZ22" s="70">
        <v>332.59</v>
      </c>
      <c r="FA22" s="70">
        <v>331.59</v>
      </c>
      <c r="FB22" s="70">
        <v>330.59</v>
      </c>
      <c r="FC22" s="70">
        <v>329.6</v>
      </c>
      <c r="FD22" s="70">
        <v>328.6</v>
      </c>
      <c r="FE22" s="70">
        <v>327.60000000000002</v>
      </c>
      <c r="FF22" s="70">
        <v>326.62</v>
      </c>
      <c r="FG22" s="70">
        <v>325.63</v>
      </c>
      <c r="FH22" s="70">
        <v>324.64</v>
      </c>
      <c r="FI22" s="70">
        <v>323.64999999999998</v>
      </c>
      <c r="FJ22" s="70">
        <v>322.66000000000003</v>
      </c>
      <c r="FK22" s="70">
        <v>321.68</v>
      </c>
      <c r="FL22" s="70">
        <v>320.69</v>
      </c>
      <c r="FM22" s="70">
        <v>319.7</v>
      </c>
      <c r="FN22" s="70">
        <v>318.70999999999998</v>
      </c>
      <c r="FO22" s="70">
        <v>317.73</v>
      </c>
      <c r="FP22" s="70">
        <v>316.74</v>
      </c>
      <c r="FQ22" s="70">
        <v>315.76</v>
      </c>
      <c r="FR22" s="70">
        <v>314.77999999999997</v>
      </c>
      <c r="FS22" s="70">
        <v>313.79000000000002</v>
      </c>
      <c r="FT22" s="70">
        <v>312.81</v>
      </c>
      <c r="FU22" s="70">
        <v>311.82</v>
      </c>
      <c r="FV22" s="70">
        <v>310.85000000000002</v>
      </c>
      <c r="FW22" s="70">
        <v>309.87</v>
      </c>
      <c r="FX22" s="70">
        <v>308.89</v>
      </c>
      <c r="FY22" s="70">
        <v>307.91000000000003</v>
      </c>
      <c r="FZ22" s="70">
        <v>306.94</v>
      </c>
      <c r="GA22" s="70">
        <v>305.95999999999998</v>
      </c>
      <c r="GB22" s="70">
        <v>304.98</v>
      </c>
      <c r="GC22" s="70">
        <v>304.01</v>
      </c>
      <c r="GD22" s="70">
        <v>303.04000000000002</v>
      </c>
      <c r="GE22" s="70">
        <v>302.06</v>
      </c>
      <c r="GF22" s="70">
        <v>301.08999999999997</v>
      </c>
      <c r="GG22" s="70">
        <v>300.12</v>
      </c>
      <c r="GH22" s="70">
        <v>299.14999999999998</v>
      </c>
      <c r="GI22" s="70">
        <v>298.18</v>
      </c>
      <c r="GJ22" s="70">
        <v>297.20999999999998</v>
      </c>
      <c r="GK22" s="70">
        <v>296.24</v>
      </c>
      <c r="GL22" s="70">
        <v>295.26</v>
      </c>
      <c r="GM22" s="70">
        <v>294.29000000000002</v>
      </c>
      <c r="GN22" s="70">
        <v>293.33999999999997</v>
      </c>
      <c r="GO22" s="70">
        <v>292.38</v>
      </c>
      <c r="GP22" s="70">
        <v>291.42</v>
      </c>
      <c r="GQ22" s="70">
        <v>290.45999999999998</v>
      </c>
      <c r="GR22" s="70">
        <v>289.5</v>
      </c>
      <c r="GS22" s="70">
        <v>288.54000000000002</v>
      </c>
      <c r="GT22" s="70">
        <v>287.58999999999997</v>
      </c>
      <c r="GU22" s="70">
        <v>286.63</v>
      </c>
      <c r="GV22" s="70">
        <v>285.68</v>
      </c>
      <c r="GW22" s="70">
        <v>284.72000000000003</v>
      </c>
      <c r="GX22" s="70">
        <v>283.76</v>
      </c>
      <c r="GY22" s="70">
        <v>282.82</v>
      </c>
      <c r="GZ22" s="70">
        <v>281.87</v>
      </c>
      <c r="HA22" s="70">
        <v>280.92</v>
      </c>
      <c r="HB22" s="70">
        <v>279.97000000000003</v>
      </c>
      <c r="HC22" s="70">
        <v>279.01</v>
      </c>
      <c r="HD22" s="70">
        <v>278.07</v>
      </c>
      <c r="HE22" s="70">
        <v>277.13</v>
      </c>
      <c r="HF22" s="70">
        <v>276.19</v>
      </c>
      <c r="HG22" s="70">
        <v>275.24</v>
      </c>
      <c r="HH22" s="70">
        <v>274.29000000000002</v>
      </c>
      <c r="HI22" s="70">
        <v>273.35000000000002</v>
      </c>
      <c r="HJ22" s="70">
        <v>272.42</v>
      </c>
      <c r="HK22" s="70">
        <v>271.48</v>
      </c>
      <c r="HL22" s="70">
        <v>270.54000000000002</v>
      </c>
      <c r="HM22" s="70">
        <v>269.62</v>
      </c>
      <c r="HN22" s="70">
        <v>268.68</v>
      </c>
      <c r="HO22" s="70">
        <v>267.76</v>
      </c>
      <c r="HP22" s="70">
        <v>266.82</v>
      </c>
      <c r="HQ22" s="70">
        <v>265.89999999999998</v>
      </c>
      <c r="HR22" s="70">
        <v>264.97000000000003</v>
      </c>
      <c r="HS22" s="70">
        <v>264.04000000000002</v>
      </c>
      <c r="HT22" s="70">
        <v>263.12</v>
      </c>
      <c r="HU22" s="70">
        <v>262.2</v>
      </c>
      <c r="HV22" s="70">
        <v>261.27999999999997</v>
      </c>
      <c r="HW22" s="70">
        <v>260.35000000000002</v>
      </c>
      <c r="HX22" s="70">
        <v>259.44</v>
      </c>
      <c r="HY22" s="70">
        <v>258.51</v>
      </c>
      <c r="HZ22" s="70">
        <v>257.60000000000002</v>
      </c>
      <c r="IA22" s="70">
        <v>256.68</v>
      </c>
      <c r="IB22" s="70">
        <v>255.77</v>
      </c>
      <c r="IC22" s="70">
        <v>254.85</v>
      </c>
      <c r="ID22" s="70">
        <v>253.94</v>
      </c>
      <c r="IE22" s="70">
        <v>253.03</v>
      </c>
      <c r="IF22" s="70">
        <v>252.11</v>
      </c>
      <c r="IG22" s="70">
        <v>251.2</v>
      </c>
      <c r="IH22" s="70">
        <v>250.29</v>
      </c>
      <c r="II22" s="70">
        <v>249.38</v>
      </c>
      <c r="IJ22" s="70">
        <v>248.48</v>
      </c>
      <c r="IK22" s="70">
        <v>247.57</v>
      </c>
      <c r="IL22" s="70">
        <v>246.67</v>
      </c>
      <c r="IM22" s="70">
        <v>245.77</v>
      </c>
      <c r="IN22" s="70">
        <v>244.86</v>
      </c>
      <c r="IO22" s="70">
        <v>243.96</v>
      </c>
      <c r="IP22" s="70">
        <v>243.06</v>
      </c>
      <c r="IQ22" s="70">
        <v>242.17</v>
      </c>
      <c r="IR22" s="70">
        <v>241.27</v>
      </c>
      <c r="IS22" s="70">
        <v>240.37</v>
      </c>
      <c r="IT22" s="70">
        <v>239.48</v>
      </c>
      <c r="IU22" s="70">
        <v>238.58</v>
      </c>
      <c r="IV22" s="70">
        <v>237.7</v>
      </c>
      <c r="IW22" s="70">
        <v>236.81</v>
      </c>
      <c r="IX22" s="70">
        <v>235.93</v>
      </c>
      <c r="IY22" s="70">
        <v>235.05</v>
      </c>
      <c r="IZ22" s="70">
        <v>234.17</v>
      </c>
      <c r="JA22" s="70">
        <v>233.29</v>
      </c>
      <c r="JB22" s="70">
        <v>232.41</v>
      </c>
      <c r="JC22" s="70">
        <v>231.53</v>
      </c>
      <c r="JD22" s="70">
        <v>230.66</v>
      </c>
      <c r="JE22" s="70">
        <v>229.78</v>
      </c>
      <c r="JF22" s="70">
        <v>228.91</v>
      </c>
      <c r="JG22" s="70">
        <v>228.03</v>
      </c>
      <c r="JH22" s="70">
        <v>227.16</v>
      </c>
      <c r="JI22" s="70">
        <v>226.29</v>
      </c>
      <c r="JJ22" s="70">
        <v>225.42</v>
      </c>
      <c r="JK22" s="70">
        <v>224.56</v>
      </c>
      <c r="JL22" s="70">
        <v>223.69</v>
      </c>
      <c r="JM22" s="70">
        <v>222.82</v>
      </c>
      <c r="JN22" s="70">
        <v>221.96</v>
      </c>
      <c r="JO22" s="70">
        <v>221.1</v>
      </c>
      <c r="JP22" s="70">
        <v>220.23</v>
      </c>
      <c r="JQ22" s="70">
        <v>219.37</v>
      </c>
      <c r="JR22" s="70">
        <v>218.51</v>
      </c>
      <c r="JS22" s="70">
        <v>217.65</v>
      </c>
      <c r="JT22" s="70">
        <v>216.79</v>
      </c>
      <c r="JU22" s="70">
        <v>215.93</v>
      </c>
      <c r="JV22" s="70">
        <v>215.07</v>
      </c>
      <c r="JW22" s="70">
        <v>214.21</v>
      </c>
      <c r="JX22" s="70">
        <v>213.35</v>
      </c>
      <c r="JY22" s="70">
        <v>212.49</v>
      </c>
      <c r="JZ22" s="70">
        <v>211.63</v>
      </c>
      <c r="KA22" s="70">
        <v>210.78</v>
      </c>
      <c r="KB22" s="70">
        <v>209.92</v>
      </c>
      <c r="KC22" s="70">
        <v>209.07</v>
      </c>
      <c r="KD22" s="70">
        <v>208.21</v>
      </c>
      <c r="KE22" s="70">
        <v>207.36</v>
      </c>
      <c r="KF22" s="70">
        <v>206.51</v>
      </c>
      <c r="KG22" s="70">
        <v>205.66</v>
      </c>
      <c r="KH22" s="70">
        <v>204.81</v>
      </c>
      <c r="KI22" s="70">
        <v>203.96</v>
      </c>
      <c r="KJ22" s="70">
        <v>203.12</v>
      </c>
      <c r="KK22" s="70">
        <v>202.27</v>
      </c>
      <c r="KL22" s="70">
        <v>201.43</v>
      </c>
      <c r="KM22" s="70">
        <v>200.58</v>
      </c>
      <c r="KN22" s="70">
        <v>199.74</v>
      </c>
      <c r="KO22" s="70">
        <v>198.9</v>
      </c>
      <c r="KP22" s="70">
        <v>198.06</v>
      </c>
      <c r="KQ22" s="70">
        <v>197.22</v>
      </c>
      <c r="KR22" s="74">
        <f t="shared" ref="KR22:LG37" si="22">KR21+0.75</f>
        <v>196.52</v>
      </c>
      <c r="KS22" s="74">
        <f t="shared" si="22"/>
        <v>195.73</v>
      </c>
      <c r="KT22" s="74">
        <f t="shared" si="22"/>
        <v>194.91</v>
      </c>
      <c r="KU22" s="74">
        <f t="shared" si="22"/>
        <v>194.12</v>
      </c>
      <c r="KV22" s="74">
        <f t="shared" si="22"/>
        <v>193.34</v>
      </c>
      <c r="KW22" s="74">
        <f t="shared" si="22"/>
        <v>192.55</v>
      </c>
      <c r="KX22" s="74">
        <f t="shared" si="22"/>
        <v>191.76</v>
      </c>
      <c r="KY22" s="74">
        <f t="shared" si="22"/>
        <v>190.98</v>
      </c>
      <c r="KZ22" s="74">
        <f t="shared" si="22"/>
        <v>190.19</v>
      </c>
      <c r="LA22" s="74">
        <f t="shared" si="22"/>
        <v>189.41</v>
      </c>
      <c r="LB22" s="74">
        <f t="shared" si="22"/>
        <v>188.63</v>
      </c>
      <c r="LC22" s="74">
        <f t="shared" si="22"/>
        <v>187.85</v>
      </c>
      <c r="LD22" s="74">
        <f t="shared" si="22"/>
        <v>187.07</v>
      </c>
      <c r="LE22" s="74">
        <f t="shared" si="22"/>
        <v>186.29</v>
      </c>
      <c r="LF22" s="74">
        <f t="shared" si="22"/>
        <v>185.52</v>
      </c>
      <c r="LG22" s="74">
        <f t="shared" si="22"/>
        <v>184.75</v>
      </c>
      <c r="LH22" s="74">
        <f t="shared" si="21"/>
        <v>183.97</v>
      </c>
      <c r="LI22" s="74">
        <f t="shared" si="21"/>
        <v>183.2</v>
      </c>
      <c r="LJ22" s="74">
        <f t="shared" si="17"/>
        <v>182.43</v>
      </c>
      <c r="LK22" s="74">
        <f t="shared" si="17"/>
        <v>181.66</v>
      </c>
      <c r="LL22" s="74">
        <f t="shared" si="17"/>
        <v>180.89</v>
      </c>
      <c r="LM22" s="74">
        <f t="shared" si="17"/>
        <v>180.13</v>
      </c>
      <c r="LN22" s="74">
        <f t="shared" si="17"/>
        <v>179.36</v>
      </c>
      <c r="LO22" s="74">
        <f t="shared" si="17"/>
        <v>178.6</v>
      </c>
      <c r="LP22" s="74">
        <f t="shared" si="17"/>
        <v>177.84</v>
      </c>
      <c r="LQ22" s="74">
        <f t="shared" si="17"/>
        <v>177.08</v>
      </c>
      <c r="LR22" s="74">
        <f t="shared" si="17"/>
        <v>176.32</v>
      </c>
      <c r="LS22" s="74">
        <f t="shared" si="17"/>
        <v>175.56</v>
      </c>
      <c r="LT22" s="74">
        <f t="shared" si="17"/>
        <v>174.81</v>
      </c>
      <c r="LU22" s="74">
        <f t="shared" si="17"/>
        <v>174.06</v>
      </c>
      <c r="LV22" s="74">
        <f t="shared" si="17"/>
        <v>173.3</v>
      </c>
      <c r="LW22" s="74">
        <f t="shared" si="17"/>
        <v>172.55</v>
      </c>
      <c r="LX22" s="74">
        <f t="shared" si="17"/>
        <v>171.8</v>
      </c>
      <c r="LY22" s="74">
        <f t="shared" si="17"/>
        <v>171.05</v>
      </c>
      <c r="LZ22" s="74">
        <f t="shared" si="19"/>
        <v>170.31</v>
      </c>
      <c r="MA22" s="74">
        <f t="shared" si="19"/>
        <v>169.56</v>
      </c>
      <c r="MB22" s="74">
        <f t="shared" si="19"/>
        <v>168.82</v>
      </c>
      <c r="MC22" s="74">
        <f t="shared" si="19"/>
        <v>168.08</v>
      </c>
      <c r="MD22" s="74">
        <f t="shared" si="19"/>
        <v>167.34</v>
      </c>
      <c r="ME22" s="74">
        <f t="shared" si="19"/>
        <v>166.61</v>
      </c>
      <c r="MF22" s="74">
        <f t="shared" si="19"/>
        <v>165.87</v>
      </c>
      <c r="MG22" s="74">
        <f t="shared" si="19"/>
        <v>165.14</v>
      </c>
      <c r="MH22" s="74">
        <f t="shared" si="19"/>
        <v>164.4</v>
      </c>
      <c r="MI22" s="74">
        <f t="shared" si="19"/>
        <v>163.66999999999999</v>
      </c>
      <c r="MJ22" s="74">
        <f t="shared" si="19"/>
        <v>162.94</v>
      </c>
      <c r="MK22" s="74">
        <f t="shared" si="19"/>
        <v>162.21</v>
      </c>
      <c r="ML22" s="74">
        <f t="shared" si="19"/>
        <v>161.49</v>
      </c>
      <c r="MM22" s="74">
        <f t="shared" si="19"/>
        <v>160.76</v>
      </c>
      <c r="MN22" s="74">
        <f t="shared" si="19"/>
        <v>160.04</v>
      </c>
      <c r="MO22" s="74">
        <f t="shared" si="19"/>
        <v>159.32</v>
      </c>
      <c r="MP22" s="74">
        <f t="shared" si="19"/>
        <v>158.6</v>
      </c>
      <c r="MQ22" s="74">
        <f t="shared" si="19"/>
        <v>157.88999999999999</v>
      </c>
      <c r="MR22" s="74">
        <f t="shared" si="19"/>
        <v>157.16999999999999</v>
      </c>
      <c r="MS22" s="74">
        <f t="shared" si="19"/>
        <v>156.46</v>
      </c>
      <c r="MT22" s="74">
        <f t="shared" si="18"/>
        <v>155.74</v>
      </c>
      <c r="MU22" s="74">
        <f t="shared" si="18"/>
        <v>155.03</v>
      </c>
      <c r="MV22" s="74">
        <f t="shared" si="18"/>
        <v>154.32</v>
      </c>
      <c r="MW22" s="74">
        <f t="shared" si="18"/>
        <v>153.62</v>
      </c>
      <c r="MX22" s="74">
        <f t="shared" si="18"/>
        <v>152.91</v>
      </c>
      <c r="MY22" s="74">
        <f t="shared" si="18"/>
        <v>152.21</v>
      </c>
    </row>
    <row r="23" spans="1:363" ht="15.6" x14ac:dyDescent="0.3">
      <c r="A23" s="67" t="s">
        <v>6</v>
      </c>
      <c r="B23" s="72">
        <v>2033</v>
      </c>
      <c r="C23" s="70">
        <v>490.88</v>
      </c>
      <c r="D23" s="70">
        <v>489.84</v>
      </c>
      <c r="E23" s="70">
        <v>488.8</v>
      </c>
      <c r="F23" s="70">
        <v>487.76</v>
      </c>
      <c r="G23" s="70">
        <v>486.72</v>
      </c>
      <c r="H23" s="70">
        <v>485.69</v>
      </c>
      <c r="I23" s="70">
        <v>484.65</v>
      </c>
      <c r="J23" s="70">
        <v>483.61</v>
      </c>
      <c r="K23" s="70">
        <v>482.57</v>
      </c>
      <c r="L23" s="70">
        <v>481.53</v>
      </c>
      <c r="M23" s="70">
        <v>480.5</v>
      </c>
      <c r="N23" s="70">
        <v>479.46</v>
      </c>
      <c r="O23" s="70">
        <v>478.42</v>
      </c>
      <c r="P23" s="70">
        <v>477.38</v>
      </c>
      <c r="Q23" s="70">
        <v>476.34</v>
      </c>
      <c r="R23" s="70">
        <v>475.31</v>
      </c>
      <c r="S23" s="70">
        <v>474.27</v>
      </c>
      <c r="T23" s="70">
        <v>473.23</v>
      </c>
      <c r="U23" s="70">
        <v>472.19</v>
      </c>
      <c r="V23" s="70">
        <v>471.16</v>
      </c>
      <c r="W23" s="70">
        <v>470.12</v>
      </c>
      <c r="X23" s="70">
        <v>469.08</v>
      </c>
      <c r="Y23" s="70">
        <v>468.04</v>
      </c>
      <c r="Z23" s="70">
        <v>467</v>
      </c>
      <c r="AA23" s="70">
        <v>465.97</v>
      </c>
      <c r="AB23" s="70">
        <v>464.93</v>
      </c>
      <c r="AC23" s="70">
        <v>463.89</v>
      </c>
      <c r="AD23" s="70">
        <v>462.86</v>
      </c>
      <c r="AE23" s="70">
        <v>461.82</v>
      </c>
      <c r="AF23" s="70">
        <v>460.78</v>
      </c>
      <c r="AG23" s="70">
        <v>459.74</v>
      </c>
      <c r="AH23" s="70">
        <v>458.71</v>
      </c>
      <c r="AI23" s="70">
        <v>457.67</v>
      </c>
      <c r="AJ23" s="70">
        <v>456.63</v>
      </c>
      <c r="AK23" s="70">
        <v>455.59</v>
      </c>
      <c r="AL23" s="70">
        <v>454.56</v>
      </c>
      <c r="AM23" s="70">
        <v>453.52</v>
      </c>
      <c r="AN23" s="70">
        <v>452.48</v>
      </c>
      <c r="AO23" s="70">
        <v>451.45</v>
      </c>
      <c r="AP23" s="70">
        <v>450.41</v>
      </c>
      <c r="AQ23" s="70">
        <v>449.37</v>
      </c>
      <c r="AR23" s="70">
        <v>448.33</v>
      </c>
      <c r="AS23" s="70">
        <v>447.3</v>
      </c>
      <c r="AT23" s="70">
        <v>446.26</v>
      </c>
      <c r="AU23" s="70">
        <v>445.22</v>
      </c>
      <c r="AV23" s="70">
        <v>444.19</v>
      </c>
      <c r="AW23" s="70">
        <v>443.15</v>
      </c>
      <c r="AX23" s="70">
        <v>442.11</v>
      </c>
      <c r="AY23" s="70">
        <v>441.08</v>
      </c>
      <c r="AZ23" s="70">
        <v>440.04</v>
      </c>
      <c r="BA23" s="70">
        <v>439</v>
      </c>
      <c r="BB23" s="70">
        <v>437.97</v>
      </c>
      <c r="BC23" s="70">
        <v>436.93</v>
      </c>
      <c r="BD23" s="70">
        <v>435.89</v>
      </c>
      <c r="BE23" s="70">
        <v>434.86</v>
      </c>
      <c r="BF23" s="70">
        <v>433.82</v>
      </c>
      <c r="BG23" s="70">
        <v>432.79</v>
      </c>
      <c r="BH23" s="70">
        <v>431.75</v>
      </c>
      <c r="BI23" s="70">
        <v>430.71</v>
      </c>
      <c r="BJ23" s="70">
        <v>429.68</v>
      </c>
      <c r="BK23" s="70">
        <v>428.64</v>
      </c>
      <c r="BL23" s="70">
        <v>427.6</v>
      </c>
      <c r="BM23" s="70">
        <v>426.57</v>
      </c>
      <c r="BN23" s="70">
        <v>425.53</v>
      </c>
      <c r="BO23" s="70">
        <v>424.49</v>
      </c>
      <c r="BP23" s="70">
        <v>423.46</v>
      </c>
      <c r="BQ23" s="70">
        <v>422.42</v>
      </c>
      <c r="BR23" s="70">
        <v>421.38</v>
      </c>
      <c r="BS23" s="70">
        <v>420.35</v>
      </c>
      <c r="BT23" s="70">
        <v>419.31</v>
      </c>
      <c r="BU23" s="70">
        <v>418.28</v>
      </c>
      <c r="BV23" s="70">
        <v>417.24</v>
      </c>
      <c r="BW23" s="70">
        <v>416.21</v>
      </c>
      <c r="BX23" s="70">
        <v>415.17</v>
      </c>
      <c r="BY23" s="70">
        <v>414.14</v>
      </c>
      <c r="BZ23" s="70">
        <v>413.11</v>
      </c>
      <c r="CA23" s="70">
        <v>412.07</v>
      </c>
      <c r="CB23" s="70">
        <v>411.04</v>
      </c>
      <c r="CC23" s="70">
        <v>410.01</v>
      </c>
      <c r="CD23" s="70">
        <v>408.97</v>
      </c>
      <c r="CE23" s="70">
        <v>407.94</v>
      </c>
      <c r="CF23" s="70">
        <v>406.91</v>
      </c>
      <c r="CG23" s="70">
        <v>405.88</v>
      </c>
      <c r="CH23" s="70">
        <v>404.85</v>
      </c>
      <c r="CI23" s="70">
        <v>403.81</v>
      </c>
      <c r="CJ23" s="70">
        <v>402.78</v>
      </c>
      <c r="CK23" s="70">
        <v>401.75</v>
      </c>
      <c r="CL23" s="70">
        <v>400.72</v>
      </c>
      <c r="CM23" s="70">
        <v>399.69</v>
      </c>
      <c r="CN23" s="70">
        <v>398.66</v>
      </c>
      <c r="CO23" s="70">
        <v>397.62</v>
      </c>
      <c r="CP23" s="70">
        <v>396.59</v>
      </c>
      <c r="CQ23" s="70">
        <v>395.56</v>
      </c>
      <c r="CR23" s="70">
        <v>394.53</v>
      </c>
      <c r="CS23" s="70">
        <v>393.5</v>
      </c>
      <c r="CT23" s="70">
        <v>392.47</v>
      </c>
      <c r="CU23" s="70">
        <v>391.44</v>
      </c>
      <c r="CV23" s="70">
        <v>390.41</v>
      </c>
      <c r="CW23" s="70">
        <v>389.38</v>
      </c>
      <c r="CX23" s="70">
        <v>388.35</v>
      </c>
      <c r="CY23" s="70">
        <v>387.32</v>
      </c>
      <c r="CZ23" s="70">
        <v>386.29</v>
      </c>
      <c r="DA23" s="70">
        <v>385.26</v>
      </c>
      <c r="DB23" s="70">
        <v>384.24</v>
      </c>
      <c r="DC23" s="70">
        <v>383.21</v>
      </c>
      <c r="DD23" s="70">
        <v>382.18</v>
      </c>
      <c r="DE23" s="70">
        <v>381.15</v>
      </c>
      <c r="DF23" s="70">
        <v>380.12</v>
      </c>
      <c r="DG23" s="70">
        <v>379.1</v>
      </c>
      <c r="DH23" s="70">
        <v>378.07</v>
      </c>
      <c r="DI23" s="70">
        <v>377.04</v>
      </c>
      <c r="DJ23" s="70">
        <v>376.02</v>
      </c>
      <c r="DK23" s="70">
        <v>374.99</v>
      </c>
      <c r="DL23" s="70">
        <v>373.97</v>
      </c>
      <c r="DM23" s="70">
        <v>372.94</v>
      </c>
      <c r="DN23" s="70">
        <v>371.92</v>
      </c>
      <c r="DO23" s="70">
        <v>370.89</v>
      </c>
      <c r="DP23" s="70">
        <v>369.87</v>
      </c>
      <c r="DQ23" s="70">
        <v>368.84</v>
      </c>
      <c r="DR23" s="70">
        <v>367.82</v>
      </c>
      <c r="DS23" s="70">
        <v>366.8</v>
      </c>
      <c r="DT23" s="70">
        <v>365.78</v>
      </c>
      <c r="DU23" s="70">
        <v>364.76</v>
      </c>
      <c r="DV23" s="70">
        <v>363.74</v>
      </c>
      <c r="DW23" s="70">
        <v>362.72</v>
      </c>
      <c r="DX23" s="70">
        <v>361.7</v>
      </c>
      <c r="DY23" s="70">
        <v>360.68</v>
      </c>
      <c r="DZ23" s="70">
        <v>359.66</v>
      </c>
      <c r="EA23" s="70">
        <v>358.65</v>
      </c>
      <c r="EB23" s="70">
        <v>357.63</v>
      </c>
      <c r="EC23" s="70">
        <v>356.61</v>
      </c>
      <c r="ED23" s="70">
        <v>355.6</v>
      </c>
      <c r="EE23" s="70">
        <v>354.58</v>
      </c>
      <c r="EF23" s="70">
        <v>353.57</v>
      </c>
      <c r="EG23" s="70">
        <v>352.56</v>
      </c>
      <c r="EH23" s="70">
        <v>351.55</v>
      </c>
      <c r="EI23" s="70">
        <v>350.54</v>
      </c>
      <c r="EJ23" s="70">
        <v>349.54</v>
      </c>
      <c r="EK23" s="70">
        <v>348.53</v>
      </c>
      <c r="EL23" s="70">
        <v>347.52</v>
      </c>
      <c r="EM23" s="70">
        <v>346.51</v>
      </c>
      <c r="EN23" s="70">
        <v>345.51</v>
      </c>
      <c r="EO23" s="70">
        <v>344.5</v>
      </c>
      <c r="EP23" s="70">
        <v>343.49</v>
      </c>
      <c r="EQ23" s="70">
        <v>342.49</v>
      </c>
      <c r="ER23" s="70">
        <v>341.49</v>
      </c>
      <c r="ES23" s="70">
        <v>340.49</v>
      </c>
      <c r="ET23" s="70">
        <v>339.49</v>
      </c>
      <c r="EU23" s="70">
        <v>338.48</v>
      </c>
      <c r="EV23" s="70">
        <v>337.48</v>
      </c>
      <c r="EW23" s="70">
        <v>336.49</v>
      </c>
      <c r="EX23" s="70">
        <v>335.49</v>
      </c>
      <c r="EY23" s="70">
        <v>334.49</v>
      </c>
      <c r="EZ23" s="70">
        <v>333.49</v>
      </c>
      <c r="FA23" s="70">
        <v>332.49</v>
      </c>
      <c r="FB23" s="70">
        <v>331.49</v>
      </c>
      <c r="FC23" s="70">
        <v>330.5</v>
      </c>
      <c r="FD23" s="70">
        <v>329.5</v>
      </c>
      <c r="FE23" s="70">
        <v>328.51</v>
      </c>
      <c r="FF23" s="70">
        <v>327.51</v>
      </c>
      <c r="FG23" s="70">
        <v>326.52999999999997</v>
      </c>
      <c r="FH23" s="70">
        <v>325.54000000000002</v>
      </c>
      <c r="FI23" s="70">
        <v>324.54000000000002</v>
      </c>
      <c r="FJ23" s="70">
        <v>323.56</v>
      </c>
      <c r="FK23" s="70">
        <v>322.57</v>
      </c>
      <c r="FL23" s="70">
        <v>321.57</v>
      </c>
      <c r="FM23" s="70">
        <v>320.58999999999997</v>
      </c>
      <c r="FN23" s="70">
        <v>319.60000000000002</v>
      </c>
      <c r="FO23" s="70">
        <v>318.62</v>
      </c>
      <c r="FP23" s="70">
        <v>317.63</v>
      </c>
      <c r="FQ23" s="70">
        <v>316.64999999999998</v>
      </c>
      <c r="FR23" s="70">
        <v>315.67</v>
      </c>
      <c r="FS23" s="70">
        <v>314.68</v>
      </c>
      <c r="FT23" s="70">
        <v>313.7</v>
      </c>
      <c r="FU23" s="70">
        <v>312.72000000000003</v>
      </c>
      <c r="FV23" s="70">
        <v>311.74</v>
      </c>
      <c r="FW23" s="70">
        <v>310.76</v>
      </c>
      <c r="FX23" s="70">
        <v>309.77999999999997</v>
      </c>
      <c r="FY23" s="70">
        <v>308.79000000000002</v>
      </c>
      <c r="FZ23" s="70">
        <v>307.82</v>
      </c>
      <c r="GA23" s="70">
        <v>306.83999999999997</v>
      </c>
      <c r="GB23" s="70">
        <v>305.85000000000002</v>
      </c>
      <c r="GC23" s="70">
        <v>304.89</v>
      </c>
      <c r="GD23" s="70">
        <v>303.91000000000003</v>
      </c>
      <c r="GE23" s="70">
        <v>302.94</v>
      </c>
      <c r="GF23" s="70">
        <v>301.97000000000003</v>
      </c>
      <c r="GG23" s="70">
        <v>300.99</v>
      </c>
      <c r="GH23" s="70">
        <v>300.01</v>
      </c>
      <c r="GI23" s="70">
        <v>299.04000000000002</v>
      </c>
      <c r="GJ23" s="70">
        <v>298.07</v>
      </c>
      <c r="GK23" s="70">
        <v>297.10000000000002</v>
      </c>
      <c r="GL23" s="70">
        <v>296.14</v>
      </c>
      <c r="GM23" s="70">
        <v>295.17</v>
      </c>
      <c r="GN23" s="70">
        <v>294.20999999999998</v>
      </c>
      <c r="GO23" s="70">
        <v>293.25</v>
      </c>
      <c r="GP23" s="70">
        <v>292.29000000000002</v>
      </c>
      <c r="GQ23" s="70">
        <v>291.32</v>
      </c>
      <c r="GR23" s="70">
        <v>290.37</v>
      </c>
      <c r="GS23" s="70">
        <v>289.41000000000003</v>
      </c>
      <c r="GT23" s="70">
        <v>288.45</v>
      </c>
      <c r="GU23" s="70">
        <v>287.5</v>
      </c>
      <c r="GV23" s="70">
        <v>286.54000000000002</v>
      </c>
      <c r="GW23" s="70">
        <v>285.57</v>
      </c>
      <c r="GX23" s="70">
        <v>284.63</v>
      </c>
      <c r="GY23" s="70">
        <v>283.68</v>
      </c>
      <c r="GZ23" s="70">
        <v>282.72000000000003</v>
      </c>
      <c r="HA23" s="70">
        <v>281.76</v>
      </c>
      <c r="HB23" s="70">
        <v>280.82</v>
      </c>
      <c r="HC23" s="70">
        <v>279.88</v>
      </c>
      <c r="HD23" s="70">
        <v>278.93</v>
      </c>
      <c r="HE23" s="70">
        <v>277.98</v>
      </c>
      <c r="HF23" s="70">
        <v>277.04000000000002</v>
      </c>
      <c r="HG23" s="70">
        <v>276.08999999999997</v>
      </c>
      <c r="HH23" s="70">
        <v>275.14999999999998</v>
      </c>
      <c r="HI23" s="70">
        <v>274.20999999999998</v>
      </c>
      <c r="HJ23" s="70">
        <v>273.26</v>
      </c>
      <c r="HK23" s="70">
        <v>272.32</v>
      </c>
      <c r="HL23" s="70">
        <v>271.39</v>
      </c>
      <c r="HM23" s="70">
        <v>270.45999999999998</v>
      </c>
      <c r="HN23" s="70">
        <v>269.52999999999997</v>
      </c>
      <c r="HO23" s="70">
        <v>268.58999999999997</v>
      </c>
      <c r="HP23" s="70">
        <v>267.67</v>
      </c>
      <c r="HQ23" s="70">
        <v>266.74</v>
      </c>
      <c r="HR23" s="70">
        <v>265.81</v>
      </c>
      <c r="HS23" s="70">
        <v>264.88</v>
      </c>
      <c r="HT23" s="70">
        <v>263.95999999999998</v>
      </c>
      <c r="HU23" s="70">
        <v>263.02999999999997</v>
      </c>
      <c r="HV23" s="70">
        <v>262.10000000000002</v>
      </c>
      <c r="HW23" s="70">
        <v>261.18</v>
      </c>
      <c r="HX23" s="70">
        <v>260.26</v>
      </c>
      <c r="HY23" s="70">
        <v>259.33999999999997</v>
      </c>
      <c r="HZ23" s="70">
        <v>258.43</v>
      </c>
      <c r="IA23" s="70">
        <v>257.51</v>
      </c>
      <c r="IB23" s="70">
        <v>256.58999999999997</v>
      </c>
      <c r="IC23" s="70">
        <v>255.67</v>
      </c>
      <c r="ID23" s="70">
        <v>254.76</v>
      </c>
      <c r="IE23" s="70">
        <v>253.85</v>
      </c>
      <c r="IF23" s="70">
        <v>252.93</v>
      </c>
      <c r="IG23" s="70">
        <v>252.02</v>
      </c>
      <c r="IH23" s="70">
        <v>251.11</v>
      </c>
      <c r="II23" s="70">
        <v>250.2</v>
      </c>
      <c r="IJ23" s="70">
        <v>249.29</v>
      </c>
      <c r="IK23" s="70">
        <v>248.38</v>
      </c>
      <c r="IL23" s="70">
        <v>247.48</v>
      </c>
      <c r="IM23" s="70">
        <v>246.57</v>
      </c>
      <c r="IN23" s="70">
        <v>245.67</v>
      </c>
      <c r="IO23" s="70">
        <v>244.77</v>
      </c>
      <c r="IP23" s="70">
        <v>243.87</v>
      </c>
      <c r="IQ23" s="70">
        <v>242.97</v>
      </c>
      <c r="IR23" s="70">
        <v>242.07</v>
      </c>
      <c r="IS23" s="70">
        <v>241.17</v>
      </c>
      <c r="IT23" s="70">
        <v>240.27</v>
      </c>
      <c r="IU23" s="70">
        <v>239.38</v>
      </c>
      <c r="IV23" s="70">
        <v>238.49</v>
      </c>
      <c r="IW23" s="70">
        <v>237.61</v>
      </c>
      <c r="IX23" s="70">
        <v>236.72</v>
      </c>
      <c r="IY23" s="70">
        <v>235.84</v>
      </c>
      <c r="IZ23" s="70">
        <v>234.96</v>
      </c>
      <c r="JA23" s="70">
        <v>234.08</v>
      </c>
      <c r="JB23" s="70">
        <v>233.2</v>
      </c>
      <c r="JC23" s="70">
        <v>232.32</v>
      </c>
      <c r="JD23" s="70">
        <v>231.44</v>
      </c>
      <c r="JE23" s="70">
        <v>230.56</v>
      </c>
      <c r="JF23" s="70">
        <v>229.69</v>
      </c>
      <c r="JG23" s="70">
        <v>228.81</v>
      </c>
      <c r="JH23" s="70">
        <v>227.94</v>
      </c>
      <c r="JI23" s="70">
        <v>227.07</v>
      </c>
      <c r="JJ23" s="70">
        <v>226.2</v>
      </c>
      <c r="JK23" s="70">
        <v>225.33</v>
      </c>
      <c r="JL23" s="70">
        <v>224.46</v>
      </c>
      <c r="JM23" s="70">
        <v>223.59</v>
      </c>
      <c r="JN23" s="70">
        <v>222.73</v>
      </c>
      <c r="JO23" s="70">
        <v>221.86</v>
      </c>
      <c r="JP23" s="70">
        <v>221</v>
      </c>
      <c r="JQ23" s="70">
        <v>220.14</v>
      </c>
      <c r="JR23" s="70">
        <v>219.27</v>
      </c>
      <c r="JS23" s="70">
        <v>218.41</v>
      </c>
      <c r="JT23" s="70">
        <v>217.55</v>
      </c>
      <c r="JU23" s="70">
        <v>216.68</v>
      </c>
      <c r="JV23" s="70">
        <v>215.82</v>
      </c>
      <c r="JW23" s="70">
        <v>214.96</v>
      </c>
      <c r="JX23" s="70">
        <v>214.1</v>
      </c>
      <c r="JY23" s="70">
        <v>213.24</v>
      </c>
      <c r="JZ23" s="70">
        <v>212.38</v>
      </c>
      <c r="KA23" s="70">
        <v>211.52</v>
      </c>
      <c r="KB23" s="70">
        <v>210.66</v>
      </c>
      <c r="KC23" s="70">
        <v>209.81</v>
      </c>
      <c r="KD23" s="70">
        <v>208.95</v>
      </c>
      <c r="KE23" s="70">
        <v>208.1</v>
      </c>
      <c r="KF23" s="70">
        <v>207.24</v>
      </c>
      <c r="KG23" s="70">
        <v>206.39</v>
      </c>
      <c r="KH23" s="70">
        <v>205.54</v>
      </c>
      <c r="KI23" s="70">
        <v>204.69</v>
      </c>
      <c r="KJ23" s="70">
        <v>203.84</v>
      </c>
      <c r="KK23" s="70">
        <v>203</v>
      </c>
      <c r="KL23" s="70">
        <v>202.15</v>
      </c>
      <c r="KM23" s="70">
        <v>201.31</v>
      </c>
      <c r="KN23" s="70">
        <v>200.46</v>
      </c>
      <c r="KO23" s="70">
        <v>199.62</v>
      </c>
      <c r="KP23" s="70">
        <v>198.78</v>
      </c>
      <c r="KQ23" s="70">
        <v>197.94</v>
      </c>
      <c r="KR23" s="74">
        <f t="shared" si="22"/>
        <v>197.27</v>
      </c>
      <c r="KS23" s="74">
        <f t="shared" si="22"/>
        <v>196.48</v>
      </c>
      <c r="KT23" s="74">
        <f t="shared" si="22"/>
        <v>195.66</v>
      </c>
      <c r="KU23" s="74">
        <f t="shared" si="22"/>
        <v>194.87</v>
      </c>
      <c r="KV23" s="74">
        <f t="shared" si="22"/>
        <v>194.09</v>
      </c>
      <c r="KW23" s="74">
        <f t="shared" si="22"/>
        <v>193.3</v>
      </c>
      <c r="KX23" s="74">
        <f t="shared" si="22"/>
        <v>192.51</v>
      </c>
      <c r="KY23" s="74">
        <f t="shared" si="22"/>
        <v>191.73</v>
      </c>
      <c r="KZ23" s="74">
        <f t="shared" si="22"/>
        <v>190.94</v>
      </c>
      <c r="LA23" s="74">
        <f t="shared" si="22"/>
        <v>190.16</v>
      </c>
      <c r="LB23" s="74">
        <f t="shared" si="22"/>
        <v>189.38</v>
      </c>
      <c r="LC23" s="74">
        <f t="shared" si="22"/>
        <v>188.6</v>
      </c>
      <c r="LD23" s="74">
        <f t="shared" si="22"/>
        <v>187.82</v>
      </c>
      <c r="LE23" s="74">
        <f t="shared" si="22"/>
        <v>187.04</v>
      </c>
      <c r="LF23" s="74">
        <f t="shared" si="22"/>
        <v>186.27</v>
      </c>
      <c r="LG23" s="74">
        <f t="shared" si="22"/>
        <v>185.5</v>
      </c>
      <c r="LH23" s="74">
        <f t="shared" si="21"/>
        <v>184.72</v>
      </c>
      <c r="LI23" s="74">
        <f t="shared" si="21"/>
        <v>183.95</v>
      </c>
      <c r="LJ23" s="74">
        <f t="shared" si="17"/>
        <v>183.18</v>
      </c>
      <c r="LK23" s="74">
        <f t="shared" si="17"/>
        <v>182.41</v>
      </c>
      <c r="LL23" s="74">
        <f t="shared" si="17"/>
        <v>181.64</v>
      </c>
      <c r="LM23" s="74">
        <f t="shared" si="17"/>
        <v>180.88</v>
      </c>
      <c r="LN23" s="74">
        <f t="shared" si="17"/>
        <v>180.11</v>
      </c>
      <c r="LO23" s="74">
        <f t="shared" si="17"/>
        <v>179.35</v>
      </c>
      <c r="LP23" s="74">
        <f t="shared" si="17"/>
        <v>178.59</v>
      </c>
      <c r="LQ23" s="74">
        <f t="shared" si="17"/>
        <v>177.83</v>
      </c>
      <c r="LR23" s="74">
        <f t="shared" si="17"/>
        <v>177.07</v>
      </c>
      <c r="LS23" s="74">
        <f t="shared" si="17"/>
        <v>176.31</v>
      </c>
      <c r="LT23" s="74">
        <f t="shared" si="17"/>
        <v>175.56</v>
      </c>
      <c r="LU23" s="74">
        <f t="shared" si="17"/>
        <v>174.81</v>
      </c>
      <c r="LV23" s="74">
        <f t="shared" si="17"/>
        <v>174.05</v>
      </c>
      <c r="LW23" s="74">
        <f t="shared" si="17"/>
        <v>173.3</v>
      </c>
      <c r="LX23" s="74">
        <f t="shared" si="17"/>
        <v>172.55</v>
      </c>
      <c r="LY23" s="74">
        <f t="shared" si="17"/>
        <v>171.8</v>
      </c>
      <c r="LZ23" s="74">
        <f t="shared" si="19"/>
        <v>171.06</v>
      </c>
      <c r="MA23" s="74">
        <f t="shared" si="19"/>
        <v>170.31</v>
      </c>
      <c r="MB23" s="74">
        <f t="shared" si="19"/>
        <v>169.57</v>
      </c>
      <c r="MC23" s="74">
        <f t="shared" si="19"/>
        <v>168.83</v>
      </c>
      <c r="MD23" s="74">
        <f t="shared" si="19"/>
        <v>168.09</v>
      </c>
      <c r="ME23" s="74">
        <f t="shared" si="19"/>
        <v>167.36</v>
      </c>
      <c r="MF23" s="74">
        <f t="shared" si="19"/>
        <v>166.62</v>
      </c>
      <c r="MG23" s="74">
        <f t="shared" si="19"/>
        <v>165.89</v>
      </c>
      <c r="MH23" s="74">
        <f t="shared" si="19"/>
        <v>165.15</v>
      </c>
      <c r="MI23" s="74">
        <f t="shared" si="19"/>
        <v>164.42</v>
      </c>
      <c r="MJ23" s="74">
        <f t="shared" si="19"/>
        <v>163.69</v>
      </c>
      <c r="MK23" s="74">
        <f t="shared" si="19"/>
        <v>162.96</v>
      </c>
      <c r="ML23" s="74">
        <f t="shared" si="19"/>
        <v>162.24</v>
      </c>
      <c r="MM23" s="74">
        <f t="shared" si="19"/>
        <v>161.51</v>
      </c>
      <c r="MN23" s="74">
        <f t="shared" si="19"/>
        <v>160.79</v>
      </c>
      <c r="MO23" s="74">
        <f>MO22+0.75</f>
        <v>160.07</v>
      </c>
      <c r="MP23" s="74">
        <f t="shared" si="19"/>
        <v>159.35</v>
      </c>
      <c r="MQ23" s="74">
        <f t="shared" si="19"/>
        <v>158.63999999999999</v>
      </c>
      <c r="MR23" s="74">
        <f t="shared" si="19"/>
        <v>157.91999999999999</v>
      </c>
      <c r="MS23" s="74">
        <f t="shared" si="19"/>
        <v>157.21</v>
      </c>
      <c r="MT23" s="74">
        <f t="shared" si="18"/>
        <v>156.49</v>
      </c>
      <c r="MU23" s="74">
        <f t="shared" si="18"/>
        <v>155.78</v>
      </c>
      <c r="MV23" s="74">
        <f t="shared" si="18"/>
        <v>155.07</v>
      </c>
      <c r="MW23" s="74">
        <f t="shared" si="18"/>
        <v>154.37</v>
      </c>
      <c r="MX23" s="74">
        <f t="shared" si="18"/>
        <v>153.66</v>
      </c>
      <c r="MY23" s="74">
        <f t="shared" si="18"/>
        <v>152.96</v>
      </c>
    </row>
    <row r="24" spans="1:363" ht="15.6" x14ac:dyDescent="0.3">
      <c r="A24" s="67" t="s">
        <v>6</v>
      </c>
      <c r="B24" s="72">
        <v>2034</v>
      </c>
      <c r="C24" s="70">
        <v>491.81</v>
      </c>
      <c r="D24" s="70">
        <v>490.77</v>
      </c>
      <c r="E24" s="70">
        <v>489.73</v>
      </c>
      <c r="F24" s="70">
        <v>488.69</v>
      </c>
      <c r="G24" s="70">
        <v>487.65</v>
      </c>
      <c r="H24" s="70">
        <v>486.62</v>
      </c>
      <c r="I24" s="70">
        <v>485.58</v>
      </c>
      <c r="J24" s="70">
        <v>484.54</v>
      </c>
      <c r="K24" s="70">
        <v>483.5</v>
      </c>
      <c r="L24" s="70">
        <v>482.46</v>
      </c>
      <c r="M24" s="70">
        <v>481.43</v>
      </c>
      <c r="N24" s="70">
        <v>480.39</v>
      </c>
      <c r="O24" s="70">
        <v>479.35</v>
      </c>
      <c r="P24" s="70">
        <v>478.31</v>
      </c>
      <c r="Q24" s="70">
        <v>477.28</v>
      </c>
      <c r="R24" s="70">
        <v>476.24</v>
      </c>
      <c r="S24" s="70">
        <v>475.2</v>
      </c>
      <c r="T24" s="70">
        <v>474.16</v>
      </c>
      <c r="U24" s="70">
        <v>473.13</v>
      </c>
      <c r="V24" s="70">
        <v>472.09</v>
      </c>
      <c r="W24" s="70">
        <v>471.05</v>
      </c>
      <c r="X24" s="70">
        <v>470.01</v>
      </c>
      <c r="Y24" s="70">
        <v>468.97</v>
      </c>
      <c r="Z24" s="70">
        <v>467.94</v>
      </c>
      <c r="AA24" s="70">
        <v>466.9</v>
      </c>
      <c r="AB24" s="70">
        <v>465.86</v>
      </c>
      <c r="AC24" s="70">
        <v>464.82</v>
      </c>
      <c r="AD24" s="70">
        <v>463.79</v>
      </c>
      <c r="AE24" s="70">
        <v>462.75</v>
      </c>
      <c r="AF24" s="70">
        <v>461.71</v>
      </c>
      <c r="AG24" s="70">
        <v>460.68</v>
      </c>
      <c r="AH24" s="70">
        <v>459.64</v>
      </c>
      <c r="AI24" s="70">
        <v>458.6</v>
      </c>
      <c r="AJ24" s="70">
        <v>457.56</v>
      </c>
      <c r="AK24" s="70">
        <v>456.53</v>
      </c>
      <c r="AL24" s="70">
        <v>455.49</v>
      </c>
      <c r="AM24" s="70">
        <v>454.45</v>
      </c>
      <c r="AN24" s="70">
        <v>453.42</v>
      </c>
      <c r="AO24" s="70">
        <v>452.38</v>
      </c>
      <c r="AP24" s="70">
        <v>451.34</v>
      </c>
      <c r="AQ24" s="70">
        <v>450.3</v>
      </c>
      <c r="AR24" s="70">
        <v>449.27</v>
      </c>
      <c r="AS24" s="70">
        <v>448.23</v>
      </c>
      <c r="AT24" s="70">
        <v>447.19</v>
      </c>
      <c r="AU24" s="70">
        <v>446.16</v>
      </c>
      <c r="AV24" s="70">
        <v>445.12</v>
      </c>
      <c r="AW24" s="70">
        <v>444.08</v>
      </c>
      <c r="AX24" s="70">
        <v>443.05</v>
      </c>
      <c r="AY24" s="70">
        <v>442.01</v>
      </c>
      <c r="AZ24" s="70">
        <v>440.97</v>
      </c>
      <c r="BA24" s="70">
        <v>439.94</v>
      </c>
      <c r="BB24" s="70">
        <v>438.9</v>
      </c>
      <c r="BC24" s="70">
        <v>437.86</v>
      </c>
      <c r="BD24" s="70">
        <v>436.83</v>
      </c>
      <c r="BE24" s="70">
        <v>435.79</v>
      </c>
      <c r="BF24" s="70">
        <v>434.75</v>
      </c>
      <c r="BG24" s="70">
        <v>433.72</v>
      </c>
      <c r="BH24" s="70">
        <v>432.68</v>
      </c>
      <c r="BI24" s="70">
        <v>431.64</v>
      </c>
      <c r="BJ24" s="70">
        <v>430.61</v>
      </c>
      <c r="BK24" s="70">
        <v>429.57</v>
      </c>
      <c r="BL24" s="70">
        <v>428.53</v>
      </c>
      <c r="BM24" s="70">
        <v>427.5</v>
      </c>
      <c r="BN24" s="70">
        <v>426.46</v>
      </c>
      <c r="BO24" s="70">
        <v>425.42</v>
      </c>
      <c r="BP24" s="70">
        <v>424.39</v>
      </c>
      <c r="BQ24" s="70">
        <v>423.35</v>
      </c>
      <c r="BR24" s="70">
        <v>422.31</v>
      </c>
      <c r="BS24" s="70">
        <v>421.28</v>
      </c>
      <c r="BT24" s="70">
        <v>420.24</v>
      </c>
      <c r="BU24" s="70">
        <v>419.21</v>
      </c>
      <c r="BV24" s="70">
        <v>418.17</v>
      </c>
      <c r="BW24" s="70">
        <v>417.14</v>
      </c>
      <c r="BX24" s="70">
        <v>416.1</v>
      </c>
      <c r="BY24" s="70">
        <v>415.07</v>
      </c>
      <c r="BZ24" s="70">
        <v>414.03</v>
      </c>
      <c r="CA24" s="70">
        <v>413</v>
      </c>
      <c r="CB24" s="70">
        <v>411.97</v>
      </c>
      <c r="CC24" s="70">
        <v>410.93</v>
      </c>
      <c r="CD24" s="70">
        <v>409.9</v>
      </c>
      <c r="CE24" s="70">
        <v>408.87</v>
      </c>
      <c r="CF24" s="70">
        <v>407.84</v>
      </c>
      <c r="CG24" s="70">
        <v>406.81</v>
      </c>
      <c r="CH24" s="70">
        <v>405.77</v>
      </c>
      <c r="CI24" s="70">
        <v>404.74</v>
      </c>
      <c r="CJ24" s="70">
        <v>403.71</v>
      </c>
      <c r="CK24" s="70">
        <v>402.68</v>
      </c>
      <c r="CL24" s="70">
        <v>401.64</v>
      </c>
      <c r="CM24" s="70">
        <v>400.61</v>
      </c>
      <c r="CN24" s="70">
        <v>399.58</v>
      </c>
      <c r="CO24" s="70">
        <v>398.55</v>
      </c>
      <c r="CP24" s="70">
        <v>397.52</v>
      </c>
      <c r="CQ24" s="70">
        <v>396.49</v>
      </c>
      <c r="CR24" s="70">
        <v>395.45</v>
      </c>
      <c r="CS24" s="70">
        <v>394.42</v>
      </c>
      <c r="CT24" s="70">
        <v>393.39</v>
      </c>
      <c r="CU24" s="70">
        <v>392.36</v>
      </c>
      <c r="CV24" s="70">
        <v>391.33</v>
      </c>
      <c r="CW24" s="70">
        <v>390.3</v>
      </c>
      <c r="CX24" s="70">
        <v>389.27</v>
      </c>
      <c r="CY24" s="70">
        <v>388.24</v>
      </c>
      <c r="CZ24" s="70">
        <v>387.21</v>
      </c>
      <c r="DA24" s="70">
        <v>386.18</v>
      </c>
      <c r="DB24" s="70">
        <v>385.16</v>
      </c>
      <c r="DC24" s="70">
        <v>384.13</v>
      </c>
      <c r="DD24" s="70">
        <v>383.1</v>
      </c>
      <c r="DE24" s="70">
        <v>382.07</v>
      </c>
      <c r="DF24" s="70">
        <v>381.04</v>
      </c>
      <c r="DG24" s="70">
        <v>380.01</v>
      </c>
      <c r="DH24" s="70">
        <v>378.99</v>
      </c>
      <c r="DI24" s="70">
        <v>377.96</v>
      </c>
      <c r="DJ24" s="70">
        <v>376.94</v>
      </c>
      <c r="DK24" s="70">
        <v>375.91</v>
      </c>
      <c r="DL24" s="70">
        <v>374.88</v>
      </c>
      <c r="DM24" s="70">
        <v>373.86</v>
      </c>
      <c r="DN24" s="70">
        <v>372.83</v>
      </c>
      <c r="DO24" s="70">
        <v>371.81</v>
      </c>
      <c r="DP24" s="70">
        <v>370.78</v>
      </c>
      <c r="DQ24" s="70">
        <v>369.76</v>
      </c>
      <c r="DR24" s="70">
        <v>368.73</v>
      </c>
      <c r="DS24" s="70">
        <v>367.71</v>
      </c>
      <c r="DT24" s="70">
        <v>366.69</v>
      </c>
      <c r="DU24" s="70">
        <v>365.67</v>
      </c>
      <c r="DV24" s="70">
        <v>364.65</v>
      </c>
      <c r="DW24" s="70">
        <v>363.63</v>
      </c>
      <c r="DX24" s="70">
        <v>362.61</v>
      </c>
      <c r="DY24" s="70">
        <v>361.59</v>
      </c>
      <c r="DZ24" s="70">
        <v>360.57</v>
      </c>
      <c r="EA24" s="70">
        <v>359.56</v>
      </c>
      <c r="EB24" s="70">
        <v>358.54</v>
      </c>
      <c r="EC24" s="70">
        <v>357.52</v>
      </c>
      <c r="ED24" s="70">
        <v>356.51</v>
      </c>
      <c r="EE24" s="70">
        <v>355.49</v>
      </c>
      <c r="EF24" s="70">
        <v>354.48</v>
      </c>
      <c r="EG24" s="70">
        <v>353.47</v>
      </c>
      <c r="EH24" s="70">
        <v>352.46</v>
      </c>
      <c r="EI24" s="70">
        <v>351.45</v>
      </c>
      <c r="EJ24" s="70">
        <v>350.44</v>
      </c>
      <c r="EK24" s="70">
        <v>349.43</v>
      </c>
      <c r="EL24" s="70">
        <v>348.42</v>
      </c>
      <c r="EM24" s="70">
        <v>347.42</v>
      </c>
      <c r="EN24" s="70">
        <v>346.41</v>
      </c>
      <c r="EO24" s="70">
        <v>345.4</v>
      </c>
      <c r="EP24" s="70">
        <v>344.4</v>
      </c>
      <c r="EQ24" s="70">
        <v>343.39</v>
      </c>
      <c r="ER24" s="70">
        <v>342.39</v>
      </c>
      <c r="ES24" s="70">
        <v>341.39</v>
      </c>
      <c r="ET24" s="70">
        <v>340.38</v>
      </c>
      <c r="EU24" s="70">
        <v>339.38</v>
      </c>
      <c r="EV24" s="70">
        <v>338.38</v>
      </c>
      <c r="EW24" s="70">
        <v>337.38</v>
      </c>
      <c r="EX24" s="70">
        <v>336.38</v>
      </c>
      <c r="EY24" s="70">
        <v>335.38</v>
      </c>
      <c r="EZ24" s="70">
        <v>334.38</v>
      </c>
      <c r="FA24" s="70">
        <v>333.38</v>
      </c>
      <c r="FB24" s="70">
        <v>332.39</v>
      </c>
      <c r="FC24" s="70">
        <v>331.39</v>
      </c>
      <c r="FD24" s="70">
        <v>330.4</v>
      </c>
      <c r="FE24" s="70">
        <v>329.4</v>
      </c>
      <c r="FF24" s="70">
        <v>328.41</v>
      </c>
      <c r="FG24" s="70">
        <v>327.42</v>
      </c>
      <c r="FH24" s="70">
        <v>326.43</v>
      </c>
      <c r="FI24" s="70">
        <v>325.44</v>
      </c>
      <c r="FJ24" s="70">
        <v>324.45</v>
      </c>
      <c r="FK24" s="70">
        <v>323.45999999999998</v>
      </c>
      <c r="FL24" s="70">
        <v>322.47000000000003</v>
      </c>
      <c r="FM24" s="70">
        <v>321.48</v>
      </c>
      <c r="FN24" s="70">
        <v>320.49</v>
      </c>
      <c r="FO24" s="70">
        <v>319.5</v>
      </c>
      <c r="FP24" s="70">
        <v>318.51</v>
      </c>
      <c r="FQ24" s="70">
        <v>317.52999999999997</v>
      </c>
      <c r="FR24" s="70">
        <v>316.54000000000002</v>
      </c>
      <c r="FS24" s="70">
        <v>315.57</v>
      </c>
      <c r="FT24" s="70">
        <v>314.57</v>
      </c>
      <c r="FU24" s="70">
        <v>313.60000000000002</v>
      </c>
      <c r="FV24" s="70">
        <v>312.62</v>
      </c>
      <c r="FW24" s="70">
        <v>311.64</v>
      </c>
      <c r="FX24" s="70">
        <v>310.64999999999998</v>
      </c>
      <c r="FY24" s="70">
        <v>309.67</v>
      </c>
      <c r="FZ24" s="70">
        <v>308.69</v>
      </c>
      <c r="GA24" s="70">
        <v>307.70999999999998</v>
      </c>
      <c r="GB24" s="70">
        <v>306.74</v>
      </c>
      <c r="GC24" s="70">
        <v>305.76</v>
      </c>
      <c r="GD24" s="70">
        <v>304.79000000000002</v>
      </c>
      <c r="GE24" s="70">
        <v>303.81</v>
      </c>
      <c r="GF24" s="70">
        <v>302.83999999999997</v>
      </c>
      <c r="GG24" s="70">
        <v>301.85000000000002</v>
      </c>
      <c r="GH24" s="70">
        <v>300.89</v>
      </c>
      <c r="GI24" s="70">
        <v>299.92</v>
      </c>
      <c r="GJ24" s="70">
        <v>298.95</v>
      </c>
      <c r="GK24" s="70">
        <v>297.98</v>
      </c>
      <c r="GL24" s="70">
        <v>297.01</v>
      </c>
      <c r="GM24" s="70">
        <v>296.04000000000002</v>
      </c>
      <c r="GN24" s="70">
        <v>295.07</v>
      </c>
      <c r="GO24" s="70">
        <v>294.10000000000002</v>
      </c>
      <c r="GP24" s="70">
        <v>293.14999999999998</v>
      </c>
      <c r="GQ24" s="70">
        <v>292.19</v>
      </c>
      <c r="GR24" s="70">
        <v>291.23</v>
      </c>
      <c r="GS24" s="70">
        <v>290.26</v>
      </c>
      <c r="GT24" s="70">
        <v>289.31</v>
      </c>
      <c r="GU24" s="70">
        <v>288.35000000000002</v>
      </c>
      <c r="GV24" s="70">
        <v>287.39</v>
      </c>
      <c r="GW24" s="70">
        <v>286.44</v>
      </c>
      <c r="GX24" s="70">
        <v>285.48</v>
      </c>
      <c r="GY24" s="70">
        <v>284.52999999999997</v>
      </c>
      <c r="GZ24" s="70">
        <v>283.57</v>
      </c>
      <c r="HA24" s="70">
        <v>282.63</v>
      </c>
      <c r="HB24" s="70">
        <v>281.67</v>
      </c>
      <c r="HC24" s="70">
        <v>280.73</v>
      </c>
      <c r="HD24" s="70">
        <v>279.77999999999997</v>
      </c>
      <c r="HE24" s="70">
        <v>278.82</v>
      </c>
      <c r="HF24" s="70">
        <v>277.88</v>
      </c>
      <c r="HG24" s="70">
        <v>276.94</v>
      </c>
      <c r="HH24" s="70">
        <v>275.99</v>
      </c>
      <c r="HI24" s="70">
        <v>275.04000000000002</v>
      </c>
      <c r="HJ24" s="70">
        <v>274.10000000000002</v>
      </c>
      <c r="HK24" s="70">
        <v>273.16000000000003</v>
      </c>
      <c r="HL24" s="70">
        <v>272.23</v>
      </c>
      <c r="HM24" s="70">
        <v>271.29000000000002</v>
      </c>
      <c r="HN24" s="70">
        <v>270.35000000000002</v>
      </c>
      <c r="HO24" s="70">
        <v>269.43</v>
      </c>
      <c r="HP24" s="70">
        <v>268.5</v>
      </c>
      <c r="HQ24" s="70">
        <v>267.57</v>
      </c>
      <c r="HR24" s="70">
        <v>266.64</v>
      </c>
      <c r="HS24" s="70">
        <v>265.70999999999998</v>
      </c>
      <c r="HT24" s="70">
        <v>264.79000000000002</v>
      </c>
      <c r="HU24" s="70">
        <v>263.85000000000002</v>
      </c>
      <c r="HV24" s="70">
        <v>262.93</v>
      </c>
      <c r="HW24" s="70">
        <v>262.01</v>
      </c>
      <c r="HX24" s="70">
        <v>261.08999999999997</v>
      </c>
      <c r="HY24" s="70">
        <v>260.17</v>
      </c>
      <c r="HZ24" s="70">
        <v>259.25</v>
      </c>
      <c r="IA24" s="70">
        <v>258.32</v>
      </c>
      <c r="IB24" s="70">
        <v>257.41000000000003</v>
      </c>
      <c r="IC24" s="70">
        <v>256.49</v>
      </c>
      <c r="ID24" s="70">
        <v>255.58</v>
      </c>
      <c r="IE24" s="70">
        <v>254.66</v>
      </c>
      <c r="IF24" s="70">
        <v>253.75</v>
      </c>
      <c r="IG24" s="70">
        <v>252.83</v>
      </c>
      <c r="IH24" s="70">
        <v>251.92</v>
      </c>
      <c r="II24" s="70">
        <v>251.01</v>
      </c>
      <c r="IJ24" s="70">
        <v>250.1</v>
      </c>
      <c r="IK24" s="70">
        <v>249.19</v>
      </c>
      <c r="IL24" s="70">
        <v>248.28</v>
      </c>
      <c r="IM24" s="70">
        <v>247.38</v>
      </c>
      <c r="IN24" s="70">
        <v>246.47</v>
      </c>
      <c r="IO24" s="70">
        <v>245.57</v>
      </c>
      <c r="IP24" s="70">
        <v>244.67</v>
      </c>
      <c r="IQ24" s="70">
        <v>243.77</v>
      </c>
      <c r="IR24" s="70">
        <v>242.87</v>
      </c>
      <c r="IS24" s="70">
        <v>241.97</v>
      </c>
      <c r="IT24" s="70">
        <v>241.07</v>
      </c>
      <c r="IU24" s="70">
        <v>240.17</v>
      </c>
      <c r="IV24" s="70">
        <v>239.28</v>
      </c>
      <c r="IW24" s="70">
        <v>238.4</v>
      </c>
      <c r="IX24" s="70">
        <v>237.51</v>
      </c>
      <c r="IY24" s="70">
        <v>236.63</v>
      </c>
      <c r="IZ24" s="70">
        <v>235.74</v>
      </c>
      <c r="JA24" s="70">
        <v>234.86</v>
      </c>
      <c r="JB24" s="70">
        <v>233.98</v>
      </c>
      <c r="JC24" s="70">
        <v>233.1</v>
      </c>
      <c r="JD24" s="70">
        <v>232.22</v>
      </c>
      <c r="JE24" s="70">
        <v>231.34</v>
      </c>
      <c r="JF24" s="70">
        <v>230.46</v>
      </c>
      <c r="JG24" s="70">
        <v>229.59</v>
      </c>
      <c r="JH24" s="70">
        <v>228.71</v>
      </c>
      <c r="JI24" s="70">
        <v>227.84</v>
      </c>
      <c r="JJ24" s="70">
        <v>226.97</v>
      </c>
      <c r="JK24" s="70">
        <v>226.1</v>
      </c>
      <c r="JL24" s="70">
        <v>225.23</v>
      </c>
      <c r="JM24" s="70">
        <v>224.36</v>
      </c>
      <c r="JN24" s="70">
        <v>223.49</v>
      </c>
      <c r="JO24" s="70">
        <v>222.62</v>
      </c>
      <c r="JP24" s="70">
        <v>221.76</v>
      </c>
      <c r="JQ24" s="70">
        <v>220.89</v>
      </c>
      <c r="JR24" s="70">
        <v>220.03</v>
      </c>
      <c r="JS24" s="70">
        <v>219.17</v>
      </c>
      <c r="JT24" s="70">
        <v>218.3</v>
      </c>
      <c r="JU24" s="70">
        <v>217.44</v>
      </c>
      <c r="JV24" s="70">
        <v>216.57</v>
      </c>
      <c r="JW24" s="70">
        <v>215.71</v>
      </c>
      <c r="JX24" s="70">
        <v>214.84</v>
      </c>
      <c r="JY24" s="70">
        <v>213.98</v>
      </c>
      <c r="JZ24" s="70">
        <v>213.12</v>
      </c>
      <c r="KA24" s="70">
        <v>212.26</v>
      </c>
      <c r="KB24" s="70">
        <v>211.4</v>
      </c>
      <c r="KC24" s="70">
        <v>210.54</v>
      </c>
      <c r="KD24" s="70">
        <v>209.69</v>
      </c>
      <c r="KE24" s="70">
        <v>208.83</v>
      </c>
      <c r="KF24" s="70">
        <v>207.98</v>
      </c>
      <c r="KG24" s="70">
        <v>207.12</v>
      </c>
      <c r="KH24" s="70">
        <v>206.27</v>
      </c>
      <c r="KI24" s="70">
        <v>205.42</v>
      </c>
      <c r="KJ24" s="70">
        <v>204.57</v>
      </c>
      <c r="KK24" s="70">
        <v>203.72</v>
      </c>
      <c r="KL24" s="70">
        <v>202.87</v>
      </c>
      <c r="KM24" s="70">
        <v>202.02</v>
      </c>
      <c r="KN24" s="70">
        <v>201.18</v>
      </c>
      <c r="KO24" s="70">
        <v>200.33</v>
      </c>
      <c r="KP24" s="70">
        <v>199.49</v>
      </c>
      <c r="KQ24" s="70">
        <v>198.65</v>
      </c>
      <c r="KR24" s="74">
        <f t="shared" si="22"/>
        <v>198.02</v>
      </c>
      <c r="KS24" s="74">
        <f t="shared" si="22"/>
        <v>197.23</v>
      </c>
      <c r="KT24" s="74">
        <f t="shared" si="22"/>
        <v>196.41</v>
      </c>
      <c r="KU24" s="74">
        <f t="shared" si="22"/>
        <v>195.62</v>
      </c>
      <c r="KV24" s="74">
        <f t="shared" si="22"/>
        <v>194.84</v>
      </c>
      <c r="KW24" s="74">
        <f t="shared" si="22"/>
        <v>194.05</v>
      </c>
      <c r="KX24" s="74">
        <f t="shared" si="22"/>
        <v>193.26</v>
      </c>
      <c r="KY24" s="74">
        <f t="shared" si="22"/>
        <v>192.48</v>
      </c>
      <c r="KZ24" s="74">
        <f t="shared" si="22"/>
        <v>191.69</v>
      </c>
      <c r="LA24" s="74">
        <f t="shared" si="22"/>
        <v>190.91</v>
      </c>
      <c r="LB24" s="74">
        <f t="shared" si="22"/>
        <v>190.13</v>
      </c>
      <c r="LC24" s="74">
        <f t="shared" si="22"/>
        <v>189.35</v>
      </c>
      <c r="LD24" s="74">
        <f t="shared" si="22"/>
        <v>188.57</v>
      </c>
      <c r="LE24" s="74">
        <f t="shared" si="22"/>
        <v>187.79</v>
      </c>
      <c r="LF24" s="74">
        <f t="shared" si="22"/>
        <v>187.02</v>
      </c>
      <c r="LG24" s="74">
        <f t="shared" si="22"/>
        <v>186.25</v>
      </c>
      <c r="LH24" s="74">
        <f t="shared" si="21"/>
        <v>185.47</v>
      </c>
      <c r="LI24" s="74">
        <f t="shared" si="21"/>
        <v>184.7</v>
      </c>
      <c r="LJ24" s="74">
        <f t="shared" si="17"/>
        <v>183.93</v>
      </c>
      <c r="LK24" s="74">
        <f t="shared" si="17"/>
        <v>183.16</v>
      </c>
      <c r="LL24" s="74">
        <f t="shared" si="17"/>
        <v>182.39</v>
      </c>
      <c r="LM24" s="74">
        <f t="shared" si="17"/>
        <v>181.63</v>
      </c>
      <c r="LN24" s="74">
        <f t="shared" si="17"/>
        <v>180.86</v>
      </c>
      <c r="LO24" s="74">
        <f t="shared" si="17"/>
        <v>180.1</v>
      </c>
      <c r="LP24" s="74">
        <f t="shared" si="17"/>
        <v>179.34</v>
      </c>
      <c r="LQ24" s="74">
        <f t="shared" si="17"/>
        <v>178.58</v>
      </c>
      <c r="LR24" s="74">
        <f t="shared" si="17"/>
        <v>177.82</v>
      </c>
      <c r="LS24" s="74">
        <f t="shared" si="17"/>
        <v>177.06</v>
      </c>
      <c r="LT24" s="74">
        <f t="shared" si="17"/>
        <v>176.31</v>
      </c>
      <c r="LU24" s="74">
        <f t="shared" si="17"/>
        <v>175.56</v>
      </c>
      <c r="LV24" s="74">
        <f t="shared" si="17"/>
        <v>174.8</v>
      </c>
      <c r="LW24" s="74">
        <f t="shared" si="17"/>
        <v>174.05</v>
      </c>
      <c r="LX24" s="74">
        <f t="shared" si="17"/>
        <v>173.3</v>
      </c>
      <c r="LY24" s="74">
        <f t="shared" si="17"/>
        <v>172.55</v>
      </c>
      <c r="LZ24" s="74">
        <f t="shared" si="19"/>
        <v>171.81</v>
      </c>
      <c r="MA24" s="74">
        <f t="shared" si="19"/>
        <v>171.06</v>
      </c>
      <c r="MB24" s="74">
        <f t="shared" si="19"/>
        <v>170.32</v>
      </c>
      <c r="MC24" s="74">
        <f t="shared" si="19"/>
        <v>169.58</v>
      </c>
      <c r="MD24" s="74">
        <f t="shared" si="19"/>
        <v>168.84</v>
      </c>
      <c r="ME24" s="74">
        <f t="shared" si="19"/>
        <v>168.11</v>
      </c>
      <c r="MF24" s="74">
        <f t="shared" si="19"/>
        <v>167.37</v>
      </c>
      <c r="MG24" s="74">
        <f t="shared" si="19"/>
        <v>166.64</v>
      </c>
      <c r="MH24" s="74">
        <f t="shared" si="19"/>
        <v>165.9</v>
      </c>
      <c r="MI24" s="74">
        <f t="shared" si="19"/>
        <v>165.17</v>
      </c>
      <c r="MJ24" s="74">
        <f t="shared" si="19"/>
        <v>164.44</v>
      </c>
      <c r="MK24" s="74">
        <f t="shared" si="19"/>
        <v>163.71</v>
      </c>
      <c r="ML24" s="74">
        <f t="shared" si="19"/>
        <v>162.99</v>
      </c>
      <c r="MM24" s="74">
        <f t="shared" si="19"/>
        <v>162.26</v>
      </c>
      <c r="MN24" s="74">
        <f t="shared" si="19"/>
        <v>161.54</v>
      </c>
      <c r="MO24" s="74">
        <f t="shared" si="19"/>
        <v>160.82</v>
      </c>
      <c r="MP24" s="74">
        <f t="shared" si="19"/>
        <v>160.1</v>
      </c>
      <c r="MQ24" s="74">
        <f t="shared" si="19"/>
        <v>159.38999999999999</v>
      </c>
      <c r="MR24" s="74">
        <f t="shared" si="19"/>
        <v>158.66999999999999</v>
      </c>
      <c r="MS24" s="74">
        <f t="shared" si="19"/>
        <v>157.96</v>
      </c>
      <c r="MT24" s="74">
        <f t="shared" si="18"/>
        <v>157.24</v>
      </c>
      <c r="MU24" s="74">
        <f t="shared" si="18"/>
        <v>156.53</v>
      </c>
      <c r="MV24" s="74">
        <f t="shared" si="18"/>
        <v>155.82</v>
      </c>
      <c r="MW24" s="74">
        <f t="shared" si="18"/>
        <v>155.12</v>
      </c>
      <c r="MX24" s="74">
        <f t="shared" si="18"/>
        <v>154.41</v>
      </c>
      <c r="MY24" s="74">
        <f t="shared" si="18"/>
        <v>153.71</v>
      </c>
    </row>
    <row r="25" spans="1:363" ht="15.6" x14ac:dyDescent="0.3">
      <c r="A25" s="67" t="s">
        <v>6</v>
      </c>
      <c r="B25" s="72">
        <v>2035</v>
      </c>
      <c r="C25" s="70">
        <v>492.73</v>
      </c>
      <c r="D25" s="70">
        <v>491.69</v>
      </c>
      <c r="E25" s="70">
        <v>490.65</v>
      </c>
      <c r="F25" s="70">
        <v>489.62</v>
      </c>
      <c r="G25" s="70">
        <v>488.58</v>
      </c>
      <c r="H25" s="70">
        <v>487.54</v>
      </c>
      <c r="I25" s="70">
        <v>486.5</v>
      </c>
      <c r="J25" s="70">
        <v>485.47</v>
      </c>
      <c r="K25" s="70">
        <v>484.43</v>
      </c>
      <c r="L25" s="70">
        <v>483.39</v>
      </c>
      <c r="M25" s="70">
        <v>482.35</v>
      </c>
      <c r="N25" s="70">
        <v>481.31</v>
      </c>
      <c r="O25" s="70">
        <v>480.28</v>
      </c>
      <c r="P25" s="70">
        <v>479.24</v>
      </c>
      <c r="Q25" s="70">
        <v>478.2</v>
      </c>
      <c r="R25" s="70">
        <v>477.16</v>
      </c>
      <c r="S25" s="70">
        <v>476.13</v>
      </c>
      <c r="T25" s="70">
        <v>475.09</v>
      </c>
      <c r="U25" s="70">
        <v>474.05</v>
      </c>
      <c r="V25" s="70">
        <v>473.01</v>
      </c>
      <c r="W25" s="70">
        <v>471.98</v>
      </c>
      <c r="X25" s="70">
        <v>470.94</v>
      </c>
      <c r="Y25" s="70">
        <v>469.9</v>
      </c>
      <c r="Z25" s="70">
        <v>468.86</v>
      </c>
      <c r="AA25" s="70">
        <v>467.83</v>
      </c>
      <c r="AB25" s="70">
        <v>466.79</v>
      </c>
      <c r="AC25" s="70">
        <v>465.75</v>
      </c>
      <c r="AD25" s="70">
        <v>464.71</v>
      </c>
      <c r="AE25" s="70">
        <v>463.68</v>
      </c>
      <c r="AF25" s="70">
        <v>462.64</v>
      </c>
      <c r="AG25" s="70">
        <v>461.6</v>
      </c>
      <c r="AH25" s="70">
        <v>460.56</v>
      </c>
      <c r="AI25" s="70">
        <v>459.53</v>
      </c>
      <c r="AJ25" s="70">
        <v>458.49</v>
      </c>
      <c r="AK25" s="70">
        <v>457.45</v>
      </c>
      <c r="AL25" s="70">
        <v>456.42</v>
      </c>
      <c r="AM25" s="70">
        <v>455.38</v>
      </c>
      <c r="AN25" s="70">
        <v>454.34</v>
      </c>
      <c r="AO25" s="70">
        <v>453.3</v>
      </c>
      <c r="AP25" s="70">
        <v>452.27</v>
      </c>
      <c r="AQ25" s="70">
        <v>451.23</v>
      </c>
      <c r="AR25" s="70">
        <v>450.19</v>
      </c>
      <c r="AS25" s="70">
        <v>449.16</v>
      </c>
      <c r="AT25" s="70">
        <v>448.12</v>
      </c>
      <c r="AU25" s="70">
        <v>447.08</v>
      </c>
      <c r="AV25" s="70">
        <v>446.05</v>
      </c>
      <c r="AW25" s="70">
        <v>445.01</v>
      </c>
      <c r="AX25" s="70">
        <v>443.97</v>
      </c>
      <c r="AY25" s="70">
        <v>442.93</v>
      </c>
      <c r="AZ25" s="70">
        <v>441.9</v>
      </c>
      <c r="BA25" s="70">
        <v>440.86</v>
      </c>
      <c r="BB25" s="70">
        <v>439.83</v>
      </c>
      <c r="BC25" s="70">
        <v>438.79</v>
      </c>
      <c r="BD25" s="70">
        <v>437.75</v>
      </c>
      <c r="BE25" s="70">
        <v>436.72</v>
      </c>
      <c r="BF25" s="70">
        <v>435.68</v>
      </c>
      <c r="BG25" s="70">
        <v>434.64</v>
      </c>
      <c r="BH25" s="70">
        <v>433.61</v>
      </c>
      <c r="BI25" s="70">
        <v>432.57</v>
      </c>
      <c r="BJ25" s="70">
        <v>431.53</v>
      </c>
      <c r="BK25" s="70">
        <v>430.5</v>
      </c>
      <c r="BL25" s="70">
        <v>429.46</v>
      </c>
      <c r="BM25" s="70">
        <v>428.42</v>
      </c>
      <c r="BN25" s="70">
        <v>427.38</v>
      </c>
      <c r="BO25" s="70">
        <v>426.35</v>
      </c>
      <c r="BP25" s="70">
        <v>425.31</v>
      </c>
      <c r="BQ25" s="70">
        <v>424.27</v>
      </c>
      <c r="BR25" s="70">
        <v>423.24</v>
      </c>
      <c r="BS25" s="70">
        <v>422.2</v>
      </c>
      <c r="BT25" s="70">
        <v>421.17</v>
      </c>
      <c r="BU25" s="70">
        <v>420.13</v>
      </c>
      <c r="BV25" s="70">
        <v>419.09</v>
      </c>
      <c r="BW25" s="70">
        <v>418.06</v>
      </c>
      <c r="BX25" s="70">
        <v>417.03</v>
      </c>
      <c r="BY25" s="70">
        <v>415.99</v>
      </c>
      <c r="BZ25" s="70">
        <v>414.96</v>
      </c>
      <c r="CA25" s="70">
        <v>413.92</v>
      </c>
      <c r="CB25" s="70">
        <v>412.89</v>
      </c>
      <c r="CC25" s="70">
        <v>411.86</v>
      </c>
      <c r="CD25" s="70">
        <v>410.82</v>
      </c>
      <c r="CE25" s="70">
        <v>409.79</v>
      </c>
      <c r="CF25" s="70">
        <v>408.76</v>
      </c>
      <c r="CG25" s="70">
        <v>407.73</v>
      </c>
      <c r="CH25" s="70">
        <v>406.69</v>
      </c>
      <c r="CI25" s="70">
        <v>405.66</v>
      </c>
      <c r="CJ25" s="70">
        <v>404.63</v>
      </c>
      <c r="CK25" s="70">
        <v>403.6</v>
      </c>
      <c r="CL25" s="70">
        <v>402.56</v>
      </c>
      <c r="CM25" s="70">
        <v>401.53</v>
      </c>
      <c r="CN25" s="70">
        <v>400.5</v>
      </c>
      <c r="CO25" s="70">
        <v>399.47</v>
      </c>
      <c r="CP25" s="70">
        <v>398.44</v>
      </c>
      <c r="CQ25" s="70">
        <v>397.4</v>
      </c>
      <c r="CR25" s="70">
        <v>396.37</v>
      </c>
      <c r="CS25" s="70">
        <v>395.34</v>
      </c>
      <c r="CT25" s="70">
        <v>394.31</v>
      </c>
      <c r="CU25" s="70">
        <v>393.28</v>
      </c>
      <c r="CV25" s="70">
        <v>392.25</v>
      </c>
      <c r="CW25" s="70">
        <v>391.22</v>
      </c>
      <c r="CX25" s="70">
        <v>390.19</v>
      </c>
      <c r="CY25" s="70">
        <v>389.16</v>
      </c>
      <c r="CZ25" s="70">
        <v>388.13</v>
      </c>
      <c r="DA25" s="70">
        <v>387.1</v>
      </c>
      <c r="DB25" s="70">
        <v>386.07</v>
      </c>
      <c r="DC25" s="70">
        <v>385.04</v>
      </c>
      <c r="DD25" s="70">
        <v>384.01</v>
      </c>
      <c r="DE25" s="70">
        <v>382.98</v>
      </c>
      <c r="DF25" s="70">
        <v>381.96</v>
      </c>
      <c r="DG25" s="70">
        <v>380.93</v>
      </c>
      <c r="DH25" s="70">
        <v>379.9</v>
      </c>
      <c r="DI25" s="70">
        <v>378.87</v>
      </c>
      <c r="DJ25" s="70">
        <v>377.85</v>
      </c>
      <c r="DK25" s="70">
        <v>376.82</v>
      </c>
      <c r="DL25" s="70">
        <v>375.79</v>
      </c>
      <c r="DM25" s="70">
        <v>374.77</v>
      </c>
      <c r="DN25" s="70">
        <v>373.74</v>
      </c>
      <c r="DO25" s="70">
        <v>372.72</v>
      </c>
      <c r="DP25" s="70">
        <v>371.69</v>
      </c>
      <c r="DQ25" s="70">
        <v>370.67</v>
      </c>
      <c r="DR25" s="70">
        <v>369.64</v>
      </c>
      <c r="DS25" s="70">
        <v>368.62</v>
      </c>
      <c r="DT25" s="70">
        <v>367.6</v>
      </c>
      <c r="DU25" s="70">
        <v>366.58</v>
      </c>
      <c r="DV25" s="70">
        <v>365.56</v>
      </c>
      <c r="DW25" s="70">
        <v>364.54</v>
      </c>
      <c r="DX25" s="70">
        <v>363.52</v>
      </c>
      <c r="DY25" s="70">
        <v>362.5</v>
      </c>
      <c r="DZ25" s="70">
        <v>361.48</v>
      </c>
      <c r="EA25" s="70">
        <v>360.46</v>
      </c>
      <c r="EB25" s="70">
        <v>359.44</v>
      </c>
      <c r="EC25" s="70">
        <v>358.43</v>
      </c>
      <c r="ED25" s="70">
        <v>357.41</v>
      </c>
      <c r="EE25" s="70">
        <v>356.39</v>
      </c>
      <c r="EF25" s="70">
        <v>355.38</v>
      </c>
      <c r="EG25" s="70">
        <v>354.37</v>
      </c>
      <c r="EH25" s="70">
        <v>353.36</v>
      </c>
      <c r="EI25" s="70">
        <v>352.35</v>
      </c>
      <c r="EJ25" s="70">
        <v>351.34</v>
      </c>
      <c r="EK25" s="70">
        <v>350.33</v>
      </c>
      <c r="EL25" s="70">
        <v>349.32</v>
      </c>
      <c r="EM25" s="70">
        <v>348.31</v>
      </c>
      <c r="EN25" s="70">
        <v>347.31</v>
      </c>
      <c r="EO25" s="70">
        <v>346.3</v>
      </c>
      <c r="EP25" s="70">
        <v>345.29</v>
      </c>
      <c r="EQ25" s="70">
        <v>344.28</v>
      </c>
      <c r="ER25" s="70">
        <v>343.28</v>
      </c>
      <c r="ES25" s="70">
        <v>342.28</v>
      </c>
      <c r="ET25" s="70">
        <v>341.28</v>
      </c>
      <c r="EU25" s="70">
        <v>340.28</v>
      </c>
      <c r="EV25" s="70">
        <v>339.27</v>
      </c>
      <c r="EW25" s="70">
        <v>338.27</v>
      </c>
      <c r="EX25" s="70">
        <v>337.27</v>
      </c>
      <c r="EY25" s="70">
        <v>336.27</v>
      </c>
      <c r="EZ25" s="70">
        <v>335.27</v>
      </c>
      <c r="FA25" s="70">
        <v>334.27</v>
      </c>
      <c r="FB25" s="70">
        <v>333.27</v>
      </c>
      <c r="FC25" s="70">
        <v>332.28</v>
      </c>
      <c r="FD25" s="70">
        <v>331.28</v>
      </c>
      <c r="FE25" s="70">
        <v>330.29</v>
      </c>
      <c r="FF25" s="70">
        <v>329.3</v>
      </c>
      <c r="FG25" s="70">
        <v>328.3</v>
      </c>
      <c r="FH25" s="70">
        <v>327.31</v>
      </c>
      <c r="FI25" s="70">
        <v>326.32</v>
      </c>
      <c r="FJ25" s="70">
        <v>325.32</v>
      </c>
      <c r="FK25" s="70">
        <v>324.33999999999997</v>
      </c>
      <c r="FL25" s="70">
        <v>323.35000000000002</v>
      </c>
      <c r="FM25" s="70">
        <v>322.35000000000002</v>
      </c>
      <c r="FN25" s="70">
        <v>321.37</v>
      </c>
      <c r="FO25" s="70">
        <v>320.38</v>
      </c>
      <c r="FP25" s="70">
        <v>319.39999999999998</v>
      </c>
      <c r="FQ25" s="70">
        <v>318.41000000000003</v>
      </c>
      <c r="FR25" s="70">
        <v>317.43</v>
      </c>
      <c r="FS25" s="70">
        <v>316.44</v>
      </c>
      <c r="FT25" s="70">
        <v>315.45999999999998</v>
      </c>
      <c r="FU25" s="70">
        <v>314.47000000000003</v>
      </c>
      <c r="FV25" s="70">
        <v>313.49</v>
      </c>
      <c r="FW25" s="70">
        <v>312.51</v>
      </c>
      <c r="FX25" s="70">
        <v>311.52999999999997</v>
      </c>
      <c r="FY25" s="70">
        <v>310.54000000000002</v>
      </c>
      <c r="FZ25" s="70">
        <v>309.57</v>
      </c>
      <c r="GA25" s="70">
        <v>308.58999999999997</v>
      </c>
      <c r="GB25" s="70">
        <v>307.60000000000002</v>
      </c>
      <c r="GC25" s="70">
        <v>306.63</v>
      </c>
      <c r="GD25" s="70">
        <v>305.64999999999998</v>
      </c>
      <c r="GE25" s="70">
        <v>304.68</v>
      </c>
      <c r="GF25" s="70">
        <v>303.7</v>
      </c>
      <c r="GG25" s="70">
        <v>302.73</v>
      </c>
      <c r="GH25" s="70">
        <v>301.76</v>
      </c>
      <c r="GI25" s="70">
        <v>300.77999999999997</v>
      </c>
      <c r="GJ25" s="70">
        <v>299.81</v>
      </c>
      <c r="GK25" s="70">
        <v>298.83999999999997</v>
      </c>
      <c r="GL25" s="70">
        <v>297.87</v>
      </c>
      <c r="GM25" s="70">
        <v>296.89999999999998</v>
      </c>
      <c r="GN25" s="70">
        <v>295.93</v>
      </c>
      <c r="GO25" s="70">
        <v>294.97000000000003</v>
      </c>
      <c r="GP25" s="70">
        <v>294.01</v>
      </c>
      <c r="GQ25" s="70">
        <v>293.04000000000002</v>
      </c>
      <c r="GR25" s="70">
        <v>292.07</v>
      </c>
      <c r="GS25" s="70">
        <v>291.12</v>
      </c>
      <c r="GT25" s="70">
        <v>290.16000000000003</v>
      </c>
      <c r="GU25" s="70">
        <v>289.2</v>
      </c>
      <c r="GV25" s="70">
        <v>288.25</v>
      </c>
      <c r="GW25" s="70">
        <v>287.29000000000002</v>
      </c>
      <c r="GX25" s="70">
        <v>286.32</v>
      </c>
      <c r="GY25" s="70">
        <v>285.38</v>
      </c>
      <c r="GZ25" s="70">
        <v>284.42</v>
      </c>
      <c r="HA25" s="70">
        <v>283.47000000000003</v>
      </c>
      <c r="HB25" s="70">
        <v>282.51</v>
      </c>
      <c r="HC25" s="70">
        <v>281.57</v>
      </c>
      <c r="HD25" s="70">
        <v>280.62</v>
      </c>
      <c r="HE25" s="70">
        <v>279.67</v>
      </c>
      <c r="HF25" s="70">
        <v>278.72000000000003</v>
      </c>
      <c r="HG25" s="70">
        <v>277.77999999999997</v>
      </c>
      <c r="HH25" s="70">
        <v>276.82</v>
      </c>
      <c r="HI25" s="70">
        <v>275.88</v>
      </c>
      <c r="HJ25" s="70">
        <v>274.94</v>
      </c>
      <c r="HK25" s="70">
        <v>274</v>
      </c>
      <c r="HL25" s="70">
        <v>273.06</v>
      </c>
      <c r="HM25" s="70">
        <v>272.13</v>
      </c>
      <c r="HN25" s="70">
        <v>271.19</v>
      </c>
      <c r="HO25" s="70">
        <v>270.26</v>
      </c>
      <c r="HP25" s="70">
        <v>269.32</v>
      </c>
      <c r="HQ25" s="70">
        <v>268.39999999999998</v>
      </c>
      <c r="HR25" s="70">
        <v>267.47000000000003</v>
      </c>
      <c r="HS25" s="70">
        <v>266.54000000000002</v>
      </c>
      <c r="HT25" s="70">
        <v>265.60000000000002</v>
      </c>
      <c r="HU25" s="70">
        <v>264.68</v>
      </c>
      <c r="HV25" s="70">
        <v>263.76</v>
      </c>
      <c r="HW25" s="70">
        <v>262.82</v>
      </c>
      <c r="HX25" s="70">
        <v>261.91000000000003</v>
      </c>
      <c r="HY25" s="70">
        <v>260.99</v>
      </c>
      <c r="HZ25" s="70">
        <v>260.06</v>
      </c>
      <c r="IA25" s="70">
        <v>259.14</v>
      </c>
      <c r="IB25" s="70">
        <v>258.22000000000003</v>
      </c>
      <c r="IC25" s="70">
        <v>257.31</v>
      </c>
      <c r="ID25" s="70">
        <v>256.39</v>
      </c>
      <c r="IE25" s="70">
        <v>255.47</v>
      </c>
      <c r="IF25" s="70">
        <v>254.56</v>
      </c>
      <c r="IG25" s="70">
        <v>253.64</v>
      </c>
      <c r="IH25" s="70">
        <v>252.73</v>
      </c>
      <c r="II25" s="70">
        <v>251.81</v>
      </c>
      <c r="IJ25" s="70">
        <v>250.9</v>
      </c>
      <c r="IK25" s="70">
        <v>249.99</v>
      </c>
      <c r="IL25" s="70">
        <v>249.09</v>
      </c>
      <c r="IM25" s="70">
        <v>248.18</v>
      </c>
      <c r="IN25" s="70">
        <v>247.27</v>
      </c>
      <c r="IO25" s="70">
        <v>246.37</v>
      </c>
      <c r="IP25" s="70">
        <v>245.46</v>
      </c>
      <c r="IQ25" s="70">
        <v>244.56</v>
      </c>
      <c r="IR25" s="70">
        <v>243.66</v>
      </c>
      <c r="IS25" s="70">
        <v>242.76</v>
      </c>
      <c r="IT25" s="70">
        <v>241.86</v>
      </c>
      <c r="IU25" s="70">
        <v>240.96</v>
      </c>
      <c r="IV25" s="70">
        <v>240.07</v>
      </c>
      <c r="IW25" s="70">
        <v>239.18</v>
      </c>
      <c r="IX25" s="70">
        <v>238.29</v>
      </c>
      <c r="IY25" s="70">
        <v>237.41</v>
      </c>
      <c r="IZ25" s="70">
        <v>236.52</v>
      </c>
      <c r="JA25" s="70">
        <v>235.64</v>
      </c>
      <c r="JB25" s="70">
        <v>234.76</v>
      </c>
      <c r="JC25" s="70">
        <v>233.87</v>
      </c>
      <c r="JD25" s="70">
        <v>232.99</v>
      </c>
      <c r="JE25" s="70">
        <v>232.11</v>
      </c>
      <c r="JF25" s="70">
        <v>231.24</v>
      </c>
      <c r="JG25" s="70">
        <v>230.36</v>
      </c>
      <c r="JH25" s="70">
        <v>229.48</v>
      </c>
      <c r="JI25" s="70">
        <v>228.61</v>
      </c>
      <c r="JJ25" s="70">
        <v>227.73</v>
      </c>
      <c r="JK25" s="70">
        <v>226.86</v>
      </c>
      <c r="JL25" s="70">
        <v>225.99</v>
      </c>
      <c r="JM25" s="70">
        <v>225.12</v>
      </c>
      <c r="JN25" s="70">
        <v>224.25</v>
      </c>
      <c r="JO25" s="70">
        <v>223.38</v>
      </c>
      <c r="JP25" s="70">
        <v>222.52</v>
      </c>
      <c r="JQ25" s="70">
        <v>221.65</v>
      </c>
      <c r="JR25" s="70">
        <v>220.78</v>
      </c>
      <c r="JS25" s="70">
        <v>219.92</v>
      </c>
      <c r="JT25" s="70">
        <v>219.05</v>
      </c>
      <c r="JU25" s="70">
        <v>218.18</v>
      </c>
      <c r="JV25" s="70">
        <v>217.32</v>
      </c>
      <c r="JW25" s="70">
        <v>216.45</v>
      </c>
      <c r="JX25" s="70">
        <v>215.59</v>
      </c>
      <c r="JY25" s="70">
        <v>214.72</v>
      </c>
      <c r="JZ25" s="70">
        <v>213.86</v>
      </c>
      <c r="KA25" s="70">
        <v>213</v>
      </c>
      <c r="KB25" s="70">
        <v>212.14</v>
      </c>
      <c r="KC25" s="70">
        <v>211.28</v>
      </c>
      <c r="KD25" s="70">
        <v>210.42</v>
      </c>
      <c r="KE25" s="70">
        <v>209.56</v>
      </c>
      <c r="KF25" s="70">
        <v>208.7</v>
      </c>
      <c r="KG25" s="70">
        <v>207.85</v>
      </c>
      <c r="KH25" s="70">
        <v>206.99</v>
      </c>
      <c r="KI25" s="70">
        <v>206.14</v>
      </c>
      <c r="KJ25" s="70">
        <v>205.29</v>
      </c>
      <c r="KK25" s="70">
        <v>204.44</v>
      </c>
      <c r="KL25" s="70">
        <v>203.59</v>
      </c>
      <c r="KM25" s="70">
        <v>202.74</v>
      </c>
      <c r="KN25" s="70">
        <v>201.89</v>
      </c>
      <c r="KO25" s="70">
        <v>201.04</v>
      </c>
      <c r="KP25" s="70">
        <v>200.2</v>
      </c>
      <c r="KQ25" s="70">
        <v>199.35</v>
      </c>
      <c r="KR25" s="74">
        <f t="shared" si="22"/>
        <v>198.77</v>
      </c>
      <c r="KS25" s="74">
        <f t="shared" si="22"/>
        <v>197.98</v>
      </c>
      <c r="KT25" s="74">
        <f t="shared" si="22"/>
        <v>197.16</v>
      </c>
      <c r="KU25" s="74">
        <f t="shared" si="22"/>
        <v>196.37</v>
      </c>
      <c r="KV25" s="74">
        <f t="shared" si="22"/>
        <v>195.59</v>
      </c>
      <c r="KW25" s="74">
        <f t="shared" si="22"/>
        <v>194.8</v>
      </c>
      <c r="KX25" s="74">
        <f t="shared" si="22"/>
        <v>194.01</v>
      </c>
      <c r="KY25" s="74">
        <f t="shared" si="22"/>
        <v>193.23</v>
      </c>
      <c r="KZ25" s="74">
        <f t="shared" si="22"/>
        <v>192.44</v>
      </c>
      <c r="LA25" s="74">
        <f t="shared" si="22"/>
        <v>191.66</v>
      </c>
      <c r="LB25" s="74">
        <f t="shared" si="22"/>
        <v>190.88</v>
      </c>
      <c r="LC25" s="74">
        <f t="shared" si="22"/>
        <v>190.1</v>
      </c>
      <c r="LD25" s="74">
        <f t="shared" si="22"/>
        <v>189.32</v>
      </c>
      <c r="LE25" s="74">
        <f t="shared" si="22"/>
        <v>188.54</v>
      </c>
      <c r="LF25" s="74">
        <f t="shared" si="22"/>
        <v>187.77</v>
      </c>
      <c r="LG25" s="74">
        <f t="shared" si="22"/>
        <v>187</v>
      </c>
      <c r="LH25" s="74">
        <f t="shared" si="21"/>
        <v>186.22</v>
      </c>
      <c r="LI25" s="74">
        <f t="shared" si="21"/>
        <v>185.45</v>
      </c>
      <c r="LJ25" s="74">
        <f t="shared" si="21"/>
        <v>184.68</v>
      </c>
      <c r="LK25" s="74">
        <f t="shared" si="21"/>
        <v>183.91</v>
      </c>
      <c r="LL25" s="74">
        <f t="shared" si="21"/>
        <v>183.14</v>
      </c>
      <c r="LM25" s="74">
        <f t="shared" si="21"/>
        <v>182.38</v>
      </c>
      <c r="LN25" s="74">
        <f t="shared" si="21"/>
        <v>181.61</v>
      </c>
      <c r="LO25" s="74">
        <f t="shared" si="21"/>
        <v>180.85</v>
      </c>
      <c r="LP25" s="74">
        <f t="shared" si="21"/>
        <v>180.09</v>
      </c>
      <c r="LQ25" s="74">
        <f t="shared" si="21"/>
        <v>179.33</v>
      </c>
      <c r="LR25" s="74">
        <f t="shared" si="21"/>
        <v>178.57</v>
      </c>
      <c r="LS25" s="74">
        <f t="shared" si="21"/>
        <v>177.81</v>
      </c>
      <c r="LT25" s="74">
        <f t="shared" si="21"/>
        <v>177.06</v>
      </c>
      <c r="LU25" s="74">
        <f t="shared" si="21"/>
        <v>176.31</v>
      </c>
      <c r="LV25" s="74">
        <f t="shared" si="21"/>
        <v>175.55</v>
      </c>
      <c r="LW25" s="74">
        <f t="shared" si="21"/>
        <v>174.8</v>
      </c>
      <c r="LX25" s="74">
        <f t="shared" ref="LX25:MM40" si="23">LX24+0.75</f>
        <v>174.05</v>
      </c>
      <c r="LY25" s="74">
        <f t="shared" si="23"/>
        <v>173.3</v>
      </c>
      <c r="LZ25" s="74">
        <f t="shared" si="19"/>
        <v>172.56</v>
      </c>
      <c r="MA25" s="74">
        <f t="shared" si="19"/>
        <v>171.81</v>
      </c>
      <c r="MB25" s="74">
        <f t="shared" si="19"/>
        <v>171.07</v>
      </c>
      <c r="MC25" s="74">
        <f t="shared" si="19"/>
        <v>170.33</v>
      </c>
      <c r="MD25" s="74">
        <f t="shared" si="19"/>
        <v>169.59</v>
      </c>
      <c r="ME25" s="74">
        <f t="shared" si="19"/>
        <v>168.86</v>
      </c>
      <c r="MF25" s="74">
        <f t="shared" si="19"/>
        <v>168.12</v>
      </c>
      <c r="MG25" s="74">
        <f t="shared" si="19"/>
        <v>167.39</v>
      </c>
      <c r="MH25" s="74">
        <f t="shared" si="19"/>
        <v>166.65</v>
      </c>
      <c r="MI25" s="74">
        <f t="shared" si="19"/>
        <v>165.92</v>
      </c>
      <c r="MJ25" s="74">
        <f t="shared" si="19"/>
        <v>165.19</v>
      </c>
      <c r="MK25" s="74">
        <f t="shared" si="19"/>
        <v>164.46</v>
      </c>
      <c r="ML25" s="74">
        <f t="shared" si="19"/>
        <v>163.74</v>
      </c>
      <c r="MM25" s="74">
        <f t="shared" si="19"/>
        <v>163.01</v>
      </c>
      <c r="MN25" s="74">
        <f t="shared" si="19"/>
        <v>162.29</v>
      </c>
      <c r="MO25" s="74">
        <f t="shared" si="19"/>
        <v>161.57</v>
      </c>
      <c r="MP25" s="74">
        <f t="shared" si="19"/>
        <v>160.85</v>
      </c>
      <c r="MQ25" s="74">
        <f t="shared" si="19"/>
        <v>160.13999999999999</v>
      </c>
      <c r="MR25" s="74">
        <f t="shared" si="19"/>
        <v>159.41999999999999</v>
      </c>
      <c r="MS25" s="74">
        <f t="shared" si="19"/>
        <v>158.71</v>
      </c>
      <c r="MT25" s="74">
        <f t="shared" si="18"/>
        <v>157.99</v>
      </c>
      <c r="MU25" s="74">
        <f t="shared" si="18"/>
        <v>157.28</v>
      </c>
      <c r="MV25" s="74">
        <f t="shared" si="18"/>
        <v>156.57</v>
      </c>
      <c r="MW25" s="74">
        <f t="shared" si="18"/>
        <v>155.87</v>
      </c>
      <c r="MX25" s="74">
        <f t="shared" si="18"/>
        <v>155.16</v>
      </c>
      <c r="MY25" s="74">
        <f>MY24+0.75</f>
        <v>154.46</v>
      </c>
    </row>
    <row r="26" spans="1:363" ht="15.6" x14ac:dyDescent="0.3">
      <c r="A26" s="67" t="s">
        <v>6</v>
      </c>
      <c r="B26" s="72">
        <v>2036</v>
      </c>
      <c r="C26" s="70">
        <v>493.65</v>
      </c>
      <c r="D26" s="70">
        <v>492.61</v>
      </c>
      <c r="E26" s="70">
        <v>491.57</v>
      </c>
      <c r="F26" s="70">
        <v>490.53</v>
      </c>
      <c r="G26" s="70">
        <v>489.5</v>
      </c>
      <c r="H26" s="70">
        <v>488.46</v>
      </c>
      <c r="I26" s="70">
        <v>487.42</v>
      </c>
      <c r="J26" s="70">
        <v>486.38</v>
      </c>
      <c r="K26" s="70">
        <v>485.35</v>
      </c>
      <c r="L26" s="70">
        <v>484.31</v>
      </c>
      <c r="M26" s="70">
        <v>483.27</v>
      </c>
      <c r="N26" s="70">
        <v>482.23</v>
      </c>
      <c r="O26" s="70">
        <v>481.2</v>
      </c>
      <c r="P26" s="70">
        <v>480.16</v>
      </c>
      <c r="Q26" s="70">
        <v>479.12</v>
      </c>
      <c r="R26" s="70">
        <v>478.08</v>
      </c>
      <c r="S26" s="70">
        <v>477.04</v>
      </c>
      <c r="T26" s="70">
        <v>476.01</v>
      </c>
      <c r="U26" s="70">
        <v>474.97</v>
      </c>
      <c r="V26" s="70">
        <v>473.93</v>
      </c>
      <c r="W26" s="70">
        <v>472.89</v>
      </c>
      <c r="X26" s="70">
        <v>471.86</v>
      </c>
      <c r="Y26" s="70">
        <v>470.82</v>
      </c>
      <c r="Z26" s="70">
        <v>469.78</v>
      </c>
      <c r="AA26" s="70">
        <v>468.75</v>
      </c>
      <c r="AB26" s="70">
        <v>467.71</v>
      </c>
      <c r="AC26" s="70">
        <v>466.67</v>
      </c>
      <c r="AD26" s="70">
        <v>465.63</v>
      </c>
      <c r="AE26" s="70">
        <v>464.6</v>
      </c>
      <c r="AF26" s="70">
        <v>463.56</v>
      </c>
      <c r="AG26" s="70">
        <v>462.52</v>
      </c>
      <c r="AH26" s="70">
        <v>461.48</v>
      </c>
      <c r="AI26" s="70">
        <v>460.45</v>
      </c>
      <c r="AJ26" s="70">
        <v>459.41</v>
      </c>
      <c r="AK26" s="70">
        <v>458.37</v>
      </c>
      <c r="AL26" s="70">
        <v>457.34</v>
      </c>
      <c r="AM26" s="70">
        <v>456.3</v>
      </c>
      <c r="AN26" s="70">
        <v>455.26</v>
      </c>
      <c r="AO26" s="70">
        <v>454.22</v>
      </c>
      <c r="AP26" s="70">
        <v>453.19</v>
      </c>
      <c r="AQ26" s="70">
        <v>452.15</v>
      </c>
      <c r="AR26" s="70">
        <v>451.11</v>
      </c>
      <c r="AS26" s="70">
        <v>450.08</v>
      </c>
      <c r="AT26" s="70">
        <v>449.04</v>
      </c>
      <c r="AU26" s="70">
        <v>448</v>
      </c>
      <c r="AV26" s="70">
        <v>446.96</v>
      </c>
      <c r="AW26" s="70">
        <v>445.93</v>
      </c>
      <c r="AX26" s="70">
        <v>444.89</v>
      </c>
      <c r="AY26" s="70">
        <v>443.85</v>
      </c>
      <c r="AZ26" s="70">
        <v>442.82</v>
      </c>
      <c r="BA26" s="70">
        <v>441.78</v>
      </c>
      <c r="BB26" s="70">
        <v>440.74</v>
      </c>
      <c r="BC26" s="70">
        <v>439.71</v>
      </c>
      <c r="BD26" s="70">
        <v>438.67</v>
      </c>
      <c r="BE26" s="70">
        <v>437.63</v>
      </c>
      <c r="BF26" s="70">
        <v>436.6</v>
      </c>
      <c r="BG26" s="70">
        <v>435.56</v>
      </c>
      <c r="BH26" s="70">
        <v>434.52</v>
      </c>
      <c r="BI26" s="70">
        <v>433.49</v>
      </c>
      <c r="BJ26" s="70">
        <v>432.45</v>
      </c>
      <c r="BK26" s="70">
        <v>431.41</v>
      </c>
      <c r="BL26" s="70">
        <v>430.38</v>
      </c>
      <c r="BM26" s="70">
        <v>429.34</v>
      </c>
      <c r="BN26" s="70">
        <v>428.3</v>
      </c>
      <c r="BO26" s="70">
        <v>427.27</v>
      </c>
      <c r="BP26" s="70">
        <v>426.23</v>
      </c>
      <c r="BQ26" s="70">
        <v>425.19</v>
      </c>
      <c r="BR26" s="70">
        <v>424.16</v>
      </c>
      <c r="BS26" s="70">
        <v>423.12</v>
      </c>
      <c r="BT26" s="70">
        <v>422.08</v>
      </c>
      <c r="BU26" s="70">
        <v>421.05</v>
      </c>
      <c r="BV26" s="70">
        <v>420.01</v>
      </c>
      <c r="BW26" s="70">
        <v>418.98</v>
      </c>
      <c r="BX26" s="70">
        <v>417.94</v>
      </c>
      <c r="BY26" s="70">
        <v>416.91</v>
      </c>
      <c r="BZ26" s="70">
        <v>415.87</v>
      </c>
      <c r="CA26" s="70">
        <v>414.84</v>
      </c>
      <c r="CB26" s="70">
        <v>413.81</v>
      </c>
      <c r="CC26" s="70">
        <v>412.77</v>
      </c>
      <c r="CD26" s="70">
        <v>411.74</v>
      </c>
      <c r="CE26" s="70">
        <v>410.71</v>
      </c>
      <c r="CF26" s="70">
        <v>409.67</v>
      </c>
      <c r="CG26" s="70">
        <v>408.64</v>
      </c>
      <c r="CH26" s="70">
        <v>407.61</v>
      </c>
      <c r="CI26" s="70">
        <v>406.58</v>
      </c>
      <c r="CJ26" s="70">
        <v>405.54</v>
      </c>
      <c r="CK26" s="70">
        <v>404.51</v>
      </c>
      <c r="CL26" s="70">
        <v>403.48</v>
      </c>
      <c r="CM26" s="70">
        <v>402.45</v>
      </c>
      <c r="CN26" s="70">
        <v>401.41</v>
      </c>
      <c r="CO26" s="70">
        <v>400.38</v>
      </c>
      <c r="CP26" s="70">
        <v>399.35</v>
      </c>
      <c r="CQ26" s="70">
        <v>398.32</v>
      </c>
      <c r="CR26" s="70">
        <v>397.28</v>
      </c>
      <c r="CS26" s="70">
        <v>396.25</v>
      </c>
      <c r="CT26" s="70">
        <v>395.22</v>
      </c>
      <c r="CU26" s="70">
        <v>394.19</v>
      </c>
      <c r="CV26" s="70">
        <v>393.16</v>
      </c>
      <c r="CW26" s="70">
        <v>392.13</v>
      </c>
      <c r="CX26" s="70">
        <v>391.1</v>
      </c>
      <c r="CY26" s="70">
        <v>390.07</v>
      </c>
      <c r="CZ26" s="70">
        <v>389.04</v>
      </c>
      <c r="DA26" s="70">
        <v>388.01</v>
      </c>
      <c r="DB26" s="70">
        <v>386.98</v>
      </c>
      <c r="DC26" s="70">
        <v>385.95</v>
      </c>
      <c r="DD26" s="70">
        <v>384.92</v>
      </c>
      <c r="DE26" s="70">
        <v>383.89</v>
      </c>
      <c r="DF26" s="70">
        <v>382.86</v>
      </c>
      <c r="DG26" s="70">
        <v>381.83</v>
      </c>
      <c r="DH26" s="70">
        <v>380.81</v>
      </c>
      <c r="DI26" s="70">
        <v>379.78</v>
      </c>
      <c r="DJ26" s="70">
        <v>378.75</v>
      </c>
      <c r="DK26" s="70">
        <v>377.73</v>
      </c>
      <c r="DL26" s="70">
        <v>376.7</v>
      </c>
      <c r="DM26" s="70">
        <v>375.67</v>
      </c>
      <c r="DN26" s="70">
        <v>374.65</v>
      </c>
      <c r="DO26" s="70">
        <v>373.62</v>
      </c>
      <c r="DP26" s="70">
        <v>372.6</v>
      </c>
      <c r="DQ26" s="70">
        <v>371.57</v>
      </c>
      <c r="DR26" s="70">
        <v>370.54</v>
      </c>
      <c r="DS26" s="70">
        <v>369.52</v>
      </c>
      <c r="DT26" s="70">
        <v>368.5</v>
      </c>
      <c r="DU26" s="70">
        <v>367.48</v>
      </c>
      <c r="DV26" s="70">
        <v>366.46</v>
      </c>
      <c r="DW26" s="70">
        <v>365.44</v>
      </c>
      <c r="DX26" s="70">
        <v>364.42</v>
      </c>
      <c r="DY26" s="70">
        <v>363.4</v>
      </c>
      <c r="DZ26" s="70">
        <v>362.38</v>
      </c>
      <c r="EA26" s="70">
        <v>361.36</v>
      </c>
      <c r="EB26" s="70">
        <v>360.34</v>
      </c>
      <c r="EC26" s="70">
        <v>359.32</v>
      </c>
      <c r="ED26" s="70">
        <v>358.31</v>
      </c>
      <c r="EE26" s="70">
        <v>357.29</v>
      </c>
      <c r="EF26" s="70">
        <v>356.28</v>
      </c>
      <c r="EG26" s="70">
        <v>355.27</v>
      </c>
      <c r="EH26" s="70">
        <v>354.26</v>
      </c>
      <c r="EI26" s="70">
        <v>353.24</v>
      </c>
      <c r="EJ26" s="70">
        <v>352.23</v>
      </c>
      <c r="EK26" s="70">
        <v>351.23</v>
      </c>
      <c r="EL26" s="70">
        <v>350.22</v>
      </c>
      <c r="EM26" s="70">
        <v>349.21</v>
      </c>
      <c r="EN26" s="70">
        <v>348.2</v>
      </c>
      <c r="EO26" s="70">
        <v>347.19</v>
      </c>
      <c r="EP26" s="70">
        <v>346.18</v>
      </c>
      <c r="EQ26" s="70">
        <v>345.18</v>
      </c>
      <c r="ER26" s="70">
        <v>344.17</v>
      </c>
      <c r="ES26" s="70">
        <v>343.17</v>
      </c>
      <c r="ET26" s="70">
        <v>342.17</v>
      </c>
      <c r="EU26" s="70">
        <v>341.16</v>
      </c>
      <c r="EV26" s="70">
        <v>340.16</v>
      </c>
      <c r="EW26" s="70">
        <v>339.16</v>
      </c>
      <c r="EX26" s="70">
        <v>338.16</v>
      </c>
      <c r="EY26" s="70">
        <v>337.16</v>
      </c>
      <c r="EZ26" s="70">
        <v>336.16</v>
      </c>
      <c r="FA26" s="70">
        <v>335.16</v>
      </c>
      <c r="FB26" s="70">
        <v>334.16</v>
      </c>
      <c r="FC26" s="70">
        <v>333.16</v>
      </c>
      <c r="FD26" s="70">
        <v>332.16</v>
      </c>
      <c r="FE26" s="70">
        <v>331.17</v>
      </c>
      <c r="FF26" s="70">
        <v>330.18</v>
      </c>
      <c r="FG26" s="70">
        <v>329.18</v>
      </c>
      <c r="FH26" s="70">
        <v>328.19</v>
      </c>
      <c r="FI26" s="70">
        <v>327.2</v>
      </c>
      <c r="FJ26" s="70">
        <v>326.20999999999998</v>
      </c>
      <c r="FK26" s="70">
        <v>325.22000000000003</v>
      </c>
      <c r="FL26" s="70">
        <v>324.23</v>
      </c>
      <c r="FM26" s="70">
        <v>323.24</v>
      </c>
      <c r="FN26" s="70">
        <v>322.25</v>
      </c>
      <c r="FO26" s="70">
        <v>321.26</v>
      </c>
      <c r="FP26" s="70">
        <v>320.26</v>
      </c>
      <c r="FQ26" s="70">
        <v>319.27999999999997</v>
      </c>
      <c r="FR26" s="70">
        <v>318.29000000000002</v>
      </c>
      <c r="FS26" s="70">
        <v>317.31</v>
      </c>
      <c r="FT26" s="70">
        <v>316.32</v>
      </c>
      <c r="FU26" s="70">
        <v>315.33999999999997</v>
      </c>
      <c r="FV26" s="70">
        <v>314.35000000000002</v>
      </c>
      <c r="FW26" s="70">
        <v>313.38</v>
      </c>
      <c r="FX26" s="70">
        <v>312.39</v>
      </c>
      <c r="FY26" s="70">
        <v>311.41000000000003</v>
      </c>
      <c r="FZ26" s="70">
        <v>310.43</v>
      </c>
      <c r="GA26" s="70">
        <v>309.45</v>
      </c>
      <c r="GB26" s="70">
        <v>308.47000000000003</v>
      </c>
      <c r="GC26" s="70">
        <v>307.49</v>
      </c>
      <c r="GD26" s="70">
        <v>306.51</v>
      </c>
      <c r="GE26" s="70">
        <v>305.54000000000002</v>
      </c>
      <c r="GF26" s="70">
        <v>304.56</v>
      </c>
      <c r="GG26" s="70">
        <v>303.58999999999997</v>
      </c>
      <c r="GH26" s="70">
        <v>302.60000000000002</v>
      </c>
      <c r="GI26" s="70">
        <v>301.64</v>
      </c>
      <c r="GJ26" s="70">
        <v>300.67</v>
      </c>
      <c r="GK26" s="70">
        <v>299.69</v>
      </c>
      <c r="GL26" s="70">
        <v>298.72000000000003</v>
      </c>
      <c r="GM26" s="70">
        <v>297.75</v>
      </c>
      <c r="GN26" s="70">
        <v>296.79000000000002</v>
      </c>
      <c r="GO26" s="70">
        <v>295.82</v>
      </c>
      <c r="GP26" s="70">
        <v>294.85000000000002</v>
      </c>
      <c r="GQ26" s="70">
        <v>293.89999999999998</v>
      </c>
      <c r="GR26" s="70">
        <v>292.93</v>
      </c>
      <c r="GS26" s="70">
        <v>291.97000000000003</v>
      </c>
      <c r="GT26" s="70">
        <v>291.01</v>
      </c>
      <c r="GU26" s="70">
        <v>290.04000000000002</v>
      </c>
      <c r="GV26" s="70">
        <v>289.08999999999997</v>
      </c>
      <c r="GW26" s="70">
        <v>288.13</v>
      </c>
      <c r="GX26" s="70">
        <v>287.18</v>
      </c>
      <c r="GY26" s="70">
        <v>286.22000000000003</v>
      </c>
      <c r="GZ26" s="70">
        <v>285.26</v>
      </c>
      <c r="HA26" s="70">
        <v>284.31</v>
      </c>
      <c r="HB26" s="70">
        <v>283.35000000000002</v>
      </c>
      <c r="HC26" s="70">
        <v>282.41000000000003</v>
      </c>
      <c r="HD26" s="70">
        <v>281.45999999999998</v>
      </c>
      <c r="HE26" s="70">
        <v>280.51</v>
      </c>
      <c r="HF26" s="70">
        <v>279.56</v>
      </c>
      <c r="HG26" s="70">
        <v>278.60000000000002</v>
      </c>
      <c r="HH26" s="70">
        <v>277.66000000000003</v>
      </c>
      <c r="HI26" s="70">
        <v>276.72000000000003</v>
      </c>
      <c r="HJ26" s="70">
        <v>275.76</v>
      </c>
      <c r="HK26" s="70">
        <v>274.82</v>
      </c>
      <c r="HL26" s="70">
        <v>273.89</v>
      </c>
      <c r="HM26" s="70">
        <v>272.95</v>
      </c>
      <c r="HN26" s="70">
        <v>272.01</v>
      </c>
      <c r="HO26" s="70">
        <v>271.08999999999997</v>
      </c>
      <c r="HP26" s="70">
        <v>270.14999999999998</v>
      </c>
      <c r="HQ26" s="70">
        <v>269.22000000000003</v>
      </c>
      <c r="HR26" s="70">
        <v>268.29000000000002</v>
      </c>
      <c r="HS26" s="70">
        <v>267.35000000000002</v>
      </c>
      <c r="HT26" s="70">
        <v>266.43</v>
      </c>
      <c r="HU26" s="70">
        <v>265.5</v>
      </c>
      <c r="HV26" s="70">
        <v>264.57</v>
      </c>
      <c r="HW26" s="70">
        <v>263.64999999999998</v>
      </c>
      <c r="HX26" s="70">
        <v>262.72000000000003</v>
      </c>
      <c r="HY26" s="70">
        <v>261.79000000000002</v>
      </c>
      <c r="HZ26" s="70">
        <v>260.88</v>
      </c>
      <c r="IA26" s="70">
        <v>259.95999999999998</v>
      </c>
      <c r="IB26" s="70">
        <v>259.02999999999997</v>
      </c>
      <c r="IC26" s="70">
        <v>258.10000000000002</v>
      </c>
      <c r="ID26" s="70">
        <v>257.2</v>
      </c>
      <c r="IE26" s="70">
        <v>256.27999999999997</v>
      </c>
      <c r="IF26" s="70">
        <v>255.36</v>
      </c>
      <c r="IG26" s="70">
        <v>254.44</v>
      </c>
      <c r="IH26" s="70">
        <v>253.53</v>
      </c>
      <c r="II26" s="70">
        <v>252.61</v>
      </c>
      <c r="IJ26" s="70">
        <v>251.7</v>
      </c>
      <c r="IK26" s="70">
        <v>250.79</v>
      </c>
      <c r="IL26" s="70">
        <v>249.88</v>
      </c>
      <c r="IM26" s="70">
        <v>248.97</v>
      </c>
      <c r="IN26" s="70">
        <v>248.07</v>
      </c>
      <c r="IO26" s="70">
        <v>247.16</v>
      </c>
      <c r="IP26" s="70">
        <v>246.25</v>
      </c>
      <c r="IQ26" s="70">
        <v>245.35</v>
      </c>
      <c r="IR26" s="70">
        <v>244.45</v>
      </c>
      <c r="IS26" s="70">
        <v>243.54</v>
      </c>
      <c r="IT26" s="70">
        <v>242.64</v>
      </c>
      <c r="IU26" s="70">
        <v>241.74</v>
      </c>
      <c r="IV26" s="70">
        <v>240.85</v>
      </c>
      <c r="IW26" s="70">
        <v>239.96</v>
      </c>
      <c r="IX26" s="70">
        <v>239.07</v>
      </c>
      <c r="IY26" s="70">
        <v>238.19</v>
      </c>
      <c r="IZ26" s="70">
        <v>237.3</v>
      </c>
      <c r="JA26" s="70">
        <v>236.41</v>
      </c>
      <c r="JB26" s="70">
        <v>235.53</v>
      </c>
      <c r="JC26" s="70">
        <v>234.65</v>
      </c>
      <c r="JD26" s="70">
        <v>233.77</v>
      </c>
      <c r="JE26" s="70">
        <v>232.88</v>
      </c>
      <c r="JF26" s="70">
        <v>232</v>
      </c>
      <c r="JG26" s="70">
        <v>231.12</v>
      </c>
      <c r="JH26" s="70">
        <v>230.25</v>
      </c>
      <c r="JI26" s="70">
        <v>229.37</v>
      </c>
      <c r="JJ26" s="70">
        <v>228.5</v>
      </c>
      <c r="JK26" s="70">
        <v>227.62</v>
      </c>
      <c r="JL26" s="70">
        <v>226.75</v>
      </c>
      <c r="JM26" s="70">
        <v>225.88</v>
      </c>
      <c r="JN26" s="70">
        <v>225.01</v>
      </c>
      <c r="JO26" s="70">
        <v>224.14</v>
      </c>
      <c r="JP26" s="70">
        <v>223.27</v>
      </c>
      <c r="JQ26" s="70">
        <v>222.4</v>
      </c>
      <c r="JR26" s="70">
        <v>221.53</v>
      </c>
      <c r="JS26" s="70">
        <v>220.67</v>
      </c>
      <c r="JT26" s="70">
        <v>219.8</v>
      </c>
      <c r="JU26" s="70">
        <v>218.93</v>
      </c>
      <c r="JV26" s="70">
        <v>218.06</v>
      </c>
      <c r="JW26" s="70">
        <v>217.19</v>
      </c>
      <c r="JX26" s="70">
        <v>216.33</v>
      </c>
      <c r="JY26" s="70">
        <v>215.46</v>
      </c>
      <c r="JZ26" s="70">
        <v>214.6</v>
      </c>
      <c r="KA26" s="70">
        <v>213.73</v>
      </c>
      <c r="KB26" s="70">
        <v>212.87</v>
      </c>
      <c r="KC26" s="70">
        <v>212.01</v>
      </c>
      <c r="KD26" s="70">
        <v>211.15</v>
      </c>
      <c r="KE26" s="70">
        <v>210.29</v>
      </c>
      <c r="KF26" s="70">
        <v>209.43</v>
      </c>
      <c r="KG26" s="70">
        <v>208.57</v>
      </c>
      <c r="KH26" s="70">
        <v>207.72</v>
      </c>
      <c r="KI26" s="70">
        <v>206.86</v>
      </c>
      <c r="KJ26" s="70">
        <v>206.01</v>
      </c>
      <c r="KK26" s="70">
        <v>205.15</v>
      </c>
      <c r="KL26" s="70">
        <v>204.3</v>
      </c>
      <c r="KM26" s="70">
        <v>203.45</v>
      </c>
      <c r="KN26" s="70">
        <v>202.6</v>
      </c>
      <c r="KO26" s="70">
        <v>201.75</v>
      </c>
      <c r="KP26" s="70">
        <v>200.9</v>
      </c>
      <c r="KQ26" s="70">
        <v>200.06</v>
      </c>
      <c r="KR26" s="74">
        <f t="shared" si="22"/>
        <v>199.52</v>
      </c>
      <c r="KS26" s="74">
        <f t="shared" si="22"/>
        <v>198.73</v>
      </c>
      <c r="KT26" s="74">
        <f t="shared" si="22"/>
        <v>197.91</v>
      </c>
      <c r="KU26" s="74">
        <f t="shared" si="22"/>
        <v>197.12</v>
      </c>
      <c r="KV26" s="74">
        <f t="shared" si="22"/>
        <v>196.34</v>
      </c>
      <c r="KW26" s="74">
        <f t="shared" si="22"/>
        <v>195.55</v>
      </c>
      <c r="KX26" s="74">
        <f t="shared" si="22"/>
        <v>194.76</v>
      </c>
      <c r="KY26" s="74">
        <f t="shared" si="22"/>
        <v>193.98</v>
      </c>
      <c r="KZ26" s="74">
        <f t="shared" si="22"/>
        <v>193.19</v>
      </c>
      <c r="LA26" s="74">
        <f t="shared" si="22"/>
        <v>192.41</v>
      </c>
      <c r="LB26" s="74">
        <f t="shared" si="22"/>
        <v>191.63</v>
      </c>
      <c r="LC26" s="74">
        <f t="shared" si="22"/>
        <v>190.85</v>
      </c>
      <c r="LD26" s="74">
        <f t="shared" si="22"/>
        <v>190.07</v>
      </c>
      <c r="LE26" s="74">
        <f t="shared" si="22"/>
        <v>189.29</v>
      </c>
      <c r="LF26" s="74">
        <f t="shared" si="22"/>
        <v>188.52</v>
      </c>
      <c r="LG26" s="74">
        <f t="shared" si="22"/>
        <v>187.75</v>
      </c>
      <c r="LH26" s="74">
        <f t="shared" si="21"/>
        <v>186.97</v>
      </c>
      <c r="LI26" s="74">
        <f t="shared" si="21"/>
        <v>186.2</v>
      </c>
      <c r="LJ26" s="74">
        <f t="shared" si="21"/>
        <v>185.43</v>
      </c>
      <c r="LK26" s="74">
        <f t="shared" si="21"/>
        <v>184.66</v>
      </c>
      <c r="LL26" s="74">
        <f t="shared" si="21"/>
        <v>183.89</v>
      </c>
      <c r="LM26" s="74">
        <f t="shared" si="21"/>
        <v>183.13</v>
      </c>
      <c r="LN26" s="74">
        <f t="shared" si="21"/>
        <v>182.36</v>
      </c>
      <c r="LO26" s="74">
        <f t="shared" si="21"/>
        <v>181.6</v>
      </c>
      <c r="LP26" s="74">
        <f t="shared" si="21"/>
        <v>180.84</v>
      </c>
      <c r="LQ26" s="74">
        <f t="shared" si="21"/>
        <v>180.08</v>
      </c>
      <c r="LR26" s="74">
        <f t="shared" si="21"/>
        <v>179.32</v>
      </c>
      <c r="LS26" s="74">
        <f t="shared" si="21"/>
        <v>178.56</v>
      </c>
      <c r="LT26" s="74">
        <f t="shared" si="21"/>
        <v>177.81</v>
      </c>
      <c r="LU26" s="74">
        <f t="shared" si="21"/>
        <v>177.06</v>
      </c>
      <c r="LV26" s="74">
        <f t="shared" si="21"/>
        <v>176.3</v>
      </c>
      <c r="LW26" s="74">
        <f t="shared" si="21"/>
        <v>175.55</v>
      </c>
      <c r="LX26" s="74">
        <f t="shared" si="23"/>
        <v>174.8</v>
      </c>
      <c r="LY26" s="74">
        <f t="shared" si="23"/>
        <v>174.05</v>
      </c>
      <c r="LZ26" s="74">
        <f t="shared" si="19"/>
        <v>173.31</v>
      </c>
      <c r="MA26" s="74">
        <f t="shared" si="19"/>
        <v>172.56</v>
      </c>
      <c r="MB26" s="74">
        <f t="shared" si="19"/>
        <v>171.82</v>
      </c>
      <c r="MC26" s="74">
        <f t="shared" si="19"/>
        <v>171.08</v>
      </c>
      <c r="MD26" s="74">
        <f t="shared" si="19"/>
        <v>170.34</v>
      </c>
      <c r="ME26" s="74">
        <f t="shared" si="19"/>
        <v>169.61</v>
      </c>
      <c r="MF26" s="74">
        <f t="shared" si="19"/>
        <v>168.87</v>
      </c>
      <c r="MG26" s="74">
        <f t="shared" si="19"/>
        <v>168.14</v>
      </c>
      <c r="MH26" s="74">
        <f t="shared" si="19"/>
        <v>167.4</v>
      </c>
      <c r="MI26" s="74">
        <f t="shared" si="19"/>
        <v>166.67</v>
      </c>
      <c r="MJ26" s="74">
        <f t="shared" si="19"/>
        <v>165.94</v>
      </c>
      <c r="MK26" s="74">
        <f t="shared" si="19"/>
        <v>165.21</v>
      </c>
      <c r="ML26" s="74">
        <f t="shared" si="19"/>
        <v>164.49</v>
      </c>
      <c r="MM26" s="74">
        <f t="shared" si="19"/>
        <v>163.76</v>
      </c>
      <c r="MN26" s="74">
        <f t="shared" si="19"/>
        <v>163.04</v>
      </c>
      <c r="MO26" s="74">
        <f t="shared" si="19"/>
        <v>162.32</v>
      </c>
      <c r="MP26" s="74">
        <f t="shared" si="19"/>
        <v>161.6</v>
      </c>
      <c r="MQ26" s="74">
        <f t="shared" si="19"/>
        <v>160.88999999999999</v>
      </c>
      <c r="MR26" s="74">
        <f t="shared" si="19"/>
        <v>160.16999999999999</v>
      </c>
      <c r="MS26" s="74">
        <f t="shared" si="19"/>
        <v>159.46</v>
      </c>
      <c r="MT26" s="74">
        <f t="shared" si="18"/>
        <v>158.74</v>
      </c>
      <c r="MU26" s="74">
        <f t="shared" si="18"/>
        <v>158.03</v>
      </c>
      <c r="MV26" s="74">
        <f t="shared" si="18"/>
        <v>157.32</v>
      </c>
      <c r="MW26" s="74">
        <f t="shared" si="18"/>
        <v>156.62</v>
      </c>
      <c r="MX26" s="74">
        <f t="shared" si="18"/>
        <v>155.91</v>
      </c>
      <c r="MY26" s="74">
        <f t="shared" si="18"/>
        <v>155.21</v>
      </c>
    </row>
    <row r="27" spans="1:363" ht="15.6" x14ac:dyDescent="0.3">
      <c r="A27" s="67" t="s">
        <v>6</v>
      </c>
      <c r="B27" s="72">
        <v>2037</v>
      </c>
      <c r="C27" s="70">
        <v>494.56</v>
      </c>
      <c r="D27" s="70">
        <v>493.52</v>
      </c>
      <c r="E27" s="70">
        <v>492.48</v>
      </c>
      <c r="F27" s="70">
        <v>491.45</v>
      </c>
      <c r="G27" s="70">
        <v>490.41</v>
      </c>
      <c r="H27" s="70">
        <v>489.37</v>
      </c>
      <c r="I27" s="70">
        <v>488.33</v>
      </c>
      <c r="J27" s="70">
        <v>487.3</v>
      </c>
      <c r="K27" s="70">
        <v>486.26</v>
      </c>
      <c r="L27" s="70">
        <v>485.22</v>
      </c>
      <c r="M27" s="70">
        <v>484.18</v>
      </c>
      <c r="N27" s="70">
        <v>483.15</v>
      </c>
      <c r="O27" s="70">
        <v>482.11</v>
      </c>
      <c r="P27" s="70">
        <v>481.07</v>
      </c>
      <c r="Q27" s="70">
        <v>480.03</v>
      </c>
      <c r="R27" s="70">
        <v>478.99</v>
      </c>
      <c r="S27" s="70">
        <v>477.96</v>
      </c>
      <c r="T27" s="70">
        <v>476.92</v>
      </c>
      <c r="U27" s="70">
        <v>475.88</v>
      </c>
      <c r="V27" s="70">
        <v>474.84</v>
      </c>
      <c r="W27" s="70">
        <v>473.81</v>
      </c>
      <c r="X27" s="70">
        <v>472.77</v>
      </c>
      <c r="Y27" s="70">
        <v>471.73</v>
      </c>
      <c r="Z27" s="70">
        <v>470.7</v>
      </c>
      <c r="AA27" s="70">
        <v>469.66</v>
      </c>
      <c r="AB27" s="70">
        <v>468.62</v>
      </c>
      <c r="AC27" s="70">
        <v>467.58</v>
      </c>
      <c r="AD27" s="70">
        <v>466.55</v>
      </c>
      <c r="AE27" s="70">
        <v>465.51</v>
      </c>
      <c r="AF27" s="70">
        <v>464.47</v>
      </c>
      <c r="AG27" s="70">
        <v>463.43</v>
      </c>
      <c r="AH27" s="70">
        <v>462.4</v>
      </c>
      <c r="AI27" s="70">
        <v>461.36</v>
      </c>
      <c r="AJ27" s="70">
        <v>460.32</v>
      </c>
      <c r="AK27" s="70">
        <v>459.29</v>
      </c>
      <c r="AL27" s="70">
        <v>458.25</v>
      </c>
      <c r="AM27" s="70">
        <v>457.21</v>
      </c>
      <c r="AN27" s="70">
        <v>456.17</v>
      </c>
      <c r="AO27" s="70">
        <v>455.14</v>
      </c>
      <c r="AP27" s="70">
        <v>454.1</v>
      </c>
      <c r="AQ27" s="70">
        <v>453.06</v>
      </c>
      <c r="AR27" s="70">
        <v>452.03</v>
      </c>
      <c r="AS27" s="70">
        <v>450.99</v>
      </c>
      <c r="AT27" s="70">
        <v>449.95</v>
      </c>
      <c r="AU27" s="70">
        <v>448.91</v>
      </c>
      <c r="AV27" s="70">
        <v>447.88</v>
      </c>
      <c r="AW27" s="70">
        <v>446.84</v>
      </c>
      <c r="AX27" s="70">
        <v>445.8</v>
      </c>
      <c r="AY27" s="70">
        <v>444.77</v>
      </c>
      <c r="AZ27" s="70">
        <v>443.73</v>
      </c>
      <c r="BA27" s="70">
        <v>442.69</v>
      </c>
      <c r="BB27" s="70">
        <v>441.66</v>
      </c>
      <c r="BC27" s="70">
        <v>440.62</v>
      </c>
      <c r="BD27" s="70">
        <v>439.58</v>
      </c>
      <c r="BE27" s="70">
        <v>438.55</v>
      </c>
      <c r="BF27" s="70">
        <v>437.51</v>
      </c>
      <c r="BG27" s="70">
        <v>436.47</v>
      </c>
      <c r="BH27" s="70">
        <v>435.44</v>
      </c>
      <c r="BI27" s="70">
        <v>434.4</v>
      </c>
      <c r="BJ27" s="70">
        <v>433.36</v>
      </c>
      <c r="BK27" s="70">
        <v>432.33</v>
      </c>
      <c r="BL27" s="70">
        <v>431.29</v>
      </c>
      <c r="BM27" s="70">
        <v>430.25</v>
      </c>
      <c r="BN27" s="70">
        <v>429.21</v>
      </c>
      <c r="BO27" s="70">
        <v>428.18</v>
      </c>
      <c r="BP27" s="70">
        <v>427.14</v>
      </c>
      <c r="BQ27" s="70">
        <v>426.1</v>
      </c>
      <c r="BR27" s="70">
        <v>425.07</v>
      </c>
      <c r="BS27" s="70">
        <v>424.03</v>
      </c>
      <c r="BT27" s="70">
        <v>422.99</v>
      </c>
      <c r="BU27" s="70">
        <v>421.96</v>
      </c>
      <c r="BV27" s="70">
        <v>420.92</v>
      </c>
      <c r="BW27" s="70">
        <v>419.89</v>
      </c>
      <c r="BX27" s="70">
        <v>418.85</v>
      </c>
      <c r="BY27" s="70">
        <v>417.82</v>
      </c>
      <c r="BZ27" s="70">
        <v>416.78</v>
      </c>
      <c r="CA27" s="70">
        <v>415.75</v>
      </c>
      <c r="CB27" s="70">
        <v>414.72</v>
      </c>
      <c r="CC27" s="70">
        <v>413.68</v>
      </c>
      <c r="CD27" s="70">
        <v>412.65</v>
      </c>
      <c r="CE27" s="70">
        <v>411.62</v>
      </c>
      <c r="CF27" s="70">
        <v>410.58</v>
      </c>
      <c r="CG27" s="70">
        <v>409.55</v>
      </c>
      <c r="CH27" s="70">
        <v>408.52</v>
      </c>
      <c r="CI27" s="70">
        <v>407.48</v>
      </c>
      <c r="CJ27" s="70">
        <v>406.45</v>
      </c>
      <c r="CK27" s="70">
        <v>405.42</v>
      </c>
      <c r="CL27" s="70">
        <v>404.39</v>
      </c>
      <c r="CM27" s="70">
        <v>403.35</v>
      </c>
      <c r="CN27" s="70">
        <v>402.32</v>
      </c>
      <c r="CO27" s="70">
        <v>401.29</v>
      </c>
      <c r="CP27" s="70">
        <v>400.25</v>
      </c>
      <c r="CQ27" s="70">
        <v>399.22</v>
      </c>
      <c r="CR27" s="70">
        <v>398.19</v>
      </c>
      <c r="CS27" s="70">
        <v>397.16</v>
      </c>
      <c r="CT27" s="70">
        <v>396.13</v>
      </c>
      <c r="CU27" s="70">
        <v>395.09</v>
      </c>
      <c r="CV27" s="70">
        <v>394.06</v>
      </c>
      <c r="CW27" s="70">
        <v>393.03</v>
      </c>
      <c r="CX27" s="70">
        <v>392</v>
      </c>
      <c r="CY27" s="70">
        <v>390.97</v>
      </c>
      <c r="CZ27" s="70">
        <v>389.94</v>
      </c>
      <c r="DA27" s="70">
        <v>388.91</v>
      </c>
      <c r="DB27" s="70">
        <v>387.88</v>
      </c>
      <c r="DC27" s="70">
        <v>386.85</v>
      </c>
      <c r="DD27" s="70">
        <v>385.82</v>
      </c>
      <c r="DE27" s="70">
        <v>384.79</v>
      </c>
      <c r="DF27" s="70">
        <v>383.77</v>
      </c>
      <c r="DG27" s="70">
        <v>382.74</v>
      </c>
      <c r="DH27" s="70">
        <v>381.71</v>
      </c>
      <c r="DI27" s="70">
        <v>380.68</v>
      </c>
      <c r="DJ27" s="70">
        <v>379.65</v>
      </c>
      <c r="DK27" s="70">
        <v>378.63</v>
      </c>
      <c r="DL27" s="70">
        <v>377.6</v>
      </c>
      <c r="DM27" s="70">
        <v>376.57</v>
      </c>
      <c r="DN27" s="70">
        <v>375.55</v>
      </c>
      <c r="DO27" s="70">
        <v>374.52</v>
      </c>
      <c r="DP27" s="70">
        <v>373.49</v>
      </c>
      <c r="DQ27" s="70">
        <v>372.47</v>
      </c>
      <c r="DR27" s="70">
        <v>371.44</v>
      </c>
      <c r="DS27" s="70">
        <v>370.42</v>
      </c>
      <c r="DT27" s="70">
        <v>369.39</v>
      </c>
      <c r="DU27" s="70">
        <v>368.37</v>
      </c>
      <c r="DV27" s="70">
        <v>367.35</v>
      </c>
      <c r="DW27" s="70">
        <v>366.33</v>
      </c>
      <c r="DX27" s="70">
        <v>365.31</v>
      </c>
      <c r="DY27" s="70">
        <v>364.29</v>
      </c>
      <c r="DZ27" s="70">
        <v>363.27</v>
      </c>
      <c r="EA27" s="70">
        <v>362.25</v>
      </c>
      <c r="EB27" s="70">
        <v>361.23</v>
      </c>
      <c r="EC27" s="70">
        <v>360.22</v>
      </c>
      <c r="ED27" s="70">
        <v>359.2</v>
      </c>
      <c r="EE27" s="70">
        <v>358.18</v>
      </c>
      <c r="EF27" s="70">
        <v>357.17</v>
      </c>
      <c r="EG27" s="70">
        <v>356.16</v>
      </c>
      <c r="EH27" s="70">
        <v>355.15</v>
      </c>
      <c r="EI27" s="70">
        <v>354.13</v>
      </c>
      <c r="EJ27" s="70">
        <v>353.12</v>
      </c>
      <c r="EK27" s="70">
        <v>352.11</v>
      </c>
      <c r="EL27" s="70">
        <v>351.1</v>
      </c>
      <c r="EM27" s="70">
        <v>350.09</v>
      </c>
      <c r="EN27" s="70">
        <v>349.08</v>
      </c>
      <c r="EO27" s="70">
        <v>348.08</v>
      </c>
      <c r="EP27" s="70">
        <v>347.07</v>
      </c>
      <c r="EQ27" s="70">
        <v>346.06</v>
      </c>
      <c r="ER27" s="70">
        <v>345.06</v>
      </c>
      <c r="ES27" s="70">
        <v>344.05</v>
      </c>
      <c r="ET27" s="70">
        <v>343.05</v>
      </c>
      <c r="EU27" s="70">
        <v>342.05</v>
      </c>
      <c r="EV27" s="70">
        <v>341.04</v>
      </c>
      <c r="EW27" s="70">
        <v>340.04</v>
      </c>
      <c r="EX27" s="70">
        <v>339.04</v>
      </c>
      <c r="EY27" s="70">
        <v>338.04</v>
      </c>
      <c r="EZ27" s="70">
        <v>337.04</v>
      </c>
      <c r="FA27" s="70">
        <v>336.04</v>
      </c>
      <c r="FB27" s="70">
        <v>335.04</v>
      </c>
      <c r="FC27" s="70">
        <v>334.04</v>
      </c>
      <c r="FD27" s="70">
        <v>333.04</v>
      </c>
      <c r="FE27" s="70">
        <v>332.05</v>
      </c>
      <c r="FF27" s="70">
        <v>331.05</v>
      </c>
      <c r="FG27" s="70">
        <v>330.06</v>
      </c>
      <c r="FH27" s="70">
        <v>329.07</v>
      </c>
      <c r="FI27" s="70">
        <v>328.07</v>
      </c>
      <c r="FJ27" s="70">
        <v>327.07</v>
      </c>
      <c r="FK27" s="70">
        <v>326.08999999999997</v>
      </c>
      <c r="FL27" s="70">
        <v>325.10000000000002</v>
      </c>
      <c r="FM27" s="70">
        <v>324.10000000000002</v>
      </c>
      <c r="FN27" s="70">
        <v>323.12</v>
      </c>
      <c r="FO27" s="70">
        <v>322.13</v>
      </c>
      <c r="FP27" s="70">
        <v>321.14</v>
      </c>
      <c r="FQ27" s="70">
        <v>320.14999999999998</v>
      </c>
      <c r="FR27" s="70">
        <v>319.17</v>
      </c>
      <c r="FS27" s="70">
        <v>318.18</v>
      </c>
      <c r="FT27" s="70">
        <v>317.19</v>
      </c>
      <c r="FU27" s="70">
        <v>316.20999999999998</v>
      </c>
      <c r="FV27" s="70">
        <v>315.23</v>
      </c>
      <c r="FW27" s="70">
        <v>314.24</v>
      </c>
      <c r="FX27" s="70">
        <v>313.26</v>
      </c>
      <c r="FY27" s="70">
        <v>312.26</v>
      </c>
      <c r="FZ27" s="70">
        <v>311.29000000000002</v>
      </c>
      <c r="GA27" s="70">
        <v>310.31</v>
      </c>
      <c r="GB27" s="70">
        <v>309.32</v>
      </c>
      <c r="GC27" s="70">
        <v>308.35000000000002</v>
      </c>
      <c r="GD27" s="70">
        <v>307.38</v>
      </c>
      <c r="GE27" s="70">
        <v>306.39999999999998</v>
      </c>
      <c r="GF27" s="70">
        <v>305.42</v>
      </c>
      <c r="GG27" s="70">
        <v>304.44</v>
      </c>
      <c r="GH27" s="70">
        <v>303.47000000000003</v>
      </c>
      <c r="GI27" s="70">
        <v>302.49</v>
      </c>
      <c r="GJ27" s="70">
        <v>301.51</v>
      </c>
      <c r="GK27" s="70">
        <v>300.54000000000002</v>
      </c>
      <c r="GL27" s="70">
        <v>299.57</v>
      </c>
      <c r="GM27" s="70">
        <v>298.60000000000002</v>
      </c>
      <c r="GN27" s="70">
        <v>297.64</v>
      </c>
      <c r="GO27" s="70">
        <v>296.67</v>
      </c>
      <c r="GP27" s="70">
        <v>295.70999999999998</v>
      </c>
      <c r="GQ27" s="70">
        <v>294.74</v>
      </c>
      <c r="GR27" s="70">
        <v>293.77999999999997</v>
      </c>
      <c r="GS27" s="70">
        <v>292.82</v>
      </c>
      <c r="GT27" s="70">
        <v>291.85000000000002</v>
      </c>
      <c r="GU27" s="70">
        <v>290.89</v>
      </c>
      <c r="GV27" s="70">
        <v>289.93</v>
      </c>
      <c r="GW27" s="70">
        <v>288.97000000000003</v>
      </c>
      <c r="GX27" s="70">
        <v>288.01</v>
      </c>
      <c r="GY27" s="70">
        <v>287.06</v>
      </c>
      <c r="GZ27" s="70">
        <v>286.10000000000002</v>
      </c>
      <c r="HA27" s="70">
        <v>285.14999999999998</v>
      </c>
      <c r="HB27" s="70">
        <v>284.2</v>
      </c>
      <c r="HC27" s="70">
        <v>283.24</v>
      </c>
      <c r="HD27" s="70">
        <v>282.29000000000002</v>
      </c>
      <c r="HE27" s="70">
        <v>281.33999999999997</v>
      </c>
      <c r="HF27" s="70">
        <v>280.39</v>
      </c>
      <c r="HG27" s="70">
        <v>279.44</v>
      </c>
      <c r="HH27" s="70">
        <v>278.49</v>
      </c>
      <c r="HI27" s="70">
        <v>277.54000000000002</v>
      </c>
      <c r="HJ27" s="70">
        <v>276.60000000000002</v>
      </c>
      <c r="HK27" s="70">
        <v>275.64999999999998</v>
      </c>
      <c r="HL27" s="70">
        <v>274.72000000000003</v>
      </c>
      <c r="HM27" s="70">
        <v>273.77999999999997</v>
      </c>
      <c r="HN27" s="70">
        <v>272.83999999999997</v>
      </c>
      <c r="HO27" s="70">
        <v>271.91000000000003</v>
      </c>
      <c r="HP27" s="70">
        <v>270.97000000000003</v>
      </c>
      <c r="HQ27" s="70">
        <v>270.04000000000002</v>
      </c>
      <c r="HR27" s="70">
        <v>269.10000000000002</v>
      </c>
      <c r="HS27" s="70">
        <v>268.18</v>
      </c>
      <c r="HT27" s="70">
        <v>267.25</v>
      </c>
      <c r="HU27" s="70">
        <v>266.32</v>
      </c>
      <c r="HV27" s="70">
        <v>265.39</v>
      </c>
      <c r="HW27" s="70">
        <v>264.45999999999998</v>
      </c>
      <c r="HX27" s="70">
        <v>263.52999999999997</v>
      </c>
      <c r="HY27" s="70">
        <v>262.60000000000002</v>
      </c>
      <c r="HZ27" s="70">
        <v>261.69</v>
      </c>
      <c r="IA27" s="70">
        <v>260.76</v>
      </c>
      <c r="IB27" s="70">
        <v>259.83999999999997</v>
      </c>
      <c r="IC27" s="70">
        <v>258.92</v>
      </c>
      <c r="ID27" s="70">
        <v>258</v>
      </c>
      <c r="IE27" s="70">
        <v>257.07</v>
      </c>
      <c r="IF27" s="70">
        <v>256.16000000000003</v>
      </c>
      <c r="IG27" s="70">
        <v>255.24</v>
      </c>
      <c r="IH27" s="70">
        <v>254.33</v>
      </c>
      <c r="II27" s="70">
        <v>253.41</v>
      </c>
      <c r="IJ27" s="70">
        <v>252.5</v>
      </c>
      <c r="IK27" s="70">
        <v>251.59</v>
      </c>
      <c r="IL27" s="70">
        <v>250.68</v>
      </c>
      <c r="IM27" s="70">
        <v>249.77</v>
      </c>
      <c r="IN27" s="70">
        <v>248.86</v>
      </c>
      <c r="IO27" s="70">
        <v>247.95</v>
      </c>
      <c r="IP27" s="70">
        <v>247.04</v>
      </c>
      <c r="IQ27" s="70">
        <v>246.14</v>
      </c>
      <c r="IR27" s="70">
        <v>245.23</v>
      </c>
      <c r="IS27" s="70">
        <v>244.33</v>
      </c>
      <c r="IT27" s="70">
        <v>243.42</v>
      </c>
      <c r="IU27" s="70">
        <v>242.52</v>
      </c>
      <c r="IV27" s="70">
        <v>241.63</v>
      </c>
      <c r="IW27" s="70">
        <v>240.74</v>
      </c>
      <c r="IX27" s="70">
        <v>239.85</v>
      </c>
      <c r="IY27" s="70">
        <v>238.96</v>
      </c>
      <c r="IZ27" s="70">
        <v>238.07</v>
      </c>
      <c r="JA27" s="70">
        <v>237.19</v>
      </c>
      <c r="JB27" s="70">
        <v>236.3</v>
      </c>
      <c r="JC27" s="70">
        <v>235.42</v>
      </c>
      <c r="JD27" s="70">
        <v>234.53</v>
      </c>
      <c r="JE27" s="70">
        <v>233.65</v>
      </c>
      <c r="JF27" s="70">
        <v>232.77</v>
      </c>
      <c r="JG27" s="70">
        <v>231.89</v>
      </c>
      <c r="JH27" s="70">
        <v>231.01</v>
      </c>
      <c r="JI27" s="70">
        <v>230.13</v>
      </c>
      <c r="JJ27" s="70">
        <v>229.26</v>
      </c>
      <c r="JK27" s="70">
        <v>228.38</v>
      </c>
      <c r="JL27" s="70">
        <v>227.51</v>
      </c>
      <c r="JM27" s="70">
        <v>226.63</v>
      </c>
      <c r="JN27" s="70">
        <v>225.76</v>
      </c>
      <c r="JO27" s="70">
        <v>224.89</v>
      </c>
      <c r="JP27" s="70">
        <v>224.02</v>
      </c>
      <c r="JQ27" s="70">
        <v>223.15</v>
      </c>
      <c r="JR27" s="70">
        <v>222.28</v>
      </c>
      <c r="JS27" s="70">
        <v>221.41</v>
      </c>
      <c r="JT27" s="70">
        <v>220.54</v>
      </c>
      <c r="JU27" s="70">
        <v>219.67</v>
      </c>
      <c r="JV27" s="70">
        <v>218.8</v>
      </c>
      <c r="JW27" s="70">
        <v>217.93</v>
      </c>
      <c r="JX27" s="70">
        <v>217.06</v>
      </c>
      <c r="JY27" s="70">
        <v>216.19</v>
      </c>
      <c r="JZ27" s="70">
        <v>215.33</v>
      </c>
      <c r="KA27" s="70">
        <v>214.46</v>
      </c>
      <c r="KB27" s="70">
        <v>213.6</v>
      </c>
      <c r="KC27" s="70">
        <v>212.73</v>
      </c>
      <c r="KD27" s="70">
        <v>211.87</v>
      </c>
      <c r="KE27" s="70">
        <v>211.01</v>
      </c>
      <c r="KF27" s="70">
        <v>210.15</v>
      </c>
      <c r="KG27" s="70">
        <v>209.29</v>
      </c>
      <c r="KH27" s="70">
        <v>208.43</v>
      </c>
      <c r="KI27" s="70">
        <v>207.58</v>
      </c>
      <c r="KJ27" s="70">
        <v>206.72</v>
      </c>
      <c r="KK27" s="70">
        <v>205.86</v>
      </c>
      <c r="KL27" s="70">
        <v>205.01</v>
      </c>
      <c r="KM27" s="70">
        <v>204.16</v>
      </c>
      <c r="KN27" s="70">
        <v>203.31</v>
      </c>
      <c r="KO27" s="70">
        <v>202.46</v>
      </c>
      <c r="KP27" s="70">
        <v>201.61</v>
      </c>
      <c r="KQ27" s="70">
        <v>200.76</v>
      </c>
      <c r="KR27" s="74">
        <f t="shared" si="22"/>
        <v>200.27</v>
      </c>
      <c r="KS27" s="74">
        <f t="shared" si="22"/>
        <v>199.48</v>
      </c>
      <c r="KT27" s="74">
        <f t="shared" si="22"/>
        <v>198.66</v>
      </c>
      <c r="KU27" s="74">
        <f t="shared" si="22"/>
        <v>197.87</v>
      </c>
      <c r="KV27" s="74">
        <f t="shared" si="22"/>
        <v>197.09</v>
      </c>
      <c r="KW27" s="74">
        <f t="shared" si="22"/>
        <v>196.3</v>
      </c>
      <c r="KX27" s="74">
        <f t="shared" si="22"/>
        <v>195.51</v>
      </c>
      <c r="KY27" s="74">
        <f t="shared" si="22"/>
        <v>194.73</v>
      </c>
      <c r="KZ27" s="74">
        <f t="shared" si="22"/>
        <v>193.94</v>
      </c>
      <c r="LA27" s="74">
        <f t="shared" si="22"/>
        <v>193.16</v>
      </c>
      <c r="LB27" s="74">
        <f t="shared" si="22"/>
        <v>192.38</v>
      </c>
      <c r="LC27" s="74">
        <f t="shared" si="22"/>
        <v>191.6</v>
      </c>
      <c r="LD27" s="74">
        <f t="shared" si="22"/>
        <v>190.82</v>
      </c>
      <c r="LE27" s="74">
        <f t="shared" si="22"/>
        <v>190.04</v>
      </c>
      <c r="LF27" s="74">
        <f t="shared" si="22"/>
        <v>189.27</v>
      </c>
      <c r="LG27" s="74">
        <f t="shared" si="22"/>
        <v>188.5</v>
      </c>
      <c r="LH27" s="74">
        <f t="shared" si="21"/>
        <v>187.72</v>
      </c>
      <c r="LI27" s="74">
        <f t="shared" si="21"/>
        <v>186.95</v>
      </c>
      <c r="LJ27" s="74">
        <f t="shared" si="21"/>
        <v>186.18</v>
      </c>
      <c r="LK27" s="74">
        <f t="shared" si="21"/>
        <v>185.41</v>
      </c>
      <c r="LL27" s="74">
        <f t="shared" si="21"/>
        <v>184.64</v>
      </c>
      <c r="LM27" s="74">
        <f t="shared" si="21"/>
        <v>183.88</v>
      </c>
      <c r="LN27" s="74">
        <f t="shared" si="21"/>
        <v>183.11</v>
      </c>
      <c r="LO27" s="74">
        <f t="shared" si="21"/>
        <v>182.35</v>
      </c>
      <c r="LP27" s="74">
        <f t="shared" si="21"/>
        <v>181.59</v>
      </c>
      <c r="LQ27" s="74">
        <f t="shared" si="21"/>
        <v>180.83</v>
      </c>
      <c r="LR27" s="74">
        <f t="shared" si="21"/>
        <v>180.07</v>
      </c>
      <c r="LS27" s="74">
        <f t="shared" si="21"/>
        <v>179.31</v>
      </c>
      <c r="LT27" s="74">
        <f t="shared" si="21"/>
        <v>178.56</v>
      </c>
      <c r="LU27" s="74">
        <f t="shared" si="21"/>
        <v>177.81</v>
      </c>
      <c r="LV27" s="74">
        <f t="shared" si="21"/>
        <v>177.05</v>
      </c>
      <c r="LW27" s="74">
        <f t="shared" si="21"/>
        <v>176.3</v>
      </c>
      <c r="LX27" s="74">
        <f t="shared" si="23"/>
        <v>175.55</v>
      </c>
      <c r="LY27" s="74">
        <f t="shared" si="23"/>
        <v>174.8</v>
      </c>
      <c r="LZ27" s="74">
        <f t="shared" si="19"/>
        <v>174.06</v>
      </c>
      <c r="MA27" s="74">
        <f t="shared" si="19"/>
        <v>173.31</v>
      </c>
      <c r="MB27" s="74">
        <f t="shared" si="19"/>
        <v>172.57</v>
      </c>
      <c r="MC27" s="74">
        <f t="shared" si="19"/>
        <v>171.83</v>
      </c>
      <c r="MD27" s="74">
        <f t="shared" si="19"/>
        <v>171.09</v>
      </c>
      <c r="ME27" s="74">
        <f t="shared" si="19"/>
        <v>170.36</v>
      </c>
      <c r="MF27" s="74">
        <f t="shared" si="19"/>
        <v>169.62</v>
      </c>
      <c r="MG27" s="74">
        <f t="shared" si="19"/>
        <v>168.89</v>
      </c>
      <c r="MH27" s="74">
        <f t="shared" si="19"/>
        <v>168.15</v>
      </c>
      <c r="MI27" s="74">
        <f t="shared" si="19"/>
        <v>167.42</v>
      </c>
      <c r="MJ27" s="74">
        <f t="shared" si="19"/>
        <v>166.69</v>
      </c>
      <c r="MK27" s="74">
        <f t="shared" si="19"/>
        <v>165.96</v>
      </c>
      <c r="ML27" s="74">
        <f t="shared" si="19"/>
        <v>165.24</v>
      </c>
      <c r="MM27" s="74">
        <f t="shared" si="19"/>
        <v>164.51</v>
      </c>
      <c r="MN27" s="74">
        <f t="shared" si="19"/>
        <v>163.79</v>
      </c>
      <c r="MO27" s="74">
        <f t="shared" si="19"/>
        <v>163.07</v>
      </c>
      <c r="MP27" s="74">
        <f t="shared" si="19"/>
        <v>162.35</v>
      </c>
      <c r="MQ27" s="74">
        <f t="shared" si="19"/>
        <v>161.63999999999999</v>
      </c>
      <c r="MR27" s="74">
        <f t="shared" si="19"/>
        <v>160.91999999999999</v>
      </c>
      <c r="MS27" s="74">
        <f t="shared" si="19"/>
        <v>160.21</v>
      </c>
      <c r="MT27" s="74">
        <f t="shared" si="18"/>
        <v>159.49</v>
      </c>
      <c r="MU27" s="74">
        <f t="shared" si="18"/>
        <v>158.78</v>
      </c>
      <c r="MV27" s="74">
        <f t="shared" si="18"/>
        <v>158.07</v>
      </c>
      <c r="MW27" s="74">
        <f t="shared" si="18"/>
        <v>157.37</v>
      </c>
      <c r="MX27" s="74">
        <f t="shared" si="18"/>
        <v>156.66</v>
      </c>
      <c r="MY27" s="74">
        <f t="shared" si="18"/>
        <v>155.96</v>
      </c>
    </row>
    <row r="28" spans="1:363" ht="15.6" x14ac:dyDescent="0.3">
      <c r="A28" s="67" t="s">
        <v>6</v>
      </c>
      <c r="B28" s="72">
        <v>2038</v>
      </c>
      <c r="C28" s="70">
        <v>495.46</v>
      </c>
      <c r="D28" s="70">
        <v>494.43</v>
      </c>
      <c r="E28" s="70">
        <v>493.39</v>
      </c>
      <c r="F28" s="70">
        <v>492.35</v>
      </c>
      <c r="G28" s="70">
        <v>491.31</v>
      </c>
      <c r="H28" s="70">
        <v>490.28</v>
      </c>
      <c r="I28" s="70">
        <v>489.24</v>
      </c>
      <c r="J28" s="70">
        <v>488.2</v>
      </c>
      <c r="K28" s="70">
        <v>487.16</v>
      </c>
      <c r="L28" s="70">
        <v>486.13</v>
      </c>
      <c r="M28" s="70">
        <v>485.09</v>
      </c>
      <c r="N28" s="70">
        <v>484.05</v>
      </c>
      <c r="O28" s="70">
        <v>483.01</v>
      </c>
      <c r="P28" s="70">
        <v>481.98</v>
      </c>
      <c r="Q28" s="70">
        <v>480.94</v>
      </c>
      <c r="R28" s="70">
        <v>479.9</v>
      </c>
      <c r="S28" s="70">
        <v>478.86</v>
      </c>
      <c r="T28" s="70">
        <v>477.83</v>
      </c>
      <c r="U28" s="70">
        <v>476.79</v>
      </c>
      <c r="V28" s="70">
        <v>475.75</v>
      </c>
      <c r="W28" s="70">
        <v>474.71</v>
      </c>
      <c r="X28" s="70">
        <v>473.68</v>
      </c>
      <c r="Y28" s="70">
        <v>472.64</v>
      </c>
      <c r="Z28" s="70">
        <v>471.6</v>
      </c>
      <c r="AA28" s="70">
        <v>470.56</v>
      </c>
      <c r="AB28" s="70">
        <v>469.53</v>
      </c>
      <c r="AC28" s="70">
        <v>468.49</v>
      </c>
      <c r="AD28" s="70">
        <v>467.45</v>
      </c>
      <c r="AE28" s="70">
        <v>466.42</v>
      </c>
      <c r="AF28" s="70">
        <v>465.38</v>
      </c>
      <c r="AG28" s="70">
        <v>464.34</v>
      </c>
      <c r="AH28" s="70">
        <v>463.3</v>
      </c>
      <c r="AI28" s="70">
        <v>462.27</v>
      </c>
      <c r="AJ28" s="70">
        <v>461.23</v>
      </c>
      <c r="AK28" s="70">
        <v>460.19</v>
      </c>
      <c r="AL28" s="70">
        <v>459.16</v>
      </c>
      <c r="AM28" s="70">
        <v>458.12</v>
      </c>
      <c r="AN28" s="70">
        <v>457.08</v>
      </c>
      <c r="AO28" s="70">
        <v>456.04</v>
      </c>
      <c r="AP28" s="70">
        <v>455.01</v>
      </c>
      <c r="AQ28" s="70">
        <v>453.97</v>
      </c>
      <c r="AR28" s="70">
        <v>452.93</v>
      </c>
      <c r="AS28" s="70">
        <v>451.9</v>
      </c>
      <c r="AT28" s="70">
        <v>450.86</v>
      </c>
      <c r="AU28" s="70">
        <v>449.82</v>
      </c>
      <c r="AV28" s="70">
        <v>448.78</v>
      </c>
      <c r="AW28" s="70">
        <v>447.75</v>
      </c>
      <c r="AX28" s="70">
        <v>446.71</v>
      </c>
      <c r="AY28" s="70">
        <v>445.67</v>
      </c>
      <c r="AZ28" s="70">
        <v>444.64</v>
      </c>
      <c r="BA28" s="70">
        <v>443.6</v>
      </c>
      <c r="BB28" s="70">
        <v>442.56</v>
      </c>
      <c r="BC28" s="70">
        <v>441.53</v>
      </c>
      <c r="BD28" s="70">
        <v>440.49</v>
      </c>
      <c r="BE28" s="70">
        <v>439.45</v>
      </c>
      <c r="BF28" s="70">
        <v>438.42</v>
      </c>
      <c r="BG28" s="70">
        <v>437.38</v>
      </c>
      <c r="BH28" s="70">
        <v>436.34</v>
      </c>
      <c r="BI28" s="70">
        <v>435.31</v>
      </c>
      <c r="BJ28" s="70">
        <v>434.27</v>
      </c>
      <c r="BK28" s="70">
        <v>433.23</v>
      </c>
      <c r="BL28" s="70">
        <v>432.2</v>
      </c>
      <c r="BM28" s="70">
        <v>431.16</v>
      </c>
      <c r="BN28" s="70">
        <v>430.12</v>
      </c>
      <c r="BO28" s="70">
        <v>429.08</v>
      </c>
      <c r="BP28" s="70">
        <v>428.05</v>
      </c>
      <c r="BQ28" s="70">
        <v>427.01</v>
      </c>
      <c r="BR28" s="70">
        <v>425.97</v>
      </c>
      <c r="BS28" s="70">
        <v>424.94</v>
      </c>
      <c r="BT28" s="70">
        <v>423.9</v>
      </c>
      <c r="BU28" s="70">
        <v>422.86</v>
      </c>
      <c r="BV28" s="70">
        <v>421.83</v>
      </c>
      <c r="BW28" s="70">
        <v>420.79</v>
      </c>
      <c r="BX28" s="70">
        <v>419.76</v>
      </c>
      <c r="BY28" s="70">
        <v>418.72</v>
      </c>
      <c r="BZ28" s="70">
        <v>417.69</v>
      </c>
      <c r="CA28" s="70">
        <v>416.65</v>
      </c>
      <c r="CB28" s="70">
        <v>415.62</v>
      </c>
      <c r="CC28" s="70">
        <v>414.59</v>
      </c>
      <c r="CD28" s="70">
        <v>413.55</v>
      </c>
      <c r="CE28" s="70">
        <v>412.52</v>
      </c>
      <c r="CF28" s="70">
        <v>411.49</v>
      </c>
      <c r="CG28" s="70">
        <v>410.45</v>
      </c>
      <c r="CH28" s="70">
        <v>409.42</v>
      </c>
      <c r="CI28" s="70">
        <v>408.39</v>
      </c>
      <c r="CJ28" s="70">
        <v>407.35</v>
      </c>
      <c r="CK28" s="70">
        <v>406.32</v>
      </c>
      <c r="CL28" s="70">
        <v>405.29</v>
      </c>
      <c r="CM28" s="70">
        <v>404.25</v>
      </c>
      <c r="CN28" s="70">
        <v>403.22</v>
      </c>
      <c r="CO28" s="70">
        <v>402.19</v>
      </c>
      <c r="CP28" s="70">
        <v>401.16</v>
      </c>
      <c r="CQ28" s="70">
        <v>400.12</v>
      </c>
      <c r="CR28" s="70">
        <v>399.09</v>
      </c>
      <c r="CS28" s="70">
        <v>398.06</v>
      </c>
      <c r="CT28" s="70">
        <v>397.02</v>
      </c>
      <c r="CU28" s="70">
        <v>395.99</v>
      </c>
      <c r="CV28" s="70">
        <v>394.96</v>
      </c>
      <c r="CW28" s="70">
        <v>393.93</v>
      </c>
      <c r="CX28" s="70">
        <v>392.9</v>
      </c>
      <c r="CY28" s="70">
        <v>391.87</v>
      </c>
      <c r="CZ28" s="70">
        <v>390.84</v>
      </c>
      <c r="DA28" s="70">
        <v>389.81</v>
      </c>
      <c r="DB28" s="70">
        <v>388.78</v>
      </c>
      <c r="DC28" s="70">
        <v>387.75</v>
      </c>
      <c r="DD28" s="70">
        <v>386.72</v>
      </c>
      <c r="DE28" s="70">
        <v>385.69</v>
      </c>
      <c r="DF28" s="70">
        <v>384.66</v>
      </c>
      <c r="DG28" s="70">
        <v>383.63</v>
      </c>
      <c r="DH28" s="70">
        <v>382.6</v>
      </c>
      <c r="DI28" s="70">
        <v>381.58</v>
      </c>
      <c r="DJ28" s="70">
        <v>380.55</v>
      </c>
      <c r="DK28" s="70">
        <v>379.52</v>
      </c>
      <c r="DL28" s="70">
        <v>378.49</v>
      </c>
      <c r="DM28" s="70">
        <v>377.47</v>
      </c>
      <c r="DN28" s="70">
        <v>376.44</v>
      </c>
      <c r="DO28" s="70">
        <v>375.41</v>
      </c>
      <c r="DP28" s="70">
        <v>374.39</v>
      </c>
      <c r="DQ28" s="70">
        <v>373.36</v>
      </c>
      <c r="DR28" s="70">
        <v>372.33</v>
      </c>
      <c r="DS28" s="70">
        <v>371.31</v>
      </c>
      <c r="DT28" s="70">
        <v>370.29</v>
      </c>
      <c r="DU28" s="70">
        <v>369.26</v>
      </c>
      <c r="DV28" s="70">
        <v>368.24</v>
      </c>
      <c r="DW28" s="70">
        <v>367.22</v>
      </c>
      <c r="DX28" s="70">
        <v>366.2</v>
      </c>
      <c r="DY28" s="70">
        <v>365.18</v>
      </c>
      <c r="DZ28" s="70">
        <v>364.16</v>
      </c>
      <c r="EA28" s="70">
        <v>363.14</v>
      </c>
      <c r="EB28" s="70">
        <v>362.12</v>
      </c>
      <c r="EC28" s="70">
        <v>361.1</v>
      </c>
      <c r="ED28" s="70">
        <v>360.08</v>
      </c>
      <c r="EE28" s="70">
        <v>359.07</v>
      </c>
      <c r="EF28" s="70">
        <v>358.05</v>
      </c>
      <c r="EG28" s="70">
        <v>357.04</v>
      </c>
      <c r="EH28" s="70">
        <v>356.03</v>
      </c>
      <c r="EI28" s="70">
        <v>355.02</v>
      </c>
      <c r="EJ28" s="70">
        <v>354.01</v>
      </c>
      <c r="EK28" s="70">
        <v>353</v>
      </c>
      <c r="EL28" s="70">
        <v>351.99</v>
      </c>
      <c r="EM28" s="70">
        <v>350.98</v>
      </c>
      <c r="EN28" s="70">
        <v>349.97</v>
      </c>
      <c r="EO28" s="70">
        <v>348.96</v>
      </c>
      <c r="EP28" s="70">
        <v>347.95</v>
      </c>
      <c r="EQ28" s="70">
        <v>346.94</v>
      </c>
      <c r="ER28" s="70">
        <v>345.93</v>
      </c>
      <c r="ES28" s="70">
        <v>344.93</v>
      </c>
      <c r="ET28" s="70">
        <v>343.93</v>
      </c>
      <c r="EU28" s="70">
        <v>342.92</v>
      </c>
      <c r="EV28" s="70">
        <v>341.92</v>
      </c>
      <c r="EW28" s="70">
        <v>340.92</v>
      </c>
      <c r="EX28" s="70">
        <v>339.91</v>
      </c>
      <c r="EY28" s="70">
        <v>338.91</v>
      </c>
      <c r="EZ28" s="70">
        <v>337.91</v>
      </c>
      <c r="FA28" s="70">
        <v>336.91</v>
      </c>
      <c r="FB28" s="70">
        <v>335.91</v>
      </c>
      <c r="FC28" s="70">
        <v>334.91</v>
      </c>
      <c r="FD28" s="70">
        <v>333.91</v>
      </c>
      <c r="FE28" s="70">
        <v>332.92</v>
      </c>
      <c r="FF28" s="70">
        <v>331.92</v>
      </c>
      <c r="FG28" s="70">
        <v>330.93</v>
      </c>
      <c r="FH28" s="70">
        <v>329.94</v>
      </c>
      <c r="FI28" s="70">
        <v>328.94</v>
      </c>
      <c r="FJ28" s="70">
        <v>327.95</v>
      </c>
      <c r="FK28" s="70">
        <v>326.95999999999998</v>
      </c>
      <c r="FL28" s="70">
        <v>325.95999999999998</v>
      </c>
      <c r="FM28" s="70">
        <v>324.97000000000003</v>
      </c>
      <c r="FN28" s="70">
        <v>323.98</v>
      </c>
      <c r="FO28" s="70">
        <v>322.99</v>
      </c>
      <c r="FP28" s="70">
        <v>322</v>
      </c>
      <c r="FQ28" s="70">
        <v>321.01</v>
      </c>
      <c r="FR28" s="70">
        <v>320.02999999999997</v>
      </c>
      <c r="FS28" s="70">
        <v>319.04000000000002</v>
      </c>
      <c r="FT28" s="70">
        <v>318.06</v>
      </c>
      <c r="FU28" s="70">
        <v>317.07</v>
      </c>
      <c r="FV28" s="70">
        <v>316.07</v>
      </c>
      <c r="FW28" s="70">
        <v>315.10000000000002</v>
      </c>
      <c r="FX28" s="70">
        <v>314.12</v>
      </c>
      <c r="FY28" s="70">
        <v>313.13</v>
      </c>
      <c r="FZ28" s="70">
        <v>312.14999999999998</v>
      </c>
      <c r="GA28" s="70">
        <v>311.17</v>
      </c>
      <c r="GB28" s="70">
        <v>310.19</v>
      </c>
      <c r="GC28" s="70">
        <v>309.20999999999998</v>
      </c>
      <c r="GD28" s="70">
        <v>308.23</v>
      </c>
      <c r="GE28" s="70">
        <v>307.25</v>
      </c>
      <c r="GF28" s="70">
        <v>306.26</v>
      </c>
      <c r="GG28" s="70">
        <v>305.29000000000002</v>
      </c>
      <c r="GH28" s="70">
        <v>304.32</v>
      </c>
      <c r="GI28" s="70">
        <v>303.33999999999997</v>
      </c>
      <c r="GJ28" s="70">
        <v>302.37</v>
      </c>
      <c r="GK28" s="70">
        <v>301.39</v>
      </c>
      <c r="GL28" s="70">
        <v>300.42</v>
      </c>
      <c r="GM28" s="70">
        <v>299.45</v>
      </c>
      <c r="GN28" s="70">
        <v>298.48</v>
      </c>
      <c r="GO28" s="70">
        <v>297.51</v>
      </c>
      <c r="GP28" s="70">
        <v>296.54000000000002</v>
      </c>
      <c r="GQ28" s="70">
        <v>295.57</v>
      </c>
      <c r="GR28" s="70">
        <v>294.62</v>
      </c>
      <c r="GS28" s="70">
        <v>293.66000000000003</v>
      </c>
      <c r="GT28" s="70">
        <v>292.69</v>
      </c>
      <c r="GU28" s="70">
        <v>291.73</v>
      </c>
      <c r="GV28" s="70">
        <v>290.76</v>
      </c>
      <c r="GW28" s="70">
        <v>289.81</v>
      </c>
      <c r="GX28" s="70">
        <v>288.85000000000002</v>
      </c>
      <c r="GY28" s="70">
        <v>287.89</v>
      </c>
      <c r="GZ28" s="70">
        <v>286.94</v>
      </c>
      <c r="HA28" s="70">
        <v>285.98</v>
      </c>
      <c r="HB28" s="70">
        <v>285.02999999999997</v>
      </c>
      <c r="HC28" s="70">
        <v>284.07</v>
      </c>
      <c r="HD28" s="70">
        <v>283.12</v>
      </c>
      <c r="HE28" s="70">
        <v>282.17</v>
      </c>
      <c r="HF28" s="70">
        <v>281.22000000000003</v>
      </c>
      <c r="HG28" s="70">
        <v>280.26</v>
      </c>
      <c r="HH28" s="70">
        <v>279.32</v>
      </c>
      <c r="HI28" s="70">
        <v>278.37</v>
      </c>
      <c r="HJ28" s="70">
        <v>277.42</v>
      </c>
      <c r="HK28" s="70">
        <v>276.47000000000003</v>
      </c>
      <c r="HL28" s="70">
        <v>275.54000000000002</v>
      </c>
      <c r="HM28" s="70">
        <v>274.60000000000002</v>
      </c>
      <c r="HN28" s="70">
        <v>273.66000000000003</v>
      </c>
      <c r="HO28" s="70">
        <v>272.72000000000003</v>
      </c>
      <c r="HP28" s="70">
        <v>271.79000000000002</v>
      </c>
      <c r="HQ28" s="70">
        <v>270.85000000000002</v>
      </c>
      <c r="HR28" s="70">
        <v>269.92</v>
      </c>
      <c r="HS28" s="70">
        <v>268.99</v>
      </c>
      <c r="HT28" s="70">
        <v>268.06</v>
      </c>
      <c r="HU28" s="70">
        <v>267.13</v>
      </c>
      <c r="HV28" s="70">
        <v>266.2</v>
      </c>
      <c r="HW28" s="70">
        <v>265.26</v>
      </c>
      <c r="HX28" s="70">
        <v>264.33999999999997</v>
      </c>
      <c r="HY28" s="70">
        <v>263.41000000000003</v>
      </c>
      <c r="HZ28" s="70">
        <v>262.49</v>
      </c>
      <c r="IA28" s="70">
        <v>261.57</v>
      </c>
      <c r="IB28" s="70">
        <v>260.64</v>
      </c>
      <c r="IC28" s="70">
        <v>259.72000000000003</v>
      </c>
      <c r="ID28" s="70">
        <v>258.79000000000002</v>
      </c>
      <c r="IE28" s="70">
        <v>257.88</v>
      </c>
      <c r="IF28" s="70">
        <v>256.95999999999998</v>
      </c>
      <c r="IG28" s="70">
        <v>256.04000000000002</v>
      </c>
      <c r="IH28" s="70">
        <v>255.12</v>
      </c>
      <c r="II28" s="70">
        <v>254.2</v>
      </c>
      <c r="IJ28" s="70">
        <v>253.29</v>
      </c>
      <c r="IK28" s="70">
        <v>252.38</v>
      </c>
      <c r="IL28" s="70">
        <v>251.46</v>
      </c>
      <c r="IM28" s="70">
        <v>250.55</v>
      </c>
      <c r="IN28" s="70">
        <v>249.64</v>
      </c>
      <c r="IO28" s="70">
        <v>248.73</v>
      </c>
      <c r="IP28" s="70">
        <v>247.83</v>
      </c>
      <c r="IQ28" s="70">
        <v>246.92</v>
      </c>
      <c r="IR28" s="70">
        <v>246.01</v>
      </c>
      <c r="IS28" s="70">
        <v>245.11</v>
      </c>
      <c r="IT28" s="70">
        <v>244.2</v>
      </c>
      <c r="IU28" s="70">
        <v>243.3</v>
      </c>
      <c r="IV28" s="70">
        <v>242.41</v>
      </c>
      <c r="IW28" s="70">
        <v>241.51</v>
      </c>
      <c r="IX28" s="70">
        <v>240.62</v>
      </c>
      <c r="IY28" s="70">
        <v>239.73</v>
      </c>
      <c r="IZ28" s="70">
        <v>238.84</v>
      </c>
      <c r="JA28" s="70">
        <v>237.95</v>
      </c>
      <c r="JB28" s="70">
        <v>237.07</v>
      </c>
      <c r="JC28" s="70">
        <v>236.18</v>
      </c>
      <c r="JD28" s="70">
        <v>235.3</v>
      </c>
      <c r="JE28" s="70">
        <v>234.41</v>
      </c>
      <c r="JF28" s="70">
        <v>233.53</v>
      </c>
      <c r="JG28" s="70">
        <v>232.65</v>
      </c>
      <c r="JH28" s="70">
        <v>231.77</v>
      </c>
      <c r="JI28" s="70">
        <v>230.89</v>
      </c>
      <c r="JJ28" s="70">
        <v>230.01</v>
      </c>
      <c r="JK28" s="70">
        <v>229.13</v>
      </c>
      <c r="JL28" s="70">
        <v>228.26</v>
      </c>
      <c r="JM28" s="70">
        <v>227.38</v>
      </c>
      <c r="JN28" s="70">
        <v>226.51</v>
      </c>
      <c r="JO28" s="70">
        <v>225.64</v>
      </c>
      <c r="JP28" s="70">
        <v>224.76</v>
      </c>
      <c r="JQ28" s="70">
        <v>223.89</v>
      </c>
      <c r="JR28" s="70">
        <v>223.02</v>
      </c>
      <c r="JS28" s="70">
        <v>222.15</v>
      </c>
      <c r="JT28" s="70">
        <v>221.28</v>
      </c>
      <c r="JU28" s="70">
        <v>220.41</v>
      </c>
      <c r="JV28" s="70">
        <v>219.54</v>
      </c>
      <c r="JW28" s="70">
        <v>218.66</v>
      </c>
      <c r="JX28" s="70">
        <v>217.79</v>
      </c>
      <c r="JY28" s="70">
        <v>216.93</v>
      </c>
      <c r="JZ28" s="70">
        <v>216.06</v>
      </c>
      <c r="KA28" s="70">
        <v>215.19</v>
      </c>
      <c r="KB28" s="70">
        <v>214.32</v>
      </c>
      <c r="KC28" s="70">
        <v>213.46</v>
      </c>
      <c r="KD28" s="70">
        <v>212.59</v>
      </c>
      <c r="KE28" s="70">
        <v>211.73</v>
      </c>
      <c r="KF28" s="70">
        <v>210.87</v>
      </c>
      <c r="KG28" s="70">
        <v>210.01</v>
      </c>
      <c r="KH28" s="70">
        <v>209.15</v>
      </c>
      <c r="KI28" s="70">
        <v>208.29</v>
      </c>
      <c r="KJ28" s="70">
        <v>207.43</v>
      </c>
      <c r="KK28" s="70">
        <v>206.57</v>
      </c>
      <c r="KL28" s="70">
        <v>205.72</v>
      </c>
      <c r="KM28" s="70">
        <v>204.86</v>
      </c>
      <c r="KN28" s="70">
        <v>204.01</v>
      </c>
      <c r="KO28" s="70">
        <v>203.16</v>
      </c>
      <c r="KP28" s="70">
        <v>202.31</v>
      </c>
      <c r="KQ28" s="70">
        <v>201.46</v>
      </c>
      <c r="KR28" s="74">
        <f t="shared" si="22"/>
        <v>201.02</v>
      </c>
      <c r="KS28" s="74">
        <f t="shared" si="22"/>
        <v>200.23</v>
      </c>
      <c r="KT28" s="74">
        <f t="shared" si="22"/>
        <v>199.41</v>
      </c>
      <c r="KU28" s="74">
        <f t="shared" si="22"/>
        <v>198.62</v>
      </c>
      <c r="KV28" s="74">
        <f t="shared" si="22"/>
        <v>197.84</v>
      </c>
      <c r="KW28" s="74">
        <f t="shared" si="22"/>
        <v>197.05</v>
      </c>
      <c r="KX28" s="74">
        <f t="shared" si="22"/>
        <v>196.26</v>
      </c>
      <c r="KY28" s="74">
        <f t="shared" si="22"/>
        <v>195.48</v>
      </c>
      <c r="KZ28" s="74">
        <f t="shared" si="22"/>
        <v>194.69</v>
      </c>
      <c r="LA28" s="74">
        <f t="shared" si="22"/>
        <v>193.91</v>
      </c>
      <c r="LB28" s="74">
        <f t="shared" si="22"/>
        <v>193.13</v>
      </c>
      <c r="LC28" s="74">
        <f t="shared" si="22"/>
        <v>192.35</v>
      </c>
      <c r="LD28" s="74">
        <f t="shared" si="22"/>
        <v>191.57</v>
      </c>
      <c r="LE28" s="74">
        <f t="shared" si="22"/>
        <v>190.79</v>
      </c>
      <c r="LF28" s="74">
        <f t="shared" si="22"/>
        <v>190.02</v>
      </c>
      <c r="LG28" s="74">
        <f t="shared" si="22"/>
        <v>189.25</v>
      </c>
      <c r="LH28" s="74">
        <f t="shared" si="21"/>
        <v>188.47</v>
      </c>
      <c r="LI28" s="74">
        <f t="shared" si="21"/>
        <v>187.7</v>
      </c>
      <c r="LJ28" s="74">
        <f t="shared" si="21"/>
        <v>186.93</v>
      </c>
      <c r="LK28" s="74">
        <f t="shared" si="21"/>
        <v>186.16</v>
      </c>
      <c r="LL28" s="74">
        <f t="shared" si="21"/>
        <v>185.39</v>
      </c>
      <c r="LM28" s="74">
        <f t="shared" si="21"/>
        <v>184.63</v>
      </c>
      <c r="LN28" s="74">
        <f t="shared" si="21"/>
        <v>183.86</v>
      </c>
      <c r="LO28" s="74">
        <f t="shared" si="21"/>
        <v>183.1</v>
      </c>
      <c r="LP28" s="74">
        <f t="shared" si="21"/>
        <v>182.34</v>
      </c>
      <c r="LQ28" s="74">
        <f t="shared" si="21"/>
        <v>181.58</v>
      </c>
      <c r="LR28" s="74">
        <f t="shared" si="21"/>
        <v>180.82</v>
      </c>
      <c r="LS28" s="74">
        <f t="shared" si="21"/>
        <v>180.06</v>
      </c>
      <c r="LT28" s="74">
        <f t="shared" si="21"/>
        <v>179.31</v>
      </c>
      <c r="LU28" s="74">
        <f t="shared" si="21"/>
        <v>178.56</v>
      </c>
      <c r="LV28" s="74">
        <f t="shared" si="21"/>
        <v>177.8</v>
      </c>
      <c r="LW28" s="74">
        <f t="shared" si="21"/>
        <v>177.05</v>
      </c>
      <c r="LX28" s="74">
        <f t="shared" si="23"/>
        <v>176.3</v>
      </c>
      <c r="LY28" s="74">
        <f t="shared" si="23"/>
        <v>175.55</v>
      </c>
      <c r="LZ28" s="74">
        <f t="shared" si="19"/>
        <v>174.81</v>
      </c>
      <c r="MA28" s="74">
        <f t="shared" si="19"/>
        <v>174.06</v>
      </c>
      <c r="MB28" s="74">
        <f t="shared" si="19"/>
        <v>173.32</v>
      </c>
      <c r="MC28" s="74">
        <f t="shared" si="19"/>
        <v>172.58</v>
      </c>
      <c r="MD28" s="74">
        <f t="shared" si="19"/>
        <v>171.84</v>
      </c>
      <c r="ME28" s="74">
        <f t="shared" si="19"/>
        <v>171.11</v>
      </c>
      <c r="MF28" s="74">
        <f t="shared" si="19"/>
        <v>170.37</v>
      </c>
      <c r="MG28" s="74">
        <f t="shared" si="19"/>
        <v>169.64</v>
      </c>
      <c r="MH28" s="74">
        <f t="shared" si="19"/>
        <v>168.9</v>
      </c>
      <c r="MI28" s="74">
        <f t="shared" si="19"/>
        <v>168.17</v>
      </c>
      <c r="MJ28" s="74">
        <f t="shared" si="19"/>
        <v>167.44</v>
      </c>
      <c r="MK28" s="74">
        <f t="shared" si="19"/>
        <v>166.71</v>
      </c>
      <c r="ML28" s="74">
        <f t="shared" si="19"/>
        <v>165.99</v>
      </c>
      <c r="MM28" s="74">
        <f t="shared" si="19"/>
        <v>165.26</v>
      </c>
      <c r="MN28" s="74">
        <f t="shared" si="19"/>
        <v>164.54</v>
      </c>
      <c r="MO28" s="74">
        <f t="shared" si="19"/>
        <v>163.82</v>
      </c>
      <c r="MP28" s="74">
        <f t="shared" si="19"/>
        <v>163.1</v>
      </c>
      <c r="MQ28" s="74">
        <f t="shared" si="19"/>
        <v>162.38999999999999</v>
      </c>
      <c r="MR28" s="74">
        <f t="shared" si="19"/>
        <v>161.66999999999999</v>
      </c>
      <c r="MS28" s="74">
        <f t="shared" si="19"/>
        <v>160.96</v>
      </c>
      <c r="MT28" s="74">
        <f t="shared" si="18"/>
        <v>160.24</v>
      </c>
      <c r="MU28" s="74">
        <f t="shared" si="18"/>
        <v>159.53</v>
      </c>
      <c r="MV28" s="74">
        <f t="shared" si="18"/>
        <v>158.82</v>
      </c>
      <c r="MW28" s="74">
        <f t="shared" si="18"/>
        <v>158.12</v>
      </c>
      <c r="MX28" s="74">
        <f t="shared" si="18"/>
        <v>157.41</v>
      </c>
      <c r="MY28" s="74">
        <f t="shared" si="18"/>
        <v>156.71</v>
      </c>
    </row>
    <row r="29" spans="1:363" ht="15.6" x14ac:dyDescent="0.3">
      <c r="A29" s="67" t="s">
        <v>6</v>
      </c>
      <c r="B29" s="72">
        <v>2039</v>
      </c>
      <c r="C29" s="70">
        <v>496.36</v>
      </c>
      <c r="D29" s="70">
        <v>495.32</v>
      </c>
      <c r="E29" s="70">
        <v>494.29</v>
      </c>
      <c r="F29" s="70">
        <v>493.25</v>
      </c>
      <c r="G29" s="70">
        <v>492.21</v>
      </c>
      <c r="H29" s="70">
        <v>491.17</v>
      </c>
      <c r="I29" s="70">
        <v>490.14</v>
      </c>
      <c r="J29" s="70">
        <v>489.1</v>
      </c>
      <c r="K29" s="70">
        <v>488.06</v>
      </c>
      <c r="L29" s="70">
        <v>487.02</v>
      </c>
      <c r="M29" s="70">
        <v>485.99</v>
      </c>
      <c r="N29" s="70">
        <v>484.95</v>
      </c>
      <c r="O29" s="70">
        <v>483.91</v>
      </c>
      <c r="P29" s="70">
        <v>482.88</v>
      </c>
      <c r="Q29" s="70">
        <v>481.84</v>
      </c>
      <c r="R29" s="70">
        <v>480.8</v>
      </c>
      <c r="S29" s="70">
        <v>479.76</v>
      </c>
      <c r="T29" s="70">
        <v>478.73</v>
      </c>
      <c r="U29" s="70">
        <v>477.69</v>
      </c>
      <c r="V29" s="70">
        <v>476.65</v>
      </c>
      <c r="W29" s="70">
        <v>475.61</v>
      </c>
      <c r="X29" s="70">
        <v>474.58</v>
      </c>
      <c r="Y29" s="70">
        <v>473.54</v>
      </c>
      <c r="Z29" s="70">
        <v>472.5</v>
      </c>
      <c r="AA29" s="70">
        <v>471.47</v>
      </c>
      <c r="AB29" s="70">
        <v>470.43</v>
      </c>
      <c r="AC29" s="70">
        <v>469.39</v>
      </c>
      <c r="AD29" s="70">
        <v>468.35</v>
      </c>
      <c r="AE29" s="70">
        <v>467.32</v>
      </c>
      <c r="AF29" s="70">
        <v>466.28</v>
      </c>
      <c r="AG29" s="70">
        <v>465.24</v>
      </c>
      <c r="AH29" s="70">
        <v>464.2</v>
      </c>
      <c r="AI29" s="70">
        <v>463.17</v>
      </c>
      <c r="AJ29" s="70">
        <v>462.13</v>
      </c>
      <c r="AK29" s="70">
        <v>461.09</v>
      </c>
      <c r="AL29" s="70">
        <v>460.06</v>
      </c>
      <c r="AM29" s="70">
        <v>459.02</v>
      </c>
      <c r="AN29" s="70">
        <v>457.98</v>
      </c>
      <c r="AO29" s="70">
        <v>456.94</v>
      </c>
      <c r="AP29" s="70">
        <v>455.91</v>
      </c>
      <c r="AQ29" s="70">
        <v>454.87</v>
      </c>
      <c r="AR29" s="70">
        <v>453.83</v>
      </c>
      <c r="AS29" s="70">
        <v>452.8</v>
      </c>
      <c r="AT29" s="70">
        <v>451.76</v>
      </c>
      <c r="AU29" s="70">
        <v>450.72</v>
      </c>
      <c r="AV29" s="70">
        <v>449.69</v>
      </c>
      <c r="AW29" s="70">
        <v>448.65</v>
      </c>
      <c r="AX29" s="70">
        <v>447.61</v>
      </c>
      <c r="AY29" s="70">
        <v>446.57</v>
      </c>
      <c r="AZ29" s="70">
        <v>445.54</v>
      </c>
      <c r="BA29" s="70">
        <v>444.5</v>
      </c>
      <c r="BB29" s="70">
        <v>443.46</v>
      </c>
      <c r="BC29" s="70">
        <v>442.43</v>
      </c>
      <c r="BD29" s="70">
        <v>441.39</v>
      </c>
      <c r="BE29" s="70">
        <v>440.35</v>
      </c>
      <c r="BF29" s="70">
        <v>439.32</v>
      </c>
      <c r="BG29" s="70">
        <v>438.28</v>
      </c>
      <c r="BH29" s="70">
        <v>437.24</v>
      </c>
      <c r="BI29" s="70">
        <v>436.21</v>
      </c>
      <c r="BJ29" s="70">
        <v>435.17</v>
      </c>
      <c r="BK29" s="70">
        <v>434.13</v>
      </c>
      <c r="BL29" s="70">
        <v>433.09</v>
      </c>
      <c r="BM29" s="70">
        <v>432.06</v>
      </c>
      <c r="BN29" s="70">
        <v>431.02</v>
      </c>
      <c r="BO29" s="70">
        <v>429.98</v>
      </c>
      <c r="BP29" s="70">
        <v>428.95</v>
      </c>
      <c r="BQ29" s="70">
        <v>427.91</v>
      </c>
      <c r="BR29" s="70">
        <v>426.87</v>
      </c>
      <c r="BS29" s="70">
        <v>425.83</v>
      </c>
      <c r="BT29" s="70">
        <v>424.8</v>
      </c>
      <c r="BU29" s="70">
        <v>423.76</v>
      </c>
      <c r="BV29" s="70">
        <v>422.73</v>
      </c>
      <c r="BW29" s="70">
        <v>421.69</v>
      </c>
      <c r="BX29" s="70">
        <v>420.66</v>
      </c>
      <c r="BY29" s="70">
        <v>419.62</v>
      </c>
      <c r="BZ29" s="70">
        <v>418.59</v>
      </c>
      <c r="CA29" s="70">
        <v>417.55</v>
      </c>
      <c r="CB29" s="70">
        <v>416.52</v>
      </c>
      <c r="CC29" s="70">
        <v>415.48</v>
      </c>
      <c r="CD29" s="70">
        <v>414.45</v>
      </c>
      <c r="CE29" s="70">
        <v>413.42</v>
      </c>
      <c r="CF29" s="70">
        <v>412.38</v>
      </c>
      <c r="CG29" s="70">
        <v>411.35</v>
      </c>
      <c r="CH29" s="70">
        <v>410.32</v>
      </c>
      <c r="CI29" s="70">
        <v>409.28</v>
      </c>
      <c r="CJ29" s="70">
        <v>408.25</v>
      </c>
      <c r="CK29" s="70">
        <v>407.22</v>
      </c>
      <c r="CL29" s="70">
        <v>406.18</v>
      </c>
      <c r="CM29" s="70">
        <v>405.15</v>
      </c>
      <c r="CN29" s="70">
        <v>404.12</v>
      </c>
      <c r="CO29" s="70">
        <v>403.08</v>
      </c>
      <c r="CP29" s="70">
        <v>402.05</v>
      </c>
      <c r="CQ29" s="70">
        <v>401.02</v>
      </c>
      <c r="CR29" s="70">
        <v>399.98</v>
      </c>
      <c r="CS29" s="70">
        <v>398.95</v>
      </c>
      <c r="CT29" s="70">
        <v>397.92</v>
      </c>
      <c r="CU29" s="70">
        <v>396.89</v>
      </c>
      <c r="CV29" s="70">
        <v>395.85</v>
      </c>
      <c r="CW29" s="70">
        <v>394.82</v>
      </c>
      <c r="CX29" s="70">
        <v>393.79</v>
      </c>
      <c r="CY29" s="70">
        <v>392.76</v>
      </c>
      <c r="CZ29" s="70">
        <v>391.73</v>
      </c>
      <c r="DA29" s="70">
        <v>390.7</v>
      </c>
      <c r="DB29" s="70">
        <v>389.67</v>
      </c>
      <c r="DC29" s="70">
        <v>388.64</v>
      </c>
      <c r="DD29" s="70">
        <v>387.61</v>
      </c>
      <c r="DE29" s="70">
        <v>386.58</v>
      </c>
      <c r="DF29" s="70">
        <v>385.55</v>
      </c>
      <c r="DG29" s="70">
        <v>384.52</v>
      </c>
      <c r="DH29" s="70">
        <v>383.49</v>
      </c>
      <c r="DI29" s="70">
        <v>382.46</v>
      </c>
      <c r="DJ29" s="70">
        <v>381.44</v>
      </c>
      <c r="DK29" s="70">
        <v>380.41</v>
      </c>
      <c r="DL29" s="70">
        <v>379.38</v>
      </c>
      <c r="DM29" s="70">
        <v>378.35</v>
      </c>
      <c r="DN29" s="70">
        <v>377.33</v>
      </c>
      <c r="DO29" s="70">
        <v>376.3</v>
      </c>
      <c r="DP29" s="70">
        <v>375.27</v>
      </c>
      <c r="DQ29" s="70">
        <v>374.25</v>
      </c>
      <c r="DR29" s="70">
        <v>373.22</v>
      </c>
      <c r="DS29" s="70">
        <v>372.19</v>
      </c>
      <c r="DT29" s="70">
        <v>371.17</v>
      </c>
      <c r="DU29" s="70">
        <v>370.15</v>
      </c>
      <c r="DV29" s="70">
        <v>369.13</v>
      </c>
      <c r="DW29" s="70">
        <v>368.1</v>
      </c>
      <c r="DX29" s="70">
        <v>367.08</v>
      </c>
      <c r="DY29" s="70">
        <v>366.06</v>
      </c>
      <c r="DZ29" s="70">
        <v>365.04</v>
      </c>
      <c r="EA29" s="70">
        <v>364.02</v>
      </c>
      <c r="EB29" s="70">
        <v>363</v>
      </c>
      <c r="EC29" s="70">
        <v>361.98</v>
      </c>
      <c r="ED29" s="70">
        <v>360.97</v>
      </c>
      <c r="EE29" s="70">
        <v>359.95</v>
      </c>
      <c r="EF29" s="70">
        <v>358.93</v>
      </c>
      <c r="EG29" s="70">
        <v>357.92</v>
      </c>
      <c r="EH29" s="70">
        <v>356.91</v>
      </c>
      <c r="EI29" s="70">
        <v>355.9</v>
      </c>
      <c r="EJ29" s="70">
        <v>354.88</v>
      </c>
      <c r="EK29" s="70">
        <v>353.87</v>
      </c>
      <c r="EL29" s="70">
        <v>352.86</v>
      </c>
      <c r="EM29" s="70">
        <v>351.85</v>
      </c>
      <c r="EN29" s="70">
        <v>350.84</v>
      </c>
      <c r="EO29" s="70">
        <v>349.83</v>
      </c>
      <c r="EP29" s="70">
        <v>348.82</v>
      </c>
      <c r="EQ29" s="70">
        <v>347.81</v>
      </c>
      <c r="ER29" s="70">
        <v>346.81</v>
      </c>
      <c r="ES29" s="70">
        <v>345.8</v>
      </c>
      <c r="ET29" s="70">
        <v>344.8</v>
      </c>
      <c r="EU29" s="70">
        <v>343.8</v>
      </c>
      <c r="EV29" s="70">
        <v>342.79</v>
      </c>
      <c r="EW29" s="70">
        <v>341.79</v>
      </c>
      <c r="EX29" s="70">
        <v>340.78</v>
      </c>
      <c r="EY29" s="70">
        <v>339.78</v>
      </c>
      <c r="EZ29" s="70">
        <v>338.78</v>
      </c>
      <c r="FA29" s="70">
        <v>337.78</v>
      </c>
      <c r="FB29" s="70">
        <v>336.78</v>
      </c>
      <c r="FC29" s="70">
        <v>335.78</v>
      </c>
      <c r="FD29" s="70">
        <v>334.78</v>
      </c>
      <c r="FE29" s="70">
        <v>333.78</v>
      </c>
      <c r="FF29" s="70">
        <v>332.79</v>
      </c>
      <c r="FG29" s="70">
        <v>331.79</v>
      </c>
      <c r="FH29" s="70">
        <v>330.8</v>
      </c>
      <c r="FI29" s="70">
        <v>329.81</v>
      </c>
      <c r="FJ29" s="70">
        <v>328.81</v>
      </c>
      <c r="FK29" s="70">
        <v>327.82</v>
      </c>
      <c r="FL29" s="70">
        <v>326.82</v>
      </c>
      <c r="FM29" s="70">
        <v>325.82</v>
      </c>
      <c r="FN29" s="70">
        <v>324.83999999999997</v>
      </c>
      <c r="FO29" s="70">
        <v>323.85000000000002</v>
      </c>
      <c r="FP29" s="70">
        <v>322.85000000000002</v>
      </c>
      <c r="FQ29" s="70">
        <v>321.87</v>
      </c>
      <c r="FR29" s="70">
        <v>320.89</v>
      </c>
      <c r="FS29" s="70">
        <v>319.89999999999998</v>
      </c>
      <c r="FT29" s="70">
        <v>318.91000000000003</v>
      </c>
      <c r="FU29" s="70">
        <v>317.92</v>
      </c>
      <c r="FV29" s="70">
        <v>316.94</v>
      </c>
      <c r="FW29" s="70">
        <v>315.95</v>
      </c>
      <c r="FX29" s="70">
        <v>314.97000000000003</v>
      </c>
      <c r="FY29" s="70">
        <v>313.98</v>
      </c>
      <c r="FZ29" s="70">
        <v>313</v>
      </c>
      <c r="GA29" s="70">
        <v>312.01</v>
      </c>
      <c r="GB29" s="70">
        <v>311.04000000000002</v>
      </c>
      <c r="GC29" s="70">
        <v>310.06</v>
      </c>
      <c r="GD29" s="70">
        <v>309.07</v>
      </c>
      <c r="GE29" s="70">
        <v>308.10000000000002</v>
      </c>
      <c r="GF29" s="70">
        <v>307.12</v>
      </c>
      <c r="GG29" s="70">
        <v>306.14</v>
      </c>
      <c r="GH29" s="70">
        <v>305.16000000000003</v>
      </c>
      <c r="GI29" s="70">
        <v>304.19</v>
      </c>
      <c r="GJ29" s="70">
        <v>303.20999999999998</v>
      </c>
      <c r="GK29" s="70">
        <v>302.24</v>
      </c>
      <c r="GL29" s="70">
        <v>301.26</v>
      </c>
      <c r="GM29" s="70">
        <v>300.29000000000002</v>
      </c>
      <c r="GN29" s="70">
        <v>299.32</v>
      </c>
      <c r="GO29" s="70">
        <v>298.35000000000002</v>
      </c>
      <c r="GP29" s="70">
        <v>297.39</v>
      </c>
      <c r="GQ29" s="70">
        <v>296.42</v>
      </c>
      <c r="GR29" s="70">
        <v>295.45999999999998</v>
      </c>
      <c r="GS29" s="70">
        <v>294.49</v>
      </c>
      <c r="GT29" s="70">
        <v>293.52999999999997</v>
      </c>
      <c r="GU29" s="70">
        <v>292.57</v>
      </c>
      <c r="GV29" s="70">
        <v>291.60000000000002</v>
      </c>
      <c r="GW29" s="70">
        <v>290.64</v>
      </c>
      <c r="GX29" s="70">
        <v>289.68</v>
      </c>
      <c r="GY29" s="70">
        <v>288.72000000000003</v>
      </c>
      <c r="GZ29" s="70">
        <v>287.76</v>
      </c>
      <c r="HA29" s="70">
        <v>286.81</v>
      </c>
      <c r="HB29" s="70">
        <v>285.85000000000002</v>
      </c>
      <c r="HC29" s="70">
        <v>284.89999999999998</v>
      </c>
      <c r="HD29" s="70">
        <v>283.94</v>
      </c>
      <c r="HE29" s="70">
        <v>282.99</v>
      </c>
      <c r="HF29" s="70">
        <v>282.04000000000002</v>
      </c>
      <c r="HG29" s="70">
        <v>281.08999999999997</v>
      </c>
      <c r="HH29" s="70">
        <v>280.14</v>
      </c>
      <c r="HI29" s="70">
        <v>279.19</v>
      </c>
      <c r="HJ29" s="70">
        <v>278.24</v>
      </c>
      <c r="HK29" s="70">
        <v>277.29000000000002</v>
      </c>
      <c r="HL29" s="70">
        <v>276.35000000000002</v>
      </c>
      <c r="HM29" s="70">
        <v>275.41000000000003</v>
      </c>
      <c r="HN29" s="70">
        <v>274.47000000000003</v>
      </c>
      <c r="HO29" s="70">
        <v>273.54000000000002</v>
      </c>
      <c r="HP29" s="70">
        <v>272.60000000000002</v>
      </c>
      <c r="HQ29" s="70">
        <v>271.67</v>
      </c>
      <c r="HR29" s="70">
        <v>270.73</v>
      </c>
      <c r="HS29" s="70">
        <v>269.79000000000002</v>
      </c>
      <c r="HT29" s="70">
        <v>268.85000000000002</v>
      </c>
      <c r="HU29" s="70">
        <v>267.93</v>
      </c>
      <c r="HV29" s="70">
        <v>267</v>
      </c>
      <c r="HW29" s="70">
        <v>266.07</v>
      </c>
      <c r="HX29" s="70">
        <v>265.14</v>
      </c>
      <c r="HY29" s="70">
        <v>264.22000000000003</v>
      </c>
      <c r="HZ29" s="70">
        <v>263.29000000000002</v>
      </c>
      <c r="IA29" s="70">
        <v>262.35000000000002</v>
      </c>
      <c r="IB29" s="70">
        <v>261.44</v>
      </c>
      <c r="IC29" s="70">
        <v>260.51</v>
      </c>
      <c r="ID29" s="70">
        <v>259.58999999999997</v>
      </c>
      <c r="IE29" s="70">
        <v>258.67</v>
      </c>
      <c r="IF29" s="70">
        <v>257.75</v>
      </c>
      <c r="IG29" s="70">
        <v>256.82</v>
      </c>
      <c r="IH29" s="70">
        <v>255.91</v>
      </c>
      <c r="II29" s="70">
        <v>254.99</v>
      </c>
      <c r="IJ29" s="70">
        <v>254.08</v>
      </c>
      <c r="IK29" s="70">
        <v>253.16</v>
      </c>
      <c r="IL29" s="70">
        <v>252.25</v>
      </c>
      <c r="IM29" s="70">
        <v>251.34</v>
      </c>
      <c r="IN29" s="70">
        <v>250.42</v>
      </c>
      <c r="IO29" s="70">
        <v>249.51</v>
      </c>
      <c r="IP29" s="70">
        <v>248.6</v>
      </c>
      <c r="IQ29" s="70">
        <v>247.7</v>
      </c>
      <c r="IR29" s="70">
        <v>246.79</v>
      </c>
      <c r="IS29" s="70">
        <v>245.88</v>
      </c>
      <c r="IT29" s="70">
        <v>244.98</v>
      </c>
      <c r="IU29" s="70">
        <v>244.07</v>
      </c>
      <c r="IV29" s="70">
        <v>243.18</v>
      </c>
      <c r="IW29" s="70">
        <v>242.28</v>
      </c>
      <c r="IX29" s="70">
        <v>241.39</v>
      </c>
      <c r="IY29" s="70">
        <v>240.5</v>
      </c>
      <c r="IZ29" s="70">
        <v>239.61</v>
      </c>
      <c r="JA29" s="70">
        <v>238.72</v>
      </c>
      <c r="JB29" s="70">
        <v>237.83</v>
      </c>
      <c r="JC29" s="70">
        <v>236.94</v>
      </c>
      <c r="JD29" s="70">
        <v>236.06</v>
      </c>
      <c r="JE29" s="70">
        <v>235.17</v>
      </c>
      <c r="JF29" s="70">
        <v>234.29</v>
      </c>
      <c r="JG29" s="70">
        <v>233.4</v>
      </c>
      <c r="JH29" s="70">
        <v>232.52</v>
      </c>
      <c r="JI29" s="70">
        <v>231.64</v>
      </c>
      <c r="JJ29" s="70">
        <v>230.76</v>
      </c>
      <c r="JK29" s="70">
        <v>229.88</v>
      </c>
      <c r="JL29" s="70">
        <v>229.01</v>
      </c>
      <c r="JM29" s="70">
        <v>228.13</v>
      </c>
      <c r="JN29" s="70">
        <v>227.25</v>
      </c>
      <c r="JO29" s="70">
        <v>226.38</v>
      </c>
      <c r="JP29" s="70">
        <v>225.51</v>
      </c>
      <c r="JQ29" s="70">
        <v>224.63</v>
      </c>
      <c r="JR29" s="70">
        <v>223.76</v>
      </c>
      <c r="JS29" s="70">
        <v>222.89</v>
      </c>
      <c r="JT29" s="70">
        <v>222.02</v>
      </c>
      <c r="JU29" s="70">
        <v>221.14</v>
      </c>
      <c r="JV29" s="70">
        <v>220.27</v>
      </c>
      <c r="JW29" s="70">
        <v>219.39</v>
      </c>
      <c r="JX29" s="70">
        <v>218.52</v>
      </c>
      <c r="JY29" s="70">
        <v>217.65</v>
      </c>
      <c r="JZ29" s="70">
        <v>216.78</v>
      </c>
      <c r="KA29" s="70">
        <v>215.91</v>
      </c>
      <c r="KB29" s="70">
        <v>215.04</v>
      </c>
      <c r="KC29" s="70">
        <v>214.18</v>
      </c>
      <c r="KD29" s="70">
        <v>213.31</v>
      </c>
      <c r="KE29" s="70">
        <v>212.44</v>
      </c>
      <c r="KF29" s="70">
        <v>211.58</v>
      </c>
      <c r="KG29" s="70">
        <v>210.72</v>
      </c>
      <c r="KH29" s="70">
        <v>209.86</v>
      </c>
      <c r="KI29" s="70">
        <v>209</v>
      </c>
      <c r="KJ29" s="70">
        <v>208.14</v>
      </c>
      <c r="KK29" s="70">
        <v>207.28</v>
      </c>
      <c r="KL29" s="70">
        <v>206.42</v>
      </c>
      <c r="KM29" s="70">
        <v>205.56</v>
      </c>
      <c r="KN29" s="70">
        <v>204.71</v>
      </c>
      <c r="KO29" s="70">
        <v>203.85</v>
      </c>
      <c r="KP29" s="70">
        <v>203</v>
      </c>
      <c r="KQ29" s="70">
        <v>202.15</v>
      </c>
      <c r="KR29" s="74">
        <f t="shared" si="22"/>
        <v>201.77</v>
      </c>
      <c r="KS29" s="74">
        <f t="shared" si="22"/>
        <v>200.98</v>
      </c>
      <c r="KT29" s="74">
        <f t="shared" si="22"/>
        <v>200.16</v>
      </c>
      <c r="KU29" s="74">
        <f t="shared" si="22"/>
        <v>199.37</v>
      </c>
      <c r="KV29" s="74">
        <f t="shared" si="22"/>
        <v>198.59</v>
      </c>
      <c r="KW29" s="74">
        <f t="shared" si="22"/>
        <v>197.8</v>
      </c>
      <c r="KX29" s="74">
        <f t="shared" si="22"/>
        <v>197.01</v>
      </c>
      <c r="KY29" s="74">
        <f t="shared" si="22"/>
        <v>196.23</v>
      </c>
      <c r="KZ29" s="74">
        <f t="shared" si="22"/>
        <v>195.44</v>
      </c>
      <c r="LA29" s="74">
        <f t="shared" si="22"/>
        <v>194.66</v>
      </c>
      <c r="LB29" s="74">
        <f t="shared" si="22"/>
        <v>193.88</v>
      </c>
      <c r="LC29" s="74">
        <f t="shared" si="22"/>
        <v>193.1</v>
      </c>
      <c r="LD29" s="74">
        <f t="shared" si="22"/>
        <v>192.32</v>
      </c>
      <c r="LE29" s="74">
        <f t="shared" si="22"/>
        <v>191.54</v>
      </c>
      <c r="LF29" s="74">
        <f t="shared" si="22"/>
        <v>190.77</v>
      </c>
      <c r="LG29" s="74">
        <f t="shared" si="22"/>
        <v>190</v>
      </c>
      <c r="LH29" s="74">
        <f t="shared" si="21"/>
        <v>189.22</v>
      </c>
      <c r="LI29" s="74">
        <f t="shared" si="21"/>
        <v>188.45</v>
      </c>
      <c r="LJ29" s="74">
        <f t="shared" si="21"/>
        <v>187.68</v>
      </c>
      <c r="LK29" s="74">
        <f t="shared" si="21"/>
        <v>186.91</v>
      </c>
      <c r="LL29" s="74">
        <f t="shared" si="21"/>
        <v>186.14</v>
      </c>
      <c r="LM29" s="74">
        <f t="shared" si="21"/>
        <v>185.38</v>
      </c>
      <c r="LN29" s="74">
        <f t="shared" si="21"/>
        <v>184.61</v>
      </c>
      <c r="LO29" s="74">
        <f t="shared" si="21"/>
        <v>183.85</v>
      </c>
      <c r="LP29" s="74">
        <f t="shared" si="21"/>
        <v>183.09</v>
      </c>
      <c r="LQ29" s="74">
        <f t="shared" si="21"/>
        <v>182.33</v>
      </c>
      <c r="LR29" s="74">
        <f t="shared" si="21"/>
        <v>181.57</v>
      </c>
      <c r="LS29" s="74">
        <f t="shared" si="21"/>
        <v>180.81</v>
      </c>
      <c r="LT29" s="74">
        <f t="shared" si="21"/>
        <v>180.06</v>
      </c>
      <c r="LU29" s="74">
        <f t="shared" si="21"/>
        <v>179.31</v>
      </c>
      <c r="LV29" s="74">
        <f t="shared" si="21"/>
        <v>178.55</v>
      </c>
      <c r="LW29" s="74">
        <f t="shared" si="21"/>
        <v>177.8</v>
      </c>
      <c r="LX29" s="74">
        <f t="shared" si="23"/>
        <v>177.05</v>
      </c>
      <c r="LY29" s="74">
        <f t="shared" si="23"/>
        <v>176.3</v>
      </c>
      <c r="LZ29" s="74">
        <f t="shared" si="19"/>
        <v>175.56</v>
      </c>
      <c r="MA29" s="74">
        <f t="shared" si="19"/>
        <v>174.81</v>
      </c>
      <c r="MB29" s="74">
        <f t="shared" si="19"/>
        <v>174.07</v>
      </c>
      <c r="MC29" s="74">
        <f t="shared" si="19"/>
        <v>173.33</v>
      </c>
      <c r="MD29" s="74">
        <f t="shared" si="19"/>
        <v>172.59</v>
      </c>
      <c r="ME29" s="74">
        <f t="shared" si="19"/>
        <v>171.86</v>
      </c>
      <c r="MF29" s="74">
        <f t="shared" si="19"/>
        <v>171.12</v>
      </c>
      <c r="MG29" s="74">
        <f>MG28+0.75</f>
        <v>170.39</v>
      </c>
      <c r="MH29" s="74">
        <f t="shared" si="19"/>
        <v>169.65</v>
      </c>
      <c r="MI29" s="74">
        <f t="shared" si="19"/>
        <v>168.92</v>
      </c>
      <c r="MJ29" s="74">
        <f t="shared" si="19"/>
        <v>168.19</v>
      </c>
      <c r="MK29" s="74">
        <f t="shared" si="19"/>
        <v>167.46</v>
      </c>
      <c r="ML29" s="74">
        <f t="shared" si="19"/>
        <v>166.74</v>
      </c>
      <c r="MM29" s="74">
        <f t="shared" si="19"/>
        <v>166.01</v>
      </c>
      <c r="MN29" s="74">
        <f t="shared" si="19"/>
        <v>165.29</v>
      </c>
      <c r="MO29" s="74">
        <f t="shared" si="19"/>
        <v>164.57</v>
      </c>
      <c r="MP29" s="74">
        <f t="shared" si="19"/>
        <v>163.85</v>
      </c>
      <c r="MQ29" s="74">
        <f t="shared" ref="MQ29:MY44" si="24">MQ28+0.75</f>
        <v>163.13999999999999</v>
      </c>
      <c r="MR29" s="74">
        <f t="shared" si="24"/>
        <v>162.41999999999999</v>
      </c>
      <c r="MS29" s="74">
        <f t="shared" si="24"/>
        <v>161.71</v>
      </c>
      <c r="MT29" s="74">
        <f t="shared" si="18"/>
        <v>160.99</v>
      </c>
      <c r="MU29" s="74">
        <f t="shared" si="18"/>
        <v>160.28</v>
      </c>
      <c r="MV29" s="74">
        <f t="shared" si="18"/>
        <v>159.57</v>
      </c>
      <c r="MW29" s="74">
        <f t="shared" si="18"/>
        <v>158.87</v>
      </c>
      <c r="MX29" s="74">
        <f t="shared" si="18"/>
        <v>158.16</v>
      </c>
      <c r="MY29" s="74">
        <f t="shared" si="18"/>
        <v>157.46</v>
      </c>
    </row>
    <row r="30" spans="1:363" ht="15.6" x14ac:dyDescent="0.3">
      <c r="A30" s="67" t="s">
        <v>6</v>
      </c>
      <c r="B30" s="72">
        <v>2040</v>
      </c>
      <c r="C30" s="70">
        <v>497.25</v>
      </c>
      <c r="D30" s="70">
        <v>496.22</v>
      </c>
      <c r="E30" s="70">
        <v>495.18</v>
      </c>
      <c r="F30" s="70">
        <v>494.14</v>
      </c>
      <c r="G30" s="70">
        <v>493.1</v>
      </c>
      <c r="H30" s="70">
        <v>492.07</v>
      </c>
      <c r="I30" s="70">
        <v>491.03</v>
      </c>
      <c r="J30" s="70">
        <v>489.99</v>
      </c>
      <c r="K30" s="70">
        <v>488.95</v>
      </c>
      <c r="L30" s="70">
        <v>487.92</v>
      </c>
      <c r="M30" s="70">
        <v>486.88</v>
      </c>
      <c r="N30" s="70">
        <v>485.84</v>
      </c>
      <c r="O30" s="70">
        <v>484.81</v>
      </c>
      <c r="P30" s="70">
        <v>483.77</v>
      </c>
      <c r="Q30" s="70">
        <v>482.73</v>
      </c>
      <c r="R30" s="70">
        <v>481.69</v>
      </c>
      <c r="S30" s="70">
        <v>480.66</v>
      </c>
      <c r="T30" s="70">
        <v>479.62</v>
      </c>
      <c r="U30" s="70">
        <v>478.58</v>
      </c>
      <c r="V30" s="70">
        <v>477.54</v>
      </c>
      <c r="W30" s="70">
        <v>476.51</v>
      </c>
      <c r="X30" s="70">
        <v>475.47</v>
      </c>
      <c r="Y30" s="70">
        <v>474.43</v>
      </c>
      <c r="Z30" s="70">
        <v>473.4</v>
      </c>
      <c r="AA30" s="70">
        <v>472.36</v>
      </c>
      <c r="AB30" s="70">
        <v>471.32</v>
      </c>
      <c r="AC30" s="70">
        <v>470.28</v>
      </c>
      <c r="AD30" s="70">
        <v>469.25</v>
      </c>
      <c r="AE30" s="70">
        <v>468.21</v>
      </c>
      <c r="AF30" s="70">
        <v>467.17</v>
      </c>
      <c r="AG30" s="70">
        <v>466.14</v>
      </c>
      <c r="AH30" s="70">
        <v>465.1</v>
      </c>
      <c r="AI30" s="70">
        <v>464.06</v>
      </c>
      <c r="AJ30" s="70">
        <v>463.02</v>
      </c>
      <c r="AK30" s="70">
        <v>461.99</v>
      </c>
      <c r="AL30" s="70">
        <v>460.95</v>
      </c>
      <c r="AM30" s="70">
        <v>459.91</v>
      </c>
      <c r="AN30" s="70">
        <v>458.88</v>
      </c>
      <c r="AO30" s="70">
        <v>457.84</v>
      </c>
      <c r="AP30" s="70">
        <v>456.8</v>
      </c>
      <c r="AQ30" s="70">
        <v>455.76</v>
      </c>
      <c r="AR30" s="70">
        <v>454.73</v>
      </c>
      <c r="AS30" s="70">
        <v>453.69</v>
      </c>
      <c r="AT30" s="70">
        <v>452.65</v>
      </c>
      <c r="AU30" s="70">
        <v>451.62</v>
      </c>
      <c r="AV30" s="70">
        <v>450.58</v>
      </c>
      <c r="AW30" s="70">
        <v>449.54</v>
      </c>
      <c r="AX30" s="70">
        <v>448.51</v>
      </c>
      <c r="AY30" s="70">
        <v>447.47</v>
      </c>
      <c r="AZ30" s="70">
        <v>446.43</v>
      </c>
      <c r="BA30" s="70">
        <v>445.39</v>
      </c>
      <c r="BB30" s="70">
        <v>444.36</v>
      </c>
      <c r="BC30" s="70">
        <v>443.32</v>
      </c>
      <c r="BD30" s="70">
        <v>442.28</v>
      </c>
      <c r="BE30" s="70">
        <v>441.25</v>
      </c>
      <c r="BF30" s="70">
        <v>440.21</v>
      </c>
      <c r="BG30" s="70">
        <v>439.17</v>
      </c>
      <c r="BH30" s="70">
        <v>438.14</v>
      </c>
      <c r="BI30" s="70">
        <v>437.1</v>
      </c>
      <c r="BJ30" s="70">
        <v>436.06</v>
      </c>
      <c r="BK30" s="70">
        <v>435.03</v>
      </c>
      <c r="BL30" s="70">
        <v>433.99</v>
      </c>
      <c r="BM30" s="70">
        <v>432.95</v>
      </c>
      <c r="BN30" s="70">
        <v>431.91</v>
      </c>
      <c r="BO30" s="70">
        <v>430.88</v>
      </c>
      <c r="BP30" s="70">
        <v>429.84</v>
      </c>
      <c r="BQ30" s="70">
        <v>428.8</v>
      </c>
      <c r="BR30" s="70">
        <v>427.76</v>
      </c>
      <c r="BS30" s="70">
        <v>426.73</v>
      </c>
      <c r="BT30" s="70">
        <v>425.69</v>
      </c>
      <c r="BU30" s="70">
        <v>424.65</v>
      </c>
      <c r="BV30" s="70">
        <v>423.62</v>
      </c>
      <c r="BW30" s="70">
        <v>422.58</v>
      </c>
      <c r="BX30" s="70">
        <v>421.55</v>
      </c>
      <c r="BY30" s="70">
        <v>420.51</v>
      </c>
      <c r="BZ30" s="70">
        <v>419.48</v>
      </c>
      <c r="CA30" s="70">
        <v>418.44</v>
      </c>
      <c r="CB30" s="70">
        <v>417.41</v>
      </c>
      <c r="CC30" s="70">
        <v>416.37</v>
      </c>
      <c r="CD30" s="70">
        <v>415.34</v>
      </c>
      <c r="CE30" s="70">
        <v>414.31</v>
      </c>
      <c r="CF30" s="70">
        <v>413.27</v>
      </c>
      <c r="CG30" s="70">
        <v>412.24</v>
      </c>
      <c r="CH30" s="70">
        <v>411.21</v>
      </c>
      <c r="CI30" s="70">
        <v>410.17</v>
      </c>
      <c r="CJ30" s="70">
        <v>409.14</v>
      </c>
      <c r="CK30" s="70">
        <v>408.11</v>
      </c>
      <c r="CL30" s="70">
        <v>407.07</v>
      </c>
      <c r="CM30" s="70">
        <v>406.04</v>
      </c>
      <c r="CN30" s="70">
        <v>405.01</v>
      </c>
      <c r="CO30" s="70">
        <v>403.97</v>
      </c>
      <c r="CP30" s="70">
        <v>402.94</v>
      </c>
      <c r="CQ30" s="70">
        <v>401.91</v>
      </c>
      <c r="CR30" s="70">
        <v>400.87</v>
      </c>
      <c r="CS30" s="70">
        <v>399.84</v>
      </c>
      <c r="CT30" s="70">
        <v>398.81</v>
      </c>
      <c r="CU30" s="70">
        <v>397.77</v>
      </c>
      <c r="CV30" s="70">
        <v>396.74</v>
      </c>
      <c r="CW30" s="70">
        <v>395.71</v>
      </c>
      <c r="CX30" s="70">
        <v>394.68</v>
      </c>
      <c r="CY30" s="70">
        <v>393.65</v>
      </c>
      <c r="CZ30" s="70">
        <v>392.62</v>
      </c>
      <c r="DA30" s="70">
        <v>391.59</v>
      </c>
      <c r="DB30" s="70">
        <v>390.56</v>
      </c>
      <c r="DC30" s="70">
        <v>389.53</v>
      </c>
      <c r="DD30" s="70">
        <v>388.5</v>
      </c>
      <c r="DE30" s="70">
        <v>387.47</v>
      </c>
      <c r="DF30" s="70">
        <v>386.44</v>
      </c>
      <c r="DG30" s="70">
        <v>385.41</v>
      </c>
      <c r="DH30" s="70">
        <v>384.38</v>
      </c>
      <c r="DI30" s="70">
        <v>383.35</v>
      </c>
      <c r="DJ30" s="70">
        <v>382.32</v>
      </c>
      <c r="DK30" s="70">
        <v>381.29</v>
      </c>
      <c r="DL30" s="70">
        <v>380.26</v>
      </c>
      <c r="DM30" s="70">
        <v>379.24</v>
      </c>
      <c r="DN30" s="70">
        <v>378.21</v>
      </c>
      <c r="DO30" s="70">
        <v>377.18</v>
      </c>
      <c r="DP30" s="70">
        <v>376.15</v>
      </c>
      <c r="DQ30" s="70">
        <v>375.13</v>
      </c>
      <c r="DR30" s="70">
        <v>374.1</v>
      </c>
      <c r="DS30" s="70">
        <v>373.07</v>
      </c>
      <c r="DT30" s="70">
        <v>372.05</v>
      </c>
      <c r="DU30" s="70">
        <v>371.03</v>
      </c>
      <c r="DV30" s="70">
        <v>370</v>
      </c>
      <c r="DW30" s="70">
        <v>368.98</v>
      </c>
      <c r="DX30" s="70">
        <v>367.96</v>
      </c>
      <c r="DY30" s="70">
        <v>366.94</v>
      </c>
      <c r="DZ30" s="70">
        <v>365.92</v>
      </c>
      <c r="EA30" s="70">
        <v>364.9</v>
      </c>
      <c r="EB30" s="70">
        <v>363.88</v>
      </c>
      <c r="EC30" s="70">
        <v>362.86</v>
      </c>
      <c r="ED30" s="70">
        <v>361.84</v>
      </c>
      <c r="EE30" s="70">
        <v>360.82</v>
      </c>
      <c r="EF30" s="70">
        <v>359.81</v>
      </c>
      <c r="EG30" s="70">
        <v>358.79</v>
      </c>
      <c r="EH30" s="70">
        <v>357.78</v>
      </c>
      <c r="EI30" s="70">
        <v>356.77</v>
      </c>
      <c r="EJ30" s="70">
        <v>355.76</v>
      </c>
      <c r="EK30" s="70">
        <v>354.74</v>
      </c>
      <c r="EL30" s="70">
        <v>353.73</v>
      </c>
      <c r="EM30" s="70">
        <v>352.72</v>
      </c>
      <c r="EN30" s="70">
        <v>351.71</v>
      </c>
      <c r="EO30" s="70">
        <v>350.7</v>
      </c>
      <c r="EP30" s="70">
        <v>349.69</v>
      </c>
      <c r="EQ30" s="70">
        <v>348.68</v>
      </c>
      <c r="ER30" s="70">
        <v>347.68</v>
      </c>
      <c r="ES30" s="70">
        <v>346.67</v>
      </c>
      <c r="ET30" s="70">
        <v>345.67</v>
      </c>
      <c r="EU30" s="70">
        <v>344.66</v>
      </c>
      <c r="EV30" s="70">
        <v>343.66</v>
      </c>
      <c r="EW30" s="70">
        <v>342.65</v>
      </c>
      <c r="EX30" s="70">
        <v>341.65</v>
      </c>
      <c r="EY30" s="70">
        <v>340.65</v>
      </c>
      <c r="EZ30" s="70">
        <v>339.64</v>
      </c>
      <c r="FA30" s="70">
        <v>338.64</v>
      </c>
      <c r="FB30" s="70">
        <v>337.64</v>
      </c>
      <c r="FC30" s="70">
        <v>336.64</v>
      </c>
      <c r="FD30" s="70">
        <v>335.64</v>
      </c>
      <c r="FE30" s="70">
        <v>334.64</v>
      </c>
      <c r="FF30" s="70">
        <v>333.65</v>
      </c>
      <c r="FG30" s="70">
        <v>332.65</v>
      </c>
      <c r="FH30" s="70">
        <v>331.66</v>
      </c>
      <c r="FI30" s="70">
        <v>330.66</v>
      </c>
      <c r="FJ30" s="70">
        <v>329.67</v>
      </c>
      <c r="FK30" s="70">
        <v>328.68</v>
      </c>
      <c r="FL30" s="70">
        <v>327.68</v>
      </c>
      <c r="FM30" s="70">
        <v>326.69</v>
      </c>
      <c r="FN30" s="70">
        <v>325.7</v>
      </c>
      <c r="FO30" s="70">
        <v>324.70999999999998</v>
      </c>
      <c r="FP30" s="70">
        <v>323.72000000000003</v>
      </c>
      <c r="FQ30" s="70">
        <v>322.73</v>
      </c>
      <c r="FR30" s="70">
        <v>321.74</v>
      </c>
      <c r="FS30" s="70">
        <v>320.75</v>
      </c>
      <c r="FT30" s="70">
        <v>319.76</v>
      </c>
      <c r="FU30" s="70">
        <v>318.76</v>
      </c>
      <c r="FV30" s="70">
        <v>317.79000000000002</v>
      </c>
      <c r="FW30" s="70">
        <v>316.79000000000002</v>
      </c>
      <c r="FX30" s="70">
        <v>315.82</v>
      </c>
      <c r="FY30" s="70">
        <v>314.82</v>
      </c>
      <c r="FZ30" s="70">
        <v>313.85000000000002</v>
      </c>
      <c r="GA30" s="70">
        <v>312.85000000000002</v>
      </c>
      <c r="GB30" s="70">
        <v>311.88</v>
      </c>
      <c r="GC30" s="70">
        <v>310.89999999999998</v>
      </c>
      <c r="GD30" s="70">
        <v>309.92</v>
      </c>
      <c r="GE30" s="70">
        <v>308.94</v>
      </c>
      <c r="GF30" s="70">
        <v>307.95999999999998</v>
      </c>
      <c r="GG30" s="70">
        <v>306.98</v>
      </c>
      <c r="GH30" s="70">
        <v>306</v>
      </c>
      <c r="GI30" s="70">
        <v>305.02999999999997</v>
      </c>
      <c r="GJ30" s="70">
        <v>304.04000000000002</v>
      </c>
      <c r="GK30" s="70">
        <v>303.07</v>
      </c>
      <c r="GL30" s="70">
        <v>302.10000000000002</v>
      </c>
      <c r="GM30" s="70">
        <v>301.12</v>
      </c>
      <c r="GN30" s="70">
        <v>300.14999999999998</v>
      </c>
      <c r="GO30" s="70">
        <v>299.19</v>
      </c>
      <c r="GP30" s="70">
        <v>298.22000000000003</v>
      </c>
      <c r="GQ30" s="70">
        <v>297.25</v>
      </c>
      <c r="GR30" s="70">
        <v>296.29000000000002</v>
      </c>
      <c r="GS30" s="70">
        <v>295.32</v>
      </c>
      <c r="GT30" s="70">
        <v>294.35000000000002</v>
      </c>
      <c r="GU30" s="70">
        <v>293.39</v>
      </c>
      <c r="GV30" s="70">
        <v>292.43</v>
      </c>
      <c r="GW30" s="70">
        <v>291.47000000000003</v>
      </c>
      <c r="GX30" s="70">
        <v>290.51</v>
      </c>
      <c r="GY30" s="70">
        <v>289.54000000000002</v>
      </c>
      <c r="GZ30" s="70">
        <v>288.58999999999997</v>
      </c>
      <c r="HA30" s="70">
        <v>287.63</v>
      </c>
      <c r="HB30" s="70">
        <v>286.67</v>
      </c>
      <c r="HC30" s="70">
        <v>285.72000000000003</v>
      </c>
      <c r="HD30" s="70">
        <v>284.76</v>
      </c>
      <c r="HE30" s="70">
        <v>283.81</v>
      </c>
      <c r="HF30" s="70">
        <v>282.85000000000002</v>
      </c>
      <c r="HG30" s="70">
        <v>281.89999999999998</v>
      </c>
      <c r="HH30" s="70">
        <v>280.95</v>
      </c>
      <c r="HI30" s="70">
        <v>280</v>
      </c>
      <c r="HJ30" s="70">
        <v>279.04000000000002</v>
      </c>
      <c r="HK30" s="70">
        <v>278.10000000000002</v>
      </c>
      <c r="HL30" s="70">
        <v>277.16000000000003</v>
      </c>
      <c r="HM30" s="70">
        <v>276.22000000000003</v>
      </c>
      <c r="HN30" s="70">
        <v>275.27999999999997</v>
      </c>
      <c r="HO30" s="70">
        <v>274.35000000000002</v>
      </c>
      <c r="HP30" s="70">
        <v>273.41000000000003</v>
      </c>
      <c r="HQ30" s="70">
        <v>272.47000000000003</v>
      </c>
      <c r="HR30" s="70">
        <v>271.54000000000002</v>
      </c>
      <c r="HS30" s="70">
        <v>270.60000000000002</v>
      </c>
      <c r="HT30" s="70">
        <v>269.67</v>
      </c>
      <c r="HU30" s="70">
        <v>268.73</v>
      </c>
      <c r="HV30" s="70">
        <v>267.79000000000002</v>
      </c>
      <c r="HW30" s="70">
        <v>266.87</v>
      </c>
      <c r="HX30" s="70">
        <v>265.94</v>
      </c>
      <c r="HY30" s="70">
        <v>265.01</v>
      </c>
      <c r="HZ30" s="70">
        <v>264.08999999999997</v>
      </c>
      <c r="IA30" s="70">
        <v>263.16000000000003</v>
      </c>
      <c r="IB30" s="70">
        <v>262.23</v>
      </c>
      <c r="IC30" s="70">
        <v>261.31</v>
      </c>
      <c r="ID30" s="70">
        <v>260.38</v>
      </c>
      <c r="IE30" s="70">
        <v>259.45999999999998</v>
      </c>
      <c r="IF30" s="70">
        <v>258.54000000000002</v>
      </c>
      <c r="IG30" s="70">
        <v>257.62</v>
      </c>
      <c r="IH30" s="70">
        <v>256.7</v>
      </c>
      <c r="II30" s="70">
        <v>255.78</v>
      </c>
      <c r="IJ30" s="70">
        <v>254.86</v>
      </c>
      <c r="IK30" s="70">
        <v>253.95</v>
      </c>
      <c r="IL30" s="70">
        <v>253.03</v>
      </c>
      <c r="IM30" s="70">
        <v>252.12</v>
      </c>
      <c r="IN30" s="70">
        <v>251.2</v>
      </c>
      <c r="IO30" s="70">
        <v>250.29</v>
      </c>
      <c r="IP30" s="70">
        <v>249.38</v>
      </c>
      <c r="IQ30" s="70">
        <v>248.47</v>
      </c>
      <c r="IR30" s="70">
        <v>247.56</v>
      </c>
      <c r="IS30" s="70">
        <v>246.65</v>
      </c>
      <c r="IT30" s="70">
        <v>245.75</v>
      </c>
      <c r="IU30" s="70">
        <v>244.84</v>
      </c>
      <c r="IV30" s="70">
        <v>243.94</v>
      </c>
      <c r="IW30" s="70">
        <v>243.05</v>
      </c>
      <c r="IX30" s="70">
        <v>242.15</v>
      </c>
      <c r="IY30" s="70">
        <v>241.26</v>
      </c>
      <c r="IZ30" s="70">
        <v>240.37</v>
      </c>
      <c r="JA30" s="70">
        <v>239.48</v>
      </c>
      <c r="JB30" s="70">
        <v>238.59</v>
      </c>
      <c r="JC30" s="70">
        <v>237.7</v>
      </c>
      <c r="JD30" s="70">
        <v>236.81</v>
      </c>
      <c r="JE30" s="70">
        <v>235.93</v>
      </c>
      <c r="JF30" s="70">
        <v>235.04</v>
      </c>
      <c r="JG30" s="70">
        <v>234.15</v>
      </c>
      <c r="JH30" s="70">
        <v>233.27</v>
      </c>
      <c r="JI30" s="70">
        <v>232.39</v>
      </c>
      <c r="JJ30" s="70">
        <v>231.51</v>
      </c>
      <c r="JK30" s="70">
        <v>230.63</v>
      </c>
      <c r="JL30" s="70">
        <v>229.75</v>
      </c>
      <c r="JM30" s="70">
        <v>228.87</v>
      </c>
      <c r="JN30" s="70">
        <v>227.99</v>
      </c>
      <c r="JO30" s="70">
        <v>227.12</v>
      </c>
      <c r="JP30" s="70">
        <v>226.24</v>
      </c>
      <c r="JQ30" s="70">
        <v>225.37</v>
      </c>
      <c r="JR30" s="70">
        <v>224.5</v>
      </c>
      <c r="JS30" s="70">
        <v>223.62</v>
      </c>
      <c r="JT30" s="70">
        <v>222.75</v>
      </c>
      <c r="JU30" s="70">
        <v>221.87</v>
      </c>
      <c r="JV30" s="70">
        <v>221</v>
      </c>
      <c r="JW30" s="70">
        <v>220.12</v>
      </c>
      <c r="JX30" s="70">
        <v>219.25</v>
      </c>
      <c r="JY30" s="70">
        <v>218.38</v>
      </c>
      <c r="JZ30" s="70">
        <v>217.5</v>
      </c>
      <c r="KA30" s="70">
        <v>216.63</v>
      </c>
      <c r="KB30" s="70">
        <v>215.76</v>
      </c>
      <c r="KC30" s="70">
        <v>214.89</v>
      </c>
      <c r="KD30" s="70">
        <v>214.02</v>
      </c>
      <c r="KE30" s="70">
        <v>213.16</v>
      </c>
      <c r="KF30" s="70">
        <v>212.29</v>
      </c>
      <c r="KG30" s="70">
        <v>211.43</v>
      </c>
      <c r="KH30" s="70">
        <v>210.56</v>
      </c>
      <c r="KI30" s="70">
        <v>209.7</v>
      </c>
      <c r="KJ30" s="70">
        <v>208.84</v>
      </c>
      <c r="KK30" s="70">
        <v>207.98</v>
      </c>
      <c r="KL30" s="70">
        <v>207.12</v>
      </c>
      <c r="KM30" s="70">
        <v>206.26</v>
      </c>
      <c r="KN30" s="70">
        <v>205.4</v>
      </c>
      <c r="KO30" s="70">
        <v>204.55</v>
      </c>
      <c r="KP30" s="70">
        <v>203.69</v>
      </c>
      <c r="KQ30" s="70">
        <v>202.84</v>
      </c>
      <c r="KR30" s="74">
        <f t="shared" si="22"/>
        <v>202.52</v>
      </c>
      <c r="KS30" s="74">
        <f t="shared" si="22"/>
        <v>201.73</v>
      </c>
      <c r="KT30" s="74">
        <f t="shared" si="22"/>
        <v>200.91</v>
      </c>
      <c r="KU30" s="74">
        <f t="shared" si="22"/>
        <v>200.12</v>
      </c>
      <c r="KV30" s="74">
        <f t="shared" si="22"/>
        <v>199.34</v>
      </c>
      <c r="KW30" s="74">
        <f t="shared" si="22"/>
        <v>198.55</v>
      </c>
      <c r="KX30" s="74">
        <f t="shared" si="22"/>
        <v>197.76</v>
      </c>
      <c r="KY30" s="74">
        <f t="shared" si="22"/>
        <v>196.98</v>
      </c>
      <c r="KZ30" s="74">
        <f t="shared" si="22"/>
        <v>196.19</v>
      </c>
      <c r="LA30" s="74">
        <f t="shared" si="22"/>
        <v>195.41</v>
      </c>
      <c r="LB30" s="74">
        <f t="shared" si="22"/>
        <v>194.63</v>
      </c>
      <c r="LC30" s="74">
        <f t="shared" si="22"/>
        <v>193.85</v>
      </c>
      <c r="LD30" s="74">
        <f t="shared" si="22"/>
        <v>193.07</v>
      </c>
      <c r="LE30" s="74">
        <f t="shared" si="22"/>
        <v>192.29</v>
      </c>
      <c r="LF30" s="74">
        <f t="shared" si="22"/>
        <v>191.52</v>
      </c>
      <c r="LG30" s="74">
        <f t="shared" si="22"/>
        <v>190.75</v>
      </c>
      <c r="LH30" s="74">
        <f t="shared" si="21"/>
        <v>189.97</v>
      </c>
      <c r="LI30" s="74">
        <f t="shared" si="21"/>
        <v>189.2</v>
      </c>
      <c r="LJ30" s="74">
        <f t="shared" si="21"/>
        <v>188.43</v>
      </c>
      <c r="LK30" s="74">
        <f t="shared" si="21"/>
        <v>187.66</v>
      </c>
      <c r="LL30" s="74">
        <f t="shared" si="21"/>
        <v>186.89</v>
      </c>
      <c r="LM30" s="74">
        <f t="shared" si="21"/>
        <v>186.13</v>
      </c>
      <c r="LN30" s="74">
        <f t="shared" si="21"/>
        <v>185.36</v>
      </c>
      <c r="LO30" s="74">
        <f t="shared" si="21"/>
        <v>184.6</v>
      </c>
      <c r="LP30" s="74">
        <f t="shared" si="21"/>
        <v>183.84</v>
      </c>
      <c r="LQ30" s="74">
        <f t="shared" si="21"/>
        <v>183.08</v>
      </c>
      <c r="LR30" s="74">
        <f t="shared" si="21"/>
        <v>182.32</v>
      </c>
      <c r="LS30" s="74">
        <f t="shared" si="21"/>
        <v>181.56</v>
      </c>
      <c r="LT30" s="74">
        <f t="shared" si="21"/>
        <v>180.81</v>
      </c>
      <c r="LU30" s="74">
        <f t="shared" si="21"/>
        <v>180.06</v>
      </c>
      <c r="LV30" s="74">
        <f t="shared" si="21"/>
        <v>179.3</v>
      </c>
      <c r="LW30" s="74">
        <f t="shared" si="21"/>
        <v>178.55</v>
      </c>
      <c r="LX30" s="74">
        <f t="shared" si="23"/>
        <v>177.8</v>
      </c>
      <c r="LY30" s="74">
        <f t="shared" si="23"/>
        <v>177.05</v>
      </c>
      <c r="LZ30" s="74">
        <f t="shared" si="23"/>
        <v>176.31</v>
      </c>
      <c r="MA30" s="74">
        <f t="shared" si="23"/>
        <v>175.56</v>
      </c>
      <c r="MB30" s="74">
        <f t="shared" si="23"/>
        <v>174.82</v>
      </c>
      <c r="MC30" s="74">
        <f t="shared" si="23"/>
        <v>174.08</v>
      </c>
      <c r="MD30" s="74">
        <f t="shared" si="23"/>
        <v>173.34</v>
      </c>
      <c r="ME30" s="75">
        <f t="shared" si="23"/>
        <v>172.61</v>
      </c>
      <c r="MF30" s="75">
        <f t="shared" si="23"/>
        <v>171.87</v>
      </c>
      <c r="MG30" s="75">
        <f t="shared" si="23"/>
        <v>171.14</v>
      </c>
      <c r="MH30" s="75">
        <f t="shared" si="23"/>
        <v>170.4</v>
      </c>
      <c r="MI30" s="75">
        <f t="shared" si="23"/>
        <v>169.67</v>
      </c>
      <c r="MJ30" s="75">
        <f t="shared" si="23"/>
        <v>168.94</v>
      </c>
      <c r="MK30" s="75">
        <f t="shared" si="23"/>
        <v>168.21</v>
      </c>
      <c r="ML30" s="75">
        <f t="shared" si="23"/>
        <v>167.49</v>
      </c>
      <c r="MM30" s="75">
        <f t="shared" si="23"/>
        <v>166.76</v>
      </c>
      <c r="MN30" s="75">
        <f t="shared" ref="MN30:MN45" si="25">MN29+0.75</f>
        <v>166.04</v>
      </c>
      <c r="MO30" s="75">
        <f t="shared" ref="MO30:MO45" si="26">MO29+0.75</f>
        <v>165.32</v>
      </c>
      <c r="MP30" s="75">
        <f t="shared" ref="MP30:MP45" si="27">MP29+0.75</f>
        <v>164.6</v>
      </c>
      <c r="MQ30" s="75">
        <f t="shared" si="24"/>
        <v>163.89</v>
      </c>
      <c r="MR30" s="75">
        <f t="shared" si="24"/>
        <v>163.16999999999999</v>
      </c>
      <c r="MS30" s="75">
        <f t="shared" si="24"/>
        <v>162.46</v>
      </c>
      <c r="MT30" s="75">
        <f t="shared" si="18"/>
        <v>161.74</v>
      </c>
      <c r="MU30" s="75">
        <f t="shared" si="18"/>
        <v>161.03</v>
      </c>
      <c r="MV30" s="75">
        <f t="shared" si="18"/>
        <v>160.32</v>
      </c>
      <c r="MW30" s="75">
        <f t="shared" si="18"/>
        <v>159.62</v>
      </c>
      <c r="MX30" s="75">
        <f t="shared" si="18"/>
        <v>158.91</v>
      </c>
      <c r="MY30" s="75">
        <f t="shared" si="18"/>
        <v>158.21</v>
      </c>
    </row>
    <row r="31" spans="1:363" ht="15.6" x14ac:dyDescent="0.3">
      <c r="A31" s="67" t="s">
        <v>6</v>
      </c>
      <c r="B31" s="72">
        <v>2041</v>
      </c>
      <c r="C31" s="70">
        <v>498.14</v>
      </c>
      <c r="D31" s="70">
        <v>497.1</v>
      </c>
      <c r="E31" s="70">
        <v>496.06</v>
      </c>
      <c r="F31" s="70">
        <v>495.03</v>
      </c>
      <c r="G31" s="70">
        <v>493.99</v>
      </c>
      <c r="H31" s="70">
        <v>492.95</v>
      </c>
      <c r="I31" s="70">
        <v>491.92</v>
      </c>
      <c r="J31" s="70">
        <v>490.88</v>
      </c>
      <c r="K31" s="70">
        <v>489.84</v>
      </c>
      <c r="L31" s="70">
        <v>488.8</v>
      </c>
      <c r="M31" s="70">
        <v>487.77</v>
      </c>
      <c r="N31" s="70">
        <v>486.73</v>
      </c>
      <c r="O31" s="70">
        <v>485.69</v>
      </c>
      <c r="P31" s="70">
        <v>484.66</v>
      </c>
      <c r="Q31" s="70">
        <v>483.62</v>
      </c>
      <c r="R31" s="70">
        <v>482.58</v>
      </c>
      <c r="S31" s="70">
        <v>481.54</v>
      </c>
      <c r="T31" s="70">
        <v>480.51</v>
      </c>
      <c r="U31" s="70">
        <v>479.47</v>
      </c>
      <c r="V31" s="70">
        <v>478.43</v>
      </c>
      <c r="W31" s="70">
        <v>477.39</v>
      </c>
      <c r="X31" s="70">
        <v>476.36</v>
      </c>
      <c r="Y31" s="70">
        <v>475.32</v>
      </c>
      <c r="Z31" s="70">
        <v>474.28</v>
      </c>
      <c r="AA31" s="70">
        <v>473.25</v>
      </c>
      <c r="AB31" s="70">
        <v>472.21</v>
      </c>
      <c r="AC31" s="70">
        <v>471.17</v>
      </c>
      <c r="AD31" s="70">
        <v>470.14</v>
      </c>
      <c r="AE31" s="70">
        <v>469.1</v>
      </c>
      <c r="AF31" s="70">
        <v>468.06</v>
      </c>
      <c r="AG31" s="70">
        <v>467.02</v>
      </c>
      <c r="AH31" s="70">
        <v>465.99</v>
      </c>
      <c r="AI31" s="70">
        <v>464.95</v>
      </c>
      <c r="AJ31" s="70">
        <v>463.91</v>
      </c>
      <c r="AK31" s="70">
        <v>462.88</v>
      </c>
      <c r="AL31" s="70">
        <v>461.84</v>
      </c>
      <c r="AM31" s="70">
        <v>460.8</v>
      </c>
      <c r="AN31" s="70">
        <v>459.76</v>
      </c>
      <c r="AO31" s="70">
        <v>458.73</v>
      </c>
      <c r="AP31" s="70">
        <v>457.69</v>
      </c>
      <c r="AQ31" s="70">
        <v>456.65</v>
      </c>
      <c r="AR31" s="70">
        <v>455.62</v>
      </c>
      <c r="AS31" s="70">
        <v>454.58</v>
      </c>
      <c r="AT31" s="70">
        <v>453.54</v>
      </c>
      <c r="AU31" s="70">
        <v>452.5</v>
      </c>
      <c r="AV31" s="70">
        <v>451.47</v>
      </c>
      <c r="AW31" s="70">
        <v>450.43</v>
      </c>
      <c r="AX31" s="70">
        <v>449.39</v>
      </c>
      <c r="AY31" s="70">
        <v>448.36</v>
      </c>
      <c r="AZ31" s="70">
        <v>447.32</v>
      </c>
      <c r="BA31" s="70">
        <v>446.28</v>
      </c>
      <c r="BB31" s="70">
        <v>445.25</v>
      </c>
      <c r="BC31" s="70">
        <v>444.21</v>
      </c>
      <c r="BD31" s="70">
        <v>443.17</v>
      </c>
      <c r="BE31" s="70">
        <v>442.14</v>
      </c>
      <c r="BF31" s="70">
        <v>441.1</v>
      </c>
      <c r="BG31" s="70">
        <v>440.06</v>
      </c>
      <c r="BH31" s="70">
        <v>439.02</v>
      </c>
      <c r="BI31" s="70">
        <v>437.99</v>
      </c>
      <c r="BJ31" s="70">
        <v>436.95</v>
      </c>
      <c r="BK31" s="70">
        <v>435.91</v>
      </c>
      <c r="BL31" s="70">
        <v>434.88</v>
      </c>
      <c r="BM31" s="70">
        <v>433.84</v>
      </c>
      <c r="BN31" s="70">
        <v>432.8</v>
      </c>
      <c r="BO31" s="70">
        <v>431.76</v>
      </c>
      <c r="BP31" s="70">
        <v>430.73</v>
      </c>
      <c r="BQ31" s="70">
        <v>429.69</v>
      </c>
      <c r="BR31" s="70">
        <v>428.65</v>
      </c>
      <c r="BS31" s="70">
        <v>427.61</v>
      </c>
      <c r="BT31" s="70">
        <v>426.58</v>
      </c>
      <c r="BU31" s="70">
        <v>425.54</v>
      </c>
      <c r="BV31" s="70">
        <v>424.51</v>
      </c>
      <c r="BW31" s="70">
        <v>423.47</v>
      </c>
      <c r="BX31" s="70">
        <v>422.43</v>
      </c>
      <c r="BY31" s="70">
        <v>421.4</v>
      </c>
      <c r="BZ31" s="70">
        <v>420.36</v>
      </c>
      <c r="CA31" s="70">
        <v>419.33</v>
      </c>
      <c r="CB31" s="70">
        <v>418.29</v>
      </c>
      <c r="CC31" s="70">
        <v>417.26</v>
      </c>
      <c r="CD31" s="70">
        <v>416.23</v>
      </c>
      <c r="CE31" s="70">
        <v>415.19</v>
      </c>
      <c r="CF31" s="70">
        <v>414.16</v>
      </c>
      <c r="CG31" s="70">
        <v>413.12</v>
      </c>
      <c r="CH31" s="70">
        <v>412.09</v>
      </c>
      <c r="CI31" s="70">
        <v>411.06</v>
      </c>
      <c r="CJ31" s="70">
        <v>410.02</v>
      </c>
      <c r="CK31" s="70">
        <v>408.99</v>
      </c>
      <c r="CL31" s="70">
        <v>407.96</v>
      </c>
      <c r="CM31" s="70">
        <v>406.92</v>
      </c>
      <c r="CN31" s="70">
        <v>405.89</v>
      </c>
      <c r="CO31" s="70">
        <v>404.85</v>
      </c>
      <c r="CP31" s="70">
        <v>403.82</v>
      </c>
      <c r="CQ31" s="70">
        <v>402.79</v>
      </c>
      <c r="CR31" s="70">
        <v>401.75</v>
      </c>
      <c r="CS31" s="70">
        <v>400.72</v>
      </c>
      <c r="CT31" s="70">
        <v>399.69</v>
      </c>
      <c r="CU31" s="70">
        <v>398.65</v>
      </c>
      <c r="CV31" s="70">
        <v>397.62</v>
      </c>
      <c r="CW31" s="70">
        <v>396.59</v>
      </c>
      <c r="CX31" s="70">
        <v>395.56</v>
      </c>
      <c r="CY31" s="70">
        <v>394.53</v>
      </c>
      <c r="CZ31" s="70">
        <v>393.5</v>
      </c>
      <c r="DA31" s="70">
        <v>392.47</v>
      </c>
      <c r="DB31" s="70">
        <v>391.44</v>
      </c>
      <c r="DC31" s="70">
        <v>390.41</v>
      </c>
      <c r="DD31" s="70">
        <v>389.37</v>
      </c>
      <c r="DE31" s="70">
        <v>388.34</v>
      </c>
      <c r="DF31" s="70">
        <v>387.31</v>
      </c>
      <c r="DG31" s="70">
        <v>386.28</v>
      </c>
      <c r="DH31" s="70">
        <v>385.25</v>
      </c>
      <c r="DI31" s="70">
        <v>384.23</v>
      </c>
      <c r="DJ31" s="70">
        <v>383.2</v>
      </c>
      <c r="DK31" s="70">
        <v>382.17</v>
      </c>
      <c r="DL31" s="70">
        <v>381.14</v>
      </c>
      <c r="DM31" s="70">
        <v>380.11</v>
      </c>
      <c r="DN31" s="70">
        <v>379.08</v>
      </c>
      <c r="DO31" s="70">
        <v>378.06</v>
      </c>
      <c r="DP31" s="70">
        <v>377.03</v>
      </c>
      <c r="DQ31" s="70">
        <v>376</v>
      </c>
      <c r="DR31" s="70">
        <v>374.97</v>
      </c>
      <c r="DS31" s="70">
        <v>373.95</v>
      </c>
      <c r="DT31" s="70">
        <v>372.92</v>
      </c>
      <c r="DU31" s="70">
        <v>371.9</v>
      </c>
      <c r="DV31" s="70">
        <v>370.88</v>
      </c>
      <c r="DW31" s="70">
        <v>369.86</v>
      </c>
      <c r="DX31" s="70">
        <v>368.83</v>
      </c>
      <c r="DY31" s="70">
        <v>367.81</v>
      </c>
      <c r="DZ31" s="70">
        <v>366.79</v>
      </c>
      <c r="EA31" s="70">
        <v>365.77</v>
      </c>
      <c r="EB31" s="70">
        <v>364.75</v>
      </c>
      <c r="EC31" s="70">
        <v>363.73</v>
      </c>
      <c r="ED31" s="70">
        <v>362.71</v>
      </c>
      <c r="EE31" s="70">
        <v>361.69</v>
      </c>
      <c r="EF31" s="70">
        <v>360.68</v>
      </c>
      <c r="EG31" s="70">
        <v>359.66</v>
      </c>
      <c r="EH31" s="70">
        <v>358.65</v>
      </c>
      <c r="EI31" s="70">
        <v>357.64</v>
      </c>
      <c r="EJ31" s="70">
        <v>356.62</v>
      </c>
      <c r="EK31" s="70">
        <v>355.61</v>
      </c>
      <c r="EL31" s="70">
        <v>354.6</v>
      </c>
      <c r="EM31" s="70">
        <v>353.59</v>
      </c>
      <c r="EN31" s="70">
        <v>352.58</v>
      </c>
      <c r="EO31" s="70">
        <v>351.57</v>
      </c>
      <c r="EP31" s="70">
        <v>350.55</v>
      </c>
      <c r="EQ31" s="70">
        <v>349.54</v>
      </c>
      <c r="ER31" s="70">
        <v>348.54</v>
      </c>
      <c r="ES31" s="70">
        <v>347.53</v>
      </c>
      <c r="ET31" s="70">
        <v>346.53</v>
      </c>
      <c r="EU31" s="70">
        <v>345.52</v>
      </c>
      <c r="EV31" s="70">
        <v>344.52</v>
      </c>
      <c r="EW31" s="70">
        <v>343.51</v>
      </c>
      <c r="EX31" s="70">
        <v>342.51</v>
      </c>
      <c r="EY31" s="70">
        <v>341.51</v>
      </c>
      <c r="EZ31" s="70">
        <v>340.5</v>
      </c>
      <c r="FA31" s="70">
        <v>339.5</v>
      </c>
      <c r="FB31" s="70">
        <v>338.5</v>
      </c>
      <c r="FC31" s="70">
        <v>337.49</v>
      </c>
      <c r="FD31" s="70">
        <v>336.5</v>
      </c>
      <c r="FE31" s="70">
        <v>335.5</v>
      </c>
      <c r="FF31" s="70">
        <v>334.5</v>
      </c>
      <c r="FG31" s="70">
        <v>333.51</v>
      </c>
      <c r="FH31" s="70">
        <v>332.51</v>
      </c>
      <c r="FI31" s="70">
        <v>331.52</v>
      </c>
      <c r="FJ31" s="70">
        <v>330.52</v>
      </c>
      <c r="FK31" s="70">
        <v>329.53</v>
      </c>
      <c r="FL31" s="70">
        <v>328.53</v>
      </c>
      <c r="FM31" s="70">
        <v>327.54000000000002</v>
      </c>
      <c r="FN31" s="70">
        <v>326.54000000000002</v>
      </c>
      <c r="FO31" s="70">
        <v>325.56</v>
      </c>
      <c r="FP31" s="70">
        <v>324.56</v>
      </c>
      <c r="FQ31" s="70">
        <v>323.57</v>
      </c>
      <c r="FR31" s="70">
        <v>322.58999999999997</v>
      </c>
      <c r="FS31" s="70">
        <v>321.60000000000002</v>
      </c>
      <c r="FT31" s="70">
        <v>320.60000000000002</v>
      </c>
      <c r="FU31" s="70">
        <v>319.62</v>
      </c>
      <c r="FV31" s="70">
        <v>318.63</v>
      </c>
      <c r="FW31" s="70">
        <v>317.64999999999998</v>
      </c>
      <c r="FX31" s="70">
        <v>316.66000000000003</v>
      </c>
      <c r="FY31" s="70">
        <v>315.67</v>
      </c>
      <c r="FZ31" s="70">
        <v>314.69</v>
      </c>
      <c r="GA31" s="70">
        <v>313.7</v>
      </c>
      <c r="GB31" s="70">
        <v>312.72000000000003</v>
      </c>
      <c r="GC31" s="70">
        <v>311.74</v>
      </c>
      <c r="GD31" s="70">
        <v>310.76</v>
      </c>
      <c r="GE31" s="70">
        <v>309.77999999999997</v>
      </c>
      <c r="GF31" s="70">
        <v>308.79000000000002</v>
      </c>
      <c r="GG31" s="70">
        <v>307.82</v>
      </c>
      <c r="GH31" s="70">
        <v>306.83999999999997</v>
      </c>
      <c r="GI31" s="70">
        <v>305.85000000000002</v>
      </c>
      <c r="GJ31" s="70">
        <v>304.88</v>
      </c>
      <c r="GK31" s="70">
        <v>303.91000000000003</v>
      </c>
      <c r="GL31" s="70">
        <v>302.93</v>
      </c>
      <c r="GM31" s="70">
        <v>301.95</v>
      </c>
      <c r="GN31" s="70">
        <v>300.98</v>
      </c>
      <c r="GO31" s="70">
        <v>300.01</v>
      </c>
      <c r="GP31" s="70">
        <v>299.04000000000002</v>
      </c>
      <c r="GQ31" s="70">
        <v>298.07</v>
      </c>
      <c r="GR31" s="70">
        <v>297.10000000000002</v>
      </c>
      <c r="GS31" s="70">
        <v>296.14999999999998</v>
      </c>
      <c r="GT31" s="70">
        <v>295.18</v>
      </c>
      <c r="GU31" s="70">
        <v>294.22000000000003</v>
      </c>
      <c r="GV31" s="70">
        <v>293.25</v>
      </c>
      <c r="GW31" s="70">
        <v>292.29000000000002</v>
      </c>
      <c r="GX31" s="70">
        <v>291.32</v>
      </c>
      <c r="GY31" s="70">
        <v>290.37</v>
      </c>
      <c r="GZ31" s="70">
        <v>289.41000000000003</v>
      </c>
      <c r="HA31" s="70">
        <v>288.45</v>
      </c>
      <c r="HB31" s="70">
        <v>287.49</v>
      </c>
      <c r="HC31" s="70">
        <v>286.54000000000002</v>
      </c>
      <c r="HD31" s="70">
        <v>285.57</v>
      </c>
      <c r="HE31" s="70">
        <v>284.62</v>
      </c>
      <c r="HF31" s="70">
        <v>283.67</v>
      </c>
      <c r="HG31" s="70">
        <v>282.72000000000003</v>
      </c>
      <c r="HH31" s="70">
        <v>281.76</v>
      </c>
      <c r="HI31" s="70">
        <v>280.81</v>
      </c>
      <c r="HJ31" s="70">
        <v>279.85000000000002</v>
      </c>
      <c r="HK31" s="70">
        <v>278.91000000000003</v>
      </c>
      <c r="HL31" s="70">
        <v>277.97000000000003</v>
      </c>
      <c r="HM31" s="70">
        <v>277.02999999999997</v>
      </c>
      <c r="HN31" s="70">
        <v>276.08999999999997</v>
      </c>
      <c r="HO31" s="70">
        <v>275.14999999999998</v>
      </c>
      <c r="HP31" s="70">
        <v>274.20999999999998</v>
      </c>
      <c r="HQ31" s="70">
        <v>273.26</v>
      </c>
      <c r="HR31" s="70">
        <v>272.33999999999997</v>
      </c>
      <c r="HS31" s="70">
        <v>271.39999999999998</v>
      </c>
      <c r="HT31" s="70">
        <v>270.47000000000003</v>
      </c>
      <c r="HU31" s="70">
        <v>269.52999999999997</v>
      </c>
      <c r="HV31" s="70">
        <v>268.60000000000002</v>
      </c>
      <c r="HW31" s="70">
        <v>267.67</v>
      </c>
      <c r="HX31" s="70">
        <v>266.74</v>
      </c>
      <c r="HY31" s="70">
        <v>265.81</v>
      </c>
      <c r="HZ31" s="70">
        <v>264.88</v>
      </c>
      <c r="IA31" s="70">
        <v>263.95</v>
      </c>
      <c r="IB31" s="70">
        <v>263.01</v>
      </c>
      <c r="IC31" s="70">
        <v>262.10000000000002</v>
      </c>
      <c r="ID31" s="70">
        <v>261.17</v>
      </c>
      <c r="IE31" s="70">
        <v>260.25</v>
      </c>
      <c r="IF31" s="70">
        <v>259.32</v>
      </c>
      <c r="IG31" s="70">
        <v>258.39999999999998</v>
      </c>
      <c r="IH31" s="70">
        <v>257.48</v>
      </c>
      <c r="II31" s="70">
        <v>256.56</v>
      </c>
      <c r="IJ31" s="70">
        <v>255.64</v>
      </c>
      <c r="IK31" s="70">
        <v>254.72</v>
      </c>
      <c r="IL31" s="70">
        <v>253.81</v>
      </c>
      <c r="IM31" s="70">
        <v>252.89</v>
      </c>
      <c r="IN31" s="70">
        <v>251.98</v>
      </c>
      <c r="IO31" s="70">
        <v>251.06</v>
      </c>
      <c r="IP31" s="70">
        <v>250.15</v>
      </c>
      <c r="IQ31" s="70">
        <v>249.24</v>
      </c>
      <c r="IR31" s="70">
        <v>248.33</v>
      </c>
      <c r="IS31" s="70">
        <v>247.42</v>
      </c>
      <c r="IT31" s="70">
        <v>246.51</v>
      </c>
      <c r="IU31" s="70">
        <v>245.61</v>
      </c>
      <c r="IV31" s="70">
        <v>244.71</v>
      </c>
      <c r="IW31" s="70">
        <v>243.81</v>
      </c>
      <c r="IX31" s="70">
        <v>242.92</v>
      </c>
      <c r="IY31" s="70">
        <v>242.02</v>
      </c>
      <c r="IZ31" s="70">
        <v>241.13</v>
      </c>
      <c r="JA31" s="70">
        <v>240.24</v>
      </c>
      <c r="JB31" s="70">
        <v>239.34</v>
      </c>
      <c r="JC31" s="70">
        <v>238.45</v>
      </c>
      <c r="JD31" s="70">
        <v>237.56</v>
      </c>
      <c r="JE31" s="70">
        <v>236.68</v>
      </c>
      <c r="JF31" s="70">
        <v>235.79</v>
      </c>
      <c r="JG31" s="70">
        <v>234.9</v>
      </c>
      <c r="JH31" s="70">
        <v>234.02</v>
      </c>
      <c r="JI31" s="70">
        <v>233.13</v>
      </c>
      <c r="JJ31" s="70">
        <v>232.25</v>
      </c>
      <c r="JK31" s="70">
        <v>231.37</v>
      </c>
      <c r="JL31" s="70">
        <v>230.49</v>
      </c>
      <c r="JM31" s="70">
        <v>229.61</v>
      </c>
      <c r="JN31" s="70">
        <v>228.73</v>
      </c>
      <c r="JO31" s="70">
        <v>227.85</v>
      </c>
      <c r="JP31" s="70">
        <v>226.98</v>
      </c>
      <c r="JQ31" s="70">
        <v>226.1</v>
      </c>
      <c r="JR31" s="70">
        <v>225.23</v>
      </c>
      <c r="JS31" s="70">
        <v>224.35</v>
      </c>
      <c r="JT31" s="70">
        <v>223.48</v>
      </c>
      <c r="JU31" s="70">
        <v>222.6</v>
      </c>
      <c r="JV31" s="70">
        <v>221.72</v>
      </c>
      <c r="JW31" s="70">
        <v>220.84</v>
      </c>
      <c r="JX31" s="70">
        <v>219.97</v>
      </c>
      <c r="JY31" s="70">
        <v>219.09</v>
      </c>
      <c r="JZ31" s="70">
        <v>218.22</v>
      </c>
      <c r="KA31" s="70">
        <v>217.35</v>
      </c>
      <c r="KB31" s="70">
        <v>216.48</v>
      </c>
      <c r="KC31" s="70">
        <v>215.61</v>
      </c>
      <c r="KD31" s="70">
        <v>214.74</v>
      </c>
      <c r="KE31" s="70">
        <v>213.87</v>
      </c>
      <c r="KF31" s="70">
        <v>213</v>
      </c>
      <c r="KG31" s="70">
        <v>212.13</v>
      </c>
      <c r="KH31" s="70">
        <v>211.27</v>
      </c>
      <c r="KI31" s="70">
        <v>210.4</v>
      </c>
      <c r="KJ31" s="70">
        <v>209.54</v>
      </c>
      <c r="KK31" s="70">
        <v>208.68</v>
      </c>
      <c r="KL31" s="70">
        <v>207.82</v>
      </c>
      <c r="KM31" s="70">
        <v>206.96</v>
      </c>
      <c r="KN31" s="70">
        <v>206.1</v>
      </c>
      <c r="KO31" s="70">
        <v>205.24</v>
      </c>
      <c r="KP31" s="70">
        <v>204.38</v>
      </c>
      <c r="KQ31" s="70">
        <v>203.53</v>
      </c>
      <c r="KR31" s="74">
        <f t="shared" si="22"/>
        <v>203.27</v>
      </c>
      <c r="KS31" s="74">
        <f t="shared" si="22"/>
        <v>202.48</v>
      </c>
      <c r="KT31" s="74">
        <f t="shared" si="22"/>
        <v>201.66</v>
      </c>
      <c r="KU31" s="74">
        <f t="shared" si="22"/>
        <v>200.87</v>
      </c>
      <c r="KV31" s="74">
        <f t="shared" si="22"/>
        <v>200.09</v>
      </c>
      <c r="KW31" s="74">
        <f t="shared" si="22"/>
        <v>199.3</v>
      </c>
      <c r="KX31" s="74">
        <f t="shared" si="22"/>
        <v>198.51</v>
      </c>
      <c r="KY31" s="74">
        <f t="shared" si="22"/>
        <v>197.73</v>
      </c>
      <c r="KZ31" s="74">
        <f t="shared" si="22"/>
        <v>196.94</v>
      </c>
      <c r="LA31" s="74">
        <f t="shared" si="22"/>
        <v>196.16</v>
      </c>
      <c r="LB31" s="74">
        <f t="shared" si="22"/>
        <v>195.38</v>
      </c>
      <c r="LC31" s="74">
        <f t="shared" si="22"/>
        <v>194.6</v>
      </c>
      <c r="LD31" s="74">
        <f t="shared" si="22"/>
        <v>193.82</v>
      </c>
      <c r="LE31" s="74">
        <f t="shared" si="22"/>
        <v>193.04</v>
      </c>
      <c r="LF31" s="74">
        <f t="shared" si="22"/>
        <v>192.27</v>
      </c>
      <c r="LG31" s="74">
        <f t="shared" si="22"/>
        <v>191.5</v>
      </c>
      <c r="LH31" s="74">
        <f t="shared" si="21"/>
        <v>190.72</v>
      </c>
      <c r="LI31" s="74">
        <f t="shared" si="21"/>
        <v>189.95</v>
      </c>
      <c r="LJ31" s="74">
        <f t="shared" si="21"/>
        <v>189.18</v>
      </c>
      <c r="LK31" s="74">
        <f t="shared" si="21"/>
        <v>188.41</v>
      </c>
      <c r="LL31" s="74">
        <f t="shared" si="21"/>
        <v>187.64</v>
      </c>
      <c r="LM31" s="74">
        <f t="shared" si="21"/>
        <v>186.88</v>
      </c>
      <c r="LN31" s="74">
        <f t="shared" si="21"/>
        <v>186.11</v>
      </c>
      <c r="LO31" s="74">
        <f t="shared" si="21"/>
        <v>185.35</v>
      </c>
      <c r="LP31" s="74">
        <f t="shared" si="21"/>
        <v>184.59</v>
      </c>
      <c r="LQ31" s="74">
        <f t="shared" si="21"/>
        <v>183.83</v>
      </c>
      <c r="LR31" s="74">
        <f t="shared" si="21"/>
        <v>183.07</v>
      </c>
      <c r="LS31" s="74">
        <f t="shared" si="21"/>
        <v>182.31</v>
      </c>
      <c r="LT31" s="74">
        <f t="shared" si="21"/>
        <v>181.56</v>
      </c>
      <c r="LU31" s="74">
        <f t="shared" si="21"/>
        <v>180.81</v>
      </c>
      <c r="LV31" s="74">
        <f t="shared" si="21"/>
        <v>180.05</v>
      </c>
      <c r="LW31" s="74">
        <f t="shared" si="21"/>
        <v>179.3</v>
      </c>
      <c r="LX31" s="74">
        <f t="shared" si="23"/>
        <v>178.55</v>
      </c>
      <c r="LY31" s="74">
        <f t="shared" si="23"/>
        <v>177.8</v>
      </c>
      <c r="LZ31" s="74">
        <f t="shared" si="23"/>
        <v>177.06</v>
      </c>
      <c r="MA31" s="74">
        <f t="shared" si="23"/>
        <v>176.31</v>
      </c>
      <c r="MB31" s="74">
        <f t="shared" si="23"/>
        <v>175.57</v>
      </c>
      <c r="MC31" s="74">
        <f t="shared" si="23"/>
        <v>174.83</v>
      </c>
      <c r="MD31" s="76">
        <f t="shared" si="23"/>
        <v>174.09</v>
      </c>
      <c r="ME31" s="77">
        <f t="shared" si="23"/>
        <v>173.36</v>
      </c>
      <c r="MF31" s="77">
        <f t="shared" si="23"/>
        <v>172.62</v>
      </c>
      <c r="MG31" s="77">
        <f t="shared" si="23"/>
        <v>171.89</v>
      </c>
      <c r="MH31" s="77">
        <f t="shared" si="23"/>
        <v>171.15</v>
      </c>
      <c r="MI31" s="77">
        <f t="shared" si="23"/>
        <v>170.42</v>
      </c>
      <c r="MJ31" s="77">
        <f t="shared" si="23"/>
        <v>169.69</v>
      </c>
      <c r="MK31" s="77">
        <f t="shared" si="23"/>
        <v>168.96</v>
      </c>
      <c r="ML31" s="77">
        <f t="shared" si="23"/>
        <v>168.24</v>
      </c>
      <c r="MM31" s="77">
        <f t="shared" si="23"/>
        <v>167.51</v>
      </c>
      <c r="MN31" s="77">
        <f t="shared" si="25"/>
        <v>166.79</v>
      </c>
      <c r="MO31" s="77">
        <f t="shared" si="26"/>
        <v>166.07</v>
      </c>
      <c r="MP31" s="77">
        <f t="shared" si="27"/>
        <v>165.35</v>
      </c>
      <c r="MQ31" s="77">
        <f t="shared" si="24"/>
        <v>164.64</v>
      </c>
      <c r="MR31" s="77">
        <f t="shared" si="24"/>
        <v>163.92</v>
      </c>
      <c r="MS31" s="77">
        <f t="shared" si="24"/>
        <v>163.21</v>
      </c>
      <c r="MT31" s="77">
        <f t="shared" si="18"/>
        <v>162.49</v>
      </c>
      <c r="MU31" s="77">
        <f t="shared" si="18"/>
        <v>161.78</v>
      </c>
      <c r="MV31" s="77">
        <f t="shared" si="18"/>
        <v>161.07</v>
      </c>
      <c r="MW31" s="77">
        <f t="shared" si="18"/>
        <v>160.37</v>
      </c>
      <c r="MX31" s="77">
        <f t="shared" si="18"/>
        <v>159.66</v>
      </c>
      <c r="MY31" s="77">
        <f t="shared" si="18"/>
        <v>158.96</v>
      </c>
    </row>
    <row r="32" spans="1:363" ht="15.6" x14ac:dyDescent="0.3">
      <c r="A32" s="67" t="s">
        <v>6</v>
      </c>
      <c r="B32" s="72">
        <v>2042</v>
      </c>
      <c r="C32" s="70">
        <v>499.02</v>
      </c>
      <c r="D32" s="70">
        <v>497.98</v>
      </c>
      <c r="E32" s="70">
        <v>496.94</v>
      </c>
      <c r="F32" s="70">
        <v>495.91</v>
      </c>
      <c r="G32" s="70">
        <v>494.87</v>
      </c>
      <c r="H32" s="70">
        <v>493.83</v>
      </c>
      <c r="I32" s="70">
        <v>492.79</v>
      </c>
      <c r="J32" s="70">
        <v>491.76</v>
      </c>
      <c r="K32" s="70">
        <v>490.72</v>
      </c>
      <c r="L32" s="70">
        <v>489.68</v>
      </c>
      <c r="M32" s="70">
        <v>488.65</v>
      </c>
      <c r="N32" s="70">
        <v>487.61</v>
      </c>
      <c r="O32" s="70">
        <v>486.57</v>
      </c>
      <c r="P32" s="70">
        <v>485.54</v>
      </c>
      <c r="Q32" s="70">
        <v>484.5</v>
      </c>
      <c r="R32" s="70">
        <v>483.46</v>
      </c>
      <c r="S32" s="70">
        <v>482.42</v>
      </c>
      <c r="T32" s="70">
        <v>481.39</v>
      </c>
      <c r="U32" s="70">
        <v>480.35</v>
      </c>
      <c r="V32" s="70">
        <v>479.31</v>
      </c>
      <c r="W32" s="70">
        <v>478.28</v>
      </c>
      <c r="X32" s="70">
        <v>477.24</v>
      </c>
      <c r="Y32" s="70">
        <v>476.2</v>
      </c>
      <c r="Z32" s="70">
        <v>475.17</v>
      </c>
      <c r="AA32" s="70">
        <v>474.13</v>
      </c>
      <c r="AB32" s="70">
        <v>473.09</v>
      </c>
      <c r="AC32" s="70">
        <v>472.05</v>
      </c>
      <c r="AD32" s="70">
        <v>471.02</v>
      </c>
      <c r="AE32" s="70">
        <v>469.98</v>
      </c>
      <c r="AF32" s="70">
        <v>468.94</v>
      </c>
      <c r="AG32" s="70">
        <v>467.91</v>
      </c>
      <c r="AH32" s="70">
        <v>466.87</v>
      </c>
      <c r="AI32" s="70">
        <v>465.83</v>
      </c>
      <c r="AJ32" s="70">
        <v>464.79</v>
      </c>
      <c r="AK32" s="70">
        <v>463.76</v>
      </c>
      <c r="AL32" s="70">
        <v>462.72</v>
      </c>
      <c r="AM32" s="70">
        <v>461.68</v>
      </c>
      <c r="AN32" s="70">
        <v>460.65</v>
      </c>
      <c r="AO32" s="70">
        <v>459.61</v>
      </c>
      <c r="AP32" s="70">
        <v>458.57</v>
      </c>
      <c r="AQ32" s="70">
        <v>457.53</v>
      </c>
      <c r="AR32" s="70">
        <v>456.5</v>
      </c>
      <c r="AS32" s="70">
        <v>455.46</v>
      </c>
      <c r="AT32" s="70">
        <v>454.42</v>
      </c>
      <c r="AU32" s="70">
        <v>453.39</v>
      </c>
      <c r="AV32" s="70">
        <v>452.35</v>
      </c>
      <c r="AW32" s="70">
        <v>451.31</v>
      </c>
      <c r="AX32" s="70">
        <v>450.28</v>
      </c>
      <c r="AY32" s="70">
        <v>449.24</v>
      </c>
      <c r="AZ32" s="70">
        <v>448.2</v>
      </c>
      <c r="BA32" s="70">
        <v>447.16</v>
      </c>
      <c r="BB32" s="70">
        <v>446.13</v>
      </c>
      <c r="BC32" s="70">
        <v>445.09</v>
      </c>
      <c r="BD32" s="70">
        <v>444.05</v>
      </c>
      <c r="BE32" s="70">
        <v>443.02</v>
      </c>
      <c r="BF32" s="70">
        <v>441.98</v>
      </c>
      <c r="BG32" s="70">
        <v>440.94</v>
      </c>
      <c r="BH32" s="70">
        <v>439.91</v>
      </c>
      <c r="BI32" s="70">
        <v>438.87</v>
      </c>
      <c r="BJ32" s="70">
        <v>437.83</v>
      </c>
      <c r="BK32" s="70">
        <v>436.79</v>
      </c>
      <c r="BL32" s="70">
        <v>435.76</v>
      </c>
      <c r="BM32" s="70">
        <v>434.72</v>
      </c>
      <c r="BN32" s="70">
        <v>433.68</v>
      </c>
      <c r="BO32" s="70">
        <v>432.64</v>
      </c>
      <c r="BP32" s="70">
        <v>431.61</v>
      </c>
      <c r="BQ32" s="70">
        <v>430.57</v>
      </c>
      <c r="BR32" s="70">
        <v>429.53</v>
      </c>
      <c r="BS32" s="70">
        <v>428.5</v>
      </c>
      <c r="BT32" s="70">
        <v>427.46</v>
      </c>
      <c r="BU32" s="70">
        <v>426.42</v>
      </c>
      <c r="BV32" s="70">
        <v>425.39</v>
      </c>
      <c r="BW32" s="70">
        <v>424.35</v>
      </c>
      <c r="BX32" s="70">
        <v>423.31</v>
      </c>
      <c r="BY32" s="70">
        <v>422.28</v>
      </c>
      <c r="BZ32" s="70">
        <v>421.24</v>
      </c>
      <c r="CA32" s="70">
        <v>420.21</v>
      </c>
      <c r="CB32" s="70">
        <v>419.17</v>
      </c>
      <c r="CC32" s="70">
        <v>418.14</v>
      </c>
      <c r="CD32" s="70">
        <v>417.11</v>
      </c>
      <c r="CE32" s="70">
        <v>416.07</v>
      </c>
      <c r="CF32" s="70">
        <v>415.04</v>
      </c>
      <c r="CG32" s="70">
        <v>414</v>
      </c>
      <c r="CH32" s="70">
        <v>412.97</v>
      </c>
      <c r="CI32" s="70">
        <v>411.94</v>
      </c>
      <c r="CJ32" s="70">
        <v>410.9</v>
      </c>
      <c r="CK32" s="70">
        <v>409.87</v>
      </c>
      <c r="CL32" s="70">
        <v>408.83</v>
      </c>
      <c r="CM32" s="70">
        <v>407.8</v>
      </c>
      <c r="CN32" s="70">
        <v>406.77</v>
      </c>
      <c r="CO32" s="70">
        <v>405.73</v>
      </c>
      <c r="CP32" s="70">
        <v>404.7</v>
      </c>
      <c r="CQ32" s="70">
        <v>403.66</v>
      </c>
      <c r="CR32" s="70">
        <v>402.63</v>
      </c>
      <c r="CS32" s="70">
        <v>401.6</v>
      </c>
      <c r="CT32" s="70">
        <v>400.56</v>
      </c>
      <c r="CU32" s="70">
        <v>399.53</v>
      </c>
      <c r="CV32" s="70">
        <v>398.5</v>
      </c>
      <c r="CW32" s="70">
        <v>397.47</v>
      </c>
      <c r="CX32" s="70">
        <v>396.44</v>
      </c>
      <c r="CY32" s="70">
        <v>395.4</v>
      </c>
      <c r="CZ32" s="70">
        <v>394.37</v>
      </c>
      <c r="DA32" s="70">
        <v>393.34</v>
      </c>
      <c r="DB32" s="70">
        <v>392.31</v>
      </c>
      <c r="DC32" s="70">
        <v>391.28</v>
      </c>
      <c r="DD32" s="70">
        <v>390.25</v>
      </c>
      <c r="DE32" s="70">
        <v>389.22</v>
      </c>
      <c r="DF32" s="70">
        <v>388.19</v>
      </c>
      <c r="DG32" s="70">
        <v>387.16</v>
      </c>
      <c r="DH32" s="70">
        <v>386.13</v>
      </c>
      <c r="DI32" s="70">
        <v>385.1</v>
      </c>
      <c r="DJ32" s="70">
        <v>384.07</v>
      </c>
      <c r="DK32" s="70">
        <v>383.04</v>
      </c>
      <c r="DL32" s="70">
        <v>382.01</v>
      </c>
      <c r="DM32" s="70">
        <v>380.98</v>
      </c>
      <c r="DN32" s="70">
        <v>379.95</v>
      </c>
      <c r="DO32" s="70">
        <v>378.93</v>
      </c>
      <c r="DP32" s="70">
        <v>377.9</v>
      </c>
      <c r="DQ32" s="70">
        <v>376.87</v>
      </c>
      <c r="DR32" s="70">
        <v>375.84</v>
      </c>
      <c r="DS32" s="70">
        <v>374.82</v>
      </c>
      <c r="DT32" s="70">
        <v>373.79</v>
      </c>
      <c r="DU32" s="70">
        <v>372.77</v>
      </c>
      <c r="DV32" s="70">
        <v>371.75</v>
      </c>
      <c r="DW32" s="70">
        <v>370.72</v>
      </c>
      <c r="DX32" s="70">
        <v>369.7</v>
      </c>
      <c r="DY32" s="70">
        <v>368.68</v>
      </c>
      <c r="DZ32" s="70">
        <v>367.66</v>
      </c>
      <c r="EA32" s="70">
        <v>366.64</v>
      </c>
      <c r="EB32" s="70">
        <v>365.61</v>
      </c>
      <c r="EC32" s="70">
        <v>364.59</v>
      </c>
      <c r="ED32" s="70">
        <v>363.57</v>
      </c>
      <c r="EE32" s="70">
        <v>362.56</v>
      </c>
      <c r="EF32" s="70">
        <v>361.54</v>
      </c>
      <c r="EG32" s="70">
        <v>360.53</v>
      </c>
      <c r="EH32" s="70">
        <v>359.51</v>
      </c>
      <c r="EI32" s="70">
        <v>358.5</v>
      </c>
      <c r="EJ32" s="70">
        <v>357.48</v>
      </c>
      <c r="EK32" s="70">
        <v>356.47</v>
      </c>
      <c r="EL32" s="70">
        <v>355.46</v>
      </c>
      <c r="EM32" s="70">
        <v>354.45</v>
      </c>
      <c r="EN32" s="70">
        <v>353.44</v>
      </c>
      <c r="EO32" s="70">
        <v>352.42</v>
      </c>
      <c r="EP32" s="70">
        <v>351.41</v>
      </c>
      <c r="EQ32" s="70">
        <v>350.4</v>
      </c>
      <c r="ER32" s="70">
        <v>349.4</v>
      </c>
      <c r="ES32" s="70">
        <v>348.39</v>
      </c>
      <c r="ET32" s="70">
        <v>347.38</v>
      </c>
      <c r="EU32" s="70">
        <v>346.38</v>
      </c>
      <c r="EV32" s="70">
        <v>345.37</v>
      </c>
      <c r="EW32" s="70">
        <v>344.37</v>
      </c>
      <c r="EX32" s="70">
        <v>343.36</v>
      </c>
      <c r="EY32" s="70">
        <v>342.36</v>
      </c>
      <c r="EZ32" s="70">
        <v>341.35</v>
      </c>
      <c r="FA32" s="70">
        <v>340.35</v>
      </c>
      <c r="FB32" s="70">
        <v>339.35</v>
      </c>
      <c r="FC32" s="70">
        <v>338.35</v>
      </c>
      <c r="FD32" s="70">
        <v>337.35</v>
      </c>
      <c r="FE32" s="70">
        <v>336.35</v>
      </c>
      <c r="FF32" s="70">
        <v>335.35</v>
      </c>
      <c r="FG32" s="70">
        <v>334.36</v>
      </c>
      <c r="FH32" s="70">
        <v>333.36</v>
      </c>
      <c r="FI32" s="70">
        <v>332.36</v>
      </c>
      <c r="FJ32" s="70">
        <v>331.37</v>
      </c>
      <c r="FK32" s="70">
        <v>330.37</v>
      </c>
      <c r="FL32" s="70">
        <v>329.38</v>
      </c>
      <c r="FM32" s="70">
        <v>328.39</v>
      </c>
      <c r="FN32" s="70">
        <v>327.39</v>
      </c>
      <c r="FO32" s="70">
        <v>326.39999999999998</v>
      </c>
      <c r="FP32" s="70">
        <v>325.41000000000003</v>
      </c>
      <c r="FQ32" s="70">
        <v>324.42</v>
      </c>
      <c r="FR32" s="70">
        <v>323.43</v>
      </c>
      <c r="FS32" s="70">
        <v>322.44</v>
      </c>
      <c r="FT32" s="70">
        <v>321.45</v>
      </c>
      <c r="FU32" s="70">
        <v>320.45999999999998</v>
      </c>
      <c r="FV32" s="70">
        <v>319.47000000000003</v>
      </c>
      <c r="FW32" s="70">
        <v>318.48</v>
      </c>
      <c r="FX32" s="70">
        <v>317.5</v>
      </c>
      <c r="FY32" s="70">
        <v>316.51</v>
      </c>
      <c r="FZ32" s="70">
        <v>315.52999999999997</v>
      </c>
      <c r="GA32" s="70">
        <v>314.54000000000002</v>
      </c>
      <c r="GB32" s="70">
        <v>313.56</v>
      </c>
      <c r="GC32" s="70">
        <v>312.57</v>
      </c>
      <c r="GD32" s="70">
        <v>311.58999999999997</v>
      </c>
      <c r="GE32" s="70">
        <v>310.60000000000002</v>
      </c>
      <c r="GF32" s="70">
        <v>309.63</v>
      </c>
      <c r="GG32" s="70">
        <v>308.64999999999998</v>
      </c>
      <c r="GH32" s="70">
        <v>307.67</v>
      </c>
      <c r="GI32" s="70">
        <v>306.69</v>
      </c>
      <c r="GJ32" s="70">
        <v>305.70999999999998</v>
      </c>
      <c r="GK32" s="70">
        <v>304.73</v>
      </c>
      <c r="GL32" s="70">
        <v>303.76</v>
      </c>
      <c r="GM32" s="70">
        <v>302.77999999999997</v>
      </c>
      <c r="GN32" s="70">
        <v>301.81</v>
      </c>
      <c r="GO32" s="70">
        <v>300.83999999999997</v>
      </c>
      <c r="GP32" s="70">
        <v>299.87</v>
      </c>
      <c r="GQ32" s="70">
        <v>298.89999999999998</v>
      </c>
      <c r="GR32" s="70">
        <v>297.94</v>
      </c>
      <c r="GS32" s="70">
        <v>296.97000000000003</v>
      </c>
      <c r="GT32" s="70">
        <v>296</v>
      </c>
      <c r="GU32" s="70">
        <v>295.04000000000002</v>
      </c>
      <c r="GV32" s="70">
        <v>294.07</v>
      </c>
      <c r="GW32" s="70">
        <v>293.10000000000002</v>
      </c>
      <c r="GX32" s="70">
        <v>292.14999999999998</v>
      </c>
      <c r="GY32" s="70">
        <v>291.18</v>
      </c>
      <c r="GZ32" s="70">
        <v>290.22000000000003</v>
      </c>
      <c r="HA32" s="70">
        <v>289.26</v>
      </c>
      <c r="HB32" s="70">
        <v>288.31</v>
      </c>
      <c r="HC32" s="70">
        <v>287.35000000000002</v>
      </c>
      <c r="HD32" s="70">
        <v>286.39</v>
      </c>
      <c r="HE32" s="70">
        <v>285.43</v>
      </c>
      <c r="HF32" s="70">
        <v>284.48</v>
      </c>
      <c r="HG32" s="70">
        <v>283.51</v>
      </c>
      <c r="HH32" s="70">
        <v>282.57</v>
      </c>
      <c r="HI32" s="70">
        <v>281.62</v>
      </c>
      <c r="HJ32" s="70">
        <v>280.67</v>
      </c>
      <c r="HK32" s="70">
        <v>279.72000000000003</v>
      </c>
      <c r="HL32" s="70">
        <v>278.76</v>
      </c>
      <c r="HM32" s="70">
        <v>277.82</v>
      </c>
      <c r="HN32" s="70">
        <v>276.89</v>
      </c>
      <c r="HO32" s="70">
        <v>275.95</v>
      </c>
      <c r="HP32" s="70">
        <v>275.01</v>
      </c>
      <c r="HQ32" s="70">
        <v>274.07</v>
      </c>
      <c r="HR32" s="70">
        <v>273.13</v>
      </c>
      <c r="HS32" s="70">
        <v>272.2</v>
      </c>
      <c r="HT32" s="70">
        <v>271.26</v>
      </c>
      <c r="HU32" s="70">
        <v>270.32</v>
      </c>
      <c r="HV32" s="70">
        <v>269.39</v>
      </c>
      <c r="HW32" s="70">
        <v>268.45999999999998</v>
      </c>
      <c r="HX32" s="70">
        <v>267.51</v>
      </c>
      <c r="HY32" s="70">
        <v>266.58999999999997</v>
      </c>
      <c r="HZ32" s="70">
        <v>265.66000000000003</v>
      </c>
      <c r="IA32" s="70">
        <v>264.74</v>
      </c>
      <c r="IB32" s="70">
        <v>263.81</v>
      </c>
      <c r="IC32" s="70">
        <v>262.88</v>
      </c>
      <c r="ID32" s="70">
        <v>261.95</v>
      </c>
      <c r="IE32" s="70">
        <v>261.02999999999997</v>
      </c>
      <c r="IF32" s="70">
        <v>260.10000000000002</v>
      </c>
      <c r="IG32" s="70">
        <v>259.18</v>
      </c>
      <c r="IH32" s="70">
        <v>258.26</v>
      </c>
      <c r="II32" s="70">
        <v>257.32</v>
      </c>
      <c r="IJ32" s="70">
        <v>256.42</v>
      </c>
      <c r="IK32" s="70">
        <v>255.5</v>
      </c>
      <c r="IL32" s="70">
        <v>254.58</v>
      </c>
      <c r="IM32" s="70">
        <v>253.66</v>
      </c>
      <c r="IN32" s="70">
        <v>252.75</v>
      </c>
      <c r="IO32" s="70">
        <v>251.83</v>
      </c>
      <c r="IP32" s="70">
        <v>250.92</v>
      </c>
      <c r="IQ32" s="70">
        <v>250.01</v>
      </c>
      <c r="IR32" s="70">
        <v>249.09</v>
      </c>
      <c r="IS32" s="70">
        <v>248.18</v>
      </c>
      <c r="IT32" s="70">
        <v>247.27</v>
      </c>
      <c r="IU32" s="70">
        <v>246.37</v>
      </c>
      <c r="IV32" s="70">
        <v>245.47</v>
      </c>
      <c r="IW32" s="70">
        <v>244.57</v>
      </c>
      <c r="IX32" s="70">
        <v>243.67</v>
      </c>
      <c r="IY32" s="70">
        <v>242.78</v>
      </c>
      <c r="IZ32" s="70">
        <v>241.88</v>
      </c>
      <c r="JA32" s="70">
        <v>240.99</v>
      </c>
      <c r="JB32" s="70">
        <v>240.09</v>
      </c>
      <c r="JC32" s="70">
        <v>239.2</v>
      </c>
      <c r="JD32" s="70">
        <v>238.31</v>
      </c>
      <c r="JE32" s="70">
        <v>237.42</v>
      </c>
      <c r="JF32" s="70">
        <v>236.53</v>
      </c>
      <c r="JG32" s="70">
        <v>235.65</v>
      </c>
      <c r="JH32" s="70">
        <v>234.76</v>
      </c>
      <c r="JI32" s="70">
        <v>233.88</v>
      </c>
      <c r="JJ32" s="70">
        <v>232.99</v>
      </c>
      <c r="JK32" s="70">
        <v>232.11</v>
      </c>
      <c r="JL32" s="70">
        <v>231.23</v>
      </c>
      <c r="JM32" s="70">
        <v>230.35</v>
      </c>
      <c r="JN32" s="70">
        <v>229.47</v>
      </c>
      <c r="JO32" s="70">
        <v>228.59</v>
      </c>
      <c r="JP32" s="70">
        <v>227.71</v>
      </c>
      <c r="JQ32" s="70">
        <v>226.83</v>
      </c>
      <c r="JR32" s="70">
        <v>225.96</v>
      </c>
      <c r="JS32" s="70">
        <v>225.08</v>
      </c>
      <c r="JT32" s="70">
        <v>224.2</v>
      </c>
      <c r="JU32" s="70">
        <v>223.32</v>
      </c>
      <c r="JV32" s="70">
        <v>222.44</v>
      </c>
      <c r="JW32" s="70">
        <v>221.56</v>
      </c>
      <c r="JX32" s="70">
        <v>220.69</v>
      </c>
      <c r="JY32" s="70">
        <v>219.81</v>
      </c>
      <c r="JZ32" s="70">
        <v>218.94</v>
      </c>
      <c r="KA32" s="70">
        <v>218.06</v>
      </c>
      <c r="KB32" s="70">
        <v>217.19</v>
      </c>
      <c r="KC32" s="70">
        <v>216.32</v>
      </c>
      <c r="KD32" s="70">
        <v>215.44</v>
      </c>
      <c r="KE32" s="70">
        <v>214.57</v>
      </c>
      <c r="KF32" s="70">
        <v>213.7</v>
      </c>
      <c r="KG32" s="70">
        <v>212.84</v>
      </c>
      <c r="KH32" s="70">
        <v>211.97</v>
      </c>
      <c r="KI32" s="70">
        <v>211.1</v>
      </c>
      <c r="KJ32" s="70">
        <v>210.24</v>
      </c>
      <c r="KK32" s="70">
        <v>209.37</v>
      </c>
      <c r="KL32" s="70">
        <v>208.51</v>
      </c>
      <c r="KM32" s="70">
        <v>207.65</v>
      </c>
      <c r="KN32" s="70">
        <v>206.79</v>
      </c>
      <c r="KO32" s="70">
        <v>205.93</v>
      </c>
      <c r="KP32" s="70">
        <v>205.07</v>
      </c>
      <c r="KQ32" s="70">
        <v>204.21</v>
      </c>
      <c r="KR32" s="74">
        <f t="shared" si="22"/>
        <v>204.02</v>
      </c>
      <c r="KS32" s="74">
        <f t="shared" si="22"/>
        <v>203.23</v>
      </c>
      <c r="KT32" s="74">
        <f t="shared" si="22"/>
        <v>202.41</v>
      </c>
      <c r="KU32" s="74">
        <f t="shared" si="22"/>
        <v>201.62</v>
      </c>
      <c r="KV32" s="74">
        <f t="shared" si="22"/>
        <v>200.84</v>
      </c>
      <c r="KW32" s="74">
        <f t="shared" si="22"/>
        <v>200.05</v>
      </c>
      <c r="KX32" s="74">
        <f t="shared" si="22"/>
        <v>199.26</v>
      </c>
      <c r="KY32" s="74">
        <f t="shared" si="22"/>
        <v>198.48</v>
      </c>
      <c r="KZ32" s="74">
        <f t="shared" si="22"/>
        <v>197.69</v>
      </c>
      <c r="LA32" s="74">
        <f t="shared" si="22"/>
        <v>196.91</v>
      </c>
      <c r="LB32" s="74">
        <f t="shared" si="22"/>
        <v>196.13</v>
      </c>
      <c r="LC32" s="74">
        <f t="shared" si="22"/>
        <v>195.35</v>
      </c>
      <c r="LD32" s="74">
        <f t="shared" si="22"/>
        <v>194.57</v>
      </c>
      <c r="LE32" s="74">
        <f t="shared" si="22"/>
        <v>193.79</v>
      </c>
      <c r="LF32" s="74">
        <f t="shared" si="22"/>
        <v>193.02</v>
      </c>
      <c r="LG32" s="74">
        <f t="shared" si="22"/>
        <v>192.25</v>
      </c>
      <c r="LH32" s="74">
        <f t="shared" si="21"/>
        <v>191.47</v>
      </c>
      <c r="LI32" s="74">
        <f t="shared" si="21"/>
        <v>190.7</v>
      </c>
      <c r="LJ32" s="74">
        <f t="shared" si="21"/>
        <v>189.93</v>
      </c>
      <c r="LK32" s="74">
        <f t="shared" si="21"/>
        <v>189.16</v>
      </c>
      <c r="LL32" s="74">
        <f t="shared" si="21"/>
        <v>188.39</v>
      </c>
      <c r="LM32" s="74">
        <f t="shared" si="21"/>
        <v>187.63</v>
      </c>
      <c r="LN32" s="74">
        <f t="shared" si="21"/>
        <v>186.86</v>
      </c>
      <c r="LO32" s="74">
        <f t="shared" si="21"/>
        <v>186.1</v>
      </c>
      <c r="LP32" s="74">
        <f t="shared" si="21"/>
        <v>185.34</v>
      </c>
      <c r="LQ32" s="74">
        <f t="shared" si="21"/>
        <v>184.58</v>
      </c>
      <c r="LR32" s="74">
        <f t="shared" si="21"/>
        <v>183.82</v>
      </c>
      <c r="LS32" s="74">
        <f t="shared" si="21"/>
        <v>183.06</v>
      </c>
      <c r="LT32" s="74">
        <f t="shared" si="21"/>
        <v>182.31</v>
      </c>
      <c r="LU32" s="74">
        <f t="shared" si="21"/>
        <v>181.56</v>
      </c>
      <c r="LV32" s="74">
        <f t="shared" si="21"/>
        <v>180.8</v>
      </c>
      <c r="LW32" s="74">
        <f t="shared" si="21"/>
        <v>180.05</v>
      </c>
      <c r="LX32" s="74">
        <f t="shared" si="23"/>
        <v>179.3</v>
      </c>
      <c r="LY32" s="74">
        <f t="shared" si="23"/>
        <v>178.55</v>
      </c>
      <c r="LZ32" s="74">
        <f t="shared" si="23"/>
        <v>177.81</v>
      </c>
      <c r="MA32" s="74">
        <f t="shared" si="23"/>
        <v>177.06</v>
      </c>
      <c r="MB32" s="74">
        <f t="shared" si="23"/>
        <v>176.32</v>
      </c>
      <c r="MC32" s="74">
        <f t="shared" si="23"/>
        <v>175.58</v>
      </c>
      <c r="MD32" s="76">
        <f t="shared" si="23"/>
        <v>174.84</v>
      </c>
      <c r="ME32" s="77">
        <f t="shared" si="23"/>
        <v>174.11</v>
      </c>
      <c r="MF32" s="77">
        <f t="shared" si="23"/>
        <v>173.37</v>
      </c>
      <c r="MG32" s="77">
        <f t="shared" si="23"/>
        <v>172.64</v>
      </c>
      <c r="MH32" s="77">
        <f t="shared" si="23"/>
        <v>171.9</v>
      </c>
      <c r="MI32" s="77">
        <f t="shared" si="23"/>
        <v>171.17</v>
      </c>
      <c r="MJ32" s="77">
        <f t="shared" si="23"/>
        <v>170.44</v>
      </c>
      <c r="MK32" s="77">
        <f t="shared" si="23"/>
        <v>169.71</v>
      </c>
      <c r="ML32" s="77">
        <f t="shared" si="23"/>
        <v>168.99</v>
      </c>
      <c r="MM32" s="77">
        <f t="shared" si="23"/>
        <v>168.26</v>
      </c>
      <c r="MN32" s="77">
        <f t="shared" si="25"/>
        <v>167.54</v>
      </c>
      <c r="MO32" s="77">
        <f t="shared" si="26"/>
        <v>166.82</v>
      </c>
      <c r="MP32" s="77">
        <f t="shared" si="27"/>
        <v>166.1</v>
      </c>
      <c r="MQ32" s="77">
        <f t="shared" si="24"/>
        <v>165.39</v>
      </c>
      <c r="MR32" s="77">
        <f t="shared" si="24"/>
        <v>164.67</v>
      </c>
      <c r="MS32" s="77">
        <f t="shared" si="24"/>
        <v>163.96</v>
      </c>
      <c r="MT32" s="77">
        <f t="shared" si="24"/>
        <v>163.24</v>
      </c>
      <c r="MU32" s="77">
        <f t="shared" si="24"/>
        <v>162.53</v>
      </c>
      <c r="MV32" s="77">
        <f t="shared" si="24"/>
        <v>161.82</v>
      </c>
      <c r="MW32" s="77">
        <f t="shared" si="24"/>
        <v>161.12</v>
      </c>
      <c r="MX32" s="77">
        <f t="shared" si="24"/>
        <v>160.41</v>
      </c>
      <c r="MY32" s="77">
        <f t="shared" si="24"/>
        <v>159.71</v>
      </c>
    </row>
    <row r="33" spans="1:363" ht="15.6" x14ac:dyDescent="0.3">
      <c r="A33" s="67" t="s">
        <v>6</v>
      </c>
      <c r="B33" s="72">
        <v>2043</v>
      </c>
      <c r="C33" s="70">
        <v>499.89</v>
      </c>
      <c r="D33" s="70">
        <v>498.85</v>
      </c>
      <c r="E33" s="70">
        <v>497.82</v>
      </c>
      <c r="F33" s="70">
        <v>496.78</v>
      </c>
      <c r="G33" s="70">
        <v>495.74</v>
      </c>
      <c r="H33" s="70">
        <v>494.71</v>
      </c>
      <c r="I33" s="70">
        <v>493.67</v>
      </c>
      <c r="J33" s="70">
        <v>492.63</v>
      </c>
      <c r="K33" s="70">
        <v>491.59</v>
      </c>
      <c r="L33" s="70">
        <v>490.56</v>
      </c>
      <c r="M33" s="70">
        <v>489.52</v>
      </c>
      <c r="N33" s="70">
        <v>488.48</v>
      </c>
      <c r="O33" s="70">
        <v>487.45</v>
      </c>
      <c r="P33" s="70">
        <v>486.41</v>
      </c>
      <c r="Q33" s="70">
        <v>485.37</v>
      </c>
      <c r="R33" s="70">
        <v>484.34</v>
      </c>
      <c r="S33" s="70">
        <v>483.3</v>
      </c>
      <c r="T33" s="70">
        <v>482.26</v>
      </c>
      <c r="U33" s="70">
        <v>481.22</v>
      </c>
      <c r="V33" s="70">
        <v>480.19</v>
      </c>
      <c r="W33" s="70">
        <v>479.15</v>
      </c>
      <c r="X33" s="70">
        <v>478.11</v>
      </c>
      <c r="Y33" s="70">
        <v>477.08</v>
      </c>
      <c r="Z33" s="70">
        <v>476.04</v>
      </c>
      <c r="AA33" s="70">
        <v>475</v>
      </c>
      <c r="AB33" s="70">
        <v>473.97</v>
      </c>
      <c r="AC33" s="70">
        <v>472.93</v>
      </c>
      <c r="AD33" s="70">
        <v>471.89</v>
      </c>
      <c r="AE33" s="70">
        <v>470.85</v>
      </c>
      <c r="AF33" s="70">
        <v>469.82</v>
      </c>
      <c r="AG33" s="70">
        <v>468.78</v>
      </c>
      <c r="AH33" s="70">
        <v>467.74</v>
      </c>
      <c r="AI33" s="70">
        <v>466.71</v>
      </c>
      <c r="AJ33" s="70">
        <v>465.67</v>
      </c>
      <c r="AK33" s="70">
        <v>464.63</v>
      </c>
      <c r="AL33" s="70">
        <v>463.6</v>
      </c>
      <c r="AM33" s="70">
        <v>462.56</v>
      </c>
      <c r="AN33" s="70">
        <v>461.52</v>
      </c>
      <c r="AO33" s="70">
        <v>460.48</v>
      </c>
      <c r="AP33" s="70">
        <v>459.45</v>
      </c>
      <c r="AQ33" s="70">
        <v>458.41</v>
      </c>
      <c r="AR33" s="70">
        <v>457.37</v>
      </c>
      <c r="AS33" s="70">
        <v>456.34</v>
      </c>
      <c r="AT33" s="70">
        <v>455.3</v>
      </c>
      <c r="AU33" s="70">
        <v>454.26</v>
      </c>
      <c r="AV33" s="70">
        <v>453.22</v>
      </c>
      <c r="AW33" s="70">
        <v>452.19</v>
      </c>
      <c r="AX33" s="70">
        <v>451.15</v>
      </c>
      <c r="AY33" s="70">
        <v>450.11</v>
      </c>
      <c r="AZ33" s="70">
        <v>449.08</v>
      </c>
      <c r="BA33" s="70">
        <v>448.04</v>
      </c>
      <c r="BB33" s="70">
        <v>447</v>
      </c>
      <c r="BC33" s="70">
        <v>445.97</v>
      </c>
      <c r="BD33" s="70">
        <v>444.93</v>
      </c>
      <c r="BE33" s="70">
        <v>443.89</v>
      </c>
      <c r="BF33" s="70">
        <v>442.86</v>
      </c>
      <c r="BG33" s="70">
        <v>441.82</v>
      </c>
      <c r="BH33" s="70">
        <v>440.78</v>
      </c>
      <c r="BI33" s="70">
        <v>439.74</v>
      </c>
      <c r="BJ33" s="70">
        <v>438.71</v>
      </c>
      <c r="BK33" s="70">
        <v>437.67</v>
      </c>
      <c r="BL33" s="70">
        <v>436.63</v>
      </c>
      <c r="BM33" s="70">
        <v>435.59</v>
      </c>
      <c r="BN33" s="70">
        <v>434.56</v>
      </c>
      <c r="BO33" s="70">
        <v>433.52</v>
      </c>
      <c r="BP33" s="70">
        <v>432.48</v>
      </c>
      <c r="BQ33" s="70">
        <v>431.44</v>
      </c>
      <c r="BR33" s="70">
        <v>430.41</v>
      </c>
      <c r="BS33" s="70">
        <v>429.37</v>
      </c>
      <c r="BT33" s="70">
        <v>428.33</v>
      </c>
      <c r="BU33" s="70">
        <v>427.3</v>
      </c>
      <c r="BV33" s="70">
        <v>426.26</v>
      </c>
      <c r="BW33" s="70">
        <v>425.22</v>
      </c>
      <c r="BX33" s="70">
        <v>424.19</v>
      </c>
      <c r="BY33" s="70">
        <v>423.15</v>
      </c>
      <c r="BZ33" s="70">
        <v>422.12</v>
      </c>
      <c r="CA33" s="70">
        <v>421.08</v>
      </c>
      <c r="CB33" s="70">
        <v>420.05</v>
      </c>
      <c r="CC33" s="70">
        <v>419.01</v>
      </c>
      <c r="CD33" s="70">
        <v>417.98</v>
      </c>
      <c r="CE33" s="70">
        <v>416.94</v>
      </c>
      <c r="CF33" s="70">
        <v>415.91</v>
      </c>
      <c r="CG33" s="70">
        <v>414.88</v>
      </c>
      <c r="CH33" s="70">
        <v>413.84</v>
      </c>
      <c r="CI33" s="70">
        <v>412.81</v>
      </c>
      <c r="CJ33" s="70">
        <v>411.77</v>
      </c>
      <c r="CK33" s="70">
        <v>410.74</v>
      </c>
      <c r="CL33" s="70">
        <v>409.71</v>
      </c>
      <c r="CM33" s="70">
        <v>408.67</v>
      </c>
      <c r="CN33" s="70">
        <v>407.64</v>
      </c>
      <c r="CO33" s="70">
        <v>406.6</v>
      </c>
      <c r="CP33" s="70">
        <v>405.57</v>
      </c>
      <c r="CQ33" s="70">
        <v>404.54</v>
      </c>
      <c r="CR33" s="70">
        <v>403.5</v>
      </c>
      <c r="CS33" s="70">
        <v>402.47</v>
      </c>
      <c r="CT33" s="70">
        <v>401.43</v>
      </c>
      <c r="CU33" s="70">
        <v>400.4</v>
      </c>
      <c r="CV33" s="70">
        <v>399.37</v>
      </c>
      <c r="CW33" s="70">
        <v>398.34</v>
      </c>
      <c r="CX33" s="70">
        <v>397.3</v>
      </c>
      <c r="CY33" s="70">
        <v>396.27</v>
      </c>
      <c r="CZ33" s="70">
        <v>395.24</v>
      </c>
      <c r="DA33" s="70">
        <v>394.21</v>
      </c>
      <c r="DB33" s="70">
        <v>393.18</v>
      </c>
      <c r="DC33" s="70">
        <v>392.15</v>
      </c>
      <c r="DD33" s="70">
        <v>391.12</v>
      </c>
      <c r="DE33" s="70">
        <v>390.08</v>
      </c>
      <c r="DF33" s="70">
        <v>389.05</v>
      </c>
      <c r="DG33" s="70">
        <v>388.02</v>
      </c>
      <c r="DH33" s="70">
        <v>386.99</v>
      </c>
      <c r="DI33" s="70">
        <v>385.96</v>
      </c>
      <c r="DJ33" s="70">
        <v>384.93</v>
      </c>
      <c r="DK33" s="70">
        <v>383.91</v>
      </c>
      <c r="DL33" s="70">
        <v>382.88</v>
      </c>
      <c r="DM33" s="70">
        <v>381.85</v>
      </c>
      <c r="DN33" s="70">
        <v>380.82</v>
      </c>
      <c r="DO33" s="70">
        <v>379.79</v>
      </c>
      <c r="DP33" s="70">
        <v>378.76</v>
      </c>
      <c r="DQ33" s="70">
        <v>377.73</v>
      </c>
      <c r="DR33" s="70">
        <v>376.71</v>
      </c>
      <c r="DS33" s="70">
        <v>375.68</v>
      </c>
      <c r="DT33" s="70">
        <v>374.65</v>
      </c>
      <c r="DU33" s="70">
        <v>373.63</v>
      </c>
      <c r="DV33" s="70">
        <v>372.61</v>
      </c>
      <c r="DW33" s="70">
        <v>371.58</v>
      </c>
      <c r="DX33" s="70">
        <v>370.56</v>
      </c>
      <c r="DY33" s="70">
        <v>369.54</v>
      </c>
      <c r="DZ33" s="70">
        <v>368.52</v>
      </c>
      <c r="EA33" s="70">
        <v>367.5</v>
      </c>
      <c r="EB33" s="70">
        <v>366.47</v>
      </c>
      <c r="EC33" s="70">
        <v>365.45</v>
      </c>
      <c r="ED33" s="70">
        <v>364.43</v>
      </c>
      <c r="EE33" s="70">
        <v>363.41</v>
      </c>
      <c r="EF33" s="70">
        <v>362.4</v>
      </c>
      <c r="EG33" s="70">
        <v>361.38</v>
      </c>
      <c r="EH33" s="70">
        <v>360.37</v>
      </c>
      <c r="EI33" s="70">
        <v>359.35</v>
      </c>
      <c r="EJ33" s="70">
        <v>358.34</v>
      </c>
      <c r="EK33" s="70">
        <v>357.33</v>
      </c>
      <c r="EL33" s="70">
        <v>356.31</v>
      </c>
      <c r="EM33" s="70">
        <v>355.3</v>
      </c>
      <c r="EN33" s="70">
        <v>354.29</v>
      </c>
      <c r="EO33" s="70">
        <v>353.28</v>
      </c>
      <c r="EP33" s="70">
        <v>352.27</v>
      </c>
      <c r="EQ33" s="70">
        <v>351.26</v>
      </c>
      <c r="ER33" s="70">
        <v>350.25</v>
      </c>
      <c r="ES33" s="70">
        <v>349.24</v>
      </c>
      <c r="ET33" s="70">
        <v>348.24</v>
      </c>
      <c r="EU33" s="70">
        <v>347.23</v>
      </c>
      <c r="EV33" s="70">
        <v>346.22</v>
      </c>
      <c r="EW33" s="70">
        <v>345.22</v>
      </c>
      <c r="EX33" s="70">
        <v>344.21</v>
      </c>
      <c r="EY33" s="70">
        <v>343.21</v>
      </c>
      <c r="EZ33" s="70">
        <v>342.2</v>
      </c>
      <c r="FA33" s="70">
        <v>341.2</v>
      </c>
      <c r="FB33" s="70">
        <v>340.2</v>
      </c>
      <c r="FC33" s="70">
        <v>339.19</v>
      </c>
      <c r="FD33" s="70">
        <v>338.19</v>
      </c>
      <c r="FE33" s="70">
        <v>337.2</v>
      </c>
      <c r="FF33" s="70">
        <v>336.2</v>
      </c>
      <c r="FG33" s="70">
        <v>335.2</v>
      </c>
      <c r="FH33" s="70">
        <v>334.2</v>
      </c>
      <c r="FI33" s="70">
        <v>333.21</v>
      </c>
      <c r="FJ33" s="70">
        <v>332.21</v>
      </c>
      <c r="FK33" s="70">
        <v>331.22</v>
      </c>
      <c r="FL33" s="70">
        <v>330.22</v>
      </c>
      <c r="FM33" s="70">
        <v>329.23</v>
      </c>
      <c r="FN33" s="70">
        <v>328.23</v>
      </c>
      <c r="FO33" s="70">
        <v>327.24</v>
      </c>
      <c r="FP33" s="70">
        <v>326.25</v>
      </c>
      <c r="FQ33" s="70">
        <v>325.26</v>
      </c>
      <c r="FR33" s="70">
        <v>324.26</v>
      </c>
      <c r="FS33" s="70">
        <v>323.26</v>
      </c>
      <c r="FT33" s="70">
        <v>322.27999999999997</v>
      </c>
      <c r="FU33" s="70">
        <v>321.29000000000002</v>
      </c>
      <c r="FV33" s="70">
        <v>320.31</v>
      </c>
      <c r="FW33" s="70">
        <v>319.32</v>
      </c>
      <c r="FX33" s="70">
        <v>318.32</v>
      </c>
      <c r="FY33" s="70">
        <v>317.33999999999997</v>
      </c>
      <c r="FZ33" s="70">
        <v>316.35000000000002</v>
      </c>
      <c r="GA33" s="70">
        <v>315.37</v>
      </c>
      <c r="GB33" s="70">
        <v>314.39</v>
      </c>
      <c r="GC33" s="70">
        <v>313.39999999999998</v>
      </c>
      <c r="GD33" s="70">
        <v>312.42</v>
      </c>
      <c r="GE33" s="70">
        <v>311.44</v>
      </c>
      <c r="GF33" s="70">
        <v>310.45999999999998</v>
      </c>
      <c r="GG33" s="70">
        <v>309.48</v>
      </c>
      <c r="GH33" s="70">
        <v>308.49</v>
      </c>
      <c r="GI33" s="70">
        <v>307.51</v>
      </c>
      <c r="GJ33" s="70">
        <v>306.54000000000002</v>
      </c>
      <c r="GK33" s="70">
        <v>305.56</v>
      </c>
      <c r="GL33" s="70">
        <v>304.57</v>
      </c>
      <c r="GM33" s="70">
        <v>303.60000000000002</v>
      </c>
      <c r="GN33" s="70">
        <v>302.63</v>
      </c>
      <c r="GO33" s="70">
        <v>301.66000000000003</v>
      </c>
      <c r="GP33" s="70">
        <v>300.69</v>
      </c>
      <c r="GQ33" s="70">
        <v>299.72000000000003</v>
      </c>
      <c r="GR33" s="70">
        <v>298.75</v>
      </c>
      <c r="GS33" s="70">
        <v>297.79000000000002</v>
      </c>
      <c r="GT33" s="70">
        <v>296.82</v>
      </c>
      <c r="GU33" s="70">
        <v>295.85000000000002</v>
      </c>
      <c r="GV33" s="70">
        <v>294.89</v>
      </c>
      <c r="GW33" s="70">
        <v>293.92</v>
      </c>
      <c r="GX33" s="70">
        <v>292.95999999999998</v>
      </c>
      <c r="GY33" s="70">
        <v>291.99</v>
      </c>
      <c r="GZ33" s="70">
        <v>291.02999999999997</v>
      </c>
      <c r="HA33" s="70">
        <v>290.07</v>
      </c>
      <c r="HB33" s="70">
        <v>289.10000000000002</v>
      </c>
      <c r="HC33" s="70">
        <v>288.14999999999998</v>
      </c>
      <c r="HD33" s="70">
        <v>287.2</v>
      </c>
      <c r="HE33" s="70">
        <v>286.24</v>
      </c>
      <c r="HF33" s="70">
        <v>285.27999999999997</v>
      </c>
      <c r="HG33" s="70">
        <v>284.32</v>
      </c>
      <c r="HH33" s="70">
        <v>283.37</v>
      </c>
      <c r="HI33" s="70">
        <v>282.42</v>
      </c>
      <c r="HJ33" s="70">
        <v>281.47000000000003</v>
      </c>
      <c r="HK33" s="70">
        <v>280.51</v>
      </c>
      <c r="HL33" s="70">
        <v>279.57</v>
      </c>
      <c r="HM33" s="70">
        <v>278.63</v>
      </c>
      <c r="HN33" s="70">
        <v>277.69</v>
      </c>
      <c r="HO33" s="70">
        <v>276.74</v>
      </c>
      <c r="HP33" s="70">
        <v>275.79000000000002</v>
      </c>
      <c r="HQ33" s="70">
        <v>274.85000000000002</v>
      </c>
      <c r="HR33" s="70">
        <v>273.92</v>
      </c>
      <c r="HS33" s="70">
        <v>272.99</v>
      </c>
      <c r="HT33" s="70">
        <v>272.04000000000002</v>
      </c>
      <c r="HU33" s="70">
        <v>271.10000000000002</v>
      </c>
      <c r="HV33" s="70">
        <v>270.18</v>
      </c>
      <c r="HW33" s="70">
        <v>269.24</v>
      </c>
      <c r="HX33" s="70">
        <v>268.31</v>
      </c>
      <c r="HY33" s="70">
        <v>267.38</v>
      </c>
      <c r="HZ33" s="70">
        <v>266.45</v>
      </c>
      <c r="IA33" s="70">
        <v>265.51</v>
      </c>
      <c r="IB33" s="70">
        <v>264.58999999999997</v>
      </c>
      <c r="IC33" s="70">
        <v>263.66000000000003</v>
      </c>
      <c r="ID33" s="70">
        <v>262.73</v>
      </c>
      <c r="IE33" s="70">
        <v>261.81</v>
      </c>
      <c r="IF33" s="70">
        <v>260.88</v>
      </c>
      <c r="IG33" s="70">
        <v>259.95</v>
      </c>
      <c r="IH33" s="70">
        <v>259.02999999999997</v>
      </c>
      <c r="II33" s="70">
        <v>258.10000000000002</v>
      </c>
      <c r="IJ33" s="70">
        <v>257.19</v>
      </c>
      <c r="IK33" s="70">
        <v>256.26</v>
      </c>
      <c r="IL33" s="70">
        <v>255.35</v>
      </c>
      <c r="IM33" s="70">
        <v>254.43</v>
      </c>
      <c r="IN33" s="70">
        <v>253.51</v>
      </c>
      <c r="IO33" s="70">
        <v>252.6</v>
      </c>
      <c r="IP33" s="70">
        <v>251.68</v>
      </c>
      <c r="IQ33" s="70">
        <v>250.77</v>
      </c>
      <c r="IR33" s="70">
        <v>249.85</v>
      </c>
      <c r="IS33" s="70">
        <v>248.94</v>
      </c>
      <c r="IT33" s="70">
        <v>248.03</v>
      </c>
      <c r="IU33" s="70">
        <v>247.12</v>
      </c>
      <c r="IV33" s="70">
        <v>246.22</v>
      </c>
      <c r="IW33" s="70">
        <v>245.32</v>
      </c>
      <c r="IX33" s="70">
        <v>244.42</v>
      </c>
      <c r="IY33" s="70">
        <v>243.53</v>
      </c>
      <c r="IZ33" s="70">
        <v>242.63</v>
      </c>
      <c r="JA33" s="70">
        <v>241.74</v>
      </c>
      <c r="JB33" s="70">
        <v>240.84</v>
      </c>
      <c r="JC33" s="70">
        <v>239.95</v>
      </c>
      <c r="JD33" s="70">
        <v>239.06</v>
      </c>
      <c r="JE33" s="70">
        <v>238.17</v>
      </c>
      <c r="JF33" s="70">
        <v>237.28</v>
      </c>
      <c r="JG33" s="70">
        <v>236.39</v>
      </c>
      <c r="JH33" s="70">
        <v>235.5</v>
      </c>
      <c r="JI33" s="70">
        <v>234.61</v>
      </c>
      <c r="JJ33" s="70">
        <v>233.73</v>
      </c>
      <c r="JK33" s="70">
        <v>232.84</v>
      </c>
      <c r="JL33" s="70">
        <v>231.96</v>
      </c>
      <c r="JM33" s="70">
        <v>231.08</v>
      </c>
      <c r="JN33" s="70">
        <v>230.2</v>
      </c>
      <c r="JO33" s="70">
        <v>229.32</v>
      </c>
      <c r="JP33" s="70">
        <v>228.44</v>
      </c>
      <c r="JQ33" s="70">
        <v>227.56</v>
      </c>
      <c r="JR33" s="70">
        <v>226.68</v>
      </c>
      <c r="JS33" s="70">
        <v>225.8</v>
      </c>
      <c r="JT33" s="70">
        <v>224.92</v>
      </c>
      <c r="JU33" s="70">
        <v>224.04</v>
      </c>
      <c r="JV33" s="70">
        <v>223.16</v>
      </c>
      <c r="JW33" s="70">
        <v>222.28</v>
      </c>
      <c r="JX33" s="70">
        <v>221.4</v>
      </c>
      <c r="JY33" s="70">
        <v>220.52</v>
      </c>
      <c r="JZ33" s="70">
        <v>219.65</v>
      </c>
      <c r="KA33" s="70">
        <v>218.77</v>
      </c>
      <c r="KB33" s="70">
        <v>217.9</v>
      </c>
      <c r="KC33" s="70">
        <v>217.02</v>
      </c>
      <c r="KD33" s="70">
        <v>216.15</v>
      </c>
      <c r="KE33" s="70">
        <v>215.27</v>
      </c>
      <c r="KF33" s="70">
        <v>214.4</v>
      </c>
      <c r="KG33" s="70">
        <v>213.53</v>
      </c>
      <c r="KH33" s="70">
        <v>212.67</v>
      </c>
      <c r="KI33" s="70">
        <v>211.8</v>
      </c>
      <c r="KJ33" s="70">
        <v>210.93</v>
      </c>
      <c r="KK33" s="70">
        <v>210.06</v>
      </c>
      <c r="KL33" s="70">
        <v>209.2</v>
      </c>
      <c r="KM33" s="70">
        <v>208.34</v>
      </c>
      <c r="KN33" s="70">
        <v>207.47</v>
      </c>
      <c r="KO33" s="70">
        <v>206.61</v>
      </c>
      <c r="KP33" s="70">
        <v>205.75</v>
      </c>
      <c r="KQ33" s="70">
        <v>204.89</v>
      </c>
      <c r="KR33" s="74">
        <f t="shared" si="22"/>
        <v>204.77</v>
      </c>
      <c r="KS33" s="74">
        <f t="shared" si="22"/>
        <v>203.98</v>
      </c>
      <c r="KT33" s="74">
        <f t="shared" si="22"/>
        <v>203.16</v>
      </c>
      <c r="KU33" s="74">
        <f t="shared" si="22"/>
        <v>202.37</v>
      </c>
      <c r="KV33" s="74">
        <f t="shared" si="22"/>
        <v>201.59</v>
      </c>
      <c r="KW33" s="74">
        <f t="shared" si="22"/>
        <v>200.8</v>
      </c>
      <c r="KX33" s="74">
        <f t="shared" si="22"/>
        <v>200.01</v>
      </c>
      <c r="KY33" s="74">
        <f t="shared" si="22"/>
        <v>199.23</v>
      </c>
      <c r="KZ33" s="74">
        <f t="shared" si="22"/>
        <v>198.44</v>
      </c>
      <c r="LA33" s="74">
        <f t="shared" si="22"/>
        <v>197.66</v>
      </c>
      <c r="LB33" s="74">
        <f t="shared" si="22"/>
        <v>196.88</v>
      </c>
      <c r="LC33" s="74">
        <f t="shared" si="22"/>
        <v>196.1</v>
      </c>
      <c r="LD33" s="74">
        <f t="shared" si="22"/>
        <v>195.32</v>
      </c>
      <c r="LE33" s="74">
        <f t="shared" si="22"/>
        <v>194.54</v>
      </c>
      <c r="LF33" s="74">
        <f t="shared" si="22"/>
        <v>193.77</v>
      </c>
      <c r="LG33" s="74">
        <f t="shared" si="22"/>
        <v>193</v>
      </c>
      <c r="LH33" s="74">
        <f t="shared" si="21"/>
        <v>192.22</v>
      </c>
      <c r="LI33" s="74">
        <f t="shared" si="21"/>
        <v>191.45</v>
      </c>
      <c r="LJ33" s="74">
        <f t="shared" si="21"/>
        <v>190.68</v>
      </c>
      <c r="LK33" s="74">
        <f t="shared" si="21"/>
        <v>189.91</v>
      </c>
      <c r="LL33" s="74">
        <f t="shared" si="21"/>
        <v>189.14</v>
      </c>
      <c r="LM33" s="74">
        <f t="shared" si="21"/>
        <v>188.38</v>
      </c>
      <c r="LN33" s="74">
        <f t="shared" si="21"/>
        <v>187.61</v>
      </c>
      <c r="LO33" s="74">
        <f t="shared" si="21"/>
        <v>186.85</v>
      </c>
      <c r="LP33" s="74">
        <f t="shared" si="21"/>
        <v>186.09</v>
      </c>
      <c r="LQ33" s="74">
        <f t="shared" si="21"/>
        <v>185.33</v>
      </c>
      <c r="LR33" s="74">
        <f t="shared" si="21"/>
        <v>184.57</v>
      </c>
      <c r="LS33" s="74">
        <f t="shared" si="21"/>
        <v>183.81</v>
      </c>
      <c r="LT33" s="74">
        <f t="shared" si="21"/>
        <v>183.06</v>
      </c>
      <c r="LU33" s="74">
        <f t="shared" si="21"/>
        <v>182.31</v>
      </c>
      <c r="LV33" s="74">
        <f t="shared" si="21"/>
        <v>181.55</v>
      </c>
      <c r="LW33" s="74">
        <f t="shared" si="21"/>
        <v>180.8</v>
      </c>
      <c r="LX33" s="74">
        <f t="shared" si="23"/>
        <v>180.05</v>
      </c>
      <c r="LY33" s="74">
        <f t="shared" si="23"/>
        <v>179.3</v>
      </c>
      <c r="LZ33" s="74">
        <f t="shared" si="23"/>
        <v>178.56</v>
      </c>
      <c r="MA33" s="74">
        <f t="shared" si="23"/>
        <v>177.81</v>
      </c>
      <c r="MB33" s="74">
        <f t="shared" si="23"/>
        <v>177.07</v>
      </c>
      <c r="MC33" s="74">
        <f t="shared" si="23"/>
        <v>176.33</v>
      </c>
      <c r="MD33" s="76">
        <f t="shared" si="23"/>
        <v>175.59</v>
      </c>
      <c r="ME33" s="77">
        <f t="shared" si="23"/>
        <v>174.86</v>
      </c>
      <c r="MF33" s="77">
        <f t="shared" si="23"/>
        <v>174.12</v>
      </c>
      <c r="MG33" s="77">
        <f t="shared" si="23"/>
        <v>173.39</v>
      </c>
      <c r="MH33" s="77">
        <f t="shared" si="23"/>
        <v>172.65</v>
      </c>
      <c r="MI33" s="77">
        <f t="shared" si="23"/>
        <v>171.92</v>
      </c>
      <c r="MJ33" s="77">
        <f t="shared" si="23"/>
        <v>171.19</v>
      </c>
      <c r="MK33" s="77">
        <f t="shared" si="23"/>
        <v>170.46</v>
      </c>
      <c r="ML33" s="77">
        <f t="shared" si="23"/>
        <v>169.74</v>
      </c>
      <c r="MM33" s="77">
        <f t="shared" si="23"/>
        <v>169.01</v>
      </c>
      <c r="MN33" s="77">
        <f t="shared" si="25"/>
        <v>168.29</v>
      </c>
      <c r="MO33" s="77">
        <f t="shared" si="26"/>
        <v>167.57</v>
      </c>
      <c r="MP33" s="77">
        <f t="shared" si="27"/>
        <v>166.85</v>
      </c>
      <c r="MQ33" s="77">
        <f t="shared" si="24"/>
        <v>166.14</v>
      </c>
      <c r="MR33" s="77">
        <f t="shared" si="24"/>
        <v>165.42</v>
      </c>
      <c r="MS33" s="77">
        <f t="shared" si="24"/>
        <v>164.71</v>
      </c>
      <c r="MT33" s="77">
        <f t="shared" si="24"/>
        <v>163.99</v>
      </c>
      <c r="MU33" s="77">
        <f t="shared" si="24"/>
        <v>163.28</v>
      </c>
      <c r="MV33" s="77">
        <f t="shared" si="24"/>
        <v>162.57</v>
      </c>
      <c r="MW33" s="77">
        <f t="shared" si="24"/>
        <v>161.87</v>
      </c>
      <c r="MX33" s="77">
        <f t="shared" si="24"/>
        <v>161.16</v>
      </c>
      <c r="MY33" s="77">
        <f t="shared" si="24"/>
        <v>160.46</v>
      </c>
    </row>
    <row r="34" spans="1:363" ht="15.6" x14ac:dyDescent="0.3">
      <c r="A34" s="67" t="s">
        <v>6</v>
      </c>
      <c r="B34" s="72">
        <v>2044</v>
      </c>
      <c r="C34" s="70">
        <v>500.76</v>
      </c>
      <c r="D34" s="70">
        <v>499.72</v>
      </c>
      <c r="E34" s="70">
        <v>498.68</v>
      </c>
      <c r="F34" s="70">
        <v>497.65</v>
      </c>
      <c r="G34" s="70">
        <v>496.61</v>
      </c>
      <c r="H34" s="70">
        <v>495.57</v>
      </c>
      <c r="I34" s="70">
        <v>494.54</v>
      </c>
      <c r="J34" s="70">
        <v>493.5</v>
      </c>
      <c r="K34" s="70">
        <v>492.46</v>
      </c>
      <c r="L34" s="70">
        <v>491.43</v>
      </c>
      <c r="M34" s="70">
        <v>490.39</v>
      </c>
      <c r="N34" s="70">
        <v>489.35</v>
      </c>
      <c r="O34" s="70">
        <v>488.32</v>
      </c>
      <c r="P34" s="70">
        <v>487.28</v>
      </c>
      <c r="Q34" s="70">
        <v>486.24</v>
      </c>
      <c r="R34" s="70">
        <v>485.2</v>
      </c>
      <c r="S34" s="70">
        <v>484.17</v>
      </c>
      <c r="T34" s="70">
        <v>483.13</v>
      </c>
      <c r="U34" s="70">
        <v>482.09</v>
      </c>
      <c r="V34" s="70">
        <v>481.06</v>
      </c>
      <c r="W34" s="70">
        <v>480.02</v>
      </c>
      <c r="X34" s="70">
        <v>478.98</v>
      </c>
      <c r="Y34" s="70">
        <v>477.95</v>
      </c>
      <c r="Z34" s="70">
        <v>476.91</v>
      </c>
      <c r="AA34" s="70">
        <v>475.87</v>
      </c>
      <c r="AB34" s="70">
        <v>474.84</v>
      </c>
      <c r="AC34" s="70">
        <v>473.8</v>
      </c>
      <c r="AD34" s="70">
        <v>472.76</v>
      </c>
      <c r="AE34" s="70">
        <v>471.72</v>
      </c>
      <c r="AF34" s="70">
        <v>470.69</v>
      </c>
      <c r="AG34" s="70">
        <v>469.65</v>
      </c>
      <c r="AH34" s="70">
        <v>468.61</v>
      </c>
      <c r="AI34" s="70">
        <v>467.58</v>
      </c>
      <c r="AJ34" s="70">
        <v>466.54</v>
      </c>
      <c r="AK34" s="70">
        <v>465.5</v>
      </c>
      <c r="AL34" s="70">
        <v>464.47</v>
      </c>
      <c r="AM34" s="70">
        <v>463.43</v>
      </c>
      <c r="AN34" s="70">
        <v>462.39</v>
      </c>
      <c r="AO34" s="70">
        <v>461.35</v>
      </c>
      <c r="AP34" s="70">
        <v>460.32</v>
      </c>
      <c r="AQ34" s="70">
        <v>459.28</v>
      </c>
      <c r="AR34" s="70">
        <v>458.24</v>
      </c>
      <c r="AS34" s="70">
        <v>457.21</v>
      </c>
      <c r="AT34" s="70">
        <v>456.17</v>
      </c>
      <c r="AU34" s="70">
        <v>455.13</v>
      </c>
      <c r="AV34" s="70">
        <v>454.09</v>
      </c>
      <c r="AW34" s="70">
        <v>453.06</v>
      </c>
      <c r="AX34" s="70">
        <v>452.02</v>
      </c>
      <c r="AY34" s="70">
        <v>450.98</v>
      </c>
      <c r="AZ34" s="70">
        <v>449.95</v>
      </c>
      <c r="BA34" s="70">
        <v>448.91</v>
      </c>
      <c r="BB34" s="70">
        <v>447.87</v>
      </c>
      <c r="BC34" s="70">
        <v>446.84</v>
      </c>
      <c r="BD34" s="70">
        <v>445.8</v>
      </c>
      <c r="BE34" s="70">
        <v>444.76</v>
      </c>
      <c r="BF34" s="70">
        <v>443.72</v>
      </c>
      <c r="BG34" s="70">
        <v>442.69</v>
      </c>
      <c r="BH34" s="70">
        <v>441.65</v>
      </c>
      <c r="BI34" s="70">
        <v>440.61</v>
      </c>
      <c r="BJ34" s="70">
        <v>439.58</v>
      </c>
      <c r="BK34" s="70">
        <v>438.54</v>
      </c>
      <c r="BL34" s="70">
        <v>437.5</v>
      </c>
      <c r="BM34" s="70">
        <v>436.46</v>
      </c>
      <c r="BN34" s="70">
        <v>435.43</v>
      </c>
      <c r="BO34" s="70">
        <v>434.39</v>
      </c>
      <c r="BP34" s="70">
        <v>433.35</v>
      </c>
      <c r="BQ34" s="70">
        <v>432.31</v>
      </c>
      <c r="BR34" s="70">
        <v>431.28</v>
      </c>
      <c r="BS34" s="70">
        <v>430.24</v>
      </c>
      <c r="BT34" s="70">
        <v>429.2</v>
      </c>
      <c r="BU34" s="70">
        <v>428.17</v>
      </c>
      <c r="BV34" s="70">
        <v>427.13</v>
      </c>
      <c r="BW34" s="70">
        <v>426.09</v>
      </c>
      <c r="BX34" s="70">
        <v>425.06</v>
      </c>
      <c r="BY34" s="70">
        <v>424.02</v>
      </c>
      <c r="BZ34" s="70">
        <v>422.99</v>
      </c>
      <c r="CA34" s="70">
        <v>421.95</v>
      </c>
      <c r="CB34" s="70">
        <v>420.92</v>
      </c>
      <c r="CC34" s="70">
        <v>419.88</v>
      </c>
      <c r="CD34" s="70">
        <v>418.85</v>
      </c>
      <c r="CE34" s="70">
        <v>417.81</v>
      </c>
      <c r="CF34" s="70">
        <v>416.78</v>
      </c>
      <c r="CG34" s="70">
        <v>415.74</v>
      </c>
      <c r="CH34" s="70">
        <v>414.71</v>
      </c>
      <c r="CI34" s="70">
        <v>413.67</v>
      </c>
      <c r="CJ34" s="70">
        <v>412.64</v>
      </c>
      <c r="CK34" s="70">
        <v>411.61</v>
      </c>
      <c r="CL34" s="70">
        <v>410.57</v>
      </c>
      <c r="CM34" s="70">
        <v>409.54</v>
      </c>
      <c r="CN34" s="70">
        <v>408.5</v>
      </c>
      <c r="CO34" s="70">
        <v>407.47</v>
      </c>
      <c r="CP34" s="70">
        <v>406.43</v>
      </c>
      <c r="CQ34" s="70">
        <v>405.4</v>
      </c>
      <c r="CR34" s="70">
        <v>404.37</v>
      </c>
      <c r="CS34" s="70">
        <v>403.33</v>
      </c>
      <c r="CT34" s="70">
        <v>402.3</v>
      </c>
      <c r="CU34" s="70">
        <v>401.26</v>
      </c>
      <c r="CV34" s="70">
        <v>400.23</v>
      </c>
      <c r="CW34" s="70">
        <v>399.2</v>
      </c>
      <c r="CX34" s="70">
        <v>398.17</v>
      </c>
      <c r="CY34" s="70">
        <v>397.14</v>
      </c>
      <c r="CZ34" s="70">
        <v>396.1</v>
      </c>
      <c r="DA34" s="70">
        <v>395.07</v>
      </c>
      <c r="DB34" s="70">
        <v>394.04</v>
      </c>
      <c r="DC34" s="70">
        <v>393.01</v>
      </c>
      <c r="DD34" s="70">
        <v>391.98</v>
      </c>
      <c r="DE34" s="70">
        <v>390.95</v>
      </c>
      <c r="DF34" s="70">
        <v>389.91</v>
      </c>
      <c r="DG34" s="70">
        <v>388.88</v>
      </c>
      <c r="DH34" s="70">
        <v>387.85</v>
      </c>
      <c r="DI34" s="70">
        <v>386.82</v>
      </c>
      <c r="DJ34" s="70">
        <v>385.79</v>
      </c>
      <c r="DK34" s="70">
        <v>384.76</v>
      </c>
      <c r="DL34" s="70">
        <v>383.74</v>
      </c>
      <c r="DM34" s="70">
        <v>382.71</v>
      </c>
      <c r="DN34" s="70">
        <v>381.68</v>
      </c>
      <c r="DO34" s="70">
        <v>380.65</v>
      </c>
      <c r="DP34" s="70">
        <v>379.62</v>
      </c>
      <c r="DQ34" s="70">
        <v>378.59</v>
      </c>
      <c r="DR34" s="70">
        <v>377.56</v>
      </c>
      <c r="DS34" s="70">
        <v>376.54</v>
      </c>
      <c r="DT34" s="70">
        <v>375.51</v>
      </c>
      <c r="DU34" s="70">
        <v>374.49</v>
      </c>
      <c r="DV34" s="70">
        <v>373.46</v>
      </c>
      <c r="DW34" s="70">
        <v>372.44</v>
      </c>
      <c r="DX34" s="70">
        <v>371.42</v>
      </c>
      <c r="DY34" s="70">
        <v>370.39</v>
      </c>
      <c r="DZ34" s="70">
        <v>369.37</v>
      </c>
      <c r="EA34" s="70">
        <v>368.35</v>
      </c>
      <c r="EB34" s="70">
        <v>367.33</v>
      </c>
      <c r="EC34" s="70">
        <v>366.31</v>
      </c>
      <c r="ED34" s="70">
        <v>365.29</v>
      </c>
      <c r="EE34" s="70">
        <v>364.27</v>
      </c>
      <c r="EF34" s="70">
        <v>363.25</v>
      </c>
      <c r="EG34" s="70">
        <v>362.24</v>
      </c>
      <c r="EH34" s="70">
        <v>361.22</v>
      </c>
      <c r="EI34" s="70">
        <v>360.21</v>
      </c>
      <c r="EJ34" s="70">
        <v>359.19</v>
      </c>
      <c r="EK34" s="70">
        <v>358.18</v>
      </c>
      <c r="EL34" s="70">
        <v>357.16</v>
      </c>
      <c r="EM34" s="70">
        <v>356.15</v>
      </c>
      <c r="EN34" s="70">
        <v>355.14</v>
      </c>
      <c r="EO34" s="70">
        <v>354.13</v>
      </c>
      <c r="EP34" s="70">
        <v>353.11</v>
      </c>
      <c r="EQ34" s="70">
        <v>352.1</v>
      </c>
      <c r="ER34" s="70">
        <v>351.1</v>
      </c>
      <c r="ES34" s="70">
        <v>350.09</v>
      </c>
      <c r="ET34" s="70">
        <v>349.08</v>
      </c>
      <c r="EU34" s="70">
        <v>348.07</v>
      </c>
      <c r="EV34" s="70">
        <v>347.07</v>
      </c>
      <c r="EW34" s="70">
        <v>346.06</v>
      </c>
      <c r="EX34" s="70">
        <v>345.06</v>
      </c>
      <c r="EY34" s="70">
        <v>344.05</v>
      </c>
      <c r="EZ34" s="70">
        <v>343.05</v>
      </c>
      <c r="FA34" s="70">
        <v>342.04</v>
      </c>
      <c r="FB34" s="70">
        <v>341.04</v>
      </c>
      <c r="FC34" s="70">
        <v>340.03</v>
      </c>
      <c r="FD34" s="70">
        <v>339.03</v>
      </c>
      <c r="FE34" s="70">
        <v>338.04</v>
      </c>
      <c r="FF34" s="70">
        <v>337.04</v>
      </c>
      <c r="FG34" s="70">
        <v>336.04</v>
      </c>
      <c r="FH34" s="70">
        <v>335.04</v>
      </c>
      <c r="FI34" s="70">
        <v>334.04</v>
      </c>
      <c r="FJ34" s="70">
        <v>333.05</v>
      </c>
      <c r="FK34" s="70">
        <v>332.05</v>
      </c>
      <c r="FL34" s="70">
        <v>331.06</v>
      </c>
      <c r="FM34" s="70">
        <v>330.06</v>
      </c>
      <c r="FN34" s="70">
        <v>329.07</v>
      </c>
      <c r="FO34" s="70">
        <v>328.07</v>
      </c>
      <c r="FP34" s="70">
        <v>327.07</v>
      </c>
      <c r="FQ34" s="70">
        <v>326.08999999999997</v>
      </c>
      <c r="FR34" s="70">
        <v>325.10000000000002</v>
      </c>
      <c r="FS34" s="70">
        <v>324.10000000000002</v>
      </c>
      <c r="FT34" s="70">
        <v>323.12</v>
      </c>
      <c r="FU34" s="70">
        <v>322.13</v>
      </c>
      <c r="FV34" s="70">
        <v>321.14</v>
      </c>
      <c r="FW34" s="70">
        <v>320.14999999999998</v>
      </c>
      <c r="FX34" s="70">
        <v>319.16000000000003</v>
      </c>
      <c r="FY34" s="70">
        <v>318.17</v>
      </c>
      <c r="FZ34" s="70">
        <v>317.18</v>
      </c>
      <c r="GA34" s="70">
        <v>316.2</v>
      </c>
      <c r="GB34" s="70">
        <v>315.20999999999998</v>
      </c>
      <c r="GC34" s="70">
        <v>314.23</v>
      </c>
      <c r="GD34" s="70">
        <v>313.24</v>
      </c>
      <c r="GE34" s="70">
        <v>312.26</v>
      </c>
      <c r="GF34" s="70">
        <v>311.27999999999997</v>
      </c>
      <c r="GG34" s="70">
        <v>310.29000000000002</v>
      </c>
      <c r="GH34" s="70">
        <v>309.32</v>
      </c>
      <c r="GI34" s="70">
        <v>308.33999999999997</v>
      </c>
      <c r="GJ34" s="70">
        <v>307.35000000000002</v>
      </c>
      <c r="GK34" s="70">
        <v>306.38</v>
      </c>
      <c r="GL34" s="70">
        <v>305.39999999999998</v>
      </c>
      <c r="GM34" s="70">
        <v>304.42</v>
      </c>
      <c r="GN34" s="70">
        <v>303.45</v>
      </c>
      <c r="GO34" s="70">
        <v>302.48</v>
      </c>
      <c r="GP34" s="70">
        <v>301.5</v>
      </c>
      <c r="GQ34" s="70">
        <v>300.52999999999997</v>
      </c>
      <c r="GR34" s="70">
        <v>299.57</v>
      </c>
      <c r="GS34" s="70">
        <v>298.60000000000002</v>
      </c>
      <c r="GT34" s="70">
        <v>297.63</v>
      </c>
      <c r="GU34" s="70">
        <v>296.66000000000003</v>
      </c>
      <c r="GV34" s="70">
        <v>295.7</v>
      </c>
      <c r="GW34" s="70">
        <v>294.73</v>
      </c>
      <c r="GX34" s="70">
        <v>293.76</v>
      </c>
      <c r="GY34" s="70">
        <v>292.79000000000002</v>
      </c>
      <c r="GZ34" s="70">
        <v>291.83999999999997</v>
      </c>
      <c r="HA34" s="70">
        <v>290.88</v>
      </c>
      <c r="HB34" s="70">
        <v>289.92</v>
      </c>
      <c r="HC34" s="70">
        <v>288.95999999999998</v>
      </c>
      <c r="HD34" s="70">
        <v>288</v>
      </c>
      <c r="HE34" s="70">
        <v>287.04000000000002</v>
      </c>
      <c r="HF34" s="70">
        <v>286.07</v>
      </c>
      <c r="HG34" s="70">
        <v>285.13</v>
      </c>
      <c r="HH34" s="70">
        <v>284.17</v>
      </c>
      <c r="HI34" s="70">
        <v>283.22000000000003</v>
      </c>
      <c r="HJ34" s="70">
        <v>282.26</v>
      </c>
      <c r="HK34" s="70">
        <v>281.31</v>
      </c>
      <c r="HL34" s="70">
        <v>280.35000000000002</v>
      </c>
      <c r="HM34" s="70">
        <v>279.42</v>
      </c>
      <c r="HN34" s="70">
        <v>278.48</v>
      </c>
      <c r="HO34" s="70">
        <v>277.52999999999997</v>
      </c>
      <c r="HP34" s="70">
        <v>276.58999999999997</v>
      </c>
      <c r="HQ34" s="70">
        <v>275.64999999999998</v>
      </c>
      <c r="HR34" s="70">
        <v>274.70999999999998</v>
      </c>
      <c r="HS34" s="70">
        <v>273.76</v>
      </c>
      <c r="HT34" s="70">
        <v>272.82</v>
      </c>
      <c r="HU34" s="70">
        <v>271.89999999999998</v>
      </c>
      <c r="HV34" s="70">
        <v>270.95999999999998</v>
      </c>
      <c r="HW34" s="70">
        <v>270.01</v>
      </c>
      <c r="HX34" s="70">
        <v>269.08999999999997</v>
      </c>
      <c r="HY34" s="70">
        <v>268.16000000000003</v>
      </c>
      <c r="HZ34" s="70">
        <v>267.23</v>
      </c>
      <c r="IA34" s="70">
        <v>266.29000000000002</v>
      </c>
      <c r="IB34" s="70">
        <v>265.35000000000002</v>
      </c>
      <c r="IC34" s="70">
        <v>264.44</v>
      </c>
      <c r="ID34" s="70">
        <v>263.51</v>
      </c>
      <c r="IE34" s="70">
        <v>262.57</v>
      </c>
      <c r="IF34" s="70">
        <v>261.64999999999998</v>
      </c>
      <c r="IG34" s="70">
        <v>260.73</v>
      </c>
      <c r="IH34" s="70">
        <v>259.79000000000002</v>
      </c>
      <c r="II34" s="70">
        <v>258.88</v>
      </c>
      <c r="IJ34" s="70">
        <v>257.95</v>
      </c>
      <c r="IK34" s="70">
        <v>257.02999999999997</v>
      </c>
      <c r="IL34" s="70">
        <v>256.10000000000002</v>
      </c>
      <c r="IM34" s="70">
        <v>255.19</v>
      </c>
      <c r="IN34" s="70">
        <v>254.27</v>
      </c>
      <c r="IO34" s="70">
        <v>253.36</v>
      </c>
      <c r="IP34" s="70">
        <v>252.44</v>
      </c>
      <c r="IQ34" s="70">
        <v>251.53</v>
      </c>
      <c r="IR34" s="70">
        <v>250.61</v>
      </c>
      <c r="IS34" s="70">
        <v>249.7</v>
      </c>
      <c r="IT34" s="70">
        <v>248.79</v>
      </c>
      <c r="IU34" s="70">
        <v>247.87</v>
      </c>
      <c r="IV34" s="70">
        <v>246.97</v>
      </c>
      <c r="IW34" s="70">
        <v>246.07</v>
      </c>
      <c r="IX34" s="70">
        <v>245.17</v>
      </c>
      <c r="IY34" s="70">
        <v>244.27</v>
      </c>
      <c r="IZ34" s="70">
        <v>243.38</v>
      </c>
      <c r="JA34" s="70">
        <v>242.48</v>
      </c>
      <c r="JB34" s="70">
        <v>241.59</v>
      </c>
      <c r="JC34" s="70">
        <v>240.69</v>
      </c>
      <c r="JD34" s="70">
        <v>239.8</v>
      </c>
      <c r="JE34" s="70">
        <v>238.9</v>
      </c>
      <c r="JF34" s="70">
        <v>238.01</v>
      </c>
      <c r="JG34" s="70">
        <v>237.12</v>
      </c>
      <c r="JH34" s="70">
        <v>236.23</v>
      </c>
      <c r="JI34" s="70">
        <v>235.35</v>
      </c>
      <c r="JJ34" s="70">
        <v>234.46</v>
      </c>
      <c r="JK34" s="70">
        <v>233.57</v>
      </c>
      <c r="JL34" s="70">
        <v>232.69</v>
      </c>
      <c r="JM34" s="70">
        <v>231.81</v>
      </c>
      <c r="JN34" s="70">
        <v>230.92</v>
      </c>
      <c r="JO34" s="70">
        <v>230.04</v>
      </c>
      <c r="JP34" s="70">
        <v>229.16</v>
      </c>
      <c r="JQ34" s="70">
        <v>228.28</v>
      </c>
      <c r="JR34" s="70">
        <v>227.4</v>
      </c>
      <c r="JS34" s="70">
        <v>226.52</v>
      </c>
      <c r="JT34" s="70">
        <v>225.64</v>
      </c>
      <c r="JU34" s="70">
        <v>224.75</v>
      </c>
      <c r="JV34" s="70">
        <v>223.87</v>
      </c>
      <c r="JW34" s="70">
        <v>222.99</v>
      </c>
      <c r="JX34" s="70">
        <v>222.11</v>
      </c>
      <c r="JY34" s="70">
        <v>221.23</v>
      </c>
      <c r="JZ34" s="70">
        <v>220.35</v>
      </c>
      <c r="KA34" s="70">
        <v>219.48</v>
      </c>
      <c r="KB34" s="70">
        <v>218.6</v>
      </c>
      <c r="KC34" s="70">
        <v>217.72</v>
      </c>
      <c r="KD34" s="70">
        <v>216.85</v>
      </c>
      <c r="KE34" s="70">
        <v>215.97</v>
      </c>
      <c r="KF34" s="70">
        <v>215.1</v>
      </c>
      <c r="KG34" s="70">
        <v>214.23</v>
      </c>
      <c r="KH34" s="70">
        <v>213.36</v>
      </c>
      <c r="KI34" s="70">
        <v>212.49</v>
      </c>
      <c r="KJ34" s="70">
        <v>211.62</v>
      </c>
      <c r="KK34" s="70">
        <v>210.75</v>
      </c>
      <c r="KL34" s="70">
        <v>209.89</v>
      </c>
      <c r="KM34" s="70">
        <v>209.02</v>
      </c>
      <c r="KN34" s="70">
        <v>208.16</v>
      </c>
      <c r="KO34" s="70">
        <v>207.29</v>
      </c>
      <c r="KP34" s="70">
        <v>206.43</v>
      </c>
      <c r="KQ34" s="70">
        <v>205.57</v>
      </c>
      <c r="KR34" s="74">
        <f t="shared" si="22"/>
        <v>205.52</v>
      </c>
      <c r="KS34" s="74">
        <f t="shared" si="22"/>
        <v>204.73</v>
      </c>
      <c r="KT34" s="74">
        <f t="shared" si="22"/>
        <v>203.91</v>
      </c>
      <c r="KU34" s="74">
        <f t="shared" si="22"/>
        <v>203.12</v>
      </c>
      <c r="KV34" s="74">
        <f t="shared" si="22"/>
        <v>202.34</v>
      </c>
      <c r="KW34" s="74">
        <f t="shared" si="22"/>
        <v>201.55</v>
      </c>
      <c r="KX34" s="74">
        <f t="shared" si="22"/>
        <v>200.76</v>
      </c>
      <c r="KY34" s="74">
        <f t="shared" si="22"/>
        <v>199.98</v>
      </c>
      <c r="KZ34" s="74">
        <f t="shared" si="22"/>
        <v>199.19</v>
      </c>
      <c r="LA34" s="74">
        <f t="shared" si="22"/>
        <v>198.41</v>
      </c>
      <c r="LB34" s="74">
        <f t="shared" si="22"/>
        <v>197.63</v>
      </c>
      <c r="LC34" s="74">
        <f t="shared" si="22"/>
        <v>196.85</v>
      </c>
      <c r="LD34" s="74">
        <f t="shared" si="22"/>
        <v>196.07</v>
      </c>
      <c r="LE34" s="74">
        <f t="shared" si="22"/>
        <v>195.29</v>
      </c>
      <c r="LF34" s="74">
        <f t="shared" si="22"/>
        <v>194.52</v>
      </c>
      <c r="LG34" s="74">
        <f t="shared" si="22"/>
        <v>193.75</v>
      </c>
      <c r="LH34" s="74">
        <f t="shared" si="21"/>
        <v>192.97</v>
      </c>
      <c r="LI34" s="74">
        <f t="shared" si="21"/>
        <v>192.2</v>
      </c>
      <c r="LJ34" s="74">
        <f t="shared" si="21"/>
        <v>191.43</v>
      </c>
      <c r="LK34" s="74">
        <f t="shared" si="21"/>
        <v>190.66</v>
      </c>
      <c r="LL34" s="74">
        <f t="shared" si="21"/>
        <v>189.89</v>
      </c>
      <c r="LM34" s="74">
        <f t="shared" si="21"/>
        <v>189.13</v>
      </c>
      <c r="LN34" s="74">
        <f t="shared" si="21"/>
        <v>188.36</v>
      </c>
      <c r="LO34" s="74">
        <f t="shared" si="21"/>
        <v>187.6</v>
      </c>
      <c r="LP34" s="74">
        <f t="shared" si="21"/>
        <v>186.84</v>
      </c>
      <c r="LQ34" s="74">
        <f t="shared" si="21"/>
        <v>186.08</v>
      </c>
      <c r="LR34" s="74">
        <f t="shared" si="21"/>
        <v>185.32</v>
      </c>
      <c r="LS34" s="74">
        <f t="shared" si="21"/>
        <v>184.56</v>
      </c>
      <c r="LT34" s="74">
        <f t="shared" si="21"/>
        <v>183.81</v>
      </c>
      <c r="LU34" s="74">
        <f t="shared" si="21"/>
        <v>183.06</v>
      </c>
      <c r="LV34" s="74">
        <f t="shared" si="21"/>
        <v>182.3</v>
      </c>
      <c r="LW34" s="74">
        <f t="shared" si="21"/>
        <v>181.55</v>
      </c>
      <c r="LX34" s="74">
        <f t="shared" si="23"/>
        <v>180.8</v>
      </c>
      <c r="LY34" s="74">
        <f t="shared" si="23"/>
        <v>180.05</v>
      </c>
      <c r="LZ34" s="74">
        <f t="shared" si="23"/>
        <v>179.31</v>
      </c>
      <c r="MA34" s="74">
        <f t="shared" si="23"/>
        <v>178.56</v>
      </c>
      <c r="MB34" s="74">
        <f t="shared" si="23"/>
        <v>177.82</v>
      </c>
      <c r="MC34" s="74">
        <f t="shared" si="23"/>
        <v>177.08</v>
      </c>
      <c r="MD34" s="76">
        <f t="shared" si="23"/>
        <v>176.34</v>
      </c>
      <c r="ME34" s="77">
        <f t="shared" si="23"/>
        <v>175.61</v>
      </c>
      <c r="MF34" s="77">
        <f t="shared" si="23"/>
        <v>174.87</v>
      </c>
      <c r="MG34" s="77">
        <f t="shared" si="23"/>
        <v>174.14</v>
      </c>
      <c r="MH34" s="77">
        <f t="shared" si="23"/>
        <v>173.4</v>
      </c>
      <c r="MI34" s="77">
        <f t="shared" si="23"/>
        <v>172.67</v>
      </c>
      <c r="MJ34" s="77">
        <f t="shared" si="23"/>
        <v>171.94</v>
      </c>
      <c r="MK34" s="77">
        <f t="shared" si="23"/>
        <v>171.21</v>
      </c>
      <c r="ML34" s="77">
        <f t="shared" si="23"/>
        <v>170.49</v>
      </c>
      <c r="MM34" s="77">
        <f t="shared" si="23"/>
        <v>169.76</v>
      </c>
      <c r="MN34" s="77">
        <f t="shared" si="25"/>
        <v>169.04</v>
      </c>
      <c r="MO34" s="77">
        <f t="shared" si="26"/>
        <v>168.32</v>
      </c>
      <c r="MP34" s="77">
        <f t="shared" si="27"/>
        <v>167.6</v>
      </c>
      <c r="MQ34" s="77">
        <f t="shared" si="24"/>
        <v>166.89</v>
      </c>
      <c r="MR34" s="77">
        <f t="shared" si="24"/>
        <v>166.17</v>
      </c>
      <c r="MS34" s="77">
        <f t="shared" si="24"/>
        <v>165.46</v>
      </c>
      <c r="MT34" s="77">
        <f t="shared" si="24"/>
        <v>164.74</v>
      </c>
      <c r="MU34" s="77">
        <f t="shared" si="24"/>
        <v>164.03</v>
      </c>
      <c r="MV34" s="77">
        <f t="shared" si="24"/>
        <v>163.32</v>
      </c>
      <c r="MW34" s="77">
        <f t="shared" si="24"/>
        <v>162.62</v>
      </c>
      <c r="MX34" s="77">
        <f t="shared" si="24"/>
        <v>161.91</v>
      </c>
      <c r="MY34" s="77">
        <f t="shared" si="24"/>
        <v>161.21</v>
      </c>
    </row>
    <row r="35" spans="1:363" ht="15.6" x14ac:dyDescent="0.3">
      <c r="A35" s="67" t="s">
        <v>6</v>
      </c>
      <c r="B35" s="72">
        <v>2045</v>
      </c>
      <c r="C35" s="70">
        <v>501.62</v>
      </c>
      <c r="D35" s="70">
        <v>500.58</v>
      </c>
      <c r="E35" s="70">
        <v>499.54</v>
      </c>
      <c r="F35" s="70">
        <v>498.51</v>
      </c>
      <c r="G35" s="70">
        <v>497.47</v>
      </c>
      <c r="H35" s="70">
        <v>496.43</v>
      </c>
      <c r="I35" s="70">
        <v>495.4</v>
      </c>
      <c r="J35" s="70">
        <v>494.36</v>
      </c>
      <c r="K35" s="70">
        <v>493.32</v>
      </c>
      <c r="L35" s="70">
        <v>492.29</v>
      </c>
      <c r="M35" s="70">
        <v>491.25</v>
      </c>
      <c r="N35" s="70">
        <v>490.21</v>
      </c>
      <c r="O35" s="70">
        <v>489.18</v>
      </c>
      <c r="P35" s="70">
        <v>488.14</v>
      </c>
      <c r="Q35" s="70">
        <v>487.1</v>
      </c>
      <c r="R35" s="70">
        <v>486.07</v>
      </c>
      <c r="S35" s="70">
        <v>485.03</v>
      </c>
      <c r="T35" s="70">
        <v>483.99</v>
      </c>
      <c r="U35" s="70">
        <v>482.96</v>
      </c>
      <c r="V35" s="70">
        <v>481.92</v>
      </c>
      <c r="W35" s="70">
        <v>480.88</v>
      </c>
      <c r="X35" s="70">
        <v>479.85</v>
      </c>
      <c r="Y35" s="70">
        <v>478.81</v>
      </c>
      <c r="Z35" s="70">
        <v>477.77</v>
      </c>
      <c r="AA35" s="70">
        <v>476.74</v>
      </c>
      <c r="AB35" s="70">
        <v>475.7</v>
      </c>
      <c r="AC35" s="70">
        <v>474.66</v>
      </c>
      <c r="AD35" s="70">
        <v>473.62</v>
      </c>
      <c r="AE35" s="70">
        <v>472.59</v>
      </c>
      <c r="AF35" s="70">
        <v>471.55</v>
      </c>
      <c r="AG35" s="70">
        <v>470.51</v>
      </c>
      <c r="AH35" s="70">
        <v>469.48</v>
      </c>
      <c r="AI35" s="70">
        <v>468.44</v>
      </c>
      <c r="AJ35" s="70">
        <v>467.4</v>
      </c>
      <c r="AK35" s="70">
        <v>466.37</v>
      </c>
      <c r="AL35" s="70">
        <v>465.33</v>
      </c>
      <c r="AM35" s="70">
        <v>464.29</v>
      </c>
      <c r="AN35" s="70">
        <v>463.25</v>
      </c>
      <c r="AO35" s="70">
        <v>462.22</v>
      </c>
      <c r="AP35" s="70">
        <v>461.18</v>
      </c>
      <c r="AQ35" s="70">
        <v>460.14</v>
      </c>
      <c r="AR35" s="70">
        <v>459.11</v>
      </c>
      <c r="AS35" s="70">
        <v>458.07</v>
      </c>
      <c r="AT35" s="70">
        <v>457.03</v>
      </c>
      <c r="AU35" s="70">
        <v>455.99</v>
      </c>
      <c r="AV35" s="70">
        <v>454.96</v>
      </c>
      <c r="AW35" s="70">
        <v>453.92</v>
      </c>
      <c r="AX35" s="70">
        <v>452.88</v>
      </c>
      <c r="AY35" s="70">
        <v>451.85</v>
      </c>
      <c r="AZ35" s="70">
        <v>450.81</v>
      </c>
      <c r="BA35" s="70">
        <v>449.77</v>
      </c>
      <c r="BB35" s="70">
        <v>448.74</v>
      </c>
      <c r="BC35" s="70">
        <v>447.7</v>
      </c>
      <c r="BD35" s="70">
        <v>446.66</v>
      </c>
      <c r="BE35" s="70">
        <v>445.62</v>
      </c>
      <c r="BF35" s="70">
        <v>444.59</v>
      </c>
      <c r="BG35" s="70">
        <v>443.55</v>
      </c>
      <c r="BH35" s="70">
        <v>442.51</v>
      </c>
      <c r="BI35" s="70">
        <v>441.48</v>
      </c>
      <c r="BJ35" s="70">
        <v>440.44</v>
      </c>
      <c r="BK35" s="70">
        <v>439.4</v>
      </c>
      <c r="BL35" s="70">
        <v>438.36</v>
      </c>
      <c r="BM35" s="70">
        <v>437.33</v>
      </c>
      <c r="BN35" s="70">
        <v>436.29</v>
      </c>
      <c r="BO35" s="70">
        <v>435.25</v>
      </c>
      <c r="BP35" s="70">
        <v>434.21</v>
      </c>
      <c r="BQ35" s="70">
        <v>433.18</v>
      </c>
      <c r="BR35" s="70">
        <v>432.14</v>
      </c>
      <c r="BS35" s="70">
        <v>431.1</v>
      </c>
      <c r="BT35" s="70">
        <v>430.06</v>
      </c>
      <c r="BU35" s="70">
        <v>429.03</v>
      </c>
      <c r="BV35" s="70">
        <v>427.99</v>
      </c>
      <c r="BW35" s="70">
        <v>426.96</v>
      </c>
      <c r="BX35" s="70">
        <v>425.92</v>
      </c>
      <c r="BY35" s="70">
        <v>424.88</v>
      </c>
      <c r="BZ35" s="70">
        <v>423.85</v>
      </c>
      <c r="CA35" s="70">
        <v>422.81</v>
      </c>
      <c r="CB35" s="70">
        <v>421.78</v>
      </c>
      <c r="CC35" s="70">
        <v>420.74</v>
      </c>
      <c r="CD35" s="70">
        <v>419.71</v>
      </c>
      <c r="CE35" s="70">
        <v>418.67</v>
      </c>
      <c r="CF35" s="70">
        <v>417.64</v>
      </c>
      <c r="CG35" s="70">
        <v>416.6</v>
      </c>
      <c r="CH35" s="70">
        <v>415.57</v>
      </c>
      <c r="CI35" s="70">
        <v>414.54</v>
      </c>
      <c r="CJ35" s="70">
        <v>413.5</v>
      </c>
      <c r="CK35" s="70">
        <v>412.47</v>
      </c>
      <c r="CL35" s="70">
        <v>411.43</v>
      </c>
      <c r="CM35" s="70">
        <v>410.4</v>
      </c>
      <c r="CN35" s="70">
        <v>409.36</v>
      </c>
      <c r="CO35" s="70">
        <v>408.33</v>
      </c>
      <c r="CP35" s="70">
        <v>407.29</v>
      </c>
      <c r="CQ35" s="70">
        <v>406.26</v>
      </c>
      <c r="CR35" s="70">
        <v>405.22</v>
      </c>
      <c r="CS35" s="70">
        <v>404.19</v>
      </c>
      <c r="CT35" s="70">
        <v>403.16</v>
      </c>
      <c r="CU35" s="70">
        <v>402.12</v>
      </c>
      <c r="CV35" s="70">
        <v>401.09</v>
      </c>
      <c r="CW35" s="70">
        <v>400.06</v>
      </c>
      <c r="CX35" s="70">
        <v>399.03</v>
      </c>
      <c r="CY35" s="70">
        <v>397.99</v>
      </c>
      <c r="CZ35" s="70">
        <v>396.96</v>
      </c>
      <c r="DA35" s="70">
        <v>395.93</v>
      </c>
      <c r="DB35" s="70">
        <v>394.9</v>
      </c>
      <c r="DC35" s="70">
        <v>393.87</v>
      </c>
      <c r="DD35" s="70">
        <v>392.83</v>
      </c>
      <c r="DE35" s="70">
        <v>391.8</v>
      </c>
      <c r="DF35" s="70">
        <v>390.77</v>
      </c>
      <c r="DG35" s="70">
        <v>389.74</v>
      </c>
      <c r="DH35" s="70">
        <v>388.71</v>
      </c>
      <c r="DI35" s="70">
        <v>387.68</v>
      </c>
      <c r="DJ35" s="70">
        <v>386.65</v>
      </c>
      <c r="DK35" s="70">
        <v>385.62</v>
      </c>
      <c r="DL35" s="70">
        <v>384.59</v>
      </c>
      <c r="DM35" s="70">
        <v>383.56</v>
      </c>
      <c r="DN35" s="70">
        <v>382.53</v>
      </c>
      <c r="DO35" s="70">
        <v>381.5</v>
      </c>
      <c r="DP35" s="70">
        <v>380.47</v>
      </c>
      <c r="DQ35" s="70">
        <v>379.44</v>
      </c>
      <c r="DR35" s="70">
        <v>378.42</v>
      </c>
      <c r="DS35" s="70">
        <v>377.39</v>
      </c>
      <c r="DT35" s="70">
        <v>376.36</v>
      </c>
      <c r="DU35" s="70">
        <v>375.34</v>
      </c>
      <c r="DV35" s="70">
        <v>374.31</v>
      </c>
      <c r="DW35" s="70">
        <v>373.29</v>
      </c>
      <c r="DX35" s="70">
        <v>372.27</v>
      </c>
      <c r="DY35" s="70">
        <v>371.24</v>
      </c>
      <c r="DZ35" s="70">
        <v>370.22</v>
      </c>
      <c r="EA35" s="70">
        <v>369.2</v>
      </c>
      <c r="EB35" s="70">
        <v>368.18</v>
      </c>
      <c r="EC35" s="70">
        <v>367.16</v>
      </c>
      <c r="ED35" s="70">
        <v>366.13</v>
      </c>
      <c r="EE35" s="70">
        <v>365.11</v>
      </c>
      <c r="EF35" s="70">
        <v>364.1</v>
      </c>
      <c r="EG35" s="70">
        <v>363.08</v>
      </c>
      <c r="EH35" s="70">
        <v>362.07</v>
      </c>
      <c r="EI35" s="70">
        <v>361.05</v>
      </c>
      <c r="EJ35" s="70">
        <v>360.04</v>
      </c>
      <c r="EK35" s="70">
        <v>359.02</v>
      </c>
      <c r="EL35" s="70">
        <v>358.01</v>
      </c>
      <c r="EM35" s="70">
        <v>357</v>
      </c>
      <c r="EN35" s="70">
        <v>355.98</v>
      </c>
      <c r="EO35" s="70">
        <v>354.97</v>
      </c>
      <c r="EP35" s="70">
        <v>353.96</v>
      </c>
      <c r="EQ35" s="70">
        <v>352.94</v>
      </c>
      <c r="ER35" s="70">
        <v>351.94</v>
      </c>
      <c r="ES35" s="70">
        <v>350.93</v>
      </c>
      <c r="ET35" s="70">
        <v>349.92</v>
      </c>
      <c r="EU35" s="70">
        <v>348.91</v>
      </c>
      <c r="EV35" s="70">
        <v>347.91</v>
      </c>
      <c r="EW35" s="70">
        <v>346.9</v>
      </c>
      <c r="EX35" s="70">
        <v>345.89</v>
      </c>
      <c r="EY35" s="70">
        <v>344.89</v>
      </c>
      <c r="EZ35" s="70">
        <v>343.88</v>
      </c>
      <c r="FA35" s="70">
        <v>342.88</v>
      </c>
      <c r="FB35" s="70">
        <v>341.87</v>
      </c>
      <c r="FC35" s="70">
        <v>340.87</v>
      </c>
      <c r="FD35" s="70">
        <v>339.87</v>
      </c>
      <c r="FE35" s="70">
        <v>338.87</v>
      </c>
      <c r="FF35" s="70">
        <v>337.87</v>
      </c>
      <c r="FG35" s="70">
        <v>336.87</v>
      </c>
      <c r="FH35" s="70">
        <v>335.88</v>
      </c>
      <c r="FI35" s="70">
        <v>334.88</v>
      </c>
      <c r="FJ35" s="70">
        <v>333.88</v>
      </c>
      <c r="FK35" s="70">
        <v>332.88</v>
      </c>
      <c r="FL35" s="70">
        <v>331.89</v>
      </c>
      <c r="FM35" s="70">
        <v>330.89</v>
      </c>
      <c r="FN35" s="70">
        <v>329.9</v>
      </c>
      <c r="FO35" s="70">
        <v>328.9</v>
      </c>
      <c r="FP35" s="70">
        <v>327.91</v>
      </c>
      <c r="FQ35" s="70">
        <v>326.92</v>
      </c>
      <c r="FR35" s="70">
        <v>325.92</v>
      </c>
      <c r="FS35" s="70">
        <v>324.93</v>
      </c>
      <c r="FT35" s="70">
        <v>323.94</v>
      </c>
      <c r="FU35" s="70">
        <v>322.95</v>
      </c>
      <c r="FV35" s="70">
        <v>321.95999999999998</v>
      </c>
      <c r="FW35" s="70">
        <v>320.97000000000003</v>
      </c>
      <c r="FX35" s="70">
        <v>319.98</v>
      </c>
      <c r="FY35" s="70">
        <v>318.99</v>
      </c>
      <c r="FZ35" s="70">
        <v>318.01</v>
      </c>
      <c r="GA35" s="70">
        <v>317.01</v>
      </c>
      <c r="GB35" s="70">
        <v>316.02999999999997</v>
      </c>
      <c r="GC35" s="70">
        <v>315.04000000000002</v>
      </c>
      <c r="GD35" s="70">
        <v>314.06</v>
      </c>
      <c r="GE35" s="70">
        <v>313.07</v>
      </c>
      <c r="GF35" s="70">
        <v>312.10000000000002</v>
      </c>
      <c r="GG35" s="70">
        <v>311.10000000000002</v>
      </c>
      <c r="GH35" s="70">
        <v>310.13</v>
      </c>
      <c r="GI35" s="70">
        <v>309.14999999999998</v>
      </c>
      <c r="GJ35" s="70">
        <v>308.17</v>
      </c>
      <c r="GK35" s="70">
        <v>307.19</v>
      </c>
      <c r="GL35" s="70">
        <v>306.20999999999998</v>
      </c>
      <c r="GM35" s="70">
        <v>305.23</v>
      </c>
      <c r="GN35" s="70">
        <v>304.26</v>
      </c>
      <c r="GO35" s="70">
        <v>303.29000000000002</v>
      </c>
      <c r="GP35" s="70">
        <v>302.31</v>
      </c>
      <c r="GQ35" s="70">
        <v>301.33999999999997</v>
      </c>
      <c r="GR35" s="70">
        <v>300.37</v>
      </c>
      <c r="GS35" s="70">
        <v>299.39999999999998</v>
      </c>
      <c r="GT35" s="70">
        <v>298.44</v>
      </c>
      <c r="GU35" s="70">
        <v>297.47000000000003</v>
      </c>
      <c r="GV35" s="70">
        <v>296.5</v>
      </c>
      <c r="GW35" s="70">
        <v>295.52999999999997</v>
      </c>
      <c r="GX35" s="70">
        <v>294.57</v>
      </c>
      <c r="GY35" s="70">
        <v>293.60000000000002</v>
      </c>
      <c r="GZ35" s="70">
        <v>292.64</v>
      </c>
      <c r="HA35" s="70">
        <v>291.68</v>
      </c>
      <c r="HB35" s="70">
        <v>290.72000000000003</v>
      </c>
      <c r="HC35" s="70">
        <v>289.76</v>
      </c>
      <c r="HD35" s="70">
        <v>288.79000000000002</v>
      </c>
      <c r="HE35" s="70">
        <v>287.83999999999997</v>
      </c>
      <c r="HF35" s="70">
        <v>286.88</v>
      </c>
      <c r="HG35" s="70">
        <v>285.92</v>
      </c>
      <c r="HH35" s="70">
        <v>284.95999999999998</v>
      </c>
      <c r="HI35" s="70">
        <v>284.01</v>
      </c>
      <c r="HJ35" s="70">
        <v>283.04000000000002</v>
      </c>
      <c r="HK35" s="70">
        <v>282.10000000000002</v>
      </c>
      <c r="HL35" s="70">
        <v>281.14999999999998</v>
      </c>
      <c r="HM35" s="70">
        <v>280.20999999999998</v>
      </c>
      <c r="HN35" s="70">
        <v>279.26</v>
      </c>
      <c r="HO35" s="70">
        <v>278.32</v>
      </c>
      <c r="HP35" s="70">
        <v>277.38</v>
      </c>
      <c r="HQ35" s="70">
        <v>276.44</v>
      </c>
      <c r="HR35" s="70">
        <v>275.5</v>
      </c>
      <c r="HS35" s="70">
        <v>274.56</v>
      </c>
      <c r="HT35" s="70">
        <v>273.62</v>
      </c>
      <c r="HU35" s="70">
        <v>272.68</v>
      </c>
      <c r="HV35" s="70">
        <v>271.74</v>
      </c>
      <c r="HW35" s="70">
        <v>270.79000000000002</v>
      </c>
      <c r="HX35" s="70">
        <v>269.87</v>
      </c>
      <c r="HY35" s="70">
        <v>268.93</v>
      </c>
      <c r="HZ35" s="70">
        <v>268</v>
      </c>
      <c r="IA35" s="70">
        <v>267.07</v>
      </c>
      <c r="IB35" s="70">
        <v>266.14</v>
      </c>
      <c r="IC35" s="70">
        <v>265.20999999999998</v>
      </c>
      <c r="ID35" s="70">
        <v>264.27999999999997</v>
      </c>
      <c r="IE35" s="70">
        <v>263.35000000000002</v>
      </c>
      <c r="IF35" s="70">
        <v>262.42</v>
      </c>
      <c r="IG35" s="70">
        <v>261.49</v>
      </c>
      <c r="IH35" s="70">
        <v>260.56</v>
      </c>
      <c r="II35" s="70">
        <v>259.64</v>
      </c>
      <c r="IJ35" s="70">
        <v>258.72000000000003</v>
      </c>
      <c r="IK35" s="70">
        <v>257.79000000000002</v>
      </c>
      <c r="IL35" s="70">
        <v>256.87</v>
      </c>
      <c r="IM35" s="70">
        <v>255.95</v>
      </c>
      <c r="IN35" s="70">
        <v>255.03</v>
      </c>
      <c r="IO35" s="70">
        <v>254.11</v>
      </c>
      <c r="IP35" s="70">
        <v>253.2</v>
      </c>
      <c r="IQ35" s="70">
        <v>252.28</v>
      </c>
      <c r="IR35" s="70">
        <v>251.36</v>
      </c>
      <c r="IS35" s="70">
        <v>250.45</v>
      </c>
      <c r="IT35" s="70">
        <v>249.54</v>
      </c>
      <c r="IU35" s="70">
        <v>248.62</v>
      </c>
      <c r="IV35" s="70">
        <v>247.72</v>
      </c>
      <c r="IW35" s="70">
        <v>246.82</v>
      </c>
      <c r="IX35" s="70">
        <v>245.92</v>
      </c>
      <c r="IY35" s="70">
        <v>245.02</v>
      </c>
      <c r="IZ35" s="70">
        <v>244.12</v>
      </c>
      <c r="JA35" s="70">
        <v>243.22</v>
      </c>
      <c r="JB35" s="70">
        <v>242.32</v>
      </c>
      <c r="JC35" s="70">
        <v>241.43</v>
      </c>
      <c r="JD35" s="70">
        <v>240.53</v>
      </c>
      <c r="JE35" s="70">
        <v>239.64</v>
      </c>
      <c r="JF35" s="70">
        <v>238.75</v>
      </c>
      <c r="JG35" s="70">
        <v>237.86</v>
      </c>
      <c r="JH35" s="70">
        <v>236.97</v>
      </c>
      <c r="JI35" s="70">
        <v>236.08</v>
      </c>
      <c r="JJ35" s="70">
        <v>235.19</v>
      </c>
      <c r="JK35" s="70">
        <v>234.3</v>
      </c>
      <c r="JL35" s="70">
        <v>233.41</v>
      </c>
      <c r="JM35" s="70">
        <v>232.53</v>
      </c>
      <c r="JN35" s="70">
        <v>231.65</v>
      </c>
      <c r="JO35" s="70">
        <v>230.76</v>
      </c>
      <c r="JP35" s="70">
        <v>229.88</v>
      </c>
      <c r="JQ35" s="70">
        <v>229</v>
      </c>
      <c r="JR35" s="70">
        <v>228.12</v>
      </c>
      <c r="JS35" s="70">
        <v>227.24</v>
      </c>
      <c r="JT35" s="70">
        <v>226.35</v>
      </c>
      <c r="JU35" s="70">
        <v>225.47</v>
      </c>
      <c r="JV35" s="70">
        <v>224.58</v>
      </c>
      <c r="JW35" s="70">
        <v>223.7</v>
      </c>
      <c r="JX35" s="70">
        <v>222.82</v>
      </c>
      <c r="JY35" s="70">
        <v>221.94</v>
      </c>
      <c r="JZ35" s="70">
        <v>221.06</v>
      </c>
      <c r="KA35" s="70">
        <v>220.18</v>
      </c>
      <c r="KB35" s="70">
        <v>219.3</v>
      </c>
      <c r="KC35" s="70">
        <v>218.42</v>
      </c>
      <c r="KD35" s="70">
        <v>217.54</v>
      </c>
      <c r="KE35" s="70">
        <v>216.67</v>
      </c>
      <c r="KF35" s="70">
        <v>215.79</v>
      </c>
      <c r="KG35" s="70">
        <v>214.92</v>
      </c>
      <c r="KH35" s="70">
        <v>214.05</v>
      </c>
      <c r="KI35" s="70">
        <v>213.18</v>
      </c>
      <c r="KJ35" s="70">
        <v>212.31</v>
      </c>
      <c r="KK35" s="70">
        <v>211.44</v>
      </c>
      <c r="KL35" s="70">
        <v>210.57</v>
      </c>
      <c r="KM35" s="70">
        <v>209.7</v>
      </c>
      <c r="KN35" s="70">
        <v>208.83</v>
      </c>
      <c r="KO35" s="70">
        <v>207.97</v>
      </c>
      <c r="KP35" s="70">
        <v>207.1</v>
      </c>
      <c r="KQ35" s="70">
        <v>206.24</v>
      </c>
      <c r="KR35" s="74">
        <f t="shared" si="22"/>
        <v>206.27</v>
      </c>
      <c r="KS35" s="74">
        <f t="shared" si="22"/>
        <v>205.48</v>
      </c>
      <c r="KT35" s="74">
        <f t="shared" si="22"/>
        <v>204.66</v>
      </c>
      <c r="KU35" s="74">
        <f t="shared" si="22"/>
        <v>203.87</v>
      </c>
      <c r="KV35" s="74">
        <f t="shared" si="22"/>
        <v>203.09</v>
      </c>
      <c r="KW35" s="74">
        <f t="shared" si="22"/>
        <v>202.3</v>
      </c>
      <c r="KX35" s="74">
        <f t="shared" si="22"/>
        <v>201.51</v>
      </c>
      <c r="KY35" s="74">
        <f t="shared" si="22"/>
        <v>200.73</v>
      </c>
      <c r="KZ35" s="74">
        <f t="shared" si="22"/>
        <v>199.94</v>
      </c>
      <c r="LA35" s="74">
        <f t="shared" si="22"/>
        <v>199.16</v>
      </c>
      <c r="LB35" s="74">
        <f t="shared" si="22"/>
        <v>198.38</v>
      </c>
      <c r="LC35" s="74">
        <f t="shared" si="22"/>
        <v>197.6</v>
      </c>
      <c r="LD35" s="74">
        <f t="shared" si="22"/>
        <v>196.82</v>
      </c>
      <c r="LE35" s="74">
        <f t="shared" si="22"/>
        <v>196.04</v>
      </c>
      <c r="LF35" s="74">
        <f t="shared" si="22"/>
        <v>195.27</v>
      </c>
      <c r="LG35" s="74">
        <f t="shared" si="22"/>
        <v>194.5</v>
      </c>
      <c r="LH35" s="74">
        <f t="shared" si="21"/>
        <v>193.72</v>
      </c>
      <c r="LI35" s="74">
        <f t="shared" si="21"/>
        <v>192.95</v>
      </c>
      <c r="LJ35" s="74">
        <f t="shared" si="21"/>
        <v>192.18</v>
      </c>
      <c r="LK35" s="74">
        <f t="shared" si="21"/>
        <v>191.41</v>
      </c>
      <c r="LL35" s="74">
        <f t="shared" si="21"/>
        <v>190.64</v>
      </c>
      <c r="LM35" s="74">
        <f t="shared" si="21"/>
        <v>189.88</v>
      </c>
      <c r="LN35" s="74">
        <f t="shared" si="21"/>
        <v>189.11</v>
      </c>
      <c r="LO35" s="74">
        <f t="shared" si="21"/>
        <v>188.35</v>
      </c>
      <c r="LP35" s="74">
        <f t="shared" si="21"/>
        <v>187.59</v>
      </c>
      <c r="LQ35" s="74">
        <f t="shared" si="21"/>
        <v>186.83</v>
      </c>
      <c r="LR35" s="74">
        <f t="shared" si="21"/>
        <v>186.07</v>
      </c>
      <c r="LS35" s="74">
        <f t="shared" si="21"/>
        <v>185.31</v>
      </c>
      <c r="LT35" s="74">
        <f t="shared" si="21"/>
        <v>184.56</v>
      </c>
      <c r="LU35" s="74">
        <f t="shared" si="21"/>
        <v>183.81</v>
      </c>
      <c r="LV35" s="74">
        <f t="shared" si="21"/>
        <v>183.05</v>
      </c>
      <c r="LW35" s="74">
        <f t="shared" si="21"/>
        <v>182.3</v>
      </c>
      <c r="LX35" s="74">
        <f t="shared" si="23"/>
        <v>181.55</v>
      </c>
      <c r="LY35" s="74">
        <f t="shared" si="23"/>
        <v>180.8</v>
      </c>
      <c r="LZ35" s="74">
        <f t="shared" si="23"/>
        <v>180.06</v>
      </c>
      <c r="MA35" s="74">
        <f t="shared" si="23"/>
        <v>179.31</v>
      </c>
      <c r="MB35" s="74">
        <f t="shared" si="23"/>
        <v>178.57</v>
      </c>
      <c r="MC35" s="74">
        <f t="shared" si="23"/>
        <v>177.83</v>
      </c>
      <c r="MD35" s="76">
        <f t="shared" si="23"/>
        <v>177.09</v>
      </c>
      <c r="ME35" s="77">
        <f t="shared" si="23"/>
        <v>176.36</v>
      </c>
      <c r="MF35" s="77">
        <f t="shared" si="23"/>
        <v>175.62</v>
      </c>
      <c r="MG35" s="77">
        <f t="shared" si="23"/>
        <v>174.89</v>
      </c>
      <c r="MH35" s="77">
        <f t="shared" si="23"/>
        <v>174.15</v>
      </c>
      <c r="MI35" s="77">
        <f t="shared" si="23"/>
        <v>173.42</v>
      </c>
      <c r="MJ35" s="77">
        <f t="shared" si="23"/>
        <v>172.69</v>
      </c>
      <c r="MK35" s="77">
        <f t="shared" si="23"/>
        <v>171.96</v>
      </c>
      <c r="ML35" s="77">
        <f t="shared" si="23"/>
        <v>171.24</v>
      </c>
      <c r="MM35" s="77">
        <f t="shared" si="23"/>
        <v>170.51</v>
      </c>
      <c r="MN35" s="77">
        <f t="shared" si="25"/>
        <v>169.79</v>
      </c>
      <c r="MO35" s="77">
        <f t="shared" si="26"/>
        <v>169.07</v>
      </c>
      <c r="MP35" s="77">
        <f t="shared" si="27"/>
        <v>168.35</v>
      </c>
      <c r="MQ35" s="77">
        <f t="shared" si="24"/>
        <v>167.64</v>
      </c>
      <c r="MR35" s="77">
        <f t="shared" si="24"/>
        <v>166.92</v>
      </c>
      <c r="MS35" s="77">
        <f t="shared" si="24"/>
        <v>166.21</v>
      </c>
      <c r="MT35" s="77">
        <f t="shared" si="24"/>
        <v>165.49</v>
      </c>
      <c r="MU35" s="77">
        <f t="shared" si="24"/>
        <v>164.78</v>
      </c>
      <c r="MV35" s="77">
        <f t="shared" si="24"/>
        <v>164.07</v>
      </c>
      <c r="MW35" s="77">
        <f t="shared" si="24"/>
        <v>163.37</v>
      </c>
      <c r="MX35" s="77">
        <f t="shared" si="24"/>
        <v>162.66</v>
      </c>
      <c r="MY35" s="77">
        <f t="shared" si="24"/>
        <v>161.96</v>
      </c>
    </row>
    <row r="36" spans="1:363" ht="15.6" x14ac:dyDescent="0.3">
      <c r="A36" s="67" t="s">
        <v>6</v>
      </c>
      <c r="B36" s="72">
        <v>2046</v>
      </c>
      <c r="C36" s="70">
        <v>502.47</v>
      </c>
      <c r="D36" s="70">
        <v>501.44</v>
      </c>
      <c r="E36" s="70">
        <v>500.4</v>
      </c>
      <c r="F36" s="70">
        <v>499.36</v>
      </c>
      <c r="G36" s="70">
        <v>498.33</v>
      </c>
      <c r="H36" s="70">
        <v>497.29</v>
      </c>
      <c r="I36" s="70">
        <v>496.25</v>
      </c>
      <c r="J36" s="70">
        <v>495.22</v>
      </c>
      <c r="K36" s="70">
        <v>494.18</v>
      </c>
      <c r="L36" s="70">
        <v>493.14</v>
      </c>
      <c r="M36" s="70">
        <v>492.11</v>
      </c>
      <c r="N36" s="70">
        <v>491.07</v>
      </c>
      <c r="O36" s="70">
        <v>490.03</v>
      </c>
      <c r="P36" s="70">
        <v>489</v>
      </c>
      <c r="Q36" s="70">
        <v>487.96</v>
      </c>
      <c r="R36" s="70">
        <v>486.92</v>
      </c>
      <c r="S36" s="70">
        <v>485.89</v>
      </c>
      <c r="T36" s="70">
        <v>484.85</v>
      </c>
      <c r="U36" s="70">
        <v>483.81</v>
      </c>
      <c r="V36" s="70">
        <v>482.78</v>
      </c>
      <c r="W36" s="70">
        <v>481.74</v>
      </c>
      <c r="X36" s="70">
        <v>480.7</v>
      </c>
      <c r="Y36" s="70">
        <v>479.67</v>
      </c>
      <c r="Z36" s="70">
        <v>478.63</v>
      </c>
      <c r="AA36" s="70">
        <v>477.59</v>
      </c>
      <c r="AB36" s="70">
        <v>476.56</v>
      </c>
      <c r="AC36" s="70">
        <v>475.52</v>
      </c>
      <c r="AD36" s="70">
        <v>474.48</v>
      </c>
      <c r="AE36" s="70">
        <v>473.44</v>
      </c>
      <c r="AF36" s="70">
        <v>472.41</v>
      </c>
      <c r="AG36" s="70">
        <v>471.37</v>
      </c>
      <c r="AH36" s="70">
        <v>470.33</v>
      </c>
      <c r="AI36" s="70">
        <v>469.3</v>
      </c>
      <c r="AJ36" s="70">
        <v>468.26</v>
      </c>
      <c r="AK36" s="70">
        <v>467.22</v>
      </c>
      <c r="AL36" s="70">
        <v>466.19</v>
      </c>
      <c r="AM36" s="70">
        <v>465.15</v>
      </c>
      <c r="AN36" s="70">
        <v>464.11</v>
      </c>
      <c r="AO36" s="70">
        <v>463.07</v>
      </c>
      <c r="AP36" s="70">
        <v>462.04</v>
      </c>
      <c r="AQ36" s="70">
        <v>461</v>
      </c>
      <c r="AR36" s="70">
        <v>459.96</v>
      </c>
      <c r="AS36" s="70">
        <v>458.93</v>
      </c>
      <c r="AT36" s="70">
        <v>457.89</v>
      </c>
      <c r="AU36" s="70">
        <v>456.85</v>
      </c>
      <c r="AV36" s="70">
        <v>455.82</v>
      </c>
      <c r="AW36" s="70">
        <v>454.78</v>
      </c>
      <c r="AX36" s="70">
        <v>453.74</v>
      </c>
      <c r="AY36" s="70">
        <v>452.7</v>
      </c>
      <c r="AZ36" s="70">
        <v>451.67</v>
      </c>
      <c r="BA36" s="70">
        <v>450.63</v>
      </c>
      <c r="BB36" s="70">
        <v>449.59</v>
      </c>
      <c r="BC36" s="70">
        <v>448.56</v>
      </c>
      <c r="BD36" s="70">
        <v>447.52</v>
      </c>
      <c r="BE36" s="70">
        <v>446.48</v>
      </c>
      <c r="BF36" s="70">
        <v>445.45</v>
      </c>
      <c r="BG36" s="70">
        <v>444.41</v>
      </c>
      <c r="BH36" s="70">
        <v>443.37</v>
      </c>
      <c r="BI36" s="70">
        <v>442.33</v>
      </c>
      <c r="BJ36" s="70">
        <v>441.3</v>
      </c>
      <c r="BK36" s="70">
        <v>440.26</v>
      </c>
      <c r="BL36" s="70">
        <v>439.22</v>
      </c>
      <c r="BM36" s="70">
        <v>438.18</v>
      </c>
      <c r="BN36" s="70">
        <v>437.15</v>
      </c>
      <c r="BO36" s="70">
        <v>436.11</v>
      </c>
      <c r="BP36" s="70">
        <v>435.07</v>
      </c>
      <c r="BQ36" s="70">
        <v>434.03</v>
      </c>
      <c r="BR36" s="70">
        <v>433</v>
      </c>
      <c r="BS36" s="70">
        <v>431.96</v>
      </c>
      <c r="BT36" s="70">
        <v>430.92</v>
      </c>
      <c r="BU36" s="70">
        <v>429.88</v>
      </c>
      <c r="BV36" s="70">
        <v>428.85</v>
      </c>
      <c r="BW36" s="70">
        <v>427.81</v>
      </c>
      <c r="BX36" s="70">
        <v>426.78</v>
      </c>
      <c r="BY36" s="70">
        <v>425.74</v>
      </c>
      <c r="BZ36" s="70">
        <v>424.7</v>
      </c>
      <c r="CA36" s="70">
        <v>423.67</v>
      </c>
      <c r="CB36" s="70">
        <v>422.63</v>
      </c>
      <c r="CC36" s="70">
        <v>421.6</v>
      </c>
      <c r="CD36" s="70">
        <v>420.56</v>
      </c>
      <c r="CE36" s="70">
        <v>419.53</v>
      </c>
      <c r="CF36" s="70">
        <v>418.49</v>
      </c>
      <c r="CG36" s="70">
        <v>417.46</v>
      </c>
      <c r="CH36" s="70">
        <v>416.42</v>
      </c>
      <c r="CI36" s="70">
        <v>415.39</v>
      </c>
      <c r="CJ36" s="70">
        <v>414.36</v>
      </c>
      <c r="CK36" s="70">
        <v>413.32</v>
      </c>
      <c r="CL36" s="70">
        <v>412.29</v>
      </c>
      <c r="CM36" s="70">
        <v>411.25</v>
      </c>
      <c r="CN36" s="70">
        <v>410.22</v>
      </c>
      <c r="CO36" s="70">
        <v>409.18</v>
      </c>
      <c r="CP36" s="70">
        <v>408.15</v>
      </c>
      <c r="CQ36" s="70">
        <v>407.11</v>
      </c>
      <c r="CR36" s="70">
        <v>406.08</v>
      </c>
      <c r="CS36" s="70">
        <v>405.04</v>
      </c>
      <c r="CT36" s="70">
        <v>404.01</v>
      </c>
      <c r="CU36" s="70">
        <v>402.98</v>
      </c>
      <c r="CV36" s="70">
        <v>401.94</v>
      </c>
      <c r="CW36" s="70">
        <v>400.91</v>
      </c>
      <c r="CX36" s="70">
        <v>399.88</v>
      </c>
      <c r="CY36" s="70">
        <v>398.84</v>
      </c>
      <c r="CZ36" s="70">
        <v>397.81</v>
      </c>
      <c r="DA36" s="70">
        <v>396.78</v>
      </c>
      <c r="DB36" s="70">
        <v>395.75</v>
      </c>
      <c r="DC36" s="70">
        <v>394.72</v>
      </c>
      <c r="DD36" s="70">
        <v>393.68</v>
      </c>
      <c r="DE36" s="70">
        <v>392.65</v>
      </c>
      <c r="DF36" s="70">
        <v>391.62</v>
      </c>
      <c r="DG36" s="70">
        <v>390.59</v>
      </c>
      <c r="DH36" s="70">
        <v>389.56</v>
      </c>
      <c r="DI36" s="70">
        <v>388.53</v>
      </c>
      <c r="DJ36" s="70">
        <v>387.5</v>
      </c>
      <c r="DK36" s="70">
        <v>386.47</v>
      </c>
      <c r="DL36" s="70">
        <v>385.44</v>
      </c>
      <c r="DM36" s="70">
        <v>384.41</v>
      </c>
      <c r="DN36" s="70">
        <v>383.38</v>
      </c>
      <c r="DO36" s="70">
        <v>382.35</v>
      </c>
      <c r="DP36" s="70">
        <v>381.32</v>
      </c>
      <c r="DQ36" s="70">
        <v>380.29</v>
      </c>
      <c r="DR36" s="70">
        <v>379.26</v>
      </c>
      <c r="DS36" s="70">
        <v>378.23</v>
      </c>
      <c r="DT36" s="70">
        <v>377.21</v>
      </c>
      <c r="DU36" s="70">
        <v>376.18</v>
      </c>
      <c r="DV36" s="70">
        <v>375.16</v>
      </c>
      <c r="DW36" s="70">
        <v>374.14</v>
      </c>
      <c r="DX36" s="70">
        <v>373.11</v>
      </c>
      <c r="DY36" s="70">
        <v>372.09</v>
      </c>
      <c r="DZ36" s="70">
        <v>371.07</v>
      </c>
      <c r="EA36" s="70">
        <v>370.04</v>
      </c>
      <c r="EB36" s="70">
        <v>369.02</v>
      </c>
      <c r="EC36" s="70">
        <v>368</v>
      </c>
      <c r="ED36" s="70">
        <v>366.98</v>
      </c>
      <c r="EE36" s="70">
        <v>365.96</v>
      </c>
      <c r="EF36" s="70">
        <v>364.94</v>
      </c>
      <c r="EG36" s="70">
        <v>363.92</v>
      </c>
      <c r="EH36" s="70">
        <v>362.91</v>
      </c>
      <c r="EI36" s="70">
        <v>361.89</v>
      </c>
      <c r="EJ36" s="70">
        <v>360.88</v>
      </c>
      <c r="EK36" s="70">
        <v>359.86</v>
      </c>
      <c r="EL36" s="70">
        <v>358.85</v>
      </c>
      <c r="EM36" s="70">
        <v>357.83</v>
      </c>
      <c r="EN36" s="70">
        <v>356.82</v>
      </c>
      <c r="EO36" s="70">
        <v>355.81</v>
      </c>
      <c r="EP36" s="70">
        <v>354.79</v>
      </c>
      <c r="EQ36" s="70">
        <v>353.78</v>
      </c>
      <c r="ER36" s="70">
        <v>352.77</v>
      </c>
      <c r="ES36" s="70">
        <v>351.77</v>
      </c>
      <c r="ET36" s="70">
        <v>350.76</v>
      </c>
      <c r="EU36" s="70">
        <v>349.75</v>
      </c>
      <c r="EV36" s="70">
        <v>348.74</v>
      </c>
      <c r="EW36" s="70">
        <v>347.74</v>
      </c>
      <c r="EX36" s="70">
        <v>346.73</v>
      </c>
      <c r="EY36" s="70">
        <v>345.72</v>
      </c>
      <c r="EZ36" s="70">
        <v>344.72</v>
      </c>
      <c r="FA36" s="70">
        <v>343.71</v>
      </c>
      <c r="FB36" s="70">
        <v>342.7</v>
      </c>
      <c r="FC36" s="70">
        <v>341.7</v>
      </c>
      <c r="FD36" s="70">
        <v>340.7</v>
      </c>
      <c r="FE36" s="70">
        <v>339.7</v>
      </c>
      <c r="FF36" s="70">
        <v>338.7</v>
      </c>
      <c r="FG36" s="70">
        <v>337.7</v>
      </c>
      <c r="FH36" s="70">
        <v>336.7</v>
      </c>
      <c r="FI36" s="70">
        <v>335.71</v>
      </c>
      <c r="FJ36" s="70">
        <v>334.71</v>
      </c>
      <c r="FK36" s="70">
        <v>333.71</v>
      </c>
      <c r="FL36" s="70">
        <v>332.71</v>
      </c>
      <c r="FM36" s="70">
        <v>331.72</v>
      </c>
      <c r="FN36" s="70">
        <v>330.72</v>
      </c>
      <c r="FO36" s="70">
        <v>329.73</v>
      </c>
      <c r="FP36" s="70">
        <v>328.73</v>
      </c>
      <c r="FQ36" s="70">
        <v>327.74</v>
      </c>
      <c r="FR36" s="70">
        <v>326.75</v>
      </c>
      <c r="FS36" s="70">
        <v>325.75</v>
      </c>
      <c r="FT36" s="70">
        <v>324.76</v>
      </c>
      <c r="FU36" s="70">
        <v>323.76</v>
      </c>
      <c r="FV36" s="70">
        <v>322.77999999999997</v>
      </c>
      <c r="FW36" s="70">
        <v>321.79000000000002</v>
      </c>
      <c r="FX36" s="70">
        <v>320.79000000000002</v>
      </c>
      <c r="FY36" s="70">
        <v>319.81</v>
      </c>
      <c r="FZ36" s="70">
        <v>318.82</v>
      </c>
      <c r="GA36" s="70">
        <v>317.82</v>
      </c>
      <c r="GB36" s="70">
        <v>316.85000000000002</v>
      </c>
      <c r="GC36" s="70">
        <v>315.85000000000002</v>
      </c>
      <c r="GD36" s="70">
        <v>314.88</v>
      </c>
      <c r="GE36" s="70">
        <v>313.89</v>
      </c>
      <c r="GF36" s="70">
        <v>312.91000000000003</v>
      </c>
      <c r="GG36" s="70">
        <v>311.93</v>
      </c>
      <c r="GH36" s="70">
        <v>310.94</v>
      </c>
      <c r="GI36" s="70">
        <v>309.95999999999998</v>
      </c>
      <c r="GJ36" s="70">
        <v>308.98</v>
      </c>
      <c r="GK36" s="70">
        <v>308</v>
      </c>
      <c r="GL36" s="70">
        <v>307.01</v>
      </c>
      <c r="GM36" s="70">
        <v>306.04000000000002</v>
      </c>
      <c r="GN36" s="70">
        <v>305.06</v>
      </c>
      <c r="GO36" s="70">
        <v>304.08999999999997</v>
      </c>
      <c r="GP36" s="70">
        <v>303.12</v>
      </c>
      <c r="GQ36" s="70">
        <v>302.14999999999998</v>
      </c>
      <c r="GR36" s="70">
        <v>301.18</v>
      </c>
      <c r="GS36" s="70">
        <v>300.20999999999998</v>
      </c>
      <c r="GT36" s="70">
        <v>299.24</v>
      </c>
      <c r="GU36" s="70">
        <v>298.26</v>
      </c>
      <c r="GV36" s="70">
        <v>297.29000000000002</v>
      </c>
      <c r="GW36" s="70">
        <v>296.32</v>
      </c>
      <c r="GX36" s="70">
        <v>295.37</v>
      </c>
      <c r="GY36" s="70">
        <v>294.39999999999998</v>
      </c>
      <c r="GZ36" s="70">
        <v>293.44</v>
      </c>
      <c r="HA36" s="70">
        <v>292.47000000000003</v>
      </c>
      <c r="HB36" s="70">
        <v>291.51</v>
      </c>
      <c r="HC36" s="70">
        <v>290.54000000000002</v>
      </c>
      <c r="HD36" s="70">
        <v>289.58999999999997</v>
      </c>
      <c r="HE36" s="70">
        <v>288.63</v>
      </c>
      <c r="HF36" s="70">
        <v>287.67</v>
      </c>
      <c r="HG36" s="70">
        <v>286.70999999999998</v>
      </c>
      <c r="HH36" s="70">
        <v>285.75</v>
      </c>
      <c r="HI36" s="70">
        <v>284.79000000000002</v>
      </c>
      <c r="HJ36" s="70">
        <v>283.83999999999997</v>
      </c>
      <c r="HK36" s="70">
        <v>282.89</v>
      </c>
      <c r="HL36" s="70">
        <v>281.94</v>
      </c>
      <c r="HM36" s="70">
        <v>280.99</v>
      </c>
      <c r="HN36" s="70">
        <v>280.04000000000002</v>
      </c>
      <c r="HO36" s="70">
        <v>279.10000000000002</v>
      </c>
      <c r="HP36" s="70">
        <v>278.16000000000003</v>
      </c>
      <c r="HQ36" s="70">
        <v>277.22000000000003</v>
      </c>
      <c r="HR36" s="70">
        <v>276.26</v>
      </c>
      <c r="HS36" s="70">
        <v>275.32</v>
      </c>
      <c r="HT36" s="70">
        <v>274.39</v>
      </c>
      <c r="HU36" s="70">
        <v>273.45</v>
      </c>
      <c r="HV36" s="70">
        <v>272.51</v>
      </c>
      <c r="HW36" s="70">
        <v>271.57</v>
      </c>
      <c r="HX36" s="70">
        <v>270.64</v>
      </c>
      <c r="HY36" s="70">
        <v>269.70999999999998</v>
      </c>
      <c r="HZ36" s="70">
        <v>268.76</v>
      </c>
      <c r="IA36" s="70">
        <v>267.83999999999997</v>
      </c>
      <c r="IB36" s="70">
        <v>266.91000000000003</v>
      </c>
      <c r="IC36" s="70">
        <v>265.97000000000003</v>
      </c>
      <c r="ID36" s="70">
        <v>265.04000000000002</v>
      </c>
      <c r="IE36" s="70">
        <v>264.10000000000002</v>
      </c>
      <c r="IF36" s="70">
        <v>263.18</v>
      </c>
      <c r="IG36" s="70">
        <v>262.25</v>
      </c>
      <c r="IH36" s="70">
        <v>261.32</v>
      </c>
      <c r="II36" s="70">
        <v>260.39999999999998</v>
      </c>
      <c r="IJ36" s="70">
        <v>259.47000000000003</v>
      </c>
      <c r="IK36" s="70">
        <v>258.54000000000002</v>
      </c>
      <c r="IL36" s="70">
        <v>257.63</v>
      </c>
      <c r="IM36" s="70">
        <v>256.70999999999998</v>
      </c>
      <c r="IN36" s="70">
        <v>255.79</v>
      </c>
      <c r="IO36" s="70">
        <v>254.87</v>
      </c>
      <c r="IP36" s="70">
        <v>253.95</v>
      </c>
      <c r="IQ36" s="70">
        <v>253.03</v>
      </c>
      <c r="IR36" s="70">
        <v>252.11</v>
      </c>
      <c r="IS36" s="70">
        <v>251.2</v>
      </c>
      <c r="IT36" s="70">
        <v>250.28</v>
      </c>
      <c r="IU36" s="70">
        <v>249.37</v>
      </c>
      <c r="IV36" s="70">
        <v>248.46</v>
      </c>
      <c r="IW36" s="70">
        <v>247.56</v>
      </c>
      <c r="IX36" s="70">
        <v>246.66</v>
      </c>
      <c r="IY36" s="70">
        <v>245.76</v>
      </c>
      <c r="IZ36" s="70">
        <v>244.86</v>
      </c>
      <c r="JA36" s="70">
        <v>243.96</v>
      </c>
      <c r="JB36" s="70">
        <v>243.06</v>
      </c>
      <c r="JC36" s="70">
        <v>242.16</v>
      </c>
      <c r="JD36" s="70">
        <v>241.27</v>
      </c>
      <c r="JE36" s="70">
        <v>240.37</v>
      </c>
      <c r="JF36" s="70">
        <v>239.48</v>
      </c>
      <c r="JG36" s="70">
        <v>238.58</v>
      </c>
      <c r="JH36" s="70">
        <v>237.69</v>
      </c>
      <c r="JI36" s="70">
        <v>236.8</v>
      </c>
      <c r="JJ36" s="70">
        <v>235.91</v>
      </c>
      <c r="JK36" s="70">
        <v>235.02</v>
      </c>
      <c r="JL36" s="70">
        <v>234.14</v>
      </c>
      <c r="JM36" s="70">
        <v>233.25</v>
      </c>
      <c r="JN36" s="70">
        <v>232.36</v>
      </c>
      <c r="JO36" s="70">
        <v>231.48</v>
      </c>
      <c r="JP36" s="70">
        <v>230.59</v>
      </c>
      <c r="JQ36" s="70">
        <v>229.71</v>
      </c>
      <c r="JR36" s="70">
        <v>228.83</v>
      </c>
      <c r="JS36" s="70">
        <v>227.95</v>
      </c>
      <c r="JT36" s="70">
        <v>227.06</v>
      </c>
      <c r="JU36" s="70">
        <v>226.18</v>
      </c>
      <c r="JV36" s="70">
        <v>225.29</v>
      </c>
      <c r="JW36" s="70">
        <v>224.41</v>
      </c>
      <c r="JX36" s="70">
        <v>223.52</v>
      </c>
      <c r="JY36" s="70">
        <v>222.64</v>
      </c>
      <c r="JZ36" s="70">
        <v>221.76</v>
      </c>
      <c r="KA36" s="70">
        <v>220.88</v>
      </c>
      <c r="KB36" s="70">
        <v>220</v>
      </c>
      <c r="KC36" s="70">
        <v>219.12</v>
      </c>
      <c r="KD36" s="70">
        <v>218.24</v>
      </c>
      <c r="KE36" s="70">
        <v>217.36</v>
      </c>
      <c r="KF36" s="70">
        <v>216.48</v>
      </c>
      <c r="KG36" s="70">
        <v>215.61</v>
      </c>
      <c r="KH36" s="70">
        <v>214.74</v>
      </c>
      <c r="KI36" s="70">
        <v>213.86</v>
      </c>
      <c r="KJ36" s="70">
        <v>212.99</v>
      </c>
      <c r="KK36" s="70">
        <v>212.12</v>
      </c>
      <c r="KL36" s="70">
        <v>211.25</v>
      </c>
      <c r="KM36" s="70">
        <v>210.38</v>
      </c>
      <c r="KN36" s="70">
        <v>209.51</v>
      </c>
      <c r="KO36" s="70">
        <v>208.64</v>
      </c>
      <c r="KP36" s="70">
        <v>207.78</v>
      </c>
      <c r="KQ36" s="70">
        <v>206.91</v>
      </c>
      <c r="KR36" s="74">
        <f t="shared" si="22"/>
        <v>207.02</v>
      </c>
      <c r="KS36" s="74">
        <f t="shared" si="22"/>
        <v>206.23</v>
      </c>
      <c r="KT36" s="74">
        <f t="shared" si="22"/>
        <v>205.41</v>
      </c>
      <c r="KU36" s="74">
        <f t="shared" si="22"/>
        <v>204.62</v>
      </c>
      <c r="KV36" s="74">
        <f t="shared" si="22"/>
        <v>203.84</v>
      </c>
      <c r="KW36" s="74">
        <f t="shared" si="22"/>
        <v>203.05</v>
      </c>
      <c r="KX36" s="74">
        <f t="shared" si="22"/>
        <v>202.26</v>
      </c>
      <c r="KY36" s="74">
        <f t="shared" si="22"/>
        <v>201.48</v>
      </c>
      <c r="KZ36" s="74">
        <f t="shared" si="22"/>
        <v>200.69</v>
      </c>
      <c r="LA36" s="74">
        <f t="shared" si="22"/>
        <v>199.91</v>
      </c>
      <c r="LB36" s="74">
        <f t="shared" si="22"/>
        <v>199.13</v>
      </c>
      <c r="LC36" s="74">
        <f t="shared" si="22"/>
        <v>198.35</v>
      </c>
      <c r="LD36" s="74">
        <f t="shared" si="22"/>
        <v>197.57</v>
      </c>
      <c r="LE36" s="74">
        <f t="shared" si="22"/>
        <v>196.79</v>
      </c>
      <c r="LF36" s="74">
        <f t="shared" si="22"/>
        <v>196.02</v>
      </c>
      <c r="LG36" s="74">
        <f t="shared" si="22"/>
        <v>195.25</v>
      </c>
      <c r="LH36" s="74">
        <f t="shared" si="21"/>
        <v>194.47</v>
      </c>
      <c r="LI36" s="74">
        <f t="shared" si="21"/>
        <v>193.7</v>
      </c>
      <c r="LJ36" s="74">
        <f t="shared" si="21"/>
        <v>192.93</v>
      </c>
      <c r="LK36" s="74">
        <f t="shared" si="21"/>
        <v>192.16</v>
      </c>
      <c r="LL36" s="74">
        <f t="shared" si="21"/>
        <v>191.39</v>
      </c>
      <c r="LM36" s="74">
        <f t="shared" si="21"/>
        <v>190.63</v>
      </c>
      <c r="LN36" s="74">
        <f t="shared" si="21"/>
        <v>189.86</v>
      </c>
      <c r="LO36" s="74">
        <f t="shared" si="21"/>
        <v>189.1</v>
      </c>
      <c r="LP36" s="74">
        <f t="shared" si="21"/>
        <v>188.34</v>
      </c>
      <c r="LQ36" s="74">
        <f t="shared" si="21"/>
        <v>187.58</v>
      </c>
      <c r="LR36" s="74">
        <f t="shared" si="21"/>
        <v>186.82</v>
      </c>
      <c r="LS36" s="74">
        <f t="shared" si="21"/>
        <v>186.06</v>
      </c>
      <c r="LT36" s="74">
        <f t="shared" si="21"/>
        <v>185.31</v>
      </c>
      <c r="LU36" s="74">
        <f t="shared" si="21"/>
        <v>184.56</v>
      </c>
      <c r="LV36" s="74">
        <f t="shared" si="21"/>
        <v>183.8</v>
      </c>
      <c r="LW36" s="74">
        <f t="shared" si="21"/>
        <v>183.05</v>
      </c>
      <c r="LX36" s="74">
        <f t="shared" si="23"/>
        <v>182.3</v>
      </c>
      <c r="LY36" s="74">
        <f t="shared" si="23"/>
        <v>181.55</v>
      </c>
      <c r="LZ36" s="74">
        <f t="shared" si="23"/>
        <v>180.81</v>
      </c>
      <c r="MA36" s="74">
        <f t="shared" si="23"/>
        <v>180.06</v>
      </c>
      <c r="MB36" s="74">
        <f t="shared" si="23"/>
        <v>179.32</v>
      </c>
      <c r="MC36" s="74">
        <f t="shared" si="23"/>
        <v>178.58</v>
      </c>
      <c r="MD36" s="76">
        <f t="shared" si="23"/>
        <v>177.84</v>
      </c>
      <c r="ME36" s="77">
        <f t="shared" si="23"/>
        <v>177.11</v>
      </c>
      <c r="MF36" s="77">
        <f t="shared" si="23"/>
        <v>176.37</v>
      </c>
      <c r="MG36" s="77">
        <f t="shared" si="23"/>
        <v>175.64</v>
      </c>
      <c r="MH36" s="77">
        <f t="shared" si="23"/>
        <v>174.9</v>
      </c>
      <c r="MI36" s="77">
        <f t="shared" si="23"/>
        <v>174.17</v>
      </c>
      <c r="MJ36" s="77">
        <f t="shared" si="23"/>
        <v>173.44</v>
      </c>
      <c r="MK36" s="77">
        <f t="shared" si="23"/>
        <v>172.71</v>
      </c>
      <c r="ML36" s="77">
        <f t="shared" si="23"/>
        <v>171.99</v>
      </c>
      <c r="MM36" s="77">
        <f t="shared" si="23"/>
        <v>171.26</v>
      </c>
      <c r="MN36" s="77">
        <f t="shared" si="25"/>
        <v>170.54</v>
      </c>
      <c r="MO36" s="77">
        <f t="shared" si="26"/>
        <v>169.82</v>
      </c>
      <c r="MP36" s="77">
        <f t="shared" si="27"/>
        <v>169.1</v>
      </c>
      <c r="MQ36" s="77">
        <f t="shared" si="24"/>
        <v>168.39</v>
      </c>
      <c r="MR36" s="77">
        <f t="shared" si="24"/>
        <v>167.67</v>
      </c>
      <c r="MS36" s="77">
        <f t="shared" si="24"/>
        <v>166.96</v>
      </c>
      <c r="MT36" s="77">
        <f t="shared" si="24"/>
        <v>166.24</v>
      </c>
      <c r="MU36" s="77">
        <f t="shared" si="24"/>
        <v>165.53</v>
      </c>
      <c r="MV36" s="77">
        <f t="shared" si="24"/>
        <v>164.82</v>
      </c>
      <c r="MW36" s="77">
        <f t="shared" si="24"/>
        <v>164.12</v>
      </c>
      <c r="MX36" s="77">
        <f t="shared" si="24"/>
        <v>163.41</v>
      </c>
      <c r="MY36" s="77">
        <f t="shared" si="24"/>
        <v>162.71</v>
      </c>
    </row>
    <row r="37" spans="1:363" ht="15.6" x14ac:dyDescent="0.3">
      <c r="A37" s="67" t="s">
        <v>6</v>
      </c>
      <c r="B37" s="72">
        <v>2047</v>
      </c>
      <c r="C37" s="70">
        <v>503.32</v>
      </c>
      <c r="D37" s="70">
        <v>502.28</v>
      </c>
      <c r="E37" s="70">
        <v>501.25</v>
      </c>
      <c r="F37" s="70">
        <v>500.21</v>
      </c>
      <c r="G37" s="70">
        <v>499.17</v>
      </c>
      <c r="H37" s="70">
        <v>498.14</v>
      </c>
      <c r="I37" s="70">
        <v>497.1</v>
      </c>
      <c r="J37" s="70">
        <v>496.07</v>
      </c>
      <c r="K37" s="70">
        <v>495.03</v>
      </c>
      <c r="L37" s="70">
        <v>493.99</v>
      </c>
      <c r="M37" s="70">
        <v>492.96</v>
      </c>
      <c r="N37" s="70">
        <v>491.92</v>
      </c>
      <c r="O37" s="70">
        <v>490.88</v>
      </c>
      <c r="P37" s="70">
        <v>489.85</v>
      </c>
      <c r="Q37" s="70">
        <v>488.81</v>
      </c>
      <c r="R37" s="70">
        <v>487.77</v>
      </c>
      <c r="S37" s="70">
        <v>486.74</v>
      </c>
      <c r="T37" s="70">
        <v>485.7</v>
      </c>
      <c r="U37" s="70">
        <v>484.66</v>
      </c>
      <c r="V37" s="70">
        <v>483.63</v>
      </c>
      <c r="W37" s="70">
        <v>482.59</v>
      </c>
      <c r="X37" s="70">
        <v>481.55</v>
      </c>
      <c r="Y37" s="70">
        <v>480.52</v>
      </c>
      <c r="Z37" s="70">
        <v>479.48</v>
      </c>
      <c r="AA37" s="70">
        <v>478.44</v>
      </c>
      <c r="AB37" s="70">
        <v>477.41</v>
      </c>
      <c r="AC37" s="70">
        <v>476.37</v>
      </c>
      <c r="AD37" s="70">
        <v>475.33</v>
      </c>
      <c r="AE37" s="70">
        <v>474.3</v>
      </c>
      <c r="AF37" s="70">
        <v>473.26</v>
      </c>
      <c r="AG37" s="70">
        <v>472.22</v>
      </c>
      <c r="AH37" s="70">
        <v>471.18</v>
      </c>
      <c r="AI37" s="70">
        <v>470.15</v>
      </c>
      <c r="AJ37" s="70">
        <v>469.11</v>
      </c>
      <c r="AK37" s="70">
        <v>468.07</v>
      </c>
      <c r="AL37" s="70">
        <v>467.04</v>
      </c>
      <c r="AM37" s="70">
        <v>466</v>
      </c>
      <c r="AN37" s="70">
        <v>464.96</v>
      </c>
      <c r="AO37" s="70">
        <v>463.93</v>
      </c>
      <c r="AP37" s="70">
        <v>462.89</v>
      </c>
      <c r="AQ37" s="70">
        <v>461.85</v>
      </c>
      <c r="AR37" s="70">
        <v>460.81</v>
      </c>
      <c r="AS37" s="70">
        <v>459.78</v>
      </c>
      <c r="AT37" s="70">
        <v>458.74</v>
      </c>
      <c r="AU37" s="70">
        <v>457.7</v>
      </c>
      <c r="AV37" s="70">
        <v>456.67</v>
      </c>
      <c r="AW37" s="70">
        <v>455.63</v>
      </c>
      <c r="AX37" s="70">
        <v>454.59</v>
      </c>
      <c r="AY37" s="70">
        <v>453.56</v>
      </c>
      <c r="AZ37" s="70">
        <v>452.52</v>
      </c>
      <c r="BA37" s="70">
        <v>451.48</v>
      </c>
      <c r="BB37" s="70">
        <v>450.44</v>
      </c>
      <c r="BC37" s="70">
        <v>449.41</v>
      </c>
      <c r="BD37" s="70">
        <v>448.37</v>
      </c>
      <c r="BE37" s="70">
        <v>447.33</v>
      </c>
      <c r="BF37" s="70">
        <v>446.3</v>
      </c>
      <c r="BG37" s="70">
        <v>445.26</v>
      </c>
      <c r="BH37" s="70">
        <v>444.22</v>
      </c>
      <c r="BI37" s="70">
        <v>443.18</v>
      </c>
      <c r="BJ37" s="70">
        <v>442.15</v>
      </c>
      <c r="BK37" s="70">
        <v>441.11</v>
      </c>
      <c r="BL37" s="70">
        <v>440.07</v>
      </c>
      <c r="BM37" s="70">
        <v>439.03</v>
      </c>
      <c r="BN37" s="70">
        <v>438</v>
      </c>
      <c r="BO37" s="70">
        <v>436.96</v>
      </c>
      <c r="BP37" s="70">
        <v>435.92</v>
      </c>
      <c r="BQ37" s="70">
        <v>434.88</v>
      </c>
      <c r="BR37" s="70">
        <v>433.85</v>
      </c>
      <c r="BS37" s="70">
        <v>432.81</v>
      </c>
      <c r="BT37" s="70">
        <v>431.77</v>
      </c>
      <c r="BU37" s="70">
        <v>430.74</v>
      </c>
      <c r="BV37" s="70">
        <v>429.7</v>
      </c>
      <c r="BW37" s="70">
        <v>428.66</v>
      </c>
      <c r="BX37" s="70">
        <v>427.63</v>
      </c>
      <c r="BY37" s="70">
        <v>426.59</v>
      </c>
      <c r="BZ37" s="70">
        <v>425.55</v>
      </c>
      <c r="CA37" s="70">
        <v>424.52</v>
      </c>
      <c r="CB37" s="70">
        <v>423.48</v>
      </c>
      <c r="CC37" s="70">
        <v>422.45</v>
      </c>
      <c r="CD37" s="70">
        <v>421.41</v>
      </c>
      <c r="CE37" s="70">
        <v>420.38</v>
      </c>
      <c r="CF37" s="70">
        <v>419.34</v>
      </c>
      <c r="CG37" s="70">
        <v>418.31</v>
      </c>
      <c r="CH37" s="70">
        <v>417.27</v>
      </c>
      <c r="CI37" s="70">
        <v>416.24</v>
      </c>
      <c r="CJ37" s="70">
        <v>415.2</v>
      </c>
      <c r="CK37" s="70">
        <v>414.17</v>
      </c>
      <c r="CL37" s="70">
        <v>413.13</v>
      </c>
      <c r="CM37" s="70">
        <v>412.1</v>
      </c>
      <c r="CN37" s="70">
        <v>411.06</v>
      </c>
      <c r="CO37" s="70">
        <v>410.03</v>
      </c>
      <c r="CP37" s="70">
        <v>409</v>
      </c>
      <c r="CQ37" s="70">
        <v>407.96</v>
      </c>
      <c r="CR37" s="70">
        <v>406.93</v>
      </c>
      <c r="CS37" s="70">
        <v>405.89</v>
      </c>
      <c r="CT37" s="70">
        <v>404.86</v>
      </c>
      <c r="CU37" s="70">
        <v>403.82</v>
      </c>
      <c r="CV37" s="70">
        <v>402.79</v>
      </c>
      <c r="CW37" s="70">
        <v>401.76</v>
      </c>
      <c r="CX37" s="70">
        <v>400.72</v>
      </c>
      <c r="CY37" s="70">
        <v>399.69</v>
      </c>
      <c r="CZ37" s="70">
        <v>398.66</v>
      </c>
      <c r="DA37" s="70">
        <v>397.63</v>
      </c>
      <c r="DB37" s="70">
        <v>396.59</v>
      </c>
      <c r="DC37" s="70">
        <v>395.56</v>
      </c>
      <c r="DD37" s="70">
        <v>394.53</v>
      </c>
      <c r="DE37" s="70">
        <v>393.5</v>
      </c>
      <c r="DF37" s="70">
        <v>392.47</v>
      </c>
      <c r="DG37" s="70">
        <v>391.43</v>
      </c>
      <c r="DH37" s="70">
        <v>390.4</v>
      </c>
      <c r="DI37" s="70">
        <v>389.37</v>
      </c>
      <c r="DJ37" s="70">
        <v>388.34</v>
      </c>
      <c r="DK37" s="70">
        <v>387.31</v>
      </c>
      <c r="DL37" s="70">
        <v>386.28</v>
      </c>
      <c r="DM37" s="70">
        <v>385.25</v>
      </c>
      <c r="DN37" s="70">
        <v>384.22</v>
      </c>
      <c r="DO37" s="70">
        <v>383.19</v>
      </c>
      <c r="DP37" s="70">
        <v>382.16</v>
      </c>
      <c r="DQ37" s="70">
        <v>381.13</v>
      </c>
      <c r="DR37" s="70">
        <v>380.1</v>
      </c>
      <c r="DS37" s="70">
        <v>379.08</v>
      </c>
      <c r="DT37" s="70">
        <v>378.05</v>
      </c>
      <c r="DU37" s="70">
        <v>377.02</v>
      </c>
      <c r="DV37" s="70">
        <v>376</v>
      </c>
      <c r="DW37" s="70">
        <v>374.98</v>
      </c>
      <c r="DX37" s="70">
        <v>373.95</v>
      </c>
      <c r="DY37" s="70">
        <v>372.93</v>
      </c>
      <c r="DZ37" s="70">
        <v>371.9</v>
      </c>
      <c r="EA37" s="70">
        <v>370.88</v>
      </c>
      <c r="EB37" s="70">
        <v>369.86</v>
      </c>
      <c r="EC37" s="70">
        <v>368.84</v>
      </c>
      <c r="ED37" s="70">
        <v>367.81</v>
      </c>
      <c r="EE37" s="70">
        <v>366.79</v>
      </c>
      <c r="EF37" s="70">
        <v>365.78</v>
      </c>
      <c r="EG37" s="70">
        <v>364.76</v>
      </c>
      <c r="EH37" s="70">
        <v>363.74</v>
      </c>
      <c r="EI37" s="70">
        <v>362.73</v>
      </c>
      <c r="EJ37" s="70">
        <v>361.71</v>
      </c>
      <c r="EK37" s="70">
        <v>360.7</v>
      </c>
      <c r="EL37" s="70">
        <v>359.68</v>
      </c>
      <c r="EM37" s="70">
        <v>358.67</v>
      </c>
      <c r="EN37" s="70">
        <v>357.65</v>
      </c>
      <c r="EO37" s="70">
        <v>356.64</v>
      </c>
      <c r="EP37" s="70">
        <v>355.63</v>
      </c>
      <c r="EQ37" s="70">
        <v>354.61</v>
      </c>
      <c r="ER37" s="70">
        <v>353.6</v>
      </c>
      <c r="ES37" s="70">
        <v>352.6</v>
      </c>
      <c r="ET37" s="70">
        <v>351.59</v>
      </c>
      <c r="EU37" s="70">
        <v>350.58</v>
      </c>
      <c r="EV37" s="70">
        <v>349.57</v>
      </c>
      <c r="EW37" s="70">
        <v>348.56</v>
      </c>
      <c r="EX37" s="70">
        <v>347.56</v>
      </c>
      <c r="EY37" s="70">
        <v>346.55</v>
      </c>
      <c r="EZ37" s="70">
        <v>345.54</v>
      </c>
      <c r="FA37" s="70">
        <v>344.54</v>
      </c>
      <c r="FB37" s="70">
        <v>343.53</v>
      </c>
      <c r="FC37" s="70">
        <v>342.53</v>
      </c>
      <c r="FD37" s="70">
        <v>341.53</v>
      </c>
      <c r="FE37" s="70">
        <v>340.52</v>
      </c>
      <c r="FF37" s="70">
        <v>339.53</v>
      </c>
      <c r="FG37" s="70">
        <v>338.53</v>
      </c>
      <c r="FH37" s="70">
        <v>337.53</v>
      </c>
      <c r="FI37" s="70">
        <v>336.53</v>
      </c>
      <c r="FJ37" s="70">
        <v>335.53</v>
      </c>
      <c r="FK37" s="70">
        <v>334.53</v>
      </c>
      <c r="FL37" s="70">
        <v>333.53</v>
      </c>
      <c r="FM37" s="70">
        <v>332.54</v>
      </c>
      <c r="FN37" s="70">
        <v>331.54</v>
      </c>
      <c r="FO37" s="70">
        <v>330.55</v>
      </c>
      <c r="FP37" s="70">
        <v>329.55</v>
      </c>
      <c r="FQ37" s="70">
        <v>328.56</v>
      </c>
      <c r="FR37" s="70">
        <v>327.56</v>
      </c>
      <c r="FS37" s="70">
        <v>326.57</v>
      </c>
      <c r="FT37" s="70">
        <v>325.57</v>
      </c>
      <c r="FU37" s="70">
        <v>324.58999999999997</v>
      </c>
      <c r="FV37" s="70">
        <v>323.60000000000002</v>
      </c>
      <c r="FW37" s="70">
        <v>322.60000000000002</v>
      </c>
      <c r="FX37" s="70">
        <v>321.60000000000002</v>
      </c>
      <c r="FY37" s="70">
        <v>320.62</v>
      </c>
      <c r="FZ37" s="70">
        <v>319.64</v>
      </c>
      <c r="GA37" s="70">
        <v>318.64999999999998</v>
      </c>
      <c r="GB37" s="70">
        <v>317.66000000000003</v>
      </c>
      <c r="GC37" s="70">
        <v>316.67</v>
      </c>
      <c r="GD37" s="70">
        <v>315.69</v>
      </c>
      <c r="GE37" s="70">
        <v>314.7</v>
      </c>
      <c r="GF37" s="70">
        <v>313.72000000000003</v>
      </c>
      <c r="GG37" s="70">
        <v>312.73</v>
      </c>
      <c r="GH37" s="70">
        <v>311.75</v>
      </c>
      <c r="GI37" s="70">
        <v>310.76</v>
      </c>
      <c r="GJ37" s="70">
        <v>309.77999999999997</v>
      </c>
      <c r="GK37" s="70">
        <v>308.79000000000002</v>
      </c>
      <c r="GL37" s="70">
        <v>307.82</v>
      </c>
      <c r="GM37" s="70">
        <v>306.83999999999997</v>
      </c>
      <c r="GN37" s="70">
        <v>305.87</v>
      </c>
      <c r="GO37" s="70">
        <v>304.89</v>
      </c>
      <c r="GP37" s="70">
        <v>303.92</v>
      </c>
      <c r="GQ37" s="70">
        <v>302.95</v>
      </c>
      <c r="GR37" s="70">
        <v>301.98</v>
      </c>
      <c r="GS37" s="70">
        <v>301.01</v>
      </c>
      <c r="GT37" s="70">
        <v>300.02999999999997</v>
      </c>
      <c r="GU37" s="70">
        <v>299.07</v>
      </c>
      <c r="GV37" s="70">
        <v>298.10000000000002</v>
      </c>
      <c r="GW37" s="70">
        <v>297.13</v>
      </c>
      <c r="GX37" s="70">
        <v>296.16000000000003</v>
      </c>
      <c r="GY37" s="70">
        <v>295.19</v>
      </c>
      <c r="GZ37" s="70">
        <v>294.23</v>
      </c>
      <c r="HA37" s="70">
        <v>293.26</v>
      </c>
      <c r="HB37" s="70">
        <v>292.29000000000002</v>
      </c>
      <c r="HC37" s="70">
        <v>291.33999999999997</v>
      </c>
      <c r="HD37" s="70">
        <v>290.38</v>
      </c>
      <c r="HE37" s="70">
        <v>289.42</v>
      </c>
      <c r="HF37" s="70">
        <v>288.45999999999998</v>
      </c>
      <c r="HG37" s="70">
        <v>287.5</v>
      </c>
      <c r="HH37" s="70">
        <v>286.54000000000002</v>
      </c>
      <c r="HI37" s="70">
        <v>285.57</v>
      </c>
      <c r="HJ37" s="70">
        <v>284.62</v>
      </c>
      <c r="HK37" s="70">
        <v>283.67</v>
      </c>
      <c r="HL37" s="70">
        <v>282.72000000000003</v>
      </c>
      <c r="HM37" s="70">
        <v>281.76</v>
      </c>
      <c r="HN37" s="70">
        <v>280.82</v>
      </c>
      <c r="HO37" s="70">
        <v>279.88</v>
      </c>
      <c r="HP37" s="70">
        <v>278.94</v>
      </c>
      <c r="HQ37" s="70">
        <v>277.99</v>
      </c>
      <c r="HR37" s="70">
        <v>277.04000000000002</v>
      </c>
      <c r="HS37" s="70">
        <v>276.10000000000002</v>
      </c>
      <c r="HT37" s="70">
        <v>275.17</v>
      </c>
      <c r="HU37" s="70">
        <v>274.22000000000003</v>
      </c>
      <c r="HV37" s="70">
        <v>273.29000000000002</v>
      </c>
      <c r="HW37" s="70">
        <v>272.35000000000002</v>
      </c>
      <c r="HX37" s="70">
        <v>271.41000000000003</v>
      </c>
      <c r="HY37" s="70">
        <v>270.47000000000003</v>
      </c>
      <c r="HZ37" s="70">
        <v>269.54000000000002</v>
      </c>
      <c r="IA37" s="70">
        <v>268.60000000000002</v>
      </c>
      <c r="IB37" s="70">
        <v>267.67</v>
      </c>
      <c r="IC37" s="70">
        <v>266.74</v>
      </c>
      <c r="ID37" s="70">
        <v>265.79000000000002</v>
      </c>
      <c r="IE37" s="70">
        <v>264.87</v>
      </c>
      <c r="IF37" s="70">
        <v>263.94</v>
      </c>
      <c r="IG37" s="70">
        <v>263.01</v>
      </c>
      <c r="IH37" s="70">
        <v>262.07</v>
      </c>
      <c r="II37" s="70">
        <v>261.16000000000003</v>
      </c>
      <c r="IJ37" s="70">
        <v>260.23</v>
      </c>
      <c r="IK37" s="70">
        <v>259.29000000000002</v>
      </c>
      <c r="IL37" s="70">
        <v>258.38</v>
      </c>
      <c r="IM37" s="70">
        <v>257.45999999999998</v>
      </c>
      <c r="IN37" s="70">
        <v>256.54000000000002</v>
      </c>
      <c r="IO37" s="70">
        <v>255.61</v>
      </c>
      <c r="IP37" s="70">
        <v>254.69</v>
      </c>
      <c r="IQ37" s="70">
        <v>253.78</v>
      </c>
      <c r="IR37" s="70">
        <v>252.86</v>
      </c>
      <c r="IS37" s="70">
        <v>251.94</v>
      </c>
      <c r="IT37" s="70">
        <v>251.02</v>
      </c>
      <c r="IU37" s="70">
        <v>250.11</v>
      </c>
      <c r="IV37" s="70">
        <v>249.2</v>
      </c>
      <c r="IW37" s="70">
        <v>248.3</v>
      </c>
      <c r="IX37" s="70">
        <v>247.4</v>
      </c>
      <c r="IY37" s="70">
        <v>246.49</v>
      </c>
      <c r="IZ37" s="70">
        <v>245.59</v>
      </c>
      <c r="JA37" s="70">
        <v>244.69</v>
      </c>
      <c r="JB37" s="70">
        <v>243.79</v>
      </c>
      <c r="JC37" s="70">
        <v>242.89</v>
      </c>
      <c r="JD37" s="70">
        <v>242</v>
      </c>
      <c r="JE37" s="70">
        <v>241.1</v>
      </c>
      <c r="JF37" s="70">
        <v>240.2</v>
      </c>
      <c r="JG37" s="70">
        <v>239.31</v>
      </c>
      <c r="JH37" s="70">
        <v>238.42</v>
      </c>
      <c r="JI37" s="70">
        <v>237.52</v>
      </c>
      <c r="JJ37" s="70">
        <v>236.63</v>
      </c>
      <c r="JK37" s="70">
        <v>235.74</v>
      </c>
      <c r="JL37" s="70">
        <v>234.85</v>
      </c>
      <c r="JM37" s="70">
        <v>233.97</v>
      </c>
      <c r="JN37" s="70">
        <v>233.08</v>
      </c>
      <c r="JO37" s="70">
        <v>232.19</v>
      </c>
      <c r="JP37" s="70">
        <v>231.31</v>
      </c>
      <c r="JQ37" s="70">
        <v>230.42</v>
      </c>
      <c r="JR37" s="70">
        <v>229.54</v>
      </c>
      <c r="JS37" s="70">
        <v>228.66</v>
      </c>
      <c r="JT37" s="70">
        <v>227.77</v>
      </c>
      <c r="JU37" s="70">
        <v>226.88</v>
      </c>
      <c r="JV37" s="70">
        <v>225.99</v>
      </c>
      <c r="JW37" s="70">
        <v>225.11</v>
      </c>
      <c r="JX37" s="70">
        <v>224.22</v>
      </c>
      <c r="JY37" s="70">
        <v>223.34</v>
      </c>
      <c r="JZ37" s="70">
        <v>222.45</v>
      </c>
      <c r="KA37" s="70">
        <v>221.57</v>
      </c>
      <c r="KB37" s="70">
        <v>220.69</v>
      </c>
      <c r="KC37" s="70">
        <v>219.81</v>
      </c>
      <c r="KD37" s="70">
        <v>218.93</v>
      </c>
      <c r="KE37" s="70">
        <v>218.05</v>
      </c>
      <c r="KF37" s="70">
        <v>217.17</v>
      </c>
      <c r="KG37" s="70">
        <v>216.3</v>
      </c>
      <c r="KH37" s="70">
        <v>215.42</v>
      </c>
      <c r="KI37" s="70">
        <v>214.54</v>
      </c>
      <c r="KJ37" s="70">
        <v>213.67</v>
      </c>
      <c r="KK37" s="70">
        <v>212.8</v>
      </c>
      <c r="KL37" s="70">
        <v>211.92</v>
      </c>
      <c r="KM37" s="70">
        <v>211.05</v>
      </c>
      <c r="KN37" s="70">
        <v>210.18</v>
      </c>
      <c r="KO37" s="70">
        <v>209.31</v>
      </c>
      <c r="KP37" s="70">
        <v>208.45</v>
      </c>
      <c r="KQ37" s="70">
        <v>207.58</v>
      </c>
      <c r="KR37" s="74">
        <f t="shared" si="22"/>
        <v>207.77</v>
      </c>
      <c r="KS37" s="74">
        <f t="shared" si="22"/>
        <v>206.98</v>
      </c>
      <c r="KT37" s="74">
        <f t="shared" si="22"/>
        <v>206.16</v>
      </c>
      <c r="KU37" s="74">
        <f t="shared" si="22"/>
        <v>205.37</v>
      </c>
      <c r="KV37" s="74">
        <f t="shared" si="22"/>
        <v>204.59</v>
      </c>
      <c r="KW37" s="74">
        <f t="shared" si="22"/>
        <v>203.8</v>
      </c>
      <c r="KX37" s="74">
        <f t="shared" si="22"/>
        <v>203.01</v>
      </c>
      <c r="KY37" s="74">
        <f t="shared" si="22"/>
        <v>202.23</v>
      </c>
      <c r="KZ37" s="74">
        <f t="shared" si="22"/>
        <v>201.44</v>
      </c>
      <c r="LA37" s="74">
        <f t="shared" si="22"/>
        <v>200.66</v>
      </c>
      <c r="LB37" s="74">
        <f t="shared" si="22"/>
        <v>199.88</v>
      </c>
      <c r="LC37" s="74">
        <f t="shared" si="22"/>
        <v>199.1</v>
      </c>
      <c r="LD37" s="74">
        <f t="shared" si="22"/>
        <v>198.32</v>
      </c>
      <c r="LE37" s="74">
        <f t="shared" si="22"/>
        <v>197.54</v>
      </c>
      <c r="LF37" s="74">
        <f t="shared" si="22"/>
        <v>196.77</v>
      </c>
      <c r="LG37" s="74">
        <f t="shared" ref="LG37:LW51" si="28">LG36+0.75</f>
        <v>196</v>
      </c>
      <c r="LH37" s="74">
        <f t="shared" si="28"/>
        <v>195.22</v>
      </c>
      <c r="LI37" s="74">
        <f t="shared" si="28"/>
        <v>194.45</v>
      </c>
      <c r="LJ37" s="74">
        <f t="shared" si="28"/>
        <v>193.68</v>
      </c>
      <c r="LK37" s="74">
        <f t="shared" si="28"/>
        <v>192.91</v>
      </c>
      <c r="LL37" s="74">
        <f t="shared" si="28"/>
        <v>192.14</v>
      </c>
      <c r="LM37" s="74">
        <f t="shared" si="28"/>
        <v>191.38</v>
      </c>
      <c r="LN37" s="74">
        <f t="shared" si="28"/>
        <v>190.61</v>
      </c>
      <c r="LO37" s="74">
        <f t="shared" si="28"/>
        <v>189.85</v>
      </c>
      <c r="LP37" s="74">
        <f t="shared" si="28"/>
        <v>189.09</v>
      </c>
      <c r="LQ37" s="74">
        <f t="shared" si="28"/>
        <v>188.33</v>
      </c>
      <c r="LR37" s="74">
        <f t="shared" si="28"/>
        <v>187.57</v>
      </c>
      <c r="LS37" s="74">
        <f t="shared" si="28"/>
        <v>186.81</v>
      </c>
      <c r="LT37" s="74">
        <f t="shared" si="28"/>
        <v>186.06</v>
      </c>
      <c r="LU37" s="74">
        <f t="shared" si="28"/>
        <v>185.31</v>
      </c>
      <c r="LV37" s="74">
        <f t="shared" si="28"/>
        <v>184.55</v>
      </c>
      <c r="LW37" s="74">
        <f t="shared" si="28"/>
        <v>183.8</v>
      </c>
      <c r="LX37" s="74">
        <f t="shared" si="23"/>
        <v>183.05</v>
      </c>
      <c r="LY37" s="74">
        <f t="shared" si="23"/>
        <v>182.3</v>
      </c>
      <c r="LZ37" s="74">
        <f t="shared" si="23"/>
        <v>181.56</v>
      </c>
      <c r="MA37" s="74">
        <f t="shared" si="23"/>
        <v>180.81</v>
      </c>
      <c r="MB37" s="74">
        <f t="shared" si="23"/>
        <v>180.07</v>
      </c>
      <c r="MC37" s="74">
        <f t="shared" si="23"/>
        <v>179.33</v>
      </c>
      <c r="MD37" s="76">
        <f t="shared" si="23"/>
        <v>178.59</v>
      </c>
      <c r="ME37" s="77">
        <f t="shared" si="23"/>
        <v>177.86</v>
      </c>
      <c r="MF37" s="77">
        <f t="shared" si="23"/>
        <v>177.12</v>
      </c>
      <c r="MG37" s="77">
        <f t="shared" si="23"/>
        <v>176.39</v>
      </c>
      <c r="MH37" s="77">
        <f t="shared" si="23"/>
        <v>175.65</v>
      </c>
      <c r="MI37" s="77">
        <f t="shared" si="23"/>
        <v>174.92</v>
      </c>
      <c r="MJ37" s="77">
        <f t="shared" si="23"/>
        <v>174.19</v>
      </c>
      <c r="MK37" s="77">
        <f t="shared" si="23"/>
        <v>173.46</v>
      </c>
      <c r="ML37" s="77">
        <f t="shared" si="23"/>
        <v>172.74</v>
      </c>
      <c r="MM37" s="77">
        <f t="shared" si="23"/>
        <v>172.01</v>
      </c>
      <c r="MN37" s="77">
        <f t="shared" si="25"/>
        <v>171.29</v>
      </c>
      <c r="MO37" s="77">
        <f t="shared" si="26"/>
        <v>170.57</v>
      </c>
      <c r="MP37" s="77">
        <f t="shared" si="27"/>
        <v>169.85</v>
      </c>
      <c r="MQ37" s="77">
        <f t="shared" si="24"/>
        <v>169.14</v>
      </c>
      <c r="MR37" s="77">
        <f t="shared" si="24"/>
        <v>168.42</v>
      </c>
      <c r="MS37" s="77">
        <f t="shared" si="24"/>
        <v>167.71</v>
      </c>
      <c r="MT37" s="77">
        <f t="shared" si="24"/>
        <v>166.99</v>
      </c>
      <c r="MU37" s="77">
        <f t="shared" si="24"/>
        <v>166.28</v>
      </c>
      <c r="MV37" s="77">
        <f t="shared" si="24"/>
        <v>165.57</v>
      </c>
      <c r="MW37" s="77">
        <f t="shared" si="24"/>
        <v>164.87</v>
      </c>
      <c r="MX37" s="77">
        <f t="shared" si="24"/>
        <v>164.16</v>
      </c>
      <c r="MY37" s="77">
        <f t="shared" si="24"/>
        <v>163.46</v>
      </c>
    </row>
    <row r="38" spans="1:363" ht="15.6" x14ac:dyDescent="0.3">
      <c r="A38" s="67" t="s">
        <v>6</v>
      </c>
      <c r="B38" s="72">
        <v>2048</v>
      </c>
      <c r="C38" s="70">
        <v>504.16</v>
      </c>
      <c r="D38" s="70">
        <v>503.13</v>
      </c>
      <c r="E38" s="70">
        <v>502.09</v>
      </c>
      <c r="F38" s="70">
        <v>501.05</v>
      </c>
      <c r="G38" s="70">
        <v>500.02</v>
      </c>
      <c r="H38" s="70">
        <v>498.98</v>
      </c>
      <c r="I38" s="70">
        <v>497.94</v>
      </c>
      <c r="J38" s="70">
        <v>496.91</v>
      </c>
      <c r="K38" s="70">
        <v>495.87</v>
      </c>
      <c r="L38" s="70">
        <v>494.84</v>
      </c>
      <c r="M38" s="70">
        <v>493.8</v>
      </c>
      <c r="N38" s="70">
        <v>492.76</v>
      </c>
      <c r="O38" s="70">
        <v>491.73</v>
      </c>
      <c r="P38" s="70">
        <v>490.69</v>
      </c>
      <c r="Q38" s="70">
        <v>489.65</v>
      </c>
      <c r="R38" s="70">
        <v>488.62</v>
      </c>
      <c r="S38" s="70">
        <v>487.58</v>
      </c>
      <c r="T38" s="70">
        <v>486.54</v>
      </c>
      <c r="U38" s="70">
        <v>485.51</v>
      </c>
      <c r="V38" s="70">
        <v>484.47</v>
      </c>
      <c r="W38" s="70">
        <v>483.43</v>
      </c>
      <c r="X38" s="70">
        <v>482.4</v>
      </c>
      <c r="Y38" s="70">
        <v>481.36</v>
      </c>
      <c r="Z38" s="70">
        <v>480.32</v>
      </c>
      <c r="AA38" s="70">
        <v>479.29</v>
      </c>
      <c r="AB38" s="70">
        <v>478.25</v>
      </c>
      <c r="AC38" s="70">
        <v>477.21</v>
      </c>
      <c r="AD38" s="70">
        <v>476.18</v>
      </c>
      <c r="AE38" s="70">
        <v>475.14</v>
      </c>
      <c r="AF38" s="70">
        <v>474.1</v>
      </c>
      <c r="AG38" s="70">
        <v>473.07</v>
      </c>
      <c r="AH38" s="70">
        <v>472.03</v>
      </c>
      <c r="AI38" s="70">
        <v>470.99</v>
      </c>
      <c r="AJ38" s="70">
        <v>469.96</v>
      </c>
      <c r="AK38" s="70">
        <v>468.92</v>
      </c>
      <c r="AL38" s="70">
        <v>467.88</v>
      </c>
      <c r="AM38" s="70">
        <v>466.85</v>
      </c>
      <c r="AN38" s="70">
        <v>465.81</v>
      </c>
      <c r="AO38" s="70">
        <v>464.77</v>
      </c>
      <c r="AP38" s="70">
        <v>463.73</v>
      </c>
      <c r="AQ38" s="70">
        <v>462.7</v>
      </c>
      <c r="AR38" s="70">
        <v>461.66</v>
      </c>
      <c r="AS38" s="70">
        <v>460.62</v>
      </c>
      <c r="AT38" s="70">
        <v>459.59</v>
      </c>
      <c r="AU38" s="70">
        <v>458.55</v>
      </c>
      <c r="AV38" s="70">
        <v>457.51</v>
      </c>
      <c r="AW38" s="70">
        <v>456.48</v>
      </c>
      <c r="AX38" s="70">
        <v>455.44</v>
      </c>
      <c r="AY38" s="70">
        <v>454.4</v>
      </c>
      <c r="AZ38" s="70">
        <v>453.36</v>
      </c>
      <c r="BA38" s="70">
        <v>452.33</v>
      </c>
      <c r="BB38" s="70">
        <v>451.29</v>
      </c>
      <c r="BC38" s="70">
        <v>450.25</v>
      </c>
      <c r="BD38" s="70">
        <v>449.22</v>
      </c>
      <c r="BE38" s="70">
        <v>448.18</v>
      </c>
      <c r="BF38" s="70">
        <v>447.14</v>
      </c>
      <c r="BG38" s="70">
        <v>446.1</v>
      </c>
      <c r="BH38" s="70">
        <v>445.07</v>
      </c>
      <c r="BI38" s="70">
        <v>444.03</v>
      </c>
      <c r="BJ38" s="70">
        <v>442.99</v>
      </c>
      <c r="BK38" s="70">
        <v>441.96</v>
      </c>
      <c r="BL38" s="70">
        <v>440.92</v>
      </c>
      <c r="BM38" s="70">
        <v>439.88</v>
      </c>
      <c r="BN38" s="70">
        <v>438.84</v>
      </c>
      <c r="BO38" s="70">
        <v>437.8</v>
      </c>
      <c r="BP38" s="70">
        <v>436.77</v>
      </c>
      <c r="BQ38" s="70">
        <v>435.73</v>
      </c>
      <c r="BR38" s="70">
        <v>434.69</v>
      </c>
      <c r="BS38" s="70">
        <v>433.65</v>
      </c>
      <c r="BT38" s="70">
        <v>432.62</v>
      </c>
      <c r="BU38" s="70">
        <v>431.58</v>
      </c>
      <c r="BV38" s="70">
        <v>430.54</v>
      </c>
      <c r="BW38" s="70">
        <v>429.51</v>
      </c>
      <c r="BX38" s="70">
        <v>428.47</v>
      </c>
      <c r="BY38" s="70">
        <v>427.43</v>
      </c>
      <c r="BZ38" s="70">
        <v>426.4</v>
      </c>
      <c r="CA38" s="70">
        <v>425.36</v>
      </c>
      <c r="CB38" s="70">
        <v>424.33</v>
      </c>
      <c r="CC38" s="70">
        <v>423.29</v>
      </c>
      <c r="CD38" s="70">
        <v>422.26</v>
      </c>
      <c r="CE38" s="70">
        <v>421.22</v>
      </c>
      <c r="CF38" s="70">
        <v>420.19</v>
      </c>
      <c r="CG38" s="70">
        <v>419.15</v>
      </c>
      <c r="CH38" s="70">
        <v>418.12</v>
      </c>
      <c r="CI38" s="70">
        <v>417.08</v>
      </c>
      <c r="CJ38" s="70">
        <v>416.05</v>
      </c>
      <c r="CK38" s="70">
        <v>415.01</v>
      </c>
      <c r="CL38" s="70">
        <v>413.98</v>
      </c>
      <c r="CM38" s="70">
        <v>412.94</v>
      </c>
      <c r="CN38" s="70">
        <v>411.91</v>
      </c>
      <c r="CO38" s="70">
        <v>410.87</v>
      </c>
      <c r="CP38" s="70">
        <v>409.84</v>
      </c>
      <c r="CQ38" s="70">
        <v>408.8</v>
      </c>
      <c r="CR38" s="70">
        <v>407.77</v>
      </c>
      <c r="CS38" s="70">
        <v>406.73</v>
      </c>
      <c r="CT38" s="70">
        <v>405.7</v>
      </c>
      <c r="CU38" s="70">
        <v>404.66</v>
      </c>
      <c r="CV38" s="70">
        <v>403.63</v>
      </c>
      <c r="CW38" s="70">
        <v>402.6</v>
      </c>
      <c r="CX38" s="70">
        <v>401.56</v>
      </c>
      <c r="CY38" s="70">
        <v>400.53</v>
      </c>
      <c r="CZ38" s="70">
        <v>399.5</v>
      </c>
      <c r="DA38" s="70">
        <v>398.47</v>
      </c>
      <c r="DB38" s="70">
        <v>397.43</v>
      </c>
      <c r="DC38" s="70">
        <v>396.4</v>
      </c>
      <c r="DD38" s="70">
        <v>395.37</v>
      </c>
      <c r="DE38" s="70">
        <v>394.34</v>
      </c>
      <c r="DF38" s="70">
        <v>393.3</v>
      </c>
      <c r="DG38" s="70">
        <v>392.27</v>
      </c>
      <c r="DH38" s="70">
        <v>391.24</v>
      </c>
      <c r="DI38" s="70">
        <v>390.21</v>
      </c>
      <c r="DJ38" s="70">
        <v>389.18</v>
      </c>
      <c r="DK38" s="70">
        <v>388.15</v>
      </c>
      <c r="DL38" s="70">
        <v>387.12</v>
      </c>
      <c r="DM38" s="70">
        <v>386.09</v>
      </c>
      <c r="DN38" s="70">
        <v>385.06</v>
      </c>
      <c r="DO38" s="70">
        <v>384.03</v>
      </c>
      <c r="DP38" s="70">
        <v>383</v>
      </c>
      <c r="DQ38" s="70">
        <v>381.97</v>
      </c>
      <c r="DR38" s="70">
        <v>380.94</v>
      </c>
      <c r="DS38" s="70">
        <v>379.91</v>
      </c>
      <c r="DT38" s="70">
        <v>378.89</v>
      </c>
      <c r="DU38" s="70">
        <v>377.86</v>
      </c>
      <c r="DV38" s="70">
        <v>376.83</v>
      </c>
      <c r="DW38" s="70">
        <v>375.81</v>
      </c>
      <c r="DX38" s="70">
        <v>374.79</v>
      </c>
      <c r="DY38" s="70">
        <v>373.76</v>
      </c>
      <c r="DZ38" s="70">
        <v>372.74</v>
      </c>
      <c r="EA38" s="70">
        <v>371.71</v>
      </c>
      <c r="EB38" s="70">
        <v>370.69</v>
      </c>
      <c r="EC38" s="70">
        <v>369.67</v>
      </c>
      <c r="ED38" s="70">
        <v>368.65</v>
      </c>
      <c r="EE38" s="70">
        <v>367.63</v>
      </c>
      <c r="EF38" s="70">
        <v>366.61</v>
      </c>
      <c r="EG38" s="70">
        <v>365.59</v>
      </c>
      <c r="EH38" s="70">
        <v>364.57</v>
      </c>
      <c r="EI38" s="70">
        <v>363.56</v>
      </c>
      <c r="EJ38" s="70">
        <v>362.54</v>
      </c>
      <c r="EK38" s="70">
        <v>361.53</v>
      </c>
      <c r="EL38" s="70">
        <v>360.51</v>
      </c>
      <c r="EM38" s="70">
        <v>359.5</v>
      </c>
      <c r="EN38" s="70">
        <v>358.48</v>
      </c>
      <c r="EO38" s="70">
        <v>357.47</v>
      </c>
      <c r="EP38" s="70">
        <v>356.45</v>
      </c>
      <c r="EQ38" s="70">
        <v>355.44</v>
      </c>
      <c r="ER38" s="70">
        <v>354.43</v>
      </c>
      <c r="ES38" s="70">
        <v>353.42</v>
      </c>
      <c r="ET38" s="70">
        <v>352.41</v>
      </c>
      <c r="EU38" s="70">
        <v>351.4</v>
      </c>
      <c r="EV38" s="70">
        <v>350.4</v>
      </c>
      <c r="EW38" s="70">
        <v>349.39</v>
      </c>
      <c r="EX38" s="70">
        <v>348.38</v>
      </c>
      <c r="EY38" s="70">
        <v>347.37</v>
      </c>
      <c r="EZ38" s="70">
        <v>346.37</v>
      </c>
      <c r="FA38" s="70">
        <v>345.36</v>
      </c>
      <c r="FB38" s="70">
        <v>344.35</v>
      </c>
      <c r="FC38" s="70">
        <v>343.35</v>
      </c>
      <c r="FD38" s="70">
        <v>342.35</v>
      </c>
      <c r="FE38" s="70">
        <v>341.34</v>
      </c>
      <c r="FF38" s="70">
        <v>340.34</v>
      </c>
      <c r="FG38" s="70">
        <v>339.34</v>
      </c>
      <c r="FH38" s="70">
        <v>338.34</v>
      </c>
      <c r="FI38" s="70">
        <v>337.35</v>
      </c>
      <c r="FJ38" s="70">
        <v>336.35</v>
      </c>
      <c r="FK38" s="70">
        <v>335.35</v>
      </c>
      <c r="FL38" s="70">
        <v>334.35</v>
      </c>
      <c r="FM38" s="70">
        <v>333.35</v>
      </c>
      <c r="FN38" s="70">
        <v>332.36</v>
      </c>
      <c r="FO38" s="70">
        <v>331.36</v>
      </c>
      <c r="FP38" s="70">
        <v>330.37</v>
      </c>
      <c r="FQ38" s="70">
        <v>329.37</v>
      </c>
      <c r="FR38" s="70">
        <v>328.38</v>
      </c>
      <c r="FS38" s="70">
        <v>327.38</v>
      </c>
      <c r="FT38" s="70">
        <v>326.39</v>
      </c>
      <c r="FU38" s="70">
        <v>325.39999999999998</v>
      </c>
      <c r="FV38" s="70">
        <v>324.41000000000003</v>
      </c>
      <c r="FW38" s="70">
        <v>323.41000000000003</v>
      </c>
      <c r="FX38" s="70">
        <v>322.42</v>
      </c>
      <c r="FY38" s="70">
        <v>321.43</v>
      </c>
      <c r="FZ38" s="70">
        <v>320.44</v>
      </c>
      <c r="GA38" s="70">
        <v>319.45</v>
      </c>
      <c r="GB38" s="70">
        <v>318.47000000000003</v>
      </c>
      <c r="GC38" s="70">
        <v>317.48</v>
      </c>
      <c r="GD38" s="70">
        <v>316.49</v>
      </c>
      <c r="GE38" s="70">
        <v>315.51</v>
      </c>
      <c r="GF38" s="70">
        <v>314.51</v>
      </c>
      <c r="GG38" s="70">
        <v>313.54000000000002</v>
      </c>
      <c r="GH38" s="70">
        <v>312.54000000000002</v>
      </c>
      <c r="GI38" s="70">
        <v>311.57</v>
      </c>
      <c r="GJ38" s="70">
        <v>310.57</v>
      </c>
      <c r="GK38" s="70">
        <v>309.60000000000002</v>
      </c>
      <c r="GL38" s="70">
        <v>308.62</v>
      </c>
      <c r="GM38" s="70">
        <v>307.64</v>
      </c>
      <c r="GN38" s="70">
        <v>306.66000000000003</v>
      </c>
      <c r="GO38" s="70">
        <v>305.69</v>
      </c>
      <c r="GP38" s="70">
        <v>304.72000000000003</v>
      </c>
      <c r="GQ38" s="70">
        <v>303.74</v>
      </c>
      <c r="GR38" s="70">
        <v>302.76</v>
      </c>
      <c r="GS38" s="70">
        <v>301.79000000000002</v>
      </c>
      <c r="GT38" s="70">
        <v>300.82</v>
      </c>
      <c r="GU38" s="70">
        <v>299.85000000000002</v>
      </c>
      <c r="GV38" s="70">
        <v>298.89</v>
      </c>
      <c r="GW38" s="70">
        <v>297.92</v>
      </c>
      <c r="GX38" s="70">
        <v>296.95</v>
      </c>
      <c r="GY38" s="70">
        <v>295.98</v>
      </c>
      <c r="GZ38" s="70">
        <v>295.01</v>
      </c>
      <c r="HA38" s="70">
        <v>294.04000000000002</v>
      </c>
      <c r="HB38" s="70">
        <v>293.08999999999997</v>
      </c>
      <c r="HC38" s="70">
        <v>292.12</v>
      </c>
      <c r="HD38" s="70">
        <v>291.16000000000003</v>
      </c>
      <c r="HE38" s="70">
        <v>290.2</v>
      </c>
      <c r="HF38" s="70">
        <v>289.24</v>
      </c>
      <c r="HG38" s="70">
        <v>288.27999999999997</v>
      </c>
      <c r="HH38" s="70">
        <v>287.32</v>
      </c>
      <c r="HI38" s="70">
        <v>286.35000000000002</v>
      </c>
      <c r="HJ38" s="70">
        <v>285.39999999999998</v>
      </c>
      <c r="HK38" s="70">
        <v>284.45</v>
      </c>
      <c r="HL38" s="70">
        <v>283.5</v>
      </c>
      <c r="HM38" s="70">
        <v>282.54000000000002</v>
      </c>
      <c r="HN38" s="70">
        <v>281.60000000000002</v>
      </c>
      <c r="HO38" s="70">
        <v>280.64999999999998</v>
      </c>
      <c r="HP38" s="70">
        <v>279.70999999999998</v>
      </c>
      <c r="HQ38" s="70">
        <v>278.76</v>
      </c>
      <c r="HR38" s="70">
        <v>277.82</v>
      </c>
      <c r="HS38" s="70">
        <v>276.88</v>
      </c>
      <c r="HT38" s="70">
        <v>275.93</v>
      </c>
      <c r="HU38" s="70">
        <v>274.99</v>
      </c>
      <c r="HV38" s="70">
        <v>274.04000000000002</v>
      </c>
      <c r="HW38" s="70">
        <v>273.10000000000002</v>
      </c>
      <c r="HX38" s="70">
        <v>272.17</v>
      </c>
      <c r="HY38" s="70">
        <v>271.24</v>
      </c>
      <c r="HZ38" s="70">
        <v>270.29000000000002</v>
      </c>
      <c r="IA38" s="70">
        <v>269.35000000000002</v>
      </c>
      <c r="IB38" s="70">
        <v>268.43</v>
      </c>
      <c r="IC38" s="70">
        <v>267.49</v>
      </c>
      <c r="ID38" s="70">
        <v>266.56</v>
      </c>
      <c r="IE38" s="70">
        <v>265.63</v>
      </c>
      <c r="IF38" s="70">
        <v>264.7</v>
      </c>
      <c r="IG38" s="70">
        <v>263.76</v>
      </c>
      <c r="IH38" s="70">
        <v>262.83999999999997</v>
      </c>
      <c r="II38" s="70">
        <v>261.91000000000003</v>
      </c>
      <c r="IJ38" s="70">
        <v>260.98</v>
      </c>
      <c r="IK38" s="70">
        <v>260.04000000000002</v>
      </c>
      <c r="IL38" s="70">
        <v>259.13</v>
      </c>
      <c r="IM38" s="70">
        <v>258.2</v>
      </c>
      <c r="IN38" s="70">
        <v>257.27999999999997</v>
      </c>
      <c r="IO38" s="70">
        <v>256.35000000000002</v>
      </c>
      <c r="IP38" s="70">
        <v>255.44</v>
      </c>
      <c r="IQ38" s="70">
        <v>254.52</v>
      </c>
      <c r="IR38" s="70">
        <v>253.6</v>
      </c>
      <c r="IS38" s="70">
        <v>252.68</v>
      </c>
      <c r="IT38" s="70">
        <v>251.76</v>
      </c>
      <c r="IU38" s="70">
        <v>250.85</v>
      </c>
      <c r="IV38" s="70">
        <v>249.94</v>
      </c>
      <c r="IW38" s="70">
        <v>249.03</v>
      </c>
      <c r="IX38" s="70">
        <v>248.13</v>
      </c>
      <c r="IY38" s="70">
        <v>247.22</v>
      </c>
      <c r="IZ38" s="70">
        <v>246.32</v>
      </c>
      <c r="JA38" s="70">
        <v>245.42</v>
      </c>
      <c r="JB38" s="70">
        <v>244.52</v>
      </c>
      <c r="JC38" s="70">
        <v>243.62</v>
      </c>
      <c r="JD38" s="70">
        <v>242.72</v>
      </c>
      <c r="JE38" s="70">
        <v>241.82</v>
      </c>
      <c r="JF38" s="70">
        <v>240.93</v>
      </c>
      <c r="JG38" s="70">
        <v>240.03</v>
      </c>
      <c r="JH38" s="70">
        <v>239.14</v>
      </c>
      <c r="JI38" s="70">
        <v>238.24</v>
      </c>
      <c r="JJ38" s="70">
        <v>237.35</v>
      </c>
      <c r="JK38" s="70">
        <v>236.46</v>
      </c>
      <c r="JL38" s="70">
        <v>235.57</v>
      </c>
      <c r="JM38" s="70">
        <v>234.68</v>
      </c>
      <c r="JN38" s="70">
        <v>233.79</v>
      </c>
      <c r="JO38" s="70">
        <v>232.9</v>
      </c>
      <c r="JP38" s="70">
        <v>232.02</v>
      </c>
      <c r="JQ38" s="70">
        <v>231.13</v>
      </c>
      <c r="JR38" s="70">
        <v>230.24</v>
      </c>
      <c r="JS38" s="70">
        <v>229.36</v>
      </c>
      <c r="JT38" s="70">
        <v>228.47</v>
      </c>
      <c r="JU38" s="70">
        <v>227.58</v>
      </c>
      <c r="JV38" s="70">
        <v>226.69</v>
      </c>
      <c r="JW38" s="70">
        <v>225.81</v>
      </c>
      <c r="JX38" s="70">
        <v>224.92</v>
      </c>
      <c r="JY38" s="70">
        <v>224.03</v>
      </c>
      <c r="JZ38" s="70">
        <v>223.15</v>
      </c>
      <c r="KA38" s="70">
        <v>222.26</v>
      </c>
      <c r="KB38" s="70">
        <v>221.38</v>
      </c>
      <c r="KC38" s="70">
        <v>220.5</v>
      </c>
      <c r="KD38" s="70">
        <v>219.62</v>
      </c>
      <c r="KE38" s="70">
        <v>218.73</v>
      </c>
      <c r="KF38" s="70">
        <v>217.85</v>
      </c>
      <c r="KG38" s="70">
        <v>216.98</v>
      </c>
      <c r="KH38" s="70">
        <v>216.1</v>
      </c>
      <c r="KI38" s="70">
        <v>215.22</v>
      </c>
      <c r="KJ38" s="70">
        <v>214.35</v>
      </c>
      <c r="KK38" s="70">
        <v>213.47</v>
      </c>
      <c r="KL38" s="70">
        <v>212.6</v>
      </c>
      <c r="KM38" s="70">
        <v>211.73</v>
      </c>
      <c r="KN38" s="70">
        <v>210.85</v>
      </c>
      <c r="KO38" s="70">
        <v>209.98</v>
      </c>
      <c r="KP38" s="70">
        <v>209.11</v>
      </c>
      <c r="KQ38" s="70">
        <v>208.24</v>
      </c>
      <c r="KR38" s="74">
        <f t="shared" ref="KR38:LG53" si="29">KR37+0.75</f>
        <v>208.52</v>
      </c>
      <c r="KS38" s="74">
        <f t="shared" si="29"/>
        <v>207.73</v>
      </c>
      <c r="KT38" s="74">
        <f t="shared" si="29"/>
        <v>206.91</v>
      </c>
      <c r="KU38" s="74">
        <f t="shared" si="29"/>
        <v>206.12</v>
      </c>
      <c r="KV38" s="74">
        <f t="shared" si="29"/>
        <v>205.34</v>
      </c>
      <c r="KW38" s="74">
        <f t="shared" si="29"/>
        <v>204.55</v>
      </c>
      <c r="KX38" s="74">
        <f t="shared" si="29"/>
        <v>203.76</v>
      </c>
      <c r="KY38" s="74">
        <f t="shared" si="29"/>
        <v>202.98</v>
      </c>
      <c r="KZ38" s="74">
        <f t="shared" si="29"/>
        <v>202.19</v>
      </c>
      <c r="LA38" s="74">
        <f t="shared" si="29"/>
        <v>201.41</v>
      </c>
      <c r="LB38" s="74">
        <f t="shared" si="29"/>
        <v>200.63</v>
      </c>
      <c r="LC38" s="74">
        <f t="shared" si="29"/>
        <v>199.85</v>
      </c>
      <c r="LD38" s="74">
        <f t="shared" si="29"/>
        <v>199.07</v>
      </c>
      <c r="LE38" s="74">
        <f t="shared" si="29"/>
        <v>198.29</v>
      </c>
      <c r="LF38" s="74">
        <f t="shared" si="29"/>
        <v>197.52</v>
      </c>
      <c r="LG38" s="74">
        <f t="shared" si="28"/>
        <v>196.75</v>
      </c>
      <c r="LH38" s="74">
        <f t="shared" si="28"/>
        <v>195.97</v>
      </c>
      <c r="LI38" s="74">
        <f t="shared" si="28"/>
        <v>195.2</v>
      </c>
      <c r="LJ38" s="74">
        <f t="shared" si="28"/>
        <v>194.43</v>
      </c>
      <c r="LK38" s="74">
        <f t="shared" si="28"/>
        <v>193.66</v>
      </c>
      <c r="LL38" s="74">
        <f t="shared" si="28"/>
        <v>192.89</v>
      </c>
      <c r="LM38" s="74">
        <f t="shared" si="28"/>
        <v>192.13</v>
      </c>
      <c r="LN38" s="74">
        <f t="shared" si="28"/>
        <v>191.36</v>
      </c>
      <c r="LO38" s="74">
        <f t="shared" si="28"/>
        <v>190.6</v>
      </c>
      <c r="LP38" s="74">
        <f t="shared" si="28"/>
        <v>189.84</v>
      </c>
      <c r="LQ38" s="74">
        <f t="shared" si="28"/>
        <v>189.08</v>
      </c>
      <c r="LR38" s="74">
        <f t="shared" si="28"/>
        <v>188.32</v>
      </c>
      <c r="LS38" s="74">
        <f t="shared" si="28"/>
        <v>187.56</v>
      </c>
      <c r="LT38" s="74">
        <f t="shared" si="28"/>
        <v>186.81</v>
      </c>
      <c r="LU38" s="74">
        <f t="shared" si="28"/>
        <v>186.06</v>
      </c>
      <c r="LV38" s="74">
        <f t="shared" si="28"/>
        <v>185.3</v>
      </c>
      <c r="LW38" s="74">
        <f t="shared" si="28"/>
        <v>184.55</v>
      </c>
      <c r="LX38" s="74">
        <f t="shared" si="23"/>
        <v>183.8</v>
      </c>
      <c r="LY38" s="74">
        <f t="shared" si="23"/>
        <v>183.05</v>
      </c>
      <c r="LZ38" s="74">
        <f t="shared" si="23"/>
        <v>182.31</v>
      </c>
      <c r="MA38" s="74">
        <f t="shared" si="23"/>
        <v>181.56</v>
      </c>
      <c r="MB38" s="74">
        <f t="shared" si="23"/>
        <v>180.82</v>
      </c>
      <c r="MC38" s="74">
        <f t="shared" si="23"/>
        <v>180.08</v>
      </c>
      <c r="MD38" s="76">
        <f t="shared" si="23"/>
        <v>179.34</v>
      </c>
      <c r="ME38" s="77">
        <f t="shared" si="23"/>
        <v>178.61</v>
      </c>
      <c r="MF38" s="77">
        <f t="shared" si="23"/>
        <v>177.87</v>
      </c>
      <c r="MG38" s="77">
        <f t="shared" si="23"/>
        <v>177.14</v>
      </c>
      <c r="MH38" s="77">
        <f t="shared" si="23"/>
        <v>176.4</v>
      </c>
      <c r="MI38" s="77">
        <f t="shared" si="23"/>
        <v>175.67</v>
      </c>
      <c r="MJ38" s="77">
        <f t="shared" si="23"/>
        <v>174.94</v>
      </c>
      <c r="MK38" s="77">
        <f t="shared" si="23"/>
        <v>174.21</v>
      </c>
      <c r="ML38" s="77">
        <f t="shared" si="23"/>
        <v>173.49</v>
      </c>
      <c r="MM38" s="77">
        <f t="shared" si="23"/>
        <v>172.76</v>
      </c>
      <c r="MN38" s="77">
        <f t="shared" si="25"/>
        <v>172.04</v>
      </c>
      <c r="MO38" s="77">
        <f t="shared" si="26"/>
        <v>171.32</v>
      </c>
      <c r="MP38" s="77">
        <f t="shared" si="27"/>
        <v>170.6</v>
      </c>
      <c r="MQ38" s="77">
        <f t="shared" si="24"/>
        <v>169.89</v>
      </c>
      <c r="MR38" s="77">
        <f t="shared" si="24"/>
        <v>169.17</v>
      </c>
      <c r="MS38" s="77">
        <f t="shared" si="24"/>
        <v>168.46</v>
      </c>
      <c r="MT38" s="77">
        <f t="shared" si="24"/>
        <v>167.74</v>
      </c>
      <c r="MU38" s="77">
        <f t="shared" si="24"/>
        <v>167.03</v>
      </c>
      <c r="MV38" s="77">
        <f t="shared" si="24"/>
        <v>166.32</v>
      </c>
      <c r="MW38" s="77">
        <f t="shared" si="24"/>
        <v>165.62</v>
      </c>
      <c r="MX38" s="77">
        <f t="shared" si="24"/>
        <v>164.91</v>
      </c>
      <c r="MY38" s="77">
        <f t="shared" si="24"/>
        <v>164.21</v>
      </c>
    </row>
    <row r="39" spans="1:363" ht="15.6" x14ac:dyDescent="0.3">
      <c r="A39" s="67" t="s">
        <v>6</v>
      </c>
      <c r="B39" s="72">
        <v>2049</v>
      </c>
      <c r="C39" s="70">
        <v>505</v>
      </c>
      <c r="D39" s="70">
        <v>503.96</v>
      </c>
      <c r="E39" s="70">
        <v>502.93</v>
      </c>
      <c r="F39" s="70">
        <v>501.89</v>
      </c>
      <c r="G39" s="70">
        <v>500.85</v>
      </c>
      <c r="H39" s="70">
        <v>499.82</v>
      </c>
      <c r="I39" s="70">
        <v>498.78</v>
      </c>
      <c r="J39" s="70">
        <v>497.75</v>
      </c>
      <c r="K39" s="70">
        <v>496.71</v>
      </c>
      <c r="L39" s="70">
        <v>495.67</v>
      </c>
      <c r="M39" s="70">
        <v>494.64</v>
      </c>
      <c r="N39" s="70">
        <v>493.6</v>
      </c>
      <c r="O39" s="70">
        <v>492.57</v>
      </c>
      <c r="P39" s="70">
        <v>491.53</v>
      </c>
      <c r="Q39" s="70">
        <v>490.49</v>
      </c>
      <c r="R39" s="70">
        <v>489.46</v>
      </c>
      <c r="S39" s="70">
        <v>488.42</v>
      </c>
      <c r="T39" s="70">
        <v>487.38</v>
      </c>
      <c r="U39" s="70">
        <v>486.35</v>
      </c>
      <c r="V39" s="70">
        <v>485.31</v>
      </c>
      <c r="W39" s="70">
        <v>484.27</v>
      </c>
      <c r="X39" s="70">
        <v>483.24</v>
      </c>
      <c r="Y39" s="70">
        <v>482.2</v>
      </c>
      <c r="Z39" s="70">
        <v>481.16</v>
      </c>
      <c r="AA39" s="70">
        <v>480.13</v>
      </c>
      <c r="AB39" s="70">
        <v>479.09</v>
      </c>
      <c r="AC39" s="70">
        <v>478.05</v>
      </c>
      <c r="AD39" s="70">
        <v>477.02</v>
      </c>
      <c r="AE39" s="70">
        <v>475.98</v>
      </c>
      <c r="AF39" s="70">
        <v>474.94</v>
      </c>
      <c r="AG39" s="70">
        <v>473.91</v>
      </c>
      <c r="AH39" s="70">
        <v>472.87</v>
      </c>
      <c r="AI39" s="70">
        <v>471.83</v>
      </c>
      <c r="AJ39" s="70">
        <v>470.8</v>
      </c>
      <c r="AK39" s="70">
        <v>469.76</v>
      </c>
      <c r="AL39" s="70">
        <v>468.72</v>
      </c>
      <c r="AM39" s="70">
        <v>467.69</v>
      </c>
      <c r="AN39" s="70">
        <v>466.65</v>
      </c>
      <c r="AO39" s="70">
        <v>465.61</v>
      </c>
      <c r="AP39" s="70">
        <v>464.57</v>
      </c>
      <c r="AQ39" s="70">
        <v>463.54</v>
      </c>
      <c r="AR39" s="70">
        <v>462.5</v>
      </c>
      <c r="AS39" s="70">
        <v>461.46</v>
      </c>
      <c r="AT39" s="70">
        <v>460.43</v>
      </c>
      <c r="AU39" s="70">
        <v>459.39</v>
      </c>
      <c r="AV39" s="70">
        <v>458.35</v>
      </c>
      <c r="AW39" s="70">
        <v>457.32</v>
      </c>
      <c r="AX39" s="70">
        <v>456.28</v>
      </c>
      <c r="AY39" s="70">
        <v>455.24</v>
      </c>
      <c r="AZ39" s="70">
        <v>454.2</v>
      </c>
      <c r="BA39" s="70">
        <v>453.17</v>
      </c>
      <c r="BB39" s="70">
        <v>452.13</v>
      </c>
      <c r="BC39" s="70">
        <v>451.09</v>
      </c>
      <c r="BD39" s="70">
        <v>450.06</v>
      </c>
      <c r="BE39" s="70">
        <v>449.02</v>
      </c>
      <c r="BF39" s="70">
        <v>447.98</v>
      </c>
      <c r="BG39" s="70">
        <v>446.94</v>
      </c>
      <c r="BH39" s="70">
        <v>445.91</v>
      </c>
      <c r="BI39" s="70">
        <v>444.87</v>
      </c>
      <c r="BJ39" s="70">
        <v>443.83</v>
      </c>
      <c r="BK39" s="70">
        <v>442.8</v>
      </c>
      <c r="BL39" s="70">
        <v>441.76</v>
      </c>
      <c r="BM39" s="70">
        <v>440.72</v>
      </c>
      <c r="BN39" s="70">
        <v>439.68</v>
      </c>
      <c r="BO39" s="70">
        <v>438.64</v>
      </c>
      <c r="BP39" s="70">
        <v>437.61</v>
      </c>
      <c r="BQ39" s="70">
        <v>436.57</v>
      </c>
      <c r="BR39" s="70">
        <v>435.53</v>
      </c>
      <c r="BS39" s="70">
        <v>434.49</v>
      </c>
      <c r="BT39" s="70">
        <v>433.46</v>
      </c>
      <c r="BU39" s="70">
        <v>432.42</v>
      </c>
      <c r="BV39" s="70">
        <v>431.38</v>
      </c>
      <c r="BW39" s="70">
        <v>430.35</v>
      </c>
      <c r="BX39" s="70">
        <v>429.31</v>
      </c>
      <c r="BY39" s="70">
        <v>428.27</v>
      </c>
      <c r="BZ39" s="70">
        <v>427.24</v>
      </c>
      <c r="CA39" s="70">
        <v>426.2</v>
      </c>
      <c r="CB39" s="70">
        <v>425.17</v>
      </c>
      <c r="CC39" s="70">
        <v>424.13</v>
      </c>
      <c r="CD39" s="70">
        <v>423.1</v>
      </c>
      <c r="CE39" s="70">
        <v>422.06</v>
      </c>
      <c r="CF39" s="70">
        <v>421.03</v>
      </c>
      <c r="CG39" s="70">
        <v>419.99</v>
      </c>
      <c r="CH39" s="70">
        <v>418.96</v>
      </c>
      <c r="CI39" s="70">
        <v>417.92</v>
      </c>
      <c r="CJ39" s="70">
        <v>416.89</v>
      </c>
      <c r="CK39" s="70">
        <v>415.85</v>
      </c>
      <c r="CL39" s="70">
        <v>414.81</v>
      </c>
      <c r="CM39" s="70">
        <v>413.78</v>
      </c>
      <c r="CN39" s="70">
        <v>412.74</v>
      </c>
      <c r="CO39" s="70">
        <v>411.71</v>
      </c>
      <c r="CP39" s="70">
        <v>410.67</v>
      </c>
      <c r="CQ39" s="70">
        <v>409.64</v>
      </c>
      <c r="CR39" s="70">
        <v>408.6</v>
      </c>
      <c r="CS39" s="70">
        <v>407.57</v>
      </c>
      <c r="CT39" s="70">
        <v>406.53</v>
      </c>
      <c r="CU39" s="70">
        <v>405.5</v>
      </c>
      <c r="CV39" s="70">
        <v>404.47</v>
      </c>
      <c r="CW39" s="70">
        <v>403.43</v>
      </c>
      <c r="CX39" s="70">
        <v>402.4</v>
      </c>
      <c r="CY39" s="70">
        <v>401.37</v>
      </c>
      <c r="CZ39" s="70">
        <v>400.33</v>
      </c>
      <c r="DA39" s="70">
        <v>399.3</v>
      </c>
      <c r="DB39" s="70">
        <v>398.27</v>
      </c>
      <c r="DC39" s="70">
        <v>397.24</v>
      </c>
      <c r="DD39" s="70">
        <v>396.2</v>
      </c>
      <c r="DE39" s="70">
        <v>395.17</v>
      </c>
      <c r="DF39" s="70">
        <v>394.14</v>
      </c>
      <c r="DG39" s="70">
        <v>393.11</v>
      </c>
      <c r="DH39" s="70">
        <v>392.07</v>
      </c>
      <c r="DI39" s="70">
        <v>391.04</v>
      </c>
      <c r="DJ39" s="70">
        <v>390.01</v>
      </c>
      <c r="DK39" s="70">
        <v>388.98</v>
      </c>
      <c r="DL39" s="70">
        <v>387.95</v>
      </c>
      <c r="DM39" s="70">
        <v>386.92</v>
      </c>
      <c r="DN39" s="70">
        <v>385.89</v>
      </c>
      <c r="DO39" s="70">
        <v>384.86</v>
      </c>
      <c r="DP39" s="70">
        <v>383.83</v>
      </c>
      <c r="DQ39" s="70">
        <v>382.8</v>
      </c>
      <c r="DR39" s="70">
        <v>381.77</v>
      </c>
      <c r="DS39" s="70">
        <v>380.74</v>
      </c>
      <c r="DT39" s="70">
        <v>379.72</v>
      </c>
      <c r="DU39" s="70">
        <v>378.69</v>
      </c>
      <c r="DV39" s="70">
        <v>377.66</v>
      </c>
      <c r="DW39" s="70">
        <v>376.64</v>
      </c>
      <c r="DX39" s="70">
        <v>375.61</v>
      </c>
      <c r="DY39" s="70">
        <v>374.59</v>
      </c>
      <c r="DZ39" s="70">
        <v>373.57</v>
      </c>
      <c r="EA39" s="70">
        <v>372.54</v>
      </c>
      <c r="EB39" s="70">
        <v>371.52</v>
      </c>
      <c r="EC39" s="70">
        <v>370.5</v>
      </c>
      <c r="ED39" s="70">
        <v>369.47</v>
      </c>
      <c r="EE39" s="70">
        <v>368.45</v>
      </c>
      <c r="EF39" s="70">
        <v>367.43</v>
      </c>
      <c r="EG39" s="70">
        <v>366.42</v>
      </c>
      <c r="EH39" s="70">
        <v>365.4</v>
      </c>
      <c r="EI39" s="70">
        <v>364.38</v>
      </c>
      <c r="EJ39" s="70">
        <v>363.37</v>
      </c>
      <c r="EK39" s="70">
        <v>362.35</v>
      </c>
      <c r="EL39" s="70">
        <v>361.33</v>
      </c>
      <c r="EM39" s="70">
        <v>360.32</v>
      </c>
      <c r="EN39" s="70">
        <v>359.3</v>
      </c>
      <c r="EO39" s="70">
        <v>358.29</v>
      </c>
      <c r="EP39" s="70">
        <v>357.28</v>
      </c>
      <c r="EQ39" s="70">
        <v>356.26</v>
      </c>
      <c r="ER39" s="70">
        <v>355.25</v>
      </c>
      <c r="ES39" s="70">
        <v>354.24</v>
      </c>
      <c r="ET39" s="70">
        <v>353.23</v>
      </c>
      <c r="EU39" s="70">
        <v>352.22</v>
      </c>
      <c r="EV39" s="70">
        <v>351.22</v>
      </c>
      <c r="EW39" s="70">
        <v>350.21</v>
      </c>
      <c r="EX39" s="70">
        <v>349.2</v>
      </c>
      <c r="EY39" s="70">
        <v>348.19</v>
      </c>
      <c r="EZ39" s="70">
        <v>347.18</v>
      </c>
      <c r="FA39" s="70">
        <v>346.18</v>
      </c>
      <c r="FB39" s="70">
        <v>345.17</v>
      </c>
      <c r="FC39" s="70">
        <v>344.16</v>
      </c>
      <c r="FD39" s="70">
        <v>343.16</v>
      </c>
      <c r="FE39" s="70">
        <v>342.16</v>
      </c>
      <c r="FF39" s="70">
        <v>341.16</v>
      </c>
      <c r="FG39" s="70">
        <v>340.16</v>
      </c>
      <c r="FH39" s="70">
        <v>339.16</v>
      </c>
      <c r="FI39" s="70">
        <v>338.16</v>
      </c>
      <c r="FJ39" s="70">
        <v>337.16</v>
      </c>
      <c r="FK39" s="70">
        <v>336.16</v>
      </c>
      <c r="FL39" s="70">
        <v>335.16</v>
      </c>
      <c r="FM39" s="70">
        <v>334.16</v>
      </c>
      <c r="FN39" s="70">
        <v>333.17</v>
      </c>
      <c r="FO39" s="70">
        <v>332.17</v>
      </c>
      <c r="FP39" s="70">
        <v>331.17</v>
      </c>
      <c r="FQ39" s="70">
        <v>330.18</v>
      </c>
      <c r="FR39" s="70">
        <v>329.18</v>
      </c>
      <c r="FS39" s="70">
        <v>328.19</v>
      </c>
      <c r="FT39" s="70">
        <v>327.2</v>
      </c>
      <c r="FU39" s="70">
        <v>326.2</v>
      </c>
      <c r="FV39" s="70">
        <v>325.20999999999998</v>
      </c>
      <c r="FW39" s="70">
        <v>324.22000000000003</v>
      </c>
      <c r="FX39" s="70">
        <v>323.23</v>
      </c>
      <c r="FY39" s="70">
        <v>322.24</v>
      </c>
      <c r="FZ39" s="70">
        <v>321.25</v>
      </c>
      <c r="GA39" s="70">
        <v>320.26</v>
      </c>
      <c r="GB39" s="70">
        <v>319.26</v>
      </c>
      <c r="GC39" s="70">
        <v>318.27999999999997</v>
      </c>
      <c r="GD39" s="70">
        <v>317.29000000000002</v>
      </c>
      <c r="GE39" s="70">
        <v>316.31</v>
      </c>
      <c r="GF39" s="70">
        <v>315.32</v>
      </c>
      <c r="GG39" s="70">
        <v>314.32</v>
      </c>
      <c r="GH39" s="70">
        <v>313.35000000000002</v>
      </c>
      <c r="GI39" s="70">
        <v>312.35000000000002</v>
      </c>
      <c r="GJ39" s="70">
        <v>311.38</v>
      </c>
      <c r="GK39" s="70">
        <v>310.39999999999998</v>
      </c>
      <c r="GL39" s="70">
        <v>309.41000000000003</v>
      </c>
      <c r="GM39" s="70">
        <v>308.43</v>
      </c>
      <c r="GN39" s="70">
        <v>307.45999999999998</v>
      </c>
      <c r="GO39" s="70">
        <v>306.48</v>
      </c>
      <c r="GP39" s="70">
        <v>305.51</v>
      </c>
      <c r="GQ39" s="70">
        <v>304.52999999999997</v>
      </c>
      <c r="GR39" s="70">
        <v>303.56</v>
      </c>
      <c r="GS39" s="70">
        <v>302.58999999999997</v>
      </c>
      <c r="GT39" s="70">
        <v>301.62</v>
      </c>
      <c r="GU39" s="70">
        <v>300.64</v>
      </c>
      <c r="GV39" s="70">
        <v>299.67</v>
      </c>
      <c r="GW39" s="70">
        <v>298.7</v>
      </c>
      <c r="GX39" s="70">
        <v>297.73</v>
      </c>
      <c r="GY39" s="70">
        <v>296.76</v>
      </c>
      <c r="GZ39" s="70">
        <v>295.79000000000002</v>
      </c>
      <c r="HA39" s="70">
        <v>294.82</v>
      </c>
      <c r="HB39" s="70">
        <v>293.87</v>
      </c>
      <c r="HC39" s="70">
        <v>292.89999999999998</v>
      </c>
      <c r="HD39" s="70">
        <v>291.94</v>
      </c>
      <c r="HE39" s="70">
        <v>290.98</v>
      </c>
      <c r="HF39" s="70">
        <v>290.01</v>
      </c>
      <c r="HG39" s="70">
        <v>289.04000000000002</v>
      </c>
      <c r="HH39" s="70">
        <v>288.08999999999997</v>
      </c>
      <c r="HI39" s="70">
        <v>287.13</v>
      </c>
      <c r="HJ39" s="70">
        <v>286.18</v>
      </c>
      <c r="HK39" s="70">
        <v>285.22000000000003</v>
      </c>
      <c r="HL39" s="70">
        <v>284.26</v>
      </c>
      <c r="HM39" s="70">
        <v>283.32</v>
      </c>
      <c r="HN39" s="70">
        <v>282.37</v>
      </c>
      <c r="HO39" s="70">
        <v>281.42</v>
      </c>
      <c r="HP39" s="70">
        <v>280.48</v>
      </c>
      <c r="HQ39" s="70">
        <v>279.52999999999997</v>
      </c>
      <c r="HR39" s="70">
        <v>278.58999999999997</v>
      </c>
      <c r="HS39" s="70">
        <v>277.64</v>
      </c>
      <c r="HT39" s="70">
        <v>276.7</v>
      </c>
      <c r="HU39" s="70">
        <v>275.76</v>
      </c>
      <c r="HV39" s="70">
        <v>274.81</v>
      </c>
      <c r="HW39" s="70">
        <v>273.87</v>
      </c>
      <c r="HX39" s="70">
        <v>272.93</v>
      </c>
      <c r="HY39" s="70">
        <v>271.99</v>
      </c>
      <c r="HZ39" s="70">
        <v>271.06</v>
      </c>
      <c r="IA39" s="70">
        <v>270.12</v>
      </c>
      <c r="IB39" s="70">
        <v>269.18</v>
      </c>
      <c r="IC39" s="70">
        <v>268.25</v>
      </c>
      <c r="ID39" s="70">
        <v>267.31</v>
      </c>
      <c r="IE39" s="70">
        <v>266.38</v>
      </c>
      <c r="IF39" s="70">
        <v>265.45</v>
      </c>
      <c r="IG39" s="70">
        <v>264.51</v>
      </c>
      <c r="IH39" s="70">
        <v>263.58999999999997</v>
      </c>
      <c r="II39" s="70">
        <v>262.64999999999998</v>
      </c>
      <c r="IJ39" s="70">
        <v>261.73</v>
      </c>
      <c r="IK39" s="70">
        <v>260.79000000000002</v>
      </c>
      <c r="IL39" s="70">
        <v>259.87</v>
      </c>
      <c r="IM39" s="70">
        <v>258.95</v>
      </c>
      <c r="IN39" s="70">
        <v>258.01</v>
      </c>
      <c r="IO39" s="70">
        <v>257.10000000000002</v>
      </c>
      <c r="IP39" s="70">
        <v>256.18</v>
      </c>
      <c r="IQ39" s="70">
        <v>255.26</v>
      </c>
      <c r="IR39" s="70">
        <v>254.33</v>
      </c>
      <c r="IS39" s="70">
        <v>253.41</v>
      </c>
      <c r="IT39" s="70">
        <v>252.5</v>
      </c>
      <c r="IU39" s="70">
        <v>251.58</v>
      </c>
      <c r="IV39" s="70">
        <v>250.67</v>
      </c>
      <c r="IW39" s="70">
        <v>249.76</v>
      </c>
      <c r="IX39" s="70">
        <v>248.86</v>
      </c>
      <c r="IY39" s="70">
        <v>247.95</v>
      </c>
      <c r="IZ39" s="70">
        <v>247.05</v>
      </c>
      <c r="JA39" s="70">
        <v>246.15</v>
      </c>
      <c r="JB39" s="70">
        <v>245.24</v>
      </c>
      <c r="JC39" s="70">
        <v>244.34</v>
      </c>
      <c r="JD39" s="70">
        <v>243.44</v>
      </c>
      <c r="JE39" s="70">
        <v>242.54</v>
      </c>
      <c r="JF39" s="70">
        <v>241.65</v>
      </c>
      <c r="JG39" s="70">
        <v>240.75</v>
      </c>
      <c r="JH39" s="70">
        <v>239.85</v>
      </c>
      <c r="JI39" s="70">
        <v>238.96</v>
      </c>
      <c r="JJ39" s="70">
        <v>238.06</v>
      </c>
      <c r="JK39" s="70">
        <v>237.17</v>
      </c>
      <c r="JL39" s="70">
        <v>236.28</v>
      </c>
      <c r="JM39" s="70">
        <v>235.39</v>
      </c>
      <c r="JN39" s="70">
        <v>234.5</v>
      </c>
      <c r="JO39" s="70">
        <v>233.61</v>
      </c>
      <c r="JP39" s="70">
        <v>232.72</v>
      </c>
      <c r="JQ39" s="70">
        <v>231.83</v>
      </c>
      <c r="JR39" s="70">
        <v>230.95</v>
      </c>
      <c r="JS39" s="70">
        <v>230.06</v>
      </c>
      <c r="JT39" s="70">
        <v>229.17</v>
      </c>
      <c r="JU39" s="70">
        <v>228.28</v>
      </c>
      <c r="JV39" s="70">
        <v>227.39</v>
      </c>
      <c r="JW39" s="70">
        <v>226.5</v>
      </c>
      <c r="JX39" s="70">
        <v>225.61</v>
      </c>
      <c r="JY39" s="70">
        <v>224.72</v>
      </c>
      <c r="JZ39" s="70">
        <v>223.84</v>
      </c>
      <c r="KA39" s="70">
        <v>222.95</v>
      </c>
      <c r="KB39" s="70">
        <v>222.07</v>
      </c>
      <c r="KC39" s="70">
        <v>221.18</v>
      </c>
      <c r="KD39" s="70">
        <v>220.3</v>
      </c>
      <c r="KE39" s="70">
        <v>219.42</v>
      </c>
      <c r="KF39" s="70">
        <v>218.53</v>
      </c>
      <c r="KG39" s="70">
        <v>217.65</v>
      </c>
      <c r="KH39" s="70">
        <v>216.78</v>
      </c>
      <c r="KI39" s="70">
        <v>215.9</v>
      </c>
      <c r="KJ39" s="70">
        <v>215.02</v>
      </c>
      <c r="KK39" s="70">
        <v>214.14</v>
      </c>
      <c r="KL39" s="70">
        <v>213.27</v>
      </c>
      <c r="KM39" s="70">
        <v>212.39</v>
      </c>
      <c r="KN39" s="70">
        <v>211.52</v>
      </c>
      <c r="KO39" s="70">
        <v>210.65</v>
      </c>
      <c r="KP39" s="70">
        <v>209.78</v>
      </c>
      <c r="KQ39" s="70">
        <v>208.91</v>
      </c>
      <c r="KR39" s="74">
        <f t="shared" si="29"/>
        <v>209.27</v>
      </c>
      <c r="KS39" s="74">
        <f t="shared" si="29"/>
        <v>208.48</v>
      </c>
      <c r="KT39" s="74">
        <f t="shared" si="29"/>
        <v>207.66</v>
      </c>
      <c r="KU39" s="74">
        <f t="shared" si="29"/>
        <v>206.87</v>
      </c>
      <c r="KV39" s="74">
        <f t="shared" si="29"/>
        <v>206.09</v>
      </c>
      <c r="KW39" s="74">
        <f t="shared" si="29"/>
        <v>205.3</v>
      </c>
      <c r="KX39" s="74">
        <f t="shared" si="29"/>
        <v>204.51</v>
      </c>
      <c r="KY39" s="74">
        <f t="shared" si="29"/>
        <v>203.73</v>
      </c>
      <c r="KZ39" s="74">
        <f t="shared" si="29"/>
        <v>202.94</v>
      </c>
      <c r="LA39" s="74">
        <f t="shared" si="29"/>
        <v>202.16</v>
      </c>
      <c r="LB39" s="74">
        <f t="shared" si="29"/>
        <v>201.38</v>
      </c>
      <c r="LC39" s="74">
        <f t="shared" si="29"/>
        <v>200.6</v>
      </c>
      <c r="LD39" s="74">
        <f t="shared" si="29"/>
        <v>199.82</v>
      </c>
      <c r="LE39" s="74">
        <f t="shared" si="29"/>
        <v>199.04</v>
      </c>
      <c r="LF39" s="74">
        <f t="shared" si="29"/>
        <v>198.27</v>
      </c>
      <c r="LG39" s="74">
        <f t="shared" si="28"/>
        <v>197.5</v>
      </c>
      <c r="LH39" s="74">
        <f t="shared" si="28"/>
        <v>196.72</v>
      </c>
      <c r="LI39" s="74">
        <f t="shared" si="28"/>
        <v>195.95</v>
      </c>
      <c r="LJ39" s="74">
        <f t="shared" si="28"/>
        <v>195.18</v>
      </c>
      <c r="LK39" s="74">
        <f t="shared" si="28"/>
        <v>194.41</v>
      </c>
      <c r="LL39" s="74">
        <f t="shared" si="28"/>
        <v>193.64</v>
      </c>
      <c r="LM39" s="74">
        <f t="shared" si="28"/>
        <v>192.88</v>
      </c>
      <c r="LN39" s="74">
        <f t="shared" si="28"/>
        <v>192.11</v>
      </c>
      <c r="LO39" s="74">
        <f t="shared" si="28"/>
        <v>191.35</v>
      </c>
      <c r="LP39" s="74">
        <f t="shared" si="28"/>
        <v>190.59</v>
      </c>
      <c r="LQ39" s="74">
        <f t="shared" si="28"/>
        <v>189.83</v>
      </c>
      <c r="LR39" s="74">
        <f t="shared" si="28"/>
        <v>189.07</v>
      </c>
      <c r="LS39" s="74">
        <f t="shared" si="28"/>
        <v>188.31</v>
      </c>
      <c r="LT39" s="74">
        <f t="shared" si="28"/>
        <v>187.56</v>
      </c>
      <c r="LU39" s="74">
        <f t="shared" si="28"/>
        <v>186.81</v>
      </c>
      <c r="LV39" s="74">
        <f t="shared" si="28"/>
        <v>186.05</v>
      </c>
      <c r="LW39" s="74">
        <f t="shared" si="28"/>
        <v>185.3</v>
      </c>
      <c r="LX39" s="74">
        <f t="shared" si="23"/>
        <v>184.55</v>
      </c>
      <c r="LY39" s="74">
        <f t="shared" si="23"/>
        <v>183.8</v>
      </c>
      <c r="LZ39" s="74">
        <f t="shared" si="23"/>
        <v>183.06</v>
      </c>
      <c r="MA39" s="74">
        <f t="shared" si="23"/>
        <v>182.31</v>
      </c>
      <c r="MB39" s="74">
        <f t="shared" si="23"/>
        <v>181.57</v>
      </c>
      <c r="MC39" s="74">
        <f t="shared" si="23"/>
        <v>180.83</v>
      </c>
      <c r="MD39" s="76">
        <f t="shared" si="23"/>
        <v>180.09</v>
      </c>
      <c r="ME39" s="77">
        <f t="shared" si="23"/>
        <v>179.36</v>
      </c>
      <c r="MF39" s="77">
        <f t="shared" si="23"/>
        <v>178.62</v>
      </c>
      <c r="MG39" s="77">
        <f t="shared" si="23"/>
        <v>177.89</v>
      </c>
      <c r="MH39" s="77">
        <f t="shared" si="23"/>
        <v>177.15</v>
      </c>
      <c r="MI39" s="77">
        <f t="shared" si="23"/>
        <v>176.42</v>
      </c>
      <c r="MJ39" s="77">
        <f t="shared" si="23"/>
        <v>175.69</v>
      </c>
      <c r="MK39" s="77">
        <f t="shared" si="23"/>
        <v>174.96</v>
      </c>
      <c r="ML39" s="77">
        <f t="shared" si="23"/>
        <v>174.24</v>
      </c>
      <c r="MM39" s="77">
        <f t="shared" si="23"/>
        <v>173.51</v>
      </c>
      <c r="MN39" s="77">
        <f t="shared" si="25"/>
        <v>172.79</v>
      </c>
      <c r="MO39" s="77">
        <f t="shared" si="26"/>
        <v>172.07</v>
      </c>
      <c r="MP39" s="77">
        <f t="shared" si="27"/>
        <v>171.35</v>
      </c>
      <c r="MQ39" s="77">
        <f t="shared" si="24"/>
        <v>170.64</v>
      </c>
      <c r="MR39" s="77">
        <f t="shared" si="24"/>
        <v>169.92</v>
      </c>
      <c r="MS39" s="77">
        <f t="shared" si="24"/>
        <v>169.21</v>
      </c>
      <c r="MT39" s="77">
        <f t="shared" si="24"/>
        <v>168.49</v>
      </c>
      <c r="MU39" s="77">
        <f t="shared" si="24"/>
        <v>167.78</v>
      </c>
      <c r="MV39" s="77">
        <f t="shared" si="24"/>
        <v>167.07</v>
      </c>
      <c r="MW39" s="77">
        <f t="shared" si="24"/>
        <v>166.37</v>
      </c>
      <c r="MX39" s="77">
        <f t="shared" si="24"/>
        <v>165.66</v>
      </c>
      <c r="MY39" s="77">
        <f t="shared" si="24"/>
        <v>164.96</v>
      </c>
    </row>
    <row r="40" spans="1:363" ht="15.6" x14ac:dyDescent="0.3">
      <c r="A40" s="67" t="s">
        <v>6</v>
      </c>
      <c r="B40" s="72">
        <v>2050</v>
      </c>
      <c r="C40" s="70">
        <v>505.83</v>
      </c>
      <c r="D40" s="70">
        <v>504.79</v>
      </c>
      <c r="E40" s="70">
        <v>503.76</v>
      </c>
      <c r="F40" s="70">
        <v>502.72</v>
      </c>
      <c r="G40" s="70">
        <v>501.69</v>
      </c>
      <c r="H40" s="70">
        <v>500.65</v>
      </c>
      <c r="I40" s="70">
        <v>499.61</v>
      </c>
      <c r="J40" s="70">
        <v>498.58</v>
      </c>
      <c r="K40" s="70">
        <v>497.54</v>
      </c>
      <c r="L40" s="70">
        <v>496.5</v>
      </c>
      <c r="M40" s="70">
        <v>495.47</v>
      </c>
      <c r="N40" s="70">
        <v>494.43</v>
      </c>
      <c r="O40" s="70">
        <v>493.4</v>
      </c>
      <c r="P40" s="70">
        <v>492.36</v>
      </c>
      <c r="Q40" s="70">
        <v>491.32</v>
      </c>
      <c r="R40" s="70">
        <v>490.29</v>
      </c>
      <c r="S40" s="70">
        <v>489.25</v>
      </c>
      <c r="T40" s="70">
        <v>488.21</v>
      </c>
      <c r="U40" s="70">
        <v>487.18</v>
      </c>
      <c r="V40" s="70">
        <v>486.14</v>
      </c>
      <c r="W40" s="70">
        <v>485.1</v>
      </c>
      <c r="X40" s="70">
        <v>484.07</v>
      </c>
      <c r="Y40" s="70">
        <v>483.03</v>
      </c>
      <c r="Z40" s="70">
        <v>482</v>
      </c>
      <c r="AA40" s="70">
        <v>480.96</v>
      </c>
      <c r="AB40" s="70">
        <v>479.92</v>
      </c>
      <c r="AC40" s="70">
        <v>478.89</v>
      </c>
      <c r="AD40" s="70">
        <v>477.85</v>
      </c>
      <c r="AE40" s="70">
        <v>476.81</v>
      </c>
      <c r="AF40" s="70">
        <v>475.78</v>
      </c>
      <c r="AG40" s="70">
        <v>474.74</v>
      </c>
      <c r="AH40" s="70">
        <v>473.7</v>
      </c>
      <c r="AI40" s="70">
        <v>472.67</v>
      </c>
      <c r="AJ40" s="70">
        <v>471.63</v>
      </c>
      <c r="AK40" s="70">
        <v>470.59</v>
      </c>
      <c r="AL40" s="70">
        <v>469.56</v>
      </c>
      <c r="AM40" s="70">
        <v>468.52</v>
      </c>
      <c r="AN40" s="70">
        <v>467.48</v>
      </c>
      <c r="AO40" s="70">
        <v>466.44</v>
      </c>
      <c r="AP40" s="70">
        <v>465.41</v>
      </c>
      <c r="AQ40" s="70">
        <v>464.37</v>
      </c>
      <c r="AR40" s="70">
        <v>463.33</v>
      </c>
      <c r="AS40" s="70">
        <v>462.3</v>
      </c>
      <c r="AT40" s="70">
        <v>461.26</v>
      </c>
      <c r="AU40" s="70">
        <v>460.22</v>
      </c>
      <c r="AV40" s="70">
        <v>459.19</v>
      </c>
      <c r="AW40" s="70">
        <v>458.15</v>
      </c>
      <c r="AX40" s="70">
        <v>457.11</v>
      </c>
      <c r="AY40" s="70">
        <v>456.08</v>
      </c>
      <c r="AZ40" s="70">
        <v>455.04</v>
      </c>
      <c r="BA40" s="70">
        <v>454</v>
      </c>
      <c r="BB40" s="70">
        <v>452.96</v>
      </c>
      <c r="BC40" s="70">
        <v>451.93</v>
      </c>
      <c r="BD40" s="70">
        <v>450.89</v>
      </c>
      <c r="BE40" s="70">
        <v>449.85</v>
      </c>
      <c r="BF40" s="70">
        <v>448.82</v>
      </c>
      <c r="BG40" s="70">
        <v>447.78</v>
      </c>
      <c r="BH40" s="70">
        <v>446.74</v>
      </c>
      <c r="BI40" s="70">
        <v>445.7</v>
      </c>
      <c r="BJ40" s="70">
        <v>444.67</v>
      </c>
      <c r="BK40" s="70">
        <v>443.63</v>
      </c>
      <c r="BL40" s="70">
        <v>442.59</v>
      </c>
      <c r="BM40" s="70">
        <v>441.55</v>
      </c>
      <c r="BN40" s="70">
        <v>440.52</v>
      </c>
      <c r="BO40" s="70">
        <v>439.48</v>
      </c>
      <c r="BP40" s="70">
        <v>438.44</v>
      </c>
      <c r="BQ40" s="70">
        <v>437.4</v>
      </c>
      <c r="BR40" s="70">
        <v>436.36</v>
      </c>
      <c r="BS40" s="70">
        <v>435.33</v>
      </c>
      <c r="BT40" s="70">
        <v>434.29</v>
      </c>
      <c r="BU40" s="70">
        <v>433.25</v>
      </c>
      <c r="BV40" s="70">
        <v>432.22</v>
      </c>
      <c r="BW40" s="70">
        <v>431.18</v>
      </c>
      <c r="BX40" s="70">
        <v>430.14</v>
      </c>
      <c r="BY40" s="70">
        <v>429.11</v>
      </c>
      <c r="BZ40" s="70">
        <v>428.07</v>
      </c>
      <c r="CA40" s="70">
        <v>427.03</v>
      </c>
      <c r="CB40" s="70">
        <v>426</v>
      </c>
      <c r="CC40" s="70">
        <v>424.96</v>
      </c>
      <c r="CD40" s="70">
        <v>423.93</v>
      </c>
      <c r="CE40" s="70">
        <v>422.89</v>
      </c>
      <c r="CF40" s="70">
        <v>421.86</v>
      </c>
      <c r="CG40" s="70">
        <v>420.82</v>
      </c>
      <c r="CH40" s="70">
        <v>419.79</v>
      </c>
      <c r="CI40" s="70">
        <v>418.75</v>
      </c>
      <c r="CJ40" s="70">
        <v>417.72</v>
      </c>
      <c r="CK40" s="70">
        <v>416.68</v>
      </c>
      <c r="CL40" s="70">
        <v>415.65</v>
      </c>
      <c r="CM40" s="70">
        <v>414.61</v>
      </c>
      <c r="CN40" s="70">
        <v>413.58</v>
      </c>
      <c r="CO40" s="70">
        <v>412.54</v>
      </c>
      <c r="CP40" s="70">
        <v>411.5</v>
      </c>
      <c r="CQ40" s="70">
        <v>410.47</v>
      </c>
      <c r="CR40" s="70">
        <v>409.43</v>
      </c>
      <c r="CS40" s="70">
        <v>408.4</v>
      </c>
      <c r="CT40" s="70">
        <v>407.36</v>
      </c>
      <c r="CU40" s="70">
        <v>406.33</v>
      </c>
      <c r="CV40" s="70">
        <v>405.3</v>
      </c>
      <c r="CW40" s="70">
        <v>404.26</v>
      </c>
      <c r="CX40" s="70">
        <v>403.23</v>
      </c>
      <c r="CY40" s="70">
        <v>402.2</v>
      </c>
      <c r="CZ40" s="70">
        <v>401.16</v>
      </c>
      <c r="DA40" s="70">
        <v>400.13</v>
      </c>
      <c r="DB40" s="70">
        <v>399.1</v>
      </c>
      <c r="DC40" s="70">
        <v>398.06</v>
      </c>
      <c r="DD40" s="70">
        <v>397.03</v>
      </c>
      <c r="DE40" s="70">
        <v>396</v>
      </c>
      <c r="DF40" s="70">
        <v>394.97</v>
      </c>
      <c r="DG40" s="70">
        <v>393.93</v>
      </c>
      <c r="DH40" s="70">
        <v>392.9</v>
      </c>
      <c r="DI40" s="70">
        <v>391.87</v>
      </c>
      <c r="DJ40" s="70">
        <v>390.84</v>
      </c>
      <c r="DK40" s="70">
        <v>389.81</v>
      </c>
      <c r="DL40" s="70">
        <v>388.78</v>
      </c>
      <c r="DM40" s="70">
        <v>387.75</v>
      </c>
      <c r="DN40" s="70">
        <v>386.72</v>
      </c>
      <c r="DO40" s="70">
        <v>385.69</v>
      </c>
      <c r="DP40" s="70">
        <v>384.66</v>
      </c>
      <c r="DQ40" s="70">
        <v>383.63</v>
      </c>
      <c r="DR40" s="70">
        <v>382.6</v>
      </c>
      <c r="DS40" s="70">
        <v>381.57</v>
      </c>
      <c r="DT40" s="70">
        <v>380.54</v>
      </c>
      <c r="DU40" s="70">
        <v>379.51</v>
      </c>
      <c r="DV40" s="70">
        <v>378.49</v>
      </c>
      <c r="DW40" s="70">
        <v>377.46</v>
      </c>
      <c r="DX40" s="70">
        <v>376.44</v>
      </c>
      <c r="DY40" s="70">
        <v>375.41</v>
      </c>
      <c r="DZ40" s="70">
        <v>374.39</v>
      </c>
      <c r="EA40" s="70">
        <v>373.36</v>
      </c>
      <c r="EB40" s="70">
        <v>372.34</v>
      </c>
      <c r="EC40" s="70">
        <v>371.32</v>
      </c>
      <c r="ED40" s="70">
        <v>370.29</v>
      </c>
      <c r="EE40" s="70">
        <v>369.27</v>
      </c>
      <c r="EF40" s="70">
        <v>368.25</v>
      </c>
      <c r="EG40" s="70">
        <v>367.24</v>
      </c>
      <c r="EH40" s="70">
        <v>366.22</v>
      </c>
      <c r="EI40" s="70">
        <v>365.2</v>
      </c>
      <c r="EJ40" s="70">
        <v>364.19</v>
      </c>
      <c r="EK40" s="70">
        <v>363.17</v>
      </c>
      <c r="EL40" s="70">
        <v>362.15</v>
      </c>
      <c r="EM40" s="70">
        <v>361.14</v>
      </c>
      <c r="EN40" s="70">
        <v>360.12</v>
      </c>
      <c r="EO40" s="70">
        <v>359.11</v>
      </c>
      <c r="EP40" s="70">
        <v>358.09</v>
      </c>
      <c r="EQ40" s="70">
        <v>357.08</v>
      </c>
      <c r="ER40" s="70">
        <v>356.07</v>
      </c>
      <c r="ES40" s="70">
        <v>355.06</v>
      </c>
      <c r="ET40" s="70">
        <v>354.05</v>
      </c>
      <c r="EU40" s="70">
        <v>353.04</v>
      </c>
      <c r="EV40" s="70">
        <v>352.03</v>
      </c>
      <c r="EW40" s="70">
        <v>351.02</v>
      </c>
      <c r="EX40" s="70">
        <v>350.01</v>
      </c>
      <c r="EY40" s="70">
        <v>349</v>
      </c>
      <c r="EZ40" s="70">
        <v>348</v>
      </c>
      <c r="FA40" s="70">
        <v>346.99</v>
      </c>
      <c r="FB40" s="70">
        <v>345.98</v>
      </c>
      <c r="FC40" s="70">
        <v>344.97</v>
      </c>
      <c r="FD40" s="70">
        <v>343.97</v>
      </c>
      <c r="FE40" s="70">
        <v>342.97</v>
      </c>
      <c r="FF40" s="70">
        <v>341.97</v>
      </c>
      <c r="FG40" s="70">
        <v>340.97</v>
      </c>
      <c r="FH40" s="70">
        <v>339.97</v>
      </c>
      <c r="FI40" s="70">
        <v>338.97</v>
      </c>
      <c r="FJ40" s="70">
        <v>337.97</v>
      </c>
      <c r="FK40" s="70">
        <v>336.97</v>
      </c>
      <c r="FL40" s="70">
        <v>335.97</v>
      </c>
      <c r="FM40" s="70">
        <v>334.97</v>
      </c>
      <c r="FN40" s="70">
        <v>333.97</v>
      </c>
      <c r="FO40" s="70">
        <v>332.97</v>
      </c>
      <c r="FP40" s="70">
        <v>331.98</v>
      </c>
      <c r="FQ40" s="70">
        <v>330.98</v>
      </c>
      <c r="FR40" s="70">
        <v>329.99</v>
      </c>
      <c r="FS40" s="70">
        <v>328.99</v>
      </c>
      <c r="FT40" s="70">
        <v>328</v>
      </c>
      <c r="FU40" s="70">
        <v>327</v>
      </c>
      <c r="FV40" s="70">
        <v>326.01</v>
      </c>
      <c r="FW40" s="70">
        <v>325.01</v>
      </c>
      <c r="FX40" s="70">
        <v>324.02999999999997</v>
      </c>
      <c r="FY40" s="70">
        <v>323.02999999999997</v>
      </c>
      <c r="FZ40" s="70">
        <v>322.04000000000002</v>
      </c>
      <c r="GA40" s="70">
        <v>321.04000000000002</v>
      </c>
      <c r="GB40" s="70">
        <v>320.06</v>
      </c>
      <c r="GC40" s="70">
        <v>319.07</v>
      </c>
      <c r="GD40" s="70">
        <v>318.08999999999997</v>
      </c>
      <c r="GE40" s="70">
        <v>317.10000000000002</v>
      </c>
      <c r="GF40" s="70">
        <v>316.10000000000002</v>
      </c>
      <c r="GG40" s="70">
        <v>315.13</v>
      </c>
      <c r="GH40" s="70">
        <v>314.14</v>
      </c>
      <c r="GI40" s="70">
        <v>313.16000000000003</v>
      </c>
      <c r="GJ40" s="70">
        <v>312.17</v>
      </c>
      <c r="GK40" s="70">
        <v>311.19</v>
      </c>
      <c r="GL40" s="70">
        <v>310.2</v>
      </c>
      <c r="GM40" s="70">
        <v>309.22000000000003</v>
      </c>
      <c r="GN40" s="70">
        <v>308.24</v>
      </c>
      <c r="GO40" s="70">
        <v>307.26</v>
      </c>
      <c r="GP40" s="70">
        <v>306.29000000000002</v>
      </c>
      <c r="GQ40" s="70">
        <v>305.32</v>
      </c>
      <c r="GR40" s="70">
        <v>304.33999999999997</v>
      </c>
      <c r="GS40" s="70">
        <v>303.37</v>
      </c>
      <c r="GT40" s="70">
        <v>302.39999999999998</v>
      </c>
      <c r="GU40" s="70">
        <v>301.43</v>
      </c>
      <c r="GV40" s="70">
        <v>300.45999999999998</v>
      </c>
      <c r="GW40" s="70">
        <v>299.48</v>
      </c>
      <c r="GX40" s="70">
        <v>298.51</v>
      </c>
      <c r="GY40" s="70">
        <v>297.54000000000002</v>
      </c>
      <c r="GZ40" s="70">
        <v>296.57</v>
      </c>
      <c r="HA40" s="70">
        <v>295.60000000000002</v>
      </c>
      <c r="HB40" s="70">
        <v>294.64999999999998</v>
      </c>
      <c r="HC40" s="70">
        <v>293.68</v>
      </c>
      <c r="HD40" s="70">
        <v>292.72000000000003</v>
      </c>
      <c r="HE40" s="70">
        <v>291.75</v>
      </c>
      <c r="HF40" s="70">
        <v>290.79000000000002</v>
      </c>
      <c r="HG40" s="70">
        <v>289.82</v>
      </c>
      <c r="HH40" s="70">
        <v>288.87</v>
      </c>
      <c r="HI40" s="70">
        <v>287.91000000000003</v>
      </c>
      <c r="HJ40" s="70">
        <v>286.95</v>
      </c>
      <c r="HK40" s="70">
        <v>285.99</v>
      </c>
      <c r="HL40" s="70">
        <v>285.04000000000002</v>
      </c>
      <c r="HM40" s="70">
        <v>284.08999999999997</v>
      </c>
      <c r="HN40" s="70">
        <v>283.14</v>
      </c>
      <c r="HO40" s="70">
        <v>282.19</v>
      </c>
      <c r="HP40" s="70">
        <v>281.24</v>
      </c>
      <c r="HQ40" s="70">
        <v>280.29000000000002</v>
      </c>
      <c r="HR40" s="70">
        <v>279.35000000000002</v>
      </c>
      <c r="HS40" s="70">
        <v>278.39999999999998</v>
      </c>
      <c r="HT40" s="70">
        <v>277.45999999999998</v>
      </c>
      <c r="HU40" s="70">
        <v>276.51</v>
      </c>
      <c r="HV40" s="70">
        <v>275.57</v>
      </c>
      <c r="HW40" s="70">
        <v>274.63</v>
      </c>
      <c r="HX40" s="70">
        <v>273.69</v>
      </c>
      <c r="HY40" s="70">
        <v>272.75</v>
      </c>
      <c r="HZ40" s="70">
        <v>271.81</v>
      </c>
      <c r="IA40" s="70">
        <v>270.87</v>
      </c>
      <c r="IB40" s="70">
        <v>269.94</v>
      </c>
      <c r="IC40" s="70">
        <v>269</v>
      </c>
      <c r="ID40" s="70">
        <v>268.06</v>
      </c>
      <c r="IE40" s="70">
        <v>267.13</v>
      </c>
      <c r="IF40" s="70">
        <v>266.2</v>
      </c>
      <c r="IG40" s="70">
        <v>265.26</v>
      </c>
      <c r="IH40" s="70">
        <v>264.32</v>
      </c>
      <c r="II40" s="70">
        <v>263.39999999999998</v>
      </c>
      <c r="IJ40" s="70">
        <v>262.47000000000003</v>
      </c>
      <c r="IK40" s="70">
        <v>261.54000000000002</v>
      </c>
      <c r="IL40" s="70">
        <v>260.60000000000002</v>
      </c>
      <c r="IM40" s="70">
        <v>259.69</v>
      </c>
      <c r="IN40" s="70">
        <v>258.76</v>
      </c>
      <c r="IO40" s="70">
        <v>257.83999999999997</v>
      </c>
      <c r="IP40" s="70">
        <v>256.91000000000003</v>
      </c>
      <c r="IQ40" s="70">
        <v>255.99</v>
      </c>
      <c r="IR40" s="70">
        <v>255.07</v>
      </c>
      <c r="IS40" s="70">
        <v>254.15</v>
      </c>
      <c r="IT40" s="70">
        <v>253.23</v>
      </c>
      <c r="IU40" s="70">
        <v>252.31</v>
      </c>
      <c r="IV40" s="70">
        <v>251.4</v>
      </c>
      <c r="IW40" s="70">
        <v>250.49</v>
      </c>
      <c r="IX40" s="70">
        <v>249.58</v>
      </c>
      <c r="IY40" s="70">
        <v>248.68</v>
      </c>
      <c r="IZ40" s="70">
        <v>247.77</v>
      </c>
      <c r="JA40" s="70">
        <v>246.87</v>
      </c>
      <c r="JB40" s="70">
        <v>245.96</v>
      </c>
      <c r="JC40" s="70">
        <v>245.06</v>
      </c>
      <c r="JD40" s="70">
        <v>244.16</v>
      </c>
      <c r="JE40" s="70">
        <v>243.26</v>
      </c>
      <c r="JF40" s="70">
        <v>242.36</v>
      </c>
      <c r="JG40" s="70">
        <v>241.46</v>
      </c>
      <c r="JH40" s="70">
        <v>240.56</v>
      </c>
      <c r="JI40" s="70">
        <v>239.67</v>
      </c>
      <c r="JJ40" s="70">
        <v>238.77</v>
      </c>
      <c r="JK40" s="70">
        <v>237.88</v>
      </c>
      <c r="JL40" s="70">
        <v>236.99</v>
      </c>
      <c r="JM40" s="70">
        <v>236.09</v>
      </c>
      <c r="JN40" s="70">
        <v>235.2</v>
      </c>
      <c r="JO40" s="70">
        <v>234.31</v>
      </c>
      <c r="JP40" s="70">
        <v>233.42</v>
      </c>
      <c r="JQ40" s="70">
        <v>232.53</v>
      </c>
      <c r="JR40" s="70">
        <v>231.65</v>
      </c>
      <c r="JS40" s="70">
        <v>230.76</v>
      </c>
      <c r="JT40" s="70">
        <v>229.87</v>
      </c>
      <c r="JU40" s="70">
        <v>228.97</v>
      </c>
      <c r="JV40" s="70">
        <v>228.08</v>
      </c>
      <c r="JW40" s="70">
        <v>227.19</v>
      </c>
      <c r="JX40" s="70">
        <v>226.3</v>
      </c>
      <c r="JY40" s="70">
        <v>225.41</v>
      </c>
      <c r="JZ40" s="70">
        <v>224.52</v>
      </c>
      <c r="KA40" s="70">
        <v>223.64</v>
      </c>
      <c r="KB40" s="70">
        <v>222.75</v>
      </c>
      <c r="KC40" s="70">
        <v>221.86</v>
      </c>
      <c r="KD40" s="70">
        <v>220.98</v>
      </c>
      <c r="KE40" s="70">
        <v>220.09</v>
      </c>
      <c r="KF40" s="70">
        <v>219.21</v>
      </c>
      <c r="KG40" s="70">
        <v>218.33</v>
      </c>
      <c r="KH40" s="70">
        <v>217.45</v>
      </c>
      <c r="KI40" s="70">
        <v>216.57</v>
      </c>
      <c r="KJ40" s="70">
        <v>215.69</v>
      </c>
      <c r="KK40" s="70">
        <v>214.81</v>
      </c>
      <c r="KL40" s="70">
        <v>213.93</v>
      </c>
      <c r="KM40" s="70">
        <v>213.06</v>
      </c>
      <c r="KN40" s="70">
        <v>212.18</v>
      </c>
      <c r="KO40" s="70">
        <v>211.31</v>
      </c>
      <c r="KP40" s="70">
        <v>210.44</v>
      </c>
      <c r="KQ40" s="70">
        <v>209.56</v>
      </c>
      <c r="KR40" s="74">
        <f t="shared" si="29"/>
        <v>210.02</v>
      </c>
      <c r="KS40" s="74">
        <f t="shared" si="29"/>
        <v>209.23</v>
      </c>
      <c r="KT40" s="74">
        <f t="shared" si="29"/>
        <v>208.41</v>
      </c>
      <c r="KU40" s="74">
        <f t="shared" si="29"/>
        <v>207.62</v>
      </c>
      <c r="KV40" s="74">
        <f t="shared" si="29"/>
        <v>206.84</v>
      </c>
      <c r="KW40" s="74">
        <f t="shared" si="29"/>
        <v>206.05</v>
      </c>
      <c r="KX40" s="74">
        <f t="shared" si="29"/>
        <v>205.26</v>
      </c>
      <c r="KY40" s="74">
        <f t="shared" si="29"/>
        <v>204.48</v>
      </c>
      <c r="KZ40" s="74">
        <f t="shared" si="29"/>
        <v>203.69</v>
      </c>
      <c r="LA40" s="74">
        <f t="shared" si="29"/>
        <v>202.91</v>
      </c>
      <c r="LB40" s="74">
        <f t="shared" si="29"/>
        <v>202.13</v>
      </c>
      <c r="LC40" s="74">
        <f t="shared" si="29"/>
        <v>201.35</v>
      </c>
      <c r="LD40" s="74">
        <f t="shared" si="29"/>
        <v>200.57</v>
      </c>
      <c r="LE40" s="74">
        <f t="shared" si="29"/>
        <v>199.79</v>
      </c>
      <c r="LF40" s="74">
        <f t="shared" si="29"/>
        <v>199.02</v>
      </c>
      <c r="LG40" s="74">
        <f t="shared" si="28"/>
        <v>198.25</v>
      </c>
      <c r="LH40" s="74">
        <f t="shared" si="28"/>
        <v>197.47</v>
      </c>
      <c r="LI40" s="74">
        <f t="shared" si="28"/>
        <v>196.7</v>
      </c>
      <c r="LJ40" s="74">
        <f t="shared" si="28"/>
        <v>195.93</v>
      </c>
      <c r="LK40" s="74">
        <f t="shared" si="28"/>
        <v>195.16</v>
      </c>
      <c r="LL40" s="74">
        <f t="shared" si="28"/>
        <v>194.39</v>
      </c>
      <c r="LM40" s="74">
        <f t="shared" si="28"/>
        <v>193.63</v>
      </c>
      <c r="LN40" s="74">
        <f t="shared" si="28"/>
        <v>192.86</v>
      </c>
      <c r="LO40" s="74">
        <f t="shared" si="28"/>
        <v>192.1</v>
      </c>
      <c r="LP40" s="74">
        <f t="shared" si="28"/>
        <v>191.34</v>
      </c>
      <c r="LQ40" s="74">
        <f t="shared" si="28"/>
        <v>190.58</v>
      </c>
      <c r="LR40" s="74">
        <f t="shared" si="28"/>
        <v>189.82</v>
      </c>
      <c r="LS40" s="74">
        <f t="shared" si="28"/>
        <v>189.06</v>
      </c>
      <c r="LT40" s="74">
        <f t="shared" si="28"/>
        <v>188.31</v>
      </c>
      <c r="LU40" s="74">
        <f t="shared" si="28"/>
        <v>187.56</v>
      </c>
      <c r="LV40" s="74">
        <f t="shared" si="28"/>
        <v>186.8</v>
      </c>
      <c r="LW40" s="74">
        <f t="shared" si="28"/>
        <v>186.05</v>
      </c>
      <c r="LX40" s="74">
        <f t="shared" si="23"/>
        <v>185.3</v>
      </c>
      <c r="LY40" s="74">
        <f t="shared" si="23"/>
        <v>184.55</v>
      </c>
      <c r="LZ40" s="74">
        <f t="shared" si="23"/>
        <v>183.81</v>
      </c>
      <c r="MA40" s="74">
        <f t="shared" si="23"/>
        <v>183.06</v>
      </c>
      <c r="MB40" s="74">
        <f t="shared" si="23"/>
        <v>182.32</v>
      </c>
      <c r="MC40" s="74">
        <f t="shared" si="23"/>
        <v>181.58</v>
      </c>
      <c r="MD40" s="76">
        <f t="shared" si="23"/>
        <v>180.84</v>
      </c>
      <c r="ME40" s="77">
        <f t="shared" si="23"/>
        <v>180.11</v>
      </c>
      <c r="MF40" s="77">
        <f t="shared" si="23"/>
        <v>179.37</v>
      </c>
      <c r="MG40" s="77">
        <f t="shared" si="23"/>
        <v>178.64</v>
      </c>
      <c r="MH40" s="77">
        <f t="shared" si="23"/>
        <v>177.9</v>
      </c>
      <c r="MI40" s="77">
        <f t="shared" si="23"/>
        <v>177.17</v>
      </c>
      <c r="MJ40" s="77">
        <f t="shared" si="23"/>
        <v>176.44</v>
      </c>
      <c r="MK40" s="77">
        <f t="shared" si="23"/>
        <v>175.71</v>
      </c>
      <c r="ML40" s="77">
        <f t="shared" si="23"/>
        <v>174.99</v>
      </c>
      <c r="MM40" s="77">
        <f t="shared" si="23"/>
        <v>174.26</v>
      </c>
      <c r="MN40" s="77">
        <f t="shared" si="25"/>
        <v>173.54</v>
      </c>
      <c r="MO40" s="77">
        <f t="shared" si="26"/>
        <v>172.82</v>
      </c>
      <c r="MP40" s="77">
        <f t="shared" si="27"/>
        <v>172.1</v>
      </c>
      <c r="MQ40" s="77">
        <f t="shared" si="24"/>
        <v>171.39</v>
      </c>
      <c r="MR40" s="77">
        <f t="shared" si="24"/>
        <v>170.67</v>
      </c>
      <c r="MS40" s="77">
        <f t="shared" si="24"/>
        <v>169.96</v>
      </c>
      <c r="MT40" s="77">
        <f t="shared" si="24"/>
        <v>169.24</v>
      </c>
      <c r="MU40" s="77">
        <f t="shared" si="24"/>
        <v>168.53</v>
      </c>
      <c r="MV40" s="77">
        <f t="shared" si="24"/>
        <v>167.82</v>
      </c>
      <c r="MW40" s="77">
        <f t="shared" si="24"/>
        <v>167.12</v>
      </c>
      <c r="MX40" s="77">
        <f t="shared" si="24"/>
        <v>166.41</v>
      </c>
      <c r="MY40" s="77">
        <f t="shared" si="24"/>
        <v>165.71</v>
      </c>
    </row>
    <row r="41" spans="1:363" ht="15.6" x14ac:dyDescent="0.3">
      <c r="A41" s="67" t="s">
        <v>6</v>
      </c>
      <c r="B41" s="72">
        <v>2051</v>
      </c>
      <c r="C41" s="70">
        <v>506.66</v>
      </c>
      <c r="D41" s="70">
        <v>505.62</v>
      </c>
      <c r="E41" s="70">
        <v>504.58</v>
      </c>
      <c r="F41" s="70">
        <v>503.55</v>
      </c>
      <c r="G41" s="70">
        <v>502.51</v>
      </c>
      <c r="H41" s="70">
        <v>501.47</v>
      </c>
      <c r="I41" s="70">
        <v>500.44</v>
      </c>
      <c r="J41" s="70">
        <v>499.4</v>
      </c>
      <c r="K41" s="70">
        <v>498.37</v>
      </c>
      <c r="L41" s="70">
        <v>497.33</v>
      </c>
      <c r="M41" s="70">
        <v>496.29</v>
      </c>
      <c r="N41" s="70">
        <v>495.26</v>
      </c>
      <c r="O41" s="70">
        <v>494.22</v>
      </c>
      <c r="P41" s="70">
        <v>493.19</v>
      </c>
      <c r="Q41" s="70">
        <v>492.15</v>
      </c>
      <c r="R41" s="70">
        <v>491.11</v>
      </c>
      <c r="S41" s="70">
        <v>490.08</v>
      </c>
      <c r="T41" s="70">
        <v>489.04</v>
      </c>
      <c r="U41" s="70">
        <v>488</v>
      </c>
      <c r="V41" s="70">
        <v>486.97</v>
      </c>
      <c r="W41" s="70">
        <v>485.93</v>
      </c>
      <c r="X41" s="70">
        <v>484.9</v>
      </c>
      <c r="Y41" s="70">
        <v>483.86</v>
      </c>
      <c r="Z41" s="70">
        <v>482.82</v>
      </c>
      <c r="AA41" s="70">
        <v>481.79</v>
      </c>
      <c r="AB41" s="70">
        <v>480.75</v>
      </c>
      <c r="AC41" s="70">
        <v>479.71</v>
      </c>
      <c r="AD41" s="70">
        <v>478.68</v>
      </c>
      <c r="AE41" s="70">
        <v>477.64</v>
      </c>
      <c r="AF41" s="70">
        <v>476.6</v>
      </c>
      <c r="AG41" s="70">
        <v>475.57</v>
      </c>
      <c r="AH41" s="70">
        <v>474.53</v>
      </c>
      <c r="AI41" s="70">
        <v>473.49</v>
      </c>
      <c r="AJ41" s="70">
        <v>472.46</v>
      </c>
      <c r="AK41" s="70">
        <v>471.42</v>
      </c>
      <c r="AL41" s="70">
        <v>470.38</v>
      </c>
      <c r="AM41" s="70">
        <v>469.35</v>
      </c>
      <c r="AN41" s="70">
        <v>468.31</v>
      </c>
      <c r="AO41" s="70">
        <v>467.27</v>
      </c>
      <c r="AP41" s="70">
        <v>466.24</v>
      </c>
      <c r="AQ41" s="70">
        <v>465.2</v>
      </c>
      <c r="AR41" s="70">
        <v>464.16</v>
      </c>
      <c r="AS41" s="70">
        <v>463.12</v>
      </c>
      <c r="AT41" s="70">
        <v>462.09</v>
      </c>
      <c r="AU41" s="70">
        <v>461.05</v>
      </c>
      <c r="AV41" s="70">
        <v>460.01</v>
      </c>
      <c r="AW41" s="70">
        <v>458.98</v>
      </c>
      <c r="AX41" s="70">
        <v>457.94</v>
      </c>
      <c r="AY41" s="70">
        <v>456.9</v>
      </c>
      <c r="AZ41" s="70">
        <v>455.87</v>
      </c>
      <c r="BA41" s="70">
        <v>454.83</v>
      </c>
      <c r="BB41" s="70">
        <v>453.79</v>
      </c>
      <c r="BC41" s="70">
        <v>452.75</v>
      </c>
      <c r="BD41" s="70">
        <v>451.72</v>
      </c>
      <c r="BE41" s="70">
        <v>450.68</v>
      </c>
      <c r="BF41" s="70">
        <v>449.64</v>
      </c>
      <c r="BG41" s="70">
        <v>448.61</v>
      </c>
      <c r="BH41" s="70">
        <v>447.57</v>
      </c>
      <c r="BI41" s="70">
        <v>446.53</v>
      </c>
      <c r="BJ41" s="70">
        <v>445.49</v>
      </c>
      <c r="BK41" s="70">
        <v>444.46</v>
      </c>
      <c r="BL41" s="70">
        <v>443.42</v>
      </c>
      <c r="BM41" s="70">
        <v>442.38</v>
      </c>
      <c r="BN41" s="70">
        <v>441.34</v>
      </c>
      <c r="BO41" s="70">
        <v>440.31</v>
      </c>
      <c r="BP41" s="70">
        <v>439.27</v>
      </c>
      <c r="BQ41" s="70">
        <v>438.23</v>
      </c>
      <c r="BR41" s="70">
        <v>437.19</v>
      </c>
      <c r="BS41" s="70">
        <v>436.15</v>
      </c>
      <c r="BT41" s="70">
        <v>435.12</v>
      </c>
      <c r="BU41" s="70">
        <v>434.08</v>
      </c>
      <c r="BV41" s="70">
        <v>433.04</v>
      </c>
      <c r="BW41" s="70">
        <v>432.01</v>
      </c>
      <c r="BX41" s="70">
        <v>430.97</v>
      </c>
      <c r="BY41" s="70">
        <v>429.93</v>
      </c>
      <c r="BZ41" s="70">
        <v>428.9</v>
      </c>
      <c r="CA41" s="70">
        <v>427.86</v>
      </c>
      <c r="CB41" s="70">
        <v>426.83</v>
      </c>
      <c r="CC41" s="70">
        <v>425.79</v>
      </c>
      <c r="CD41" s="70">
        <v>424.75</v>
      </c>
      <c r="CE41" s="70">
        <v>423.72</v>
      </c>
      <c r="CF41" s="70">
        <v>422.68</v>
      </c>
      <c r="CG41" s="70">
        <v>421.65</v>
      </c>
      <c r="CH41" s="70">
        <v>420.61</v>
      </c>
      <c r="CI41" s="70">
        <v>419.58</v>
      </c>
      <c r="CJ41" s="70">
        <v>418.54</v>
      </c>
      <c r="CK41" s="70">
        <v>417.51</v>
      </c>
      <c r="CL41" s="70">
        <v>416.47</v>
      </c>
      <c r="CM41" s="70">
        <v>415.44</v>
      </c>
      <c r="CN41" s="70">
        <v>414.4</v>
      </c>
      <c r="CO41" s="70">
        <v>413.37</v>
      </c>
      <c r="CP41" s="70">
        <v>412.33</v>
      </c>
      <c r="CQ41" s="70">
        <v>411.29</v>
      </c>
      <c r="CR41" s="70">
        <v>410.26</v>
      </c>
      <c r="CS41" s="70">
        <v>409.22</v>
      </c>
      <c r="CT41" s="70">
        <v>408.19</v>
      </c>
      <c r="CU41" s="70">
        <v>407.15</v>
      </c>
      <c r="CV41" s="70">
        <v>406.12</v>
      </c>
      <c r="CW41" s="70">
        <v>405.09</v>
      </c>
      <c r="CX41" s="70">
        <v>404.05</v>
      </c>
      <c r="CY41" s="70">
        <v>403.02</v>
      </c>
      <c r="CZ41" s="70">
        <v>401.99</v>
      </c>
      <c r="DA41" s="70">
        <v>400.95</v>
      </c>
      <c r="DB41" s="70">
        <v>399.92</v>
      </c>
      <c r="DC41" s="70">
        <v>398.89</v>
      </c>
      <c r="DD41" s="70">
        <v>397.85</v>
      </c>
      <c r="DE41" s="70">
        <v>396.82</v>
      </c>
      <c r="DF41" s="70">
        <v>395.79</v>
      </c>
      <c r="DG41" s="70">
        <v>394.76</v>
      </c>
      <c r="DH41" s="70">
        <v>393.72</v>
      </c>
      <c r="DI41" s="70">
        <v>392.69</v>
      </c>
      <c r="DJ41" s="70">
        <v>391.66</v>
      </c>
      <c r="DK41" s="70">
        <v>390.63</v>
      </c>
      <c r="DL41" s="70">
        <v>389.6</v>
      </c>
      <c r="DM41" s="70">
        <v>388.57</v>
      </c>
      <c r="DN41" s="70">
        <v>387.54</v>
      </c>
      <c r="DO41" s="70">
        <v>386.51</v>
      </c>
      <c r="DP41" s="70">
        <v>385.48</v>
      </c>
      <c r="DQ41" s="70">
        <v>384.45</v>
      </c>
      <c r="DR41" s="70">
        <v>383.42</v>
      </c>
      <c r="DS41" s="70">
        <v>382.39</v>
      </c>
      <c r="DT41" s="70">
        <v>381.36</v>
      </c>
      <c r="DU41" s="70">
        <v>380.33</v>
      </c>
      <c r="DV41" s="70">
        <v>379.31</v>
      </c>
      <c r="DW41" s="70">
        <v>378.28</v>
      </c>
      <c r="DX41" s="70">
        <v>377.26</v>
      </c>
      <c r="DY41" s="70">
        <v>376.23</v>
      </c>
      <c r="DZ41" s="70">
        <v>375.21</v>
      </c>
      <c r="EA41" s="70">
        <v>374.18</v>
      </c>
      <c r="EB41" s="70">
        <v>373.16</v>
      </c>
      <c r="EC41" s="70">
        <v>372.13</v>
      </c>
      <c r="ED41" s="70">
        <v>371.11</v>
      </c>
      <c r="EE41" s="70">
        <v>370.09</v>
      </c>
      <c r="EF41" s="70">
        <v>369.07</v>
      </c>
      <c r="EG41" s="70">
        <v>368.05</v>
      </c>
      <c r="EH41" s="70">
        <v>367.03</v>
      </c>
      <c r="EI41" s="70">
        <v>366.02</v>
      </c>
      <c r="EJ41" s="70">
        <v>365</v>
      </c>
      <c r="EK41" s="70">
        <v>363.98</v>
      </c>
      <c r="EL41" s="70">
        <v>362.97</v>
      </c>
      <c r="EM41" s="70">
        <v>361.95</v>
      </c>
      <c r="EN41" s="70">
        <v>360.93</v>
      </c>
      <c r="EO41" s="70">
        <v>359.92</v>
      </c>
      <c r="EP41" s="70">
        <v>358.9</v>
      </c>
      <c r="EQ41" s="70">
        <v>357.89</v>
      </c>
      <c r="ER41" s="70">
        <v>356.88</v>
      </c>
      <c r="ES41" s="70">
        <v>355.87</v>
      </c>
      <c r="ET41" s="70">
        <v>354.86</v>
      </c>
      <c r="EU41" s="70">
        <v>353.85</v>
      </c>
      <c r="EV41" s="70">
        <v>352.84</v>
      </c>
      <c r="EW41" s="70">
        <v>351.83</v>
      </c>
      <c r="EX41" s="70">
        <v>350.82</v>
      </c>
      <c r="EY41" s="70">
        <v>349.81</v>
      </c>
      <c r="EZ41" s="70">
        <v>348.8</v>
      </c>
      <c r="FA41" s="70">
        <v>347.79</v>
      </c>
      <c r="FB41" s="70">
        <v>346.79</v>
      </c>
      <c r="FC41" s="70">
        <v>345.78</v>
      </c>
      <c r="FD41" s="70">
        <v>344.78</v>
      </c>
      <c r="FE41" s="70">
        <v>343.77</v>
      </c>
      <c r="FF41" s="70">
        <v>342.77</v>
      </c>
      <c r="FG41" s="70">
        <v>341.77</v>
      </c>
      <c r="FH41" s="70">
        <v>340.77</v>
      </c>
      <c r="FI41" s="70">
        <v>339.77</v>
      </c>
      <c r="FJ41" s="70">
        <v>338.77</v>
      </c>
      <c r="FK41" s="70">
        <v>337.77</v>
      </c>
      <c r="FL41" s="70">
        <v>336.77</v>
      </c>
      <c r="FM41" s="70">
        <v>335.77</v>
      </c>
      <c r="FN41" s="70">
        <v>334.77</v>
      </c>
      <c r="FO41" s="70">
        <v>333.77</v>
      </c>
      <c r="FP41" s="70">
        <v>332.78</v>
      </c>
      <c r="FQ41" s="70">
        <v>331.78</v>
      </c>
      <c r="FR41" s="70">
        <v>330.79</v>
      </c>
      <c r="FS41" s="70">
        <v>329.79</v>
      </c>
      <c r="FT41" s="70">
        <v>328.8</v>
      </c>
      <c r="FU41" s="70">
        <v>327.8</v>
      </c>
      <c r="FV41" s="70">
        <v>326.81</v>
      </c>
      <c r="FW41" s="70">
        <v>325.81</v>
      </c>
      <c r="FX41" s="70">
        <v>324.82</v>
      </c>
      <c r="FY41" s="70">
        <v>323.82</v>
      </c>
      <c r="FZ41" s="70">
        <v>322.83999999999997</v>
      </c>
      <c r="GA41" s="70">
        <v>321.85000000000002</v>
      </c>
      <c r="GB41" s="70">
        <v>320.85000000000002</v>
      </c>
      <c r="GC41" s="70">
        <v>319.87</v>
      </c>
      <c r="GD41" s="70">
        <v>318.88</v>
      </c>
      <c r="GE41" s="70">
        <v>317.89</v>
      </c>
      <c r="GF41" s="70">
        <v>316.89999999999998</v>
      </c>
      <c r="GG41" s="70">
        <v>315.92</v>
      </c>
      <c r="GH41" s="70">
        <v>314.93</v>
      </c>
      <c r="GI41" s="70">
        <v>313.94</v>
      </c>
      <c r="GJ41" s="70">
        <v>312.95999999999998</v>
      </c>
      <c r="GK41" s="70">
        <v>311.97000000000003</v>
      </c>
      <c r="GL41" s="70">
        <v>310.99</v>
      </c>
      <c r="GM41" s="70">
        <v>310.01</v>
      </c>
      <c r="GN41" s="70">
        <v>309.02999999999997</v>
      </c>
      <c r="GO41" s="70">
        <v>308.04000000000002</v>
      </c>
      <c r="GP41" s="70">
        <v>307.07</v>
      </c>
      <c r="GQ41" s="70">
        <v>306.10000000000002</v>
      </c>
      <c r="GR41" s="70">
        <v>305.13</v>
      </c>
      <c r="GS41" s="70">
        <v>304.14999999999998</v>
      </c>
      <c r="GT41" s="70">
        <v>303.18</v>
      </c>
      <c r="GU41" s="70">
        <v>302.20999999999998</v>
      </c>
      <c r="GV41" s="70">
        <v>301.23</v>
      </c>
      <c r="GW41" s="70">
        <v>300.26</v>
      </c>
      <c r="GX41" s="70">
        <v>299.29000000000002</v>
      </c>
      <c r="GY41" s="70">
        <v>298.32</v>
      </c>
      <c r="GZ41" s="70">
        <v>297.35000000000002</v>
      </c>
      <c r="HA41" s="70">
        <v>296.38</v>
      </c>
      <c r="HB41" s="70">
        <v>295.42</v>
      </c>
      <c r="HC41" s="70">
        <v>294.45</v>
      </c>
      <c r="HD41" s="70">
        <v>293.49</v>
      </c>
      <c r="HE41" s="70">
        <v>292.51</v>
      </c>
      <c r="HF41" s="70">
        <v>291.56</v>
      </c>
      <c r="HG41" s="70">
        <v>290.60000000000002</v>
      </c>
      <c r="HH41" s="70">
        <v>289.63</v>
      </c>
      <c r="HI41" s="70">
        <v>288.67</v>
      </c>
      <c r="HJ41" s="70">
        <v>287.70999999999998</v>
      </c>
      <c r="HK41" s="70">
        <v>286.75</v>
      </c>
      <c r="HL41" s="70">
        <v>285.79000000000002</v>
      </c>
      <c r="HM41" s="70">
        <v>284.85000000000002</v>
      </c>
      <c r="HN41" s="70">
        <v>283.89999999999998</v>
      </c>
      <c r="HO41" s="70">
        <v>282.95</v>
      </c>
      <c r="HP41" s="70">
        <v>282</v>
      </c>
      <c r="HQ41" s="70">
        <v>281.04000000000002</v>
      </c>
      <c r="HR41" s="70">
        <v>280.10000000000002</v>
      </c>
      <c r="HS41" s="70">
        <v>279.16000000000003</v>
      </c>
      <c r="HT41" s="70">
        <v>278.20999999999998</v>
      </c>
      <c r="HU41" s="70">
        <v>277.26</v>
      </c>
      <c r="HV41" s="70">
        <v>276.32</v>
      </c>
      <c r="HW41" s="70">
        <v>275.38</v>
      </c>
      <c r="HX41" s="70">
        <v>274.44</v>
      </c>
      <c r="HY41" s="70">
        <v>273.5</v>
      </c>
      <c r="HZ41" s="70">
        <v>272.56</v>
      </c>
      <c r="IA41" s="70">
        <v>271.62</v>
      </c>
      <c r="IB41" s="70">
        <v>270.68</v>
      </c>
      <c r="IC41" s="70">
        <v>269.75</v>
      </c>
      <c r="ID41" s="70">
        <v>268.81</v>
      </c>
      <c r="IE41" s="70">
        <v>267.87</v>
      </c>
      <c r="IF41" s="70">
        <v>266.94</v>
      </c>
      <c r="IG41" s="70">
        <v>266</v>
      </c>
      <c r="IH41" s="70">
        <v>265.07</v>
      </c>
      <c r="II41" s="70">
        <v>264.14</v>
      </c>
      <c r="IJ41" s="70">
        <v>263.20999999999998</v>
      </c>
      <c r="IK41" s="70">
        <v>262.27999999999997</v>
      </c>
      <c r="IL41" s="70">
        <v>261.35000000000002</v>
      </c>
      <c r="IM41" s="70">
        <v>260.42</v>
      </c>
      <c r="IN41" s="70">
        <v>259.49</v>
      </c>
      <c r="IO41" s="70">
        <v>258.57</v>
      </c>
      <c r="IP41" s="70">
        <v>257.64</v>
      </c>
      <c r="IQ41" s="70">
        <v>256.72000000000003</v>
      </c>
      <c r="IR41" s="70">
        <v>255.8</v>
      </c>
      <c r="IS41" s="70">
        <v>254.87</v>
      </c>
      <c r="IT41" s="70">
        <v>253.95</v>
      </c>
      <c r="IU41" s="70">
        <v>253.03</v>
      </c>
      <c r="IV41" s="70">
        <v>252.12</v>
      </c>
      <c r="IW41" s="70">
        <v>251.21</v>
      </c>
      <c r="IX41" s="70">
        <v>250.3</v>
      </c>
      <c r="IY41" s="70">
        <v>249.4</v>
      </c>
      <c r="IZ41" s="70">
        <v>248.49</v>
      </c>
      <c r="JA41" s="70">
        <v>247.59</v>
      </c>
      <c r="JB41" s="70">
        <v>246.68</v>
      </c>
      <c r="JC41" s="70">
        <v>245.78</v>
      </c>
      <c r="JD41" s="70">
        <v>244.87</v>
      </c>
      <c r="JE41" s="70">
        <v>243.97</v>
      </c>
      <c r="JF41" s="70">
        <v>243.07</v>
      </c>
      <c r="JG41" s="70">
        <v>242.17</v>
      </c>
      <c r="JH41" s="70">
        <v>241.27</v>
      </c>
      <c r="JI41" s="70">
        <v>240.38</v>
      </c>
      <c r="JJ41" s="70">
        <v>239.48</v>
      </c>
      <c r="JK41" s="70">
        <v>238.58</v>
      </c>
      <c r="JL41" s="70">
        <v>237.69</v>
      </c>
      <c r="JM41" s="70">
        <v>236.8</v>
      </c>
      <c r="JN41" s="70">
        <v>235.9</v>
      </c>
      <c r="JO41" s="70">
        <v>235.01</v>
      </c>
      <c r="JP41" s="70">
        <v>234.12</v>
      </c>
      <c r="JQ41" s="70">
        <v>233.23</v>
      </c>
      <c r="JR41" s="70">
        <v>232.34</v>
      </c>
      <c r="JS41" s="70">
        <v>231.45</v>
      </c>
      <c r="JT41" s="70">
        <v>230.56</v>
      </c>
      <c r="JU41" s="70">
        <v>229.66</v>
      </c>
      <c r="JV41" s="70">
        <v>228.77</v>
      </c>
      <c r="JW41" s="70">
        <v>227.88</v>
      </c>
      <c r="JX41" s="70">
        <v>226.99</v>
      </c>
      <c r="JY41" s="70">
        <v>226.1</v>
      </c>
      <c r="JZ41" s="70">
        <v>225.21</v>
      </c>
      <c r="KA41" s="70">
        <v>224.32</v>
      </c>
      <c r="KB41" s="70">
        <v>223.43</v>
      </c>
      <c r="KC41" s="70">
        <v>222.54</v>
      </c>
      <c r="KD41" s="70">
        <v>221.65</v>
      </c>
      <c r="KE41" s="70">
        <v>220.77</v>
      </c>
      <c r="KF41" s="70">
        <v>219.88</v>
      </c>
      <c r="KG41" s="70">
        <v>219</v>
      </c>
      <c r="KH41" s="70">
        <v>218.12</v>
      </c>
      <c r="KI41" s="70">
        <v>217.24</v>
      </c>
      <c r="KJ41" s="70">
        <v>216.36</v>
      </c>
      <c r="KK41" s="70">
        <v>215.48</v>
      </c>
      <c r="KL41" s="70">
        <v>214.6</v>
      </c>
      <c r="KM41" s="70">
        <v>213.72</v>
      </c>
      <c r="KN41" s="70">
        <v>212.84</v>
      </c>
      <c r="KO41" s="70">
        <v>211.97</v>
      </c>
      <c r="KP41" s="70">
        <v>211.09</v>
      </c>
      <c r="KQ41" s="70">
        <v>210.22</v>
      </c>
      <c r="KR41" s="74">
        <f t="shared" si="29"/>
        <v>210.77</v>
      </c>
      <c r="KS41" s="74">
        <f t="shared" si="29"/>
        <v>209.98</v>
      </c>
      <c r="KT41" s="74">
        <f t="shared" si="29"/>
        <v>209.16</v>
      </c>
      <c r="KU41" s="74">
        <f t="shared" si="29"/>
        <v>208.37</v>
      </c>
      <c r="KV41" s="74">
        <f t="shared" si="29"/>
        <v>207.59</v>
      </c>
      <c r="KW41" s="74">
        <f t="shared" si="29"/>
        <v>206.8</v>
      </c>
      <c r="KX41" s="74">
        <f t="shared" si="29"/>
        <v>206.01</v>
      </c>
      <c r="KY41" s="74">
        <f t="shared" si="29"/>
        <v>205.23</v>
      </c>
      <c r="KZ41" s="74">
        <f t="shared" si="29"/>
        <v>204.44</v>
      </c>
      <c r="LA41" s="74">
        <f t="shared" si="29"/>
        <v>203.66</v>
      </c>
      <c r="LB41" s="74">
        <f t="shared" si="29"/>
        <v>202.88</v>
      </c>
      <c r="LC41" s="74">
        <f t="shared" si="29"/>
        <v>202.1</v>
      </c>
      <c r="LD41" s="74">
        <f t="shared" si="29"/>
        <v>201.32</v>
      </c>
      <c r="LE41" s="74">
        <f t="shared" si="29"/>
        <v>200.54</v>
      </c>
      <c r="LF41" s="74">
        <f t="shared" si="29"/>
        <v>199.77</v>
      </c>
      <c r="LG41" s="74">
        <f t="shared" si="28"/>
        <v>199</v>
      </c>
      <c r="LH41" s="74">
        <f t="shared" si="28"/>
        <v>198.22</v>
      </c>
      <c r="LI41" s="74">
        <f t="shared" si="28"/>
        <v>197.45</v>
      </c>
      <c r="LJ41" s="74">
        <f t="shared" si="28"/>
        <v>196.68</v>
      </c>
      <c r="LK41" s="74">
        <f t="shared" si="28"/>
        <v>195.91</v>
      </c>
      <c r="LL41" s="74">
        <f t="shared" si="28"/>
        <v>195.14</v>
      </c>
      <c r="LM41" s="74">
        <f t="shared" si="28"/>
        <v>194.38</v>
      </c>
      <c r="LN41" s="74">
        <f t="shared" si="28"/>
        <v>193.61</v>
      </c>
      <c r="LO41" s="74">
        <f t="shared" si="28"/>
        <v>192.85</v>
      </c>
      <c r="LP41" s="74">
        <f t="shared" si="28"/>
        <v>192.09</v>
      </c>
      <c r="LQ41" s="74">
        <f t="shared" si="28"/>
        <v>191.33</v>
      </c>
      <c r="LR41" s="74">
        <f t="shared" si="28"/>
        <v>190.57</v>
      </c>
      <c r="LS41" s="74">
        <f t="shared" si="28"/>
        <v>189.81</v>
      </c>
      <c r="LT41" s="74">
        <f t="shared" si="28"/>
        <v>189.06</v>
      </c>
      <c r="LU41" s="74">
        <f t="shared" si="28"/>
        <v>188.31</v>
      </c>
      <c r="LV41" s="74">
        <f t="shared" si="28"/>
        <v>187.55</v>
      </c>
      <c r="LW41" s="74">
        <f t="shared" si="28"/>
        <v>186.8</v>
      </c>
      <c r="LX41" s="74">
        <f t="shared" ref="LX41:MM56" si="30">LX40+0.75</f>
        <v>186.05</v>
      </c>
      <c r="LY41" s="74">
        <f t="shared" si="30"/>
        <v>185.3</v>
      </c>
      <c r="LZ41" s="74">
        <f t="shared" si="30"/>
        <v>184.56</v>
      </c>
      <c r="MA41" s="74">
        <f t="shared" si="30"/>
        <v>183.81</v>
      </c>
      <c r="MB41" s="74">
        <f t="shared" si="30"/>
        <v>183.07</v>
      </c>
      <c r="MC41" s="74">
        <f t="shared" si="30"/>
        <v>182.33</v>
      </c>
      <c r="MD41" s="76">
        <f t="shared" si="30"/>
        <v>181.59</v>
      </c>
      <c r="ME41" s="77">
        <f t="shared" si="30"/>
        <v>180.86</v>
      </c>
      <c r="MF41" s="77">
        <f t="shared" si="30"/>
        <v>180.12</v>
      </c>
      <c r="MG41" s="77">
        <f t="shared" si="30"/>
        <v>179.39</v>
      </c>
      <c r="MH41" s="77">
        <f t="shared" si="30"/>
        <v>178.65</v>
      </c>
      <c r="MI41" s="77">
        <f t="shared" si="30"/>
        <v>177.92</v>
      </c>
      <c r="MJ41" s="77">
        <f t="shared" si="30"/>
        <v>177.19</v>
      </c>
      <c r="MK41" s="77">
        <f t="shared" si="30"/>
        <v>176.46</v>
      </c>
      <c r="ML41" s="77">
        <f t="shared" si="30"/>
        <v>175.74</v>
      </c>
      <c r="MM41" s="77">
        <f t="shared" si="30"/>
        <v>175.01</v>
      </c>
      <c r="MN41" s="77">
        <f t="shared" si="25"/>
        <v>174.29</v>
      </c>
      <c r="MO41" s="77">
        <f t="shared" si="26"/>
        <v>173.57</v>
      </c>
      <c r="MP41" s="77">
        <f t="shared" si="27"/>
        <v>172.85</v>
      </c>
      <c r="MQ41" s="77">
        <f t="shared" si="24"/>
        <v>172.14</v>
      </c>
      <c r="MR41" s="77">
        <f t="shared" si="24"/>
        <v>171.42</v>
      </c>
      <c r="MS41" s="77">
        <f t="shared" si="24"/>
        <v>170.71</v>
      </c>
      <c r="MT41" s="77">
        <f t="shared" si="24"/>
        <v>169.99</v>
      </c>
      <c r="MU41" s="77">
        <f t="shared" si="24"/>
        <v>169.28</v>
      </c>
      <c r="MV41" s="77">
        <f t="shared" si="24"/>
        <v>168.57</v>
      </c>
      <c r="MW41" s="77">
        <f t="shared" si="24"/>
        <v>167.87</v>
      </c>
      <c r="MX41" s="77">
        <f t="shared" si="24"/>
        <v>167.16</v>
      </c>
      <c r="MY41" s="77">
        <f t="shared" si="24"/>
        <v>166.46</v>
      </c>
    </row>
    <row r="42" spans="1:363" ht="15.6" x14ac:dyDescent="0.3">
      <c r="A42" s="67" t="s">
        <v>6</v>
      </c>
      <c r="B42" s="72">
        <v>2052</v>
      </c>
      <c r="C42" s="70">
        <v>507.47</v>
      </c>
      <c r="D42" s="70">
        <v>506.44</v>
      </c>
      <c r="E42" s="70">
        <v>505.4</v>
      </c>
      <c r="F42" s="70">
        <v>504.37</v>
      </c>
      <c r="G42" s="70">
        <v>503.33</v>
      </c>
      <c r="H42" s="70">
        <v>502.29</v>
      </c>
      <c r="I42" s="70">
        <v>501.26</v>
      </c>
      <c r="J42" s="70">
        <v>500.22</v>
      </c>
      <c r="K42" s="70">
        <v>499.19</v>
      </c>
      <c r="L42" s="70">
        <v>498.15</v>
      </c>
      <c r="M42" s="70">
        <v>497.11</v>
      </c>
      <c r="N42" s="70">
        <v>496.08</v>
      </c>
      <c r="O42" s="70">
        <v>495.04</v>
      </c>
      <c r="P42" s="70">
        <v>494.01</v>
      </c>
      <c r="Q42" s="70">
        <v>492.97</v>
      </c>
      <c r="R42" s="70">
        <v>491.93</v>
      </c>
      <c r="S42" s="70">
        <v>490.9</v>
      </c>
      <c r="T42" s="70">
        <v>489.86</v>
      </c>
      <c r="U42" s="70">
        <v>488.82</v>
      </c>
      <c r="V42" s="70">
        <v>487.79</v>
      </c>
      <c r="W42" s="70">
        <v>486.75</v>
      </c>
      <c r="X42" s="70">
        <v>485.72</v>
      </c>
      <c r="Y42" s="70">
        <v>484.68</v>
      </c>
      <c r="Z42" s="70">
        <v>483.64</v>
      </c>
      <c r="AA42" s="70">
        <v>482.61</v>
      </c>
      <c r="AB42" s="70">
        <v>481.57</v>
      </c>
      <c r="AC42" s="70">
        <v>480.53</v>
      </c>
      <c r="AD42" s="70">
        <v>479.5</v>
      </c>
      <c r="AE42" s="70">
        <v>478.46</v>
      </c>
      <c r="AF42" s="70">
        <v>477.42</v>
      </c>
      <c r="AG42" s="70">
        <v>476.39</v>
      </c>
      <c r="AH42" s="70">
        <v>475.35</v>
      </c>
      <c r="AI42" s="70">
        <v>474.31</v>
      </c>
      <c r="AJ42" s="70">
        <v>473.28</v>
      </c>
      <c r="AK42" s="70">
        <v>472.24</v>
      </c>
      <c r="AL42" s="70">
        <v>471.21</v>
      </c>
      <c r="AM42" s="70">
        <v>470.17</v>
      </c>
      <c r="AN42" s="70">
        <v>469.13</v>
      </c>
      <c r="AO42" s="70">
        <v>468.09</v>
      </c>
      <c r="AP42" s="70">
        <v>467.06</v>
      </c>
      <c r="AQ42" s="70">
        <v>466.02</v>
      </c>
      <c r="AR42" s="70">
        <v>464.98</v>
      </c>
      <c r="AS42" s="70">
        <v>463.95</v>
      </c>
      <c r="AT42" s="70">
        <v>462.91</v>
      </c>
      <c r="AU42" s="70">
        <v>461.87</v>
      </c>
      <c r="AV42" s="70">
        <v>460.84</v>
      </c>
      <c r="AW42" s="70">
        <v>459.8</v>
      </c>
      <c r="AX42" s="70">
        <v>458.76</v>
      </c>
      <c r="AY42" s="70">
        <v>457.73</v>
      </c>
      <c r="AZ42" s="70">
        <v>456.69</v>
      </c>
      <c r="BA42" s="70">
        <v>455.65</v>
      </c>
      <c r="BB42" s="70">
        <v>454.61</v>
      </c>
      <c r="BC42" s="70">
        <v>453.58</v>
      </c>
      <c r="BD42" s="70">
        <v>452.54</v>
      </c>
      <c r="BE42" s="70">
        <v>451.5</v>
      </c>
      <c r="BF42" s="70">
        <v>450.47</v>
      </c>
      <c r="BG42" s="70">
        <v>449.43</v>
      </c>
      <c r="BH42" s="70">
        <v>448.39</v>
      </c>
      <c r="BI42" s="70">
        <v>447.35</v>
      </c>
      <c r="BJ42" s="70">
        <v>446.32</v>
      </c>
      <c r="BK42" s="70">
        <v>445.28</v>
      </c>
      <c r="BL42" s="70">
        <v>444.24</v>
      </c>
      <c r="BM42" s="70">
        <v>443.2</v>
      </c>
      <c r="BN42" s="70">
        <v>442.17</v>
      </c>
      <c r="BO42" s="70">
        <v>441.13</v>
      </c>
      <c r="BP42" s="70">
        <v>440.09</v>
      </c>
      <c r="BQ42" s="70">
        <v>439.05</v>
      </c>
      <c r="BR42" s="70">
        <v>438.01</v>
      </c>
      <c r="BS42" s="70">
        <v>436.98</v>
      </c>
      <c r="BT42" s="70">
        <v>435.94</v>
      </c>
      <c r="BU42" s="70">
        <v>434.9</v>
      </c>
      <c r="BV42" s="70">
        <v>433.87</v>
      </c>
      <c r="BW42" s="70">
        <v>432.83</v>
      </c>
      <c r="BX42" s="70">
        <v>431.79</v>
      </c>
      <c r="BY42" s="70">
        <v>430.76</v>
      </c>
      <c r="BZ42" s="70">
        <v>429.72</v>
      </c>
      <c r="CA42" s="70">
        <v>428.68</v>
      </c>
      <c r="CB42" s="70">
        <v>427.65</v>
      </c>
      <c r="CC42" s="70">
        <v>426.61</v>
      </c>
      <c r="CD42" s="70">
        <v>425.58</v>
      </c>
      <c r="CE42" s="70">
        <v>424.54</v>
      </c>
      <c r="CF42" s="70">
        <v>423.51</v>
      </c>
      <c r="CG42" s="70">
        <v>422.47</v>
      </c>
      <c r="CH42" s="70">
        <v>421.43</v>
      </c>
      <c r="CI42" s="70">
        <v>420.4</v>
      </c>
      <c r="CJ42" s="70">
        <v>419.36</v>
      </c>
      <c r="CK42" s="70">
        <v>418.33</v>
      </c>
      <c r="CL42" s="70">
        <v>417.29</v>
      </c>
      <c r="CM42" s="70">
        <v>416.26</v>
      </c>
      <c r="CN42" s="70">
        <v>415.22</v>
      </c>
      <c r="CO42" s="70">
        <v>414.19</v>
      </c>
      <c r="CP42" s="70">
        <v>413.15</v>
      </c>
      <c r="CQ42" s="70">
        <v>412.11</v>
      </c>
      <c r="CR42" s="70">
        <v>411.08</v>
      </c>
      <c r="CS42" s="70">
        <v>410.04</v>
      </c>
      <c r="CT42" s="70">
        <v>409.01</v>
      </c>
      <c r="CU42" s="70">
        <v>407.97</v>
      </c>
      <c r="CV42" s="70">
        <v>406.94</v>
      </c>
      <c r="CW42" s="70">
        <v>405.91</v>
      </c>
      <c r="CX42" s="70">
        <v>404.87</v>
      </c>
      <c r="CY42" s="70">
        <v>403.84</v>
      </c>
      <c r="CZ42" s="70">
        <v>402.8</v>
      </c>
      <c r="DA42" s="70">
        <v>401.77</v>
      </c>
      <c r="DB42" s="70">
        <v>400.74</v>
      </c>
      <c r="DC42" s="70">
        <v>399.7</v>
      </c>
      <c r="DD42" s="70">
        <v>398.67</v>
      </c>
      <c r="DE42" s="70">
        <v>397.64</v>
      </c>
      <c r="DF42" s="70">
        <v>396.61</v>
      </c>
      <c r="DG42" s="70">
        <v>395.57</v>
      </c>
      <c r="DH42" s="70">
        <v>394.54</v>
      </c>
      <c r="DI42" s="70">
        <v>393.51</v>
      </c>
      <c r="DJ42" s="70">
        <v>392.48</v>
      </c>
      <c r="DK42" s="70">
        <v>391.45</v>
      </c>
      <c r="DL42" s="70">
        <v>390.41</v>
      </c>
      <c r="DM42" s="70">
        <v>389.38</v>
      </c>
      <c r="DN42" s="70">
        <v>388.35</v>
      </c>
      <c r="DO42" s="70">
        <v>387.32</v>
      </c>
      <c r="DP42" s="70">
        <v>386.29</v>
      </c>
      <c r="DQ42" s="70">
        <v>385.26</v>
      </c>
      <c r="DR42" s="70">
        <v>384.23</v>
      </c>
      <c r="DS42" s="70">
        <v>383.2</v>
      </c>
      <c r="DT42" s="70">
        <v>382.17</v>
      </c>
      <c r="DU42" s="70">
        <v>381.15</v>
      </c>
      <c r="DV42" s="70">
        <v>380.12</v>
      </c>
      <c r="DW42" s="70">
        <v>379.09</v>
      </c>
      <c r="DX42" s="70">
        <v>378.07</v>
      </c>
      <c r="DY42" s="70">
        <v>377.04</v>
      </c>
      <c r="DZ42" s="70">
        <v>376.02</v>
      </c>
      <c r="EA42" s="70">
        <v>374.99</v>
      </c>
      <c r="EB42" s="70">
        <v>373.97</v>
      </c>
      <c r="EC42" s="70">
        <v>372.95</v>
      </c>
      <c r="ED42" s="70">
        <v>371.92</v>
      </c>
      <c r="EE42" s="70">
        <v>370.9</v>
      </c>
      <c r="EF42" s="70">
        <v>369.88</v>
      </c>
      <c r="EG42" s="70">
        <v>368.86</v>
      </c>
      <c r="EH42" s="70">
        <v>367.84</v>
      </c>
      <c r="EI42" s="70">
        <v>366.83</v>
      </c>
      <c r="EJ42" s="70">
        <v>365.81</v>
      </c>
      <c r="EK42" s="70">
        <v>364.79</v>
      </c>
      <c r="EL42" s="70">
        <v>363.77</v>
      </c>
      <c r="EM42" s="70">
        <v>362.76</v>
      </c>
      <c r="EN42" s="70">
        <v>361.74</v>
      </c>
      <c r="EO42" s="70">
        <v>360.73</v>
      </c>
      <c r="EP42" s="70">
        <v>359.71</v>
      </c>
      <c r="EQ42" s="70">
        <v>358.7</v>
      </c>
      <c r="ER42" s="70">
        <v>357.68</v>
      </c>
      <c r="ES42" s="70">
        <v>356.67</v>
      </c>
      <c r="ET42" s="70">
        <v>355.66</v>
      </c>
      <c r="EU42" s="70">
        <v>354.65</v>
      </c>
      <c r="EV42" s="70">
        <v>353.64</v>
      </c>
      <c r="EW42" s="70">
        <v>352.63</v>
      </c>
      <c r="EX42" s="70">
        <v>351.62</v>
      </c>
      <c r="EY42" s="70">
        <v>350.61</v>
      </c>
      <c r="EZ42" s="70">
        <v>349.6</v>
      </c>
      <c r="FA42" s="70">
        <v>348.6</v>
      </c>
      <c r="FB42" s="70">
        <v>347.59</v>
      </c>
      <c r="FC42" s="70">
        <v>346.58</v>
      </c>
      <c r="FD42" s="70">
        <v>345.58</v>
      </c>
      <c r="FE42" s="70">
        <v>344.57</v>
      </c>
      <c r="FF42" s="70">
        <v>343.57</v>
      </c>
      <c r="FG42" s="70">
        <v>342.57</v>
      </c>
      <c r="FH42" s="70">
        <v>341.57</v>
      </c>
      <c r="FI42" s="70">
        <v>340.57</v>
      </c>
      <c r="FJ42" s="70">
        <v>339.57</v>
      </c>
      <c r="FK42" s="70">
        <v>338.57</v>
      </c>
      <c r="FL42" s="70">
        <v>337.57</v>
      </c>
      <c r="FM42" s="70">
        <v>336.57</v>
      </c>
      <c r="FN42" s="70">
        <v>335.57</v>
      </c>
      <c r="FO42" s="70">
        <v>334.57</v>
      </c>
      <c r="FP42" s="70">
        <v>333.57</v>
      </c>
      <c r="FQ42" s="70">
        <v>332.58</v>
      </c>
      <c r="FR42" s="70">
        <v>331.58</v>
      </c>
      <c r="FS42" s="70">
        <v>330.58</v>
      </c>
      <c r="FT42" s="70">
        <v>329.59</v>
      </c>
      <c r="FU42" s="70">
        <v>328.59</v>
      </c>
      <c r="FV42" s="70">
        <v>327.60000000000002</v>
      </c>
      <c r="FW42" s="70">
        <v>326.60000000000002</v>
      </c>
      <c r="FX42" s="70">
        <v>325.60000000000002</v>
      </c>
      <c r="FY42" s="70">
        <v>324.62</v>
      </c>
      <c r="FZ42" s="70">
        <v>323.63</v>
      </c>
      <c r="GA42" s="70">
        <v>322.63</v>
      </c>
      <c r="GB42" s="70">
        <v>321.64</v>
      </c>
      <c r="GC42" s="70">
        <v>320.64999999999998</v>
      </c>
      <c r="GD42" s="70">
        <v>319.66000000000003</v>
      </c>
      <c r="GE42" s="70">
        <v>318.68</v>
      </c>
      <c r="GF42" s="70">
        <v>317.69</v>
      </c>
      <c r="GG42" s="70">
        <v>316.7</v>
      </c>
      <c r="GH42" s="70">
        <v>315.70999999999998</v>
      </c>
      <c r="GI42" s="70">
        <v>314.73</v>
      </c>
      <c r="GJ42" s="70">
        <v>313.74</v>
      </c>
      <c r="GK42" s="70">
        <v>312.75</v>
      </c>
      <c r="GL42" s="70">
        <v>311.76</v>
      </c>
      <c r="GM42" s="70">
        <v>310.79000000000002</v>
      </c>
      <c r="GN42" s="70">
        <v>309.81</v>
      </c>
      <c r="GO42" s="70">
        <v>308.82</v>
      </c>
      <c r="GP42" s="70">
        <v>307.85000000000002</v>
      </c>
      <c r="GQ42" s="70">
        <v>306.88</v>
      </c>
      <c r="GR42" s="70">
        <v>305.89999999999998</v>
      </c>
      <c r="GS42" s="70">
        <v>304.93</v>
      </c>
      <c r="GT42" s="70">
        <v>303.95</v>
      </c>
      <c r="GU42" s="70">
        <v>302.98</v>
      </c>
      <c r="GV42" s="70">
        <v>302.01</v>
      </c>
      <c r="GW42" s="70">
        <v>301.02999999999997</v>
      </c>
      <c r="GX42" s="70">
        <v>300.06</v>
      </c>
      <c r="GY42" s="70">
        <v>299.08999999999997</v>
      </c>
      <c r="GZ42" s="70">
        <v>298.12</v>
      </c>
      <c r="HA42" s="70">
        <v>297.14999999999998</v>
      </c>
      <c r="HB42" s="70">
        <v>296.19</v>
      </c>
      <c r="HC42" s="70">
        <v>295.22000000000003</v>
      </c>
      <c r="HD42" s="70">
        <v>294.25</v>
      </c>
      <c r="HE42" s="70">
        <v>293.29000000000002</v>
      </c>
      <c r="HF42" s="70">
        <v>292.32</v>
      </c>
      <c r="HG42" s="70">
        <v>291.35000000000002</v>
      </c>
      <c r="HH42" s="70">
        <v>290.39999999999998</v>
      </c>
      <c r="HI42" s="70">
        <v>289.43</v>
      </c>
      <c r="HJ42" s="70">
        <v>288.47000000000003</v>
      </c>
      <c r="HK42" s="70">
        <v>287.51</v>
      </c>
      <c r="HL42" s="70">
        <v>286.56</v>
      </c>
      <c r="HM42" s="70">
        <v>285.60000000000002</v>
      </c>
      <c r="HN42" s="70">
        <v>284.66000000000003</v>
      </c>
      <c r="HO42" s="70">
        <v>283.7</v>
      </c>
      <c r="HP42" s="70">
        <v>282.76</v>
      </c>
      <c r="HQ42" s="70">
        <v>281.81</v>
      </c>
      <c r="HR42" s="70">
        <v>280.85000000000002</v>
      </c>
      <c r="HS42" s="70">
        <v>279.91000000000003</v>
      </c>
      <c r="HT42" s="70">
        <v>278.97000000000003</v>
      </c>
      <c r="HU42" s="70">
        <v>278.01</v>
      </c>
      <c r="HV42" s="70">
        <v>277.07</v>
      </c>
      <c r="HW42" s="70">
        <v>276.13</v>
      </c>
      <c r="HX42" s="70">
        <v>275.19</v>
      </c>
      <c r="HY42" s="70">
        <v>274.25</v>
      </c>
      <c r="HZ42" s="70">
        <v>273.31</v>
      </c>
      <c r="IA42" s="70">
        <v>272.37</v>
      </c>
      <c r="IB42" s="70">
        <v>271.43</v>
      </c>
      <c r="IC42" s="70">
        <v>270.49</v>
      </c>
      <c r="ID42" s="70">
        <v>269.54000000000002</v>
      </c>
      <c r="IE42" s="70">
        <v>268.60000000000002</v>
      </c>
      <c r="IF42" s="70">
        <v>267.68</v>
      </c>
      <c r="IG42" s="70">
        <v>266.74</v>
      </c>
      <c r="IH42" s="70">
        <v>265.81</v>
      </c>
      <c r="II42" s="70">
        <v>264.87</v>
      </c>
      <c r="IJ42" s="70">
        <v>263.94</v>
      </c>
      <c r="IK42" s="70">
        <v>263.01</v>
      </c>
      <c r="IL42" s="70">
        <v>262.07</v>
      </c>
      <c r="IM42" s="70">
        <v>261.14999999999998</v>
      </c>
      <c r="IN42" s="70">
        <v>260.22000000000003</v>
      </c>
      <c r="IO42" s="70">
        <v>259.29000000000002</v>
      </c>
      <c r="IP42" s="70">
        <v>258.37</v>
      </c>
      <c r="IQ42" s="70">
        <v>257.45</v>
      </c>
      <c r="IR42" s="70">
        <v>256.51</v>
      </c>
      <c r="IS42" s="70">
        <v>255.6</v>
      </c>
      <c r="IT42" s="70">
        <v>254.68</v>
      </c>
      <c r="IU42" s="70">
        <v>253.75</v>
      </c>
      <c r="IV42" s="70">
        <v>252.84</v>
      </c>
      <c r="IW42" s="70">
        <v>251.93</v>
      </c>
      <c r="IX42" s="70">
        <v>251.02</v>
      </c>
      <c r="IY42" s="70">
        <v>250.11</v>
      </c>
      <c r="IZ42" s="70">
        <v>249.21</v>
      </c>
      <c r="JA42" s="70">
        <v>248.3</v>
      </c>
      <c r="JB42" s="70">
        <v>247.39</v>
      </c>
      <c r="JC42" s="70">
        <v>246.49</v>
      </c>
      <c r="JD42" s="70">
        <v>245.58</v>
      </c>
      <c r="JE42" s="70">
        <v>244.68</v>
      </c>
      <c r="JF42" s="70">
        <v>243.78</v>
      </c>
      <c r="JG42" s="70">
        <v>242.88</v>
      </c>
      <c r="JH42" s="70">
        <v>241.98</v>
      </c>
      <c r="JI42" s="70">
        <v>241.08</v>
      </c>
      <c r="JJ42" s="70">
        <v>240.18</v>
      </c>
      <c r="JK42" s="70">
        <v>239.29</v>
      </c>
      <c r="JL42" s="70">
        <v>238.39</v>
      </c>
      <c r="JM42" s="70">
        <v>237.49</v>
      </c>
      <c r="JN42" s="70">
        <v>236.6</v>
      </c>
      <c r="JO42" s="70">
        <v>235.71</v>
      </c>
      <c r="JP42" s="70">
        <v>234.81</v>
      </c>
      <c r="JQ42" s="70">
        <v>233.92</v>
      </c>
      <c r="JR42" s="70">
        <v>233.03</v>
      </c>
      <c r="JS42" s="70">
        <v>232.14</v>
      </c>
      <c r="JT42" s="70">
        <v>231.25</v>
      </c>
      <c r="JU42" s="70">
        <v>230.35</v>
      </c>
      <c r="JV42" s="70">
        <v>229.46</v>
      </c>
      <c r="JW42" s="70">
        <v>228.56</v>
      </c>
      <c r="JX42" s="70">
        <v>227.67</v>
      </c>
      <c r="JY42" s="70">
        <v>226.78</v>
      </c>
      <c r="JZ42" s="70">
        <v>225.89</v>
      </c>
      <c r="KA42" s="70">
        <v>225</v>
      </c>
      <c r="KB42" s="70">
        <v>224.11</v>
      </c>
      <c r="KC42" s="70">
        <v>223.22</v>
      </c>
      <c r="KD42" s="70">
        <v>222.33</v>
      </c>
      <c r="KE42" s="70">
        <v>221.44</v>
      </c>
      <c r="KF42" s="70">
        <v>220.55</v>
      </c>
      <c r="KG42" s="70">
        <v>219.67</v>
      </c>
      <c r="KH42" s="70">
        <v>218.79</v>
      </c>
      <c r="KI42" s="70">
        <v>217.9</v>
      </c>
      <c r="KJ42" s="70">
        <v>217.02</v>
      </c>
      <c r="KK42" s="70">
        <v>216.14</v>
      </c>
      <c r="KL42" s="70">
        <v>215.26</v>
      </c>
      <c r="KM42" s="70">
        <v>214.38</v>
      </c>
      <c r="KN42" s="70">
        <v>213.5</v>
      </c>
      <c r="KO42" s="70">
        <v>212.62</v>
      </c>
      <c r="KP42" s="70">
        <v>211.75</v>
      </c>
      <c r="KQ42" s="70">
        <v>210.87</v>
      </c>
      <c r="KR42" s="74">
        <f t="shared" si="29"/>
        <v>211.52</v>
      </c>
      <c r="KS42" s="74">
        <f t="shared" si="29"/>
        <v>210.73</v>
      </c>
      <c r="KT42" s="74">
        <f t="shared" si="29"/>
        <v>209.91</v>
      </c>
      <c r="KU42" s="74">
        <f t="shared" si="29"/>
        <v>209.12</v>
      </c>
      <c r="KV42" s="74">
        <f t="shared" si="29"/>
        <v>208.34</v>
      </c>
      <c r="KW42" s="74">
        <f t="shared" si="29"/>
        <v>207.55</v>
      </c>
      <c r="KX42" s="74">
        <f t="shared" si="29"/>
        <v>206.76</v>
      </c>
      <c r="KY42" s="74">
        <f t="shared" si="29"/>
        <v>205.98</v>
      </c>
      <c r="KZ42" s="74">
        <f t="shared" si="29"/>
        <v>205.19</v>
      </c>
      <c r="LA42" s="74">
        <f t="shared" si="29"/>
        <v>204.41</v>
      </c>
      <c r="LB42" s="74">
        <f t="shared" si="29"/>
        <v>203.63</v>
      </c>
      <c r="LC42" s="74">
        <f t="shared" si="29"/>
        <v>202.85</v>
      </c>
      <c r="LD42" s="74">
        <f t="shared" si="29"/>
        <v>202.07</v>
      </c>
      <c r="LE42" s="74">
        <f t="shared" si="29"/>
        <v>201.29</v>
      </c>
      <c r="LF42" s="74">
        <f t="shared" si="29"/>
        <v>200.52</v>
      </c>
      <c r="LG42" s="74">
        <f t="shared" si="28"/>
        <v>199.75</v>
      </c>
      <c r="LH42" s="74">
        <f t="shared" si="28"/>
        <v>198.97</v>
      </c>
      <c r="LI42" s="74">
        <f t="shared" si="28"/>
        <v>198.2</v>
      </c>
      <c r="LJ42" s="74">
        <f t="shared" si="28"/>
        <v>197.43</v>
      </c>
      <c r="LK42" s="74">
        <f t="shared" si="28"/>
        <v>196.66</v>
      </c>
      <c r="LL42" s="74">
        <f t="shared" si="28"/>
        <v>195.89</v>
      </c>
      <c r="LM42" s="74">
        <f t="shared" si="28"/>
        <v>195.13</v>
      </c>
      <c r="LN42" s="74">
        <f t="shared" si="28"/>
        <v>194.36</v>
      </c>
      <c r="LO42" s="74">
        <f t="shared" si="28"/>
        <v>193.6</v>
      </c>
      <c r="LP42" s="74">
        <f t="shared" si="28"/>
        <v>192.84</v>
      </c>
      <c r="LQ42" s="74">
        <f t="shared" si="28"/>
        <v>192.08</v>
      </c>
      <c r="LR42" s="74">
        <f t="shared" si="28"/>
        <v>191.32</v>
      </c>
      <c r="LS42" s="74">
        <f t="shared" si="28"/>
        <v>190.56</v>
      </c>
      <c r="LT42" s="74">
        <f t="shared" si="28"/>
        <v>189.81</v>
      </c>
      <c r="LU42" s="74">
        <f t="shared" si="28"/>
        <v>189.06</v>
      </c>
      <c r="LV42" s="74">
        <f t="shared" si="28"/>
        <v>188.3</v>
      </c>
      <c r="LW42" s="74">
        <f t="shared" si="28"/>
        <v>187.55</v>
      </c>
      <c r="LX42" s="74">
        <f t="shared" si="30"/>
        <v>186.8</v>
      </c>
      <c r="LY42" s="74">
        <f t="shared" si="30"/>
        <v>186.05</v>
      </c>
      <c r="LZ42" s="74">
        <f t="shared" si="30"/>
        <v>185.31</v>
      </c>
      <c r="MA42" s="74">
        <f t="shared" si="30"/>
        <v>184.56</v>
      </c>
      <c r="MB42" s="74">
        <f t="shared" si="30"/>
        <v>183.82</v>
      </c>
      <c r="MC42" s="74">
        <f t="shared" si="30"/>
        <v>183.08</v>
      </c>
      <c r="MD42" s="76">
        <f t="shared" si="30"/>
        <v>182.34</v>
      </c>
      <c r="ME42" s="77">
        <f t="shared" si="30"/>
        <v>181.61</v>
      </c>
      <c r="MF42" s="77">
        <f t="shared" si="30"/>
        <v>180.87</v>
      </c>
      <c r="MG42" s="77">
        <f t="shared" si="30"/>
        <v>180.14</v>
      </c>
      <c r="MH42" s="77">
        <f t="shared" si="30"/>
        <v>179.4</v>
      </c>
      <c r="MI42" s="77">
        <f t="shared" si="30"/>
        <v>178.67</v>
      </c>
      <c r="MJ42" s="77">
        <f t="shared" si="30"/>
        <v>177.94</v>
      </c>
      <c r="MK42" s="77">
        <f t="shared" si="30"/>
        <v>177.21</v>
      </c>
      <c r="ML42" s="77">
        <f t="shared" si="30"/>
        <v>176.49</v>
      </c>
      <c r="MM42" s="77">
        <f t="shared" si="30"/>
        <v>175.76</v>
      </c>
      <c r="MN42" s="77">
        <f t="shared" si="25"/>
        <v>175.04</v>
      </c>
      <c r="MO42" s="77">
        <f t="shared" si="26"/>
        <v>174.32</v>
      </c>
      <c r="MP42" s="77">
        <f t="shared" si="27"/>
        <v>173.6</v>
      </c>
      <c r="MQ42" s="77">
        <f t="shared" si="24"/>
        <v>172.89</v>
      </c>
      <c r="MR42" s="77">
        <f t="shared" si="24"/>
        <v>172.17</v>
      </c>
      <c r="MS42" s="77">
        <f t="shared" si="24"/>
        <v>171.46</v>
      </c>
      <c r="MT42" s="77">
        <f t="shared" si="24"/>
        <v>170.74</v>
      </c>
      <c r="MU42" s="77">
        <f t="shared" si="24"/>
        <v>170.03</v>
      </c>
      <c r="MV42" s="77">
        <f t="shared" si="24"/>
        <v>169.32</v>
      </c>
      <c r="MW42" s="77">
        <f t="shared" si="24"/>
        <v>168.62</v>
      </c>
      <c r="MX42" s="77">
        <f t="shared" si="24"/>
        <v>167.91</v>
      </c>
      <c r="MY42" s="77">
        <f t="shared" si="24"/>
        <v>167.21</v>
      </c>
    </row>
    <row r="43" spans="1:363" ht="15.6" x14ac:dyDescent="0.3">
      <c r="A43" s="67" t="s">
        <v>6</v>
      </c>
      <c r="B43" s="72">
        <v>2053</v>
      </c>
      <c r="C43" s="70">
        <v>508.29</v>
      </c>
      <c r="D43" s="70">
        <v>507.25</v>
      </c>
      <c r="E43" s="70">
        <v>506.22</v>
      </c>
      <c r="F43" s="70">
        <v>505.18</v>
      </c>
      <c r="G43" s="70">
        <v>504.14</v>
      </c>
      <c r="H43" s="70">
        <v>503.11</v>
      </c>
      <c r="I43" s="70">
        <v>502.07</v>
      </c>
      <c r="J43" s="70">
        <v>501.04</v>
      </c>
      <c r="K43" s="70">
        <v>500</v>
      </c>
      <c r="L43" s="70">
        <v>498.96</v>
      </c>
      <c r="M43" s="70">
        <v>497.93</v>
      </c>
      <c r="N43" s="70">
        <v>496.89</v>
      </c>
      <c r="O43" s="70">
        <v>495.86</v>
      </c>
      <c r="P43" s="70">
        <v>494.82</v>
      </c>
      <c r="Q43" s="70">
        <v>493.78</v>
      </c>
      <c r="R43" s="70">
        <v>492.75</v>
      </c>
      <c r="S43" s="70">
        <v>491.71</v>
      </c>
      <c r="T43" s="70">
        <v>490.68</v>
      </c>
      <c r="U43" s="70">
        <v>489.64</v>
      </c>
      <c r="V43" s="70">
        <v>488.6</v>
      </c>
      <c r="W43" s="70">
        <v>487.57</v>
      </c>
      <c r="X43" s="70">
        <v>486.53</v>
      </c>
      <c r="Y43" s="70">
        <v>485.5</v>
      </c>
      <c r="Z43" s="70">
        <v>484.46</v>
      </c>
      <c r="AA43" s="70">
        <v>483.42</v>
      </c>
      <c r="AB43" s="70">
        <v>482.39</v>
      </c>
      <c r="AC43" s="70">
        <v>481.35</v>
      </c>
      <c r="AD43" s="70">
        <v>480.31</v>
      </c>
      <c r="AE43" s="70">
        <v>479.28</v>
      </c>
      <c r="AF43" s="70">
        <v>478.24</v>
      </c>
      <c r="AG43" s="70">
        <v>477.2</v>
      </c>
      <c r="AH43" s="70">
        <v>476.17</v>
      </c>
      <c r="AI43" s="70">
        <v>475.13</v>
      </c>
      <c r="AJ43" s="70">
        <v>474.09</v>
      </c>
      <c r="AK43" s="70">
        <v>473.06</v>
      </c>
      <c r="AL43" s="70">
        <v>472.02</v>
      </c>
      <c r="AM43" s="70">
        <v>470.98</v>
      </c>
      <c r="AN43" s="70">
        <v>469.95</v>
      </c>
      <c r="AO43" s="70">
        <v>468.91</v>
      </c>
      <c r="AP43" s="70">
        <v>467.87</v>
      </c>
      <c r="AQ43" s="70">
        <v>466.84</v>
      </c>
      <c r="AR43" s="70">
        <v>465.8</v>
      </c>
      <c r="AS43" s="70">
        <v>464.76</v>
      </c>
      <c r="AT43" s="70">
        <v>463.73</v>
      </c>
      <c r="AU43" s="70">
        <v>462.69</v>
      </c>
      <c r="AV43" s="70">
        <v>461.65</v>
      </c>
      <c r="AW43" s="70">
        <v>460.62</v>
      </c>
      <c r="AX43" s="70">
        <v>459.58</v>
      </c>
      <c r="AY43" s="70">
        <v>458.54</v>
      </c>
      <c r="AZ43" s="70">
        <v>457.51</v>
      </c>
      <c r="BA43" s="70">
        <v>456.47</v>
      </c>
      <c r="BB43" s="70">
        <v>455.43</v>
      </c>
      <c r="BC43" s="70">
        <v>454.39</v>
      </c>
      <c r="BD43" s="70">
        <v>453.36</v>
      </c>
      <c r="BE43" s="70">
        <v>452.32</v>
      </c>
      <c r="BF43" s="70">
        <v>451.28</v>
      </c>
      <c r="BG43" s="70">
        <v>450.24</v>
      </c>
      <c r="BH43" s="70">
        <v>449.21</v>
      </c>
      <c r="BI43" s="70">
        <v>448.17</v>
      </c>
      <c r="BJ43" s="70">
        <v>447.13</v>
      </c>
      <c r="BK43" s="70">
        <v>446.1</v>
      </c>
      <c r="BL43" s="70">
        <v>445.06</v>
      </c>
      <c r="BM43" s="70">
        <v>444.02</v>
      </c>
      <c r="BN43" s="70">
        <v>442.98</v>
      </c>
      <c r="BO43" s="70">
        <v>441.94</v>
      </c>
      <c r="BP43" s="70">
        <v>440.91</v>
      </c>
      <c r="BQ43" s="70">
        <v>439.87</v>
      </c>
      <c r="BR43" s="70">
        <v>438.83</v>
      </c>
      <c r="BS43" s="70">
        <v>437.79</v>
      </c>
      <c r="BT43" s="70">
        <v>436.76</v>
      </c>
      <c r="BU43" s="70">
        <v>435.72</v>
      </c>
      <c r="BV43" s="70">
        <v>434.68</v>
      </c>
      <c r="BW43" s="70">
        <v>433.64</v>
      </c>
      <c r="BX43" s="70">
        <v>432.61</v>
      </c>
      <c r="BY43" s="70">
        <v>431.57</v>
      </c>
      <c r="BZ43" s="70">
        <v>430.54</v>
      </c>
      <c r="CA43" s="70">
        <v>429.5</v>
      </c>
      <c r="CB43" s="70">
        <v>428.46</v>
      </c>
      <c r="CC43" s="70">
        <v>427.43</v>
      </c>
      <c r="CD43" s="70">
        <v>426.39</v>
      </c>
      <c r="CE43" s="70">
        <v>425.36</v>
      </c>
      <c r="CF43" s="70">
        <v>424.32</v>
      </c>
      <c r="CG43" s="70">
        <v>423.29</v>
      </c>
      <c r="CH43" s="70">
        <v>422.25</v>
      </c>
      <c r="CI43" s="70">
        <v>421.21</v>
      </c>
      <c r="CJ43" s="70">
        <v>420.18</v>
      </c>
      <c r="CK43" s="70">
        <v>419.14</v>
      </c>
      <c r="CL43" s="70">
        <v>418.11</v>
      </c>
      <c r="CM43" s="70">
        <v>417.07</v>
      </c>
      <c r="CN43" s="70">
        <v>416.04</v>
      </c>
      <c r="CO43" s="70">
        <v>415</v>
      </c>
      <c r="CP43" s="70">
        <v>413.96</v>
      </c>
      <c r="CQ43" s="70">
        <v>412.93</v>
      </c>
      <c r="CR43" s="70">
        <v>411.89</v>
      </c>
      <c r="CS43" s="70">
        <v>410.86</v>
      </c>
      <c r="CT43" s="70">
        <v>409.82</v>
      </c>
      <c r="CU43" s="70">
        <v>408.79</v>
      </c>
      <c r="CV43" s="70">
        <v>407.75</v>
      </c>
      <c r="CW43" s="70">
        <v>406.72</v>
      </c>
      <c r="CX43" s="70">
        <v>405.68</v>
      </c>
      <c r="CY43" s="70">
        <v>404.65</v>
      </c>
      <c r="CZ43" s="70">
        <v>403.62</v>
      </c>
      <c r="DA43" s="70">
        <v>402.58</v>
      </c>
      <c r="DB43" s="70">
        <v>401.55</v>
      </c>
      <c r="DC43" s="70">
        <v>400.52</v>
      </c>
      <c r="DD43" s="70">
        <v>399.48</v>
      </c>
      <c r="DE43" s="70">
        <v>398.45</v>
      </c>
      <c r="DF43" s="70">
        <v>397.42</v>
      </c>
      <c r="DG43" s="70">
        <v>396.38</v>
      </c>
      <c r="DH43" s="70">
        <v>395.35</v>
      </c>
      <c r="DI43" s="70">
        <v>394.32</v>
      </c>
      <c r="DJ43" s="70">
        <v>393.29</v>
      </c>
      <c r="DK43" s="70">
        <v>392.26</v>
      </c>
      <c r="DL43" s="70">
        <v>391.22</v>
      </c>
      <c r="DM43" s="70">
        <v>390.19</v>
      </c>
      <c r="DN43" s="70">
        <v>389.16</v>
      </c>
      <c r="DO43" s="70">
        <v>388.13</v>
      </c>
      <c r="DP43" s="70">
        <v>387.1</v>
      </c>
      <c r="DQ43" s="70">
        <v>386.07</v>
      </c>
      <c r="DR43" s="70">
        <v>385.04</v>
      </c>
      <c r="DS43" s="70">
        <v>384.01</v>
      </c>
      <c r="DT43" s="70">
        <v>382.98</v>
      </c>
      <c r="DU43" s="70">
        <v>381.95</v>
      </c>
      <c r="DV43" s="70">
        <v>380.93</v>
      </c>
      <c r="DW43" s="70">
        <v>379.9</v>
      </c>
      <c r="DX43" s="70">
        <v>378.88</v>
      </c>
      <c r="DY43" s="70">
        <v>377.85</v>
      </c>
      <c r="DZ43" s="70">
        <v>376.83</v>
      </c>
      <c r="EA43" s="70">
        <v>375.8</v>
      </c>
      <c r="EB43" s="70">
        <v>374.78</v>
      </c>
      <c r="EC43" s="70">
        <v>373.75</v>
      </c>
      <c r="ED43" s="70">
        <v>372.73</v>
      </c>
      <c r="EE43" s="70">
        <v>371.7</v>
      </c>
      <c r="EF43" s="70">
        <v>370.69</v>
      </c>
      <c r="EG43" s="70">
        <v>369.67</v>
      </c>
      <c r="EH43" s="70">
        <v>368.65</v>
      </c>
      <c r="EI43" s="70">
        <v>367.63</v>
      </c>
      <c r="EJ43" s="70">
        <v>366.61</v>
      </c>
      <c r="EK43" s="70">
        <v>365.59</v>
      </c>
      <c r="EL43" s="70">
        <v>364.58</v>
      </c>
      <c r="EM43" s="70">
        <v>363.56</v>
      </c>
      <c r="EN43" s="70">
        <v>362.54</v>
      </c>
      <c r="EO43" s="70">
        <v>361.53</v>
      </c>
      <c r="EP43" s="70">
        <v>360.51</v>
      </c>
      <c r="EQ43" s="70">
        <v>359.5</v>
      </c>
      <c r="ER43" s="70">
        <v>358.49</v>
      </c>
      <c r="ES43" s="70">
        <v>357.47</v>
      </c>
      <c r="ET43" s="70">
        <v>356.46</v>
      </c>
      <c r="EU43" s="70">
        <v>355.45</v>
      </c>
      <c r="EV43" s="70">
        <v>354.44</v>
      </c>
      <c r="EW43" s="70">
        <v>353.43</v>
      </c>
      <c r="EX43" s="70">
        <v>352.42</v>
      </c>
      <c r="EY43" s="70">
        <v>351.41</v>
      </c>
      <c r="EZ43" s="70">
        <v>350.4</v>
      </c>
      <c r="FA43" s="70">
        <v>349.39</v>
      </c>
      <c r="FB43" s="70">
        <v>348.38</v>
      </c>
      <c r="FC43" s="70">
        <v>347.38</v>
      </c>
      <c r="FD43" s="70">
        <v>346.37</v>
      </c>
      <c r="FE43" s="70">
        <v>345.37</v>
      </c>
      <c r="FF43" s="70">
        <v>344.37</v>
      </c>
      <c r="FG43" s="70">
        <v>343.36</v>
      </c>
      <c r="FH43" s="70">
        <v>342.36</v>
      </c>
      <c r="FI43" s="70">
        <v>341.36</v>
      </c>
      <c r="FJ43" s="70">
        <v>340.36</v>
      </c>
      <c r="FK43" s="70">
        <v>339.36</v>
      </c>
      <c r="FL43" s="70">
        <v>338.36</v>
      </c>
      <c r="FM43" s="70">
        <v>337.36</v>
      </c>
      <c r="FN43" s="70">
        <v>336.36</v>
      </c>
      <c r="FO43" s="70">
        <v>335.36</v>
      </c>
      <c r="FP43" s="70">
        <v>334.36</v>
      </c>
      <c r="FQ43" s="70">
        <v>333.36</v>
      </c>
      <c r="FR43" s="70">
        <v>332.37</v>
      </c>
      <c r="FS43" s="70">
        <v>331.37</v>
      </c>
      <c r="FT43" s="70">
        <v>330.38</v>
      </c>
      <c r="FU43" s="70">
        <v>329.38</v>
      </c>
      <c r="FV43" s="70">
        <v>328.38</v>
      </c>
      <c r="FW43" s="70">
        <v>327.39</v>
      </c>
      <c r="FX43" s="70">
        <v>326.39999999999998</v>
      </c>
      <c r="FY43" s="70">
        <v>325.39999999999998</v>
      </c>
      <c r="FZ43" s="70">
        <v>324.41000000000003</v>
      </c>
      <c r="GA43" s="70">
        <v>323.42</v>
      </c>
      <c r="GB43" s="70">
        <v>322.43</v>
      </c>
      <c r="GC43" s="70">
        <v>321.44</v>
      </c>
      <c r="GD43" s="70">
        <v>320.45</v>
      </c>
      <c r="GE43" s="70">
        <v>319.45999999999998</v>
      </c>
      <c r="GF43" s="70">
        <v>318.47000000000003</v>
      </c>
      <c r="GG43" s="70">
        <v>317.48</v>
      </c>
      <c r="GH43" s="70">
        <v>316.49</v>
      </c>
      <c r="GI43" s="70">
        <v>315.5</v>
      </c>
      <c r="GJ43" s="70">
        <v>314.51</v>
      </c>
      <c r="GK43" s="70">
        <v>313.52999999999997</v>
      </c>
      <c r="GL43" s="70">
        <v>312.54000000000002</v>
      </c>
      <c r="GM43" s="70">
        <v>311.56</v>
      </c>
      <c r="GN43" s="70">
        <v>310.57</v>
      </c>
      <c r="GO43" s="70">
        <v>309.60000000000002</v>
      </c>
      <c r="GP43" s="70">
        <v>308.63</v>
      </c>
      <c r="GQ43" s="70">
        <v>307.64999999999998</v>
      </c>
      <c r="GR43" s="70">
        <v>306.67</v>
      </c>
      <c r="GS43" s="70">
        <v>305.7</v>
      </c>
      <c r="GT43" s="70">
        <v>304.72000000000003</v>
      </c>
      <c r="GU43" s="70">
        <v>303.75</v>
      </c>
      <c r="GV43" s="70">
        <v>302.76</v>
      </c>
      <c r="GW43" s="70">
        <v>301.79000000000002</v>
      </c>
      <c r="GX43" s="70">
        <v>300.82</v>
      </c>
      <c r="GY43" s="70">
        <v>299.85000000000002</v>
      </c>
      <c r="GZ43" s="70">
        <v>298.89</v>
      </c>
      <c r="HA43" s="70">
        <v>297.92</v>
      </c>
      <c r="HB43" s="70">
        <v>296.95</v>
      </c>
      <c r="HC43" s="70">
        <v>295.98</v>
      </c>
      <c r="HD43" s="70">
        <v>295.01</v>
      </c>
      <c r="HE43" s="70">
        <v>294.04000000000002</v>
      </c>
      <c r="HF43" s="70">
        <v>293.07</v>
      </c>
      <c r="HG43" s="70">
        <v>292.12</v>
      </c>
      <c r="HH43" s="70">
        <v>291.14999999999998</v>
      </c>
      <c r="HI43" s="70">
        <v>290.19</v>
      </c>
      <c r="HJ43" s="70">
        <v>289.23</v>
      </c>
      <c r="HK43" s="70">
        <v>288.26</v>
      </c>
      <c r="HL43" s="70">
        <v>287.31</v>
      </c>
      <c r="HM43" s="70">
        <v>286.35000000000002</v>
      </c>
      <c r="HN43" s="70">
        <v>285.41000000000003</v>
      </c>
      <c r="HO43" s="70">
        <v>284.45999999999998</v>
      </c>
      <c r="HP43" s="70">
        <v>283.51</v>
      </c>
      <c r="HQ43" s="70">
        <v>282.56</v>
      </c>
      <c r="HR43" s="70">
        <v>281.60000000000002</v>
      </c>
      <c r="HS43" s="70">
        <v>280.66000000000003</v>
      </c>
      <c r="HT43" s="70">
        <v>279.70999999999998</v>
      </c>
      <c r="HU43" s="70">
        <v>278.76</v>
      </c>
      <c r="HV43" s="70">
        <v>277.82</v>
      </c>
      <c r="HW43" s="70">
        <v>276.87</v>
      </c>
      <c r="HX43" s="70">
        <v>275.93</v>
      </c>
      <c r="HY43" s="70">
        <v>274.99</v>
      </c>
      <c r="HZ43" s="70">
        <v>274.04000000000002</v>
      </c>
      <c r="IA43" s="70">
        <v>273.10000000000002</v>
      </c>
      <c r="IB43" s="70">
        <v>272.17</v>
      </c>
      <c r="IC43" s="70">
        <v>271.23</v>
      </c>
      <c r="ID43" s="70">
        <v>270.29000000000002</v>
      </c>
      <c r="IE43" s="70">
        <v>269.35000000000002</v>
      </c>
      <c r="IF43" s="70">
        <v>268.41000000000003</v>
      </c>
      <c r="IG43" s="70">
        <v>267.48</v>
      </c>
      <c r="IH43" s="70">
        <v>266.54000000000002</v>
      </c>
      <c r="II43" s="70">
        <v>265.60000000000002</v>
      </c>
      <c r="IJ43" s="70">
        <v>264.67</v>
      </c>
      <c r="IK43" s="70">
        <v>263.74</v>
      </c>
      <c r="IL43" s="70">
        <v>262.81</v>
      </c>
      <c r="IM43" s="70">
        <v>261.88</v>
      </c>
      <c r="IN43" s="70">
        <v>260.95</v>
      </c>
      <c r="IO43" s="70">
        <v>260.01</v>
      </c>
      <c r="IP43" s="70">
        <v>259.08999999999997</v>
      </c>
      <c r="IQ43" s="70">
        <v>258.17</v>
      </c>
      <c r="IR43" s="70">
        <v>257.24</v>
      </c>
      <c r="IS43" s="70">
        <v>256.32</v>
      </c>
      <c r="IT43" s="70">
        <v>255.39</v>
      </c>
      <c r="IU43" s="70">
        <v>254.47</v>
      </c>
      <c r="IV43" s="70">
        <v>253.56</v>
      </c>
      <c r="IW43" s="70">
        <v>252.65</v>
      </c>
      <c r="IX43" s="70">
        <v>251.74</v>
      </c>
      <c r="IY43" s="70">
        <v>250.83</v>
      </c>
      <c r="IZ43" s="70">
        <v>249.92</v>
      </c>
      <c r="JA43" s="70">
        <v>249.01</v>
      </c>
      <c r="JB43" s="70">
        <v>248.1</v>
      </c>
      <c r="JC43" s="70">
        <v>247.2</v>
      </c>
      <c r="JD43" s="70">
        <v>246.29</v>
      </c>
      <c r="JE43" s="70">
        <v>245.39</v>
      </c>
      <c r="JF43" s="70">
        <v>244.48</v>
      </c>
      <c r="JG43" s="70">
        <v>243.58</v>
      </c>
      <c r="JH43" s="70">
        <v>242.68</v>
      </c>
      <c r="JI43" s="70">
        <v>241.78</v>
      </c>
      <c r="JJ43" s="70">
        <v>240.88</v>
      </c>
      <c r="JK43" s="70">
        <v>239.98</v>
      </c>
      <c r="JL43" s="70">
        <v>239.09</v>
      </c>
      <c r="JM43" s="70">
        <v>238.19</v>
      </c>
      <c r="JN43" s="70">
        <v>237.29</v>
      </c>
      <c r="JO43" s="70">
        <v>236.4</v>
      </c>
      <c r="JP43" s="70">
        <v>235.5</v>
      </c>
      <c r="JQ43" s="70">
        <v>234.61</v>
      </c>
      <c r="JR43" s="70">
        <v>233.72</v>
      </c>
      <c r="JS43" s="70">
        <v>232.83</v>
      </c>
      <c r="JT43" s="70">
        <v>231.93</v>
      </c>
      <c r="JU43" s="70">
        <v>231.03</v>
      </c>
      <c r="JV43" s="70">
        <v>230.14</v>
      </c>
      <c r="JW43" s="70">
        <v>229.24</v>
      </c>
      <c r="JX43" s="70">
        <v>228.35</v>
      </c>
      <c r="JY43" s="70">
        <v>227.45</v>
      </c>
      <c r="JZ43" s="70">
        <v>226.56</v>
      </c>
      <c r="KA43" s="70">
        <v>225.67</v>
      </c>
      <c r="KB43" s="70">
        <v>224.78</v>
      </c>
      <c r="KC43" s="70">
        <v>223.89</v>
      </c>
      <c r="KD43" s="70">
        <v>223</v>
      </c>
      <c r="KE43" s="70">
        <v>222.11</v>
      </c>
      <c r="KF43" s="70">
        <v>221.22</v>
      </c>
      <c r="KG43" s="70">
        <v>220.33</v>
      </c>
      <c r="KH43" s="70">
        <v>219.45</v>
      </c>
      <c r="KI43" s="70">
        <v>218.56</v>
      </c>
      <c r="KJ43" s="70">
        <v>217.68</v>
      </c>
      <c r="KK43" s="70">
        <v>216.8</v>
      </c>
      <c r="KL43" s="70">
        <v>215.91</v>
      </c>
      <c r="KM43" s="70">
        <v>215.03</v>
      </c>
      <c r="KN43" s="70">
        <v>214.15</v>
      </c>
      <c r="KO43" s="70">
        <v>213.27</v>
      </c>
      <c r="KP43" s="70">
        <v>212.4</v>
      </c>
      <c r="KQ43" s="70">
        <v>211.52</v>
      </c>
      <c r="KR43" s="74">
        <f t="shared" si="29"/>
        <v>212.27</v>
      </c>
      <c r="KS43" s="74">
        <f t="shared" si="29"/>
        <v>211.48</v>
      </c>
      <c r="KT43" s="74">
        <f t="shared" si="29"/>
        <v>210.66</v>
      </c>
      <c r="KU43" s="74">
        <f t="shared" si="29"/>
        <v>209.87</v>
      </c>
      <c r="KV43" s="74">
        <f t="shared" si="29"/>
        <v>209.09</v>
      </c>
      <c r="KW43" s="74">
        <f t="shared" si="29"/>
        <v>208.3</v>
      </c>
      <c r="KX43" s="74">
        <f t="shared" si="29"/>
        <v>207.51</v>
      </c>
      <c r="KY43" s="74">
        <f t="shared" si="29"/>
        <v>206.73</v>
      </c>
      <c r="KZ43" s="74">
        <f t="shared" si="29"/>
        <v>205.94</v>
      </c>
      <c r="LA43" s="74">
        <f t="shared" si="29"/>
        <v>205.16</v>
      </c>
      <c r="LB43" s="74">
        <f t="shared" si="29"/>
        <v>204.38</v>
      </c>
      <c r="LC43" s="74">
        <f t="shared" si="29"/>
        <v>203.6</v>
      </c>
      <c r="LD43" s="74">
        <f t="shared" si="29"/>
        <v>202.82</v>
      </c>
      <c r="LE43" s="74">
        <f t="shared" si="29"/>
        <v>202.04</v>
      </c>
      <c r="LF43" s="74">
        <f t="shared" si="29"/>
        <v>201.27</v>
      </c>
      <c r="LG43" s="74">
        <f t="shared" si="28"/>
        <v>200.5</v>
      </c>
      <c r="LH43" s="74">
        <f t="shared" si="28"/>
        <v>199.72</v>
      </c>
      <c r="LI43" s="74">
        <f t="shared" si="28"/>
        <v>198.95</v>
      </c>
      <c r="LJ43" s="74">
        <f t="shared" si="28"/>
        <v>198.18</v>
      </c>
      <c r="LK43" s="74">
        <f t="shared" si="28"/>
        <v>197.41</v>
      </c>
      <c r="LL43" s="74">
        <f t="shared" si="28"/>
        <v>196.64</v>
      </c>
      <c r="LM43" s="74">
        <f t="shared" si="28"/>
        <v>195.88</v>
      </c>
      <c r="LN43" s="74">
        <f t="shared" si="28"/>
        <v>195.11</v>
      </c>
      <c r="LO43" s="74">
        <f t="shared" si="28"/>
        <v>194.35</v>
      </c>
      <c r="LP43" s="74">
        <f t="shared" si="28"/>
        <v>193.59</v>
      </c>
      <c r="LQ43" s="74">
        <f t="shared" si="28"/>
        <v>192.83</v>
      </c>
      <c r="LR43" s="74">
        <f t="shared" si="28"/>
        <v>192.07</v>
      </c>
      <c r="LS43" s="74">
        <f t="shared" si="28"/>
        <v>191.31</v>
      </c>
      <c r="LT43" s="74">
        <f t="shared" si="28"/>
        <v>190.56</v>
      </c>
      <c r="LU43" s="74">
        <f t="shared" si="28"/>
        <v>189.81</v>
      </c>
      <c r="LV43" s="74">
        <f t="shared" si="28"/>
        <v>189.05</v>
      </c>
      <c r="LW43" s="74">
        <f t="shared" si="28"/>
        <v>188.3</v>
      </c>
      <c r="LX43" s="74">
        <f t="shared" si="30"/>
        <v>187.55</v>
      </c>
      <c r="LY43" s="74">
        <f t="shared" si="30"/>
        <v>186.8</v>
      </c>
      <c r="LZ43" s="74">
        <f t="shared" si="30"/>
        <v>186.06</v>
      </c>
      <c r="MA43" s="74">
        <f t="shared" si="30"/>
        <v>185.31</v>
      </c>
      <c r="MB43" s="74">
        <f t="shared" si="30"/>
        <v>184.57</v>
      </c>
      <c r="MC43" s="74">
        <f t="shared" si="30"/>
        <v>183.83</v>
      </c>
      <c r="MD43" s="76">
        <f t="shared" si="30"/>
        <v>183.09</v>
      </c>
      <c r="ME43" s="77">
        <f t="shared" si="30"/>
        <v>182.36</v>
      </c>
      <c r="MF43" s="77">
        <f t="shared" si="30"/>
        <v>181.62</v>
      </c>
      <c r="MG43" s="77">
        <f t="shared" si="30"/>
        <v>180.89</v>
      </c>
      <c r="MH43" s="77">
        <f t="shared" si="30"/>
        <v>180.15</v>
      </c>
      <c r="MI43" s="77">
        <f t="shared" si="30"/>
        <v>179.42</v>
      </c>
      <c r="MJ43" s="77">
        <f t="shared" si="30"/>
        <v>178.69</v>
      </c>
      <c r="MK43" s="77">
        <f t="shared" si="30"/>
        <v>177.96</v>
      </c>
      <c r="ML43" s="77">
        <f t="shared" si="30"/>
        <v>177.24</v>
      </c>
      <c r="MM43" s="77">
        <f t="shared" si="30"/>
        <v>176.51</v>
      </c>
      <c r="MN43" s="77">
        <f t="shared" si="25"/>
        <v>175.79</v>
      </c>
      <c r="MO43" s="77">
        <f t="shared" si="26"/>
        <v>175.07</v>
      </c>
      <c r="MP43" s="77">
        <f t="shared" si="27"/>
        <v>174.35</v>
      </c>
      <c r="MQ43" s="77">
        <f t="shared" si="24"/>
        <v>173.64</v>
      </c>
      <c r="MR43" s="77">
        <f t="shared" si="24"/>
        <v>172.92</v>
      </c>
      <c r="MS43" s="77">
        <f t="shared" si="24"/>
        <v>172.21</v>
      </c>
      <c r="MT43" s="77">
        <f t="shared" si="24"/>
        <v>171.49</v>
      </c>
      <c r="MU43" s="77">
        <f t="shared" si="24"/>
        <v>170.78</v>
      </c>
      <c r="MV43" s="77">
        <f t="shared" si="24"/>
        <v>170.07</v>
      </c>
      <c r="MW43" s="77">
        <f t="shared" si="24"/>
        <v>169.37</v>
      </c>
      <c r="MX43" s="77">
        <f t="shared" si="24"/>
        <v>168.66</v>
      </c>
      <c r="MY43" s="77">
        <f t="shared" si="24"/>
        <v>167.96</v>
      </c>
    </row>
    <row r="44" spans="1:363" ht="15.6" x14ac:dyDescent="0.3">
      <c r="A44" s="67" t="s">
        <v>6</v>
      </c>
      <c r="B44" s="72">
        <v>2054</v>
      </c>
      <c r="C44" s="70">
        <v>509.09</v>
      </c>
      <c r="D44" s="70">
        <v>508.06</v>
      </c>
      <c r="E44" s="70">
        <v>507.02</v>
      </c>
      <c r="F44" s="70">
        <v>505.99</v>
      </c>
      <c r="G44" s="70">
        <v>504.95</v>
      </c>
      <c r="H44" s="70">
        <v>503.92</v>
      </c>
      <c r="I44" s="70">
        <v>502.88</v>
      </c>
      <c r="J44" s="70">
        <v>501.84</v>
      </c>
      <c r="K44" s="70">
        <v>500.81</v>
      </c>
      <c r="L44" s="70">
        <v>499.77</v>
      </c>
      <c r="M44" s="70">
        <v>498.74</v>
      </c>
      <c r="N44" s="70">
        <v>497.7</v>
      </c>
      <c r="O44" s="70">
        <v>496.67</v>
      </c>
      <c r="P44" s="70">
        <v>495.63</v>
      </c>
      <c r="Q44" s="70">
        <v>494.59</v>
      </c>
      <c r="R44" s="70">
        <v>493.56</v>
      </c>
      <c r="S44" s="70">
        <v>492.52</v>
      </c>
      <c r="T44" s="70">
        <v>491.49</v>
      </c>
      <c r="U44" s="70">
        <v>490.45</v>
      </c>
      <c r="V44" s="70">
        <v>489.41</v>
      </c>
      <c r="W44" s="70">
        <v>488.38</v>
      </c>
      <c r="X44" s="70">
        <v>487.34</v>
      </c>
      <c r="Y44" s="70">
        <v>486.3</v>
      </c>
      <c r="Z44" s="70">
        <v>485.27</v>
      </c>
      <c r="AA44" s="70">
        <v>484.23</v>
      </c>
      <c r="AB44" s="70">
        <v>483.2</v>
      </c>
      <c r="AC44" s="70">
        <v>482.16</v>
      </c>
      <c r="AD44" s="70">
        <v>481.12</v>
      </c>
      <c r="AE44" s="70">
        <v>480.09</v>
      </c>
      <c r="AF44" s="70">
        <v>479.05</v>
      </c>
      <c r="AG44" s="70">
        <v>478.01</v>
      </c>
      <c r="AH44" s="70">
        <v>476.98</v>
      </c>
      <c r="AI44" s="70">
        <v>475.94</v>
      </c>
      <c r="AJ44" s="70">
        <v>474.9</v>
      </c>
      <c r="AK44" s="70">
        <v>473.87</v>
      </c>
      <c r="AL44" s="70">
        <v>472.83</v>
      </c>
      <c r="AM44" s="70">
        <v>471.8</v>
      </c>
      <c r="AN44" s="70">
        <v>470.76</v>
      </c>
      <c r="AO44" s="70">
        <v>469.72</v>
      </c>
      <c r="AP44" s="70">
        <v>468.68</v>
      </c>
      <c r="AQ44" s="70">
        <v>467.65</v>
      </c>
      <c r="AR44" s="70">
        <v>466.61</v>
      </c>
      <c r="AS44" s="70">
        <v>465.57</v>
      </c>
      <c r="AT44" s="70">
        <v>464.54</v>
      </c>
      <c r="AU44" s="70">
        <v>463.5</v>
      </c>
      <c r="AV44" s="70">
        <v>462.46</v>
      </c>
      <c r="AW44" s="70">
        <v>461.43</v>
      </c>
      <c r="AX44" s="70">
        <v>460.39</v>
      </c>
      <c r="AY44" s="70">
        <v>459.35</v>
      </c>
      <c r="AZ44" s="70">
        <v>458.32</v>
      </c>
      <c r="BA44" s="70">
        <v>457.28</v>
      </c>
      <c r="BB44" s="70">
        <v>456.24</v>
      </c>
      <c r="BC44" s="70">
        <v>455.2</v>
      </c>
      <c r="BD44" s="70">
        <v>454.17</v>
      </c>
      <c r="BE44" s="70">
        <v>453.13</v>
      </c>
      <c r="BF44" s="70">
        <v>452.09</v>
      </c>
      <c r="BG44" s="70">
        <v>451.06</v>
      </c>
      <c r="BH44" s="70">
        <v>450.02</v>
      </c>
      <c r="BI44" s="70">
        <v>448.98</v>
      </c>
      <c r="BJ44" s="70">
        <v>447.94</v>
      </c>
      <c r="BK44" s="70">
        <v>446.91</v>
      </c>
      <c r="BL44" s="70">
        <v>445.87</v>
      </c>
      <c r="BM44" s="70">
        <v>444.83</v>
      </c>
      <c r="BN44" s="70">
        <v>443.79</v>
      </c>
      <c r="BO44" s="70">
        <v>442.75</v>
      </c>
      <c r="BP44" s="70">
        <v>441.72</v>
      </c>
      <c r="BQ44" s="70">
        <v>440.68</v>
      </c>
      <c r="BR44" s="70">
        <v>439.64</v>
      </c>
      <c r="BS44" s="70">
        <v>438.6</v>
      </c>
      <c r="BT44" s="70">
        <v>437.57</v>
      </c>
      <c r="BU44" s="70">
        <v>436.53</v>
      </c>
      <c r="BV44" s="70">
        <v>435.49</v>
      </c>
      <c r="BW44" s="70">
        <v>434.46</v>
      </c>
      <c r="BX44" s="70">
        <v>433.42</v>
      </c>
      <c r="BY44" s="70">
        <v>432.38</v>
      </c>
      <c r="BZ44" s="70">
        <v>431.35</v>
      </c>
      <c r="CA44" s="70">
        <v>430.31</v>
      </c>
      <c r="CB44" s="70">
        <v>429.27</v>
      </c>
      <c r="CC44" s="70">
        <v>428.24</v>
      </c>
      <c r="CD44" s="70">
        <v>427.2</v>
      </c>
      <c r="CE44" s="70">
        <v>426.17</v>
      </c>
      <c r="CF44" s="70">
        <v>425.13</v>
      </c>
      <c r="CG44" s="70">
        <v>424.1</v>
      </c>
      <c r="CH44" s="70">
        <v>423.06</v>
      </c>
      <c r="CI44" s="70">
        <v>422.02</v>
      </c>
      <c r="CJ44" s="70">
        <v>420.99</v>
      </c>
      <c r="CK44" s="70">
        <v>419.95</v>
      </c>
      <c r="CL44" s="70">
        <v>418.92</v>
      </c>
      <c r="CM44" s="70">
        <v>417.88</v>
      </c>
      <c r="CN44" s="70">
        <v>416.84</v>
      </c>
      <c r="CO44" s="70">
        <v>415.81</v>
      </c>
      <c r="CP44" s="70">
        <v>414.77</v>
      </c>
      <c r="CQ44" s="70">
        <v>413.74</v>
      </c>
      <c r="CR44" s="70">
        <v>412.7</v>
      </c>
      <c r="CS44" s="70">
        <v>411.67</v>
      </c>
      <c r="CT44" s="70">
        <v>410.63</v>
      </c>
      <c r="CU44" s="70">
        <v>409.59</v>
      </c>
      <c r="CV44" s="70">
        <v>408.56</v>
      </c>
      <c r="CW44" s="70">
        <v>407.53</v>
      </c>
      <c r="CX44" s="70">
        <v>406.49</v>
      </c>
      <c r="CY44" s="70">
        <v>405.46</v>
      </c>
      <c r="CZ44" s="70">
        <v>404.42</v>
      </c>
      <c r="DA44" s="70">
        <v>403.39</v>
      </c>
      <c r="DB44" s="70">
        <v>402.36</v>
      </c>
      <c r="DC44" s="70">
        <v>401.32</v>
      </c>
      <c r="DD44" s="70">
        <v>400.29</v>
      </c>
      <c r="DE44" s="70">
        <v>399.26</v>
      </c>
      <c r="DF44" s="70">
        <v>398.22</v>
      </c>
      <c r="DG44" s="70">
        <v>397.19</v>
      </c>
      <c r="DH44" s="70">
        <v>396.16</v>
      </c>
      <c r="DI44" s="70">
        <v>395.13</v>
      </c>
      <c r="DJ44" s="70">
        <v>394.09</v>
      </c>
      <c r="DK44" s="70">
        <v>393.06</v>
      </c>
      <c r="DL44" s="70">
        <v>392.03</v>
      </c>
      <c r="DM44" s="70">
        <v>391</v>
      </c>
      <c r="DN44" s="70">
        <v>389.97</v>
      </c>
      <c r="DO44" s="70">
        <v>388.94</v>
      </c>
      <c r="DP44" s="70">
        <v>387.9</v>
      </c>
      <c r="DQ44" s="70">
        <v>386.87</v>
      </c>
      <c r="DR44" s="70">
        <v>385.84</v>
      </c>
      <c r="DS44" s="70">
        <v>384.81</v>
      </c>
      <c r="DT44" s="70">
        <v>383.79</v>
      </c>
      <c r="DU44" s="70">
        <v>382.76</v>
      </c>
      <c r="DV44" s="70">
        <v>381.73</v>
      </c>
      <c r="DW44" s="70">
        <v>380.7</v>
      </c>
      <c r="DX44" s="70">
        <v>379.68</v>
      </c>
      <c r="DY44" s="70">
        <v>378.65</v>
      </c>
      <c r="DZ44" s="70">
        <v>377.63</v>
      </c>
      <c r="EA44" s="70">
        <v>376.6</v>
      </c>
      <c r="EB44" s="70">
        <v>375.58</v>
      </c>
      <c r="EC44" s="70">
        <v>374.55</v>
      </c>
      <c r="ED44" s="70">
        <v>373.53</v>
      </c>
      <c r="EE44" s="70">
        <v>372.51</v>
      </c>
      <c r="EF44" s="70">
        <v>371.49</v>
      </c>
      <c r="EG44" s="70">
        <v>370.47</v>
      </c>
      <c r="EH44" s="70">
        <v>369.45</v>
      </c>
      <c r="EI44" s="70">
        <v>368.43</v>
      </c>
      <c r="EJ44" s="70">
        <v>367.41</v>
      </c>
      <c r="EK44" s="70">
        <v>366.39</v>
      </c>
      <c r="EL44" s="70">
        <v>365.38</v>
      </c>
      <c r="EM44" s="70">
        <v>364.36</v>
      </c>
      <c r="EN44" s="70">
        <v>363.34</v>
      </c>
      <c r="EO44" s="70">
        <v>362.33</v>
      </c>
      <c r="EP44" s="70">
        <v>361.31</v>
      </c>
      <c r="EQ44" s="70">
        <v>360.29</v>
      </c>
      <c r="ER44" s="70">
        <v>359.28</v>
      </c>
      <c r="ES44" s="70">
        <v>358.27</v>
      </c>
      <c r="ET44" s="70">
        <v>357.26</v>
      </c>
      <c r="EU44" s="70">
        <v>356.25</v>
      </c>
      <c r="EV44" s="70">
        <v>355.24</v>
      </c>
      <c r="EW44" s="70">
        <v>354.22</v>
      </c>
      <c r="EX44" s="70">
        <v>353.21</v>
      </c>
      <c r="EY44" s="70">
        <v>352.2</v>
      </c>
      <c r="EZ44" s="70">
        <v>351.19</v>
      </c>
      <c r="FA44" s="70">
        <v>350.19</v>
      </c>
      <c r="FB44" s="70">
        <v>349.18</v>
      </c>
      <c r="FC44" s="70">
        <v>348.17</v>
      </c>
      <c r="FD44" s="70">
        <v>347.16</v>
      </c>
      <c r="FE44" s="70">
        <v>346.16</v>
      </c>
      <c r="FF44" s="70">
        <v>345.16</v>
      </c>
      <c r="FG44" s="70">
        <v>344.15</v>
      </c>
      <c r="FH44" s="70">
        <v>343.15</v>
      </c>
      <c r="FI44" s="70">
        <v>342.15</v>
      </c>
      <c r="FJ44" s="70">
        <v>341.15</v>
      </c>
      <c r="FK44" s="70">
        <v>340.15</v>
      </c>
      <c r="FL44" s="70">
        <v>339.14</v>
      </c>
      <c r="FM44" s="70">
        <v>338.14</v>
      </c>
      <c r="FN44" s="70">
        <v>337.14</v>
      </c>
      <c r="FO44" s="70">
        <v>336.14</v>
      </c>
      <c r="FP44" s="70">
        <v>335.15</v>
      </c>
      <c r="FQ44" s="70">
        <v>334.15</v>
      </c>
      <c r="FR44" s="70">
        <v>333.15</v>
      </c>
      <c r="FS44" s="70">
        <v>332.15</v>
      </c>
      <c r="FT44" s="70">
        <v>331.16</v>
      </c>
      <c r="FU44" s="70">
        <v>330.16</v>
      </c>
      <c r="FV44" s="70">
        <v>329.17</v>
      </c>
      <c r="FW44" s="70">
        <v>328.17</v>
      </c>
      <c r="FX44" s="70">
        <v>327.18</v>
      </c>
      <c r="FY44" s="70">
        <v>326.18</v>
      </c>
      <c r="FZ44" s="70">
        <v>325.19</v>
      </c>
      <c r="GA44" s="70">
        <v>324.19</v>
      </c>
      <c r="GB44" s="70">
        <v>323.2</v>
      </c>
      <c r="GC44" s="70">
        <v>322.20999999999998</v>
      </c>
      <c r="GD44" s="70">
        <v>321.22000000000003</v>
      </c>
      <c r="GE44" s="70">
        <v>320.23</v>
      </c>
      <c r="GF44" s="70">
        <v>319.24</v>
      </c>
      <c r="GG44" s="70">
        <v>318.25</v>
      </c>
      <c r="GH44" s="70">
        <v>317.26</v>
      </c>
      <c r="GI44" s="70">
        <v>316.27999999999997</v>
      </c>
      <c r="GJ44" s="70">
        <v>315.29000000000002</v>
      </c>
      <c r="GK44" s="70">
        <v>314.29000000000002</v>
      </c>
      <c r="GL44" s="70">
        <v>313.32</v>
      </c>
      <c r="GM44" s="70">
        <v>312.32</v>
      </c>
      <c r="GN44" s="70">
        <v>311.35000000000002</v>
      </c>
      <c r="GO44" s="70">
        <v>310.37</v>
      </c>
      <c r="GP44" s="70">
        <v>309.39</v>
      </c>
      <c r="GQ44" s="70">
        <v>308.42</v>
      </c>
      <c r="GR44" s="70">
        <v>307.44</v>
      </c>
      <c r="GS44" s="70">
        <v>306.45999999999998</v>
      </c>
      <c r="GT44" s="70">
        <v>305.49</v>
      </c>
      <c r="GU44" s="70">
        <v>304.51</v>
      </c>
      <c r="GV44" s="70">
        <v>303.54000000000002</v>
      </c>
      <c r="GW44" s="70">
        <v>302.56</v>
      </c>
      <c r="GX44" s="70">
        <v>301.58999999999997</v>
      </c>
      <c r="GY44" s="70">
        <v>300.62</v>
      </c>
      <c r="GZ44" s="70">
        <v>299.64999999999998</v>
      </c>
      <c r="HA44" s="70">
        <v>298.68</v>
      </c>
      <c r="HB44" s="70">
        <v>297.70999999999998</v>
      </c>
      <c r="HC44" s="70">
        <v>296.74</v>
      </c>
      <c r="HD44" s="70">
        <v>295.76</v>
      </c>
      <c r="HE44" s="70">
        <v>294.81</v>
      </c>
      <c r="HF44" s="70">
        <v>293.83999999999997</v>
      </c>
      <c r="HG44" s="70">
        <v>292.87</v>
      </c>
      <c r="HH44" s="70">
        <v>291.91000000000003</v>
      </c>
      <c r="HI44" s="70">
        <v>290.94</v>
      </c>
      <c r="HJ44" s="70">
        <v>289.98</v>
      </c>
      <c r="HK44" s="70">
        <v>289.01</v>
      </c>
      <c r="HL44" s="70">
        <v>288.06</v>
      </c>
      <c r="HM44" s="70">
        <v>287.10000000000002</v>
      </c>
      <c r="HN44" s="70">
        <v>286.16000000000003</v>
      </c>
      <c r="HO44" s="70">
        <v>285.2</v>
      </c>
      <c r="HP44" s="70">
        <v>284.25</v>
      </c>
      <c r="HQ44" s="70">
        <v>283.29000000000002</v>
      </c>
      <c r="HR44" s="70">
        <v>282.35000000000002</v>
      </c>
      <c r="HS44" s="70">
        <v>281.39999999999998</v>
      </c>
      <c r="HT44" s="70">
        <v>280.45999999999998</v>
      </c>
      <c r="HU44" s="70">
        <v>279.51</v>
      </c>
      <c r="HV44" s="70">
        <v>278.56</v>
      </c>
      <c r="HW44" s="70">
        <v>277.60000000000002</v>
      </c>
      <c r="HX44" s="70">
        <v>276.67</v>
      </c>
      <c r="HY44" s="70">
        <v>275.73</v>
      </c>
      <c r="HZ44" s="70">
        <v>274.77999999999997</v>
      </c>
      <c r="IA44" s="70">
        <v>273.83999999999997</v>
      </c>
      <c r="IB44" s="70">
        <v>272.89999999999998</v>
      </c>
      <c r="IC44" s="70">
        <v>271.95999999999998</v>
      </c>
      <c r="ID44" s="70">
        <v>271.01</v>
      </c>
      <c r="IE44" s="70">
        <v>270.07</v>
      </c>
      <c r="IF44" s="70">
        <v>269.14</v>
      </c>
      <c r="IG44" s="70">
        <v>268.20999999999998</v>
      </c>
      <c r="IH44" s="70">
        <v>267.26</v>
      </c>
      <c r="II44" s="70">
        <v>266.32</v>
      </c>
      <c r="IJ44" s="70">
        <v>265.39999999999998</v>
      </c>
      <c r="IK44" s="70">
        <v>264.47000000000003</v>
      </c>
      <c r="IL44" s="70">
        <v>263.52999999999997</v>
      </c>
      <c r="IM44" s="70">
        <v>262.60000000000002</v>
      </c>
      <c r="IN44" s="70">
        <v>261.67</v>
      </c>
      <c r="IO44" s="70">
        <v>260.74</v>
      </c>
      <c r="IP44" s="70">
        <v>259.81</v>
      </c>
      <c r="IQ44" s="70">
        <v>258.89</v>
      </c>
      <c r="IR44" s="70">
        <v>257.95999999999998</v>
      </c>
      <c r="IS44" s="70">
        <v>257.02999999999997</v>
      </c>
      <c r="IT44" s="70">
        <v>256.10000000000002</v>
      </c>
      <c r="IU44" s="70">
        <v>255.19</v>
      </c>
      <c r="IV44" s="70">
        <v>254.27</v>
      </c>
      <c r="IW44" s="70">
        <v>253.36</v>
      </c>
      <c r="IX44" s="70">
        <v>252.45</v>
      </c>
      <c r="IY44" s="70">
        <v>251.54</v>
      </c>
      <c r="IZ44" s="70">
        <v>250.63</v>
      </c>
      <c r="JA44" s="70">
        <v>249.72</v>
      </c>
      <c r="JB44" s="70">
        <v>248.81</v>
      </c>
      <c r="JC44" s="70">
        <v>247.9</v>
      </c>
      <c r="JD44" s="70">
        <v>246.99</v>
      </c>
      <c r="JE44" s="70">
        <v>246.09</v>
      </c>
      <c r="JF44" s="70">
        <v>245.18</v>
      </c>
      <c r="JG44" s="70">
        <v>244.28</v>
      </c>
      <c r="JH44" s="70">
        <v>243.38</v>
      </c>
      <c r="JI44" s="70">
        <v>242.48</v>
      </c>
      <c r="JJ44" s="70">
        <v>241.58</v>
      </c>
      <c r="JK44" s="70">
        <v>240.68</v>
      </c>
      <c r="JL44" s="70">
        <v>239.78</v>
      </c>
      <c r="JM44" s="70">
        <v>238.88</v>
      </c>
      <c r="JN44" s="70">
        <v>237.98</v>
      </c>
      <c r="JO44" s="70">
        <v>237.09</v>
      </c>
      <c r="JP44" s="70">
        <v>236.19</v>
      </c>
      <c r="JQ44" s="70">
        <v>235.3</v>
      </c>
      <c r="JR44" s="70">
        <v>234.4</v>
      </c>
      <c r="JS44" s="70">
        <v>233.51</v>
      </c>
      <c r="JT44" s="70">
        <v>232.61</v>
      </c>
      <c r="JU44" s="70">
        <v>231.71</v>
      </c>
      <c r="JV44" s="70">
        <v>230.82</v>
      </c>
      <c r="JW44" s="70">
        <v>229.92</v>
      </c>
      <c r="JX44" s="70">
        <v>229.02</v>
      </c>
      <c r="JY44" s="70">
        <v>228.13</v>
      </c>
      <c r="JZ44" s="70">
        <v>227.23</v>
      </c>
      <c r="KA44" s="70">
        <v>226.34</v>
      </c>
      <c r="KB44" s="70">
        <v>225.45</v>
      </c>
      <c r="KC44" s="70">
        <v>224.56</v>
      </c>
      <c r="KD44" s="70">
        <v>223.66</v>
      </c>
      <c r="KE44" s="70">
        <v>222.77</v>
      </c>
      <c r="KF44" s="70">
        <v>221.88</v>
      </c>
      <c r="KG44" s="70">
        <v>221</v>
      </c>
      <c r="KH44" s="70">
        <v>220.11</v>
      </c>
      <c r="KI44" s="70">
        <v>219.22</v>
      </c>
      <c r="KJ44" s="70">
        <v>218.34</v>
      </c>
      <c r="KK44" s="70">
        <v>217.45</v>
      </c>
      <c r="KL44" s="70">
        <v>216.57</v>
      </c>
      <c r="KM44" s="70">
        <v>215.68</v>
      </c>
      <c r="KN44" s="70">
        <v>214.8</v>
      </c>
      <c r="KO44" s="70">
        <v>213.92</v>
      </c>
      <c r="KP44" s="70">
        <v>213.04</v>
      </c>
      <c r="KQ44" s="70">
        <v>212.16</v>
      </c>
      <c r="KR44" s="74">
        <f t="shared" si="29"/>
        <v>213.02</v>
      </c>
      <c r="KS44" s="74">
        <f t="shared" si="29"/>
        <v>212.23</v>
      </c>
      <c r="KT44" s="74">
        <f t="shared" si="29"/>
        <v>211.41</v>
      </c>
      <c r="KU44" s="74">
        <f t="shared" si="29"/>
        <v>210.62</v>
      </c>
      <c r="KV44" s="74">
        <f t="shared" si="29"/>
        <v>209.84</v>
      </c>
      <c r="KW44" s="74">
        <f t="shared" si="29"/>
        <v>209.05</v>
      </c>
      <c r="KX44" s="74">
        <f t="shared" si="29"/>
        <v>208.26</v>
      </c>
      <c r="KY44" s="74">
        <f t="shared" si="29"/>
        <v>207.48</v>
      </c>
      <c r="KZ44" s="74">
        <f t="shared" si="29"/>
        <v>206.69</v>
      </c>
      <c r="LA44" s="74">
        <f t="shared" si="29"/>
        <v>205.91</v>
      </c>
      <c r="LB44" s="74">
        <f t="shared" si="29"/>
        <v>205.13</v>
      </c>
      <c r="LC44" s="74">
        <f t="shared" si="29"/>
        <v>204.35</v>
      </c>
      <c r="LD44" s="74">
        <f t="shared" si="29"/>
        <v>203.57</v>
      </c>
      <c r="LE44" s="74">
        <f t="shared" si="29"/>
        <v>202.79</v>
      </c>
      <c r="LF44" s="74">
        <f t="shared" si="29"/>
        <v>202.02</v>
      </c>
      <c r="LG44" s="74">
        <f t="shared" si="28"/>
        <v>201.25</v>
      </c>
      <c r="LH44" s="74">
        <f t="shared" si="28"/>
        <v>200.47</v>
      </c>
      <c r="LI44" s="74">
        <f t="shared" si="28"/>
        <v>199.7</v>
      </c>
      <c r="LJ44" s="74">
        <f t="shared" si="28"/>
        <v>198.93</v>
      </c>
      <c r="LK44" s="74">
        <f t="shared" si="28"/>
        <v>198.16</v>
      </c>
      <c r="LL44" s="74">
        <f t="shared" si="28"/>
        <v>197.39</v>
      </c>
      <c r="LM44" s="74">
        <f t="shared" si="28"/>
        <v>196.63</v>
      </c>
      <c r="LN44" s="74">
        <f t="shared" si="28"/>
        <v>195.86</v>
      </c>
      <c r="LO44" s="74">
        <f t="shared" si="28"/>
        <v>195.1</v>
      </c>
      <c r="LP44" s="74">
        <f t="shared" si="28"/>
        <v>194.34</v>
      </c>
      <c r="LQ44" s="74">
        <f t="shared" si="28"/>
        <v>193.58</v>
      </c>
      <c r="LR44" s="74">
        <f t="shared" si="28"/>
        <v>192.82</v>
      </c>
      <c r="LS44" s="74">
        <f t="shared" si="28"/>
        <v>192.06</v>
      </c>
      <c r="LT44" s="74">
        <f t="shared" si="28"/>
        <v>191.31</v>
      </c>
      <c r="LU44" s="74">
        <f t="shared" si="28"/>
        <v>190.56</v>
      </c>
      <c r="LV44" s="74">
        <f t="shared" si="28"/>
        <v>189.8</v>
      </c>
      <c r="LW44" s="74">
        <f t="shared" si="28"/>
        <v>189.05</v>
      </c>
      <c r="LX44" s="74">
        <f t="shared" si="30"/>
        <v>188.3</v>
      </c>
      <c r="LY44" s="74">
        <f t="shared" si="30"/>
        <v>187.55</v>
      </c>
      <c r="LZ44" s="74">
        <f t="shared" si="30"/>
        <v>186.81</v>
      </c>
      <c r="MA44" s="74">
        <f t="shared" si="30"/>
        <v>186.06</v>
      </c>
      <c r="MB44" s="74">
        <f t="shared" si="30"/>
        <v>185.32</v>
      </c>
      <c r="MC44" s="74">
        <f t="shared" si="30"/>
        <v>184.58</v>
      </c>
      <c r="MD44" s="76">
        <f t="shared" si="30"/>
        <v>183.84</v>
      </c>
      <c r="ME44" s="77">
        <f t="shared" si="30"/>
        <v>183.11</v>
      </c>
      <c r="MF44" s="77">
        <f t="shared" si="30"/>
        <v>182.37</v>
      </c>
      <c r="MG44" s="77">
        <f t="shared" si="30"/>
        <v>181.64</v>
      </c>
      <c r="MH44" s="77">
        <f t="shared" si="30"/>
        <v>180.9</v>
      </c>
      <c r="MI44" s="77">
        <f t="shared" si="30"/>
        <v>180.17</v>
      </c>
      <c r="MJ44" s="77">
        <f t="shared" si="30"/>
        <v>179.44</v>
      </c>
      <c r="MK44" s="77">
        <f t="shared" si="30"/>
        <v>178.71</v>
      </c>
      <c r="ML44" s="77">
        <f t="shared" si="30"/>
        <v>177.99</v>
      </c>
      <c r="MM44" s="77">
        <f t="shared" si="30"/>
        <v>177.26</v>
      </c>
      <c r="MN44" s="77">
        <f t="shared" si="25"/>
        <v>176.54</v>
      </c>
      <c r="MO44" s="77">
        <f t="shared" si="26"/>
        <v>175.82</v>
      </c>
      <c r="MP44" s="77">
        <f t="shared" si="27"/>
        <v>175.1</v>
      </c>
      <c r="MQ44" s="77">
        <f t="shared" si="24"/>
        <v>174.39</v>
      </c>
      <c r="MR44" s="77">
        <f t="shared" si="24"/>
        <v>173.67</v>
      </c>
      <c r="MS44" s="77">
        <f t="shared" si="24"/>
        <v>172.96</v>
      </c>
      <c r="MT44" s="77">
        <f t="shared" si="24"/>
        <v>172.24</v>
      </c>
      <c r="MU44" s="77">
        <f t="shared" si="24"/>
        <v>171.53</v>
      </c>
      <c r="MV44" s="77">
        <f t="shared" si="24"/>
        <v>170.82</v>
      </c>
      <c r="MW44" s="77">
        <f t="shared" si="24"/>
        <v>170.12</v>
      </c>
      <c r="MX44" s="77">
        <f t="shared" si="24"/>
        <v>169.41</v>
      </c>
      <c r="MY44" s="77">
        <f t="shared" si="24"/>
        <v>168.71</v>
      </c>
    </row>
    <row r="45" spans="1:363" ht="15.6" x14ac:dyDescent="0.3">
      <c r="A45" s="67" t="s">
        <v>6</v>
      </c>
      <c r="B45" s="72">
        <v>2055</v>
      </c>
      <c r="C45" s="70">
        <v>509.9</v>
      </c>
      <c r="D45" s="70">
        <v>508.86</v>
      </c>
      <c r="E45" s="70">
        <v>507.82</v>
      </c>
      <c r="F45" s="70">
        <v>506.79</v>
      </c>
      <c r="G45" s="70">
        <v>505.75</v>
      </c>
      <c r="H45" s="70">
        <v>504.72</v>
      </c>
      <c r="I45" s="70">
        <v>503.68</v>
      </c>
      <c r="J45" s="70">
        <v>502.65</v>
      </c>
      <c r="K45" s="70">
        <v>501.61</v>
      </c>
      <c r="L45" s="70">
        <v>500.58</v>
      </c>
      <c r="M45" s="70">
        <v>499.54</v>
      </c>
      <c r="N45" s="70">
        <v>498.5</v>
      </c>
      <c r="O45" s="70">
        <v>497.47</v>
      </c>
      <c r="P45" s="70">
        <v>496.43</v>
      </c>
      <c r="Q45" s="70">
        <v>495.4</v>
      </c>
      <c r="R45" s="70">
        <v>494.36</v>
      </c>
      <c r="S45" s="70">
        <v>493.32</v>
      </c>
      <c r="T45" s="70">
        <v>492.29</v>
      </c>
      <c r="U45" s="70">
        <v>491.25</v>
      </c>
      <c r="V45" s="70">
        <v>490.22</v>
      </c>
      <c r="W45" s="70">
        <v>489.18</v>
      </c>
      <c r="X45" s="70">
        <v>488.14</v>
      </c>
      <c r="Y45" s="70">
        <v>487.11</v>
      </c>
      <c r="Z45" s="70">
        <v>486.07</v>
      </c>
      <c r="AA45" s="70">
        <v>485.04</v>
      </c>
      <c r="AB45" s="70">
        <v>484</v>
      </c>
      <c r="AC45" s="70">
        <v>482.96</v>
      </c>
      <c r="AD45" s="70">
        <v>481.93</v>
      </c>
      <c r="AE45" s="70">
        <v>480.89</v>
      </c>
      <c r="AF45" s="70">
        <v>479.85</v>
      </c>
      <c r="AG45" s="70">
        <v>478.82</v>
      </c>
      <c r="AH45" s="70">
        <v>477.78</v>
      </c>
      <c r="AI45" s="70">
        <v>476.75</v>
      </c>
      <c r="AJ45" s="70">
        <v>475.71</v>
      </c>
      <c r="AK45" s="70">
        <v>474.67</v>
      </c>
      <c r="AL45" s="70">
        <v>473.64</v>
      </c>
      <c r="AM45" s="70">
        <v>472.6</v>
      </c>
      <c r="AN45" s="70">
        <v>471.56</v>
      </c>
      <c r="AO45" s="70">
        <v>470.53</v>
      </c>
      <c r="AP45" s="70">
        <v>469.49</v>
      </c>
      <c r="AQ45" s="70">
        <v>468.45</v>
      </c>
      <c r="AR45" s="70">
        <v>467.42</v>
      </c>
      <c r="AS45" s="70">
        <v>466.38</v>
      </c>
      <c r="AT45" s="70">
        <v>465.34</v>
      </c>
      <c r="AU45" s="70">
        <v>464.3</v>
      </c>
      <c r="AV45" s="70">
        <v>463.27</v>
      </c>
      <c r="AW45" s="70">
        <v>462.23</v>
      </c>
      <c r="AX45" s="70">
        <v>461.19</v>
      </c>
      <c r="AY45" s="70">
        <v>460.16</v>
      </c>
      <c r="AZ45" s="70">
        <v>459.12</v>
      </c>
      <c r="BA45" s="70">
        <v>458.08</v>
      </c>
      <c r="BB45" s="70">
        <v>457.05</v>
      </c>
      <c r="BC45" s="70">
        <v>456.01</v>
      </c>
      <c r="BD45" s="70">
        <v>454.97</v>
      </c>
      <c r="BE45" s="70">
        <v>453.94</v>
      </c>
      <c r="BF45" s="70">
        <v>452.9</v>
      </c>
      <c r="BG45" s="70">
        <v>451.86</v>
      </c>
      <c r="BH45" s="70">
        <v>450.82</v>
      </c>
      <c r="BI45" s="70">
        <v>449.79</v>
      </c>
      <c r="BJ45" s="70">
        <v>448.75</v>
      </c>
      <c r="BK45" s="70">
        <v>447.71</v>
      </c>
      <c r="BL45" s="70">
        <v>446.67</v>
      </c>
      <c r="BM45" s="70">
        <v>445.64</v>
      </c>
      <c r="BN45" s="70">
        <v>444.6</v>
      </c>
      <c r="BO45" s="70">
        <v>443.56</v>
      </c>
      <c r="BP45" s="70">
        <v>442.52</v>
      </c>
      <c r="BQ45" s="70">
        <v>441.48</v>
      </c>
      <c r="BR45" s="70">
        <v>440.45</v>
      </c>
      <c r="BS45" s="70">
        <v>439.41</v>
      </c>
      <c r="BT45" s="70">
        <v>438.37</v>
      </c>
      <c r="BU45" s="70">
        <v>437.33</v>
      </c>
      <c r="BV45" s="70">
        <v>436.3</v>
      </c>
      <c r="BW45" s="70">
        <v>435.26</v>
      </c>
      <c r="BX45" s="70">
        <v>434.22</v>
      </c>
      <c r="BY45" s="70">
        <v>433.19</v>
      </c>
      <c r="BZ45" s="70">
        <v>432.15</v>
      </c>
      <c r="CA45" s="70">
        <v>431.11</v>
      </c>
      <c r="CB45" s="70">
        <v>430.08</v>
      </c>
      <c r="CC45" s="70">
        <v>429.04</v>
      </c>
      <c r="CD45" s="70">
        <v>428.01</v>
      </c>
      <c r="CE45" s="70">
        <v>426.97</v>
      </c>
      <c r="CF45" s="70">
        <v>425.93</v>
      </c>
      <c r="CG45" s="70">
        <v>424.9</v>
      </c>
      <c r="CH45" s="70">
        <v>423.86</v>
      </c>
      <c r="CI45" s="70">
        <v>422.83</v>
      </c>
      <c r="CJ45" s="70">
        <v>421.79</v>
      </c>
      <c r="CK45" s="70">
        <v>420.76</v>
      </c>
      <c r="CL45" s="70">
        <v>419.72</v>
      </c>
      <c r="CM45" s="70">
        <v>418.68</v>
      </c>
      <c r="CN45" s="70">
        <v>417.65</v>
      </c>
      <c r="CO45" s="70">
        <v>416.61</v>
      </c>
      <c r="CP45" s="70">
        <v>415.58</v>
      </c>
      <c r="CQ45" s="70">
        <v>414.54</v>
      </c>
      <c r="CR45" s="70">
        <v>413.5</v>
      </c>
      <c r="CS45" s="70">
        <v>412.47</v>
      </c>
      <c r="CT45" s="70">
        <v>411.43</v>
      </c>
      <c r="CU45" s="70">
        <v>410.4</v>
      </c>
      <c r="CV45" s="70">
        <v>409.36</v>
      </c>
      <c r="CW45" s="70">
        <v>408.33</v>
      </c>
      <c r="CX45" s="70">
        <v>407.29</v>
      </c>
      <c r="CY45" s="70">
        <v>406.26</v>
      </c>
      <c r="CZ45" s="70">
        <v>405.23</v>
      </c>
      <c r="DA45" s="70">
        <v>404.19</v>
      </c>
      <c r="DB45" s="70">
        <v>403.16</v>
      </c>
      <c r="DC45" s="70">
        <v>402.13</v>
      </c>
      <c r="DD45" s="70">
        <v>401.09</v>
      </c>
      <c r="DE45" s="70">
        <v>400.06</v>
      </c>
      <c r="DF45" s="70">
        <v>399.02</v>
      </c>
      <c r="DG45" s="70">
        <v>397.99</v>
      </c>
      <c r="DH45" s="70">
        <v>396.96</v>
      </c>
      <c r="DI45" s="70">
        <v>395.93</v>
      </c>
      <c r="DJ45" s="70">
        <v>394.89</v>
      </c>
      <c r="DK45" s="70">
        <v>393.86</v>
      </c>
      <c r="DL45" s="70">
        <v>392.83</v>
      </c>
      <c r="DM45" s="70">
        <v>391.8</v>
      </c>
      <c r="DN45" s="70">
        <v>390.77</v>
      </c>
      <c r="DO45" s="70">
        <v>389.74</v>
      </c>
      <c r="DP45" s="70">
        <v>388.7</v>
      </c>
      <c r="DQ45" s="70">
        <v>387.67</v>
      </c>
      <c r="DR45" s="70">
        <v>386.64</v>
      </c>
      <c r="DS45" s="70">
        <v>385.61</v>
      </c>
      <c r="DT45" s="70">
        <v>384.58</v>
      </c>
      <c r="DU45" s="70">
        <v>383.56</v>
      </c>
      <c r="DV45" s="70">
        <v>382.53</v>
      </c>
      <c r="DW45" s="70">
        <v>381.5</v>
      </c>
      <c r="DX45" s="70">
        <v>380.48</v>
      </c>
      <c r="DY45" s="70">
        <v>379.45</v>
      </c>
      <c r="DZ45" s="70">
        <v>378.42</v>
      </c>
      <c r="EA45" s="70">
        <v>377.4</v>
      </c>
      <c r="EB45" s="70">
        <v>376.37</v>
      </c>
      <c r="EC45" s="70">
        <v>375.35</v>
      </c>
      <c r="ED45" s="70">
        <v>374.32</v>
      </c>
      <c r="EE45" s="70">
        <v>373.3</v>
      </c>
      <c r="EF45" s="70">
        <v>372.28</v>
      </c>
      <c r="EG45" s="70">
        <v>371.26</v>
      </c>
      <c r="EH45" s="70">
        <v>370.24</v>
      </c>
      <c r="EI45" s="70">
        <v>369.22</v>
      </c>
      <c r="EJ45" s="70">
        <v>368.2</v>
      </c>
      <c r="EK45" s="70">
        <v>367.19</v>
      </c>
      <c r="EL45" s="70">
        <v>366.17</v>
      </c>
      <c r="EM45" s="70">
        <v>365.15</v>
      </c>
      <c r="EN45" s="70">
        <v>364.13</v>
      </c>
      <c r="EO45" s="70">
        <v>363.12</v>
      </c>
      <c r="EP45" s="70">
        <v>362.1</v>
      </c>
      <c r="EQ45" s="70">
        <v>361.08</v>
      </c>
      <c r="ER45" s="70">
        <v>360.07</v>
      </c>
      <c r="ES45" s="70">
        <v>359.06</v>
      </c>
      <c r="ET45" s="70">
        <v>358.05</v>
      </c>
      <c r="EU45" s="70">
        <v>357.04</v>
      </c>
      <c r="EV45" s="70">
        <v>356.02</v>
      </c>
      <c r="EW45" s="70">
        <v>355.01</v>
      </c>
      <c r="EX45" s="70">
        <v>354</v>
      </c>
      <c r="EY45" s="70">
        <v>352.99</v>
      </c>
      <c r="EZ45" s="70">
        <v>351.98</v>
      </c>
      <c r="FA45" s="70">
        <v>350.97</v>
      </c>
      <c r="FB45" s="70">
        <v>349.96</v>
      </c>
      <c r="FC45" s="70">
        <v>348.95</v>
      </c>
      <c r="FD45" s="70">
        <v>347.95</v>
      </c>
      <c r="FE45" s="70">
        <v>346.94</v>
      </c>
      <c r="FF45" s="70">
        <v>345.94</v>
      </c>
      <c r="FG45" s="70">
        <v>344.94</v>
      </c>
      <c r="FH45" s="70">
        <v>343.93</v>
      </c>
      <c r="FI45" s="70">
        <v>342.93</v>
      </c>
      <c r="FJ45" s="70">
        <v>341.93</v>
      </c>
      <c r="FK45" s="70">
        <v>340.93</v>
      </c>
      <c r="FL45" s="70">
        <v>339.93</v>
      </c>
      <c r="FM45" s="70">
        <v>338.93</v>
      </c>
      <c r="FN45" s="70">
        <v>337.93</v>
      </c>
      <c r="FO45" s="70">
        <v>336.92</v>
      </c>
      <c r="FP45" s="70">
        <v>335.93</v>
      </c>
      <c r="FQ45" s="70">
        <v>334.93</v>
      </c>
      <c r="FR45" s="70">
        <v>333.93</v>
      </c>
      <c r="FS45" s="70">
        <v>332.93</v>
      </c>
      <c r="FT45" s="70">
        <v>331.94</v>
      </c>
      <c r="FU45" s="70">
        <v>330.94</v>
      </c>
      <c r="FV45" s="70">
        <v>329.94</v>
      </c>
      <c r="FW45" s="70">
        <v>328.95</v>
      </c>
      <c r="FX45" s="70">
        <v>327.95</v>
      </c>
      <c r="FY45" s="70">
        <v>326.95999999999998</v>
      </c>
      <c r="FZ45" s="70">
        <v>325.95999999999998</v>
      </c>
      <c r="GA45" s="70">
        <v>324.97000000000003</v>
      </c>
      <c r="GB45" s="70">
        <v>323.98</v>
      </c>
      <c r="GC45" s="70">
        <v>322.99</v>
      </c>
      <c r="GD45" s="70">
        <v>321.99</v>
      </c>
      <c r="GE45" s="70">
        <v>321</v>
      </c>
      <c r="GF45" s="70">
        <v>320.01</v>
      </c>
      <c r="GG45" s="70">
        <v>319.01</v>
      </c>
      <c r="GH45" s="70">
        <v>318.02999999999997</v>
      </c>
      <c r="GI45" s="70">
        <v>317.04000000000002</v>
      </c>
      <c r="GJ45" s="70">
        <v>316.06</v>
      </c>
      <c r="GK45" s="70">
        <v>315.07</v>
      </c>
      <c r="GL45" s="70">
        <v>314.07</v>
      </c>
      <c r="GM45" s="70">
        <v>313.10000000000002</v>
      </c>
      <c r="GN45" s="70">
        <v>312.12</v>
      </c>
      <c r="GO45" s="70">
        <v>311.14</v>
      </c>
      <c r="GP45" s="70">
        <v>310.16000000000003</v>
      </c>
      <c r="GQ45" s="70">
        <v>309.18</v>
      </c>
      <c r="GR45" s="70">
        <v>308.2</v>
      </c>
      <c r="GS45" s="70">
        <v>307.23</v>
      </c>
      <c r="GT45" s="70">
        <v>306.25</v>
      </c>
      <c r="GU45" s="70">
        <v>305.26</v>
      </c>
      <c r="GV45" s="70">
        <v>304.29000000000002</v>
      </c>
      <c r="GW45" s="70">
        <v>303.32</v>
      </c>
      <c r="GX45" s="70">
        <v>302.35000000000002</v>
      </c>
      <c r="GY45" s="70">
        <v>301.38</v>
      </c>
      <c r="GZ45" s="70">
        <v>300.39999999999998</v>
      </c>
      <c r="HA45" s="70">
        <v>299.43</v>
      </c>
      <c r="HB45" s="70">
        <v>298.45999999999998</v>
      </c>
      <c r="HC45" s="70">
        <v>297.49</v>
      </c>
      <c r="HD45" s="70">
        <v>296.52999999999997</v>
      </c>
      <c r="HE45" s="70">
        <v>295.56</v>
      </c>
      <c r="HF45" s="70">
        <v>294.58999999999997</v>
      </c>
      <c r="HG45" s="70">
        <v>293.62</v>
      </c>
      <c r="HH45" s="70">
        <v>292.66000000000003</v>
      </c>
      <c r="HI45" s="70">
        <v>291.69</v>
      </c>
      <c r="HJ45" s="70">
        <v>290.73</v>
      </c>
      <c r="HK45" s="70">
        <v>289.76</v>
      </c>
      <c r="HL45" s="70">
        <v>288.81</v>
      </c>
      <c r="HM45" s="70">
        <v>287.85000000000002</v>
      </c>
      <c r="HN45" s="70">
        <v>286.89999999999998</v>
      </c>
      <c r="HO45" s="70">
        <v>285.95</v>
      </c>
      <c r="HP45" s="70">
        <v>285</v>
      </c>
      <c r="HQ45" s="70">
        <v>284.04000000000002</v>
      </c>
      <c r="HR45" s="70">
        <v>283.08999999999997</v>
      </c>
      <c r="HS45" s="70">
        <v>282.14</v>
      </c>
      <c r="HT45" s="70">
        <v>281.19</v>
      </c>
      <c r="HU45" s="70">
        <v>280.25</v>
      </c>
      <c r="HV45" s="70">
        <v>279.29000000000002</v>
      </c>
      <c r="HW45" s="70">
        <v>278.35000000000002</v>
      </c>
      <c r="HX45" s="70">
        <v>277.41000000000003</v>
      </c>
      <c r="HY45" s="70">
        <v>276.45999999999998</v>
      </c>
      <c r="HZ45" s="70">
        <v>275.51</v>
      </c>
      <c r="IA45" s="70">
        <v>274.57</v>
      </c>
      <c r="IB45" s="70">
        <v>273.63</v>
      </c>
      <c r="IC45" s="70">
        <v>272.69</v>
      </c>
      <c r="ID45" s="70">
        <v>271.75</v>
      </c>
      <c r="IE45" s="70">
        <v>270.81</v>
      </c>
      <c r="IF45" s="70">
        <v>269.87</v>
      </c>
      <c r="IG45" s="70">
        <v>268.93</v>
      </c>
      <c r="IH45" s="70">
        <v>267.99</v>
      </c>
      <c r="II45" s="70">
        <v>267.06</v>
      </c>
      <c r="IJ45" s="70">
        <v>266.12</v>
      </c>
      <c r="IK45" s="70">
        <v>265.19</v>
      </c>
      <c r="IL45" s="70">
        <v>264.25</v>
      </c>
      <c r="IM45" s="70">
        <v>263.32</v>
      </c>
      <c r="IN45" s="70">
        <v>262.39</v>
      </c>
      <c r="IO45" s="70">
        <v>261.45999999999998</v>
      </c>
      <c r="IP45" s="70">
        <v>260.52999999999997</v>
      </c>
      <c r="IQ45" s="70">
        <v>259.60000000000002</v>
      </c>
      <c r="IR45" s="70">
        <v>258.67</v>
      </c>
      <c r="IS45" s="70">
        <v>257.75</v>
      </c>
      <c r="IT45" s="70">
        <v>256.82</v>
      </c>
      <c r="IU45" s="70">
        <v>255.9</v>
      </c>
      <c r="IV45" s="70">
        <v>254.98</v>
      </c>
      <c r="IW45" s="70">
        <v>254.07</v>
      </c>
      <c r="IX45" s="70">
        <v>253.15</v>
      </c>
      <c r="IY45" s="70">
        <v>252.24</v>
      </c>
      <c r="IZ45" s="70">
        <v>251.33</v>
      </c>
      <c r="JA45" s="70">
        <v>250.42</v>
      </c>
      <c r="JB45" s="70">
        <v>249.51</v>
      </c>
      <c r="JC45" s="70">
        <v>248.6</v>
      </c>
      <c r="JD45" s="70">
        <v>247.69</v>
      </c>
      <c r="JE45" s="70">
        <v>246.79</v>
      </c>
      <c r="JF45" s="70">
        <v>245.88</v>
      </c>
      <c r="JG45" s="70">
        <v>244.97</v>
      </c>
      <c r="JH45" s="70">
        <v>244.07</v>
      </c>
      <c r="JI45" s="70">
        <v>243.17</v>
      </c>
      <c r="JJ45" s="70">
        <v>242.27</v>
      </c>
      <c r="JK45" s="70">
        <v>241.37</v>
      </c>
      <c r="JL45" s="70">
        <v>240.47</v>
      </c>
      <c r="JM45" s="70">
        <v>239.57</v>
      </c>
      <c r="JN45" s="70">
        <v>238.67</v>
      </c>
      <c r="JO45" s="70">
        <v>237.77</v>
      </c>
      <c r="JP45" s="70">
        <v>236.88</v>
      </c>
      <c r="JQ45" s="70">
        <v>235.98</v>
      </c>
      <c r="JR45" s="70">
        <v>235.08</v>
      </c>
      <c r="JS45" s="70">
        <v>234.19</v>
      </c>
      <c r="JT45" s="70">
        <v>233.29</v>
      </c>
      <c r="JU45" s="70">
        <v>232.39</v>
      </c>
      <c r="JV45" s="70">
        <v>231.49</v>
      </c>
      <c r="JW45" s="70">
        <v>230.59</v>
      </c>
      <c r="JX45" s="70">
        <v>229.7</v>
      </c>
      <c r="JY45" s="70">
        <v>228.8</v>
      </c>
      <c r="JZ45" s="70">
        <v>227.9</v>
      </c>
      <c r="KA45" s="70">
        <v>227.01</v>
      </c>
      <c r="KB45" s="70">
        <v>226.11</v>
      </c>
      <c r="KC45" s="70">
        <v>225.22</v>
      </c>
      <c r="KD45" s="70">
        <v>224.33</v>
      </c>
      <c r="KE45" s="70">
        <v>223.43</v>
      </c>
      <c r="KF45" s="70">
        <v>222.54</v>
      </c>
      <c r="KG45" s="70">
        <v>221.65</v>
      </c>
      <c r="KH45" s="70">
        <v>220.77</v>
      </c>
      <c r="KI45" s="70">
        <v>219.88</v>
      </c>
      <c r="KJ45" s="70">
        <v>218.99</v>
      </c>
      <c r="KK45" s="70">
        <v>218.1</v>
      </c>
      <c r="KL45" s="70">
        <v>217.22</v>
      </c>
      <c r="KM45" s="70">
        <v>216.33</v>
      </c>
      <c r="KN45" s="70">
        <v>215.45</v>
      </c>
      <c r="KO45" s="70">
        <v>214.57</v>
      </c>
      <c r="KP45" s="70">
        <v>213.69</v>
      </c>
      <c r="KQ45" s="70">
        <v>212.81</v>
      </c>
      <c r="KR45" s="74">
        <f t="shared" si="29"/>
        <v>213.77</v>
      </c>
      <c r="KS45" s="74">
        <f t="shared" si="29"/>
        <v>212.98</v>
      </c>
      <c r="KT45" s="74">
        <f t="shared" si="29"/>
        <v>212.16</v>
      </c>
      <c r="KU45" s="74">
        <f t="shared" si="29"/>
        <v>211.37</v>
      </c>
      <c r="KV45" s="74">
        <f t="shared" si="29"/>
        <v>210.59</v>
      </c>
      <c r="KW45" s="74">
        <f t="shared" si="29"/>
        <v>209.8</v>
      </c>
      <c r="KX45" s="74">
        <f t="shared" si="29"/>
        <v>209.01</v>
      </c>
      <c r="KY45" s="74">
        <f t="shared" si="29"/>
        <v>208.23</v>
      </c>
      <c r="KZ45" s="74">
        <f t="shared" si="29"/>
        <v>207.44</v>
      </c>
      <c r="LA45" s="74">
        <f t="shared" si="29"/>
        <v>206.66</v>
      </c>
      <c r="LB45" s="74">
        <f t="shared" si="29"/>
        <v>205.88</v>
      </c>
      <c r="LC45" s="74">
        <f t="shared" si="29"/>
        <v>205.1</v>
      </c>
      <c r="LD45" s="74">
        <f t="shared" si="29"/>
        <v>204.32</v>
      </c>
      <c r="LE45" s="74">
        <f t="shared" si="29"/>
        <v>203.54</v>
      </c>
      <c r="LF45" s="74">
        <f t="shared" si="29"/>
        <v>202.77</v>
      </c>
      <c r="LG45" s="74">
        <f t="shared" si="28"/>
        <v>202</v>
      </c>
      <c r="LH45" s="74">
        <f t="shared" si="28"/>
        <v>201.22</v>
      </c>
      <c r="LI45" s="74">
        <f t="shared" si="28"/>
        <v>200.45</v>
      </c>
      <c r="LJ45" s="74">
        <f t="shared" si="28"/>
        <v>199.68</v>
      </c>
      <c r="LK45" s="74">
        <f t="shared" si="28"/>
        <v>198.91</v>
      </c>
      <c r="LL45" s="74">
        <f t="shared" si="28"/>
        <v>198.14</v>
      </c>
      <c r="LM45" s="74">
        <f t="shared" si="28"/>
        <v>197.38</v>
      </c>
      <c r="LN45" s="74">
        <f t="shared" si="28"/>
        <v>196.61</v>
      </c>
      <c r="LO45" s="74">
        <f t="shared" si="28"/>
        <v>195.85</v>
      </c>
      <c r="LP45" s="74">
        <f t="shared" si="28"/>
        <v>195.09</v>
      </c>
      <c r="LQ45" s="74">
        <f t="shared" si="28"/>
        <v>194.33</v>
      </c>
      <c r="LR45" s="74">
        <f t="shared" si="28"/>
        <v>193.57</v>
      </c>
      <c r="LS45" s="74">
        <f t="shared" si="28"/>
        <v>192.81</v>
      </c>
      <c r="LT45" s="74">
        <f t="shared" si="28"/>
        <v>192.06</v>
      </c>
      <c r="LU45" s="74">
        <f t="shared" si="28"/>
        <v>191.31</v>
      </c>
      <c r="LV45" s="74">
        <f t="shared" si="28"/>
        <v>190.55</v>
      </c>
      <c r="LW45" s="74">
        <f t="shared" si="28"/>
        <v>189.8</v>
      </c>
      <c r="LX45" s="74">
        <f t="shared" si="30"/>
        <v>189.05</v>
      </c>
      <c r="LY45" s="74">
        <f t="shared" si="30"/>
        <v>188.3</v>
      </c>
      <c r="LZ45" s="74">
        <f t="shared" si="30"/>
        <v>187.56</v>
      </c>
      <c r="MA45" s="74">
        <f t="shared" si="30"/>
        <v>186.81</v>
      </c>
      <c r="MB45" s="74">
        <f t="shared" si="30"/>
        <v>186.07</v>
      </c>
      <c r="MC45" s="74">
        <f t="shared" si="30"/>
        <v>185.33</v>
      </c>
      <c r="MD45" s="76">
        <f t="shared" si="30"/>
        <v>184.59</v>
      </c>
      <c r="ME45" s="77">
        <f t="shared" si="30"/>
        <v>183.86</v>
      </c>
      <c r="MF45" s="77">
        <f t="shared" si="30"/>
        <v>183.12</v>
      </c>
      <c r="MG45" s="77">
        <f t="shared" si="30"/>
        <v>182.39</v>
      </c>
      <c r="MH45" s="77">
        <f t="shared" si="30"/>
        <v>181.65</v>
      </c>
      <c r="MI45" s="77">
        <f t="shared" si="30"/>
        <v>180.92</v>
      </c>
      <c r="MJ45" s="77">
        <f t="shared" si="30"/>
        <v>180.19</v>
      </c>
      <c r="MK45" s="77">
        <f t="shared" si="30"/>
        <v>179.46</v>
      </c>
      <c r="ML45" s="77">
        <f t="shared" si="30"/>
        <v>178.74</v>
      </c>
      <c r="MM45" s="77">
        <f t="shared" si="30"/>
        <v>178.01</v>
      </c>
      <c r="MN45" s="77">
        <f t="shared" si="25"/>
        <v>177.29</v>
      </c>
      <c r="MO45" s="77">
        <f t="shared" si="26"/>
        <v>176.57</v>
      </c>
      <c r="MP45" s="77">
        <f t="shared" si="27"/>
        <v>175.85</v>
      </c>
      <c r="MQ45" s="77">
        <f t="shared" ref="MQ45:MY45" si="31">MQ44+0.75</f>
        <v>175.14</v>
      </c>
      <c r="MR45" s="77">
        <f t="shared" si="31"/>
        <v>174.42</v>
      </c>
      <c r="MS45" s="77">
        <f t="shared" si="31"/>
        <v>173.71</v>
      </c>
      <c r="MT45" s="77">
        <f t="shared" si="31"/>
        <v>172.99</v>
      </c>
      <c r="MU45" s="77">
        <f t="shared" si="31"/>
        <v>172.28</v>
      </c>
      <c r="MV45" s="77">
        <f t="shared" si="31"/>
        <v>171.57</v>
      </c>
      <c r="MW45" s="77">
        <f t="shared" si="31"/>
        <v>170.87</v>
      </c>
      <c r="MX45" s="77">
        <f t="shared" si="31"/>
        <v>170.16</v>
      </c>
      <c r="MY45" s="77">
        <f t="shared" si="31"/>
        <v>169.46</v>
      </c>
    </row>
    <row r="46" spans="1:363" ht="15.6" x14ac:dyDescent="0.3">
      <c r="A46" s="67" t="s">
        <v>6</v>
      </c>
      <c r="B46" s="72">
        <v>2056</v>
      </c>
      <c r="C46" s="70">
        <v>510.69</v>
      </c>
      <c r="D46" s="70">
        <v>509.66</v>
      </c>
      <c r="E46" s="70">
        <v>508.62</v>
      </c>
      <c r="F46" s="70">
        <v>507.58</v>
      </c>
      <c r="G46" s="70">
        <v>506.55</v>
      </c>
      <c r="H46" s="70">
        <v>505.51</v>
      </c>
      <c r="I46" s="70">
        <v>504.48</v>
      </c>
      <c r="J46" s="70">
        <v>503.44</v>
      </c>
      <c r="K46" s="70">
        <v>502.41</v>
      </c>
      <c r="L46" s="70">
        <v>501.37</v>
      </c>
      <c r="M46" s="70">
        <v>500.34</v>
      </c>
      <c r="N46" s="70">
        <v>499.3</v>
      </c>
      <c r="O46" s="70">
        <v>498.27</v>
      </c>
      <c r="P46" s="70">
        <v>497.23</v>
      </c>
      <c r="Q46" s="70">
        <v>496.19</v>
      </c>
      <c r="R46" s="70">
        <v>495.16</v>
      </c>
      <c r="S46" s="70">
        <v>494.12</v>
      </c>
      <c r="T46" s="70">
        <v>493.09</v>
      </c>
      <c r="U46" s="70">
        <v>492.05</v>
      </c>
      <c r="V46" s="70">
        <v>491.01</v>
      </c>
      <c r="W46" s="70">
        <v>489.98</v>
      </c>
      <c r="X46" s="70">
        <v>488.94</v>
      </c>
      <c r="Y46" s="70">
        <v>487.91</v>
      </c>
      <c r="Z46" s="70">
        <v>486.87</v>
      </c>
      <c r="AA46" s="70">
        <v>485.84</v>
      </c>
      <c r="AB46" s="70">
        <v>484.8</v>
      </c>
      <c r="AC46" s="70">
        <v>483.76</v>
      </c>
      <c r="AD46" s="70">
        <v>482.73</v>
      </c>
      <c r="AE46" s="70">
        <v>481.69</v>
      </c>
      <c r="AF46" s="70">
        <v>480.65</v>
      </c>
      <c r="AG46" s="70">
        <v>479.62</v>
      </c>
      <c r="AH46" s="70">
        <v>478.58</v>
      </c>
      <c r="AI46" s="70">
        <v>477.54</v>
      </c>
      <c r="AJ46" s="70">
        <v>476.51</v>
      </c>
      <c r="AK46" s="70">
        <v>475.47</v>
      </c>
      <c r="AL46" s="70">
        <v>474.44</v>
      </c>
      <c r="AM46" s="70">
        <v>473.4</v>
      </c>
      <c r="AN46" s="70">
        <v>472.36</v>
      </c>
      <c r="AO46" s="70">
        <v>471.33</v>
      </c>
      <c r="AP46" s="70">
        <v>470.29</v>
      </c>
      <c r="AQ46" s="70">
        <v>469.25</v>
      </c>
      <c r="AR46" s="70">
        <v>468.21</v>
      </c>
      <c r="AS46" s="70">
        <v>467.18</v>
      </c>
      <c r="AT46" s="70">
        <v>466.14</v>
      </c>
      <c r="AU46" s="70">
        <v>465.1</v>
      </c>
      <c r="AV46" s="70">
        <v>464.07</v>
      </c>
      <c r="AW46" s="70">
        <v>463.03</v>
      </c>
      <c r="AX46" s="70">
        <v>461.99</v>
      </c>
      <c r="AY46" s="70">
        <v>460.96</v>
      </c>
      <c r="AZ46" s="70">
        <v>459.92</v>
      </c>
      <c r="BA46" s="70">
        <v>458.88</v>
      </c>
      <c r="BB46" s="70">
        <v>457.85</v>
      </c>
      <c r="BC46" s="70">
        <v>456.81</v>
      </c>
      <c r="BD46" s="70">
        <v>455.77</v>
      </c>
      <c r="BE46" s="70">
        <v>454.73</v>
      </c>
      <c r="BF46" s="70">
        <v>453.7</v>
      </c>
      <c r="BG46" s="70">
        <v>452.66</v>
      </c>
      <c r="BH46" s="70">
        <v>451.62</v>
      </c>
      <c r="BI46" s="70">
        <v>450.59</v>
      </c>
      <c r="BJ46" s="70">
        <v>449.55</v>
      </c>
      <c r="BK46" s="70">
        <v>448.51</v>
      </c>
      <c r="BL46" s="70">
        <v>447.47</v>
      </c>
      <c r="BM46" s="70">
        <v>446.44</v>
      </c>
      <c r="BN46" s="70">
        <v>445.4</v>
      </c>
      <c r="BO46" s="70">
        <v>444.36</v>
      </c>
      <c r="BP46" s="70">
        <v>443.32</v>
      </c>
      <c r="BQ46" s="70">
        <v>442.28</v>
      </c>
      <c r="BR46" s="70">
        <v>441.25</v>
      </c>
      <c r="BS46" s="70">
        <v>440.21</v>
      </c>
      <c r="BT46" s="70">
        <v>439.17</v>
      </c>
      <c r="BU46" s="70">
        <v>438.13</v>
      </c>
      <c r="BV46" s="70">
        <v>437.1</v>
      </c>
      <c r="BW46" s="70">
        <v>436.06</v>
      </c>
      <c r="BX46" s="70">
        <v>435.02</v>
      </c>
      <c r="BY46" s="70">
        <v>433.99</v>
      </c>
      <c r="BZ46" s="70">
        <v>432.95</v>
      </c>
      <c r="CA46" s="70">
        <v>431.91</v>
      </c>
      <c r="CB46" s="70">
        <v>430.88</v>
      </c>
      <c r="CC46" s="70">
        <v>429.84</v>
      </c>
      <c r="CD46" s="70">
        <v>428.81</v>
      </c>
      <c r="CE46" s="70">
        <v>427.77</v>
      </c>
      <c r="CF46" s="70">
        <v>426.73</v>
      </c>
      <c r="CG46" s="70">
        <v>425.7</v>
      </c>
      <c r="CH46" s="70">
        <v>424.66</v>
      </c>
      <c r="CI46" s="70">
        <v>423.63</v>
      </c>
      <c r="CJ46" s="70">
        <v>422.59</v>
      </c>
      <c r="CK46" s="70">
        <v>421.55</v>
      </c>
      <c r="CL46" s="70">
        <v>420.52</v>
      </c>
      <c r="CM46" s="70">
        <v>419.48</v>
      </c>
      <c r="CN46" s="70">
        <v>418.45</v>
      </c>
      <c r="CO46" s="70">
        <v>417.41</v>
      </c>
      <c r="CP46" s="70">
        <v>416.37</v>
      </c>
      <c r="CQ46" s="70">
        <v>415.34</v>
      </c>
      <c r="CR46" s="70">
        <v>414.3</v>
      </c>
      <c r="CS46" s="70">
        <v>413.27</v>
      </c>
      <c r="CT46" s="70">
        <v>412.23</v>
      </c>
      <c r="CU46" s="70">
        <v>411.19</v>
      </c>
      <c r="CV46" s="70">
        <v>410.16</v>
      </c>
      <c r="CW46" s="70">
        <v>409.13</v>
      </c>
      <c r="CX46" s="70">
        <v>408.09</v>
      </c>
      <c r="CY46" s="70">
        <v>407.06</v>
      </c>
      <c r="CZ46" s="70">
        <v>406.02</v>
      </c>
      <c r="DA46" s="70">
        <v>404.99</v>
      </c>
      <c r="DB46" s="70">
        <v>403.96</v>
      </c>
      <c r="DC46" s="70">
        <v>402.92</v>
      </c>
      <c r="DD46" s="70">
        <v>401.89</v>
      </c>
      <c r="DE46" s="70">
        <v>400.85</v>
      </c>
      <c r="DF46" s="70">
        <v>399.82</v>
      </c>
      <c r="DG46" s="70">
        <v>398.79</v>
      </c>
      <c r="DH46" s="70">
        <v>397.75</v>
      </c>
      <c r="DI46" s="70">
        <v>396.72</v>
      </c>
      <c r="DJ46" s="70">
        <v>395.69</v>
      </c>
      <c r="DK46" s="70">
        <v>394.66</v>
      </c>
      <c r="DL46" s="70">
        <v>393.62</v>
      </c>
      <c r="DM46" s="70">
        <v>392.59</v>
      </c>
      <c r="DN46" s="70">
        <v>391.56</v>
      </c>
      <c r="DO46" s="70">
        <v>390.53</v>
      </c>
      <c r="DP46" s="70">
        <v>389.5</v>
      </c>
      <c r="DQ46" s="70">
        <v>388.47</v>
      </c>
      <c r="DR46" s="70">
        <v>387.43</v>
      </c>
      <c r="DS46" s="70">
        <v>386.4</v>
      </c>
      <c r="DT46" s="70">
        <v>385.38</v>
      </c>
      <c r="DU46" s="70">
        <v>384.35</v>
      </c>
      <c r="DV46" s="70">
        <v>383.32</v>
      </c>
      <c r="DW46" s="70">
        <v>382.29</v>
      </c>
      <c r="DX46" s="70">
        <v>381.27</v>
      </c>
      <c r="DY46" s="70">
        <v>380.24</v>
      </c>
      <c r="DZ46" s="70">
        <v>379.22</v>
      </c>
      <c r="EA46" s="70">
        <v>378.19</v>
      </c>
      <c r="EB46" s="70">
        <v>377.16</v>
      </c>
      <c r="EC46" s="70">
        <v>376.14</v>
      </c>
      <c r="ED46" s="70">
        <v>375.11</v>
      </c>
      <c r="EE46" s="70">
        <v>374.09</v>
      </c>
      <c r="EF46" s="70">
        <v>373.07</v>
      </c>
      <c r="EG46" s="70">
        <v>372.05</v>
      </c>
      <c r="EH46" s="70">
        <v>371.03</v>
      </c>
      <c r="EI46" s="70">
        <v>370.01</v>
      </c>
      <c r="EJ46" s="70">
        <v>368.99</v>
      </c>
      <c r="EK46" s="70">
        <v>367.97</v>
      </c>
      <c r="EL46" s="70">
        <v>366.96</v>
      </c>
      <c r="EM46" s="70">
        <v>365.94</v>
      </c>
      <c r="EN46" s="70">
        <v>364.92</v>
      </c>
      <c r="EO46" s="70">
        <v>363.9</v>
      </c>
      <c r="EP46" s="70">
        <v>362.89</v>
      </c>
      <c r="EQ46" s="70">
        <v>361.87</v>
      </c>
      <c r="ER46" s="70">
        <v>360.86</v>
      </c>
      <c r="ES46" s="70">
        <v>359.84</v>
      </c>
      <c r="ET46" s="70">
        <v>358.83</v>
      </c>
      <c r="EU46" s="70">
        <v>357.82</v>
      </c>
      <c r="EV46" s="70">
        <v>356.81</v>
      </c>
      <c r="EW46" s="70">
        <v>355.8</v>
      </c>
      <c r="EX46" s="70">
        <v>354.79</v>
      </c>
      <c r="EY46" s="70">
        <v>353.78</v>
      </c>
      <c r="EZ46" s="70">
        <v>352.76</v>
      </c>
      <c r="FA46" s="70">
        <v>351.75</v>
      </c>
      <c r="FB46" s="70">
        <v>350.74</v>
      </c>
      <c r="FC46" s="70">
        <v>349.73</v>
      </c>
      <c r="FD46" s="70">
        <v>348.73</v>
      </c>
      <c r="FE46" s="70">
        <v>347.73</v>
      </c>
      <c r="FF46" s="70">
        <v>346.72</v>
      </c>
      <c r="FG46" s="70">
        <v>345.72</v>
      </c>
      <c r="FH46" s="70">
        <v>344.71</v>
      </c>
      <c r="FI46" s="70">
        <v>343.71</v>
      </c>
      <c r="FJ46" s="70">
        <v>342.71</v>
      </c>
      <c r="FK46" s="70">
        <v>341.71</v>
      </c>
      <c r="FL46" s="70">
        <v>340.7</v>
      </c>
      <c r="FM46" s="70">
        <v>339.7</v>
      </c>
      <c r="FN46" s="70">
        <v>338.7</v>
      </c>
      <c r="FO46" s="70">
        <v>337.7</v>
      </c>
      <c r="FP46" s="70">
        <v>336.7</v>
      </c>
      <c r="FQ46" s="70">
        <v>335.7</v>
      </c>
      <c r="FR46" s="70">
        <v>334.7</v>
      </c>
      <c r="FS46" s="70">
        <v>333.71</v>
      </c>
      <c r="FT46" s="70">
        <v>332.71</v>
      </c>
      <c r="FU46" s="70">
        <v>331.71</v>
      </c>
      <c r="FV46" s="70">
        <v>330.71</v>
      </c>
      <c r="FW46" s="70">
        <v>329.72</v>
      </c>
      <c r="FX46" s="70">
        <v>328.72</v>
      </c>
      <c r="FY46" s="70">
        <v>327.73</v>
      </c>
      <c r="FZ46" s="70">
        <v>326.73</v>
      </c>
      <c r="GA46" s="70">
        <v>325.74</v>
      </c>
      <c r="GB46" s="70">
        <v>324.75</v>
      </c>
      <c r="GC46" s="70">
        <v>323.75</v>
      </c>
      <c r="GD46" s="70">
        <v>322.76</v>
      </c>
      <c r="GE46" s="70">
        <v>321.76</v>
      </c>
      <c r="GF46" s="70">
        <v>320.77999999999997</v>
      </c>
      <c r="GG46" s="70">
        <v>319.79000000000002</v>
      </c>
      <c r="GH46" s="70">
        <v>318.79000000000002</v>
      </c>
      <c r="GI46" s="70">
        <v>317.81</v>
      </c>
      <c r="GJ46" s="70">
        <v>316.82</v>
      </c>
      <c r="GK46" s="70">
        <v>315.82</v>
      </c>
      <c r="GL46" s="70">
        <v>314.85000000000002</v>
      </c>
      <c r="GM46" s="70">
        <v>313.85000000000002</v>
      </c>
      <c r="GN46" s="70">
        <v>312.88</v>
      </c>
      <c r="GO46" s="70">
        <v>311.89999999999998</v>
      </c>
      <c r="GP46" s="70">
        <v>310.92</v>
      </c>
      <c r="GQ46" s="70">
        <v>309.94</v>
      </c>
      <c r="GR46" s="70">
        <v>308.95999999999998</v>
      </c>
      <c r="GS46" s="70">
        <v>307.98</v>
      </c>
      <c r="GT46" s="70">
        <v>307.01</v>
      </c>
      <c r="GU46" s="70">
        <v>306.02999999999997</v>
      </c>
      <c r="GV46" s="70">
        <v>305.04000000000002</v>
      </c>
      <c r="GW46" s="70">
        <v>304.07</v>
      </c>
      <c r="GX46" s="70">
        <v>303.10000000000002</v>
      </c>
      <c r="GY46" s="70">
        <v>302.13</v>
      </c>
      <c r="GZ46" s="70">
        <v>301.16000000000003</v>
      </c>
      <c r="HA46" s="70">
        <v>300.19</v>
      </c>
      <c r="HB46" s="70">
        <v>299.20999999999998</v>
      </c>
      <c r="HC46" s="70">
        <v>298.24</v>
      </c>
      <c r="HD46" s="70">
        <v>297.26</v>
      </c>
      <c r="HE46" s="70">
        <v>296.31</v>
      </c>
      <c r="HF46" s="70">
        <v>295.33999999999997</v>
      </c>
      <c r="HG46" s="70">
        <v>294.37</v>
      </c>
      <c r="HH46" s="70">
        <v>293.39999999999998</v>
      </c>
      <c r="HI46" s="70">
        <v>292.44</v>
      </c>
      <c r="HJ46" s="70">
        <v>291.47000000000003</v>
      </c>
      <c r="HK46" s="70">
        <v>290.51</v>
      </c>
      <c r="HL46" s="70">
        <v>289.54000000000002</v>
      </c>
      <c r="HM46" s="70">
        <v>288.60000000000002</v>
      </c>
      <c r="HN46" s="70">
        <v>287.64</v>
      </c>
      <c r="HO46" s="70">
        <v>286.69</v>
      </c>
      <c r="HP46" s="70">
        <v>285.73</v>
      </c>
      <c r="HQ46" s="70">
        <v>284.77999999999997</v>
      </c>
      <c r="HR46" s="70">
        <v>283.82</v>
      </c>
      <c r="HS46" s="70">
        <v>282.88</v>
      </c>
      <c r="HT46" s="70">
        <v>281.93</v>
      </c>
      <c r="HU46" s="70">
        <v>280.98</v>
      </c>
      <c r="HV46" s="70">
        <v>280.02999999999997</v>
      </c>
      <c r="HW46" s="70">
        <v>279.07</v>
      </c>
      <c r="HX46" s="70">
        <v>278.14</v>
      </c>
      <c r="HY46" s="70">
        <v>277.19</v>
      </c>
      <c r="HZ46" s="70">
        <v>276.25</v>
      </c>
      <c r="IA46" s="70">
        <v>275.29000000000002</v>
      </c>
      <c r="IB46" s="70">
        <v>274.35000000000002</v>
      </c>
      <c r="IC46" s="70">
        <v>273.42</v>
      </c>
      <c r="ID46" s="70">
        <v>272.47000000000003</v>
      </c>
      <c r="IE46" s="70">
        <v>271.52999999999997</v>
      </c>
      <c r="IF46" s="70">
        <v>270.58999999999997</v>
      </c>
      <c r="IG46" s="70">
        <v>269.64999999999998</v>
      </c>
      <c r="IH46" s="70">
        <v>268.70999999999998</v>
      </c>
      <c r="II46" s="70">
        <v>267.77999999999997</v>
      </c>
      <c r="IJ46" s="70">
        <v>266.83999999999997</v>
      </c>
      <c r="IK46" s="70">
        <v>265.91000000000003</v>
      </c>
      <c r="IL46" s="70">
        <v>264.97000000000003</v>
      </c>
      <c r="IM46" s="70">
        <v>264.04000000000002</v>
      </c>
      <c r="IN46" s="70">
        <v>263.10000000000002</v>
      </c>
      <c r="IO46" s="70">
        <v>262.17</v>
      </c>
      <c r="IP46" s="70">
        <v>261.24</v>
      </c>
      <c r="IQ46" s="70">
        <v>260.31</v>
      </c>
      <c r="IR46" s="70">
        <v>259.38</v>
      </c>
      <c r="IS46" s="70">
        <v>258.45</v>
      </c>
      <c r="IT46" s="70">
        <v>257.52999999999997</v>
      </c>
      <c r="IU46" s="70">
        <v>256.60000000000002</v>
      </c>
      <c r="IV46" s="70">
        <v>255.68</v>
      </c>
      <c r="IW46" s="70">
        <v>254.77</v>
      </c>
      <c r="IX46" s="70">
        <v>253.86</v>
      </c>
      <c r="IY46" s="70">
        <v>252.94</v>
      </c>
      <c r="IZ46" s="70">
        <v>252.03</v>
      </c>
      <c r="JA46" s="70">
        <v>251.12</v>
      </c>
      <c r="JB46" s="70">
        <v>250.21</v>
      </c>
      <c r="JC46" s="70">
        <v>249.3</v>
      </c>
      <c r="JD46" s="70">
        <v>248.39</v>
      </c>
      <c r="JE46" s="70">
        <v>247.48</v>
      </c>
      <c r="JF46" s="70">
        <v>246.57</v>
      </c>
      <c r="JG46" s="70">
        <v>245.67</v>
      </c>
      <c r="JH46" s="70">
        <v>244.76</v>
      </c>
      <c r="JI46" s="70">
        <v>243.86</v>
      </c>
      <c r="JJ46" s="70">
        <v>242.96</v>
      </c>
      <c r="JK46" s="70">
        <v>242.05</v>
      </c>
      <c r="JL46" s="70">
        <v>241.15</v>
      </c>
      <c r="JM46" s="70">
        <v>240.25</v>
      </c>
      <c r="JN46" s="70">
        <v>239.35</v>
      </c>
      <c r="JO46" s="70">
        <v>238.45</v>
      </c>
      <c r="JP46" s="70">
        <v>237.56</v>
      </c>
      <c r="JQ46" s="70">
        <v>236.66</v>
      </c>
      <c r="JR46" s="70">
        <v>235.76</v>
      </c>
      <c r="JS46" s="70">
        <v>234.87</v>
      </c>
      <c r="JT46" s="70">
        <v>233.96</v>
      </c>
      <c r="JU46" s="70">
        <v>233.06</v>
      </c>
      <c r="JV46" s="70">
        <v>232.16</v>
      </c>
      <c r="JW46" s="70">
        <v>231.26</v>
      </c>
      <c r="JX46" s="70">
        <v>230.36</v>
      </c>
      <c r="JY46" s="70">
        <v>229.47</v>
      </c>
      <c r="JZ46" s="70">
        <v>228.57</v>
      </c>
      <c r="KA46" s="70">
        <v>227.67</v>
      </c>
      <c r="KB46" s="70">
        <v>226.78</v>
      </c>
      <c r="KC46" s="70">
        <v>225.88</v>
      </c>
      <c r="KD46" s="70">
        <v>224.99</v>
      </c>
      <c r="KE46" s="70">
        <v>224.09</v>
      </c>
      <c r="KF46" s="70">
        <v>223.2</v>
      </c>
      <c r="KG46" s="70">
        <v>222.31</v>
      </c>
      <c r="KH46" s="70">
        <v>221.42</v>
      </c>
      <c r="KI46" s="70">
        <v>220.53</v>
      </c>
      <c r="KJ46" s="70">
        <v>219.64</v>
      </c>
      <c r="KK46" s="70">
        <v>218.75</v>
      </c>
      <c r="KL46" s="70">
        <v>217.86</v>
      </c>
      <c r="KM46" s="70">
        <v>216.98</v>
      </c>
      <c r="KN46" s="70">
        <v>216.09</v>
      </c>
      <c r="KO46" s="70">
        <v>215.21</v>
      </c>
      <c r="KP46" s="70">
        <v>214.33</v>
      </c>
      <c r="KQ46" s="70">
        <v>213.44</v>
      </c>
      <c r="KR46" s="74">
        <f t="shared" si="29"/>
        <v>214.52</v>
      </c>
      <c r="KS46" s="74">
        <f t="shared" si="29"/>
        <v>213.73</v>
      </c>
      <c r="KT46" s="74">
        <f t="shared" si="29"/>
        <v>212.91</v>
      </c>
      <c r="KU46" s="74">
        <f t="shared" si="29"/>
        <v>212.12</v>
      </c>
      <c r="KV46" s="74">
        <f t="shared" si="29"/>
        <v>211.34</v>
      </c>
      <c r="KW46" s="74">
        <f t="shared" si="29"/>
        <v>210.55</v>
      </c>
      <c r="KX46" s="74">
        <f t="shared" si="29"/>
        <v>209.76</v>
      </c>
      <c r="KY46" s="74">
        <f t="shared" si="29"/>
        <v>208.98</v>
      </c>
      <c r="KZ46" s="74">
        <f t="shared" si="29"/>
        <v>208.19</v>
      </c>
      <c r="LA46" s="74">
        <f t="shared" si="29"/>
        <v>207.41</v>
      </c>
      <c r="LB46" s="74">
        <f t="shared" si="29"/>
        <v>206.63</v>
      </c>
      <c r="LC46" s="74">
        <f t="shared" si="29"/>
        <v>205.85</v>
      </c>
      <c r="LD46" s="74">
        <f t="shared" si="29"/>
        <v>205.07</v>
      </c>
      <c r="LE46" s="74">
        <f t="shared" si="29"/>
        <v>204.29</v>
      </c>
      <c r="LF46" s="74">
        <f t="shared" si="29"/>
        <v>203.52</v>
      </c>
      <c r="LG46" s="74">
        <f t="shared" si="28"/>
        <v>202.75</v>
      </c>
      <c r="LH46" s="74">
        <f t="shared" si="28"/>
        <v>201.97</v>
      </c>
      <c r="LI46" s="74">
        <f t="shared" si="28"/>
        <v>201.2</v>
      </c>
      <c r="LJ46" s="74">
        <f t="shared" si="28"/>
        <v>200.43</v>
      </c>
      <c r="LK46" s="74">
        <f t="shared" si="28"/>
        <v>199.66</v>
      </c>
      <c r="LL46" s="74">
        <f t="shared" si="28"/>
        <v>198.89</v>
      </c>
      <c r="LM46" s="74">
        <f t="shared" si="28"/>
        <v>198.13</v>
      </c>
      <c r="LN46" s="74">
        <f t="shared" si="28"/>
        <v>197.36</v>
      </c>
      <c r="LO46" s="74">
        <f t="shared" si="28"/>
        <v>196.6</v>
      </c>
      <c r="LP46" s="74">
        <f t="shared" si="28"/>
        <v>195.84</v>
      </c>
      <c r="LQ46" s="74">
        <f t="shared" si="28"/>
        <v>195.08</v>
      </c>
      <c r="LR46" s="74">
        <f t="shared" si="28"/>
        <v>194.32</v>
      </c>
      <c r="LS46" s="74">
        <f t="shared" si="28"/>
        <v>193.56</v>
      </c>
      <c r="LT46" s="74">
        <f t="shared" si="28"/>
        <v>192.81</v>
      </c>
      <c r="LU46" s="74">
        <f t="shared" si="28"/>
        <v>192.06</v>
      </c>
      <c r="LV46" s="74">
        <f t="shared" si="28"/>
        <v>191.3</v>
      </c>
      <c r="LW46" s="74">
        <f t="shared" si="28"/>
        <v>190.55</v>
      </c>
      <c r="LX46" s="74">
        <f t="shared" si="30"/>
        <v>189.8</v>
      </c>
      <c r="LY46" s="74">
        <f t="shared" si="30"/>
        <v>189.05</v>
      </c>
      <c r="LZ46" s="74">
        <f t="shared" si="30"/>
        <v>188.31</v>
      </c>
      <c r="MA46" s="74">
        <f t="shared" si="30"/>
        <v>187.56</v>
      </c>
      <c r="MB46" s="74">
        <f t="shared" si="30"/>
        <v>186.82</v>
      </c>
      <c r="MC46" s="74">
        <f t="shared" si="30"/>
        <v>186.08</v>
      </c>
      <c r="MD46" s="76">
        <f t="shared" si="30"/>
        <v>185.34</v>
      </c>
      <c r="ME46" s="77">
        <f t="shared" si="30"/>
        <v>184.61</v>
      </c>
      <c r="MF46" s="77">
        <f t="shared" si="30"/>
        <v>183.87</v>
      </c>
      <c r="MG46" s="77">
        <f t="shared" si="30"/>
        <v>183.14</v>
      </c>
      <c r="MH46" s="77">
        <f t="shared" si="30"/>
        <v>182.4</v>
      </c>
      <c r="MI46" s="77">
        <f t="shared" si="30"/>
        <v>181.67</v>
      </c>
      <c r="MJ46" s="77">
        <f t="shared" si="30"/>
        <v>180.94</v>
      </c>
      <c r="MK46" s="77">
        <f t="shared" si="30"/>
        <v>180.21</v>
      </c>
      <c r="ML46" s="77">
        <f t="shared" si="30"/>
        <v>179.49</v>
      </c>
      <c r="MM46" s="77">
        <f t="shared" si="30"/>
        <v>178.76</v>
      </c>
      <c r="MN46" s="77">
        <f t="shared" ref="MN46:MY55" si="32">MN45+0.75</f>
        <v>178.04</v>
      </c>
      <c r="MO46" s="77">
        <f t="shared" si="32"/>
        <v>177.32</v>
      </c>
      <c r="MP46" s="77">
        <f t="shared" si="32"/>
        <v>176.6</v>
      </c>
      <c r="MQ46" s="77">
        <f t="shared" si="32"/>
        <v>175.89</v>
      </c>
      <c r="MR46" s="77">
        <f t="shared" si="32"/>
        <v>175.17</v>
      </c>
      <c r="MS46" s="77">
        <f t="shared" si="32"/>
        <v>174.46</v>
      </c>
      <c r="MT46" s="77">
        <f t="shared" si="32"/>
        <v>173.74</v>
      </c>
      <c r="MU46" s="77">
        <f t="shared" si="32"/>
        <v>173.03</v>
      </c>
      <c r="MV46" s="77">
        <f t="shared" si="32"/>
        <v>172.32</v>
      </c>
      <c r="MW46" s="77">
        <f t="shared" si="32"/>
        <v>171.62</v>
      </c>
      <c r="MX46" s="77">
        <f t="shared" si="32"/>
        <v>170.91</v>
      </c>
      <c r="MY46" s="77">
        <f t="shared" si="32"/>
        <v>170.21</v>
      </c>
    </row>
    <row r="47" spans="1:363" ht="15.6" x14ac:dyDescent="0.3">
      <c r="A47" s="67" t="s">
        <v>6</v>
      </c>
      <c r="B47" s="72">
        <v>2057</v>
      </c>
      <c r="C47" s="70">
        <v>511.48</v>
      </c>
      <c r="D47" s="70">
        <v>510.45</v>
      </c>
      <c r="E47" s="70">
        <v>509.41</v>
      </c>
      <c r="F47" s="70">
        <v>508.37</v>
      </c>
      <c r="G47" s="70">
        <v>507.34</v>
      </c>
      <c r="H47" s="70">
        <v>506.3</v>
      </c>
      <c r="I47" s="70">
        <v>505.27</v>
      </c>
      <c r="J47" s="70">
        <v>504.23</v>
      </c>
      <c r="K47" s="70">
        <v>503.2</v>
      </c>
      <c r="L47" s="70">
        <v>502.16</v>
      </c>
      <c r="M47" s="70">
        <v>501.13</v>
      </c>
      <c r="N47" s="70">
        <v>500.09</v>
      </c>
      <c r="O47" s="70">
        <v>499.06</v>
      </c>
      <c r="P47" s="70">
        <v>498.02</v>
      </c>
      <c r="Q47" s="70">
        <v>496.99</v>
      </c>
      <c r="R47" s="70">
        <v>495.95</v>
      </c>
      <c r="S47" s="70">
        <v>494.91</v>
      </c>
      <c r="T47" s="70">
        <v>493.88</v>
      </c>
      <c r="U47" s="70">
        <v>492.84</v>
      </c>
      <c r="V47" s="70">
        <v>491.81</v>
      </c>
      <c r="W47" s="70">
        <v>490.77</v>
      </c>
      <c r="X47" s="70">
        <v>489.73</v>
      </c>
      <c r="Y47" s="70">
        <v>488.7</v>
      </c>
      <c r="Z47" s="70">
        <v>487.66</v>
      </c>
      <c r="AA47" s="70">
        <v>486.63</v>
      </c>
      <c r="AB47" s="70">
        <v>485.59</v>
      </c>
      <c r="AC47" s="70">
        <v>484.55</v>
      </c>
      <c r="AD47" s="70">
        <v>483.52</v>
      </c>
      <c r="AE47" s="70">
        <v>482.48</v>
      </c>
      <c r="AF47" s="70">
        <v>481.45</v>
      </c>
      <c r="AG47" s="70">
        <v>480.41</v>
      </c>
      <c r="AH47" s="70">
        <v>479.37</v>
      </c>
      <c r="AI47" s="70">
        <v>478.34</v>
      </c>
      <c r="AJ47" s="70">
        <v>477.3</v>
      </c>
      <c r="AK47" s="70">
        <v>476.26</v>
      </c>
      <c r="AL47" s="70">
        <v>475.23</v>
      </c>
      <c r="AM47" s="70">
        <v>474.19</v>
      </c>
      <c r="AN47" s="70">
        <v>473.16</v>
      </c>
      <c r="AO47" s="70">
        <v>472.12</v>
      </c>
      <c r="AP47" s="70">
        <v>471.08</v>
      </c>
      <c r="AQ47" s="70">
        <v>470.04</v>
      </c>
      <c r="AR47" s="70">
        <v>469.01</v>
      </c>
      <c r="AS47" s="70">
        <v>467.97</v>
      </c>
      <c r="AT47" s="70">
        <v>466.93</v>
      </c>
      <c r="AU47" s="70">
        <v>465.9</v>
      </c>
      <c r="AV47" s="70">
        <v>464.86</v>
      </c>
      <c r="AW47" s="70">
        <v>463.82</v>
      </c>
      <c r="AX47" s="70">
        <v>462.79</v>
      </c>
      <c r="AY47" s="70">
        <v>461.75</v>
      </c>
      <c r="AZ47" s="70">
        <v>460.71</v>
      </c>
      <c r="BA47" s="70">
        <v>459.68</v>
      </c>
      <c r="BB47" s="70">
        <v>458.64</v>
      </c>
      <c r="BC47" s="70">
        <v>457.6</v>
      </c>
      <c r="BD47" s="70">
        <v>456.57</v>
      </c>
      <c r="BE47" s="70">
        <v>455.53</v>
      </c>
      <c r="BF47" s="70">
        <v>454.49</v>
      </c>
      <c r="BG47" s="70">
        <v>453.45</v>
      </c>
      <c r="BH47" s="70">
        <v>452.42</v>
      </c>
      <c r="BI47" s="70">
        <v>451.38</v>
      </c>
      <c r="BJ47" s="70">
        <v>450.34</v>
      </c>
      <c r="BK47" s="70">
        <v>449.31</v>
      </c>
      <c r="BL47" s="70">
        <v>448.27</v>
      </c>
      <c r="BM47" s="70">
        <v>447.23</v>
      </c>
      <c r="BN47" s="70">
        <v>446.19</v>
      </c>
      <c r="BO47" s="70">
        <v>445.15</v>
      </c>
      <c r="BP47" s="70">
        <v>444.12</v>
      </c>
      <c r="BQ47" s="70">
        <v>443.08</v>
      </c>
      <c r="BR47" s="70">
        <v>442.04</v>
      </c>
      <c r="BS47" s="70">
        <v>441</v>
      </c>
      <c r="BT47" s="70">
        <v>439.96</v>
      </c>
      <c r="BU47" s="70">
        <v>438.93</v>
      </c>
      <c r="BV47" s="70">
        <v>437.89</v>
      </c>
      <c r="BW47" s="70">
        <v>436.85</v>
      </c>
      <c r="BX47" s="70">
        <v>435.82</v>
      </c>
      <c r="BY47" s="70">
        <v>434.78</v>
      </c>
      <c r="BZ47" s="70">
        <v>433.74</v>
      </c>
      <c r="CA47" s="70">
        <v>432.71</v>
      </c>
      <c r="CB47" s="70">
        <v>431.67</v>
      </c>
      <c r="CC47" s="70">
        <v>430.63</v>
      </c>
      <c r="CD47" s="70">
        <v>429.6</v>
      </c>
      <c r="CE47" s="70">
        <v>428.56</v>
      </c>
      <c r="CF47" s="70">
        <v>427.53</v>
      </c>
      <c r="CG47" s="70">
        <v>426.49</v>
      </c>
      <c r="CH47" s="70">
        <v>425.46</v>
      </c>
      <c r="CI47" s="70">
        <v>424.42</v>
      </c>
      <c r="CJ47" s="70">
        <v>423.38</v>
      </c>
      <c r="CK47" s="70">
        <v>422.35</v>
      </c>
      <c r="CL47" s="70">
        <v>421.31</v>
      </c>
      <c r="CM47" s="70">
        <v>420.28</v>
      </c>
      <c r="CN47" s="70">
        <v>419.24</v>
      </c>
      <c r="CO47" s="70">
        <v>418.2</v>
      </c>
      <c r="CP47" s="70">
        <v>417.17</v>
      </c>
      <c r="CQ47" s="70">
        <v>416.13</v>
      </c>
      <c r="CR47" s="70">
        <v>415.09</v>
      </c>
      <c r="CS47" s="70">
        <v>414.06</v>
      </c>
      <c r="CT47" s="70">
        <v>413.02</v>
      </c>
      <c r="CU47" s="70">
        <v>411.99</v>
      </c>
      <c r="CV47" s="70">
        <v>410.95</v>
      </c>
      <c r="CW47" s="70">
        <v>409.92</v>
      </c>
      <c r="CX47" s="70">
        <v>408.88</v>
      </c>
      <c r="CY47" s="70">
        <v>407.85</v>
      </c>
      <c r="CZ47" s="70">
        <v>406.81</v>
      </c>
      <c r="DA47" s="70">
        <v>405.78</v>
      </c>
      <c r="DB47" s="70">
        <v>404.75</v>
      </c>
      <c r="DC47" s="70">
        <v>403.71</v>
      </c>
      <c r="DD47" s="70">
        <v>402.68</v>
      </c>
      <c r="DE47" s="70">
        <v>401.64</v>
      </c>
      <c r="DF47" s="70">
        <v>400.61</v>
      </c>
      <c r="DG47" s="70">
        <v>399.58</v>
      </c>
      <c r="DH47" s="70">
        <v>398.54</v>
      </c>
      <c r="DI47" s="70">
        <v>397.51</v>
      </c>
      <c r="DJ47" s="70">
        <v>396.48</v>
      </c>
      <c r="DK47" s="70">
        <v>395.45</v>
      </c>
      <c r="DL47" s="70">
        <v>394.41</v>
      </c>
      <c r="DM47" s="70">
        <v>393.38</v>
      </c>
      <c r="DN47" s="70">
        <v>392.35</v>
      </c>
      <c r="DO47" s="70">
        <v>391.32</v>
      </c>
      <c r="DP47" s="70">
        <v>390.29</v>
      </c>
      <c r="DQ47" s="70">
        <v>389.25</v>
      </c>
      <c r="DR47" s="70">
        <v>388.22</v>
      </c>
      <c r="DS47" s="70">
        <v>387.19</v>
      </c>
      <c r="DT47" s="70">
        <v>386.16</v>
      </c>
      <c r="DU47" s="70">
        <v>385.14</v>
      </c>
      <c r="DV47" s="70">
        <v>384.11</v>
      </c>
      <c r="DW47" s="70">
        <v>383.08</v>
      </c>
      <c r="DX47" s="70">
        <v>382.05</v>
      </c>
      <c r="DY47" s="70">
        <v>381.03</v>
      </c>
      <c r="DZ47" s="70">
        <v>380</v>
      </c>
      <c r="EA47" s="70">
        <v>378.98</v>
      </c>
      <c r="EB47" s="70">
        <v>377.95</v>
      </c>
      <c r="EC47" s="70">
        <v>376.93</v>
      </c>
      <c r="ED47" s="70">
        <v>375.9</v>
      </c>
      <c r="EE47" s="70">
        <v>374.88</v>
      </c>
      <c r="EF47" s="70">
        <v>373.86</v>
      </c>
      <c r="EG47" s="70">
        <v>372.83</v>
      </c>
      <c r="EH47" s="70">
        <v>371.82</v>
      </c>
      <c r="EI47" s="70">
        <v>370.8</v>
      </c>
      <c r="EJ47" s="70">
        <v>369.78</v>
      </c>
      <c r="EK47" s="70">
        <v>368.76</v>
      </c>
      <c r="EL47" s="70">
        <v>367.74</v>
      </c>
      <c r="EM47" s="70">
        <v>366.72</v>
      </c>
      <c r="EN47" s="70">
        <v>365.7</v>
      </c>
      <c r="EO47" s="70">
        <v>364.69</v>
      </c>
      <c r="EP47" s="70">
        <v>363.67</v>
      </c>
      <c r="EQ47" s="70">
        <v>362.65</v>
      </c>
      <c r="ER47" s="70">
        <v>361.64</v>
      </c>
      <c r="ES47" s="70">
        <v>360.63</v>
      </c>
      <c r="ET47" s="70">
        <v>359.61</v>
      </c>
      <c r="EU47" s="70">
        <v>358.6</v>
      </c>
      <c r="EV47" s="70">
        <v>357.59</v>
      </c>
      <c r="EW47" s="70">
        <v>356.58</v>
      </c>
      <c r="EX47" s="70">
        <v>355.56</v>
      </c>
      <c r="EY47" s="70">
        <v>354.55</v>
      </c>
      <c r="EZ47" s="70">
        <v>353.54</v>
      </c>
      <c r="FA47" s="70">
        <v>352.53</v>
      </c>
      <c r="FB47" s="70">
        <v>351.52</v>
      </c>
      <c r="FC47" s="70">
        <v>350.51</v>
      </c>
      <c r="FD47" s="70">
        <v>349.51</v>
      </c>
      <c r="FE47" s="70">
        <v>348.5</v>
      </c>
      <c r="FF47" s="70">
        <v>347.5</v>
      </c>
      <c r="FG47" s="70">
        <v>346.49</v>
      </c>
      <c r="FH47" s="70">
        <v>345.49</v>
      </c>
      <c r="FI47" s="70">
        <v>344.48</v>
      </c>
      <c r="FJ47" s="70">
        <v>343.48</v>
      </c>
      <c r="FK47" s="70">
        <v>342.48</v>
      </c>
      <c r="FL47" s="70">
        <v>341.48</v>
      </c>
      <c r="FM47" s="70">
        <v>340.47</v>
      </c>
      <c r="FN47" s="70">
        <v>339.47</v>
      </c>
      <c r="FO47" s="70">
        <v>338.47</v>
      </c>
      <c r="FP47" s="70">
        <v>337.47</v>
      </c>
      <c r="FQ47" s="70">
        <v>336.47</v>
      </c>
      <c r="FR47" s="70">
        <v>335.47</v>
      </c>
      <c r="FS47" s="70">
        <v>334.48</v>
      </c>
      <c r="FT47" s="70">
        <v>333.48</v>
      </c>
      <c r="FU47" s="70">
        <v>332.48</v>
      </c>
      <c r="FV47" s="70">
        <v>331.48</v>
      </c>
      <c r="FW47" s="70">
        <v>330.49</v>
      </c>
      <c r="FX47" s="70">
        <v>329.49</v>
      </c>
      <c r="FY47" s="70">
        <v>328.49</v>
      </c>
      <c r="FZ47" s="70">
        <v>327.5</v>
      </c>
      <c r="GA47" s="70">
        <v>326.5</v>
      </c>
      <c r="GB47" s="70">
        <v>325.51</v>
      </c>
      <c r="GC47" s="70">
        <v>324.51</v>
      </c>
      <c r="GD47" s="70">
        <v>323.51</v>
      </c>
      <c r="GE47" s="70">
        <v>322.52999999999997</v>
      </c>
      <c r="GF47" s="70">
        <v>321.54000000000002</v>
      </c>
      <c r="GG47" s="70">
        <v>320.54000000000002</v>
      </c>
      <c r="GH47" s="70">
        <v>319.56</v>
      </c>
      <c r="GI47" s="70">
        <v>318.57</v>
      </c>
      <c r="GJ47" s="70">
        <v>317.57</v>
      </c>
      <c r="GK47" s="70">
        <v>316.58999999999997</v>
      </c>
      <c r="GL47" s="70">
        <v>315.60000000000002</v>
      </c>
      <c r="GM47" s="70">
        <v>314.62</v>
      </c>
      <c r="GN47" s="70">
        <v>313.63</v>
      </c>
      <c r="GO47" s="70">
        <v>312.64999999999998</v>
      </c>
      <c r="GP47" s="70">
        <v>311.67</v>
      </c>
      <c r="GQ47" s="70">
        <v>310.69</v>
      </c>
      <c r="GR47" s="70">
        <v>309.70999999999998</v>
      </c>
      <c r="GS47" s="70">
        <v>308.74</v>
      </c>
      <c r="GT47" s="70">
        <v>307.76</v>
      </c>
      <c r="GU47" s="70">
        <v>306.77999999999997</v>
      </c>
      <c r="GV47" s="70">
        <v>305.79000000000002</v>
      </c>
      <c r="GW47" s="70">
        <v>304.82</v>
      </c>
      <c r="GX47" s="70">
        <v>303.85000000000002</v>
      </c>
      <c r="GY47" s="70">
        <v>302.88</v>
      </c>
      <c r="GZ47" s="70">
        <v>301.89999999999998</v>
      </c>
      <c r="HA47" s="70">
        <v>300.93</v>
      </c>
      <c r="HB47" s="70">
        <v>299.95999999999998</v>
      </c>
      <c r="HC47" s="70">
        <v>298.99</v>
      </c>
      <c r="HD47" s="70">
        <v>298.01</v>
      </c>
      <c r="HE47" s="70">
        <v>297.04000000000002</v>
      </c>
      <c r="HF47" s="70">
        <v>296.07</v>
      </c>
      <c r="HG47" s="70">
        <v>295.10000000000002</v>
      </c>
      <c r="HH47" s="70">
        <v>294.14999999999998</v>
      </c>
      <c r="HI47" s="70">
        <v>293.18</v>
      </c>
      <c r="HJ47" s="70">
        <v>292.20999999999998</v>
      </c>
      <c r="HK47" s="70">
        <v>291.25</v>
      </c>
      <c r="HL47" s="70">
        <v>290.29000000000002</v>
      </c>
      <c r="HM47" s="70">
        <v>289.32</v>
      </c>
      <c r="HN47" s="70">
        <v>288.38</v>
      </c>
      <c r="HO47" s="70">
        <v>287.42</v>
      </c>
      <c r="HP47" s="70">
        <v>286.47000000000003</v>
      </c>
      <c r="HQ47" s="70">
        <v>285.51</v>
      </c>
      <c r="HR47" s="70">
        <v>284.56</v>
      </c>
      <c r="HS47" s="70">
        <v>283.60000000000002</v>
      </c>
      <c r="HT47" s="70">
        <v>282.66000000000003</v>
      </c>
      <c r="HU47" s="70">
        <v>281.70999999999998</v>
      </c>
      <c r="HV47" s="70">
        <v>280.76</v>
      </c>
      <c r="HW47" s="70">
        <v>279.81</v>
      </c>
      <c r="HX47" s="70">
        <v>278.85000000000002</v>
      </c>
      <c r="HY47" s="70">
        <v>277.92</v>
      </c>
      <c r="HZ47" s="70">
        <v>276.97000000000003</v>
      </c>
      <c r="IA47" s="70">
        <v>276.02999999999997</v>
      </c>
      <c r="IB47" s="70">
        <v>275.07</v>
      </c>
      <c r="IC47" s="70">
        <v>274.14</v>
      </c>
      <c r="ID47" s="70">
        <v>273.2</v>
      </c>
      <c r="IE47" s="70">
        <v>272.25</v>
      </c>
      <c r="IF47" s="70">
        <v>271.31</v>
      </c>
      <c r="IG47" s="70">
        <v>270.37</v>
      </c>
      <c r="IH47" s="70">
        <v>269.43</v>
      </c>
      <c r="II47" s="70">
        <v>268.49</v>
      </c>
      <c r="IJ47" s="70">
        <v>267.56</v>
      </c>
      <c r="IK47" s="70">
        <v>266.62</v>
      </c>
      <c r="IL47" s="70">
        <v>265.68</v>
      </c>
      <c r="IM47" s="70">
        <v>264.75</v>
      </c>
      <c r="IN47" s="70">
        <v>263.82</v>
      </c>
      <c r="IO47" s="70">
        <v>262.88</v>
      </c>
      <c r="IP47" s="70">
        <v>261.95</v>
      </c>
      <c r="IQ47" s="70">
        <v>261.01</v>
      </c>
      <c r="IR47" s="70">
        <v>260.08999999999997</v>
      </c>
      <c r="IS47" s="70">
        <v>259.16000000000003</v>
      </c>
      <c r="IT47" s="70">
        <v>258.23</v>
      </c>
      <c r="IU47" s="70">
        <v>257.29000000000002</v>
      </c>
      <c r="IV47" s="70">
        <v>256.39</v>
      </c>
      <c r="IW47" s="70">
        <v>255.47</v>
      </c>
      <c r="IX47" s="70">
        <v>254.55</v>
      </c>
      <c r="IY47" s="70">
        <v>253.64</v>
      </c>
      <c r="IZ47" s="70">
        <v>252.73</v>
      </c>
      <c r="JA47" s="70">
        <v>251.81</v>
      </c>
      <c r="JB47" s="70">
        <v>250.9</v>
      </c>
      <c r="JC47" s="70">
        <v>249.99</v>
      </c>
      <c r="JD47" s="70">
        <v>249.08</v>
      </c>
      <c r="JE47" s="70">
        <v>248.17</v>
      </c>
      <c r="JF47" s="70">
        <v>247.26</v>
      </c>
      <c r="JG47" s="70">
        <v>246.35</v>
      </c>
      <c r="JH47" s="70">
        <v>245.45</v>
      </c>
      <c r="JI47" s="70">
        <v>244.54</v>
      </c>
      <c r="JJ47" s="70">
        <v>243.64</v>
      </c>
      <c r="JK47" s="70">
        <v>242.74</v>
      </c>
      <c r="JL47" s="70">
        <v>241.83</v>
      </c>
      <c r="JM47" s="70">
        <v>240.93</v>
      </c>
      <c r="JN47" s="70">
        <v>240.03</v>
      </c>
      <c r="JO47" s="70">
        <v>239.13</v>
      </c>
      <c r="JP47" s="70">
        <v>238.23</v>
      </c>
      <c r="JQ47" s="70">
        <v>237.33</v>
      </c>
      <c r="JR47" s="70">
        <v>236.44</v>
      </c>
      <c r="JS47" s="70">
        <v>235.54</v>
      </c>
      <c r="JT47" s="70">
        <v>234.64</v>
      </c>
      <c r="JU47" s="70">
        <v>233.73</v>
      </c>
      <c r="JV47" s="70">
        <v>232.83</v>
      </c>
      <c r="JW47" s="70">
        <v>231.93</v>
      </c>
      <c r="JX47" s="70">
        <v>231.03</v>
      </c>
      <c r="JY47" s="70">
        <v>230.13</v>
      </c>
      <c r="JZ47" s="70">
        <v>229.23</v>
      </c>
      <c r="KA47" s="70">
        <v>228.33</v>
      </c>
      <c r="KB47" s="70">
        <v>227.43</v>
      </c>
      <c r="KC47" s="70">
        <v>226.54</v>
      </c>
      <c r="KD47" s="70">
        <v>225.64</v>
      </c>
      <c r="KE47" s="70">
        <v>224.75</v>
      </c>
      <c r="KF47" s="70">
        <v>223.85</v>
      </c>
      <c r="KG47" s="70">
        <v>222.96</v>
      </c>
      <c r="KH47" s="70">
        <v>222.07</v>
      </c>
      <c r="KI47" s="70">
        <v>221.18</v>
      </c>
      <c r="KJ47" s="70">
        <v>220.29</v>
      </c>
      <c r="KK47" s="70">
        <v>219.4</v>
      </c>
      <c r="KL47" s="70">
        <v>218.51</v>
      </c>
      <c r="KM47" s="70">
        <v>217.62</v>
      </c>
      <c r="KN47" s="70">
        <v>216.73</v>
      </c>
      <c r="KO47" s="70">
        <v>215.85</v>
      </c>
      <c r="KP47" s="70">
        <v>214.96</v>
      </c>
      <c r="KQ47" s="70">
        <v>214.08</v>
      </c>
      <c r="KR47" s="74">
        <f t="shared" si="29"/>
        <v>215.27</v>
      </c>
      <c r="KS47" s="74">
        <f t="shared" si="29"/>
        <v>214.48</v>
      </c>
      <c r="KT47" s="74">
        <f t="shared" si="29"/>
        <v>213.66</v>
      </c>
      <c r="KU47" s="74">
        <f t="shared" si="29"/>
        <v>212.87</v>
      </c>
      <c r="KV47" s="74">
        <f t="shared" si="29"/>
        <v>212.09</v>
      </c>
      <c r="KW47" s="74">
        <f t="shared" si="29"/>
        <v>211.3</v>
      </c>
      <c r="KX47" s="74">
        <f t="shared" si="29"/>
        <v>210.51</v>
      </c>
      <c r="KY47" s="74">
        <f t="shared" si="29"/>
        <v>209.73</v>
      </c>
      <c r="KZ47" s="74">
        <f t="shared" si="29"/>
        <v>208.94</v>
      </c>
      <c r="LA47" s="74">
        <f t="shared" si="29"/>
        <v>208.16</v>
      </c>
      <c r="LB47" s="74">
        <f t="shared" si="29"/>
        <v>207.38</v>
      </c>
      <c r="LC47" s="74">
        <f t="shared" si="29"/>
        <v>206.6</v>
      </c>
      <c r="LD47" s="74">
        <f t="shared" si="29"/>
        <v>205.82</v>
      </c>
      <c r="LE47" s="74">
        <f t="shared" si="29"/>
        <v>205.04</v>
      </c>
      <c r="LF47" s="74">
        <f t="shared" si="29"/>
        <v>204.27</v>
      </c>
      <c r="LG47" s="74">
        <f t="shared" si="28"/>
        <v>203.5</v>
      </c>
      <c r="LH47" s="74">
        <f t="shared" si="28"/>
        <v>202.72</v>
      </c>
      <c r="LI47" s="74">
        <f t="shared" si="28"/>
        <v>201.95</v>
      </c>
      <c r="LJ47" s="74">
        <f t="shared" si="28"/>
        <v>201.18</v>
      </c>
      <c r="LK47" s="74">
        <f t="shared" si="28"/>
        <v>200.41</v>
      </c>
      <c r="LL47" s="74">
        <f t="shared" si="28"/>
        <v>199.64</v>
      </c>
      <c r="LM47" s="74">
        <f t="shared" si="28"/>
        <v>198.88</v>
      </c>
      <c r="LN47" s="74">
        <f t="shared" si="28"/>
        <v>198.11</v>
      </c>
      <c r="LO47" s="74">
        <f t="shared" si="28"/>
        <v>197.35</v>
      </c>
      <c r="LP47" s="74">
        <f t="shared" si="28"/>
        <v>196.59</v>
      </c>
      <c r="LQ47" s="74">
        <f t="shared" si="28"/>
        <v>195.83</v>
      </c>
      <c r="LR47" s="74">
        <f t="shared" si="28"/>
        <v>195.07</v>
      </c>
      <c r="LS47" s="74">
        <f t="shared" si="28"/>
        <v>194.31</v>
      </c>
      <c r="LT47" s="74">
        <f t="shared" si="28"/>
        <v>193.56</v>
      </c>
      <c r="LU47" s="74">
        <f t="shared" si="28"/>
        <v>192.81</v>
      </c>
      <c r="LV47" s="74">
        <f t="shared" si="28"/>
        <v>192.05</v>
      </c>
      <c r="LW47" s="74">
        <f t="shared" si="28"/>
        <v>191.3</v>
      </c>
      <c r="LX47" s="74">
        <f t="shared" si="30"/>
        <v>190.55</v>
      </c>
      <c r="LY47" s="74">
        <f t="shared" si="30"/>
        <v>189.8</v>
      </c>
      <c r="LZ47" s="74">
        <f t="shared" si="30"/>
        <v>189.06</v>
      </c>
      <c r="MA47" s="74">
        <f t="shared" si="30"/>
        <v>188.31</v>
      </c>
      <c r="MB47" s="74">
        <f t="shared" si="30"/>
        <v>187.57</v>
      </c>
      <c r="MC47" s="74">
        <f t="shared" si="30"/>
        <v>186.83</v>
      </c>
      <c r="MD47" s="76">
        <f t="shared" si="30"/>
        <v>186.09</v>
      </c>
      <c r="ME47" s="77">
        <f t="shared" si="30"/>
        <v>185.36</v>
      </c>
      <c r="MF47" s="77">
        <f t="shared" si="30"/>
        <v>184.62</v>
      </c>
      <c r="MG47" s="77">
        <f t="shared" si="30"/>
        <v>183.89</v>
      </c>
      <c r="MH47" s="77">
        <f t="shared" si="30"/>
        <v>183.15</v>
      </c>
      <c r="MI47" s="77">
        <f t="shared" si="30"/>
        <v>182.42</v>
      </c>
      <c r="MJ47" s="77">
        <f t="shared" si="30"/>
        <v>181.69</v>
      </c>
      <c r="MK47" s="77">
        <f t="shared" si="30"/>
        <v>180.96</v>
      </c>
      <c r="ML47" s="77">
        <f t="shared" si="30"/>
        <v>180.24</v>
      </c>
      <c r="MM47" s="77">
        <f t="shared" si="30"/>
        <v>179.51</v>
      </c>
      <c r="MN47" s="77">
        <f t="shared" si="32"/>
        <v>178.79</v>
      </c>
      <c r="MO47" s="77">
        <f t="shared" si="32"/>
        <v>178.07</v>
      </c>
      <c r="MP47" s="77">
        <f t="shared" si="32"/>
        <v>177.35</v>
      </c>
      <c r="MQ47" s="77">
        <f t="shared" si="32"/>
        <v>176.64</v>
      </c>
      <c r="MR47" s="77">
        <f t="shared" si="32"/>
        <v>175.92</v>
      </c>
      <c r="MS47" s="77">
        <f t="shared" si="32"/>
        <v>175.21</v>
      </c>
      <c r="MT47" s="77">
        <f t="shared" si="32"/>
        <v>174.49</v>
      </c>
      <c r="MU47" s="77">
        <f t="shared" si="32"/>
        <v>173.78</v>
      </c>
      <c r="MV47" s="77">
        <f t="shared" si="32"/>
        <v>173.07</v>
      </c>
      <c r="MW47" s="77">
        <f t="shared" si="32"/>
        <v>172.37</v>
      </c>
      <c r="MX47" s="77">
        <f t="shared" si="32"/>
        <v>171.66</v>
      </c>
      <c r="MY47" s="77">
        <f t="shared" si="32"/>
        <v>170.96</v>
      </c>
    </row>
    <row r="48" spans="1:363" ht="15.6" x14ac:dyDescent="0.3">
      <c r="A48" s="67" t="s">
        <v>6</v>
      </c>
      <c r="B48" s="72">
        <v>2058</v>
      </c>
      <c r="C48" s="70">
        <v>512.27</v>
      </c>
      <c r="D48" s="70">
        <v>511.23</v>
      </c>
      <c r="E48" s="70">
        <v>510.2</v>
      </c>
      <c r="F48" s="70">
        <v>509.16</v>
      </c>
      <c r="G48" s="70">
        <v>508.12</v>
      </c>
      <c r="H48" s="70">
        <v>507.09</v>
      </c>
      <c r="I48" s="70">
        <v>506.05</v>
      </c>
      <c r="J48" s="70">
        <v>505.02</v>
      </c>
      <c r="K48" s="70">
        <v>503.98</v>
      </c>
      <c r="L48" s="70">
        <v>502.95</v>
      </c>
      <c r="M48" s="70">
        <v>501.91</v>
      </c>
      <c r="N48" s="70">
        <v>500.88</v>
      </c>
      <c r="O48" s="70">
        <v>499.84</v>
      </c>
      <c r="P48" s="70">
        <v>498.81</v>
      </c>
      <c r="Q48" s="70">
        <v>497.77</v>
      </c>
      <c r="R48" s="70">
        <v>496.74</v>
      </c>
      <c r="S48" s="70">
        <v>495.7</v>
      </c>
      <c r="T48" s="70">
        <v>494.66</v>
      </c>
      <c r="U48" s="70">
        <v>493.63</v>
      </c>
      <c r="V48" s="70">
        <v>492.59</v>
      </c>
      <c r="W48" s="70">
        <v>491.56</v>
      </c>
      <c r="X48" s="70">
        <v>490.52</v>
      </c>
      <c r="Y48" s="70">
        <v>489.49</v>
      </c>
      <c r="Z48" s="70">
        <v>488.45</v>
      </c>
      <c r="AA48" s="70">
        <v>487.41</v>
      </c>
      <c r="AB48" s="70">
        <v>486.38</v>
      </c>
      <c r="AC48" s="70">
        <v>485.34</v>
      </c>
      <c r="AD48" s="70">
        <v>484.31</v>
      </c>
      <c r="AE48" s="70">
        <v>483.27</v>
      </c>
      <c r="AF48" s="70">
        <v>482.23</v>
      </c>
      <c r="AG48" s="70">
        <v>481.2</v>
      </c>
      <c r="AH48" s="70">
        <v>480.16</v>
      </c>
      <c r="AI48" s="70">
        <v>479.12</v>
      </c>
      <c r="AJ48" s="70">
        <v>478.09</v>
      </c>
      <c r="AK48" s="70">
        <v>477.05</v>
      </c>
      <c r="AL48" s="70">
        <v>476.02</v>
      </c>
      <c r="AM48" s="70">
        <v>474.98</v>
      </c>
      <c r="AN48" s="70">
        <v>473.94</v>
      </c>
      <c r="AO48" s="70">
        <v>472.91</v>
      </c>
      <c r="AP48" s="70">
        <v>471.87</v>
      </c>
      <c r="AQ48" s="70">
        <v>470.83</v>
      </c>
      <c r="AR48" s="70">
        <v>469.8</v>
      </c>
      <c r="AS48" s="70">
        <v>468.76</v>
      </c>
      <c r="AT48" s="70">
        <v>467.72</v>
      </c>
      <c r="AU48" s="70">
        <v>466.69</v>
      </c>
      <c r="AV48" s="70">
        <v>465.65</v>
      </c>
      <c r="AW48" s="70">
        <v>464.61</v>
      </c>
      <c r="AX48" s="70">
        <v>463.58</v>
      </c>
      <c r="AY48" s="70">
        <v>462.54</v>
      </c>
      <c r="AZ48" s="70">
        <v>461.5</v>
      </c>
      <c r="BA48" s="70">
        <v>460.47</v>
      </c>
      <c r="BB48" s="70">
        <v>459.43</v>
      </c>
      <c r="BC48" s="70">
        <v>458.39</v>
      </c>
      <c r="BD48" s="70">
        <v>457.35</v>
      </c>
      <c r="BE48" s="70">
        <v>456.32</v>
      </c>
      <c r="BF48" s="70">
        <v>455.28</v>
      </c>
      <c r="BG48" s="70">
        <v>454.24</v>
      </c>
      <c r="BH48" s="70">
        <v>453.21</v>
      </c>
      <c r="BI48" s="70">
        <v>452.17</v>
      </c>
      <c r="BJ48" s="70">
        <v>451.13</v>
      </c>
      <c r="BK48" s="70">
        <v>450.09</v>
      </c>
      <c r="BL48" s="70">
        <v>449.06</v>
      </c>
      <c r="BM48" s="70">
        <v>448.02</v>
      </c>
      <c r="BN48" s="70">
        <v>446.98</v>
      </c>
      <c r="BO48" s="70">
        <v>445.94</v>
      </c>
      <c r="BP48" s="70">
        <v>444.9</v>
      </c>
      <c r="BQ48" s="70">
        <v>443.87</v>
      </c>
      <c r="BR48" s="70">
        <v>442.83</v>
      </c>
      <c r="BS48" s="70">
        <v>441.79</v>
      </c>
      <c r="BT48" s="70">
        <v>440.75</v>
      </c>
      <c r="BU48" s="70">
        <v>439.72</v>
      </c>
      <c r="BV48" s="70">
        <v>438.68</v>
      </c>
      <c r="BW48" s="70">
        <v>437.64</v>
      </c>
      <c r="BX48" s="70">
        <v>436.61</v>
      </c>
      <c r="BY48" s="70">
        <v>435.57</v>
      </c>
      <c r="BZ48" s="70">
        <v>434.53</v>
      </c>
      <c r="CA48" s="70">
        <v>433.5</v>
      </c>
      <c r="CB48" s="70">
        <v>432.46</v>
      </c>
      <c r="CC48" s="70">
        <v>431.42</v>
      </c>
      <c r="CD48" s="70">
        <v>430.39</v>
      </c>
      <c r="CE48" s="70">
        <v>429.35</v>
      </c>
      <c r="CF48" s="70">
        <v>428.32</v>
      </c>
      <c r="CG48" s="70">
        <v>427.28</v>
      </c>
      <c r="CH48" s="70">
        <v>426.24</v>
      </c>
      <c r="CI48" s="70">
        <v>425.21</v>
      </c>
      <c r="CJ48" s="70">
        <v>424.17</v>
      </c>
      <c r="CK48" s="70">
        <v>423.14</v>
      </c>
      <c r="CL48" s="70">
        <v>422.1</v>
      </c>
      <c r="CM48" s="70">
        <v>421.06</v>
      </c>
      <c r="CN48" s="70">
        <v>420.03</v>
      </c>
      <c r="CO48" s="70">
        <v>418.99</v>
      </c>
      <c r="CP48" s="70">
        <v>417.95</v>
      </c>
      <c r="CQ48" s="70">
        <v>416.92</v>
      </c>
      <c r="CR48" s="70">
        <v>415.88</v>
      </c>
      <c r="CS48" s="70">
        <v>414.85</v>
      </c>
      <c r="CT48" s="70">
        <v>413.81</v>
      </c>
      <c r="CU48" s="70">
        <v>412.77</v>
      </c>
      <c r="CV48" s="70">
        <v>411.74</v>
      </c>
      <c r="CW48" s="70">
        <v>410.7</v>
      </c>
      <c r="CX48" s="70">
        <v>409.67</v>
      </c>
      <c r="CY48" s="70">
        <v>408.63</v>
      </c>
      <c r="CZ48" s="70">
        <v>407.6</v>
      </c>
      <c r="DA48" s="70">
        <v>406.57</v>
      </c>
      <c r="DB48" s="70">
        <v>405.53</v>
      </c>
      <c r="DC48" s="70">
        <v>404.5</v>
      </c>
      <c r="DD48" s="70">
        <v>403.46</v>
      </c>
      <c r="DE48" s="70">
        <v>402.43</v>
      </c>
      <c r="DF48" s="70">
        <v>401.4</v>
      </c>
      <c r="DG48" s="70">
        <v>400.36</v>
      </c>
      <c r="DH48" s="70">
        <v>399.33</v>
      </c>
      <c r="DI48" s="70">
        <v>398.3</v>
      </c>
      <c r="DJ48" s="70">
        <v>397.26</v>
      </c>
      <c r="DK48" s="70">
        <v>396.23</v>
      </c>
      <c r="DL48" s="70">
        <v>395.2</v>
      </c>
      <c r="DM48" s="70">
        <v>394.17</v>
      </c>
      <c r="DN48" s="70">
        <v>393.13</v>
      </c>
      <c r="DO48" s="70">
        <v>392.1</v>
      </c>
      <c r="DP48" s="70">
        <v>391.07</v>
      </c>
      <c r="DQ48" s="70">
        <v>390.04</v>
      </c>
      <c r="DR48" s="70">
        <v>389.01</v>
      </c>
      <c r="DS48" s="70">
        <v>387.98</v>
      </c>
      <c r="DT48" s="70">
        <v>386.95</v>
      </c>
      <c r="DU48" s="70">
        <v>385.92</v>
      </c>
      <c r="DV48" s="70">
        <v>384.89</v>
      </c>
      <c r="DW48" s="70">
        <v>383.86</v>
      </c>
      <c r="DX48" s="70">
        <v>382.84</v>
      </c>
      <c r="DY48" s="70">
        <v>381.81</v>
      </c>
      <c r="DZ48" s="70">
        <v>380.78</v>
      </c>
      <c r="EA48" s="70">
        <v>379.76</v>
      </c>
      <c r="EB48" s="70">
        <v>378.73</v>
      </c>
      <c r="EC48" s="70">
        <v>377.71</v>
      </c>
      <c r="ED48" s="70">
        <v>376.68</v>
      </c>
      <c r="EE48" s="70">
        <v>375.66</v>
      </c>
      <c r="EF48" s="70">
        <v>374.64</v>
      </c>
      <c r="EG48" s="70">
        <v>373.61</v>
      </c>
      <c r="EH48" s="70">
        <v>372.59</v>
      </c>
      <c r="EI48" s="70">
        <v>371.57</v>
      </c>
      <c r="EJ48" s="70">
        <v>370.56</v>
      </c>
      <c r="EK48" s="70">
        <v>369.54</v>
      </c>
      <c r="EL48" s="70">
        <v>368.52</v>
      </c>
      <c r="EM48" s="70">
        <v>367.5</v>
      </c>
      <c r="EN48" s="70">
        <v>366.48</v>
      </c>
      <c r="EO48" s="70">
        <v>365.46</v>
      </c>
      <c r="EP48" s="70">
        <v>364.44</v>
      </c>
      <c r="EQ48" s="70">
        <v>363.43</v>
      </c>
      <c r="ER48" s="70">
        <v>362.41</v>
      </c>
      <c r="ES48" s="70">
        <v>361.4</v>
      </c>
      <c r="ET48" s="70">
        <v>360.39</v>
      </c>
      <c r="EU48" s="70">
        <v>359.37</v>
      </c>
      <c r="EV48" s="70">
        <v>358.36</v>
      </c>
      <c r="EW48" s="70">
        <v>357.35</v>
      </c>
      <c r="EX48" s="70">
        <v>356.34</v>
      </c>
      <c r="EY48" s="70">
        <v>355.33</v>
      </c>
      <c r="EZ48" s="70">
        <v>354.31</v>
      </c>
      <c r="FA48" s="70">
        <v>353.3</v>
      </c>
      <c r="FB48" s="70">
        <v>352.29</v>
      </c>
      <c r="FC48" s="70">
        <v>351.28</v>
      </c>
      <c r="FD48" s="70">
        <v>350.28</v>
      </c>
      <c r="FE48" s="70">
        <v>349.27</v>
      </c>
      <c r="FF48" s="70">
        <v>348.27</v>
      </c>
      <c r="FG48" s="70">
        <v>347.26</v>
      </c>
      <c r="FH48" s="70">
        <v>346.26</v>
      </c>
      <c r="FI48" s="70">
        <v>345.25</v>
      </c>
      <c r="FJ48" s="70">
        <v>344.25</v>
      </c>
      <c r="FK48" s="70">
        <v>343.25</v>
      </c>
      <c r="FL48" s="70">
        <v>342.24</v>
      </c>
      <c r="FM48" s="70">
        <v>341.24</v>
      </c>
      <c r="FN48" s="70">
        <v>340.24</v>
      </c>
      <c r="FO48" s="70">
        <v>339.24</v>
      </c>
      <c r="FP48" s="70">
        <v>338.24</v>
      </c>
      <c r="FQ48" s="70">
        <v>337.24</v>
      </c>
      <c r="FR48" s="70">
        <v>336.24</v>
      </c>
      <c r="FS48" s="70">
        <v>335.24</v>
      </c>
      <c r="FT48" s="70">
        <v>334.24</v>
      </c>
      <c r="FU48" s="70">
        <v>333.24</v>
      </c>
      <c r="FV48" s="70">
        <v>332.24</v>
      </c>
      <c r="FW48" s="70">
        <v>331.25</v>
      </c>
      <c r="FX48" s="70">
        <v>330.25</v>
      </c>
      <c r="FY48" s="70">
        <v>329.25</v>
      </c>
      <c r="FZ48" s="70">
        <v>328.26</v>
      </c>
      <c r="GA48" s="70">
        <v>327.26</v>
      </c>
      <c r="GB48" s="70">
        <v>326.26</v>
      </c>
      <c r="GC48" s="70">
        <v>325.27999999999997</v>
      </c>
      <c r="GD48" s="70">
        <v>324.27999999999997</v>
      </c>
      <c r="GE48" s="70">
        <v>323.29000000000002</v>
      </c>
      <c r="GF48" s="70">
        <v>322.29000000000002</v>
      </c>
      <c r="GG48" s="70">
        <v>321.31</v>
      </c>
      <c r="GH48" s="70">
        <v>320.32</v>
      </c>
      <c r="GI48" s="70">
        <v>319.32</v>
      </c>
      <c r="GJ48" s="70">
        <v>318.33999999999997</v>
      </c>
      <c r="GK48" s="70">
        <v>317.35000000000002</v>
      </c>
      <c r="GL48" s="70">
        <v>316.35000000000002</v>
      </c>
      <c r="GM48" s="70">
        <v>315.37</v>
      </c>
      <c r="GN48" s="70">
        <v>314.39</v>
      </c>
      <c r="GO48" s="70">
        <v>313.39999999999998</v>
      </c>
      <c r="GP48" s="70">
        <v>312.42</v>
      </c>
      <c r="GQ48" s="70">
        <v>311.44</v>
      </c>
      <c r="GR48" s="70">
        <v>310.45999999999998</v>
      </c>
      <c r="GS48" s="70">
        <v>309.48</v>
      </c>
      <c r="GT48" s="70">
        <v>308.51</v>
      </c>
      <c r="GU48" s="70">
        <v>307.52999999999997</v>
      </c>
      <c r="GV48" s="70">
        <v>306.54000000000002</v>
      </c>
      <c r="GW48" s="70">
        <v>305.57</v>
      </c>
      <c r="GX48" s="70">
        <v>304.60000000000002</v>
      </c>
      <c r="GY48" s="70">
        <v>303.62</v>
      </c>
      <c r="GZ48" s="70">
        <v>302.64999999999998</v>
      </c>
      <c r="HA48" s="70">
        <v>301.67</v>
      </c>
      <c r="HB48" s="70">
        <v>300.7</v>
      </c>
      <c r="HC48" s="70">
        <v>299.73</v>
      </c>
      <c r="HD48" s="70">
        <v>298.76</v>
      </c>
      <c r="HE48" s="70">
        <v>297.79000000000002</v>
      </c>
      <c r="HF48" s="70">
        <v>296.82</v>
      </c>
      <c r="HG48" s="70">
        <v>295.85000000000002</v>
      </c>
      <c r="HH48" s="70">
        <v>294.88</v>
      </c>
      <c r="HI48" s="70">
        <v>293.91000000000003</v>
      </c>
      <c r="HJ48" s="70">
        <v>292.95</v>
      </c>
      <c r="HK48" s="70">
        <v>291.98</v>
      </c>
      <c r="HL48" s="70">
        <v>291.01</v>
      </c>
      <c r="HM48" s="70">
        <v>290.07</v>
      </c>
      <c r="HN48" s="70">
        <v>289.10000000000002</v>
      </c>
      <c r="HO48" s="70">
        <v>288.14999999999998</v>
      </c>
      <c r="HP48" s="70">
        <v>287.2</v>
      </c>
      <c r="HQ48" s="70">
        <v>286.25</v>
      </c>
      <c r="HR48" s="70">
        <v>285.29000000000002</v>
      </c>
      <c r="HS48" s="70">
        <v>284.33999999999997</v>
      </c>
      <c r="HT48" s="70">
        <v>283.39</v>
      </c>
      <c r="HU48" s="70">
        <v>282.44</v>
      </c>
      <c r="HV48" s="70">
        <v>281.48</v>
      </c>
      <c r="HW48" s="70">
        <v>280.52999999999997</v>
      </c>
      <c r="HX48" s="70">
        <v>279.58999999999997</v>
      </c>
      <c r="HY48" s="70">
        <v>278.64</v>
      </c>
      <c r="HZ48" s="70">
        <v>277.69</v>
      </c>
      <c r="IA48" s="70">
        <v>276.75</v>
      </c>
      <c r="IB48" s="70">
        <v>275.79000000000002</v>
      </c>
      <c r="IC48" s="70">
        <v>274.85000000000002</v>
      </c>
      <c r="ID48" s="70">
        <v>273.91000000000003</v>
      </c>
      <c r="IE48" s="70">
        <v>272.97000000000003</v>
      </c>
      <c r="IF48" s="70">
        <v>272.02999999999997</v>
      </c>
      <c r="IG48" s="70">
        <v>271.08999999999997</v>
      </c>
      <c r="IH48" s="70">
        <v>270.14</v>
      </c>
      <c r="II48" s="70">
        <v>269.2</v>
      </c>
      <c r="IJ48" s="70">
        <v>268.26</v>
      </c>
      <c r="IK48" s="70">
        <v>267.32</v>
      </c>
      <c r="IL48" s="70">
        <v>266.39</v>
      </c>
      <c r="IM48" s="70">
        <v>265.45999999999998</v>
      </c>
      <c r="IN48" s="70">
        <v>264.51</v>
      </c>
      <c r="IO48" s="70">
        <v>263.58999999999997</v>
      </c>
      <c r="IP48" s="70">
        <v>262.64999999999998</v>
      </c>
      <c r="IQ48" s="70">
        <v>261.72000000000003</v>
      </c>
      <c r="IR48" s="70">
        <v>260.79000000000002</v>
      </c>
      <c r="IS48" s="70">
        <v>259.85000000000002</v>
      </c>
      <c r="IT48" s="70">
        <v>258.93</v>
      </c>
      <c r="IU48" s="70">
        <v>258</v>
      </c>
      <c r="IV48" s="70">
        <v>257.07</v>
      </c>
      <c r="IW48" s="70">
        <v>256.17</v>
      </c>
      <c r="IX48" s="70">
        <v>255.25</v>
      </c>
      <c r="IY48" s="70">
        <v>254.33</v>
      </c>
      <c r="IZ48" s="70">
        <v>253.42</v>
      </c>
      <c r="JA48" s="70">
        <v>252.5</v>
      </c>
      <c r="JB48" s="70">
        <v>251.59</v>
      </c>
      <c r="JC48" s="70">
        <v>250.68</v>
      </c>
      <c r="JD48" s="70">
        <v>249.77</v>
      </c>
      <c r="JE48" s="70">
        <v>248.86</v>
      </c>
      <c r="JF48" s="70">
        <v>247.95</v>
      </c>
      <c r="JG48" s="70">
        <v>247.04</v>
      </c>
      <c r="JH48" s="70">
        <v>246.13</v>
      </c>
      <c r="JI48" s="70">
        <v>245.23</v>
      </c>
      <c r="JJ48" s="70">
        <v>244.32</v>
      </c>
      <c r="JK48" s="70">
        <v>243.42</v>
      </c>
      <c r="JL48" s="70">
        <v>242.51</v>
      </c>
      <c r="JM48" s="70">
        <v>241.61</v>
      </c>
      <c r="JN48" s="70">
        <v>240.71</v>
      </c>
      <c r="JO48" s="70">
        <v>239.8</v>
      </c>
      <c r="JP48" s="70">
        <v>238.9</v>
      </c>
      <c r="JQ48" s="70">
        <v>238</v>
      </c>
      <c r="JR48" s="70">
        <v>237.11</v>
      </c>
      <c r="JS48" s="70">
        <v>236.21</v>
      </c>
      <c r="JT48" s="70">
        <v>235.3</v>
      </c>
      <c r="JU48" s="70">
        <v>234.4</v>
      </c>
      <c r="JV48" s="70">
        <v>233.49</v>
      </c>
      <c r="JW48" s="70">
        <v>232.59</v>
      </c>
      <c r="JX48" s="70">
        <v>231.69</v>
      </c>
      <c r="JY48" s="70">
        <v>230.79</v>
      </c>
      <c r="JZ48" s="70">
        <v>229.89</v>
      </c>
      <c r="KA48" s="70">
        <v>228.99</v>
      </c>
      <c r="KB48" s="70">
        <v>228.09</v>
      </c>
      <c r="KC48" s="70">
        <v>227.19</v>
      </c>
      <c r="KD48" s="70">
        <v>226.29</v>
      </c>
      <c r="KE48" s="70">
        <v>225.4</v>
      </c>
      <c r="KF48" s="70">
        <v>224.5</v>
      </c>
      <c r="KG48" s="70">
        <v>223.61</v>
      </c>
      <c r="KH48" s="70">
        <v>222.71</v>
      </c>
      <c r="KI48" s="70">
        <v>221.82</v>
      </c>
      <c r="KJ48" s="70">
        <v>220.93</v>
      </c>
      <c r="KK48" s="70">
        <v>220.04</v>
      </c>
      <c r="KL48" s="70">
        <v>219.15</v>
      </c>
      <c r="KM48" s="70">
        <v>218.26</v>
      </c>
      <c r="KN48" s="70">
        <v>217.37</v>
      </c>
      <c r="KO48" s="70">
        <v>216.48</v>
      </c>
      <c r="KP48" s="70">
        <v>215.6</v>
      </c>
      <c r="KQ48" s="70">
        <v>214.71</v>
      </c>
      <c r="KR48" s="74">
        <f t="shared" si="29"/>
        <v>216.02</v>
      </c>
      <c r="KS48" s="74">
        <f t="shared" si="29"/>
        <v>215.23</v>
      </c>
      <c r="KT48" s="74">
        <f t="shared" si="29"/>
        <v>214.41</v>
      </c>
      <c r="KU48" s="74">
        <f t="shared" si="29"/>
        <v>213.62</v>
      </c>
      <c r="KV48" s="74">
        <f t="shared" si="29"/>
        <v>212.84</v>
      </c>
      <c r="KW48" s="74">
        <f t="shared" si="29"/>
        <v>212.05</v>
      </c>
      <c r="KX48" s="74">
        <f t="shared" si="29"/>
        <v>211.26</v>
      </c>
      <c r="KY48" s="74">
        <f t="shared" si="29"/>
        <v>210.48</v>
      </c>
      <c r="KZ48" s="74">
        <f t="shared" si="29"/>
        <v>209.69</v>
      </c>
      <c r="LA48" s="74">
        <f t="shared" si="29"/>
        <v>208.91</v>
      </c>
      <c r="LB48" s="74">
        <f t="shared" si="29"/>
        <v>208.13</v>
      </c>
      <c r="LC48" s="74">
        <f t="shared" si="29"/>
        <v>207.35</v>
      </c>
      <c r="LD48" s="74">
        <f t="shared" si="29"/>
        <v>206.57</v>
      </c>
      <c r="LE48" s="74">
        <f t="shared" si="29"/>
        <v>205.79</v>
      </c>
      <c r="LF48" s="74">
        <f t="shared" si="29"/>
        <v>205.02</v>
      </c>
      <c r="LG48" s="74">
        <f t="shared" si="28"/>
        <v>204.25</v>
      </c>
      <c r="LH48" s="74">
        <f t="shared" si="28"/>
        <v>203.47</v>
      </c>
      <c r="LI48" s="74">
        <f t="shared" si="28"/>
        <v>202.7</v>
      </c>
      <c r="LJ48" s="74">
        <f t="shared" si="28"/>
        <v>201.93</v>
      </c>
      <c r="LK48" s="74">
        <f t="shared" si="28"/>
        <v>201.16</v>
      </c>
      <c r="LL48" s="74">
        <f t="shared" si="28"/>
        <v>200.39</v>
      </c>
      <c r="LM48" s="74">
        <f t="shared" si="28"/>
        <v>199.63</v>
      </c>
      <c r="LN48" s="74">
        <f t="shared" si="28"/>
        <v>198.86</v>
      </c>
      <c r="LO48" s="74">
        <f t="shared" si="28"/>
        <v>198.1</v>
      </c>
      <c r="LP48" s="74">
        <f t="shared" si="28"/>
        <v>197.34</v>
      </c>
      <c r="LQ48" s="74">
        <f t="shared" si="28"/>
        <v>196.58</v>
      </c>
      <c r="LR48" s="74">
        <f t="shared" si="28"/>
        <v>195.82</v>
      </c>
      <c r="LS48" s="74">
        <f t="shared" si="28"/>
        <v>195.06</v>
      </c>
      <c r="LT48" s="74">
        <f t="shared" si="28"/>
        <v>194.31</v>
      </c>
      <c r="LU48" s="74">
        <f t="shared" si="28"/>
        <v>193.56</v>
      </c>
      <c r="LV48" s="74">
        <f t="shared" si="28"/>
        <v>192.8</v>
      </c>
      <c r="LW48" s="74">
        <f t="shared" si="28"/>
        <v>192.05</v>
      </c>
      <c r="LX48" s="74">
        <f t="shared" si="30"/>
        <v>191.3</v>
      </c>
      <c r="LY48" s="74">
        <f t="shared" si="30"/>
        <v>190.55</v>
      </c>
      <c r="LZ48" s="74">
        <f t="shared" si="30"/>
        <v>189.81</v>
      </c>
      <c r="MA48" s="74">
        <f t="shared" si="30"/>
        <v>189.06</v>
      </c>
      <c r="MB48" s="74">
        <f t="shared" si="30"/>
        <v>188.32</v>
      </c>
      <c r="MC48" s="74">
        <f t="shared" si="30"/>
        <v>187.58</v>
      </c>
      <c r="MD48" s="76">
        <f t="shared" si="30"/>
        <v>186.84</v>
      </c>
      <c r="ME48" s="77">
        <f t="shared" si="30"/>
        <v>186.11</v>
      </c>
      <c r="MF48" s="77">
        <f t="shared" si="30"/>
        <v>185.37</v>
      </c>
      <c r="MG48" s="77">
        <f t="shared" si="30"/>
        <v>184.64</v>
      </c>
      <c r="MH48" s="77">
        <f t="shared" si="30"/>
        <v>183.9</v>
      </c>
      <c r="MI48" s="77">
        <f t="shared" si="30"/>
        <v>183.17</v>
      </c>
      <c r="MJ48" s="77">
        <f t="shared" si="30"/>
        <v>182.44</v>
      </c>
      <c r="MK48" s="77">
        <f t="shared" si="30"/>
        <v>181.71</v>
      </c>
      <c r="ML48" s="77">
        <f t="shared" si="30"/>
        <v>180.99</v>
      </c>
      <c r="MM48" s="77">
        <f t="shared" si="30"/>
        <v>180.26</v>
      </c>
      <c r="MN48" s="77">
        <f t="shared" si="32"/>
        <v>179.54</v>
      </c>
      <c r="MO48" s="77">
        <f t="shared" si="32"/>
        <v>178.82</v>
      </c>
      <c r="MP48" s="77">
        <f t="shared" si="32"/>
        <v>178.1</v>
      </c>
      <c r="MQ48" s="77">
        <f t="shared" si="32"/>
        <v>177.39</v>
      </c>
      <c r="MR48" s="77">
        <f t="shared" si="32"/>
        <v>176.67</v>
      </c>
      <c r="MS48" s="77">
        <f t="shared" si="32"/>
        <v>175.96</v>
      </c>
      <c r="MT48" s="77">
        <f t="shared" si="32"/>
        <v>175.24</v>
      </c>
      <c r="MU48" s="77">
        <f t="shared" si="32"/>
        <v>174.53</v>
      </c>
      <c r="MV48" s="77">
        <f t="shared" si="32"/>
        <v>173.82</v>
      </c>
      <c r="MW48" s="77">
        <f t="shared" si="32"/>
        <v>173.12</v>
      </c>
      <c r="MX48" s="77">
        <f t="shared" si="32"/>
        <v>172.41</v>
      </c>
      <c r="MY48" s="77">
        <f t="shared" si="32"/>
        <v>171.71</v>
      </c>
    </row>
    <row r="49" spans="1:363" ht="15.6" x14ac:dyDescent="0.3">
      <c r="A49" s="67" t="s">
        <v>6</v>
      </c>
      <c r="B49" s="72">
        <v>2059</v>
      </c>
      <c r="C49" s="70">
        <v>513.04999999999995</v>
      </c>
      <c r="D49" s="70">
        <v>512.01</v>
      </c>
      <c r="E49" s="70">
        <v>510.97</v>
      </c>
      <c r="F49" s="70">
        <v>509.94</v>
      </c>
      <c r="G49" s="70">
        <v>508.9</v>
      </c>
      <c r="H49" s="70">
        <v>507.87</v>
      </c>
      <c r="I49" s="70">
        <v>506.83</v>
      </c>
      <c r="J49" s="70">
        <v>505.8</v>
      </c>
      <c r="K49" s="70">
        <v>504.76</v>
      </c>
      <c r="L49" s="70">
        <v>503.73</v>
      </c>
      <c r="M49" s="70">
        <v>502.69</v>
      </c>
      <c r="N49" s="70">
        <v>501.66</v>
      </c>
      <c r="O49" s="70">
        <v>500.62</v>
      </c>
      <c r="P49" s="70">
        <v>499.59</v>
      </c>
      <c r="Q49" s="70">
        <v>498.55</v>
      </c>
      <c r="R49" s="70">
        <v>497.52</v>
      </c>
      <c r="S49" s="70">
        <v>496.48</v>
      </c>
      <c r="T49" s="70">
        <v>495.45</v>
      </c>
      <c r="U49" s="70">
        <v>494.41</v>
      </c>
      <c r="V49" s="70">
        <v>493.37</v>
      </c>
      <c r="W49" s="70">
        <v>492.34</v>
      </c>
      <c r="X49" s="70">
        <v>491.3</v>
      </c>
      <c r="Y49" s="70">
        <v>490.27</v>
      </c>
      <c r="Z49" s="70">
        <v>489.23</v>
      </c>
      <c r="AA49" s="70">
        <v>488.2</v>
      </c>
      <c r="AB49" s="70">
        <v>487.16</v>
      </c>
      <c r="AC49" s="70">
        <v>486.12</v>
      </c>
      <c r="AD49" s="70">
        <v>485.09</v>
      </c>
      <c r="AE49" s="70">
        <v>484.05</v>
      </c>
      <c r="AF49" s="70">
        <v>483.01</v>
      </c>
      <c r="AG49" s="70">
        <v>481.98</v>
      </c>
      <c r="AH49" s="70">
        <v>480.94</v>
      </c>
      <c r="AI49" s="70">
        <v>479.91</v>
      </c>
      <c r="AJ49" s="70">
        <v>478.87</v>
      </c>
      <c r="AK49" s="70">
        <v>477.83</v>
      </c>
      <c r="AL49" s="70">
        <v>476.8</v>
      </c>
      <c r="AM49" s="70">
        <v>475.76</v>
      </c>
      <c r="AN49" s="70">
        <v>474.73</v>
      </c>
      <c r="AO49" s="70">
        <v>473.69</v>
      </c>
      <c r="AP49" s="70">
        <v>472.65</v>
      </c>
      <c r="AQ49" s="70">
        <v>471.62</v>
      </c>
      <c r="AR49" s="70">
        <v>470.58</v>
      </c>
      <c r="AS49" s="70">
        <v>469.54</v>
      </c>
      <c r="AT49" s="70">
        <v>468.51</v>
      </c>
      <c r="AU49" s="70">
        <v>467.47</v>
      </c>
      <c r="AV49" s="70">
        <v>466.43</v>
      </c>
      <c r="AW49" s="70">
        <v>465.4</v>
      </c>
      <c r="AX49" s="70">
        <v>464.36</v>
      </c>
      <c r="AY49" s="70">
        <v>463.32</v>
      </c>
      <c r="AZ49" s="70">
        <v>462.29</v>
      </c>
      <c r="BA49" s="70">
        <v>461.25</v>
      </c>
      <c r="BB49" s="70">
        <v>460.21</v>
      </c>
      <c r="BC49" s="70">
        <v>459.17</v>
      </c>
      <c r="BD49" s="70">
        <v>458.14</v>
      </c>
      <c r="BE49" s="70">
        <v>457.1</v>
      </c>
      <c r="BF49" s="70">
        <v>456.06</v>
      </c>
      <c r="BG49" s="70">
        <v>455.03</v>
      </c>
      <c r="BH49" s="70">
        <v>453.99</v>
      </c>
      <c r="BI49" s="70">
        <v>452.95</v>
      </c>
      <c r="BJ49" s="70">
        <v>451.91</v>
      </c>
      <c r="BK49" s="70">
        <v>450.88</v>
      </c>
      <c r="BL49" s="70">
        <v>449.84</v>
      </c>
      <c r="BM49" s="70">
        <v>448.8</v>
      </c>
      <c r="BN49" s="70">
        <v>447.76</v>
      </c>
      <c r="BO49" s="70">
        <v>446.73</v>
      </c>
      <c r="BP49" s="70">
        <v>445.69</v>
      </c>
      <c r="BQ49" s="70">
        <v>444.65</v>
      </c>
      <c r="BR49" s="70">
        <v>443.61</v>
      </c>
      <c r="BS49" s="70">
        <v>442.57</v>
      </c>
      <c r="BT49" s="70">
        <v>441.54</v>
      </c>
      <c r="BU49" s="70">
        <v>440.5</v>
      </c>
      <c r="BV49" s="70">
        <v>439.46</v>
      </c>
      <c r="BW49" s="70">
        <v>438.43</v>
      </c>
      <c r="BX49" s="70">
        <v>437.39</v>
      </c>
      <c r="BY49" s="70">
        <v>436.35</v>
      </c>
      <c r="BZ49" s="70">
        <v>435.31</v>
      </c>
      <c r="CA49" s="70">
        <v>434.28</v>
      </c>
      <c r="CB49" s="70">
        <v>433.24</v>
      </c>
      <c r="CC49" s="70">
        <v>432.21</v>
      </c>
      <c r="CD49" s="70">
        <v>431.17</v>
      </c>
      <c r="CE49" s="70">
        <v>430.13</v>
      </c>
      <c r="CF49" s="70">
        <v>429.1</v>
      </c>
      <c r="CG49" s="70">
        <v>428.06</v>
      </c>
      <c r="CH49" s="70">
        <v>427.03</v>
      </c>
      <c r="CI49" s="70">
        <v>425.99</v>
      </c>
      <c r="CJ49" s="70">
        <v>424.95</v>
      </c>
      <c r="CK49" s="70">
        <v>423.92</v>
      </c>
      <c r="CL49" s="70">
        <v>422.88</v>
      </c>
      <c r="CM49" s="70">
        <v>421.84</v>
      </c>
      <c r="CN49" s="70">
        <v>420.81</v>
      </c>
      <c r="CO49" s="70">
        <v>419.77</v>
      </c>
      <c r="CP49" s="70">
        <v>418.74</v>
      </c>
      <c r="CQ49" s="70">
        <v>417.7</v>
      </c>
      <c r="CR49" s="70">
        <v>416.66</v>
      </c>
      <c r="CS49" s="70">
        <v>415.63</v>
      </c>
      <c r="CT49" s="70">
        <v>414.59</v>
      </c>
      <c r="CU49" s="70">
        <v>413.55</v>
      </c>
      <c r="CV49" s="70">
        <v>412.52</v>
      </c>
      <c r="CW49" s="70">
        <v>411.49</v>
      </c>
      <c r="CX49" s="70">
        <v>410.45</v>
      </c>
      <c r="CY49" s="70">
        <v>409.42</v>
      </c>
      <c r="CZ49" s="70">
        <v>408.38</v>
      </c>
      <c r="DA49" s="70">
        <v>407.35</v>
      </c>
      <c r="DB49" s="70">
        <v>406.31</v>
      </c>
      <c r="DC49" s="70">
        <v>405.28</v>
      </c>
      <c r="DD49" s="70">
        <v>404.24</v>
      </c>
      <c r="DE49" s="70">
        <v>403.21</v>
      </c>
      <c r="DF49" s="70">
        <v>402.18</v>
      </c>
      <c r="DG49" s="70">
        <v>401.14</v>
      </c>
      <c r="DH49" s="70">
        <v>400.11</v>
      </c>
      <c r="DI49" s="70">
        <v>399.08</v>
      </c>
      <c r="DJ49" s="70">
        <v>398.04</v>
      </c>
      <c r="DK49" s="70">
        <v>397.01</v>
      </c>
      <c r="DL49" s="70">
        <v>395.98</v>
      </c>
      <c r="DM49" s="70">
        <v>394.94</v>
      </c>
      <c r="DN49" s="70">
        <v>393.91</v>
      </c>
      <c r="DO49" s="70">
        <v>392.88</v>
      </c>
      <c r="DP49" s="70">
        <v>391.85</v>
      </c>
      <c r="DQ49" s="70">
        <v>390.82</v>
      </c>
      <c r="DR49" s="70">
        <v>389.78</v>
      </c>
      <c r="DS49" s="70">
        <v>388.75</v>
      </c>
      <c r="DT49" s="70">
        <v>387.72</v>
      </c>
      <c r="DU49" s="70">
        <v>386.7</v>
      </c>
      <c r="DV49" s="70">
        <v>385.67</v>
      </c>
      <c r="DW49" s="70">
        <v>384.64</v>
      </c>
      <c r="DX49" s="70">
        <v>383.61</v>
      </c>
      <c r="DY49" s="70">
        <v>382.59</v>
      </c>
      <c r="DZ49" s="70">
        <v>381.56</v>
      </c>
      <c r="EA49" s="70">
        <v>380.53</v>
      </c>
      <c r="EB49" s="70">
        <v>379.51</v>
      </c>
      <c r="EC49" s="70">
        <v>378.48</v>
      </c>
      <c r="ED49" s="70">
        <v>377.46</v>
      </c>
      <c r="EE49" s="70">
        <v>376.43</v>
      </c>
      <c r="EF49" s="70">
        <v>375.41</v>
      </c>
      <c r="EG49" s="70">
        <v>374.39</v>
      </c>
      <c r="EH49" s="70">
        <v>373.37</v>
      </c>
      <c r="EI49" s="70">
        <v>372.35</v>
      </c>
      <c r="EJ49" s="70">
        <v>371.33</v>
      </c>
      <c r="EK49" s="70">
        <v>370.31</v>
      </c>
      <c r="EL49" s="70">
        <v>369.29</v>
      </c>
      <c r="EM49" s="70">
        <v>368.27</v>
      </c>
      <c r="EN49" s="70">
        <v>367.25</v>
      </c>
      <c r="EO49" s="70">
        <v>366.23</v>
      </c>
      <c r="EP49" s="70">
        <v>365.22</v>
      </c>
      <c r="EQ49" s="70">
        <v>364.2</v>
      </c>
      <c r="ER49" s="70">
        <v>363.18</v>
      </c>
      <c r="ES49" s="70">
        <v>362.17</v>
      </c>
      <c r="ET49" s="70">
        <v>361.16</v>
      </c>
      <c r="EU49" s="70">
        <v>360.14</v>
      </c>
      <c r="EV49" s="70">
        <v>359.13</v>
      </c>
      <c r="EW49" s="70">
        <v>358.12</v>
      </c>
      <c r="EX49" s="70">
        <v>357.11</v>
      </c>
      <c r="EY49" s="70">
        <v>356.09</v>
      </c>
      <c r="EZ49" s="70">
        <v>355.08</v>
      </c>
      <c r="FA49" s="70">
        <v>354.07</v>
      </c>
      <c r="FB49" s="70">
        <v>353.06</v>
      </c>
      <c r="FC49" s="70">
        <v>352.05</v>
      </c>
      <c r="FD49" s="70">
        <v>351.04</v>
      </c>
      <c r="FE49" s="70">
        <v>350.04</v>
      </c>
      <c r="FF49" s="70">
        <v>349.03</v>
      </c>
      <c r="FG49" s="70">
        <v>348.03</v>
      </c>
      <c r="FH49" s="70">
        <v>347.02</v>
      </c>
      <c r="FI49" s="70">
        <v>346.02</v>
      </c>
      <c r="FJ49" s="70">
        <v>345.01</v>
      </c>
      <c r="FK49" s="70">
        <v>344.01</v>
      </c>
      <c r="FL49" s="70">
        <v>343.01</v>
      </c>
      <c r="FM49" s="70">
        <v>342</v>
      </c>
      <c r="FN49" s="70">
        <v>341</v>
      </c>
      <c r="FO49" s="70">
        <v>340</v>
      </c>
      <c r="FP49" s="70">
        <v>339</v>
      </c>
      <c r="FQ49" s="70">
        <v>338</v>
      </c>
      <c r="FR49" s="70">
        <v>337</v>
      </c>
      <c r="FS49" s="70">
        <v>336</v>
      </c>
      <c r="FT49" s="70">
        <v>335</v>
      </c>
      <c r="FU49" s="70">
        <v>334</v>
      </c>
      <c r="FV49" s="70">
        <v>333</v>
      </c>
      <c r="FW49" s="70">
        <v>332</v>
      </c>
      <c r="FX49" s="70">
        <v>331.01</v>
      </c>
      <c r="FY49" s="70">
        <v>330.01</v>
      </c>
      <c r="FZ49" s="70">
        <v>329.01</v>
      </c>
      <c r="GA49" s="70">
        <v>328.02</v>
      </c>
      <c r="GB49" s="70">
        <v>327.01</v>
      </c>
      <c r="GC49" s="70">
        <v>326.02999999999997</v>
      </c>
      <c r="GD49" s="70">
        <v>325.04000000000002</v>
      </c>
      <c r="GE49" s="70">
        <v>324.04000000000002</v>
      </c>
      <c r="GF49" s="70">
        <v>323.04000000000002</v>
      </c>
      <c r="GG49" s="70">
        <v>322.06</v>
      </c>
      <c r="GH49" s="70">
        <v>321.07</v>
      </c>
      <c r="GI49" s="70">
        <v>320.07</v>
      </c>
      <c r="GJ49" s="70">
        <v>319.08999999999997</v>
      </c>
      <c r="GK49" s="70">
        <v>318.10000000000002</v>
      </c>
      <c r="GL49" s="70">
        <v>317.10000000000002</v>
      </c>
      <c r="GM49" s="70">
        <v>316.12</v>
      </c>
      <c r="GN49" s="70">
        <v>315.13</v>
      </c>
      <c r="GO49" s="70">
        <v>314.14999999999998</v>
      </c>
      <c r="GP49" s="70">
        <v>313.17</v>
      </c>
      <c r="GQ49" s="70">
        <v>312.19</v>
      </c>
      <c r="GR49" s="70">
        <v>311.20999999999998</v>
      </c>
      <c r="GS49" s="70">
        <v>310.23</v>
      </c>
      <c r="GT49" s="70">
        <v>309.25</v>
      </c>
      <c r="GU49" s="70">
        <v>308.26</v>
      </c>
      <c r="GV49" s="70">
        <v>307.29000000000002</v>
      </c>
      <c r="GW49" s="70">
        <v>306.31</v>
      </c>
      <c r="GX49" s="70">
        <v>305.33999999999997</v>
      </c>
      <c r="GY49" s="70">
        <v>304.35000000000002</v>
      </c>
      <c r="GZ49" s="70">
        <v>303.39</v>
      </c>
      <c r="HA49" s="70">
        <v>302.41000000000003</v>
      </c>
      <c r="HB49" s="70">
        <v>301.44</v>
      </c>
      <c r="HC49" s="70">
        <v>300.47000000000003</v>
      </c>
      <c r="HD49" s="70">
        <v>299.5</v>
      </c>
      <c r="HE49" s="70">
        <v>298.51</v>
      </c>
      <c r="HF49" s="70">
        <v>297.54000000000002</v>
      </c>
      <c r="HG49" s="70">
        <v>296.57</v>
      </c>
      <c r="HH49" s="70">
        <v>295.62</v>
      </c>
      <c r="HI49" s="70">
        <v>294.64999999999998</v>
      </c>
      <c r="HJ49" s="70">
        <v>293.68</v>
      </c>
      <c r="HK49" s="70">
        <v>292.70999999999998</v>
      </c>
      <c r="HL49" s="70">
        <v>291.75</v>
      </c>
      <c r="HM49" s="70">
        <v>290.79000000000002</v>
      </c>
      <c r="HN49" s="70">
        <v>289.83999999999997</v>
      </c>
      <c r="HO49" s="70">
        <v>288.88</v>
      </c>
      <c r="HP49" s="70">
        <v>287.93</v>
      </c>
      <c r="HQ49" s="70">
        <v>286.97000000000003</v>
      </c>
      <c r="HR49" s="70">
        <v>286.01</v>
      </c>
      <c r="HS49" s="70">
        <v>285.06</v>
      </c>
      <c r="HT49" s="70">
        <v>284.10000000000002</v>
      </c>
      <c r="HU49" s="70">
        <v>283.16000000000003</v>
      </c>
      <c r="HV49" s="70">
        <v>282.20999999999998</v>
      </c>
      <c r="HW49" s="70">
        <v>281.25</v>
      </c>
      <c r="HX49" s="70">
        <v>280.31</v>
      </c>
      <c r="HY49" s="70">
        <v>279.35000000000002</v>
      </c>
      <c r="HZ49" s="70">
        <v>278.41000000000003</v>
      </c>
      <c r="IA49" s="70">
        <v>277.45999999999998</v>
      </c>
      <c r="IB49" s="70">
        <v>276.51</v>
      </c>
      <c r="IC49" s="70">
        <v>275.57</v>
      </c>
      <c r="ID49" s="70">
        <v>274.63</v>
      </c>
      <c r="IE49" s="70">
        <v>273.68</v>
      </c>
      <c r="IF49" s="70">
        <v>272.74</v>
      </c>
      <c r="IG49" s="70">
        <v>271.79000000000002</v>
      </c>
      <c r="IH49" s="70">
        <v>270.85000000000002</v>
      </c>
      <c r="II49" s="70">
        <v>269.91000000000003</v>
      </c>
      <c r="IJ49" s="70">
        <v>268.97000000000003</v>
      </c>
      <c r="IK49" s="70">
        <v>268.02999999999997</v>
      </c>
      <c r="IL49" s="70">
        <v>267.10000000000002</v>
      </c>
      <c r="IM49" s="70">
        <v>266.16000000000003</v>
      </c>
      <c r="IN49" s="70">
        <v>265.22000000000003</v>
      </c>
      <c r="IO49" s="70">
        <v>264.29000000000002</v>
      </c>
      <c r="IP49" s="70">
        <v>263.35000000000002</v>
      </c>
      <c r="IQ49" s="70">
        <v>262.42</v>
      </c>
      <c r="IR49" s="70">
        <v>261.49</v>
      </c>
      <c r="IS49" s="70">
        <v>260.56</v>
      </c>
      <c r="IT49" s="70">
        <v>259.63</v>
      </c>
      <c r="IU49" s="70">
        <v>258.7</v>
      </c>
      <c r="IV49" s="70">
        <v>257.77999999999997</v>
      </c>
      <c r="IW49" s="70">
        <v>256.85000000000002</v>
      </c>
      <c r="IX49" s="70">
        <v>255.94</v>
      </c>
      <c r="IY49" s="70">
        <v>255.02</v>
      </c>
      <c r="IZ49" s="70">
        <v>254.11</v>
      </c>
      <c r="JA49" s="70">
        <v>253.19</v>
      </c>
      <c r="JB49" s="70">
        <v>252.28</v>
      </c>
      <c r="JC49" s="70">
        <v>251.36</v>
      </c>
      <c r="JD49" s="70">
        <v>250.45</v>
      </c>
      <c r="JE49" s="70">
        <v>249.54</v>
      </c>
      <c r="JF49" s="70">
        <v>248.63</v>
      </c>
      <c r="JG49" s="70">
        <v>247.72</v>
      </c>
      <c r="JH49" s="70">
        <v>246.81</v>
      </c>
      <c r="JI49" s="70">
        <v>245.9</v>
      </c>
      <c r="JJ49" s="70">
        <v>245</v>
      </c>
      <c r="JK49" s="70">
        <v>244.09</v>
      </c>
      <c r="JL49" s="70">
        <v>243.19</v>
      </c>
      <c r="JM49" s="70">
        <v>242.28</v>
      </c>
      <c r="JN49" s="70">
        <v>241.38</v>
      </c>
      <c r="JO49" s="70">
        <v>240.47</v>
      </c>
      <c r="JP49" s="70">
        <v>239.57</v>
      </c>
      <c r="JQ49" s="70">
        <v>238.67</v>
      </c>
      <c r="JR49" s="70">
        <v>237.77</v>
      </c>
      <c r="JS49" s="70">
        <v>236.87</v>
      </c>
      <c r="JT49" s="70">
        <v>235.97</v>
      </c>
      <c r="JU49" s="70">
        <v>235.06</v>
      </c>
      <c r="JV49" s="70">
        <v>234.16</v>
      </c>
      <c r="JW49" s="70">
        <v>233.25</v>
      </c>
      <c r="JX49" s="70">
        <v>232.35</v>
      </c>
      <c r="JY49" s="70">
        <v>231.45</v>
      </c>
      <c r="JZ49" s="70">
        <v>230.54</v>
      </c>
      <c r="KA49" s="70">
        <v>229.64</v>
      </c>
      <c r="KB49" s="70">
        <v>228.74</v>
      </c>
      <c r="KC49" s="70">
        <v>227.84</v>
      </c>
      <c r="KD49" s="70">
        <v>226.94</v>
      </c>
      <c r="KE49" s="70">
        <v>226.05</v>
      </c>
      <c r="KF49" s="70">
        <v>225.15</v>
      </c>
      <c r="KG49" s="70">
        <v>224.25</v>
      </c>
      <c r="KH49" s="70">
        <v>223.36</v>
      </c>
      <c r="KI49" s="70">
        <v>222.46</v>
      </c>
      <c r="KJ49" s="70">
        <v>221.57</v>
      </c>
      <c r="KK49" s="70">
        <v>220.68</v>
      </c>
      <c r="KL49" s="70">
        <v>219.79</v>
      </c>
      <c r="KM49" s="70">
        <v>218.9</v>
      </c>
      <c r="KN49" s="70">
        <v>218.01</v>
      </c>
      <c r="KO49" s="70">
        <v>217.12</v>
      </c>
      <c r="KP49" s="70">
        <v>216.23</v>
      </c>
      <c r="KQ49" s="70">
        <v>215.34</v>
      </c>
      <c r="KR49" s="74">
        <f t="shared" si="29"/>
        <v>216.77</v>
      </c>
      <c r="KS49" s="74">
        <f t="shared" si="29"/>
        <v>215.98</v>
      </c>
      <c r="KT49" s="74">
        <f t="shared" si="29"/>
        <v>215.16</v>
      </c>
      <c r="KU49" s="74">
        <f t="shared" si="29"/>
        <v>214.37</v>
      </c>
      <c r="KV49" s="74">
        <f t="shared" si="29"/>
        <v>213.59</v>
      </c>
      <c r="KW49" s="74">
        <f t="shared" si="29"/>
        <v>212.8</v>
      </c>
      <c r="KX49" s="74">
        <f t="shared" si="29"/>
        <v>212.01</v>
      </c>
      <c r="KY49" s="74">
        <f t="shared" si="29"/>
        <v>211.23</v>
      </c>
      <c r="KZ49" s="74">
        <f t="shared" si="29"/>
        <v>210.44</v>
      </c>
      <c r="LA49" s="74">
        <f t="shared" si="29"/>
        <v>209.66</v>
      </c>
      <c r="LB49" s="74">
        <f t="shared" si="29"/>
        <v>208.88</v>
      </c>
      <c r="LC49" s="74">
        <f t="shared" si="29"/>
        <v>208.1</v>
      </c>
      <c r="LD49" s="74">
        <f t="shared" si="29"/>
        <v>207.32</v>
      </c>
      <c r="LE49" s="74">
        <f t="shared" si="29"/>
        <v>206.54</v>
      </c>
      <c r="LF49" s="74">
        <f t="shared" si="29"/>
        <v>205.77</v>
      </c>
      <c r="LG49" s="74">
        <f t="shared" si="28"/>
        <v>205</v>
      </c>
      <c r="LH49" s="74">
        <f t="shared" si="28"/>
        <v>204.22</v>
      </c>
      <c r="LI49" s="74">
        <f t="shared" si="28"/>
        <v>203.45</v>
      </c>
      <c r="LJ49" s="74">
        <f t="shared" si="28"/>
        <v>202.68</v>
      </c>
      <c r="LK49" s="74">
        <f t="shared" si="28"/>
        <v>201.91</v>
      </c>
      <c r="LL49" s="74">
        <f t="shared" si="28"/>
        <v>201.14</v>
      </c>
      <c r="LM49" s="74">
        <f t="shared" si="28"/>
        <v>200.38</v>
      </c>
      <c r="LN49" s="74">
        <f t="shared" si="28"/>
        <v>199.61</v>
      </c>
      <c r="LO49" s="74">
        <f t="shared" si="28"/>
        <v>198.85</v>
      </c>
      <c r="LP49" s="74">
        <f t="shared" si="28"/>
        <v>198.09</v>
      </c>
      <c r="LQ49" s="74">
        <f t="shared" si="28"/>
        <v>197.33</v>
      </c>
      <c r="LR49" s="74">
        <f t="shared" si="28"/>
        <v>196.57</v>
      </c>
      <c r="LS49" s="74">
        <f t="shared" si="28"/>
        <v>195.81</v>
      </c>
      <c r="LT49" s="74">
        <f t="shared" si="28"/>
        <v>195.06</v>
      </c>
      <c r="LU49" s="74">
        <f t="shared" si="28"/>
        <v>194.31</v>
      </c>
      <c r="LV49" s="74">
        <f t="shared" si="28"/>
        <v>193.55</v>
      </c>
      <c r="LW49" s="74">
        <f t="shared" si="28"/>
        <v>192.8</v>
      </c>
      <c r="LX49" s="74">
        <f t="shared" si="30"/>
        <v>192.05</v>
      </c>
      <c r="LY49" s="74">
        <f t="shared" si="30"/>
        <v>191.3</v>
      </c>
      <c r="LZ49" s="74">
        <f t="shared" si="30"/>
        <v>190.56</v>
      </c>
      <c r="MA49" s="74">
        <f t="shared" si="30"/>
        <v>189.81</v>
      </c>
      <c r="MB49" s="74">
        <f t="shared" si="30"/>
        <v>189.07</v>
      </c>
      <c r="MC49" s="74">
        <f t="shared" si="30"/>
        <v>188.33</v>
      </c>
      <c r="MD49" s="76">
        <f t="shared" si="30"/>
        <v>187.59</v>
      </c>
      <c r="ME49" s="77">
        <f t="shared" si="30"/>
        <v>186.86</v>
      </c>
      <c r="MF49" s="77">
        <f t="shared" si="30"/>
        <v>186.12</v>
      </c>
      <c r="MG49" s="77">
        <f t="shared" si="30"/>
        <v>185.39</v>
      </c>
      <c r="MH49" s="77">
        <f t="shared" si="30"/>
        <v>184.65</v>
      </c>
      <c r="MI49" s="77">
        <f t="shared" si="30"/>
        <v>183.92</v>
      </c>
      <c r="MJ49" s="77">
        <f t="shared" si="30"/>
        <v>183.19</v>
      </c>
      <c r="MK49" s="77">
        <f t="shared" si="30"/>
        <v>182.46</v>
      </c>
      <c r="ML49" s="77">
        <f t="shared" si="30"/>
        <v>181.74</v>
      </c>
      <c r="MM49" s="77">
        <f t="shared" si="30"/>
        <v>181.01</v>
      </c>
      <c r="MN49" s="77">
        <f t="shared" si="32"/>
        <v>180.29</v>
      </c>
      <c r="MO49" s="77">
        <f t="shared" si="32"/>
        <v>179.57</v>
      </c>
      <c r="MP49" s="77">
        <f t="shared" si="32"/>
        <v>178.85</v>
      </c>
      <c r="MQ49" s="77">
        <f t="shared" si="32"/>
        <v>178.14</v>
      </c>
      <c r="MR49" s="77">
        <f t="shared" si="32"/>
        <v>177.42</v>
      </c>
      <c r="MS49" s="77">
        <f t="shared" si="32"/>
        <v>176.71</v>
      </c>
      <c r="MT49" s="77">
        <f t="shared" si="32"/>
        <v>175.99</v>
      </c>
      <c r="MU49" s="77">
        <f t="shared" si="32"/>
        <v>175.28</v>
      </c>
      <c r="MV49" s="77">
        <f t="shared" si="32"/>
        <v>174.57</v>
      </c>
      <c r="MW49" s="77">
        <f t="shared" si="32"/>
        <v>173.87</v>
      </c>
      <c r="MX49" s="77">
        <f t="shared" si="32"/>
        <v>173.16</v>
      </c>
      <c r="MY49" s="77">
        <f t="shared" si="32"/>
        <v>172.46</v>
      </c>
    </row>
    <row r="50" spans="1:363" ht="15.6" x14ac:dyDescent="0.3">
      <c r="A50" s="67" t="s">
        <v>6</v>
      </c>
      <c r="B50" s="72">
        <v>2060</v>
      </c>
      <c r="C50" s="70">
        <v>513.82000000000005</v>
      </c>
      <c r="D50" s="70">
        <v>512.78</v>
      </c>
      <c r="E50" s="70">
        <v>511.75</v>
      </c>
      <c r="F50" s="70">
        <v>510.71</v>
      </c>
      <c r="G50" s="70">
        <v>509.68</v>
      </c>
      <c r="H50" s="70">
        <v>508.64</v>
      </c>
      <c r="I50" s="70">
        <v>507.61</v>
      </c>
      <c r="J50" s="70">
        <v>506.57</v>
      </c>
      <c r="K50" s="70">
        <v>505.54</v>
      </c>
      <c r="L50" s="70">
        <v>504.5</v>
      </c>
      <c r="M50" s="70">
        <v>503.47</v>
      </c>
      <c r="N50" s="70">
        <v>502.43</v>
      </c>
      <c r="O50" s="70">
        <v>501.4</v>
      </c>
      <c r="P50" s="70">
        <v>500.36</v>
      </c>
      <c r="Q50" s="70">
        <v>499.33</v>
      </c>
      <c r="R50" s="70">
        <v>498.29</v>
      </c>
      <c r="S50" s="70">
        <v>497.26</v>
      </c>
      <c r="T50" s="70">
        <v>496.22</v>
      </c>
      <c r="U50" s="70">
        <v>495.18</v>
      </c>
      <c r="V50" s="70">
        <v>494.15</v>
      </c>
      <c r="W50" s="70">
        <v>493.11</v>
      </c>
      <c r="X50" s="70">
        <v>492.08</v>
      </c>
      <c r="Y50" s="70">
        <v>491.04</v>
      </c>
      <c r="Z50" s="70">
        <v>490.01</v>
      </c>
      <c r="AA50" s="70">
        <v>488.97</v>
      </c>
      <c r="AB50" s="70">
        <v>487.94</v>
      </c>
      <c r="AC50" s="70">
        <v>486.9</v>
      </c>
      <c r="AD50" s="70">
        <v>485.86</v>
      </c>
      <c r="AE50" s="70">
        <v>484.83</v>
      </c>
      <c r="AF50" s="70">
        <v>483.79</v>
      </c>
      <c r="AG50" s="70">
        <v>482.76</v>
      </c>
      <c r="AH50" s="70">
        <v>481.72</v>
      </c>
      <c r="AI50" s="70">
        <v>480.68</v>
      </c>
      <c r="AJ50" s="70">
        <v>479.65</v>
      </c>
      <c r="AK50" s="70">
        <v>478.61</v>
      </c>
      <c r="AL50" s="70">
        <v>477.58</v>
      </c>
      <c r="AM50" s="70">
        <v>476.54</v>
      </c>
      <c r="AN50" s="70">
        <v>475.5</v>
      </c>
      <c r="AO50" s="70">
        <v>474.47</v>
      </c>
      <c r="AP50" s="70">
        <v>473.43</v>
      </c>
      <c r="AQ50" s="70">
        <v>472.39</v>
      </c>
      <c r="AR50" s="70">
        <v>471.36</v>
      </c>
      <c r="AS50" s="70">
        <v>470.32</v>
      </c>
      <c r="AT50" s="70">
        <v>469.28</v>
      </c>
      <c r="AU50" s="70">
        <v>468.25</v>
      </c>
      <c r="AV50" s="70">
        <v>467.21</v>
      </c>
      <c r="AW50" s="70">
        <v>466.17</v>
      </c>
      <c r="AX50" s="70">
        <v>465.14</v>
      </c>
      <c r="AY50" s="70">
        <v>464.1</v>
      </c>
      <c r="AZ50" s="70">
        <v>463.06</v>
      </c>
      <c r="BA50" s="70">
        <v>462.03</v>
      </c>
      <c r="BB50" s="70">
        <v>460.99</v>
      </c>
      <c r="BC50" s="70">
        <v>459.95</v>
      </c>
      <c r="BD50" s="70">
        <v>458.91</v>
      </c>
      <c r="BE50" s="70">
        <v>457.88</v>
      </c>
      <c r="BF50" s="70">
        <v>456.84</v>
      </c>
      <c r="BG50" s="70">
        <v>455.8</v>
      </c>
      <c r="BH50" s="70">
        <v>454.77</v>
      </c>
      <c r="BI50" s="70">
        <v>453.73</v>
      </c>
      <c r="BJ50" s="70">
        <v>452.69</v>
      </c>
      <c r="BK50" s="70">
        <v>451.66</v>
      </c>
      <c r="BL50" s="70">
        <v>450.62</v>
      </c>
      <c r="BM50" s="70">
        <v>449.58</v>
      </c>
      <c r="BN50" s="70">
        <v>448.54</v>
      </c>
      <c r="BO50" s="70">
        <v>447.5</v>
      </c>
      <c r="BP50" s="70">
        <v>446.46</v>
      </c>
      <c r="BQ50" s="70">
        <v>445.43</v>
      </c>
      <c r="BR50" s="70">
        <v>444.39</v>
      </c>
      <c r="BS50" s="70">
        <v>443.35</v>
      </c>
      <c r="BT50" s="70">
        <v>442.31</v>
      </c>
      <c r="BU50" s="70">
        <v>441.28</v>
      </c>
      <c r="BV50" s="70">
        <v>440.24</v>
      </c>
      <c r="BW50" s="70">
        <v>439.2</v>
      </c>
      <c r="BX50" s="70">
        <v>438.17</v>
      </c>
      <c r="BY50" s="70">
        <v>437.13</v>
      </c>
      <c r="BZ50" s="70">
        <v>436.09</v>
      </c>
      <c r="CA50" s="70">
        <v>435.06</v>
      </c>
      <c r="CB50" s="70">
        <v>434.02</v>
      </c>
      <c r="CC50" s="70">
        <v>432.98</v>
      </c>
      <c r="CD50" s="70">
        <v>431.95</v>
      </c>
      <c r="CE50" s="70">
        <v>430.91</v>
      </c>
      <c r="CF50" s="70">
        <v>429.87</v>
      </c>
      <c r="CG50" s="70">
        <v>428.84</v>
      </c>
      <c r="CH50" s="70">
        <v>427.8</v>
      </c>
      <c r="CI50" s="70">
        <v>426.77</v>
      </c>
      <c r="CJ50" s="70">
        <v>425.73</v>
      </c>
      <c r="CK50" s="70">
        <v>424.69</v>
      </c>
      <c r="CL50" s="70">
        <v>423.66</v>
      </c>
      <c r="CM50" s="70">
        <v>422.62</v>
      </c>
      <c r="CN50" s="70">
        <v>421.58</v>
      </c>
      <c r="CO50" s="70">
        <v>420.55</v>
      </c>
      <c r="CP50" s="70">
        <v>419.51</v>
      </c>
      <c r="CQ50" s="70">
        <v>418.48</v>
      </c>
      <c r="CR50" s="70">
        <v>417.44</v>
      </c>
      <c r="CS50" s="70">
        <v>416.4</v>
      </c>
      <c r="CT50" s="70">
        <v>415.37</v>
      </c>
      <c r="CU50" s="70">
        <v>414.33</v>
      </c>
      <c r="CV50" s="70">
        <v>413.3</v>
      </c>
      <c r="CW50" s="70">
        <v>412.26</v>
      </c>
      <c r="CX50" s="70">
        <v>411.23</v>
      </c>
      <c r="CY50" s="70">
        <v>410.19</v>
      </c>
      <c r="CZ50" s="70">
        <v>409.16</v>
      </c>
      <c r="DA50" s="70">
        <v>408.12</v>
      </c>
      <c r="DB50" s="70">
        <v>407.09</v>
      </c>
      <c r="DC50" s="70">
        <v>406.05</v>
      </c>
      <c r="DD50" s="70">
        <v>405.02</v>
      </c>
      <c r="DE50" s="70">
        <v>403.98</v>
      </c>
      <c r="DF50" s="70">
        <v>402.95</v>
      </c>
      <c r="DG50" s="70">
        <v>401.92</v>
      </c>
      <c r="DH50" s="70">
        <v>400.88</v>
      </c>
      <c r="DI50" s="70">
        <v>399.85</v>
      </c>
      <c r="DJ50" s="70">
        <v>398.82</v>
      </c>
      <c r="DK50" s="70">
        <v>397.78</v>
      </c>
      <c r="DL50" s="70">
        <v>396.75</v>
      </c>
      <c r="DM50" s="70">
        <v>395.72</v>
      </c>
      <c r="DN50" s="70">
        <v>394.69</v>
      </c>
      <c r="DO50" s="70">
        <v>393.65</v>
      </c>
      <c r="DP50" s="70">
        <v>392.62</v>
      </c>
      <c r="DQ50" s="70">
        <v>391.59</v>
      </c>
      <c r="DR50" s="70">
        <v>390.56</v>
      </c>
      <c r="DS50" s="70">
        <v>389.53</v>
      </c>
      <c r="DT50" s="70">
        <v>388.5</v>
      </c>
      <c r="DU50" s="70">
        <v>387.47</v>
      </c>
      <c r="DV50" s="70">
        <v>386.44</v>
      </c>
      <c r="DW50" s="70">
        <v>385.41</v>
      </c>
      <c r="DX50" s="70">
        <v>384.39</v>
      </c>
      <c r="DY50" s="70">
        <v>383.36</v>
      </c>
      <c r="DZ50" s="70">
        <v>382.33</v>
      </c>
      <c r="EA50" s="70">
        <v>381.3</v>
      </c>
      <c r="EB50" s="70">
        <v>380.28</v>
      </c>
      <c r="EC50" s="70">
        <v>379.25</v>
      </c>
      <c r="ED50" s="70">
        <v>378.23</v>
      </c>
      <c r="EE50" s="70">
        <v>377.2</v>
      </c>
      <c r="EF50" s="70">
        <v>376.18</v>
      </c>
      <c r="EG50" s="70">
        <v>375.16</v>
      </c>
      <c r="EH50" s="70">
        <v>374.14</v>
      </c>
      <c r="EI50" s="70">
        <v>373.12</v>
      </c>
      <c r="EJ50" s="70">
        <v>372.1</v>
      </c>
      <c r="EK50" s="70">
        <v>371.08</v>
      </c>
      <c r="EL50" s="70">
        <v>370.06</v>
      </c>
      <c r="EM50" s="70">
        <v>369.04</v>
      </c>
      <c r="EN50" s="70">
        <v>368.02</v>
      </c>
      <c r="EO50" s="70">
        <v>367</v>
      </c>
      <c r="EP50" s="70">
        <v>365.98</v>
      </c>
      <c r="EQ50" s="70">
        <v>364.97</v>
      </c>
      <c r="ER50" s="70">
        <v>363.95</v>
      </c>
      <c r="ES50" s="70">
        <v>362.94</v>
      </c>
      <c r="ET50" s="70">
        <v>361.92</v>
      </c>
      <c r="EU50" s="70">
        <v>360.91</v>
      </c>
      <c r="EV50" s="70">
        <v>359.9</v>
      </c>
      <c r="EW50" s="70">
        <v>358.88</v>
      </c>
      <c r="EX50" s="70">
        <v>357.87</v>
      </c>
      <c r="EY50" s="70">
        <v>356.86</v>
      </c>
      <c r="EZ50" s="70">
        <v>355.85</v>
      </c>
      <c r="FA50" s="70">
        <v>354.83</v>
      </c>
      <c r="FB50" s="70">
        <v>353.82</v>
      </c>
      <c r="FC50" s="70">
        <v>352.81</v>
      </c>
      <c r="FD50" s="70">
        <v>351.8</v>
      </c>
      <c r="FE50" s="70">
        <v>350.8</v>
      </c>
      <c r="FF50" s="70">
        <v>349.79</v>
      </c>
      <c r="FG50" s="70">
        <v>348.79</v>
      </c>
      <c r="FH50" s="70">
        <v>347.78</v>
      </c>
      <c r="FI50" s="70">
        <v>346.78</v>
      </c>
      <c r="FJ50" s="70">
        <v>345.77</v>
      </c>
      <c r="FK50" s="70">
        <v>344.77</v>
      </c>
      <c r="FL50" s="70">
        <v>343.77</v>
      </c>
      <c r="FM50" s="70">
        <v>342.76</v>
      </c>
      <c r="FN50" s="70">
        <v>341.76</v>
      </c>
      <c r="FO50" s="70">
        <v>340.76</v>
      </c>
      <c r="FP50" s="70">
        <v>339.76</v>
      </c>
      <c r="FQ50" s="70">
        <v>338.75</v>
      </c>
      <c r="FR50" s="70">
        <v>337.75</v>
      </c>
      <c r="FS50" s="70">
        <v>336.75</v>
      </c>
      <c r="FT50" s="70">
        <v>335.75</v>
      </c>
      <c r="FU50" s="70">
        <v>334.76</v>
      </c>
      <c r="FV50" s="70">
        <v>333.76</v>
      </c>
      <c r="FW50" s="70">
        <v>332.76</v>
      </c>
      <c r="FX50" s="70">
        <v>331.76</v>
      </c>
      <c r="FY50" s="70">
        <v>330.76</v>
      </c>
      <c r="FZ50" s="70">
        <v>329.77</v>
      </c>
      <c r="GA50" s="70">
        <v>328.77</v>
      </c>
      <c r="GB50" s="70">
        <v>327.77</v>
      </c>
      <c r="GC50" s="70">
        <v>326.77999999999997</v>
      </c>
      <c r="GD50" s="70">
        <v>325.79000000000002</v>
      </c>
      <c r="GE50" s="70">
        <v>324.79000000000002</v>
      </c>
      <c r="GF50" s="70">
        <v>323.79000000000002</v>
      </c>
      <c r="GG50" s="70">
        <v>322.81</v>
      </c>
      <c r="GH50" s="70">
        <v>321.81</v>
      </c>
      <c r="GI50" s="70">
        <v>320.82</v>
      </c>
      <c r="GJ50" s="70">
        <v>319.82</v>
      </c>
      <c r="GK50" s="70">
        <v>318.83999999999997</v>
      </c>
      <c r="GL50" s="70">
        <v>317.85000000000002</v>
      </c>
      <c r="GM50" s="70">
        <v>316.85000000000002</v>
      </c>
      <c r="GN50" s="70">
        <v>315.88</v>
      </c>
      <c r="GO50" s="70">
        <v>314.89</v>
      </c>
      <c r="GP50" s="70">
        <v>313.91000000000003</v>
      </c>
      <c r="GQ50" s="70">
        <v>312.93</v>
      </c>
      <c r="GR50" s="70">
        <v>311.95</v>
      </c>
      <c r="GS50" s="70">
        <v>310.97000000000003</v>
      </c>
      <c r="GT50" s="70">
        <v>309.99</v>
      </c>
      <c r="GU50" s="70">
        <v>309.01</v>
      </c>
      <c r="GV50" s="70">
        <v>308.02999999999997</v>
      </c>
      <c r="GW50" s="70">
        <v>307.04000000000002</v>
      </c>
      <c r="GX50" s="70">
        <v>306.07</v>
      </c>
      <c r="GY50" s="70">
        <v>305.10000000000002</v>
      </c>
      <c r="GZ50" s="70">
        <v>304.12</v>
      </c>
      <c r="HA50" s="70">
        <v>303.14999999999998</v>
      </c>
      <c r="HB50" s="70">
        <v>302.17</v>
      </c>
      <c r="HC50" s="70">
        <v>301.2</v>
      </c>
      <c r="HD50" s="70">
        <v>300.23</v>
      </c>
      <c r="HE50" s="70">
        <v>299.26</v>
      </c>
      <c r="HF50" s="70">
        <v>298.27999999999997</v>
      </c>
      <c r="HG50" s="70">
        <v>297.31</v>
      </c>
      <c r="HH50" s="70">
        <v>296.33999999999997</v>
      </c>
      <c r="HI50" s="70">
        <v>295.37</v>
      </c>
      <c r="HJ50" s="70">
        <v>294.41000000000003</v>
      </c>
      <c r="HK50" s="70">
        <v>293.44</v>
      </c>
      <c r="HL50" s="70">
        <v>292.48</v>
      </c>
      <c r="HM50" s="70">
        <v>291.51</v>
      </c>
      <c r="HN50" s="70">
        <v>290.56</v>
      </c>
      <c r="HO50" s="70">
        <v>289.60000000000002</v>
      </c>
      <c r="HP50" s="70">
        <v>288.64999999999998</v>
      </c>
      <c r="HQ50" s="70">
        <v>287.69</v>
      </c>
      <c r="HR50" s="70">
        <v>286.74</v>
      </c>
      <c r="HS50" s="70">
        <v>285.77999999999997</v>
      </c>
      <c r="HT50" s="70">
        <v>284.82</v>
      </c>
      <c r="HU50" s="70">
        <v>283.87</v>
      </c>
      <c r="HV50" s="70">
        <v>282.92</v>
      </c>
      <c r="HW50" s="70">
        <v>281.97000000000003</v>
      </c>
      <c r="HX50" s="70">
        <v>281.01</v>
      </c>
      <c r="HY50" s="70">
        <v>280.07</v>
      </c>
      <c r="HZ50" s="70">
        <v>279.12</v>
      </c>
      <c r="IA50" s="70">
        <v>278.17</v>
      </c>
      <c r="IB50" s="70">
        <v>277.23</v>
      </c>
      <c r="IC50" s="70">
        <v>276.27999999999997</v>
      </c>
      <c r="ID50" s="70">
        <v>275.32</v>
      </c>
      <c r="IE50" s="70">
        <v>274.39</v>
      </c>
      <c r="IF50" s="70">
        <v>273.44</v>
      </c>
      <c r="IG50" s="70">
        <v>272.5</v>
      </c>
      <c r="IH50" s="70">
        <v>271.56</v>
      </c>
      <c r="II50" s="70">
        <v>270.62</v>
      </c>
      <c r="IJ50" s="70">
        <v>269.68</v>
      </c>
      <c r="IK50" s="70">
        <v>268.74</v>
      </c>
      <c r="IL50" s="70">
        <v>267.79000000000002</v>
      </c>
      <c r="IM50" s="70">
        <v>266.85000000000002</v>
      </c>
      <c r="IN50" s="70">
        <v>265.92</v>
      </c>
      <c r="IO50" s="70">
        <v>264.99</v>
      </c>
      <c r="IP50" s="70">
        <v>264.04000000000002</v>
      </c>
      <c r="IQ50" s="70">
        <v>263.12</v>
      </c>
      <c r="IR50" s="70">
        <v>262.18</v>
      </c>
      <c r="IS50" s="70">
        <v>261.25</v>
      </c>
      <c r="IT50" s="70">
        <v>260.32</v>
      </c>
      <c r="IU50" s="70">
        <v>259.39</v>
      </c>
      <c r="IV50" s="70">
        <v>258.47000000000003</v>
      </c>
      <c r="IW50" s="70">
        <v>257.54000000000002</v>
      </c>
      <c r="IX50" s="70">
        <v>256.63</v>
      </c>
      <c r="IY50" s="70">
        <v>255.71</v>
      </c>
      <c r="IZ50" s="70">
        <v>254.79</v>
      </c>
      <c r="JA50" s="70">
        <v>253.88</v>
      </c>
      <c r="JB50" s="70">
        <v>252.96</v>
      </c>
      <c r="JC50" s="70">
        <v>252.05</v>
      </c>
      <c r="JD50" s="70">
        <v>251.13</v>
      </c>
      <c r="JE50" s="70">
        <v>250.22</v>
      </c>
      <c r="JF50" s="70">
        <v>249.31</v>
      </c>
      <c r="JG50" s="70">
        <v>248.4</v>
      </c>
      <c r="JH50" s="70">
        <v>247.49</v>
      </c>
      <c r="JI50" s="70">
        <v>246.58</v>
      </c>
      <c r="JJ50" s="70">
        <v>245.67</v>
      </c>
      <c r="JK50" s="70">
        <v>244.76</v>
      </c>
      <c r="JL50" s="70">
        <v>243.86</v>
      </c>
      <c r="JM50" s="70">
        <v>242.95</v>
      </c>
      <c r="JN50" s="70">
        <v>242.05</v>
      </c>
      <c r="JO50" s="70">
        <v>241.14</v>
      </c>
      <c r="JP50" s="70">
        <v>240.24</v>
      </c>
      <c r="JQ50" s="70">
        <v>239.34</v>
      </c>
      <c r="JR50" s="70">
        <v>238.43</v>
      </c>
      <c r="JS50" s="70">
        <v>237.53</v>
      </c>
      <c r="JT50" s="70">
        <v>236.63</v>
      </c>
      <c r="JU50" s="70">
        <v>235.72</v>
      </c>
      <c r="JV50" s="70">
        <v>234.81</v>
      </c>
      <c r="JW50" s="70">
        <v>233.91</v>
      </c>
      <c r="JX50" s="70">
        <v>233</v>
      </c>
      <c r="JY50" s="70">
        <v>232.1</v>
      </c>
      <c r="JZ50" s="70">
        <v>231.2</v>
      </c>
      <c r="KA50" s="70">
        <v>230.29</v>
      </c>
      <c r="KB50" s="70">
        <v>229.39</v>
      </c>
      <c r="KC50" s="70">
        <v>228.49</v>
      </c>
      <c r="KD50" s="70">
        <v>227.59</v>
      </c>
      <c r="KE50" s="70">
        <v>226.69</v>
      </c>
      <c r="KF50" s="70">
        <v>225.79</v>
      </c>
      <c r="KG50" s="70">
        <v>224.89</v>
      </c>
      <c r="KH50" s="70">
        <v>224</v>
      </c>
      <c r="KI50" s="70">
        <v>223.1</v>
      </c>
      <c r="KJ50" s="70">
        <v>222.21</v>
      </c>
      <c r="KK50" s="70">
        <v>221.31</v>
      </c>
      <c r="KL50" s="70">
        <v>220.42</v>
      </c>
      <c r="KM50" s="70">
        <v>219.53</v>
      </c>
      <c r="KN50" s="70">
        <v>218.64</v>
      </c>
      <c r="KO50" s="70">
        <v>217.75</v>
      </c>
      <c r="KP50" s="70">
        <v>216.86</v>
      </c>
      <c r="KQ50" s="70">
        <v>215.97</v>
      </c>
      <c r="KR50" s="74">
        <f t="shared" si="29"/>
        <v>217.52</v>
      </c>
      <c r="KS50" s="74">
        <f t="shared" si="29"/>
        <v>216.73</v>
      </c>
      <c r="KT50" s="74">
        <f t="shared" si="29"/>
        <v>215.91</v>
      </c>
      <c r="KU50" s="74">
        <f t="shared" si="29"/>
        <v>215.12</v>
      </c>
      <c r="KV50" s="74">
        <f t="shared" si="29"/>
        <v>214.34</v>
      </c>
      <c r="KW50" s="74">
        <f t="shared" si="29"/>
        <v>213.55</v>
      </c>
      <c r="KX50" s="74">
        <f t="shared" si="29"/>
        <v>212.76</v>
      </c>
      <c r="KY50" s="74">
        <f t="shared" si="29"/>
        <v>211.98</v>
      </c>
      <c r="KZ50" s="74">
        <f t="shared" si="29"/>
        <v>211.19</v>
      </c>
      <c r="LA50" s="74">
        <f t="shared" si="29"/>
        <v>210.41</v>
      </c>
      <c r="LB50" s="74">
        <f t="shared" si="29"/>
        <v>209.63</v>
      </c>
      <c r="LC50" s="74">
        <f t="shared" si="29"/>
        <v>208.85</v>
      </c>
      <c r="LD50" s="74">
        <f t="shared" si="29"/>
        <v>208.07</v>
      </c>
      <c r="LE50" s="74">
        <f t="shared" si="29"/>
        <v>207.29</v>
      </c>
      <c r="LF50" s="74">
        <f t="shared" si="29"/>
        <v>206.52</v>
      </c>
      <c r="LG50" s="74">
        <f t="shared" si="28"/>
        <v>205.75</v>
      </c>
      <c r="LH50" s="74">
        <f t="shared" si="28"/>
        <v>204.97</v>
      </c>
      <c r="LI50" s="74">
        <f t="shared" si="28"/>
        <v>204.2</v>
      </c>
      <c r="LJ50" s="74">
        <f t="shared" si="28"/>
        <v>203.43</v>
      </c>
      <c r="LK50" s="74">
        <f t="shared" si="28"/>
        <v>202.66</v>
      </c>
      <c r="LL50" s="74">
        <f t="shared" si="28"/>
        <v>201.89</v>
      </c>
      <c r="LM50" s="74">
        <f t="shared" si="28"/>
        <v>201.13</v>
      </c>
      <c r="LN50" s="74">
        <f t="shared" si="28"/>
        <v>200.36</v>
      </c>
      <c r="LO50" s="74">
        <f t="shared" si="28"/>
        <v>199.6</v>
      </c>
      <c r="LP50" s="74">
        <f t="shared" si="28"/>
        <v>198.84</v>
      </c>
      <c r="LQ50" s="74">
        <f t="shared" si="28"/>
        <v>198.08</v>
      </c>
      <c r="LR50" s="74">
        <f t="shared" si="28"/>
        <v>197.32</v>
      </c>
      <c r="LS50" s="74">
        <f t="shared" si="28"/>
        <v>196.56</v>
      </c>
      <c r="LT50" s="74">
        <f t="shared" si="28"/>
        <v>195.81</v>
      </c>
      <c r="LU50" s="74">
        <f t="shared" si="28"/>
        <v>195.06</v>
      </c>
      <c r="LV50" s="74">
        <f t="shared" si="28"/>
        <v>194.3</v>
      </c>
      <c r="LW50" s="74">
        <f t="shared" si="28"/>
        <v>193.55</v>
      </c>
      <c r="LX50" s="74">
        <f t="shared" si="30"/>
        <v>192.8</v>
      </c>
      <c r="LY50" s="74">
        <f t="shared" si="30"/>
        <v>192.05</v>
      </c>
      <c r="LZ50" s="74">
        <f t="shared" si="30"/>
        <v>191.31</v>
      </c>
      <c r="MA50" s="74">
        <f t="shared" si="30"/>
        <v>190.56</v>
      </c>
      <c r="MB50" s="74">
        <f t="shared" si="30"/>
        <v>189.82</v>
      </c>
      <c r="MC50" s="74">
        <f t="shared" si="30"/>
        <v>189.08</v>
      </c>
      <c r="MD50" s="76">
        <f t="shared" si="30"/>
        <v>188.34</v>
      </c>
      <c r="ME50" s="77">
        <f t="shared" si="30"/>
        <v>187.61</v>
      </c>
      <c r="MF50" s="77">
        <f t="shared" si="30"/>
        <v>186.87</v>
      </c>
      <c r="MG50" s="77">
        <f t="shared" si="30"/>
        <v>186.14</v>
      </c>
      <c r="MH50" s="77">
        <f t="shared" si="30"/>
        <v>185.4</v>
      </c>
      <c r="MI50" s="77">
        <f t="shared" si="30"/>
        <v>184.67</v>
      </c>
      <c r="MJ50" s="77">
        <f t="shared" si="30"/>
        <v>183.94</v>
      </c>
      <c r="MK50" s="77">
        <f t="shared" si="30"/>
        <v>183.21</v>
      </c>
      <c r="ML50" s="77">
        <f t="shared" si="30"/>
        <v>182.49</v>
      </c>
      <c r="MM50" s="77">
        <f t="shared" si="30"/>
        <v>181.76</v>
      </c>
      <c r="MN50" s="77">
        <f t="shared" si="32"/>
        <v>181.04</v>
      </c>
      <c r="MO50" s="77">
        <f t="shared" si="32"/>
        <v>180.32</v>
      </c>
      <c r="MP50" s="77">
        <f t="shared" si="32"/>
        <v>179.6</v>
      </c>
      <c r="MQ50" s="77">
        <f t="shared" si="32"/>
        <v>178.89</v>
      </c>
      <c r="MR50" s="77">
        <f t="shared" si="32"/>
        <v>178.17</v>
      </c>
      <c r="MS50" s="77">
        <f t="shared" si="32"/>
        <v>177.46</v>
      </c>
      <c r="MT50" s="77">
        <f t="shared" si="32"/>
        <v>176.74</v>
      </c>
      <c r="MU50" s="77">
        <f t="shared" si="32"/>
        <v>176.03</v>
      </c>
      <c r="MV50" s="77">
        <f t="shared" si="32"/>
        <v>175.32</v>
      </c>
      <c r="MW50" s="77">
        <f t="shared" si="32"/>
        <v>174.62</v>
      </c>
      <c r="MX50" s="77">
        <f t="shared" si="32"/>
        <v>173.91</v>
      </c>
      <c r="MY50" s="77">
        <f t="shared" si="32"/>
        <v>173.21</v>
      </c>
    </row>
    <row r="51" spans="1:363" ht="15.6" x14ac:dyDescent="0.3">
      <c r="A51" s="67" t="s">
        <v>6</v>
      </c>
      <c r="B51" s="72">
        <v>2061</v>
      </c>
      <c r="C51" s="70">
        <v>514.59</v>
      </c>
      <c r="D51" s="70">
        <v>513.54999999999995</v>
      </c>
      <c r="E51" s="70">
        <v>512.52</v>
      </c>
      <c r="F51" s="70">
        <v>511.48</v>
      </c>
      <c r="G51" s="70">
        <v>510.45</v>
      </c>
      <c r="H51" s="70">
        <v>509.41</v>
      </c>
      <c r="I51" s="70">
        <v>508.38</v>
      </c>
      <c r="J51" s="70">
        <v>507.34</v>
      </c>
      <c r="K51" s="70">
        <v>506.31</v>
      </c>
      <c r="L51" s="70">
        <v>505.27</v>
      </c>
      <c r="M51" s="70">
        <v>504.24</v>
      </c>
      <c r="N51" s="70">
        <v>503.2</v>
      </c>
      <c r="O51" s="70">
        <v>502.17</v>
      </c>
      <c r="P51" s="70">
        <v>501.13</v>
      </c>
      <c r="Q51" s="70">
        <v>500.1</v>
      </c>
      <c r="R51" s="70">
        <v>499.06</v>
      </c>
      <c r="S51" s="70">
        <v>498.03</v>
      </c>
      <c r="T51" s="70">
        <v>496.99</v>
      </c>
      <c r="U51" s="70">
        <v>495.95</v>
      </c>
      <c r="V51" s="70">
        <v>494.92</v>
      </c>
      <c r="W51" s="70">
        <v>493.88</v>
      </c>
      <c r="X51" s="70">
        <v>492.85</v>
      </c>
      <c r="Y51" s="70">
        <v>491.81</v>
      </c>
      <c r="Z51" s="70">
        <v>490.78</v>
      </c>
      <c r="AA51" s="70">
        <v>489.74</v>
      </c>
      <c r="AB51" s="70">
        <v>488.71</v>
      </c>
      <c r="AC51" s="70">
        <v>487.67</v>
      </c>
      <c r="AD51" s="70">
        <v>486.63</v>
      </c>
      <c r="AE51" s="70">
        <v>485.6</v>
      </c>
      <c r="AF51" s="70">
        <v>484.56</v>
      </c>
      <c r="AG51" s="70">
        <v>483.53</v>
      </c>
      <c r="AH51" s="70">
        <v>482.49</v>
      </c>
      <c r="AI51" s="70">
        <v>481.45</v>
      </c>
      <c r="AJ51" s="70">
        <v>480.42</v>
      </c>
      <c r="AK51" s="70">
        <v>479.38</v>
      </c>
      <c r="AL51" s="70">
        <v>478.35</v>
      </c>
      <c r="AM51" s="70">
        <v>477.31</v>
      </c>
      <c r="AN51" s="70">
        <v>476.27</v>
      </c>
      <c r="AO51" s="70">
        <v>475.24</v>
      </c>
      <c r="AP51" s="70">
        <v>474.2</v>
      </c>
      <c r="AQ51" s="70">
        <v>473.16</v>
      </c>
      <c r="AR51" s="70">
        <v>472.13</v>
      </c>
      <c r="AS51" s="70">
        <v>471.09</v>
      </c>
      <c r="AT51" s="70">
        <v>470.05</v>
      </c>
      <c r="AU51" s="70">
        <v>469.02</v>
      </c>
      <c r="AV51" s="70">
        <v>467.98</v>
      </c>
      <c r="AW51" s="70">
        <v>466.94</v>
      </c>
      <c r="AX51" s="70">
        <v>465.91</v>
      </c>
      <c r="AY51" s="70">
        <v>464.87</v>
      </c>
      <c r="AZ51" s="70">
        <v>463.84</v>
      </c>
      <c r="BA51" s="70">
        <v>462.8</v>
      </c>
      <c r="BB51" s="70">
        <v>461.76</v>
      </c>
      <c r="BC51" s="70">
        <v>460.72</v>
      </c>
      <c r="BD51" s="70">
        <v>459.69</v>
      </c>
      <c r="BE51" s="70">
        <v>458.65</v>
      </c>
      <c r="BF51" s="70">
        <v>457.61</v>
      </c>
      <c r="BG51" s="70">
        <v>456.58</v>
      </c>
      <c r="BH51" s="70">
        <v>455.54</v>
      </c>
      <c r="BI51" s="70">
        <v>454.5</v>
      </c>
      <c r="BJ51" s="70">
        <v>453.46</v>
      </c>
      <c r="BK51" s="70">
        <v>452.43</v>
      </c>
      <c r="BL51" s="70">
        <v>451.39</v>
      </c>
      <c r="BM51" s="70">
        <v>450.35</v>
      </c>
      <c r="BN51" s="70">
        <v>449.31</v>
      </c>
      <c r="BO51" s="70">
        <v>448.28</v>
      </c>
      <c r="BP51" s="70">
        <v>447.24</v>
      </c>
      <c r="BQ51" s="70">
        <v>446.2</v>
      </c>
      <c r="BR51" s="70">
        <v>445.16</v>
      </c>
      <c r="BS51" s="70">
        <v>444.12</v>
      </c>
      <c r="BT51" s="70">
        <v>443.09</v>
      </c>
      <c r="BU51" s="70">
        <v>442.05</v>
      </c>
      <c r="BV51" s="70">
        <v>441.01</v>
      </c>
      <c r="BW51" s="70">
        <v>439.98</v>
      </c>
      <c r="BX51" s="70">
        <v>438.94</v>
      </c>
      <c r="BY51" s="70">
        <v>437.9</v>
      </c>
      <c r="BZ51" s="70">
        <v>436.86</v>
      </c>
      <c r="CA51" s="70">
        <v>435.83</v>
      </c>
      <c r="CB51" s="70">
        <v>434.79</v>
      </c>
      <c r="CC51" s="70">
        <v>433.76</v>
      </c>
      <c r="CD51" s="70">
        <v>432.72</v>
      </c>
      <c r="CE51" s="70">
        <v>431.68</v>
      </c>
      <c r="CF51" s="70">
        <v>430.65</v>
      </c>
      <c r="CG51" s="70">
        <v>429.61</v>
      </c>
      <c r="CH51" s="70">
        <v>428.58</v>
      </c>
      <c r="CI51" s="70">
        <v>427.54</v>
      </c>
      <c r="CJ51" s="70">
        <v>426.5</v>
      </c>
      <c r="CK51" s="70">
        <v>425.47</v>
      </c>
      <c r="CL51" s="70">
        <v>424.43</v>
      </c>
      <c r="CM51" s="70">
        <v>423.39</v>
      </c>
      <c r="CN51" s="70">
        <v>422.36</v>
      </c>
      <c r="CO51" s="70">
        <v>421.32</v>
      </c>
      <c r="CP51" s="70">
        <v>420.28</v>
      </c>
      <c r="CQ51" s="70">
        <v>419.25</v>
      </c>
      <c r="CR51" s="70">
        <v>418.21</v>
      </c>
      <c r="CS51" s="70">
        <v>417.17</v>
      </c>
      <c r="CT51" s="70">
        <v>416.14</v>
      </c>
      <c r="CU51" s="70">
        <v>415.1</v>
      </c>
      <c r="CV51" s="70">
        <v>414.07</v>
      </c>
      <c r="CW51" s="70">
        <v>413.03</v>
      </c>
      <c r="CX51" s="70">
        <v>412</v>
      </c>
      <c r="CY51" s="70">
        <v>410.96</v>
      </c>
      <c r="CZ51" s="70">
        <v>409.93</v>
      </c>
      <c r="DA51" s="70">
        <v>408.89</v>
      </c>
      <c r="DB51" s="70">
        <v>407.86</v>
      </c>
      <c r="DC51" s="70">
        <v>406.82</v>
      </c>
      <c r="DD51" s="70">
        <v>405.79</v>
      </c>
      <c r="DE51" s="70">
        <v>404.75</v>
      </c>
      <c r="DF51" s="70">
        <v>403.72</v>
      </c>
      <c r="DG51" s="70">
        <v>402.69</v>
      </c>
      <c r="DH51" s="70">
        <v>401.65</v>
      </c>
      <c r="DI51" s="70">
        <v>400.62</v>
      </c>
      <c r="DJ51" s="70">
        <v>399.59</v>
      </c>
      <c r="DK51" s="70">
        <v>398.55</v>
      </c>
      <c r="DL51" s="70">
        <v>397.52</v>
      </c>
      <c r="DM51" s="70">
        <v>396.49</v>
      </c>
      <c r="DN51" s="70">
        <v>395.45</v>
      </c>
      <c r="DO51" s="70">
        <v>394.42</v>
      </c>
      <c r="DP51" s="70">
        <v>393.39</v>
      </c>
      <c r="DQ51" s="70">
        <v>392.36</v>
      </c>
      <c r="DR51" s="70">
        <v>391.33</v>
      </c>
      <c r="DS51" s="70">
        <v>390.29</v>
      </c>
      <c r="DT51" s="70">
        <v>389.26</v>
      </c>
      <c r="DU51" s="70">
        <v>388.24</v>
      </c>
      <c r="DV51" s="70">
        <v>387.21</v>
      </c>
      <c r="DW51" s="70">
        <v>386.18</v>
      </c>
      <c r="DX51" s="70">
        <v>385.15</v>
      </c>
      <c r="DY51" s="70">
        <v>384.12</v>
      </c>
      <c r="DZ51" s="70">
        <v>383.1</v>
      </c>
      <c r="EA51" s="70">
        <v>382.07</v>
      </c>
      <c r="EB51" s="70">
        <v>381.04</v>
      </c>
      <c r="EC51" s="70">
        <v>380.02</v>
      </c>
      <c r="ED51" s="70">
        <v>378.99</v>
      </c>
      <c r="EE51" s="70">
        <v>377.97</v>
      </c>
      <c r="EF51" s="70">
        <v>376.94</v>
      </c>
      <c r="EG51" s="70">
        <v>375.92</v>
      </c>
      <c r="EH51" s="70">
        <v>374.9</v>
      </c>
      <c r="EI51" s="70">
        <v>373.88</v>
      </c>
      <c r="EJ51" s="70">
        <v>372.86</v>
      </c>
      <c r="EK51" s="70">
        <v>371.84</v>
      </c>
      <c r="EL51" s="70">
        <v>370.82</v>
      </c>
      <c r="EM51" s="70">
        <v>369.8</v>
      </c>
      <c r="EN51" s="70">
        <v>368.78</v>
      </c>
      <c r="EO51" s="70">
        <v>367.76</v>
      </c>
      <c r="EP51" s="70">
        <v>366.75</v>
      </c>
      <c r="EQ51" s="70">
        <v>365.73</v>
      </c>
      <c r="ER51" s="70">
        <v>364.71</v>
      </c>
      <c r="ES51" s="70">
        <v>363.7</v>
      </c>
      <c r="ET51" s="70">
        <v>362.68</v>
      </c>
      <c r="EU51" s="70">
        <v>361.67</v>
      </c>
      <c r="EV51" s="70">
        <v>360.66</v>
      </c>
      <c r="EW51" s="70">
        <v>359.64</v>
      </c>
      <c r="EX51" s="70">
        <v>358.63</v>
      </c>
      <c r="EY51" s="70">
        <v>357.62</v>
      </c>
      <c r="EZ51" s="70">
        <v>356.6</v>
      </c>
      <c r="FA51" s="70">
        <v>355.59</v>
      </c>
      <c r="FB51" s="70">
        <v>354.58</v>
      </c>
      <c r="FC51" s="70">
        <v>353.57</v>
      </c>
      <c r="FD51" s="70">
        <v>352.56</v>
      </c>
      <c r="FE51" s="70">
        <v>351.56</v>
      </c>
      <c r="FF51" s="70">
        <v>350.55</v>
      </c>
      <c r="FG51" s="70">
        <v>349.54</v>
      </c>
      <c r="FH51" s="70">
        <v>348.54</v>
      </c>
      <c r="FI51" s="70">
        <v>347.53</v>
      </c>
      <c r="FJ51" s="70">
        <v>346.53</v>
      </c>
      <c r="FK51" s="70">
        <v>345.52</v>
      </c>
      <c r="FL51" s="70">
        <v>344.52</v>
      </c>
      <c r="FM51" s="70">
        <v>343.51</v>
      </c>
      <c r="FN51" s="70">
        <v>342.51</v>
      </c>
      <c r="FO51" s="70">
        <v>341.51</v>
      </c>
      <c r="FP51" s="70">
        <v>340.51</v>
      </c>
      <c r="FQ51" s="70">
        <v>339.51</v>
      </c>
      <c r="FR51" s="70">
        <v>338.5</v>
      </c>
      <c r="FS51" s="70">
        <v>337.5</v>
      </c>
      <c r="FT51" s="70">
        <v>336.5</v>
      </c>
      <c r="FU51" s="70">
        <v>335.5</v>
      </c>
      <c r="FV51" s="70">
        <v>334.51</v>
      </c>
      <c r="FW51" s="70">
        <v>333.51</v>
      </c>
      <c r="FX51" s="70">
        <v>332.51</v>
      </c>
      <c r="FY51" s="70">
        <v>331.51</v>
      </c>
      <c r="FZ51" s="70">
        <v>330.51</v>
      </c>
      <c r="GA51" s="70">
        <v>329.52</v>
      </c>
      <c r="GB51" s="70">
        <v>328.52</v>
      </c>
      <c r="GC51" s="70">
        <v>327.51</v>
      </c>
      <c r="GD51" s="70">
        <v>326.52999999999997</v>
      </c>
      <c r="GE51" s="70">
        <v>325.54000000000002</v>
      </c>
      <c r="GF51" s="70">
        <v>324.54000000000002</v>
      </c>
      <c r="GG51" s="70">
        <v>323.54000000000002</v>
      </c>
      <c r="GH51" s="70">
        <v>322.56</v>
      </c>
      <c r="GI51" s="70">
        <v>321.56</v>
      </c>
      <c r="GJ51" s="70">
        <v>320.57</v>
      </c>
      <c r="GK51" s="70">
        <v>319.57</v>
      </c>
      <c r="GL51" s="70">
        <v>318.58999999999997</v>
      </c>
      <c r="GM51" s="70">
        <v>317.60000000000002</v>
      </c>
      <c r="GN51" s="70">
        <v>316.62</v>
      </c>
      <c r="GO51" s="70">
        <v>315.63</v>
      </c>
      <c r="GP51" s="70">
        <v>314.64999999999998</v>
      </c>
      <c r="GQ51" s="70">
        <v>313.67</v>
      </c>
      <c r="GR51" s="70">
        <v>312.68</v>
      </c>
      <c r="GS51" s="70">
        <v>311.7</v>
      </c>
      <c r="GT51" s="70">
        <v>310.72000000000003</v>
      </c>
      <c r="GU51" s="70">
        <v>309.74</v>
      </c>
      <c r="GV51" s="70">
        <v>308.76</v>
      </c>
      <c r="GW51" s="70">
        <v>307.77999999999997</v>
      </c>
      <c r="GX51" s="70">
        <v>306.81</v>
      </c>
      <c r="GY51" s="70">
        <v>305.82</v>
      </c>
      <c r="GZ51" s="70">
        <v>304.85000000000002</v>
      </c>
      <c r="HA51" s="70">
        <v>303.88</v>
      </c>
      <c r="HB51" s="70">
        <v>302.89999999999998</v>
      </c>
      <c r="HC51" s="70">
        <v>301.93</v>
      </c>
      <c r="HD51" s="70">
        <v>300.95999999999998</v>
      </c>
      <c r="HE51" s="70">
        <v>299.98</v>
      </c>
      <c r="HF51" s="70">
        <v>299.01</v>
      </c>
      <c r="HG51" s="70">
        <v>298.04000000000002</v>
      </c>
      <c r="HH51" s="70">
        <v>297.07</v>
      </c>
      <c r="HI51" s="70">
        <v>296.10000000000002</v>
      </c>
      <c r="HJ51" s="70">
        <v>295.13</v>
      </c>
      <c r="HK51" s="70">
        <v>294.16000000000003</v>
      </c>
      <c r="HL51" s="70">
        <v>293.2</v>
      </c>
      <c r="HM51" s="70">
        <v>292.24</v>
      </c>
      <c r="HN51" s="70">
        <v>291.27999999999997</v>
      </c>
      <c r="HO51" s="70">
        <v>290.32</v>
      </c>
      <c r="HP51" s="70">
        <v>289.37</v>
      </c>
      <c r="HQ51" s="70">
        <v>288.41000000000003</v>
      </c>
      <c r="HR51" s="70">
        <v>287.45</v>
      </c>
      <c r="HS51" s="70">
        <v>286.5</v>
      </c>
      <c r="HT51" s="70">
        <v>285.54000000000002</v>
      </c>
      <c r="HU51" s="70">
        <v>284.58999999999997</v>
      </c>
      <c r="HV51" s="70">
        <v>283.63</v>
      </c>
      <c r="HW51" s="70">
        <v>282.68</v>
      </c>
      <c r="HX51" s="70">
        <v>281.73</v>
      </c>
      <c r="HY51" s="70">
        <v>280.77999999999997</v>
      </c>
      <c r="HZ51" s="70">
        <v>279.82</v>
      </c>
      <c r="IA51" s="70">
        <v>278.88</v>
      </c>
      <c r="IB51" s="70">
        <v>277.93</v>
      </c>
      <c r="IC51" s="70">
        <v>276.99</v>
      </c>
      <c r="ID51" s="70">
        <v>276.04000000000002</v>
      </c>
      <c r="IE51" s="70">
        <v>275.08999999999997</v>
      </c>
      <c r="IF51" s="70">
        <v>274.14999999999998</v>
      </c>
      <c r="IG51" s="70">
        <v>273.2</v>
      </c>
      <c r="IH51" s="70">
        <v>272.26</v>
      </c>
      <c r="II51" s="70">
        <v>271.32</v>
      </c>
      <c r="IJ51" s="70">
        <v>270.37</v>
      </c>
      <c r="IK51" s="70">
        <v>269.43</v>
      </c>
      <c r="IL51" s="70">
        <v>268.49</v>
      </c>
      <c r="IM51" s="70">
        <v>267.56</v>
      </c>
      <c r="IN51" s="70">
        <v>266.62</v>
      </c>
      <c r="IO51" s="70">
        <v>265.68</v>
      </c>
      <c r="IP51" s="70">
        <v>264.74</v>
      </c>
      <c r="IQ51" s="70">
        <v>263.81</v>
      </c>
      <c r="IR51" s="70">
        <v>262.87</v>
      </c>
      <c r="IS51" s="70">
        <v>261.94</v>
      </c>
      <c r="IT51" s="70">
        <v>261.01</v>
      </c>
      <c r="IU51" s="70">
        <v>260.07</v>
      </c>
      <c r="IV51" s="70">
        <v>259.14999999999998</v>
      </c>
      <c r="IW51" s="70">
        <v>258.23</v>
      </c>
      <c r="IX51" s="70">
        <v>257.31</v>
      </c>
      <c r="IY51" s="70">
        <v>256.39</v>
      </c>
      <c r="IZ51" s="70">
        <v>255.47</v>
      </c>
      <c r="JA51" s="70">
        <v>254.56</v>
      </c>
      <c r="JB51" s="70">
        <v>253.64</v>
      </c>
      <c r="JC51" s="70">
        <v>252.72</v>
      </c>
      <c r="JD51" s="70">
        <v>251.81</v>
      </c>
      <c r="JE51" s="70">
        <v>250.89</v>
      </c>
      <c r="JF51" s="70">
        <v>249.98</v>
      </c>
      <c r="JG51" s="70">
        <v>249.07</v>
      </c>
      <c r="JH51" s="70">
        <v>248.16</v>
      </c>
      <c r="JI51" s="70">
        <v>247.25</v>
      </c>
      <c r="JJ51" s="70">
        <v>246.34</v>
      </c>
      <c r="JK51" s="70">
        <v>245.43</v>
      </c>
      <c r="JL51" s="70">
        <v>244.52</v>
      </c>
      <c r="JM51" s="70">
        <v>243.62</v>
      </c>
      <c r="JN51" s="70">
        <v>242.71</v>
      </c>
      <c r="JO51" s="70">
        <v>241.81</v>
      </c>
      <c r="JP51" s="70">
        <v>240.9</v>
      </c>
      <c r="JQ51" s="70">
        <v>240</v>
      </c>
      <c r="JR51" s="70">
        <v>239.09</v>
      </c>
      <c r="JS51" s="70">
        <v>238.19</v>
      </c>
      <c r="JT51" s="70">
        <v>237.28</v>
      </c>
      <c r="JU51" s="70">
        <v>236.38</v>
      </c>
      <c r="JV51" s="70">
        <v>235.47</v>
      </c>
      <c r="JW51" s="70">
        <v>234.56</v>
      </c>
      <c r="JX51" s="70">
        <v>233.65</v>
      </c>
      <c r="JY51" s="70">
        <v>232.75</v>
      </c>
      <c r="JZ51" s="70">
        <v>231.84</v>
      </c>
      <c r="KA51" s="70">
        <v>230.94</v>
      </c>
      <c r="KB51" s="70">
        <v>230.04</v>
      </c>
      <c r="KC51" s="70">
        <v>229.13</v>
      </c>
      <c r="KD51" s="70">
        <v>228.23</v>
      </c>
      <c r="KE51" s="70">
        <v>227.33</v>
      </c>
      <c r="KF51" s="70">
        <v>226.43</v>
      </c>
      <c r="KG51" s="70">
        <v>225.53</v>
      </c>
      <c r="KH51" s="70">
        <v>224.64</v>
      </c>
      <c r="KI51" s="70">
        <v>223.74</v>
      </c>
      <c r="KJ51" s="70">
        <v>222.84</v>
      </c>
      <c r="KK51" s="70">
        <v>221.95</v>
      </c>
      <c r="KL51" s="70">
        <v>221.05</v>
      </c>
      <c r="KM51" s="70">
        <v>220.16</v>
      </c>
      <c r="KN51" s="70">
        <v>219.26</v>
      </c>
      <c r="KO51" s="70">
        <v>218.37</v>
      </c>
      <c r="KP51" s="70">
        <v>217.48</v>
      </c>
      <c r="KQ51" s="70">
        <v>216.59</v>
      </c>
      <c r="KR51" s="74">
        <f t="shared" si="29"/>
        <v>218.27</v>
      </c>
      <c r="KS51" s="74">
        <f t="shared" si="29"/>
        <v>217.48</v>
      </c>
      <c r="KT51" s="74">
        <f t="shared" si="29"/>
        <v>216.66</v>
      </c>
      <c r="KU51" s="74">
        <f t="shared" si="29"/>
        <v>215.87</v>
      </c>
      <c r="KV51" s="74">
        <f t="shared" si="29"/>
        <v>215.09</v>
      </c>
      <c r="KW51" s="74">
        <f t="shared" si="29"/>
        <v>214.3</v>
      </c>
      <c r="KX51" s="74">
        <f t="shared" si="29"/>
        <v>213.51</v>
      </c>
      <c r="KY51" s="74">
        <f t="shared" si="29"/>
        <v>212.73</v>
      </c>
      <c r="KZ51" s="74">
        <f t="shared" si="29"/>
        <v>211.94</v>
      </c>
      <c r="LA51" s="74">
        <f t="shared" si="29"/>
        <v>211.16</v>
      </c>
      <c r="LB51" s="74">
        <f t="shared" si="29"/>
        <v>210.38</v>
      </c>
      <c r="LC51" s="74">
        <f t="shared" si="29"/>
        <v>209.6</v>
      </c>
      <c r="LD51" s="74">
        <f t="shared" si="29"/>
        <v>208.82</v>
      </c>
      <c r="LE51" s="74">
        <f t="shared" si="29"/>
        <v>208.04</v>
      </c>
      <c r="LF51" s="74">
        <f t="shared" si="29"/>
        <v>207.27</v>
      </c>
      <c r="LG51" s="74">
        <f t="shared" si="28"/>
        <v>206.5</v>
      </c>
      <c r="LH51" s="74">
        <f t="shared" si="28"/>
        <v>205.72</v>
      </c>
      <c r="LI51" s="74">
        <f t="shared" si="28"/>
        <v>204.95</v>
      </c>
      <c r="LJ51" s="74">
        <f t="shared" si="28"/>
        <v>204.18</v>
      </c>
      <c r="LK51" s="74">
        <f t="shared" si="28"/>
        <v>203.41</v>
      </c>
      <c r="LL51" s="74">
        <f t="shared" si="28"/>
        <v>202.64</v>
      </c>
      <c r="LM51" s="74">
        <f t="shared" si="28"/>
        <v>201.88</v>
      </c>
      <c r="LN51" s="74">
        <f t="shared" si="28"/>
        <v>201.11</v>
      </c>
      <c r="LO51" s="74">
        <f t="shared" si="28"/>
        <v>200.35</v>
      </c>
      <c r="LP51" s="74">
        <f t="shared" si="28"/>
        <v>199.59</v>
      </c>
      <c r="LQ51" s="74">
        <f t="shared" si="28"/>
        <v>198.83</v>
      </c>
      <c r="LR51" s="74">
        <f t="shared" si="28"/>
        <v>198.07</v>
      </c>
      <c r="LS51" s="74">
        <f t="shared" si="28"/>
        <v>197.31</v>
      </c>
      <c r="LT51" s="74">
        <f t="shared" si="28"/>
        <v>196.56</v>
      </c>
      <c r="LU51" s="74">
        <f t="shared" si="28"/>
        <v>195.81</v>
      </c>
      <c r="LV51" s="74">
        <f t="shared" si="28"/>
        <v>195.05</v>
      </c>
      <c r="LW51" s="74">
        <f t="shared" si="28"/>
        <v>194.3</v>
      </c>
      <c r="LX51" s="74">
        <f t="shared" si="30"/>
        <v>193.55</v>
      </c>
      <c r="LY51" s="74">
        <f t="shared" si="30"/>
        <v>192.8</v>
      </c>
      <c r="LZ51" s="74">
        <f t="shared" si="30"/>
        <v>192.06</v>
      </c>
      <c r="MA51" s="74">
        <f t="shared" si="30"/>
        <v>191.31</v>
      </c>
      <c r="MB51" s="74">
        <f t="shared" si="30"/>
        <v>190.57</v>
      </c>
      <c r="MC51" s="74">
        <f t="shared" si="30"/>
        <v>189.83</v>
      </c>
      <c r="MD51" s="76">
        <f t="shared" si="30"/>
        <v>189.09</v>
      </c>
      <c r="ME51" s="77">
        <f t="shared" si="30"/>
        <v>188.36</v>
      </c>
      <c r="MF51" s="77">
        <f t="shared" si="30"/>
        <v>187.62</v>
      </c>
      <c r="MG51" s="77">
        <f t="shared" si="30"/>
        <v>186.89</v>
      </c>
      <c r="MH51" s="77">
        <f t="shared" si="30"/>
        <v>186.15</v>
      </c>
      <c r="MI51" s="77">
        <f t="shared" si="30"/>
        <v>185.42</v>
      </c>
      <c r="MJ51" s="77">
        <f t="shared" si="30"/>
        <v>184.69</v>
      </c>
      <c r="MK51" s="77">
        <f t="shared" si="30"/>
        <v>183.96</v>
      </c>
      <c r="ML51" s="77">
        <f t="shared" si="30"/>
        <v>183.24</v>
      </c>
      <c r="MM51" s="77">
        <f t="shared" si="30"/>
        <v>182.51</v>
      </c>
      <c r="MN51" s="77">
        <f t="shared" si="32"/>
        <v>181.79</v>
      </c>
      <c r="MO51" s="77">
        <f t="shared" si="32"/>
        <v>181.07</v>
      </c>
      <c r="MP51" s="77">
        <f t="shared" si="32"/>
        <v>180.35</v>
      </c>
      <c r="MQ51" s="77">
        <f t="shared" si="32"/>
        <v>179.64</v>
      </c>
      <c r="MR51" s="77">
        <f t="shared" si="32"/>
        <v>178.92</v>
      </c>
      <c r="MS51" s="77">
        <f t="shared" si="32"/>
        <v>178.21</v>
      </c>
      <c r="MT51" s="77">
        <f t="shared" si="32"/>
        <v>177.49</v>
      </c>
      <c r="MU51" s="77">
        <f t="shared" si="32"/>
        <v>176.78</v>
      </c>
      <c r="MV51" s="77">
        <f t="shared" si="32"/>
        <v>176.07</v>
      </c>
      <c r="MW51" s="77">
        <f t="shared" si="32"/>
        <v>175.37</v>
      </c>
      <c r="MX51" s="77">
        <f t="shared" si="32"/>
        <v>174.66</v>
      </c>
      <c r="MY51" s="77">
        <f t="shared" si="32"/>
        <v>173.96</v>
      </c>
    </row>
    <row r="52" spans="1:363" ht="15.6" x14ac:dyDescent="0.3">
      <c r="A52" s="67" t="s">
        <v>6</v>
      </c>
      <c r="B52" s="72">
        <v>2062</v>
      </c>
      <c r="C52" s="70">
        <v>515.34</v>
      </c>
      <c r="D52" s="70">
        <v>514.30999999999995</v>
      </c>
      <c r="E52" s="70">
        <v>513.28</v>
      </c>
      <c r="F52" s="70">
        <v>512.24</v>
      </c>
      <c r="G52" s="70">
        <v>511.21</v>
      </c>
      <c r="H52" s="70">
        <v>510.17</v>
      </c>
      <c r="I52" s="70">
        <v>509.14</v>
      </c>
      <c r="J52" s="70">
        <v>508.1</v>
      </c>
      <c r="K52" s="70">
        <v>507.07</v>
      </c>
      <c r="L52" s="70">
        <v>506.04</v>
      </c>
      <c r="M52" s="70">
        <v>505</v>
      </c>
      <c r="N52" s="70">
        <v>503.97</v>
      </c>
      <c r="O52" s="70">
        <v>502.93</v>
      </c>
      <c r="P52" s="70">
        <v>501.9</v>
      </c>
      <c r="Q52" s="70">
        <v>500.86</v>
      </c>
      <c r="R52" s="70">
        <v>499.83</v>
      </c>
      <c r="S52" s="70">
        <v>498.79</v>
      </c>
      <c r="T52" s="70">
        <v>497.75</v>
      </c>
      <c r="U52" s="70">
        <v>496.72</v>
      </c>
      <c r="V52" s="70">
        <v>495.68</v>
      </c>
      <c r="W52" s="70">
        <v>494.65</v>
      </c>
      <c r="X52" s="70">
        <v>493.61</v>
      </c>
      <c r="Y52" s="70">
        <v>492.58</v>
      </c>
      <c r="Z52" s="70">
        <v>491.54</v>
      </c>
      <c r="AA52" s="70">
        <v>490.51</v>
      </c>
      <c r="AB52" s="70">
        <v>489.47</v>
      </c>
      <c r="AC52" s="70">
        <v>488.44</v>
      </c>
      <c r="AD52" s="70">
        <v>487.4</v>
      </c>
      <c r="AE52" s="70">
        <v>486.36</v>
      </c>
      <c r="AF52" s="70">
        <v>485.33</v>
      </c>
      <c r="AG52" s="70">
        <v>484.29</v>
      </c>
      <c r="AH52" s="70">
        <v>483.26</v>
      </c>
      <c r="AI52" s="70">
        <v>482.22</v>
      </c>
      <c r="AJ52" s="70">
        <v>481.18</v>
      </c>
      <c r="AK52" s="70">
        <v>480.15</v>
      </c>
      <c r="AL52" s="70">
        <v>479.11</v>
      </c>
      <c r="AM52" s="70">
        <v>478.08</v>
      </c>
      <c r="AN52" s="70">
        <v>477.04</v>
      </c>
      <c r="AO52" s="70">
        <v>476</v>
      </c>
      <c r="AP52" s="70">
        <v>474.97</v>
      </c>
      <c r="AQ52" s="70">
        <v>473.93</v>
      </c>
      <c r="AR52" s="70">
        <v>472.89</v>
      </c>
      <c r="AS52" s="70">
        <v>471.86</v>
      </c>
      <c r="AT52" s="70">
        <v>470.82</v>
      </c>
      <c r="AU52" s="70">
        <v>469.78</v>
      </c>
      <c r="AV52" s="70">
        <v>468.75</v>
      </c>
      <c r="AW52" s="70">
        <v>467.71</v>
      </c>
      <c r="AX52" s="70">
        <v>466.67</v>
      </c>
      <c r="AY52" s="70">
        <v>465.64</v>
      </c>
      <c r="AZ52" s="70">
        <v>464.6</v>
      </c>
      <c r="BA52" s="70">
        <v>463.56</v>
      </c>
      <c r="BB52" s="70">
        <v>462.53</v>
      </c>
      <c r="BC52" s="70">
        <v>461.49</v>
      </c>
      <c r="BD52" s="70">
        <v>460.45</v>
      </c>
      <c r="BE52" s="70">
        <v>459.42</v>
      </c>
      <c r="BF52" s="70">
        <v>458.38</v>
      </c>
      <c r="BG52" s="70">
        <v>457.34</v>
      </c>
      <c r="BH52" s="70">
        <v>456.31</v>
      </c>
      <c r="BI52" s="70">
        <v>455.27</v>
      </c>
      <c r="BJ52" s="70">
        <v>454.23</v>
      </c>
      <c r="BK52" s="70">
        <v>453.19</v>
      </c>
      <c r="BL52" s="70">
        <v>452.16</v>
      </c>
      <c r="BM52" s="70">
        <v>451.12</v>
      </c>
      <c r="BN52" s="70">
        <v>450.08</v>
      </c>
      <c r="BO52" s="70">
        <v>449.04</v>
      </c>
      <c r="BP52" s="70">
        <v>448</v>
      </c>
      <c r="BQ52" s="70">
        <v>446.97</v>
      </c>
      <c r="BR52" s="70">
        <v>445.93</v>
      </c>
      <c r="BS52" s="70">
        <v>444.89</v>
      </c>
      <c r="BT52" s="70">
        <v>443.85</v>
      </c>
      <c r="BU52" s="70">
        <v>442.82</v>
      </c>
      <c r="BV52" s="70">
        <v>441.78</v>
      </c>
      <c r="BW52" s="70">
        <v>440.74</v>
      </c>
      <c r="BX52" s="70">
        <v>439.71</v>
      </c>
      <c r="BY52" s="70">
        <v>438.67</v>
      </c>
      <c r="BZ52" s="70">
        <v>437.63</v>
      </c>
      <c r="CA52" s="70">
        <v>436.59</v>
      </c>
      <c r="CB52" s="70">
        <v>435.56</v>
      </c>
      <c r="CC52" s="70">
        <v>434.52</v>
      </c>
      <c r="CD52" s="70">
        <v>433.49</v>
      </c>
      <c r="CE52" s="70">
        <v>432.45</v>
      </c>
      <c r="CF52" s="70">
        <v>431.41</v>
      </c>
      <c r="CG52" s="70">
        <v>430.38</v>
      </c>
      <c r="CH52" s="70">
        <v>429.34</v>
      </c>
      <c r="CI52" s="70">
        <v>428.31</v>
      </c>
      <c r="CJ52" s="70">
        <v>427.27</v>
      </c>
      <c r="CK52" s="70">
        <v>426.23</v>
      </c>
      <c r="CL52" s="70">
        <v>425.2</v>
      </c>
      <c r="CM52" s="70">
        <v>424.16</v>
      </c>
      <c r="CN52" s="70">
        <v>423.12</v>
      </c>
      <c r="CO52" s="70">
        <v>422.09</v>
      </c>
      <c r="CP52" s="70">
        <v>421.05</v>
      </c>
      <c r="CQ52" s="70">
        <v>420.01</v>
      </c>
      <c r="CR52" s="70">
        <v>418.98</v>
      </c>
      <c r="CS52" s="70">
        <v>417.94</v>
      </c>
      <c r="CT52" s="70">
        <v>416.9</v>
      </c>
      <c r="CU52" s="70">
        <v>415.87</v>
      </c>
      <c r="CV52" s="70">
        <v>414.83</v>
      </c>
      <c r="CW52" s="70">
        <v>413.8</v>
      </c>
      <c r="CX52" s="70">
        <v>412.76</v>
      </c>
      <c r="CY52" s="70">
        <v>411.73</v>
      </c>
      <c r="CZ52" s="70">
        <v>410.69</v>
      </c>
      <c r="DA52" s="70">
        <v>409.66</v>
      </c>
      <c r="DB52" s="70">
        <v>408.62</v>
      </c>
      <c r="DC52" s="70">
        <v>407.59</v>
      </c>
      <c r="DD52" s="70">
        <v>406.55</v>
      </c>
      <c r="DE52" s="70">
        <v>405.52</v>
      </c>
      <c r="DF52" s="70">
        <v>404.48</v>
      </c>
      <c r="DG52" s="70">
        <v>403.45</v>
      </c>
      <c r="DH52" s="70">
        <v>402.42</v>
      </c>
      <c r="DI52" s="70">
        <v>401.38</v>
      </c>
      <c r="DJ52" s="70">
        <v>400.35</v>
      </c>
      <c r="DK52" s="70">
        <v>399.32</v>
      </c>
      <c r="DL52" s="70">
        <v>398.28</v>
      </c>
      <c r="DM52" s="70">
        <v>397.25</v>
      </c>
      <c r="DN52" s="70">
        <v>396.22</v>
      </c>
      <c r="DO52" s="70">
        <v>395.19</v>
      </c>
      <c r="DP52" s="70">
        <v>394.15</v>
      </c>
      <c r="DQ52" s="70">
        <v>393.12</v>
      </c>
      <c r="DR52" s="70">
        <v>392.09</v>
      </c>
      <c r="DS52" s="70">
        <v>391.06</v>
      </c>
      <c r="DT52" s="70">
        <v>390.03</v>
      </c>
      <c r="DU52" s="70">
        <v>389</v>
      </c>
      <c r="DV52" s="70">
        <v>387.97</v>
      </c>
      <c r="DW52" s="70">
        <v>386.94</v>
      </c>
      <c r="DX52" s="70">
        <v>385.91</v>
      </c>
      <c r="DY52" s="70">
        <v>384.89</v>
      </c>
      <c r="DZ52" s="70">
        <v>383.86</v>
      </c>
      <c r="EA52" s="70">
        <v>382.83</v>
      </c>
      <c r="EB52" s="70">
        <v>381.8</v>
      </c>
      <c r="EC52" s="70">
        <v>380.78</v>
      </c>
      <c r="ED52" s="70">
        <v>379.75</v>
      </c>
      <c r="EE52" s="70">
        <v>378.73</v>
      </c>
      <c r="EF52" s="70">
        <v>377.7</v>
      </c>
      <c r="EG52" s="70">
        <v>376.68</v>
      </c>
      <c r="EH52" s="70">
        <v>375.66</v>
      </c>
      <c r="EI52" s="70">
        <v>374.64</v>
      </c>
      <c r="EJ52" s="70">
        <v>373.62</v>
      </c>
      <c r="EK52" s="70">
        <v>372.6</v>
      </c>
      <c r="EL52" s="70">
        <v>371.58</v>
      </c>
      <c r="EM52" s="70">
        <v>370.56</v>
      </c>
      <c r="EN52" s="70">
        <v>369.54</v>
      </c>
      <c r="EO52" s="70">
        <v>368.52</v>
      </c>
      <c r="EP52" s="70">
        <v>367.5</v>
      </c>
      <c r="EQ52" s="70">
        <v>366.48</v>
      </c>
      <c r="ER52" s="70">
        <v>365.47</v>
      </c>
      <c r="ES52" s="70">
        <v>364.45</v>
      </c>
      <c r="ET52" s="70">
        <v>363.44</v>
      </c>
      <c r="EU52" s="70">
        <v>362.43</v>
      </c>
      <c r="EV52" s="70">
        <v>361.41</v>
      </c>
      <c r="EW52" s="70">
        <v>360.4</v>
      </c>
      <c r="EX52" s="70">
        <v>359.38</v>
      </c>
      <c r="EY52" s="70">
        <v>358.37</v>
      </c>
      <c r="EZ52" s="70">
        <v>357.36</v>
      </c>
      <c r="FA52" s="70">
        <v>356.35</v>
      </c>
      <c r="FB52" s="70">
        <v>355.33</v>
      </c>
      <c r="FC52" s="70">
        <v>354.32</v>
      </c>
      <c r="FD52" s="70">
        <v>353.31</v>
      </c>
      <c r="FE52" s="70">
        <v>352.31</v>
      </c>
      <c r="FF52" s="70">
        <v>351.3</v>
      </c>
      <c r="FG52" s="70">
        <v>350.29</v>
      </c>
      <c r="FH52" s="70">
        <v>349.29</v>
      </c>
      <c r="FI52" s="70">
        <v>348.28</v>
      </c>
      <c r="FJ52" s="70">
        <v>347.28</v>
      </c>
      <c r="FK52" s="70">
        <v>346.27</v>
      </c>
      <c r="FL52" s="70">
        <v>345.27</v>
      </c>
      <c r="FM52" s="70">
        <v>344.26</v>
      </c>
      <c r="FN52" s="70">
        <v>343.26</v>
      </c>
      <c r="FO52" s="70">
        <v>342.26</v>
      </c>
      <c r="FP52" s="70">
        <v>341.25</v>
      </c>
      <c r="FQ52" s="70">
        <v>340.25</v>
      </c>
      <c r="FR52" s="70">
        <v>339.25</v>
      </c>
      <c r="FS52" s="70">
        <v>338.25</v>
      </c>
      <c r="FT52" s="70">
        <v>337.25</v>
      </c>
      <c r="FU52" s="70">
        <v>336.25</v>
      </c>
      <c r="FV52" s="70">
        <v>335.25</v>
      </c>
      <c r="FW52" s="70">
        <v>334.25</v>
      </c>
      <c r="FX52" s="70">
        <v>333.25</v>
      </c>
      <c r="FY52" s="70">
        <v>332.25</v>
      </c>
      <c r="FZ52" s="70">
        <v>331.25</v>
      </c>
      <c r="GA52" s="70">
        <v>330.26</v>
      </c>
      <c r="GB52" s="70">
        <v>329.26</v>
      </c>
      <c r="GC52" s="70">
        <v>328.27</v>
      </c>
      <c r="GD52" s="70">
        <v>327.26</v>
      </c>
      <c r="GE52" s="70">
        <v>326.27999999999997</v>
      </c>
      <c r="GF52" s="70">
        <v>325.27999999999997</v>
      </c>
      <c r="GG52" s="70">
        <v>324.29000000000002</v>
      </c>
      <c r="GH52" s="70">
        <v>323.29000000000002</v>
      </c>
      <c r="GI52" s="70">
        <v>322.29000000000002</v>
      </c>
      <c r="GJ52" s="70">
        <v>321.31</v>
      </c>
      <c r="GK52" s="70">
        <v>320.32</v>
      </c>
      <c r="GL52" s="70">
        <v>319.32</v>
      </c>
      <c r="GM52" s="70">
        <v>318.32</v>
      </c>
      <c r="GN52" s="70">
        <v>317.35000000000002</v>
      </c>
      <c r="GO52" s="70">
        <v>316.37</v>
      </c>
      <c r="GP52" s="70">
        <v>315.38</v>
      </c>
      <c r="GQ52" s="70">
        <v>314.39999999999998</v>
      </c>
      <c r="GR52" s="70">
        <v>313.42</v>
      </c>
      <c r="GS52" s="70">
        <v>312.43</v>
      </c>
      <c r="GT52" s="70">
        <v>311.45</v>
      </c>
      <c r="GU52" s="70">
        <v>310.47000000000003</v>
      </c>
      <c r="GV52" s="70">
        <v>309.49</v>
      </c>
      <c r="GW52" s="70">
        <v>308.51</v>
      </c>
      <c r="GX52" s="70">
        <v>307.52999999999997</v>
      </c>
      <c r="GY52" s="70">
        <v>306.56</v>
      </c>
      <c r="GZ52" s="70">
        <v>305.57</v>
      </c>
      <c r="HA52" s="70">
        <v>304.60000000000002</v>
      </c>
      <c r="HB52" s="70">
        <v>303.63</v>
      </c>
      <c r="HC52" s="70">
        <v>302.64999999999998</v>
      </c>
      <c r="HD52" s="70">
        <v>301.68</v>
      </c>
      <c r="HE52" s="70">
        <v>300.7</v>
      </c>
      <c r="HF52" s="70">
        <v>299.73</v>
      </c>
      <c r="HG52" s="70">
        <v>298.76</v>
      </c>
      <c r="HH52" s="70">
        <v>297.79000000000002</v>
      </c>
      <c r="HI52" s="70">
        <v>296.82</v>
      </c>
      <c r="HJ52" s="70">
        <v>295.85000000000002</v>
      </c>
      <c r="HK52" s="70">
        <v>294.88</v>
      </c>
      <c r="HL52" s="70">
        <v>293.92</v>
      </c>
      <c r="HM52" s="70">
        <v>292.95999999999998</v>
      </c>
      <c r="HN52" s="70">
        <v>292</v>
      </c>
      <c r="HO52" s="70">
        <v>291.04000000000002</v>
      </c>
      <c r="HP52" s="70">
        <v>290.07</v>
      </c>
      <c r="HQ52" s="70">
        <v>289.12</v>
      </c>
      <c r="HR52" s="70">
        <v>288.16000000000003</v>
      </c>
      <c r="HS52" s="70">
        <v>287.20999999999998</v>
      </c>
      <c r="HT52" s="70">
        <v>286.25</v>
      </c>
      <c r="HU52" s="70">
        <v>285.29000000000002</v>
      </c>
      <c r="HV52" s="70">
        <v>284.33999999999997</v>
      </c>
      <c r="HW52" s="70">
        <v>283.39</v>
      </c>
      <c r="HX52" s="70">
        <v>282.44</v>
      </c>
      <c r="HY52" s="70">
        <v>281.49</v>
      </c>
      <c r="HZ52" s="70">
        <v>280.54000000000002</v>
      </c>
      <c r="IA52" s="70">
        <v>279.58999999999997</v>
      </c>
      <c r="IB52" s="70">
        <v>278.64</v>
      </c>
      <c r="IC52" s="70">
        <v>277.69</v>
      </c>
      <c r="ID52" s="70">
        <v>276.74</v>
      </c>
      <c r="IE52" s="70">
        <v>275.79000000000002</v>
      </c>
      <c r="IF52" s="70">
        <v>274.85000000000002</v>
      </c>
      <c r="IG52" s="70">
        <v>273.89999999999998</v>
      </c>
      <c r="IH52" s="70">
        <v>272.95999999999998</v>
      </c>
      <c r="II52" s="70">
        <v>272.01</v>
      </c>
      <c r="IJ52" s="70">
        <v>271.07</v>
      </c>
      <c r="IK52" s="70">
        <v>270.13</v>
      </c>
      <c r="IL52" s="70">
        <v>269.19</v>
      </c>
      <c r="IM52" s="70">
        <v>268.25</v>
      </c>
      <c r="IN52" s="70">
        <v>267.31</v>
      </c>
      <c r="IO52" s="70">
        <v>266.37</v>
      </c>
      <c r="IP52" s="70">
        <v>265.43</v>
      </c>
      <c r="IQ52" s="70">
        <v>264.5</v>
      </c>
      <c r="IR52" s="70">
        <v>263.56</v>
      </c>
      <c r="IS52" s="70">
        <v>262.63</v>
      </c>
      <c r="IT52" s="70">
        <v>261.69</v>
      </c>
      <c r="IU52" s="70">
        <v>260.76</v>
      </c>
      <c r="IV52" s="70">
        <v>259.82</v>
      </c>
      <c r="IW52" s="70">
        <v>258.91000000000003</v>
      </c>
      <c r="IX52" s="70">
        <v>257.99</v>
      </c>
      <c r="IY52" s="70">
        <v>257.07</v>
      </c>
      <c r="IZ52" s="70">
        <v>256.14999999999998</v>
      </c>
      <c r="JA52" s="70">
        <v>255.23</v>
      </c>
      <c r="JB52" s="70">
        <v>254.32</v>
      </c>
      <c r="JC52" s="70">
        <v>253.4</v>
      </c>
      <c r="JD52" s="70">
        <v>252.48</v>
      </c>
      <c r="JE52" s="70">
        <v>251.57</v>
      </c>
      <c r="JF52" s="70">
        <v>250.65</v>
      </c>
      <c r="JG52" s="70">
        <v>249.74</v>
      </c>
      <c r="JH52" s="70">
        <v>248.83</v>
      </c>
      <c r="JI52" s="70">
        <v>247.92</v>
      </c>
      <c r="JJ52" s="70">
        <v>247.01</v>
      </c>
      <c r="JK52" s="70">
        <v>246.1</v>
      </c>
      <c r="JL52" s="70">
        <v>245.19</v>
      </c>
      <c r="JM52" s="70">
        <v>244.28</v>
      </c>
      <c r="JN52" s="70">
        <v>243.37</v>
      </c>
      <c r="JO52" s="70">
        <v>242.47</v>
      </c>
      <c r="JP52" s="70">
        <v>241.56</v>
      </c>
      <c r="JQ52" s="70">
        <v>240.65</v>
      </c>
      <c r="JR52" s="70">
        <v>239.75</v>
      </c>
      <c r="JS52" s="70">
        <v>238.85</v>
      </c>
      <c r="JT52" s="70">
        <v>237.94</v>
      </c>
      <c r="JU52" s="70">
        <v>237.03</v>
      </c>
      <c r="JV52" s="70">
        <v>236.12</v>
      </c>
      <c r="JW52" s="70">
        <v>235.21</v>
      </c>
      <c r="JX52" s="70">
        <v>234.3</v>
      </c>
      <c r="JY52" s="70">
        <v>233.4</v>
      </c>
      <c r="JZ52" s="70">
        <v>232.49</v>
      </c>
      <c r="KA52" s="70">
        <v>231.58</v>
      </c>
      <c r="KB52" s="70">
        <v>230.68</v>
      </c>
      <c r="KC52" s="70">
        <v>229.78</v>
      </c>
      <c r="KD52" s="70">
        <v>228.87</v>
      </c>
      <c r="KE52" s="70">
        <v>227.97</v>
      </c>
      <c r="KF52" s="70">
        <v>227.07</v>
      </c>
      <c r="KG52" s="70">
        <v>226.17</v>
      </c>
      <c r="KH52" s="70">
        <v>225.27</v>
      </c>
      <c r="KI52" s="70">
        <v>224.37</v>
      </c>
      <c r="KJ52" s="70">
        <v>223.47</v>
      </c>
      <c r="KK52" s="70">
        <v>222.58</v>
      </c>
      <c r="KL52" s="70">
        <v>221.68</v>
      </c>
      <c r="KM52" s="70">
        <v>220.78</v>
      </c>
      <c r="KN52" s="70">
        <v>219.89</v>
      </c>
      <c r="KO52" s="70">
        <v>219</v>
      </c>
      <c r="KP52" s="70">
        <v>218.1</v>
      </c>
      <c r="KQ52" s="70">
        <v>217.21</v>
      </c>
      <c r="KR52" s="74">
        <f t="shared" si="29"/>
        <v>219.02</v>
      </c>
      <c r="KS52" s="74">
        <f t="shared" si="29"/>
        <v>218.23</v>
      </c>
      <c r="KT52" s="74">
        <f t="shared" si="29"/>
        <v>217.41</v>
      </c>
      <c r="KU52" s="74">
        <f t="shared" si="29"/>
        <v>216.62</v>
      </c>
      <c r="KV52" s="74">
        <f t="shared" si="29"/>
        <v>215.84</v>
      </c>
      <c r="KW52" s="74">
        <f t="shared" si="29"/>
        <v>215.05</v>
      </c>
      <c r="KX52" s="74">
        <f t="shared" si="29"/>
        <v>214.26</v>
      </c>
      <c r="KY52" s="74">
        <f t="shared" si="29"/>
        <v>213.48</v>
      </c>
      <c r="KZ52" s="74">
        <f t="shared" si="29"/>
        <v>212.69</v>
      </c>
      <c r="LA52" s="74">
        <f t="shared" si="29"/>
        <v>211.91</v>
      </c>
      <c r="LB52" s="74">
        <f t="shared" si="29"/>
        <v>211.13</v>
      </c>
      <c r="LC52" s="74">
        <f t="shared" si="29"/>
        <v>210.35</v>
      </c>
      <c r="LD52" s="74">
        <f t="shared" si="29"/>
        <v>209.57</v>
      </c>
      <c r="LE52" s="74">
        <f t="shared" si="29"/>
        <v>208.79</v>
      </c>
      <c r="LF52" s="74">
        <f t="shared" si="29"/>
        <v>208.02</v>
      </c>
      <c r="LG52" s="74">
        <f t="shared" si="29"/>
        <v>207.25</v>
      </c>
      <c r="LH52" s="74">
        <f t="shared" ref="LH52:LW56" si="33">LH51+0.75</f>
        <v>206.47</v>
      </c>
      <c r="LI52" s="74">
        <f t="shared" si="33"/>
        <v>205.7</v>
      </c>
      <c r="LJ52" s="74">
        <f t="shared" si="33"/>
        <v>204.93</v>
      </c>
      <c r="LK52" s="74">
        <f t="shared" si="33"/>
        <v>204.16</v>
      </c>
      <c r="LL52" s="74">
        <f t="shared" si="33"/>
        <v>203.39</v>
      </c>
      <c r="LM52" s="74">
        <f t="shared" si="33"/>
        <v>202.63</v>
      </c>
      <c r="LN52" s="74">
        <f t="shared" si="33"/>
        <v>201.86</v>
      </c>
      <c r="LO52" s="74">
        <f t="shared" si="33"/>
        <v>201.1</v>
      </c>
      <c r="LP52" s="74">
        <f t="shared" si="33"/>
        <v>200.34</v>
      </c>
      <c r="LQ52" s="74">
        <f t="shared" si="33"/>
        <v>199.58</v>
      </c>
      <c r="LR52" s="74">
        <f t="shared" si="33"/>
        <v>198.82</v>
      </c>
      <c r="LS52" s="74">
        <f t="shared" si="33"/>
        <v>198.06</v>
      </c>
      <c r="LT52" s="74">
        <f t="shared" si="33"/>
        <v>197.31</v>
      </c>
      <c r="LU52" s="74">
        <f t="shared" si="33"/>
        <v>196.56</v>
      </c>
      <c r="LV52" s="74">
        <f t="shared" si="33"/>
        <v>195.8</v>
      </c>
      <c r="LW52" s="74">
        <f t="shared" si="33"/>
        <v>195.05</v>
      </c>
      <c r="LX52" s="74">
        <f t="shared" si="30"/>
        <v>194.3</v>
      </c>
      <c r="LY52" s="74">
        <f t="shared" si="30"/>
        <v>193.55</v>
      </c>
      <c r="LZ52" s="74">
        <f t="shared" si="30"/>
        <v>192.81</v>
      </c>
      <c r="MA52" s="74">
        <f t="shared" si="30"/>
        <v>192.06</v>
      </c>
      <c r="MB52" s="74">
        <f t="shared" si="30"/>
        <v>191.32</v>
      </c>
      <c r="MC52" s="74">
        <f t="shared" si="30"/>
        <v>190.58</v>
      </c>
      <c r="MD52" s="76">
        <f t="shared" si="30"/>
        <v>189.84</v>
      </c>
      <c r="ME52" s="77">
        <f t="shared" si="30"/>
        <v>189.11</v>
      </c>
      <c r="MF52" s="77">
        <f t="shared" si="30"/>
        <v>188.37</v>
      </c>
      <c r="MG52" s="77">
        <f t="shared" si="30"/>
        <v>187.64</v>
      </c>
      <c r="MH52" s="77">
        <f t="shared" si="30"/>
        <v>186.9</v>
      </c>
      <c r="MI52" s="77">
        <f t="shared" si="30"/>
        <v>186.17</v>
      </c>
      <c r="MJ52" s="77">
        <f t="shared" si="30"/>
        <v>185.44</v>
      </c>
      <c r="MK52" s="77">
        <f t="shared" si="30"/>
        <v>184.71</v>
      </c>
      <c r="ML52" s="77">
        <f t="shared" si="30"/>
        <v>183.99</v>
      </c>
      <c r="MM52" s="77">
        <f t="shared" si="30"/>
        <v>183.26</v>
      </c>
      <c r="MN52" s="77">
        <f t="shared" si="32"/>
        <v>182.54</v>
      </c>
      <c r="MO52" s="77">
        <f t="shared" si="32"/>
        <v>181.82</v>
      </c>
      <c r="MP52" s="77">
        <f t="shared" si="32"/>
        <v>181.1</v>
      </c>
      <c r="MQ52" s="77">
        <f t="shared" si="32"/>
        <v>180.39</v>
      </c>
      <c r="MR52" s="77">
        <f t="shared" si="32"/>
        <v>179.67</v>
      </c>
      <c r="MS52" s="77">
        <f t="shared" si="32"/>
        <v>178.96</v>
      </c>
      <c r="MT52" s="77">
        <f t="shared" si="32"/>
        <v>178.24</v>
      </c>
      <c r="MU52" s="77">
        <f t="shared" si="32"/>
        <v>177.53</v>
      </c>
      <c r="MV52" s="77">
        <f t="shared" si="32"/>
        <v>176.82</v>
      </c>
      <c r="MW52" s="77">
        <f t="shared" si="32"/>
        <v>176.12</v>
      </c>
      <c r="MX52" s="77">
        <f t="shared" si="32"/>
        <v>175.41</v>
      </c>
      <c r="MY52" s="77">
        <f t="shared" si="32"/>
        <v>174.71</v>
      </c>
    </row>
    <row r="53" spans="1:363" ht="15.6" x14ac:dyDescent="0.3">
      <c r="A53" s="67" t="s">
        <v>6</v>
      </c>
      <c r="B53" s="72">
        <v>2063</v>
      </c>
      <c r="C53" s="70">
        <v>516.11</v>
      </c>
      <c r="D53" s="70">
        <v>515.07000000000005</v>
      </c>
      <c r="E53" s="70">
        <v>514.03</v>
      </c>
      <c r="F53" s="70">
        <v>513</v>
      </c>
      <c r="G53" s="70">
        <v>511.97</v>
      </c>
      <c r="H53" s="70">
        <v>510.93</v>
      </c>
      <c r="I53" s="70">
        <v>509.9</v>
      </c>
      <c r="J53" s="70">
        <v>508.86</v>
      </c>
      <c r="K53" s="70">
        <v>507.83</v>
      </c>
      <c r="L53" s="70">
        <v>506.79</v>
      </c>
      <c r="M53" s="70">
        <v>505.76</v>
      </c>
      <c r="N53" s="70">
        <v>504.72</v>
      </c>
      <c r="O53" s="70">
        <v>503.69</v>
      </c>
      <c r="P53" s="70">
        <v>502.65</v>
      </c>
      <c r="Q53" s="70">
        <v>501.62</v>
      </c>
      <c r="R53" s="70">
        <v>500.58</v>
      </c>
      <c r="S53" s="70">
        <v>499.55</v>
      </c>
      <c r="T53" s="70">
        <v>498.51</v>
      </c>
      <c r="U53" s="70">
        <v>497.48</v>
      </c>
      <c r="V53" s="70">
        <v>496.44</v>
      </c>
      <c r="W53" s="70">
        <v>495.41</v>
      </c>
      <c r="X53" s="70">
        <v>494.37</v>
      </c>
      <c r="Y53" s="70">
        <v>493.34</v>
      </c>
      <c r="Z53" s="70">
        <v>492.3</v>
      </c>
      <c r="AA53" s="70">
        <v>491.27</v>
      </c>
      <c r="AB53" s="70">
        <v>490.23</v>
      </c>
      <c r="AC53" s="70">
        <v>489.2</v>
      </c>
      <c r="AD53" s="70">
        <v>488.16</v>
      </c>
      <c r="AE53" s="70">
        <v>487.12</v>
      </c>
      <c r="AF53" s="70">
        <v>486.09</v>
      </c>
      <c r="AG53" s="70">
        <v>485.05</v>
      </c>
      <c r="AH53" s="70">
        <v>484.02</v>
      </c>
      <c r="AI53" s="70">
        <v>482.98</v>
      </c>
      <c r="AJ53" s="70">
        <v>481.94</v>
      </c>
      <c r="AK53" s="70">
        <v>480.91</v>
      </c>
      <c r="AL53" s="70">
        <v>479.87</v>
      </c>
      <c r="AM53" s="70">
        <v>478.84</v>
      </c>
      <c r="AN53" s="70">
        <v>477.8</v>
      </c>
      <c r="AO53" s="70">
        <v>476.76</v>
      </c>
      <c r="AP53" s="70">
        <v>475.73</v>
      </c>
      <c r="AQ53" s="70">
        <v>474.69</v>
      </c>
      <c r="AR53" s="70">
        <v>473.65</v>
      </c>
      <c r="AS53" s="70">
        <v>472.62</v>
      </c>
      <c r="AT53" s="70">
        <v>471.58</v>
      </c>
      <c r="AU53" s="70">
        <v>470.54</v>
      </c>
      <c r="AV53" s="70">
        <v>469.51</v>
      </c>
      <c r="AW53" s="70">
        <v>468.47</v>
      </c>
      <c r="AX53" s="70">
        <v>467.44</v>
      </c>
      <c r="AY53" s="70">
        <v>466.4</v>
      </c>
      <c r="AZ53" s="70">
        <v>465.36</v>
      </c>
      <c r="BA53" s="70">
        <v>464.33</v>
      </c>
      <c r="BB53" s="70">
        <v>463.29</v>
      </c>
      <c r="BC53" s="70">
        <v>462.25</v>
      </c>
      <c r="BD53" s="70">
        <v>461.21</v>
      </c>
      <c r="BE53" s="70">
        <v>460.18</v>
      </c>
      <c r="BF53" s="70">
        <v>459.14</v>
      </c>
      <c r="BG53" s="70">
        <v>458.1</v>
      </c>
      <c r="BH53" s="70">
        <v>457.07</v>
      </c>
      <c r="BI53" s="70">
        <v>456.03</v>
      </c>
      <c r="BJ53" s="70">
        <v>454.99</v>
      </c>
      <c r="BK53" s="70">
        <v>453.96</v>
      </c>
      <c r="BL53" s="70">
        <v>452.92</v>
      </c>
      <c r="BM53" s="70">
        <v>451.88</v>
      </c>
      <c r="BN53" s="70">
        <v>450.84</v>
      </c>
      <c r="BO53" s="70">
        <v>449.8</v>
      </c>
      <c r="BP53" s="70">
        <v>448.77</v>
      </c>
      <c r="BQ53" s="70">
        <v>447.73</v>
      </c>
      <c r="BR53" s="70">
        <v>446.69</v>
      </c>
      <c r="BS53" s="70">
        <v>445.65</v>
      </c>
      <c r="BT53" s="70">
        <v>444.62</v>
      </c>
      <c r="BU53" s="70">
        <v>443.58</v>
      </c>
      <c r="BV53" s="70">
        <v>442.54</v>
      </c>
      <c r="BW53" s="70">
        <v>441.5</v>
      </c>
      <c r="BX53" s="70">
        <v>440.47</v>
      </c>
      <c r="BY53" s="70">
        <v>439.43</v>
      </c>
      <c r="BZ53" s="70">
        <v>438.39</v>
      </c>
      <c r="CA53" s="70">
        <v>437.36</v>
      </c>
      <c r="CB53" s="70">
        <v>436.32</v>
      </c>
      <c r="CC53" s="70">
        <v>435.28</v>
      </c>
      <c r="CD53" s="70">
        <v>434.25</v>
      </c>
      <c r="CE53" s="70">
        <v>433.21</v>
      </c>
      <c r="CF53" s="70">
        <v>432.18</v>
      </c>
      <c r="CG53" s="70">
        <v>431.14</v>
      </c>
      <c r="CH53" s="70">
        <v>430.1</v>
      </c>
      <c r="CI53" s="70">
        <v>429.07</v>
      </c>
      <c r="CJ53" s="70">
        <v>428.03</v>
      </c>
      <c r="CK53" s="70">
        <v>426.99</v>
      </c>
      <c r="CL53" s="70">
        <v>425.96</v>
      </c>
      <c r="CM53" s="70">
        <v>424.92</v>
      </c>
      <c r="CN53" s="70">
        <v>423.88</v>
      </c>
      <c r="CO53" s="70">
        <v>422.85</v>
      </c>
      <c r="CP53" s="70">
        <v>421.81</v>
      </c>
      <c r="CQ53" s="70">
        <v>420.77</v>
      </c>
      <c r="CR53" s="70">
        <v>419.74</v>
      </c>
      <c r="CS53" s="70">
        <v>418.7</v>
      </c>
      <c r="CT53" s="70">
        <v>417.66</v>
      </c>
      <c r="CU53" s="70">
        <v>416.63</v>
      </c>
      <c r="CV53" s="70">
        <v>415.59</v>
      </c>
      <c r="CW53" s="70">
        <v>414.56</v>
      </c>
      <c r="CX53" s="70">
        <v>413.52</v>
      </c>
      <c r="CY53" s="70">
        <v>412.49</v>
      </c>
      <c r="CZ53" s="70">
        <v>411.45</v>
      </c>
      <c r="DA53" s="70">
        <v>410.42</v>
      </c>
      <c r="DB53" s="70">
        <v>409.38</v>
      </c>
      <c r="DC53" s="70">
        <v>408.35</v>
      </c>
      <c r="DD53" s="70">
        <v>407.31</v>
      </c>
      <c r="DE53" s="70">
        <v>406.28</v>
      </c>
      <c r="DF53" s="70">
        <v>405.24</v>
      </c>
      <c r="DG53" s="70">
        <v>404.21</v>
      </c>
      <c r="DH53" s="70">
        <v>403.18</v>
      </c>
      <c r="DI53" s="70">
        <v>402.14</v>
      </c>
      <c r="DJ53" s="70">
        <v>401.11</v>
      </c>
      <c r="DK53" s="70">
        <v>400.08</v>
      </c>
      <c r="DL53" s="70">
        <v>399.04</v>
      </c>
      <c r="DM53" s="70">
        <v>398.01</v>
      </c>
      <c r="DN53" s="70">
        <v>396.98</v>
      </c>
      <c r="DO53" s="70">
        <v>395.94</v>
      </c>
      <c r="DP53" s="70">
        <v>394.91</v>
      </c>
      <c r="DQ53" s="70">
        <v>393.88</v>
      </c>
      <c r="DR53" s="70">
        <v>392.85</v>
      </c>
      <c r="DS53" s="70">
        <v>391.81</v>
      </c>
      <c r="DT53" s="70">
        <v>390.78</v>
      </c>
      <c r="DU53" s="70">
        <v>389.76</v>
      </c>
      <c r="DV53" s="70">
        <v>388.73</v>
      </c>
      <c r="DW53" s="70">
        <v>387.7</v>
      </c>
      <c r="DX53" s="70">
        <v>386.67</v>
      </c>
      <c r="DY53" s="70">
        <v>385.64</v>
      </c>
      <c r="DZ53" s="70">
        <v>384.62</v>
      </c>
      <c r="EA53" s="70">
        <v>383.59</v>
      </c>
      <c r="EB53" s="70">
        <v>382.56</v>
      </c>
      <c r="EC53" s="70">
        <v>381.53</v>
      </c>
      <c r="ED53" s="70">
        <v>380.51</v>
      </c>
      <c r="EE53" s="70">
        <v>379.48</v>
      </c>
      <c r="EF53" s="70">
        <v>378.46</v>
      </c>
      <c r="EG53" s="70">
        <v>377.44</v>
      </c>
      <c r="EH53" s="70">
        <v>376.42</v>
      </c>
      <c r="EI53" s="70">
        <v>375.4</v>
      </c>
      <c r="EJ53" s="70">
        <v>374.37</v>
      </c>
      <c r="EK53" s="70">
        <v>373.35</v>
      </c>
      <c r="EL53" s="70">
        <v>372.33</v>
      </c>
      <c r="EM53" s="70">
        <v>371.31</v>
      </c>
      <c r="EN53" s="70">
        <v>370.29</v>
      </c>
      <c r="EO53" s="70">
        <v>369.27</v>
      </c>
      <c r="EP53" s="70">
        <v>368.25</v>
      </c>
      <c r="EQ53" s="70">
        <v>367.24</v>
      </c>
      <c r="ER53" s="70">
        <v>366.22</v>
      </c>
      <c r="ES53" s="70">
        <v>365.21</v>
      </c>
      <c r="ET53" s="70">
        <v>364.19</v>
      </c>
      <c r="EU53" s="70">
        <v>363.18</v>
      </c>
      <c r="EV53" s="70">
        <v>362.16</v>
      </c>
      <c r="EW53" s="70">
        <v>361.15</v>
      </c>
      <c r="EX53" s="70">
        <v>360.13</v>
      </c>
      <c r="EY53" s="70">
        <v>359.12</v>
      </c>
      <c r="EZ53" s="70">
        <v>358.11</v>
      </c>
      <c r="FA53" s="70">
        <v>357.09</v>
      </c>
      <c r="FB53" s="70">
        <v>356.08</v>
      </c>
      <c r="FC53" s="70">
        <v>355.07</v>
      </c>
      <c r="FD53" s="70">
        <v>354.06</v>
      </c>
      <c r="FE53" s="70">
        <v>353.05</v>
      </c>
      <c r="FF53" s="70">
        <v>352.05</v>
      </c>
      <c r="FG53" s="70">
        <v>351.04</v>
      </c>
      <c r="FH53" s="70">
        <v>350.03</v>
      </c>
      <c r="FI53" s="70">
        <v>349.03</v>
      </c>
      <c r="FJ53" s="70">
        <v>348.02</v>
      </c>
      <c r="FK53" s="70">
        <v>347.02</v>
      </c>
      <c r="FL53" s="70">
        <v>346.01</v>
      </c>
      <c r="FM53" s="70">
        <v>345.01</v>
      </c>
      <c r="FN53" s="70">
        <v>344</v>
      </c>
      <c r="FO53" s="70">
        <v>343</v>
      </c>
      <c r="FP53" s="70">
        <v>342</v>
      </c>
      <c r="FQ53" s="70">
        <v>340.99</v>
      </c>
      <c r="FR53" s="70">
        <v>339.99</v>
      </c>
      <c r="FS53" s="70">
        <v>338.99</v>
      </c>
      <c r="FT53" s="70">
        <v>337.99</v>
      </c>
      <c r="FU53" s="70">
        <v>336.99</v>
      </c>
      <c r="FV53" s="70">
        <v>335.99</v>
      </c>
      <c r="FW53" s="70">
        <v>334.99</v>
      </c>
      <c r="FX53" s="70">
        <v>333.99</v>
      </c>
      <c r="FY53" s="70">
        <v>332.99</v>
      </c>
      <c r="FZ53" s="70">
        <v>331.99</v>
      </c>
      <c r="GA53" s="70">
        <v>330.99</v>
      </c>
      <c r="GB53" s="70">
        <v>330</v>
      </c>
      <c r="GC53" s="70">
        <v>329</v>
      </c>
      <c r="GD53" s="70">
        <v>328.01</v>
      </c>
      <c r="GE53" s="70">
        <v>327.01</v>
      </c>
      <c r="GF53" s="70">
        <v>326.01</v>
      </c>
      <c r="GG53" s="70">
        <v>325.01</v>
      </c>
      <c r="GH53" s="70">
        <v>324.02999999999997</v>
      </c>
      <c r="GI53" s="70">
        <v>323.02999999999997</v>
      </c>
      <c r="GJ53" s="70">
        <v>322.04000000000002</v>
      </c>
      <c r="GK53" s="70">
        <v>321.04000000000002</v>
      </c>
      <c r="GL53" s="70">
        <v>320.06</v>
      </c>
      <c r="GM53" s="70">
        <v>319.07</v>
      </c>
      <c r="GN53" s="70">
        <v>318.07</v>
      </c>
      <c r="GO53" s="70">
        <v>317.08999999999997</v>
      </c>
      <c r="GP53" s="70">
        <v>316.10000000000002</v>
      </c>
      <c r="GQ53" s="70">
        <v>315.13</v>
      </c>
      <c r="GR53" s="70">
        <v>314.14</v>
      </c>
      <c r="GS53" s="70">
        <v>313.16000000000003</v>
      </c>
      <c r="GT53" s="70">
        <v>312.18</v>
      </c>
      <c r="GU53" s="70">
        <v>311.2</v>
      </c>
      <c r="GV53" s="70">
        <v>310.22000000000003</v>
      </c>
      <c r="GW53" s="70">
        <v>309.24</v>
      </c>
      <c r="GX53" s="70">
        <v>308.26</v>
      </c>
      <c r="GY53" s="70">
        <v>307.27999999999997</v>
      </c>
      <c r="GZ53" s="70">
        <v>306.29000000000002</v>
      </c>
      <c r="HA53" s="70">
        <v>305.32</v>
      </c>
      <c r="HB53" s="70">
        <v>304.35000000000002</v>
      </c>
      <c r="HC53" s="70">
        <v>303.37</v>
      </c>
      <c r="HD53" s="70">
        <v>302.39999999999998</v>
      </c>
      <c r="HE53" s="70">
        <v>301.42</v>
      </c>
      <c r="HF53" s="70">
        <v>300.45</v>
      </c>
      <c r="HG53" s="70">
        <v>299.48</v>
      </c>
      <c r="HH53" s="70">
        <v>298.5</v>
      </c>
      <c r="HI53" s="70">
        <v>297.52999999999997</v>
      </c>
      <c r="HJ53" s="70">
        <v>296.56</v>
      </c>
      <c r="HK53" s="70">
        <v>295.58999999999997</v>
      </c>
      <c r="HL53" s="70">
        <v>294.63</v>
      </c>
      <c r="HM53" s="70">
        <v>293.67</v>
      </c>
      <c r="HN53" s="70">
        <v>292.70999999999998</v>
      </c>
      <c r="HO53" s="70">
        <v>291.75</v>
      </c>
      <c r="HP53" s="70">
        <v>290.79000000000002</v>
      </c>
      <c r="HQ53" s="70">
        <v>289.82</v>
      </c>
      <c r="HR53" s="70">
        <v>288.87</v>
      </c>
      <c r="HS53" s="70">
        <v>287.91000000000003</v>
      </c>
      <c r="HT53" s="70">
        <v>286.95999999999998</v>
      </c>
      <c r="HU53" s="70">
        <v>286</v>
      </c>
      <c r="HV53" s="70">
        <v>285.04000000000002</v>
      </c>
      <c r="HW53" s="70">
        <v>284.08999999999997</v>
      </c>
      <c r="HX53" s="70">
        <v>283.14</v>
      </c>
      <c r="HY53" s="70">
        <v>282.19</v>
      </c>
      <c r="HZ53" s="70">
        <v>281.24</v>
      </c>
      <c r="IA53" s="70">
        <v>280.29000000000002</v>
      </c>
      <c r="IB53" s="70">
        <v>279.33999999999997</v>
      </c>
      <c r="IC53" s="70">
        <v>278.39</v>
      </c>
      <c r="ID53" s="70">
        <v>277.44</v>
      </c>
      <c r="IE53" s="70">
        <v>276.49</v>
      </c>
      <c r="IF53" s="70">
        <v>275.54000000000002</v>
      </c>
      <c r="IG53" s="70">
        <v>274.60000000000002</v>
      </c>
      <c r="IH53" s="70">
        <v>273.64999999999998</v>
      </c>
      <c r="II53" s="70">
        <v>272.7</v>
      </c>
      <c r="IJ53" s="70">
        <v>271.76</v>
      </c>
      <c r="IK53" s="70">
        <v>270.82</v>
      </c>
      <c r="IL53" s="70">
        <v>269.88</v>
      </c>
      <c r="IM53" s="70">
        <v>268.94</v>
      </c>
      <c r="IN53" s="70">
        <v>268</v>
      </c>
      <c r="IO53" s="70">
        <v>267.06</v>
      </c>
      <c r="IP53" s="70">
        <v>266.12</v>
      </c>
      <c r="IQ53" s="70">
        <v>265.18</v>
      </c>
      <c r="IR53" s="70">
        <v>264.24</v>
      </c>
      <c r="IS53" s="70">
        <v>263.31</v>
      </c>
      <c r="IT53" s="70">
        <v>262.37</v>
      </c>
      <c r="IU53" s="70">
        <v>261.44</v>
      </c>
      <c r="IV53" s="70">
        <v>260.51</v>
      </c>
      <c r="IW53" s="70">
        <v>259.58999999999997</v>
      </c>
      <c r="IX53" s="70">
        <v>258.67</v>
      </c>
      <c r="IY53" s="70">
        <v>257.75</v>
      </c>
      <c r="IZ53" s="70">
        <v>256.82</v>
      </c>
      <c r="JA53" s="70">
        <v>255.91</v>
      </c>
      <c r="JB53" s="70">
        <v>254.99</v>
      </c>
      <c r="JC53" s="70">
        <v>254.07</v>
      </c>
      <c r="JD53" s="70">
        <v>253.15</v>
      </c>
      <c r="JE53" s="70">
        <v>252.24</v>
      </c>
      <c r="JF53" s="70">
        <v>251.32</v>
      </c>
      <c r="JG53" s="70">
        <v>250.4</v>
      </c>
      <c r="JH53" s="70">
        <v>249.49</v>
      </c>
      <c r="JI53" s="70">
        <v>248.58</v>
      </c>
      <c r="JJ53" s="70">
        <v>247.67</v>
      </c>
      <c r="JK53" s="70">
        <v>246.76</v>
      </c>
      <c r="JL53" s="70">
        <v>245.85</v>
      </c>
      <c r="JM53" s="70">
        <v>244.94</v>
      </c>
      <c r="JN53" s="70">
        <v>244.03</v>
      </c>
      <c r="JO53" s="70">
        <v>243.12</v>
      </c>
      <c r="JP53" s="70">
        <v>242.21</v>
      </c>
      <c r="JQ53" s="70">
        <v>241.31</v>
      </c>
      <c r="JR53" s="70">
        <v>240.4</v>
      </c>
      <c r="JS53" s="70">
        <v>239.5</v>
      </c>
      <c r="JT53" s="70">
        <v>238.59</v>
      </c>
      <c r="JU53" s="70">
        <v>237.68</v>
      </c>
      <c r="JV53" s="70">
        <v>236.77</v>
      </c>
      <c r="JW53" s="70">
        <v>235.86</v>
      </c>
      <c r="JX53" s="70">
        <v>234.95</v>
      </c>
      <c r="JY53" s="70">
        <v>234.04</v>
      </c>
      <c r="JZ53" s="70">
        <v>233.13</v>
      </c>
      <c r="KA53" s="70">
        <v>232.22</v>
      </c>
      <c r="KB53" s="70">
        <v>231.32</v>
      </c>
      <c r="KC53" s="70">
        <v>230.41</v>
      </c>
      <c r="KD53" s="70">
        <v>229.51</v>
      </c>
      <c r="KE53" s="70">
        <v>228.6</v>
      </c>
      <c r="KF53" s="70">
        <v>227.7</v>
      </c>
      <c r="KG53" s="70">
        <v>226.8</v>
      </c>
      <c r="KH53" s="70">
        <v>225.9</v>
      </c>
      <c r="KI53" s="70">
        <v>225</v>
      </c>
      <c r="KJ53" s="70">
        <v>224.1</v>
      </c>
      <c r="KK53" s="70">
        <v>223.2</v>
      </c>
      <c r="KL53" s="70">
        <v>222.3</v>
      </c>
      <c r="KM53" s="70">
        <v>221.41</v>
      </c>
      <c r="KN53" s="70">
        <v>220.51</v>
      </c>
      <c r="KO53" s="70">
        <v>219.62</v>
      </c>
      <c r="KP53" s="70">
        <v>218.72</v>
      </c>
      <c r="KQ53" s="70">
        <v>217.83</v>
      </c>
      <c r="KR53" s="74">
        <f t="shared" si="29"/>
        <v>219.77</v>
      </c>
      <c r="KS53" s="74">
        <f t="shared" si="29"/>
        <v>218.98</v>
      </c>
      <c r="KT53" s="74">
        <f t="shared" si="29"/>
        <v>218.16</v>
      </c>
      <c r="KU53" s="74">
        <f t="shared" si="29"/>
        <v>217.37</v>
      </c>
      <c r="KV53" s="74">
        <f t="shared" si="29"/>
        <v>216.59</v>
      </c>
      <c r="KW53" s="74">
        <f t="shared" si="29"/>
        <v>215.8</v>
      </c>
      <c r="KX53" s="74">
        <f t="shared" si="29"/>
        <v>215.01</v>
      </c>
      <c r="KY53" s="74">
        <f t="shared" si="29"/>
        <v>214.23</v>
      </c>
      <c r="KZ53" s="74">
        <f t="shared" si="29"/>
        <v>213.44</v>
      </c>
      <c r="LA53" s="74">
        <f t="shared" si="29"/>
        <v>212.66</v>
      </c>
      <c r="LB53" s="74">
        <f t="shared" si="29"/>
        <v>211.88</v>
      </c>
      <c r="LC53" s="74">
        <f t="shared" si="29"/>
        <v>211.1</v>
      </c>
      <c r="LD53" s="74">
        <f t="shared" si="29"/>
        <v>210.32</v>
      </c>
      <c r="LE53" s="74">
        <f t="shared" si="29"/>
        <v>209.54</v>
      </c>
      <c r="LF53" s="74">
        <f t="shared" si="29"/>
        <v>208.77</v>
      </c>
      <c r="LG53" s="74">
        <f t="shared" si="29"/>
        <v>208</v>
      </c>
      <c r="LH53" s="74">
        <f t="shared" si="33"/>
        <v>207.22</v>
      </c>
      <c r="LI53" s="74">
        <f t="shared" si="33"/>
        <v>206.45</v>
      </c>
      <c r="LJ53" s="74">
        <f t="shared" si="33"/>
        <v>205.68</v>
      </c>
      <c r="LK53" s="74">
        <f t="shared" si="33"/>
        <v>204.91</v>
      </c>
      <c r="LL53" s="74">
        <f t="shared" si="33"/>
        <v>204.14</v>
      </c>
      <c r="LM53" s="74">
        <f t="shared" si="33"/>
        <v>203.38</v>
      </c>
      <c r="LN53" s="74">
        <f t="shared" si="33"/>
        <v>202.61</v>
      </c>
      <c r="LO53" s="74">
        <f t="shared" si="33"/>
        <v>201.85</v>
      </c>
      <c r="LP53" s="74">
        <f t="shared" si="33"/>
        <v>201.09</v>
      </c>
      <c r="LQ53" s="74">
        <f t="shared" si="33"/>
        <v>200.33</v>
      </c>
      <c r="LR53" s="74">
        <f t="shared" si="33"/>
        <v>199.57</v>
      </c>
      <c r="LS53" s="74">
        <f t="shared" si="33"/>
        <v>198.81</v>
      </c>
      <c r="LT53" s="74">
        <f t="shared" si="33"/>
        <v>198.06</v>
      </c>
      <c r="LU53" s="74">
        <f t="shared" si="33"/>
        <v>197.31</v>
      </c>
      <c r="LV53" s="74">
        <f t="shared" si="33"/>
        <v>196.55</v>
      </c>
      <c r="LW53" s="74">
        <f t="shared" si="33"/>
        <v>195.8</v>
      </c>
      <c r="LX53" s="74">
        <f t="shared" si="30"/>
        <v>195.05</v>
      </c>
      <c r="LY53" s="74">
        <f t="shared" si="30"/>
        <v>194.3</v>
      </c>
      <c r="LZ53" s="74">
        <f t="shared" si="30"/>
        <v>193.56</v>
      </c>
      <c r="MA53" s="74">
        <f t="shared" si="30"/>
        <v>192.81</v>
      </c>
      <c r="MB53" s="74">
        <f t="shared" si="30"/>
        <v>192.07</v>
      </c>
      <c r="MC53" s="74">
        <f t="shared" si="30"/>
        <v>191.33</v>
      </c>
      <c r="MD53" s="76">
        <f t="shared" si="30"/>
        <v>190.59</v>
      </c>
      <c r="ME53" s="77">
        <f t="shared" si="30"/>
        <v>189.86</v>
      </c>
      <c r="MF53" s="77">
        <f t="shared" si="30"/>
        <v>189.12</v>
      </c>
      <c r="MG53" s="77">
        <f t="shared" si="30"/>
        <v>188.39</v>
      </c>
      <c r="MH53" s="77">
        <f t="shared" si="30"/>
        <v>187.65</v>
      </c>
      <c r="MI53" s="77">
        <f t="shared" si="30"/>
        <v>186.92</v>
      </c>
      <c r="MJ53" s="77">
        <f t="shared" si="30"/>
        <v>186.19</v>
      </c>
      <c r="MK53" s="77">
        <f t="shared" si="30"/>
        <v>185.46</v>
      </c>
      <c r="ML53" s="77">
        <f t="shared" si="30"/>
        <v>184.74</v>
      </c>
      <c r="MM53" s="77">
        <f t="shared" si="30"/>
        <v>184.01</v>
      </c>
      <c r="MN53" s="77">
        <f t="shared" si="32"/>
        <v>183.29</v>
      </c>
      <c r="MO53" s="77">
        <f t="shared" si="32"/>
        <v>182.57</v>
      </c>
      <c r="MP53" s="77">
        <f t="shared" si="32"/>
        <v>181.85</v>
      </c>
      <c r="MQ53" s="77">
        <f t="shared" si="32"/>
        <v>181.14</v>
      </c>
      <c r="MR53" s="77">
        <f t="shared" si="32"/>
        <v>180.42</v>
      </c>
      <c r="MS53" s="77">
        <f t="shared" si="32"/>
        <v>179.71</v>
      </c>
      <c r="MT53" s="77">
        <f t="shared" si="32"/>
        <v>178.99</v>
      </c>
      <c r="MU53" s="77">
        <f t="shared" si="32"/>
        <v>178.28</v>
      </c>
      <c r="MV53" s="77">
        <f t="shared" si="32"/>
        <v>177.57</v>
      </c>
      <c r="MW53" s="77">
        <f t="shared" si="32"/>
        <v>176.87</v>
      </c>
      <c r="MX53" s="77">
        <f t="shared" si="32"/>
        <v>176.16</v>
      </c>
      <c r="MY53" s="77">
        <f t="shared" si="32"/>
        <v>175.46</v>
      </c>
    </row>
    <row r="54" spans="1:363" ht="15.6" x14ac:dyDescent="0.3">
      <c r="A54" s="67" t="s">
        <v>6</v>
      </c>
      <c r="B54" s="72">
        <v>2064</v>
      </c>
      <c r="C54" s="70">
        <v>516.86</v>
      </c>
      <c r="D54" s="70">
        <v>515.82000000000005</v>
      </c>
      <c r="E54" s="70">
        <v>514.79</v>
      </c>
      <c r="F54" s="70">
        <v>513.75</v>
      </c>
      <c r="G54" s="70">
        <v>512.72</v>
      </c>
      <c r="H54" s="70">
        <v>511.68</v>
      </c>
      <c r="I54" s="70">
        <v>510.65</v>
      </c>
      <c r="J54" s="70">
        <v>509.61</v>
      </c>
      <c r="K54" s="70">
        <v>508.58</v>
      </c>
      <c r="L54" s="70">
        <v>507.54</v>
      </c>
      <c r="M54" s="70">
        <v>506.51</v>
      </c>
      <c r="N54" s="70">
        <v>505.47</v>
      </c>
      <c r="O54" s="70">
        <v>504.44</v>
      </c>
      <c r="P54" s="70">
        <v>503.4</v>
      </c>
      <c r="Q54" s="70">
        <v>502.37</v>
      </c>
      <c r="R54" s="70">
        <v>501.33</v>
      </c>
      <c r="S54" s="70">
        <v>500.3</v>
      </c>
      <c r="T54" s="70">
        <v>499.26</v>
      </c>
      <c r="U54" s="70">
        <v>498.23</v>
      </c>
      <c r="V54" s="70">
        <v>497.19</v>
      </c>
      <c r="W54" s="70">
        <v>496.16</v>
      </c>
      <c r="X54" s="70">
        <v>495.12</v>
      </c>
      <c r="Y54" s="70">
        <v>494.09</v>
      </c>
      <c r="Z54" s="70">
        <v>493.05</v>
      </c>
      <c r="AA54" s="70">
        <v>492.02</v>
      </c>
      <c r="AB54" s="70">
        <v>490.98</v>
      </c>
      <c r="AC54" s="70">
        <v>489.95</v>
      </c>
      <c r="AD54" s="70">
        <v>488.91</v>
      </c>
      <c r="AE54" s="70">
        <v>487.87</v>
      </c>
      <c r="AF54" s="70">
        <v>486.84</v>
      </c>
      <c r="AG54" s="70">
        <v>485.8</v>
      </c>
      <c r="AH54" s="70">
        <v>484.77</v>
      </c>
      <c r="AI54" s="70">
        <v>483.73</v>
      </c>
      <c r="AJ54" s="70">
        <v>482.69</v>
      </c>
      <c r="AK54" s="70">
        <v>481.66</v>
      </c>
      <c r="AL54" s="70">
        <v>480.62</v>
      </c>
      <c r="AM54" s="70">
        <v>479.59</v>
      </c>
      <c r="AN54" s="70">
        <v>478.55</v>
      </c>
      <c r="AO54" s="70">
        <v>477.51</v>
      </c>
      <c r="AP54" s="70">
        <v>476.48</v>
      </c>
      <c r="AQ54" s="70">
        <v>475.44</v>
      </c>
      <c r="AR54" s="70">
        <v>474.4</v>
      </c>
      <c r="AS54" s="70">
        <v>473.37</v>
      </c>
      <c r="AT54" s="70">
        <v>472.33</v>
      </c>
      <c r="AU54" s="70">
        <v>471.29</v>
      </c>
      <c r="AV54" s="70">
        <v>470.26</v>
      </c>
      <c r="AW54" s="70">
        <v>469.22</v>
      </c>
      <c r="AX54" s="70">
        <v>468.19</v>
      </c>
      <c r="AY54" s="70">
        <v>467.15</v>
      </c>
      <c r="AZ54" s="70">
        <v>466.11</v>
      </c>
      <c r="BA54" s="70">
        <v>465.08</v>
      </c>
      <c r="BB54" s="70">
        <v>464.04</v>
      </c>
      <c r="BC54" s="70">
        <v>463</v>
      </c>
      <c r="BD54" s="70">
        <v>461.96</v>
      </c>
      <c r="BE54" s="70">
        <v>460.93</v>
      </c>
      <c r="BF54" s="70">
        <v>459.89</v>
      </c>
      <c r="BG54" s="70">
        <v>458.85</v>
      </c>
      <c r="BH54" s="70">
        <v>457.82</v>
      </c>
      <c r="BI54" s="70">
        <v>456.78</v>
      </c>
      <c r="BJ54" s="70">
        <v>455.74</v>
      </c>
      <c r="BK54" s="70">
        <v>454.71</v>
      </c>
      <c r="BL54" s="70">
        <v>453.67</v>
      </c>
      <c r="BM54" s="70">
        <v>452.63</v>
      </c>
      <c r="BN54" s="70">
        <v>451.59</v>
      </c>
      <c r="BO54" s="70">
        <v>450.55</v>
      </c>
      <c r="BP54" s="70">
        <v>449.52</v>
      </c>
      <c r="BQ54" s="70">
        <v>448.48</v>
      </c>
      <c r="BR54" s="70">
        <v>447.44</v>
      </c>
      <c r="BS54" s="70">
        <v>446.4</v>
      </c>
      <c r="BT54" s="70">
        <v>445.37</v>
      </c>
      <c r="BU54" s="70">
        <v>444.33</v>
      </c>
      <c r="BV54" s="70">
        <v>443.29</v>
      </c>
      <c r="BW54" s="70">
        <v>442.25</v>
      </c>
      <c r="BX54" s="70">
        <v>441.22</v>
      </c>
      <c r="BY54" s="70">
        <v>440.18</v>
      </c>
      <c r="BZ54" s="70">
        <v>439.14</v>
      </c>
      <c r="CA54" s="70">
        <v>438.11</v>
      </c>
      <c r="CB54" s="70">
        <v>437.07</v>
      </c>
      <c r="CC54" s="70">
        <v>436.03</v>
      </c>
      <c r="CD54" s="70">
        <v>435</v>
      </c>
      <c r="CE54" s="70">
        <v>433.96</v>
      </c>
      <c r="CF54" s="70">
        <v>432.93</v>
      </c>
      <c r="CG54" s="70">
        <v>431.89</v>
      </c>
      <c r="CH54" s="70">
        <v>430.85</v>
      </c>
      <c r="CI54" s="70">
        <v>429.82</v>
      </c>
      <c r="CJ54" s="70">
        <v>428.78</v>
      </c>
      <c r="CK54" s="70">
        <v>427.74</v>
      </c>
      <c r="CL54" s="70">
        <v>426.71</v>
      </c>
      <c r="CM54" s="70">
        <v>425.67</v>
      </c>
      <c r="CN54" s="70">
        <v>424.63</v>
      </c>
      <c r="CO54" s="70">
        <v>423.6</v>
      </c>
      <c r="CP54" s="70">
        <v>422.56</v>
      </c>
      <c r="CQ54" s="70">
        <v>421.52</v>
      </c>
      <c r="CR54" s="70">
        <v>420.49</v>
      </c>
      <c r="CS54" s="70">
        <v>419.45</v>
      </c>
      <c r="CT54" s="70">
        <v>418.41</v>
      </c>
      <c r="CU54" s="70">
        <v>417.38</v>
      </c>
      <c r="CV54" s="70">
        <v>416.34</v>
      </c>
      <c r="CW54" s="70">
        <v>415.31</v>
      </c>
      <c r="CX54" s="70">
        <v>414.27</v>
      </c>
      <c r="CY54" s="70">
        <v>413.24</v>
      </c>
      <c r="CZ54" s="70">
        <v>412.2</v>
      </c>
      <c r="DA54" s="70">
        <v>411.17</v>
      </c>
      <c r="DB54" s="70">
        <v>410.13</v>
      </c>
      <c r="DC54" s="70">
        <v>409.1</v>
      </c>
      <c r="DD54" s="70">
        <v>408.06</v>
      </c>
      <c r="DE54" s="70">
        <v>407.03</v>
      </c>
      <c r="DF54" s="70">
        <v>405.99</v>
      </c>
      <c r="DG54" s="70">
        <v>404.96</v>
      </c>
      <c r="DH54" s="70">
        <v>403.93</v>
      </c>
      <c r="DI54" s="70">
        <v>402.89</v>
      </c>
      <c r="DJ54" s="70">
        <v>401.86</v>
      </c>
      <c r="DK54" s="70">
        <v>400.83</v>
      </c>
      <c r="DL54" s="70">
        <v>399.79</v>
      </c>
      <c r="DM54" s="70">
        <v>398.76</v>
      </c>
      <c r="DN54" s="70">
        <v>397.73</v>
      </c>
      <c r="DO54" s="70">
        <v>396.69</v>
      </c>
      <c r="DP54" s="70">
        <v>395.66</v>
      </c>
      <c r="DQ54" s="70">
        <v>394.63</v>
      </c>
      <c r="DR54" s="70">
        <v>393.6</v>
      </c>
      <c r="DS54" s="70">
        <v>392.56</v>
      </c>
      <c r="DT54" s="70">
        <v>391.53</v>
      </c>
      <c r="DU54" s="70">
        <v>390.51</v>
      </c>
      <c r="DV54" s="70">
        <v>389.48</v>
      </c>
      <c r="DW54" s="70">
        <v>388.45</v>
      </c>
      <c r="DX54" s="70">
        <v>387.42</v>
      </c>
      <c r="DY54" s="70">
        <v>386.39</v>
      </c>
      <c r="DZ54" s="70">
        <v>385.37</v>
      </c>
      <c r="EA54" s="70">
        <v>384.34</v>
      </c>
      <c r="EB54" s="70">
        <v>383.31</v>
      </c>
      <c r="EC54" s="70">
        <v>382.28</v>
      </c>
      <c r="ED54" s="70">
        <v>381.26</v>
      </c>
      <c r="EE54" s="70">
        <v>380.23</v>
      </c>
      <c r="EF54" s="70">
        <v>379.21</v>
      </c>
      <c r="EG54" s="70">
        <v>378.19</v>
      </c>
      <c r="EH54" s="70">
        <v>377.17</v>
      </c>
      <c r="EI54" s="70">
        <v>376.15</v>
      </c>
      <c r="EJ54" s="70">
        <v>375.12</v>
      </c>
      <c r="EK54" s="70">
        <v>374.1</v>
      </c>
      <c r="EL54" s="70">
        <v>373.08</v>
      </c>
      <c r="EM54" s="70">
        <v>372.06</v>
      </c>
      <c r="EN54" s="70">
        <v>371.04</v>
      </c>
      <c r="EO54" s="70">
        <v>370.02</v>
      </c>
      <c r="EP54" s="70">
        <v>369</v>
      </c>
      <c r="EQ54" s="70">
        <v>367.99</v>
      </c>
      <c r="ER54" s="70">
        <v>366.97</v>
      </c>
      <c r="ES54" s="70">
        <v>365.96</v>
      </c>
      <c r="ET54" s="70">
        <v>364.94</v>
      </c>
      <c r="EU54" s="70">
        <v>363.93</v>
      </c>
      <c r="EV54" s="70">
        <v>362.91</v>
      </c>
      <c r="EW54" s="70">
        <v>361.9</v>
      </c>
      <c r="EX54" s="70">
        <v>360.88</v>
      </c>
      <c r="EY54" s="70">
        <v>359.87</v>
      </c>
      <c r="EZ54" s="70">
        <v>358.86</v>
      </c>
      <c r="FA54" s="70">
        <v>357.84</v>
      </c>
      <c r="FB54" s="70">
        <v>356.83</v>
      </c>
      <c r="FC54" s="70">
        <v>355.82</v>
      </c>
      <c r="FD54" s="70">
        <v>354.81</v>
      </c>
      <c r="FE54" s="70">
        <v>353.8</v>
      </c>
      <c r="FF54" s="70">
        <v>352.8</v>
      </c>
      <c r="FG54" s="70">
        <v>351.79</v>
      </c>
      <c r="FH54" s="70">
        <v>350.78</v>
      </c>
      <c r="FI54" s="70">
        <v>349.78</v>
      </c>
      <c r="FJ54" s="70">
        <v>348.77</v>
      </c>
      <c r="FK54" s="70">
        <v>347.77</v>
      </c>
      <c r="FL54" s="70">
        <v>346.76</v>
      </c>
      <c r="FM54" s="70">
        <v>345.76</v>
      </c>
      <c r="FN54" s="70">
        <v>344.75</v>
      </c>
      <c r="FO54" s="70">
        <v>343.75</v>
      </c>
      <c r="FP54" s="70">
        <v>342.75</v>
      </c>
      <c r="FQ54" s="70">
        <v>341.74</v>
      </c>
      <c r="FR54" s="70">
        <v>340.74</v>
      </c>
      <c r="FS54" s="70">
        <v>339.74</v>
      </c>
      <c r="FT54" s="70">
        <v>338.74</v>
      </c>
      <c r="FU54" s="70">
        <v>337.74</v>
      </c>
      <c r="FV54" s="70">
        <v>336.74</v>
      </c>
      <c r="FW54" s="70">
        <v>335.74</v>
      </c>
      <c r="FX54" s="70">
        <v>334.74</v>
      </c>
      <c r="FY54" s="70">
        <v>333.74</v>
      </c>
      <c r="FZ54" s="70">
        <v>332.74</v>
      </c>
      <c r="GA54" s="70">
        <v>331.74</v>
      </c>
      <c r="GB54" s="70">
        <v>330.75</v>
      </c>
      <c r="GC54" s="70">
        <v>329.75</v>
      </c>
      <c r="GD54" s="70">
        <v>328.76</v>
      </c>
      <c r="GE54" s="70">
        <v>327.76</v>
      </c>
      <c r="GF54" s="70">
        <v>326.76</v>
      </c>
      <c r="GG54" s="70">
        <v>325.76</v>
      </c>
      <c r="GH54" s="70">
        <v>324.77999999999997</v>
      </c>
      <c r="GI54" s="70">
        <v>323.77999999999997</v>
      </c>
      <c r="GJ54" s="70">
        <v>322.79000000000002</v>
      </c>
      <c r="GK54" s="70">
        <v>321.79000000000002</v>
      </c>
      <c r="GL54" s="70">
        <v>320.81</v>
      </c>
      <c r="GM54" s="70">
        <v>319.82</v>
      </c>
      <c r="GN54" s="70">
        <v>318.82</v>
      </c>
      <c r="GO54" s="70">
        <v>317.83999999999997</v>
      </c>
      <c r="GP54" s="70">
        <v>316.85000000000002</v>
      </c>
      <c r="GQ54" s="70">
        <v>315.88</v>
      </c>
      <c r="GR54" s="70">
        <v>314.89</v>
      </c>
      <c r="GS54" s="70">
        <v>313.91000000000003</v>
      </c>
      <c r="GT54" s="70">
        <v>312.93</v>
      </c>
      <c r="GU54" s="70">
        <v>311.95</v>
      </c>
      <c r="GV54" s="70">
        <v>310.97000000000003</v>
      </c>
      <c r="GW54" s="70">
        <v>309.99</v>
      </c>
      <c r="GX54" s="70">
        <v>309.01</v>
      </c>
      <c r="GY54" s="70">
        <v>308.02999999999997</v>
      </c>
      <c r="GZ54" s="70">
        <v>307.04000000000002</v>
      </c>
      <c r="HA54" s="70">
        <v>306.07</v>
      </c>
      <c r="HB54" s="70">
        <v>305.10000000000002</v>
      </c>
      <c r="HC54" s="70">
        <v>304.12</v>
      </c>
      <c r="HD54" s="70">
        <v>303.14999999999998</v>
      </c>
      <c r="HE54" s="70">
        <v>302.17</v>
      </c>
      <c r="HF54" s="70">
        <v>301.2</v>
      </c>
      <c r="HG54" s="70">
        <v>300.23</v>
      </c>
      <c r="HH54" s="70">
        <v>299.25</v>
      </c>
      <c r="HI54" s="70">
        <v>298.27999999999997</v>
      </c>
      <c r="HJ54" s="70">
        <v>297.31</v>
      </c>
      <c r="HK54" s="70">
        <v>296.33999999999997</v>
      </c>
      <c r="HL54" s="70">
        <v>295.38</v>
      </c>
      <c r="HM54" s="70">
        <v>294.42</v>
      </c>
      <c r="HN54" s="70">
        <v>293.45999999999998</v>
      </c>
      <c r="HO54" s="70">
        <v>292.5</v>
      </c>
      <c r="HP54" s="70">
        <v>291.54000000000002</v>
      </c>
      <c r="HQ54" s="70">
        <v>290.57</v>
      </c>
      <c r="HR54" s="70">
        <v>289.62</v>
      </c>
      <c r="HS54" s="70">
        <v>288.66000000000003</v>
      </c>
      <c r="HT54" s="70">
        <v>287.70999999999998</v>
      </c>
      <c r="HU54" s="70">
        <v>286.75</v>
      </c>
      <c r="HV54" s="70">
        <v>285.79000000000002</v>
      </c>
      <c r="HW54" s="70">
        <v>284.83999999999997</v>
      </c>
      <c r="HX54" s="70">
        <v>283.89</v>
      </c>
      <c r="HY54" s="70">
        <v>282.94</v>
      </c>
      <c r="HZ54" s="70">
        <v>281.99</v>
      </c>
      <c r="IA54" s="70">
        <v>281.04000000000002</v>
      </c>
      <c r="IB54" s="70">
        <v>280.08999999999997</v>
      </c>
      <c r="IC54" s="70">
        <v>279.14</v>
      </c>
      <c r="ID54" s="70">
        <v>278.19</v>
      </c>
      <c r="IE54" s="70">
        <v>277.24</v>
      </c>
      <c r="IF54" s="70">
        <v>276.29000000000002</v>
      </c>
      <c r="IG54" s="70">
        <v>275.35000000000002</v>
      </c>
      <c r="IH54" s="70">
        <v>274.39999999999998</v>
      </c>
      <c r="II54" s="70">
        <v>273.45</v>
      </c>
      <c r="IJ54" s="70">
        <v>272.51</v>
      </c>
      <c r="IK54" s="70">
        <v>271.57</v>
      </c>
      <c r="IL54" s="70">
        <v>270.63</v>
      </c>
      <c r="IM54" s="70">
        <v>269.69</v>
      </c>
      <c r="IN54" s="70">
        <v>268.75</v>
      </c>
      <c r="IO54" s="70">
        <v>267.81</v>
      </c>
      <c r="IP54" s="70">
        <v>266.87</v>
      </c>
      <c r="IQ54" s="70">
        <v>265.93</v>
      </c>
      <c r="IR54" s="70">
        <v>264.99</v>
      </c>
      <c r="IS54" s="70">
        <v>264.06</v>
      </c>
      <c r="IT54" s="70">
        <v>263.12</v>
      </c>
      <c r="IU54" s="70">
        <v>262.19</v>
      </c>
      <c r="IV54" s="70">
        <v>261.26</v>
      </c>
      <c r="IW54" s="70">
        <v>260.33999999999997</v>
      </c>
      <c r="IX54" s="70">
        <v>259.42</v>
      </c>
      <c r="IY54" s="70">
        <v>258.5</v>
      </c>
      <c r="IZ54" s="70">
        <v>257.57</v>
      </c>
      <c r="JA54" s="70">
        <v>256.65999999999997</v>
      </c>
      <c r="JB54" s="70">
        <v>255.74</v>
      </c>
      <c r="JC54" s="70">
        <v>254.82</v>
      </c>
      <c r="JD54" s="70">
        <v>253.9</v>
      </c>
      <c r="JE54" s="70">
        <v>252.99</v>
      </c>
      <c r="JF54" s="70">
        <v>252.07</v>
      </c>
      <c r="JG54" s="70">
        <v>251.15</v>
      </c>
      <c r="JH54" s="70">
        <v>250.24</v>
      </c>
      <c r="JI54" s="70">
        <v>249.33</v>
      </c>
      <c r="JJ54" s="70">
        <v>248.42</v>
      </c>
      <c r="JK54" s="70">
        <v>247.51</v>
      </c>
      <c r="JL54" s="70">
        <v>246.6</v>
      </c>
      <c r="JM54" s="70">
        <v>245.69</v>
      </c>
      <c r="JN54" s="70">
        <v>244.78</v>
      </c>
      <c r="JO54" s="70">
        <v>243.87</v>
      </c>
      <c r="JP54" s="70">
        <v>242.96</v>
      </c>
      <c r="JQ54" s="70">
        <v>242.06</v>
      </c>
      <c r="JR54" s="70">
        <v>241.15</v>
      </c>
      <c r="JS54" s="70">
        <v>240.25</v>
      </c>
      <c r="JT54" s="70">
        <v>239.34</v>
      </c>
      <c r="JU54" s="70">
        <v>238.43</v>
      </c>
      <c r="JV54" s="70">
        <v>237.52</v>
      </c>
      <c r="JW54" s="70">
        <v>236.61</v>
      </c>
      <c r="JX54" s="70">
        <v>235.7</v>
      </c>
      <c r="JY54" s="70">
        <v>234.79</v>
      </c>
      <c r="JZ54" s="70">
        <v>233.88</v>
      </c>
      <c r="KA54" s="70">
        <v>232.97</v>
      </c>
      <c r="KB54" s="70">
        <v>232.07</v>
      </c>
      <c r="KC54" s="70">
        <v>231.16</v>
      </c>
      <c r="KD54" s="70">
        <v>230.26</v>
      </c>
      <c r="KE54" s="70">
        <v>229.35</v>
      </c>
      <c r="KF54" s="70">
        <v>228.45</v>
      </c>
      <c r="KG54" s="70">
        <v>227.55</v>
      </c>
      <c r="KH54" s="70">
        <v>226.65</v>
      </c>
      <c r="KI54" s="70">
        <v>225.75</v>
      </c>
      <c r="KJ54" s="70">
        <v>224.85</v>
      </c>
      <c r="KK54" s="70">
        <v>223.95</v>
      </c>
      <c r="KL54" s="70">
        <v>223.05</v>
      </c>
      <c r="KM54" s="70">
        <v>222.16</v>
      </c>
      <c r="KN54" s="70">
        <v>221.26</v>
      </c>
      <c r="KO54" s="70">
        <v>220.37</v>
      </c>
      <c r="KP54" s="70">
        <v>219.47</v>
      </c>
      <c r="KQ54" s="70">
        <v>218.58</v>
      </c>
      <c r="KR54" s="74">
        <f t="shared" ref="KR54:LA56" si="34">KR53+0.75</f>
        <v>220.52</v>
      </c>
      <c r="KS54" s="74">
        <f t="shared" si="34"/>
        <v>219.73</v>
      </c>
      <c r="KT54" s="74">
        <f t="shared" si="34"/>
        <v>218.91</v>
      </c>
      <c r="KU54" s="74">
        <f t="shared" si="34"/>
        <v>218.12</v>
      </c>
      <c r="KV54" s="74">
        <f t="shared" si="34"/>
        <v>217.34</v>
      </c>
      <c r="KW54" s="74">
        <f t="shared" si="34"/>
        <v>216.55</v>
      </c>
      <c r="KX54" s="74">
        <f t="shared" si="34"/>
        <v>215.76</v>
      </c>
      <c r="KY54" s="74">
        <f t="shared" si="34"/>
        <v>214.98</v>
      </c>
      <c r="KZ54" s="74">
        <f t="shared" si="34"/>
        <v>214.19</v>
      </c>
      <c r="LA54" s="74">
        <f t="shared" si="34"/>
        <v>213.41</v>
      </c>
      <c r="LB54" s="74">
        <f t="shared" ref="LB54:LK56" si="35">LB53+0.75</f>
        <v>212.63</v>
      </c>
      <c r="LC54" s="74">
        <f t="shared" si="35"/>
        <v>211.85</v>
      </c>
      <c r="LD54" s="74">
        <f t="shared" si="35"/>
        <v>211.07</v>
      </c>
      <c r="LE54" s="74">
        <f t="shared" si="35"/>
        <v>210.29</v>
      </c>
      <c r="LF54" s="74">
        <f t="shared" si="35"/>
        <v>209.52</v>
      </c>
      <c r="LG54" s="74">
        <f t="shared" si="35"/>
        <v>208.75</v>
      </c>
      <c r="LH54" s="74">
        <f t="shared" si="35"/>
        <v>207.97</v>
      </c>
      <c r="LI54" s="74">
        <f t="shared" si="35"/>
        <v>207.2</v>
      </c>
      <c r="LJ54" s="74">
        <f t="shared" si="35"/>
        <v>206.43</v>
      </c>
      <c r="LK54" s="74">
        <f t="shared" si="35"/>
        <v>205.66</v>
      </c>
      <c r="LL54" s="74">
        <f t="shared" si="33"/>
        <v>204.89</v>
      </c>
      <c r="LM54" s="74">
        <f t="shared" si="33"/>
        <v>204.13</v>
      </c>
      <c r="LN54" s="74">
        <f t="shared" si="33"/>
        <v>203.36</v>
      </c>
      <c r="LO54" s="74">
        <f t="shared" si="33"/>
        <v>202.6</v>
      </c>
      <c r="LP54" s="74">
        <f t="shared" si="33"/>
        <v>201.84</v>
      </c>
      <c r="LQ54" s="74">
        <f t="shared" si="33"/>
        <v>201.08</v>
      </c>
      <c r="LR54" s="74">
        <f t="shared" si="33"/>
        <v>200.32</v>
      </c>
      <c r="LS54" s="74">
        <f t="shared" si="33"/>
        <v>199.56</v>
      </c>
      <c r="LT54" s="74">
        <f t="shared" si="33"/>
        <v>198.81</v>
      </c>
      <c r="LU54" s="74">
        <f t="shared" si="33"/>
        <v>198.06</v>
      </c>
      <c r="LV54" s="74">
        <f t="shared" si="33"/>
        <v>197.3</v>
      </c>
      <c r="LW54" s="74">
        <f t="shared" si="33"/>
        <v>196.55</v>
      </c>
      <c r="LX54" s="74">
        <f t="shared" si="30"/>
        <v>195.8</v>
      </c>
      <c r="LY54" s="74">
        <f t="shared" si="30"/>
        <v>195.05</v>
      </c>
      <c r="LZ54" s="74">
        <f t="shared" si="30"/>
        <v>194.31</v>
      </c>
      <c r="MA54" s="74">
        <f t="shared" si="30"/>
        <v>193.56</v>
      </c>
      <c r="MB54" s="74">
        <f t="shared" si="30"/>
        <v>192.82</v>
      </c>
      <c r="MC54" s="74">
        <f t="shared" si="30"/>
        <v>192.08</v>
      </c>
      <c r="MD54" s="76">
        <f t="shared" si="30"/>
        <v>191.34</v>
      </c>
      <c r="ME54" s="77">
        <f t="shared" si="30"/>
        <v>190.61</v>
      </c>
      <c r="MF54" s="77">
        <f t="shared" si="30"/>
        <v>189.87</v>
      </c>
      <c r="MG54" s="77">
        <f t="shared" si="30"/>
        <v>189.14</v>
      </c>
      <c r="MH54" s="77">
        <f t="shared" si="30"/>
        <v>188.4</v>
      </c>
      <c r="MI54" s="77">
        <f t="shared" si="30"/>
        <v>187.67</v>
      </c>
      <c r="MJ54" s="77">
        <f t="shared" si="30"/>
        <v>186.94</v>
      </c>
      <c r="MK54" s="77">
        <f t="shared" si="30"/>
        <v>186.21</v>
      </c>
      <c r="ML54" s="77">
        <f t="shared" si="30"/>
        <v>185.49</v>
      </c>
      <c r="MM54" s="77">
        <f t="shared" si="30"/>
        <v>184.76</v>
      </c>
      <c r="MN54" s="77">
        <f t="shared" si="32"/>
        <v>184.04</v>
      </c>
      <c r="MO54" s="77">
        <f t="shared" si="32"/>
        <v>183.32</v>
      </c>
      <c r="MP54" s="77">
        <f t="shared" si="32"/>
        <v>182.6</v>
      </c>
      <c r="MQ54" s="77">
        <f t="shared" si="32"/>
        <v>181.89</v>
      </c>
      <c r="MR54" s="77">
        <f t="shared" si="32"/>
        <v>181.17</v>
      </c>
      <c r="MS54" s="77">
        <f t="shared" si="32"/>
        <v>180.46</v>
      </c>
      <c r="MT54" s="77">
        <f t="shared" si="32"/>
        <v>179.74</v>
      </c>
      <c r="MU54" s="77">
        <f t="shared" si="32"/>
        <v>179.03</v>
      </c>
      <c r="MV54" s="77">
        <f t="shared" si="32"/>
        <v>178.32</v>
      </c>
      <c r="MW54" s="77">
        <f t="shared" si="32"/>
        <v>177.62</v>
      </c>
      <c r="MX54" s="77">
        <f t="shared" si="32"/>
        <v>176.91</v>
      </c>
      <c r="MY54" s="77">
        <f t="shared" si="32"/>
        <v>176.21</v>
      </c>
    </row>
    <row r="55" spans="1:363" ht="15.6" x14ac:dyDescent="0.3">
      <c r="A55" s="67" t="s">
        <v>6</v>
      </c>
      <c r="B55" s="72">
        <v>2065</v>
      </c>
      <c r="C55" s="70">
        <v>517.6</v>
      </c>
      <c r="D55" s="70">
        <v>516.57000000000005</v>
      </c>
      <c r="E55" s="70">
        <v>515.54</v>
      </c>
      <c r="F55" s="70">
        <v>514.5</v>
      </c>
      <c r="G55" s="70">
        <v>513.47</v>
      </c>
      <c r="H55" s="70">
        <v>512.43000000000006</v>
      </c>
      <c r="I55" s="70">
        <v>511.4</v>
      </c>
      <c r="J55" s="70">
        <v>510.36</v>
      </c>
      <c r="K55" s="70">
        <v>509.33</v>
      </c>
      <c r="L55" s="70">
        <v>508.29</v>
      </c>
      <c r="M55" s="70">
        <v>507.26</v>
      </c>
      <c r="N55" s="70">
        <v>506.22</v>
      </c>
      <c r="O55" s="70">
        <v>505.19</v>
      </c>
      <c r="P55" s="70">
        <v>504.15</v>
      </c>
      <c r="Q55" s="70">
        <v>503.12</v>
      </c>
      <c r="R55" s="70">
        <v>502.08</v>
      </c>
      <c r="S55" s="70">
        <v>501.05</v>
      </c>
      <c r="T55" s="70">
        <v>500.01</v>
      </c>
      <c r="U55" s="70">
        <v>498.98</v>
      </c>
      <c r="V55" s="70">
        <v>497.94</v>
      </c>
      <c r="W55" s="70">
        <v>496.91</v>
      </c>
      <c r="X55" s="70">
        <v>495.87</v>
      </c>
      <c r="Y55" s="70">
        <v>494.84</v>
      </c>
      <c r="Z55" s="70">
        <v>493.8</v>
      </c>
      <c r="AA55" s="70">
        <v>492.77</v>
      </c>
      <c r="AB55" s="70">
        <v>491.73</v>
      </c>
      <c r="AC55" s="70">
        <v>490.7</v>
      </c>
      <c r="AD55" s="70">
        <v>489.66</v>
      </c>
      <c r="AE55" s="70">
        <v>488.62</v>
      </c>
      <c r="AF55" s="70">
        <v>487.59</v>
      </c>
      <c r="AG55" s="70">
        <v>486.55</v>
      </c>
      <c r="AH55" s="70">
        <v>485.52</v>
      </c>
      <c r="AI55" s="70">
        <v>484.48</v>
      </c>
      <c r="AJ55" s="70">
        <v>483.44</v>
      </c>
      <c r="AK55" s="70">
        <v>482.41</v>
      </c>
      <c r="AL55" s="70">
        <v>481.37</v>
      </c>
      <c r="AM55" s="70">
        <v>480.34</v>
      </c>
      <c r="AN55" s="70">
        <v>479.3</v>
      </c>
      <c r="AO55" s="70">
        <v>478.26</v>
      </c>
      <c r="AP55" s="70">
        <v>477.23</v>
      </c>
      <c r="AQ55" s="70">
        <v>476.19</v>
      </c>
      <c r="AR55" s="70">
        <v>475.15</v>
      </c>
      <c r="AS55" s="70">
        <v>474.12</v>
      </c>
      <c r="AT55" s="70">
        <v>473.08</v>
      </c>
      <c r="AU55" s="70">
        <v>472.04</v>
      </c>
      <c r="AV55" s="70">
        <v>471.01</v>
      </c>
      <c r="AW55" s="70">
        <v>469.97</v>
      </c>
      <c r="AX55" s="70">
        <v>468.94</v>
      </c>
      <c r="AY55" s="70">
        <v>467.9</v>
      </c>
      <c r="AZ55" s="70">
        <v>466.86</v>
      </c>
      <c r="BA55" s="70">
        <v>465.83</v>
      </c>
      <c r="BB55" s="70">
        <v>464.79</v>
      </c>
      <c r="BC55" s="70">
        <v>463.75</v>
      </c>
      <c r="BD55" s="70">
        <v>462.71</v>
      </c>
      <c r="BE55" s="70">
        <v>461.68</v>
      </c>
      <c r="BF55" s="70">
        <v>460.64</v>
      </c>
      <c r="BG55" s="70">
        <v>459.6</v>
      </c>
      <c r="BH55" s="70">
        <v>458.57</v>
      </c>
      <c r="BI55" s="70">
        <v>457.53</v>
      </c>
      <c r="BJ55" s="70">
        <v>456.49</v>
      </c>
      <c r="BK55" s="70">
        <v>455.46</v>
      </c>
      <c r="BL55" s="70">
        <v>454.42</v>
      </c>
      <c r="BM55" s="70">
        <v>453.38</v>
      </c>
      <c r="BN55" s="70">
        <v>452.34</v>
      </c>
      <c r="BO55" s="70">
        <v>451.3</v>
      </c>
      <c r="BP55" s="70">
        <v>450.27</v>
      </c>
      <c r="BQ55" s="70">
        <v>449.23</v>
      </c>
      <c r="BR55" s="70">
        <v>448.19</v>
      </c>
      <c r="BS55" s="70">
        <v>447.15</v>
      </c>
      <c r="BT55" s="70">
        <v>446.12</v>
      </c>
      <c r="BU55" s="70">
        <v>445.08</v>
      </c>
      <c r="BV55" s="70">
        <v>444.04</v>
      </c>
      <c r="BW55" s="70">
        <v>443</v>
      </c>
      <c r="BX55" s="70">
        <v>441.97</v>
      </c>
      <c r="BY55" s="70">
        <v>440.93</v>
      </c>
      <c r="BZ55" s="70">
        <v>439.89</v>
      </c>
      <c r="CA55" s="70">
        <v>438.86</v>
      </c>
      <c r="CB55" s="70">
        <v>437.82</v>
      </c>
      <c r="CC55" s="70">
        <v>436.78</v>
      </c>
      <c r="CD55" s="70">
        <v>435.75</v>
      </c>
      <c r="CE55" s="70">
        <v>434.71</v>
      </c>
      <c r="CF55" s="70">
        <v>433.68</v>
      </c>
      <c r="CG55" s="70">
        <v>432.64</v>
      </c>
      <c r="CH55" s="70">
        <v>431.6</v>
      </c>
      <c r="CI55" s="70">
        <v>430.57</v>
      </c>
      <c r="CJ55" s="70">
        <v>429.53</v>
      </c>
      <c r="CK55" s="70">
        <v>428.49</v>
      </c>
      <c r="CL55" s="70">
        <v>427.46</v>
      </c>
      <c r="CM55" s="70">
        <v>426.42</v>
      </c>
      <c r="CN55" s="70">
        <v>425.38</v>
      </c>
      <c r="CO55" s="70">
        <v>424.35</v>
      </c>
      <c r="CP55" s="70">
        <v>423.31</v>
      </c>
      <c r="CQ55" s="70">
        <v>422.27</v>
      </c>
      <c r="CR55" s="70">
        <v>421.24</v>
      </c>
      <c r="CS55" s="70">
        <v>420.2</v>
      </c>
      <c r="CT55" s="70">
        <v>419.16</v>
      </c>
      <c r="CU55" s="70">
        <v>418.13</v>
      </c>
      <c r="CV55" s="70">
        <v>417.09</v>
      </c>
      <c r="CW55" s="70">
        <v>416.06</v>
      </c>
      <c r="CX55" s="70">
        <v>415.02</v>
      </c>
      <c r="CY55" s="70">
        <v>413.99</v>
      </c>
      <c r="CZ55" s="70">
        <v>412.95</v>
      </c>
      <c r="DA55" s="70">
        <v>411.92</v>
      </c>
      <c r="DB55" s="70">
        <v>410.88</v>
      </c>
      <c r="DC55" s="70">
        <v>409.85</v>
      </c>
      <c r="DD55" s="70">
        <v>408.81</v>
      </c>
      <c r="DE55" s="70">
        <v>407.78</v>
      </c>
      <c r="DF55" s="70">
        <v>406.74</v>
      </c>
      <c r="DG55" s="70">
        <v>405.71</v>
      </c>
      <c r="DH55" s="70">
        <v>404.68</v>
      </c>
      <c r="DI55" s="70">
        <v>403.64</v>
      </c>
      <c r="DJ55" s="70">
        <v>402.61</v>
      </c>
      <c r="DK55" s="70">
        <v>401.58</v>
      </c>
      <c r="DL55" s="70">
        <v>400.54</v>
      </c>
      <c r="DM55" s="70">
        <v>399.51</v>
      </c>
      <c r="DN55" s="70">
        <v>398.48</v>
      </c>
      <c r="DO55" s="70">
        <v>397.44</v>
      </c>
      <c r="DP55" s="70">
        <v>396.41</v>
      </c>
      <c r="DQ55" s="70">
        <v>395.38</v>
      </c>
      <c r="DR55" s="70">
        <v>394.35</v>
      </c>
      <c r="DS55" s="70">
        <v>393.31</v>
      </c>
      <c r="DT55" s="70">
        <v>392.28</v>
      </c>
      <c r="DU55" s="70">
        <v>391.26</v>
      </c>
      <c r="DV55" s="70">
        <v>390.23</v>
      </c>
      <c r="DW55" s="70">
        <v>389.2</v>
      </c>
      <c r="DX55" s="70">
        <v>388.17</v>
      </c>
      <c r="DY55" s="70">
        <v>387.14</v>
      </c>
      <c r="DZ55" s="70">
        <v>386.12</v>
      </c>
      <c r="EA55" s="70">
        <v>385.09</v>
      </c>
      <c r="EB55" s="70">
        <v>384.06</v>
      </c>
      <c r="EC55" s="70">
        <v>383.03</v>
      </c>
      <c r="ED55" s="70">
        <v>382.01</v>
      </c>
      <c r="EE55" s="70">
        <v>380.98</v>
      </c>
      <c r="EF55" s="70">
        <v>379.96</v>
      </c>
      <c r="EG55" s="70">
        <v>378.94</v>
      </c>
      <c r="EH55" s="70">
        <v>377.92</v>
      </c>
      <c r="EI55" s="70">
        <v>376.9</v>
      </c>
      <c r="EJ55" s="70">
        <v>375.87</v>
      </c>
      <c r="EK55" s="70">
        <v>374.85</v>
      </c>
      <c r="EL55" s="70">
        <v>373.83</v>
      </c>
      <c r="EM55" s="70">
        <v>372.81</v>
      </c>
      <c r="EN55" s="70">
        <v>371.79</v>
      </c>
      <c r="EO55" s="70">
        <v>370.77</v>
      </c>
      <c r="EP55" s="70">
        <v>369.75</v>
      </c>
      <c r="EQ55" s="70">
        <v>368.74</v>
      </c>
      <c r="ER55" s="70">
        <v>367.72</v>
      </c>
      <c r="ES55" s="70">
        <v>366.71</v>
      </c>
      <c r="ET55" s="70">
        <v>365.69</v>
      </c>
      <c r="EU55" s="70">
        <v>364.68</v>
      </c>
      <c r="EV55" s="70">
        <v>363.66</v>
      </c>
      <c r="EW55" s="70">
        <v>362.65</v>
      </c>
      <c r="EX55" s="70">
        <v>361.63</v>
      </c>
      <c r="EY55" s="70">
        <v>360.62</v>
      </c>
      <c r="EZ55" s="70">
        <v>359.61</v>
      </c>
      <c r="FA55" s="70">
        <v>358.59</v>
      </c>
      <c r="FB55" s="70">
        <v>357.58</v>
      </c>
      <c r="FC55" s="70">
        <v>356.57</v>
      </c>
      <c r="FD55" s="70">
        <v>355.56</v>
      </c>
      <c r="FE55" s="70">
        <v>354.55</v>
      </c>
      <c r="FF55" s="70">
        <v>353.55</v>
      </c>
      <c r="FG55" s="70">
        <v>352.54</v>
      </c>
      <c r="FH55" s="70">
        <v>351.53</v>
      </c>
      <c r="FI55" s="70">
        <v>350.53</v>
      </c>
      <c r="FJ55" s="70">
        <v>349.52</v>
      </c>
      <c r="FK55" s="70">
        <v>348.52</v>
      </c>
      <c r="FL55" s="70">
        <v>347.51</v>
      </c>
      <c r="FM55" s="70">
        <v>346.51</v>
      </c>
      <c r="FN55" s="70">
        <v>345.5</v>
      </c>
      <c r="FO55" s="70">
        <v>344.5</v>
      </c>
      <c r="FP55" s="70">
        <v>343.5</v>
      </c>
      <c r="FQ55" s="70">
        <v>342.49</v>
      </c>
      <c r="FR55" s="70">
        <v>341.49</v>
      </c>
      <c r="FS55" s="70">
        <v>340.49</v>
      </c>
      <c r="FT55" s="70">
        <v>339.49</v>
      </c>
      <c r="FU55" s="70">
        <v>338.49</v>
      </c>
      <c r="FV55" s="70">
        <v>337.49</v>
      </c>
      <c r="FW55" s="70">
        <v>336.49</v>
      </c>
      <c r="FX55" s="70">
        <v>335.49</v>
      </c>
      <c r="FY55" s="70">
        <v>334.49</v>
      </c>
      <c r="FZ55" s="70">
        <v>333.49</v>
      </c>
      <c r="GA55" s="70">
        <v>332.49</v>
      </c>
      <c r="GB55" s="70">
        <v>331.5</v>
      </c>
      <c r="GC55" s="70">
        <v>330.5</v>
      </c>
      <c r="GD55" s="70">
        <v>329.51</v>
      </c>
      <c r="GE55" s="70">
        <v>328.51</v>
      </c>
      <c r="GF55" s="70">
        <v>327.51</v>
      </c>
      <c r="GG55" s="70">
        <v>326.51</v>
      </c>
      <c r="GH55" s="70">
        <v>325.52999999999997</v>
      </c>
      <c r="GI55" s="70">
        <v>324.52999999999997</v>
      </c>
      <c r="GJ55" s="70">
        <v>323.54000000000002</v>
      </c>
      <c r="GK55" s="70">
        <v>322.54000000000002</v>
      </c>
      <c r="GL55" s="70">
        <v>321.56</v>
      </c>
      <c r="GM55" s="70">
        <v>320.57</v>
      </c>
      <c r="GN55" s="70">
        <v>319.57</v>
      </c>
      <c r="GO55" s="70">
        <v>318.58999999999997</v>
      </c>
      <c r="GP55" s="70">
        <v>317.60000000000002</v>
      </c>
      <c r="GQ55" s="70">
        <v>316.63</v>
      </c>
      <c r="GR55" s="70">
        <v>315.64</v>
      </c>
      <c r="GS55" s="70">
        <v>314.66000000000003</v>
      </c>
      <c r="GT55" s="70">
        <v>313.68</v>
      </c>
      <c r="GU55" s="70">
        <v>312.7</v>
      </c>
      <c r="GV55" s="70">
        <v>311.72000000000003</v>
      </c>
      <c r="GW55" s="70">
        <v>310.74</v>
      </c>
      <c r="GX55" s="70">
        <v>309.76</v>
      </c>
      <c r="GY55" s="70">
        <v>308.77999999999997</v>
      </c>
      <c r="GZ55" s="70">
        <v>307.79000000000002</v>
      </c>
      <c r="HA55" s="70">
        <v>306.82</v>
      </c>
      <c r="HB55" s="70">
        <v>305.85000000000002</v>
      </c>
      <c r="HC55" s="70">
        <v>304.87</v>
      </c>
      <c r="HD55" s="70">
        <v>303.89999999999998</v>
      </c>
      <c r="HE55" s="70">
        <v>302.92</v>
      </c>
      <c r="HF55" s="70">
        <v>301.95</v>
      </c>
      <c r="HG55" s="70">
        <v>300.98</v>
      </c>
      <c r="HH55" s="70">
        <v>300</v>
      </c>
      <c r="HI55" s="70">
        <v>299.02999999999997</v>
      </c>
      <c r="HJ55" s="70">
        <v>298.06</v>
      </c>
      <c r="HK55" s="70">
        <v>297.08999999999997</v>
      </c>
      <c r="HL55" s="70">
        <v>296.13</v>
      </c>
      <c r="HM55" s="70">
        <v>295.17</v>
      </c>
      <c r="HN55" s="70">
        <v>294.20999999999998</v>
      </c>
      <c r="HO55" s="70">
        <v>293.25</v>
      </c>
      <c r="HP55" s="70">
        <v>292.29000000000002</v>
      </c>
      <c r="HQ55" s="70">
        <v>291.32</v>
      </c>
      <c r="HR55" s="70">
        <v>290.37</v>
      </c>
      <c r="HS55" s="70">
        <v>289.41000000000003</v>
      </c>
      <c r="HT55" s="70">
        <v>288.45999999999998</v>
      </c>
      <c r="HU55" s="70">
        <v>287.5</v>
      </c>
      <c r="HV55" s="70">
        <v>286.54000000000002</v>
      </c>
      <c r="HW55" s="70">
        <v>285.58999999999997</v>
      </c>
      <c r="HX55" s="70">
        <v>284.64</v>
      </c>
      <c r="HY55" s="70">
        <v>283.69</v>
      </c>
      <c r="HZ55" s="70">
        <v>282.74</v>
      </c>
      <c r="IA55" s="70">
        <v>281.79000000000002</v>
      </c>
      <c r="IB55" s="70">
        <v>280.83999999999997</v>
      </c>
      <c r="IC55" s="70">
        <v>279.89</v>
      </c>
      <c r="ID55" s="70">
        <v>278.94</v>
      </c>
      <c r="IE55" s="70">
        <v>277.99</v>
      </c>
      <c r="IF55" s="70">
        <v>277.04000000000002</v>
      </c>
      <c r="IG55" s="70">
        <v>276.10000000000002</v>
      </c>
      <c r="IH55" s="70">
        <v>275.14999999999998</v>
      </c>
      <c r="II55" s="70">
        <v>274.2</v>
      </c>
      <c r="IJ55" s="70">
        <v>273.26</v>
      </c>
      <c r="IK55" s="70">
        <v>272.32</v>
      </c>
      <c r="IL55" s="70">
        <v>271.38</v>
      </c>
      <c r="IM55" s="70">
        <v>270.44</v>
      </c>
      <c r="IN55" s="70">
        <v>269.5</v>
      </c>
      <c r="IO55" s="70">
        <v>268.56</v>
      </c>
      <c r="IP55" s="70">
        <v>267.62</v>
      </c>
      <c r="IQ55" s="70">
        <v>266.68</v>
      </c>
      <c r="IR55" s="70">
        <v>265.74</v>
      </c>
      <c r="IS55" s="70">
        <v>264.81</v>
      </c>
      <c r="IT55" s="70">
        <v>263.87</v>
      </c>
      <c r="IU55" s="70">
        <v>262.94</v>
      </c>
      <c r="IV55" s="70">
        <v>262.01</v>
      </c>
      <c r="IW55" s="70">
        <v>261.08999999999997</v>
      </c>
      <c r="IX55" s="70">
        <v>260.17</v>
      </c>
      <c r="IY55" s="70">
        <v>259.25</v>
      </c>
      <c r="IZ55" s="70">
        <v>258.32</v>
      </c>
      <c r="JA55" s="70">
        <v>257.40999999999997</v>
      </c>
      <c r="JB55" s="70">
        <v>256.49</v>
      </c>
      <c r="JC55" s="70">
        <v>255.57</v>
      </c>
      <c r="JD55" s="70">
        <v>254.65</v>
      </c>
      <c r="JE55" s="70">
        <v>253.74</v>
      </c>
      <c r="JF55" s="70">
        <v>252.82</v>
      </c>
      <c r="JG55" s="70">
        <v>251.9</v>
      </c>
      <c r="JH55" s="70">
        <v>250.99</v>
      </c>
      <c r="JI55" s="70">
        <v>250.08</v>
      </c>
      <c r="JJ55" s="70">
        <v>249.17</v>
      </c>
      <c r="JK55" s="70">
        <v>248.26</v>
      </c>
      <c r="JL55" s="70">
        <v>247.35</v>
      </c>
      <c r="JM55" s="70">
        <v>246.44</v>
      </c>
      <c r="JN55" s="70">
        <v>245.53</v>
      </c>
      <c r="JO55" s="70">
        <v>244.62</v>
      </c>
      <c r="JP55" s="70">
        <v>243.71</v>
      </c>
      <c r="JQ55" s="70">
        <v>242.81</v>
      </c>
      <c r="JR55" s="70">
        <v>241.9</v>
      </c>
      <c r="JS55" s="70">
        <v>241</v>
      </c>
      <c r="JT55" s="70">
        <v>240.09</v>
      </c>
      <c r="JU55" s="70">
        <v>239.18</v>
      </c>
      <c r="JV55" s="70">
        <v>238.27</v>
      </c>
      <c r="JW55" s="70">
        <v>237.36</v>
      </c>
      <c r="JX55" s="70">
        <v>236.45</v>
      </c>
      <c r="JY55" s="70">
        <v>235.54</v>
      </c>
      <c r="JZ55" s="70">
        <v>234.63</v>
      </c>
      <c r="KA55" s="70">
        <v>233.72</v>
      </c>
      <c r="KB55" s="70">
        <v>232.82</v>
      </c>
      <c r="KC55" s="70">
        <v>231.91</v>
      </c>
      <c r="KD55" s="70">
        <v>231.01</v>
      </c>
      <c r="KE55" s="70">
        <v>230.1</v>
      </c>
      <c r="KF55" s="70">
        <v>229.2</v>
      </c>
      <c r="KG55" s="70">
        <v>228.3</v>
      </c>
      <c r="KH55" s="70">
        <v>227.4</v>
      </c>
      <c r="KI55" s="70">
        <v>226.5</v>
      </c>
      <c r="KJ55" s="70">
        <v>225.6</v>
      </c>
      <c r="KK55" s="70">
        <v>224.7</v>
      </c>
      <c r="KL55" s="70">
        <v>223.8</v>
      </c>
      <c r="KM55" s="70">
        <v>222.91</v>
      </c>
      <c r="KN55" s="70">
        <v>222.01</v>
      </c>
      <c r="KO55" s="70">
        <v>221.12</v>
      </c>
      <c r="KP55" s="70">
        <v>220.22</v>
      </c>
      <c r="KQ55" s="70">
        <v>219.33</v>
      </c>
      <c r="KR55" s="74">
        <f t="shared" si="34"/>
        <v>221.27</v>
      </c>
      <c r="KS55" s="74">
        <f t="shared" si="34"/>
        <v>220.48</v>
      </c>
      <c r="KT55" s="74">
        <f t="shared" si="34"/>
        <v>219.66</v>
      </c>
      <c r="KU55" s="74">
        <f t="shared" si="34"/>
        <v>218.87</v>
      </c>
      <c r="KV55" s="74">
        <f t="shared" si="34"/>
        <v>218.09</v>
      </c>
      <c r="KW55" s="74">
        <f t="shared" si="34"/>
        <v>217.3</v>
      </c>
      <c r="KX55" s="74">
        <f t="shared" si="34"/>
        <v>216.51</v>
      </c>
      <c r="KY55" s="74">
        <f t="shared" si="34"/>
        <v>215.73</v>
      </c>
      <c r="KZ55" s="74">
        <f t="shared" si="34"/>
        <v>214.94</v>
      </c>
      <c r="LA55" s="74">
        <f t="shared" si="34"/>
        <v>214.16</v>
      </c>
      <c r="LB55" s="74">
        <f t="shared" si="35"/>
        <v>213.38</v>
      </c>
      <c r="LC55" s="74">
        <f t="shared" si="35"/>
        <v>212.6</v>
      </c>
      <c r="LD55" s="74">
        <f t="shared" si="35"/>
        <v>211.82</v>
      </c>
      <c r="LE55" s="74">
        <f t="shared" si="35"/>
        <v>211.04</v>
      </c>
      <c r="LF55" s="74">
        <f t="shared" si="35"/>
        <v>210.27</v>
      </c>
      <c r="LG55" s="74">
        <f t="shared" si="35"/>
        <v>209.5</v>
      </c>
      <c r="LH55" s="74">
        <f t="shared" si="35"/>
        <v>208.72</v>
      </c>
      <c r="LI55" s="74">
        <f t="shared" si="35"/>
        <v>207.95</v>
      </c>
      <c r="LJ55" s="74">
        <f t="shared" si="35"/>
        <v>207.18</v>
      </c>
      <c r="LK55" s="74">
        <f t="shared" si="35"/>
        <v>206.41</v>
      </c>
      <c r="LL55" s="74">
        <f t="shared" si="33"/>
        <v>205.64</v>
      </c>
      <c r="LM55" s="74">
        <f t="shared" si="33"/>
        <v>204.88</v>
      </c>
      <c r="LN55" s="74">
        <f t="shared" si="33"/>
        <v>204.11</v>
      </c>
      <c r="LO55" s="74">
        <f t="shared" si="33"/>
        <v>203.35</v>
      </c>
      <c r="LP55" s="74">
        <f t="shared" si="33"/>
        <v>202.59</v>
      </c>
      <c r="LQ55" s="74">
        <f t="shared" si="33"/>
        <v>201.83</v>
      </c>
      <c r="LR55" s="74">
        <f t="shared" si="33"/>
        <v>201.07</v>
      </c>
      <c r="LS55" s="74">
        <f t="shared" si="33"/>
        <v>200.31</v>
      </c>
      <c r="LT55" s="74">
        <f t="shared" si="33"/>
        <v>199.56</v>
      </c>
      <c r="LU55" s="74">
        <f t="shared" si="33"/>
        <v>198.81</v>
      </c>
      <c r="LV55" s="74">
        <f t="shared" si="33"/>
        <v>198.05</v>
      </c>
      <c r="LW55" s="74">
        <f t="shared" si="33"/>
        <v>197.3</v>
      </c>
      <c r="LX55" s="74">
        <f t="shared" si="30"/>
        <v>196.55</v>
      </c>
      <c r="LY55" s="74">
        <f t="shared" si="30"/>
        <v>195.8</v>
      </c>
      <c r="LZ55" s="74">
        <f t="shared" si="30"/>
        <v>195.06</v>
      </c>
      <c r="MA55" s="74">
        <f t="shared" si="30"/>
        <v>194.31</v>
      </c>
      <c r="MB55" s="74">
        <f t="shared" si="30"/>
        <v>193.57</v>
      </c>
      <c r="MC55" s="74">
        <f t="shared" si="30"/>
        <v>192.83</v>
      </c>
      <c r="MD55" s="76">
        <f t="shared" si="30"/>
        <v>192.09</v>
      </c>
      <c r="ME55" s="77">
        <f t="shared" si="30"/>
        <v>191.36</v>
      </c>
      <c r="MF55" s="77">
        <f t="shared" si="30"/>
        <v>190.62</v>
      </c>
      <c r="MG55" s="77">
        <f t="shared" si="30"/>
        <v>189.89</v>
      </c>
      <c r="MH55" s="77">
        <f t="shared" si="30"/>
        <v>189.15</v>
      </c>
      <c r="MI55" s="77">
        <f t="shared" si="30"/>
        <v>188.42</v>
      </c>
      <c r="MJ55" s="77">
        <f t="shared" si="30"/>
        <v>187.69</v>
      </c>
      <c r="MK55" s="77">
        <f t="shared" si="30"/>
        <v>186.96</v>
      </c>
      <c r="ML55" s="77">
        <f t="shared" si="30"/>
        <v>186.24</v>
      </c>
      <c r="MM55" s="77">
        <f t="shared" si="30"/>
        <v>185.51</v>
      </c>
      <c r="MN55" s="77">
        <f t="shared" si="32"/>
        <v>184.79</v>
      </c>
      <c r="MO55" s="77">
        <f t="shared" si="32"/>
        <v>184.07</v>
      </c>
      <c r="MP55" s="77">
        <f t="shared" si="32"/>
        <v>183.35</v>
      </c>
      <c r="MQ55" s="77">
        <f t="shared" si="32"/>
        <v>182.64</v>
      </c>
      <c r="MR55" s="77">
        <f t="shared" si="32"/>
        <v>181.92</v>
      </c>
      <c r="MS55" s="77">
        <f t="shared" si="32"/>
        <v>181.21</v>
      </c>
      <c r="MT55" s="77">
        <f t="shared" si="32"/>
        <v>180.49</v>
      </c>
      <c r="MU55" s="77">
        <f t="shared" si="32"/>
        <v>179.78</v>
      </c>
      <c r="MV55" s="77">
        <f t="shared" si="32"/>
        <v>179.07</v>
      </c>
      <c r="MW55" s="77">
        <f t="shared" si="32"/>
        <v>178.37</v>
      </c>
      <c r="MX55" s="77">
        <f t="shared" si="32"/>
        <v>177.66</v>
      </c>
      <c r="MY55" s="77">
        <f>MY54+0.75</f>
        <v>176.96</v>
      </c>
    </row>
    <row r="56" spans="1:363" ht="15.6" x14ac:dyDescent="0.3">
      <c r="A56" s="67" t="s">
        <v>6</v>
      </c>
      <c r="B56" s="72">
        <v>2066</v>
      </c>
      <c r="C56" s="70">
        <v>518.35</v>
      </c>
      <c r="D56" s="70">
        <v>517.32000000000005</v>
      </c>
      <c r="E56" s="70">
        <v>516.29</v>
      </c>
      <c r="F56" s="70">
        <v>515.25</v>
      </c>
      <c r="G56" s="70">
        <v>514.22</v>
      </c>
      <c r="H56" s="70">
        <v>513.18000000000006</v>
      </c>
      <c r="I56" s="70">
        <v>512.15</v>
      </c>
      <c r="J56" s="70">
        <v>511.11</v>
      </c>
      <c r="K56" s="70">
        <v>510.08</v>
      </c>
      <c r="L56" s="70">
        <v>509.04</v>
      </c>
      <c r="M56" s="70">
        <v>508.01</v>
      </c>
      <c r="N56" s="70">
        <v>506.97</v>
      </c>
      <c r="O56" s="70">
        <v>505.94</v>
      </c>
      <c r="P56" s="70">
        <v>504.9</v>
      </c>
      <c r="Q56" s="70">
        <v>503.87</v>
      </c>
      <c r="R56" s="70">
        <v>502.83</v>
      </c>
      <c r="S56" s="70">
        <v>501.8</v>
      </c>
      <c r="T56" s="70">
        <v>500.76</v>
      </c>
      <c r="U56" s="70">
        <v>499.73</v>
      </c>
      <c r="V56" s="70">
        <v>498.69</v>
      </c>
      <c r="W56" s="70">
        <v>497.66</v>
      </c>
      <c r="X56" s="70">
        <v>496.62</v>
      </c>
      <c r="Y56" s="70">
        <v>495.59</v>
      </c>
      <c r="Z56" s="70">
        <v>494.55</v>
      </c>
      <c r="AA56" s="70">
        <v>493.52</v>
      </c>
      <c r="AB56" s="70">
        <v>492.48</v>
      </c>
      <c r="AC56" s="70">
        <v>491.45</v>
      </c>
      <c r="AD56" s="70">
        <v>490.41</v>
      </c>
      <c r="AE56" s="70">
        <v>489.37</v>
      </c>
      <c r="AF56" s="70">
        <v>488.34</v>
      </c>
      <c r="AG56" s="70">
        <v>487.3</v>
      </c>
      <c r="AH56" s="70">
        <v>486.27</v>
      </c>
      <c r="AI56" s="70">
        <v>485.23</v>
      </c>
      <c r="AJ56" s="70">
        <v>484.19</v>
      </c>
      <c r="AK56" s="70">
        <v>483.16</v>
      </c>
      <c r="AL56" s="70">
        <v>482.12</v>
      </c>
      <c r="AM56" s="70">
        <v>481.09</v>
      </c>
      <c r="AN56" s="70">
        <v>480.05</v>
      </c>
      <c r="AO56" s="70">
        <v>479.01</v>
      </c>
      <c r="AP56" s="70">
        <v>477.98</v>
      </c>
      <c r="AQ56" s="70">
        <v>476.94</v>
      </c>
      <c r="AR56" s="70">
        <v>475.9</v>
      </c>
      <c r="AS56" s="70">
        <v>474.87</v>
      </c>
      <c r="AT56" s="70">
        <v>473.83</v>
      </c>
      <c r="AU56" s="70">
        <v>472.79</v>
      </c>
      <c r="AV56" s="70">
        <v>471.76</v>
      </c>
      <c r="AW56" s="70">
        <v>470.72</v>
      </c>
      <c r="AX56" s="70">
        <v>469.69</v>
      </c>
      <c r="AY56" s="70">
        <v>468.65</v>
      </c>
      <c r="AZ56" s="70">
        <v>467.61</v>
      </c>
      <c r="BA56" s="70">
        <v>466.58</v>
      </c>
      <c r="BB56" s="70">
        <v>465.54</v>
      </c>
      <c r="BC56" s="70">
        <v>464.5</v>
      </c>
      <c r="BD56" s="70">
        <v>463.46</v>
      </c>
      <c r="BE56" s="70">
        <v>462.43</v>
      </c>
      <c r="BF56" s="70">
        <v>461.39</v>
      </c>
      <c r="BG56" s="70">
        <v>460.35</v>
      </c>
      <c r="BH56" s="70">
        <v>459.32</v>
      </c>
      <c r="BI56" s="70">
        <v>458.28</v>
      </c>
      <c r="BJ56" s="70">
        <v>457.24</v>
      </c>
      <c r="BK56" s="70">
        <v>456.21</v>
      </c>
      <c r="BL56" s="70">
        <v>455.17</v>
      </c>
      <c r="BM56" s="70">
        <v>454.13</v>
      </c>
      <c r="BN56" s="70">
        <v>453.09</v>
      </c>
      <c r="BO56" s="70">
        <v>452.05</v>
      </c>
      <c r="BP56" s="70">
        <v>451.02</v>
      </c>
      <c r="BQ56" s="70">
        <v>449.98</v>
      </c>
      <c r="BR56" s="70">
        <v>448.94</v>
      </c>
      <c r="BS56" s="70">
        <v>447.9</v>
      </c>
      <c r="BT56" s="70">
        <v>446.87</v>
      </c>
      <c r="BU56" s="70">
        <v>445.83</v>
      </c>
      <c r="BV56" s="70">
        <v>444.79</v>
      </c>
      <c r="BW56" s="70">
        <v>443.75</v>
      </c>
      <c r="BX56" s="70">
        <v>442.72</v>
      </c>
      <c r="BY56" s="70">
        <v>441.68</v>
      </c>
      <c r="BZ56" s="70">
        <v>440.64</v>
      </c>
      <c r="CA56" s="70">
        <v>439.61</v>
      </c>
      <c r="CB56" s="70">
        <v>438.57</v>
      </c>
      <c r="CC56" s="70">
        <v>437.53</v>
      </c>
      <c r="CD56" s="70">
        <v>436.5</v>
      </c>
      <c r="CE56" s="70">
        <v>435.46</v>
      </c>
      <c r="CF56" s="70">
        <v>434.43</v>
      </c>
      <c r="CG56" s="70">
        <v>433.39</v>
      </c>
      <c r="CH56" s="70">
        <v>432.35</v>
      </c>
      <c r="CI56" s="70">
        <v>431.32</v>
      </c>
      <c r="CJ56" s="70">
        <v>430.28</v>
      </c>
      <c r="CK56" s="70">
        <v>429.24</v>
      </c>
      <c r="CL56" s="70">
        <v>428.21</v>
      </c>
      <c r="CM56" s="70">
        <v>427.17</v>
      </c>
      <c r="CN56" s="70">
        <v>426.13</v>
      </c>
      <c r="CO56" s="70">
        <v>425.1</v>
      </c>
      <c r="CP56" s="70">
        <v>424.06</v>
      </c>
      <c r="CQ56" s="70">
        <v>423.02</v>
      </c>
      <c r="CR56" s="70">
        <v>421.99</v>
      </c>
      <c r="CS56" s="70">
        <v>420.95</v>
      </c>
      <c r="CT56" s="70">
        <v>419.91</v>
      </c>
      <c r="CU56" s="70">
        <v>418.88</v>
      </c>
      <c r="CV56" s="70">
        <v>417.84</v>
      </c>
      <c r="CW56" s="70">
        <v>416.81</v>
      </c>
      <c r="CX56" s="70">
        <v>415.77</v>
      </c>
      <c r="CY56" s="70">
        <v>414.74</v>
      </c>
      <c r="CZ56" s="70">
        <v>413.7</v>
      </c>
      <c r="DA56" s="70">
        <v>412.67</v>
      </c>
      <c r="DB56" s="70">
        <v>411.63</v>
      </c>
      <c r="DC56" s="70">
        <v>410.6</v>
      </c>
      <c r="DD56" s="70">
        <v>409.56</v>
      </c>
      <c r="DE56" s="70">
        <v>408.53</v>
      </c>
      <c r="DF56" s="70">
        <v>407.49</v>
      </c>
      <c r="DG56" s="70">
        <v>406.46</v>
      </c>
      <c r="DH56" s="70">
        <v>405.43</v>
      </c>
      <c r="DI56" s="70">
        <v>404.39</v>
      </c>
      <c r="DJ56" s="70">
        <v>403.36</v>
      </c>
      <c r="DK56" s="70">
        <v>402.33</v>
      </c>
      <c r="DL56" s="70">
        <v>401.29</v>
      </c>
      <c r="DM56" s="70">
        <v>400.26</v>
      </c>
      <c r="DN56" s="70">
        <v>399.23</v>
      </c>
      <c r="DO56" s="70">
        <v>398.19</v>
      </c>
      <c r="DP56" s="70">
        <v>397.16</v>
      </c>
      <c r="DQ56" s="70">
        <v>396.13</v>
      </c>
      <c r="DR56" s="70">
        <v>395.1</v>
      </c>
      <c r="DS56" s="70">
        <v>394.06</v>
      </c>
      <c r="DT56" s="70">
        <v>393.03</v>
      </c>
      <c r="DU56" s="70">
        <v>392.01</v>
      </c>
      <c r="DV56" s="70">
        <v>390.98</v>
      </c>
      <c r="DW56" s="70">
        <v>389.95</v>
      </c>
      <c r="DX56" s="70">
        <v>388.92</v>
      </c>
      <c r="DY56" s="70">
        <v>387.89</v>
      </c>
      <c r="DZ56" s="70">
        <v>386.87</v>
      </c>
      <c r="EA56" s="70">
        <v>385.84</v>
      </c>
      <c r="EB56" s="70">
        <v>384.81</v>
      </c>
      <c r="EC56" s="70">
        <v>383.78</v>
      </c>
      <c r="ED56" s="70">
        <v>382.76</v>
      </c>
      <c r="EE56" s="70">
        <v>381.73</v>
      </c>
      <c r="EF56" s="70">
        <v>380.71</v>
      </c>
      <c r="EG56" s="70">
        <v>379.69</v>
      </c>
      <c r="EH56" s="70">
        <v>378.67</v>
      </c>
      <c r="EI56" s="70">
        <v>377.65</v>
      </c>
      <c r="EJ56" s="70">
        <v>376.62</v>
      </c>
      <c r="EK56" s="70">
        <v>375.6</v>
      </c>
      <c r="EL56" s="70">
        <v>374.58</v>
      </c>
      <c r="EM56" s="70">
        <v>373.56</v>
      </c>
      <c r="EN56" s="70">
        <v>372.54</v>
      </c>
      <c r="EO56" s="70">
        <v>371.52</v>
      </c>
      <c r="EP56" s="70">
        <v>370.5</v>
      </c>
      <c r="EQ56" s="70">
        <v>369.49</v>
      </c>
      <c r="ER56" s="70">
        <v>368.47</v>
      </c>
      <c r="ES56" s="70">
        <v>367.46</v>
      </c>
      <c r="ET56" s="70">
        <v>366.44</v>
      </c>
      <c r="EU56" s="70">
        <v>365.43</v>
      </c>
      <c r="EV56" s="70">
        <v>364.41</v>
      </c>
      <c r="EW56" s="70">
        <v>363.4</v>
      </c>
      <c r="EX56" s="70">
        <v>362.38</v>
      </c>
      <c r="EY56" s="70">
        <v>361.37</v>
      </c>
      <c r="EZ56" s="70">
        <v>360.36</v>
      </c>
      <c r="FA56" s="70">
        <v>359.34</v>
      </c>
      <c r="FB56" s="70">
        <v>358.33</v>
      </c>
      <c r="FC56" s="70">
        <v>357.32</v>
      </c>
      <c r="FD56" s="70">
        <v>356.31</v>
      </c>
      <c r="FE56" s="70">
        <v>355.3</v>
      </c>
      <c r="FF56" s="70">
        <v>354.3</v>
      </c>
      <c r="FG56" s="70">
        <v>353.29</v>
      </c>
      <c r="FH56" s="70">
        <v>352.28</v>
      </c>
      <c r="FI56" s="70">
        <v>351.28</v>
      </c>
      <c r="FJ56" s="70">
        <v>350.27</v>
      </c>
      <c r="FK56" s="70">
        <v>349.27</v>
      </c>
      <c r="FL56" s="70">
        <v>348.26</v>
      </c>
      <c r="FM56" s="70">
        <v>347.26</v>
      </c>
      <c r="FN56" s="70">
        <v>346.25</v>
      </c>
      <c r="FO56" s="70">
        <v>345.25</v>
      </c>
      <c r="FP56" s="70">
        <v>344.25</v>
      </c>
      <c r="FQ56" s="70">
        <v>343.24</v>
      </c>
      <c r="FR56" s="70">
        <v>342.24</v>
      </c>
      <c r="FS56" s="70">
        <v>341.24</v>
      </c>
      <c r="FT56" s="70">
        <v>340.24</v>
      </c>
      <c r="FU56" s="70">
        <v>339.24</v>
      </c>
      <c r="FV56" s="70">
        <v>338.24</v>
      </c>
      <c r="FW56" s="70">
        <v>337.24</v>
      </c>
      <c r="FX56" s="70">
        <v>336.24</v>
      </c>
      <c r="FY56" s="70">
        <v>335.24</v>
      </c>
      <c r="FZ56" s="70">
        <v>334.24</v>
      </c>
      <c r="GA56" s="70">
        <v>333.24</v>
      </c>
      <c r="GB56" s="70">
        <v>332.25</v>
      </c>
      <c r="GC56" s="70">
        <v>331.25</v>
      </c>
      <c r="GD56" s="70">
        <v>330.26</v>
      </c>
      <c r="GE56" s="70">
        <v>329.26</v>
      </c>
      <c r="GF56" s="70">
        <v>328.26</v>
      </c>
      <c r="GG56" s="70">
        <v>327.26</v>
      </c>
      <c r="GH56" s="70">
        <v>326.27999999999997</v>
      </c>
      <c r="GI56" s="70">
        <v>325.27999999999997</v>
      </c>
      <c r="GJ56" s="70">
        <v>324.29000000000002</v>
      </c>
      <c r="GK56" s="70">
        <v>323.29000000000002</v>
      </c>
      <c r="GL56" s="70">
        <v>322.31</v>
      </c>
      <c r="GM56" s="70">
        <v>321.32</v>
      </c>
      <c r="GN56" s="70">
        <v>320.32</v>
      </c>
      <c r="GO56" s="70">
        <v>319.33999999999997</v>
      </c>
      <c r="GP56" s="70">
        <v>318.35000000000002</v>
      </c>
      <c r="GQ56" s="70">
        <v>317.38</v>
      </c>
      <c r="GR56" s="70">
        <v>316.39</v>
      </c>
      <c r="GS56" s="70">
        <v>315.41000000000003</v>
      </c>
      <c r="GT56" s="70">
        <v>314.43</v>
      </c>
      <c r="GU56" s="70">
        <v>313.45</v>
      </c>
      <c r="GV56" s="70">
        <v>312.47000000000003</v>
      </c>
      <c r="GW56" s="70">
        <v>311.49</v>
      </c>
      <c r="GX56" s="70">
        <v>310.51</v>
      </c>
      <c r="GY56" s="70">
        <v>309.52999999999997</v>
      </c>
      <c r="GZ56" s="70">
        <v>308.54000000000002</v>
      </c>
      <c r="HA56" s="70">
        <v>307.57</v>
      </c>
      <c r="HB56" s="70">
        <v>306.60000000000002</v>
      </c>
      <c r="HC56" s="70">
        <v>305.62</v>
      </c>
      <c r="HD56" s="70">
        <v>304.64999999999998</v>
      </c>
      <c r="HE56" s="70">
        <v>303.67</v>
      </c>
      <c r="HF56" s="70">
        <v>302.7</v>
      </c>
      <c r="HG56" s="70">
        <v>301.73</v>
      </c>
      <c r="HH56" s="70">
        <v>300.75</v>
      </c>
      <c r="HI56" s="70">
        <v>299.77999999999997</v>
      </c>
      <c r="HJ56" s="70">
        <v>298.81</v>
      </c>
      <c r="HK56" s="70">
        <v>297.83999999999997</v>
      </c>
      <c r="HL56" s="70">
        <v>296.88</v>
      </c>
      <c r="HM56" s="70">
        <v>295.92</v>
      </c>
      <c r="HN56" s="70">
        <v>294.95999999999998</v>
      </c>
      <c r="HO56" s="70">
        <v>294</v>
      </c>
      <c r="HP56" s="70">
        <v>293.04000000000002</v>
      </c>
      <c r="HQ56" s="70">
        <v>292.07</v>
      </c>
      <c r="HR56" s="70">
        <v>291.12</v>
      </c>
      <c r="HS56" s="70">
        <v>290.16000000000003</v>
      </c>
      <c r="HT56" s="70">
        <v>289.20999999999998</v>
      </c>
      <c r="HU56" s="70">
        <v>288.25</v>
      </c>
      <c r="HV56" s="70">
        <v>287.29000000000002</v>
      </c>
      <c r="HW56" s="70">
        <v>286.33999999999997</v>
      </c>
      <c r="HX56" s="70">
        <v>285.39</v>
      </c>
      <c r="HY56" s="70">
        <v>284.44</v>
      </c>
      <c r="HZ56" s="70">
        <v>283.49</v>
      </c>
      <c r="IA56" s="70">
        <v>282.54000000000002</v>
      </c>
      <c r="IB56" s="70">
        <v>281.58999999999997</v>
      </c>
      <c r="IC56" s="70">
        <v>280.64</v>
      </c>
      <c r="ID56" s="70">
        <v>279.69</v>
      </c>
      <c r="IE56" s="70">
        <v>278.74</v>
      </c>
      <c r="IF56" s="70">
        <v>277.79000000000002</v>
      </c>
      <c r="IG56" s="70">
        <v>276.85000000000002</v>
      </c>
      <c r="IH56" s="70">
        <v>275.89999999999998</v>
      </c>
      <c r="II56" s="70">
        <v>274.95</v>
      </c>
      <c r="IJ56" s="70">
        <v>274.01</v>
      </c>
      <c r="IK56" s="70">
        <v>273.07</v>
      </c>
      <c r="IL56" s="70">
        <v>272.13</v>
      </c>
      <c r="IM56" s="70">
        <v>271.19</v>
      </c>
      <c r="IN56" s="70">
        <v>270.25</v>
      </c>
      <c r="IO56" s="70">
        <v>269.31</v>
      </c>
      <c r="IP56" s="70">
        <v>268.37</v>
      </c>
      <c r="IQ56" s="70">
        <v>267.43</v>
      </c>
      <c r="IR56" s="70">
        <v>266.49</v>
      </c>
      <c r="IS56" s="70">
        <v>265.56</v>
      </c>
      <c r="IT56" s="70">
        <v>264.62</v>
      </c>
      <c r="IU56" s="70">
        <v>263.69</v>
      </c>
      <c r="IV56" s="70">
        <v>262.76</v>
      </c>
      <c r="IW56" s="70">
        <v>261.83999999999997</v>
      </c>
      <c r="IX56" s="70">
        <v>260.92</v>
      </c>
      <c r="IY56" s="70">
        <v>260</v>
      </c>
      <c r="IZ56" s="70">
        <v>259.07</v>
      </c>
      <c r="JA56" s="70">
        <v>258.15999999999997</v>
      </c>
      <c r="JB56" s="70">
        <v>257.24</v>
      </c>
      <c r="JC56" s="70">
        <v>256.32</v>
      </c>
      <c r="JD56" s="70">
        <v>255.4</v>
      </c>
      <c r="JE56" s="70">
        <v>254.49</v>
      </c>
      <c r="JF56" s="70">
        <v>253.57</v>
      </c>
      <c r="JG56" s="70">
        <v>252.65</v>
      </c>
      <c r="JH56" s="70">
        <v>251.74</v>
      </c>
      <c r="JI56" s="70">
        <v>250.83</v>
      </c>
      <c r="JJ56" s="70">
        <v>249.92</v>
      </c>
      <c r="JK56" s="70">
        <v>249.01</v>
      </c>
      <c r="JL56" s="70">
        <v>248.1</v>
      </c>
      <c r="JM56" s="70">
        <v>247.19</v>
      </c>
      <c r="JN56" s="70">
        <v>246.28</v>
      </c>
      <c r="JO56" s="70">
        <v>245.37</v>
      </c>
      <c r="JP56" s="70">
        <v>244.46</v>
      </c>
      <c r="JQ56" s="70">
        <v>243.56</v>
      </c>
      <c r="JR56" s="70">
        <v>242.65</v>
      </c>
      <c r="JS56" s="70">
        <v>241.75</v>
      </c>
      <c r="JT56" s="70">
        <v>240.84</v>
      </c>
      <c r="JU56" s="70">
        <v>239.93</v>
      </c>
      <c r="JV56" s="70">
        <v>239.02</v>
      </c>
      <c r="JW56" s="70">
        <v>238.11</v>
      </c>
      <c r="JX56" s="70">
        <v>237.2</v>
      </c>
      <c r="JY56" s="70">
        <v>236.29</v>
      </c>
      <c r="JZ56" s="70">
        <v>235.38</v>
      </c>
      <c r="KA56" s="70">
        <v>234.47</v>
      </c>
      <c r="KB56" s="70">
        <v>233.57</v>
      </c>
      <c r="KC56" s="70">
        <v>232.66</v>
      </c>
      <c r="KD56" s="70">
        <v>231.76</v>
      </c>
      <c r="KE56" s="70">
        <v>230.85</v>
      </c>
      <c r="KF56" s="70">
        <v>229.95</v>
      </c>
      <c r="KG56" s="70">
        <v>229.05</v>
      </c>
      <c r="KH56" s="70">
        <v>228.15</v>
      </c>
      <c r="KI56" s="70">
        <v>227.25</v>
      </c>
      <c r="KJ56" s="70">
        <v>226.35</v>
      </c>
      <c r="KK56" s="70">
        <v>225.45</v>
      </c>
      <c r="KL56" s="70">
        <v>224.55</v>
      </c>
      <c r="KM56" s="70">
        <v>223.66</v>
      </c>
      <c r="KN56" s="70">
        <v>222.76</v>
      </c>
      <c r="KO56" s="70">
        <v>221.87</v>
      </c>
      <c r="KP56" s="70">
        <v>220.97</v>
      </c>
      <c r="KQ56" s="70">
        <v>220.08</v>
      </c>
      <c r="KR56" s="74">
        <f t="shared" si="34"/>
        <v>222.02</v>
      </c>
      <c r="KS56" s="74">
        <f t="shared" si="34"/>
        <v>221.23</v>
      </c>
      <c r="KT56" s="74">
        <f t="shared" si="34"/>
        <v>220.41</v>
      </c>
      <c r="KU56" s="74">
        <f t="shared" si="34"/>
        <v>219.62</v>
      </c>
      <c r="KV56" s="74">
        <f t="shared" si="34"/>
        <v>218.84</v>
      </c>
      <c r="KW56" s="74">
        <f t="shared" si="34"/>
        <v>218.05</v>
      </c>
      <c r="KX56" s="74">
        <f t="shared" si="34"/>
        <v>217.26</v>
      </c>
      <c r="KY56" s="74">
        <f t="shared" si="34"/>
        <v>216.48</v>
      </c>
      <c r="KZ56" s="74">
        <f t="shared" si="34"/>
        <v>215.69</v>
      </c>
      <c r="LA56" s="74">
        <f t="shared" si="34"/>
        <v>214.91</v>
      </c>
      <c r="LB56" s="74">
        <f t="shared" si="35"/>
        <v>214.13</v>
      </c>
      <c r="LC56" s="74">
        <f t="shared" si="35"/>
        <v>213.35</v>
      </c>
      <c r="LD56" s="74">
        <f t="shared" si="35"/>
        <v>212.57</v>
      </c>
      <c r="LE56" s="74">
        <f t="shared" si="35"/>
        <v>211.79</v>
      </c>
      <c r="LF56" s="74">
        <f t="shared" si="35"/>
        <v>211.02</v>
      </c>
      <c r="LG56" s="74">
        <f t="shared" si="35"/>
        <v>210.25</v>
      </c>
      <c r="LH56" s="74">
        <f t="shared" si="35"/>
        <v>209.47</v>
      </c>
      <c r="LI56" s="74">
        <f t="shared" si="35"/>
        <v>208.7</v>
      </c>
      <c r="LJ56" s="74">
        <f t="shared" si="35"/>
        <v>207.93</v>
      </c>
      <c r="LK56" s="74">
        <f t="shared" si="35"/>
        <v>207.16</v>
      </c>
      <c r="LL56" s="74">
        <f t="shared" si="33"/>
        <v>206.39</v>
      </c>
      <c r="LM56" s="74">
        <f t="shared" si="33"/>
        <v>205.63</v>
      </c>
      <c r="LN56" s="74">
        <f t="shared" si="33"/>
        <v>204.86</v>
      </c>
      <c r="LO56" s="74">
        <f t="shared" si="33"/>
        <v>204.1</v>
      </c>
      <c r="LP56" s="74">
        <f t="shared" si="33"/>
        <v>203.34</v>
      </c>
      <c r="LQ56" s="74">
        <f t="shared" si="33"/>
        <v>202.58</v>
      </c>
      <c r="LR56" s="74">
        <f t="shared" si="33"/>
        <v>201.82</v>
      </c>
      <c r="LS56" s="74">
        <f t="shared" si="33"/>
        <v>201.06</v>
      </c>
      <c r="LT56" s="74">
        <f t="shared" si="33"/>
        <v>200.31</v>
      </c>
      <c r="LU56" s="74">
        <f t="shared" si="33"/>
        <v>199.56</v>
      </c>
      <c r="LV56" s="74">
        <f t="shared" si="33"/>
        <v>198.8</v>
      </c>
      <c r="LW56" s="74">
        <f t="shared" si="33"/>
        <v>198.05</v>
      </c>
      <c r="LX56" s="74">
        <f t="shared" si="30"/>
        <v>197.3</v>
      </c>
      <c r="LY56" s="74">
        <f t="shared" si="30"/>
        <v>196.55</v>
      </c>
      <c r="LZ56" s="74">
        <f t="shared" si="30"/>
        <v>195.81</v>
      </c>
      <c r="MA56" s="74">
        <f t="shared" si="30"/>
        <v>195.06</v>
      </c>
      <c r="MB56" s="74">
        <f t="shared" si="30"/>
        <v>194.32</v>
      </c>
      <c r="MC56" s="74">
        <f t="shared" si="30"/>
        <v>193.58</v>
      </c>
      <c r="MD56" s="76">
        <f t="shared" si="30"/>
        <v>192.84</v>
      </c>
      <c r="ME56" s="77">
        <f t="shared" si="30"/>
        <v>192.11</v>
      </c>
      <c r="MF56" s="77">
        <f t="shared" si="30"/>
        <v>191.37</v>
      </c>
      <c r="MG56" s="77">
        <f t="shared" si="30"/>
        <v>190.64</v>
      </c>
      <c r="MH56" s="77">
        <f t="shared" si="30"/>
        <v>189.9</v>
      </c>
      <c r="MI56" s="77">
        <f t="shared" si="30"/>
        <v>189.17</v>
      </c>
      <c r="MJ56" s="77">
        <f t="shared" si="30"/>
        <v>188.44</v>
      </c>
      <c r="MK56" s="77">
        <f t="shared" si="30"/>
        <v>187.71</v>
      </c>
      <c r="ML56" s="77">
        <f t="shared" si="30"/>
        <v>186.99</v>
      </c>
      <c r="MM56" s="77">
        <f t="shared" ref="LN56:MY63" si="36">MM55+0.75</f>
        <v>186.26</v>
      </c>
      <c r="MN56" s="77">
        <f t="shared" si="36"/>
        <v>185.54</v>
      </c>
      <c r="MO56" s="77">
        <f t="shared" si="36"/>
        <v>184.82</v>
      </c>
      <c r="MP56" s="77">
        <f t="shared" si="36"/>
        <v>184.1</v>
      </c>
      <c r="MQ56" s="77">
        <f t="shared" si="36"/>
        <v>183.39</v>
      </c>
      <c r="MR56" s="77">
        <f t="shared" si="36"/>
        <v>182.67</v>
      </c>
      <c r="MS56" s="77">
        <f t="shared" si="36"/>
        <v>181.96</v>
      </c>
      <c r="MT56" s="77">
        <f t="shared" si="36"/>
        <v>181.24</v>
      </c>
      <c r="MU56" s="77">
        <f t="shared" si="36"/>
        <v>180.53</v>
      </c>
      <c r="MV56" s="77">
        <f t="shared" si="36"/>
        <v>179.82</v>
      </c>
      <c r="MW56" s="77">
        <f t="shared" si="36"/>
        <v>179.12</v>
      </c>
      <c r="MX56" s="77">
        <f t="shared" si="36"/>
        <v>178.41</v>
      </c>
      <c r="MY56" s="77">
        <f t="shared" si="36"/>
        <v>177.71</v>
      </c>
    </row>
    <row r="57" spans="1:363" ht="15.6" x14ac:dyDescent="0.3">
      <c r="A57" s="67" t="s">
        <v>6</v>
      </c>
      <c r="B57" s="72">
        <v>2067</v>
      </c>
      <c r="C57" s="70">
        <v>519.08000000000004</v>
      </c>
      <c r="D57" s="70">
        <v>518.07000000000005</v>
      </c>
      <c r="E57" s="70">
        <v>517.04</v>
      </c>
      <c r="F57" s="70">
        <v>516</v>
      </c>
      <c r="G57" s="70">
        <v>514.97</v>
      </c>
      <c r="H57" s="70">
        <v>513.93000000000006</v>
      </c>
      <c r="I57" s="70">
        <v>512.9</v>
      </c>
      <c r="J57" s="70">
        <v>511.86</v>
      </c>
      <c r="K57" s="70">
        <v>510.83</v>
      </c>
      <c r="L57" s="70">
        <v>509.79</v>
      </c>
      <c r="M57" s="70">
        <v>508.76</v>
      </c>
      <c r="N57" s="70">
        <v>507.72</v>
      </c>
      <c r="O57" s="70">
        <v>506.69</v>
      </c>
      <c r="P57" s="70">
        <v>505.65</v>
      </c>
      <c r="Q57" s="70">
        <v>504.62</v>
      </c>
      <c r="R57" s="70">
        <v>503.58</v>
      </c>
      <c r="S57" s="70">
        <v>502.55</v>
      </c>
      <c r="T57" s="70">
        <v>501.51</v>
      </c>
      <c r="U57" s="70">
        <v>500.48</v>
      </c>
      <c r="V57" s="70">
        <v>499.44</v>
      </c>
      <c r="W57" s="70">
        <v>498.41</v>
      </c>
      <c r="X57" s="70">
        <v>497.37</v>
      </c>
      <c r="Y57" s="70">
        <v>496.34</v>
      </c>
      <c r="Z57" s="70">
        <v>495.3</v>
      </c>
      <c r="AA57" s="70">
        <v>494.27</v>
      </c>
      <c r="AB57" s="70">
        <v>493.23</v>
      </c>
      <c r="AC57" s="70">
        <v>492.2</v>
      </c>
      <c r="AD57" s="70">
        <v>491.16</v>
      </c>
      <c r="AE57" s="70">
        <v>490.12</v>
      </c>
      <c r="AF57" s="70">
        <v>489.09</v>
      </c>
      <c r="AG57" s="70">
        <v>488.05</v>
      </c>
      <c r="AH57" s="70">
        <v>487.02</v>
      </c>
      <c r="AI57" s="70">
        <v>485.98</v>
      </c>
      <c r="AJ57" s="70">
        <v>484.94</v>
      </c>
      <c r="AK57" s="70">
        <v>483.91</v>
      </c>
      <c r="AL57" s="70">
        <v>482.87</v>
      </c>
      <c r="AM57" s="70">
        <v>481.84</v>
      </c>
      <c r="AN57" s="70">
        <v>480.8</v>
      </c>
      <c r="AO57" s="70">
        <v>479.76</v>
      </c>
      <c r="AP57" s="70">
        <v>478.73</v>
      </c>
      <c r="AQ57" s="70">
        <v>477.69</v>
      </c>
      <c r="AR57" s="70">
        <v>476.65</v>
      </c>
      <c r="AS57" s="70">
        <v>475.62</v>
      </c>
      <c r="AT57" s="70">
        <v>474.58</v>
      </c>
      <c r="AU57" s="70">
        <v>473.54</v>
      </c>
      <c r="AV57" s="70">
        <v>472.51</v>
      </c>
      <c r="AW57" s="70">
        <v>471.47</v>
      </c>
      <c r="AX57" s="70">
        <v>470.44</v>
      </c>
      <c r="AY57" s="70">
        <v>469.4</v>
      </c>
      <c r="AZ57" s="70">
        <v>468.36</v>
      </c>
      <c r="BA57" s="70">
        <v>467.33</v>
      </c>
      <c r="BB57" s="70">
        <v>466.29</v>
      </c>
      <c r="BC57" s="70">
        <v>465.25</v>
      </c>
      <c r="BD57" s="70">
        <v>464.21</v>
      </c>
      <c r="BE57" s="70">
        <v>463.18</v>
      </c>
      <c r="BF57" s="70">
        <v>462.14</v>
      </c>
      <c r="BG57" s="70">
        <v>461.1</v>
      </c>
      <c r="BH57" s="70">
        <v>460.07</v>
      </c>
      <c r="BI57" s="70">
        <v>459.03</v>
      </c>
      <c r="BJ57" s="70">
        <v>457.99</v>
      </c>
      <c r="BK57" s="70">
        <v>456.96</v>
      </c>
      <c r="BL57" s="70">
        <v>455.92</v>
      </c>
      <c r="BM57" s="70">
        <v>454.88</v>
      </c>
      <c r="BN57" s="70">
        <v>453.84</v>
      </c>
      <c r="BO57" s="70">
        <v>452.8</v>
      </c>
      <c r="BP57" s="70">
        <v>451.77</v>
      </c>
      <c r="BQ57" s="70">
        <v>450.73</v>
      </c>
      <c r="BR57" s="70">
        <v>449.69</v>
      </c>
      <c r="BS57" s="70">
        <v>448.65</v>
      </c>
      <c r="BT57" s="70">
        <v>447.62</v>
      </c>
      <c r="BU57" s="70">
        <v>446.58</v>
      </c>
      <c r="BV57" s="70">
        <v>445.54</v>
      </c>
      <c r="BW57" s="70">
        <v>444.5</v>
      </c>
      <c r="BX57" s="70">
        <v>443.47</v>
      </c>
      <c r="BY57" s="70">
        <v>442.43</v>
      </c>
      <c r="BZ57" s="70">
        <v>441.39</v>
      </c>
      <c r="CA57" s="70">
        <v>440.36</v>
      </c>
      <c r="CB57" s="70">
        <v>439.32</v>
      </c>
      <c r="CC57" s="70">
        <v>438.28</v>
      </c>
      <c r="CD57" s="70">
        <v>437.25</v>
      </c>
      <c r="CE57" s="70">
        <v>436.21</v>
      </c>
      <c r="CF57" s="70">
        <v>435.18</v>
      </c>
      <c r="CG57" s="70">
        <v>434.14</v>
      </c>
      <c r="CH57" s="70">
        <v>433.1</v>
      </c>
      <c r="CI57" s="70">
        <v>432.07</v>
      </c>
      <c r="CJ57" s="70">
        <v>431.03</v>
      </c>
      <c r="CK57" s="70">
        <v>429.99</v>
      </c>
      <c r="CL57" s="70">
        <v>428.96</v>
      </c>
      <c r="CM57" s="70">
        <v>427.92</v>
      </c>
      <c r="CN57" s="70">
        <v>426.88</v>
      </c>
      <c r="CO57" s="70">
        <v>425.85</v>
      </c>
      <c r="CP57" s="70">
        <v>424.81</v>
      </c>
      <c r="CQ57" s="70">
        <v>423.77</v>
      </c>
      <c r="CR57" s="70">
        <v>422.74</v>
      </c>
      <c r="CS57" s="70">
        <v>421.7</v>
      </c>
      <c r="CT57" s="70">
        <v>420.66</v>
      </c>
      <c r="CU57" s="70">
        <v>419.63</v>
      </c>
      <c r="CV57" s="70">
        <v>418.59</v>
      </c>
      <c r="CW57" s="70">
        <v>417.56</v>
      </c>
      <c r="CX57" s="70">
        <v>416.52</v>
      </c>
      <c r="CY57" s="70">
        <v>415.49</v>
      </c>
      <c r="CZ57" s="70">
        <v>414.45</v>
      </c>
      <c r="DA57" s="70">
        <v>413.42</v>
      </c>
      <c r="DB57" s="70">
        <v>412.38</v>
      </c>
      <c r="DC57" s="70">
        <v>411.35</v>
      </c>
      <c r="DD57" s="70">
        <v>410.31</v>
      </c>
      <c r="DE57" s="70">
        <v>409.28</v>
      </c>
      <c r="DF57" s="70">
        <v>408.24</v>
      </c>
      <c r="DG57" s="70">
        <v>407.21</v>
      </c>
      <c r="DH57" s="70">
        <v>406.18</v>
      </c>
      <c r="DI57" s="70">
        <v>405.14</v>
      </c>
      <c r="DJ57" s="70">
        <v>404.11</v>
      </c>
      <c r="DK57" s="70">
        <v>403.08</v>
      </c>
      <c r="DL57" s="70">
        <v>402.04</v>
      </c>
      <c r="DM57" s="70">
        <v>401.01</v>
      </c>
      <c r="DN57" s="70">
        <v>399.98</v>
      </c>
      <c r="DO57" s="70">
        <v>398.94</v>
      </c>
      <c r="DP57" s="70">
        <v>397.91</v>
      </c>
      <c r="DQ57" s="70">
        <v>396.88</v>
      </c>
      <c r="DR57" s="70">
        <v>395.85</v>
      </c>
      <c r="DS57" s="70">
        <v>394.81</v>
      </c>
      <c r="DT57" s="70">
        <v>393.78</v>
      </c>
      <c r="DU57" s="70">
        <v>392.76</v>
      </c>
      <c r="DV57" s="70">
        <v>391.73</v>
      </c>
      <c r="DW57" s="70">
        <v>390.7</v>
      </c>
      <c r="DX57" s="70">
        <v>389.67</v>
      </c>
      <c r="DY57" s="70">
        <v>388.64</v>
      </c>
      <c r="DZ57" s="70">
        <v>387.62</v>
      </c>
      <c r="EA57" s="70">
        <v>386.59</v>
      </c>
      <c r="EB57" s="70">
        <v>385.56</v>
      </c>
      <c r="EC57" s="70">
        <v>384.53</v>
      </c>
      <c r="ED57" s="70">
        <v>383.51</v>
      </c>
      <c r="EE57" s="70">
        <v>382.48</v>
      </c>
      <c r="EF57" s="70">
        <v>381.46</v>
      </c>
      <c r="EG57" s="70">
        <v>380.44</v>
      </c>
      <c r="EH57" s="70">
        <v>379.42</v>
      </c>
      <c r="EI57" s="70">
        <v>378.4</v>
      </c>
      <c r="EJ57" s="70">
        <v>377.37</v>
      </c>
      <c r="EK57" s="70">
        <v>376.35</v>
      </c>
      <c r="EL57" s="70">
        <v>375.33</v>
      </c>
      <c r="EM57" s="70">
        <v>374.31</v>
      </c>
      <c r="EN57" s="70">
        <v>373.29</v>
      </c>
      <c r="EO57" s="70">
        <v>372.27</v>
      </c>
      <c r="EP57" s="70">
        <v>371.25</v>
      </c>
      <c r="EQ57" s="70">
        <v>370.24</v>
      </c>
      <c r="ER57" s="70">
        <v>369.22</v>
      </c>
      <c r="ES57" s="70">
        <v>368.21</v>
      </c>
      <c r="ET57" s="70">
        <v>367.19</v>
      </c>
      <c r="EU57" s="70">
        <v>366.18</v>
      </c>
      <c r="EV57" s="70">
        <v>365.16</v>
      </c>
      <c r="EW57" s="70">
        <v>364.15</v>
      </c>
      <c r="EX57" s="70">
        <v>363.13</v>
      </c>
      <c r="EY57" s="70">
        <v>362.12</v>
      </c>
      <c r="EZ57" s="70">
        <v>361.11</v>
      </c>
      <c r="FA57" s="70">
        <v>360.09</v>
      </c>
      <c r="FB57" s="70">
        <v>359.08</v>
      </c>
      <c r="FC57" s="70">
        <v>358.07</v>
      </c>
      <c r="FD57" s="70">
        <v>357.06</v>
      </c>
      <c r="FE57" s="70">
        <v>356.05</v>
      </c>
      <c r="FF57" s="70">
        <v>355.05</v>
      </c>
      <c r="FG57" s="70">
        <v>354.04</v>
      </c>
      <c r="FH57" s="70">
        <v>353.03</v>
      </c>
      <c r="FI57" s="70">
        <v>352.03</v>
      </c>
      <c r="FJ57" s="70">
        <v>351.02</v>
      </c>
      <c r="FK57" s="70">
        <v>350.02</v>
      </c>
      <c r="FL57" s="70">
        <v>349.01</v>
      </c>
      <c r="FM57" s="70">
        <v>348.01</v>
      </c>
      <c r="FN57" s="70">
        <v>347</v>
      </c>
      <c r="FO57" s="70">
        <v>346</v>
      </c>
      <c r="FP57" s="70">
        <v>345</v>
      </c>
      <c r="FQ57" s="70">
        <v>343.99</v>
      </c>
      <c r="FR57" s="70">
        <v>342.99</v>
      </c>
      <c r="FS57" s="70">
        <v>341.99</v>
      </c>
      <c r="FT57" s="70">
        <v>340.99</v>
      </c>
      <c r="FU57" s="70">
        <v>339.99</v>
      </c>
      <c r="FV57" s="70">
        <v>338.99</v>
      </c>
      <c r="FW57" s="70">
        <v>337.99</v>
      </c>
      <c r="FX57" s="70">
        <v>336.99</v>
      </c>
      <c r="FY57" s="70">
        <v>335.99</v>
      </c>
      <c r="FZ57" s="70">
        <v>334.99</v>
      </c>
      <c r="GA57" s="70">
        <v>333.99</v>
      </c>
      <c r="GB57" s="70">
        <v>333</v>
      </c>
      <c r="GC57" s="70">
        <v>332</v>
      </c>
      <c r="GD57" s="70">
        <v>331.01</v>
      </c>
      <c r="GE57" s="70">
        <v>330.01</v>
      </c>
      <c r="GF57" s="70">
        <v>329.01</v>
      </c>
      <c r="GG57" s="70">
        <v>328.01</v>
      </c>
      <c r="GH57" s="70">
        <v>327.02999999999997</v>
      </c>
      <c r="GI57" s="70">
        <v>326.02999999999997</v>
      </c>
      <c r="GJ57" s="70">
        <v>325.04000000000002</v>
      </c>
      <c r="GK57" s="70">
        <v>324.04000000000002</v>
      </c>
      <c r="GL57" s="70">
        <v>323.06</v>
      </c>
      <c r="GM57" s="70">
        <v>322.07</v>
      </c>
      <c r="GN57" s="70">
        <v>321.07</v>
      </c>
      <c r="GO57" s="70">
        <v>320.08999999999997</v>
      </c>
      <c r="GP57" s="70">
        <v>319.10000000000002</v>
      </c>
      <c r="GQ57" s="70">
        <v>318.13</v>
      </c>
      <c r="GR57" s="70">
        <v>317.14</v>
      </c>
      <c r="GS57" s="70">
        <v>316.16000000000003</v>
      </c>
      <c r="GT57" s="70">
        <v>315.18</v>
      </c>
      <c r="GU57" s="70">
        <v>314.2</v>
      </c>
      <c r="GV57" s="70">
        <v>313.22000000000003</v>
      </c>
      <c r="GW57" s="70">
        <v>312.24</v>
      </c>
      <c r="GX57" s="70">
        <v>311.26</v>
      </c>
      <c r="GY57" s="70">
        <v>310.27999999999997</v>
      </c>
      <c r="GZ57" s="70">
        <v>309.29000000000002</v>
      </c>
      <c r="HA57" s="70">
        <v>308.32</v>
      </c>
      <c r="HB57" s="70">
        <v>307.35000000000002</v>
      </c>
      <c r="HC57" s="70">
        <v>306.37</v>
      </c>
      <c r="HD57" s="70">
        <v>305.39999999999998</v>
      </c>
      <c r="HE57" s="70">
        <v>304.42</v>
      </c>
      <c r="HF57" s="70">
        <v>303.45</v>
      </c>
      <c r="HG57" s="70">
        <v>302.48</v>
      </c>
      <c r="HH57" s="70">
        <v>301.5</v>
      </c>
      <c r="HI57" s="70">
        <v>300.52999999999997</v>
      </c>
      <c r="HJ57" s="70">
        <v>299.56</v>
      </c>
      <c r="HK57" s="70">
        <v>298.58999999999997</v>
      </c>
      <c r="HL57" s="70">
        <v>297.63</v>
      </c>
      <c r="HM57" s="70">
        <v>296.67</v>
      </c>
      <c r="HN57" s="70">
        <v>295.70999999999998</v>
      </c>
      <c r="HO57" s="70">
        <v>294.75</v>
      </c>
      <c r="HP57" s="70">
        <v>293.79000000000002</v>
      </c>
      <c r="HQ57" s="70">
        <v>292.82</v>
      </c>
      <c r="HR57" s="70">
        <v>291.87</v>
      </c>
      <c r="HS57" s="70">
        <v>290.91000000000003</v>
      </c>
      <c r="HT57" s="70">
        <v>289.95999999999998</v>
      </c>
      <c r="HU57" s="70">
        <v>289</v>
      </c>
      <c r="HV57" s="70">
        <v>288.04000000000002</v>
      </c>
      <c r="HW57" s="70">
        <v>287.08999999999997</v>
      </c>
      <c r="HX57" s="70">
        <v>286.14</v>
      </c>
      <c r="HY57" s="70">
        <v>285.19</v>
      </c>
      <c r="HZ57" s="70">
        <v>284.24</v>
      </c>
      <c r="IA57" s="70">
        <v>283.29000000000002</v>
      </c>
      <c r="IB57" s="70">
        <v>282.33999999999997</v>
      </c>
      <c r="IC57" s="70">
        <v>281.39</v>
      </c>
      <c r="ID57" s="70">
        <v>280.44</v>
      </c>
      <c r="IE57" s="70">
        <v>279.49</v>
      </c>
      <c r="IF57" s="70">
        <v>278.54000000000002</v>
      </c>
      <c r="IG57" s="70">
        <v>277.60000000000002</v>
      </c>
      <c r="IH57" s="70">
        <v>276.64999999999998</v>
      </c>
      <c r="II57" s="70">
        <v>275.7</v>
      </c>
      <c r="IJ57" s="70">
        <v>274.76</v>
      </c>
      <c r="IK57" s="70">
        <v>273.82</v>
      </c>
      <c r="IL57" s="70">
        <v>272.88</v>
      </c>
      <c r="IM57" s="70">
        <v>271.94</v>
      </c>
      <c r="IN57" s="70">
        <v>271</v>
      </c>
      <c r="IO57" s="70">
        <v>270.06</v>
      </c>
      <c r="IP57" s="70">
        <v>269.12</v>
      </c>
      <c r="IQ57" s="70">
        <v>268.18</v>
      </c>
      <c r="IR57" s="70">
        <v>267.24</v>
      </c>
      <c r="IS57" s="70">
        <v>266.31</v>
      </c>
      <c r="IT57" s="70">
        <v>265.37</v>
      </c>
      <c r="IU57" s="70">
        <v>264.44</v>
      </c>
      <c r="IV57" s="70">
        <v>263.51</v>
      </c>
      <c r="IW57" s="70">
        <v>262.58999999999997</v>
      </c>
      <c r="IX57" s="70">
        <v>261.67</v>
      </c>
      <c r="IY57" s="70">
        <v>260.75</v>
      </c>
      <c r="IZ57" s="70">
        <v>259.82</v>
      </c>
      <c r="JA57" s="70">
        <v>258.90999999999997</v>
      </c>
      <c r="JB57" s="70">
        <v>257.99</v>
      </c>
      <c r="JC57" s="70">
        <v>257.07</v>
      </c>
      <c r="JD57" s="70">
        <v>256.14999999999998</v>
      </c>
      <c r="JE57" s="70">
        <v>255.24</v>
      </c>
      <c r="JF57" s="70">
        <v>254.32</v>
      </c>
      <c r="JG57" s="70">
        <v>253.4</v>
      </c>
      <c r="JH57" s="70">
        <v>252.49</v>
      </c>
      <c r="JI57" s="70">
        <v>251.58</v>
      </c>
      <c r="JJ57" s="70">
        <v>250.67</v>
      </c>
      <c r="JK57" s="70">
        <v>249.76</v>
      </c>
      <c r="JL57" s="70">
        <v>248.85</v>
      </c>
      <c r="JM57" s="70">
        <v>247.94</v>
      </c>
      <c r="JN57" s="70">
        <v>247.03</v>
      </c>
      <c r="JO57" s="70">
        <v>246.12</v>
      </c>
      <c r="JP57" s="70">
        <v>245.21</v>
      </c>
      <c r="JQ57" s="70">
        <v>244.31</v>
      </c>
      <c r="JR57" s="70">
        <v>243.4</v>
      </c>
      <c r="JS57" s="70">
        <v>242.5</v>
      </c>
      <c r="JT57" s="70">
        <v>241.59</v>
      </c>
      <c r="JU57" s="70">
        <v>240.68</v>
      </c>
      <c r="JV57" s="70">
        <v>239.77</v>
      </c>
      <c r="JW57" s="70">
        <v>238.86</v>
      </c>
      <c r="JX57" s="70">
        <v>237.95</v>
      </c>
      <c r="JY57" s="70">
        <v>237.04</v>
      </c>
      <c r="JZ57" s="70">
        <v>236.13</v>
      </c>
      <c r="KA57" s="70">
        <v>235.22</v>
      </c>
      <c r="KB57" s="70">
        <v>234.32</v>
      </c>
      <c r="KC57" s="70">
        <v>233.41</v>
      </c>
      <c r="KD57" s="70">
        <v>232.51</v>
      </c>
      <c r="KE57" s="70">
        <v>231.6</v>
      </c>
      <c r="KF57" s="70">
        <v>230.7</v>
      </c>
      <c r="KG57" s="70">
        <v>229.8</v>
      </c>
      <c r="KH57" s="70">
        <v>228.9</v>
      </c>
      <c r="KI57" s="70">
        <v>228</v>
      </c>
      <c r="KJ57" s="70">
        <v>227.1</v>
      </c>
      <c r="KK57" s="70">
        <v>226.2</v>
      </c>
      <c r="KL57" s="70">
        <v>225.3</v>
      </c>
      <c r="KM57" s="70">
        <v>224.41</v>
      </c>
      <c r="KN57" s="70">
        <v>223.51</v>
      </c>
      <c r="KO57" s="70">
        <v>222.62</v>
      </c>
      <c r="KP57" s="70">
        <v>221.72</v>
      </c>
      <c r="KQ57" s="70">
        <v>220.83</v>
      </c>
      <c r="KR57" s="74">
        <f t="shared" ref="KR57:LM63" si="37">KR56+0.75</f>
        <v>222.77</v>
      </c>
      <c r="KS57" s="74">
        <f t="shared" ref="KS57:KS63" si="38">KS56+0.75</f>
        <v>221.98</v>
      </c>
      <c r="KT57" s="74">
        <f t="shared" si="37"/>
        <v>221.16</v>
      </c>
      <c r="KU57" s="74">
        <f t="shared" si="37"/>
        <v>220.37</v>
      </c>
      <c r="KV57" s="74">
        <f t="shared" si="37"/>
        <v>219.59</v>
      </c>
      <c r="KW57" s="74">
        <f t="shared" si="37"/>
        <v>218.8</v>
      </c>
      <c r="KX57" s="74">
        <f t="shared" si="37"/>
        <v>218.01</v>
      </c>
      <c r="KY57" s="74">
        <f t="shared" si="37"/>
        <v>217.23</v>
      </c>
      <c r="KZ57" s="74">
        <f t="shared" si="37"/>
        <v>216.44</v>
      </c>
      <c r="LA57" s="74">
        <f t="shared" si="37"/>
        <v>215.66</v>
      </c>
      <c r="LB57" s="74">
        <f t="shared" si="37"/>
        <v>214.88</v>
      </c>
      <c r="LC57" s="74">
        <f t="shared" si="37"/>
        <v>214.1</v>
      </c>
      <c r="LD57" s="74">
        <f t="shared" si="37"/>
        <v>213.32</v>
      </c>
      <c r="LE57" s="74">
        <f t="shared" si="37"/>
        <v>212.54</v>
      </c>
      <c r="LF57" s="74">
        <f t="shared" si="37"/>
        <v>211.77</v>
      </c>
      <c r="LG57" s="74">
        <f t="shared" si="37"/>
        <v>211</v>
      </c>
      <c r="LH57" s="74">
        <f t="shared" si="37"/>
        <v>210.22</v>
      </c>
      <c r="LI57" s="74">
        <f t="shared" si="37"/>
        <v>209.45</v>
      </c>
      <c r="LJ57" s="74">
        <f t="shared" si="37"/>
        <v>208.68</v>
      </c>
      <c r="LK57" s="74">
        <f t="shared" si="37"/>
        <v>207.91</v>
      </c>
      <c r="LL57" s="74">
        <f t="shared" si="37"/>
        <v>207.14</v>
      </c>
      <c r="LM57" s="74">
        <f t="shared" si="37"/>
        <v>206.38</v>
      </c>
      <c r="LN57" s="74">
        <f t="shared" si="36"/>
        <v>205.61</v>
      </c>
      <c r="LO57" s="74">
        <f t="shared" si="36"/>
        <v>204.85</v>
      </c>
      <c r="LP57" s="74">
        <f t="shared" si="36"/>
        <v>204.09</v>
      </c>
      <c r="LQ57" s="74">
        <f t="shared" si="36"/>
        <v>203.33</v>
      </c>
      <c r="LR57" s="74">
        <f t="shared" si="36"/>
        <v>202.57</v>
      </c>
      <c r="LS57" s="74">
        <f t="shared" si="36"/>
        <v>201.81</v>
      </c>
      <c r="LT57" s="74">
        <f t="shared" si="36"/>
        <v>201.06</v>
      </c>
      <c r="LU57" s="74">
        <f t="shared" si="36"/>
        <v>200.31</v>
      </c>
      <c r="LV57" s="74">
        <f t="shared" si="36"/>
        <v>199.55</v>
      </c>
      <c r="LW57" s="74">
        <f t="shared" si="36"/>
        <v>198.8</v>
      </c>
      <c r="LX57" s="74">
        <f t="shared" si="36"/>
        <v>198.05</v>
      </c>
      <c r="LY57" s="74">
        <f t="shared" si="36"/>
        <v>197.3</v>
      </c>
      <c r="LZ57" s="74">
        <f t="shared" si="36"/>
        <v>196.56</v>
      </c>
      <c r="MA57" s="74">
        <f t="shared" si="36"/>
        <v>195.81</v>
      </c>
      <c r="MB57" s="74">
        <f t="shared" si="36"/>
        <v>195.07</v>
      </c>
      <c r="MC57" s="74">
        <f t="shared" si="36"/>
        <v>194.33</v>
      </c>
      <c r="MD57" s="76">
        <f t="shared" si="36"/>
        <v>193.59</v>
      </c>
      <c r="ME57" s="77">
        <f t="shared" si="36"/>
        <v>192.86</v>
      </c>
      <c r="MF57" s="77">
        <f t="shared" si="36"/>
        <v>192.12</v>
      </c>
      <c r="MG57" s="77">
        <f t="shared" si="36"/>
        <v>191.39</v>
      </c>
      <c r="MH57" s="77">
        <f t="shared" si="36"/>
        <v>190.65</v>
      </c>
      <c r="MI57" s="77">
        <f t="shared" si="36"/>
        <v>189.92</v>
      </c>
      <c r="MJ57" s="77">
        <f t="shared" si="36"/>
        <v>189.19</v>
      </c>
      <c r="MK57" s="77">
        <f t="shared" si="36"/>
        <v>188.46</v>
      </c>
      <c r="ML57" s="77">
        <f t="shared" si="36"/>
        <v>187.74</v>
      </c>
      <c r="MM57" s="77">
        <f t="shared" si="36"/>
        <v>187.01</v>
      </c>
      <c r="MN57" s="77">
        <f t="shared" si="36"/>
        <v>186.29</v>
      </c>
      <c r="MO57" s="77">
        <f t="shared" si="36"/>
        <v>185.57</v>
      </c>
      <c r="MP57" s="77">
        <f t="shared" si="36"/>
        <v>184.85</v>
      </c>
      <c r="MQ57" s="77">
        <f t="shared" si="36"/>
        <v>184.14</v>
      </c>
      <c r="MR57" s="77">
        <f t="shared" si="36"/>
        <v>183.42</v>
      </c>
      <c r="MS57" s="77">
        <f t="shared" si="36"/>
        <v>182.71</v>
      </c>
      <c r="MT57" s="77">
        <f t="shared" si="36"/>
        <v>181.99</v>
      </c>
      <c r="MU57" s="77">
        <f t="shared" si="36"/>
        <v>181.28</v>
      </c>
      <c r="MV57" s="77">
        <f t="shared" si="36"/>
        <v>180.57</v>
      </c>
      <c r="MW57" s="77">
        <f t="shared" si="36"/>
        <v>179.87</v>
      </c>
      <c r="MX57" s="77">
        <f t="shared" si="36"/>
        <v>179.16</v>
      </c>
      <c r="MY57" s="77">
        <f t="shared" si="36"/>
        <v>178.46</v>
      </c>
    </row>
    <row r="58" spans="1:363" ht="15.6" x14ac:dyDescent="0.3">
      <c r="A58" s="67" t="s">
        <v>6</v>
      </c>
      <c r="B58" s="72">
        <v>2068</v>
      </c>
      <c r="C58" s="70">
        <v>519.80999999999995</v>
      </c>
      <c r="D58" s="70">
        <v>518.82000000000005</v>
      </c>
      <c r="E58" s="70">
        <v>517.79</v>
      </c>
      <c r="F58" s="70">
        <v>516.75</v>
      </c>
      <c r="G58" s="70">
        <v>515.72</v>
      </c>
      <c r="H58" s="70">
        <v>514.68000000000006</v>
      </c>
      <c r="I58" s="70">
        <v>513.65</v>
      </c>
      <c r="J58" s="70">
        <v>512.61</v>
      </c>
      <c r="K58" s="70">
        <v>511.58</v>
      </c>
      <c r="L58" s="70">
        <v>510.54</v>
      </c>
      <c r="M58" s="70">
        <v>509.51</v>
      </c>
      <c r="N58" s="70">
        <v>508.47</v>
      </c>
      <c r="O58" s="70">
        <v>507.44</v>
      </c>
      <c r="P58" s="70">
        <v>506.4</v>
      </c>
      <c r="Q58" s="70">
        <v>505.37</v>
      </c>
      <c r="R58" s="70">
        <v>504.33</v>
      </c>
      <c r="S58" s="70">
        <v>503.3</v>
      </c>
      <c r="T58" s="70">
        <v>502.26</v>
      </c>
      <c r="U58" s="70">
        <v>501.23</v>
      </c>
      <c r="V58" s="70">
        <v>500.19</v>
      </c>
      <c r="W58" s="70">
        <v>499.16</v>
      </c>
      <c r="X58" s="70">
        <v>498.12</v>
      </c>
      <c r="Y58" s="70">
        <v>497.09</v>
      </c>
      <c r="Z58" s="70">
        <v>496.05</v>
      </c>
      <c r="AA58" s="70">
        <v>495.02</v>
      </c>
      <c r="AB58" s="70">
        <v>493.98</v>
      </c>
      <c r="AC58" s="70">
        <v>492.95</v>
      </c>
      <c r="AD58" s="70">
        <v>491.91</v>
      </c>
      <c r="AE58" s="70">
        <v>490.87</v>
      </c>
      <c r="AF58" s="70">
        <v>489.84</v>
      </c>
      <c r="AG58" s="70">
        <v>488.8</v>
      </c>
      <c r="AH58" s="70">
        <v>487.77</v>
      </c>
      <c r="AI58" s="70">
        <v>486.73</v>
      </c>
      <c r="AJ58" s="70">
        <v>485.69</v>
      </c>
      <c r="AK58" s="70">
        <v>484.66</v>
      </c>
      <c r="AL58" s="70">
        <v>483.62</v>
      </c>
      <c r="AM58" s="70">
        <v>482.59</v>
      </c>
      <c r="AN58" s="70">
        <v>481.55</v>
      </c>
      <c r="AO58" s="70">
        <v>480.51</v>
      </c>
      <c r="AP58" s="70">
        <v>479.48</v>
      </c>
      <c r="AQ58" s="70">
        <v>478.44</v>
      </c>
      <c r="AR58" s="70">
        <v>477.4</v>
      </c>
      <c r="AS58" s="70">
        <v>476.37</v>
      </c>
      <c r="AT58" s="70">
        <v>475.33</v>
      </c>
      <c r="AU58" s="70">
        <v>474.29</v>
      </c>
      <c r="AV58" s="70">
        <v>473.26</v>
      </c>
      <c r="AW58" s="70">
        <v>472.22</v>
      </c>
      <c r="AX58" s="70">
        <v>471.19</v>
      </c>
      <c r="AY58" s="70">
        <v>470.15</v>
      </c>
      <c r="AZ58" s="70">
        <v>469.11</v>
      </c>
      <c r="BA58" s="70">
        <v>468.08</v>
      </c>
      <c r="BB58" s="70">
        <v>467.04</v>
      </c>
      <c r="BC58" s="70">
        <v>466</v>
      </c>
      <c r="BD58" s="70">
        <v>464.96</v>
      </c>
      <c r="BE58" s="70">
        <v>463.93</v>
      </c>
      <c r="BF58" s="70">
        <v>462.89</v>
      </c>
      <c r="BG58" s="70">
        <v>461.85</v>
      </c>
      <c r="BH58" s="70">
        <v>460.82</v>
      </c>
      <c r="BI58" s="70">
        <v>459.78</v>
      </c>
      <c r="BJ58" s="70">
        <v>458.74</v>
      </c>
      <c r="BK58" s="70">
        <v>457.71</v>
      </c>
      <c r="BL58" s="70">
        <v>456.67</v>
      </c>
      <c r="BM58" s="70">
        <v>455.63</v>
      </c>
      <c r="BN58" s="70">
        <v>454.59</v>
      </c>
      <c r="BO58" s="70">
        <v>453.55</v>
      </c>
      <c r="BP58" s="70">
        <v>452.52</v>
      </c>
      <c r="BQ58" s="70">
        <v>451.48</v>
      </c>
      <c r="BR58" s="70">
        <v>450.44</v>
      </c>
      <c r="BS58" s="70">
        <v>449.4</v>
      </c>
      <c r="BT58" s="70">
        <v>448.37</v>
      </c>
      <c r="BU58" s="70">
        <v>447.33</v>
      </c>
      <c r="BV58" s="70">
        <v>446.29</v>
      </c>
      <c r="BW58" s="70">
        <v>445.25</v>
      </c>
      <c r="BX58" s="70">
        <v>444.22</v>
      </c>
      <c r="BY58" s="70">
        <v>443.18</v>
      </c>
      <c r="BZ58" s="70">
        <v>442.14</v>
      </c>
      <c r="CA58" s="70">
        <v>441.11</v>
      </c>
      <c r="CB58" s="70">
        <v>440.07</v>
      </c>
      <c r="CC58" s="70">
        <v>439.03</v>
      </c>
      <c r="CD58" s="70">
        <v>438</v>
      </c>
      <c r="CE58" s="70">
        <v>436.96</v>
      </c>
      <c r="CF58" s="70">
        <v>435.93</v>
      </c>
      <c r="CG58" s="70">
        <v>434.89</v>
      </c>
      <c r="CH58" s="70">
        <v>433.85</v>
      </c>
      <c r="CI58" s="70">
        <v>432.82</v>
      </c>
      <c r="CJ58" s="70">
        <v>431.78</v>
      </c>
      <c r="CK58" s="70">
        <v>430.74</v>
      </c>
      <c r="CL58" s="70">
        <v>429.71</v>
      </c>
      <c r="CM58" s="70">
        <v>428.67</v>
      </c>
      <c r="CN58" s="70">
        <v>427.63</v>
      </c>
      <c r="CO58" s="70">
        <v>426.6</v>
      </c>
      <c r="CP58" s="70">
        <v>425.56</v>
      </c>
      <c r="CQ58" s="70">
        <v>424.52</v>
      </c>
      <c r="CR58" s="70">
        <v>423.49</v>
      </c>
      <c r="CS58" s="70">
        <v>422.45</v>
      </c>
      <c r="CT58" s="70">
        <v>421.41</v>
      </c>
      <c r="CU58" s="70">
        <v>420.38</v>
      </c>
      <c r="CV58" s="70">
        <v>419.34</v>
      </c>
      <c r="CW58" s="70">
        <v>418.31</v>
      </c>
      <c r="CX58" s="70">
        <v>417.27</v>
      </c>
      <c r="CY58" s="70">
        <v>416.24</v>
      </c>
      <c r="CZ58" s="70">
        <v>415.2</v>
      </c>
      <c r="DA58" s="70">
        <v>414.17</v>
      </c>
      <c r="DB58" s="70">
        <v>413.13</v>
      </c>
      <c r="DC58" s="70">
        <v>412.1</v>
      </c>
      <c r="DD58" s="70">
        <v>411.06</v>
      </c>
      <c r="DE58" s="70">
        <v>410.03</v>
      </c>
      <c r="DF58" s="70">
        <v>408.99</v>
      </c>
      <c r="DG58" s="70">
        <v>407.96</v>
      </c>
      <c r="DH58" s="70">
        <v>406.93</v>
      </c>
      <c r="DI58" s="70">
        <v>405.89</v>
      </c>
      <c r="DJ58" s="70">
        <v>404.86</v>
      </c>
      <c r="DK58" s="70">
        <v>403.83</v>
      </c>
      <c r="DL58" s="70">
        <v>402.79</v>
      </c>
      <c r="DM58" s="70">
        <v>401.76</v>
      </c>
      <c r="DN58" s="70">
        <v>400.73</v>
      </c>
      <c r="DO58" s="70">
        <v>399.69</v>
      </c>
      <c r="DP58" s="70">
        <v>398.66</v>
      </c>
      <c r="DQ58" s="70">
        <v>397.63</v>
      </c>
      <c r="DR58" s="70">
        <v>396.6</v>
      </c>
      <c r="DS58" s="70">
        <v>395.56</v>
      </c>
      <c r="DT58" s="70">
        <v>394.53</v>
      </c>
      <c r="DU58" s="70">
        <v>393.51</v>
      </c>
      <c r="DV58" s="70">
        <v>392.48</v>
      </c>
      <c r="DW58" s="70">
        <v>391.45</v>
      </c>
      <c r="DX58" s="70">
        <v>390.42</v>
      </c>
      <c r="DY58" s="70">
        <v>389.39</v>
      </c>
      <c r="DZ58" s="70">
        <v>388.37</v>
      </c>
      <c r="EA58" s="70">
        <v>387.34</v>
      </c>
      <c r="EB58" s="70">
        <v>386.31</v>
      </c>
      <c r="EC58" s="70">
        <v>385.28</v>
      </c>
      <c r="ED58" s="70">
        <v>384.26</v>
      </c>
      <c r="EE58" s="70">
        <v>383.23</v>
      </c>
      <c r="EF58" s="70">
        <v>382.21</v>
      </c>
      <c r="EG58" s="70">
        <v>381.19</v>
      </c>
      <c r="EH58" s="70">
        <v>380.17</v>
      </c>
      <c r="EI58" s="70">
        <v>379.15</v>
      </c>
      <c r="EJ58" s="70">
        <v>378.12</v>
      </c>
      <c r="EK58" s="70">
        <v>377.1</v>
      </c>
      <c r="EL58" s="70">
        <v>376.08</v>
      </c>
      <c r="EM58" s="70">
        <v>375.06</v>
      </c>
      <c r="EN58" s="70">
        <v>374.04</v>
      </c>
      <c r="EO58" s="70">
        <v>373.02</v>
      </c>
      <c r="EP58" s="70">
        <v>372</v>
      </c>
      <c r="EQ58" s="70">
        <v>370.99</v>
      </c>
      <c r="ER58" s="70">
        <v>369.97</v>
      </c>
      <c r="ES58" s="70">
        <v>368.96</v>
      </c>
      <c r="ET58" s="70">
        <v>367.94</v>
      </c>
      <c r="EU58" s="70">
        <v>366.93</v>
      </c>
      <c r="EV58" s="70">
        <v>365.91</v>
      </c>
      <c r="EW58" s="70">
        <v>364.9</v>
      </c>
      <c r="EX58" s="70">
        <v>363.88</v>
      </c>
      <c r="EY58" s="70">
        <v>362.87</v>
      </c>
      <c r="EZ58" s="70">
        <v>361.86</v>
      </c>
      <c r="FA58" s="70">
        <v>360.84</v>
      </c>
      <c r="FB58" s="70">
        <v>359.83</v>
      </c>
      <c r="FC58" s="70">
        <v>358.82</v>
      </c>
      <c r="FD58" s="70">
        <v>357.81</v>
      </c>
      <c r="FE58" s="70">
        <v>356.8</v>
      </c>
      <c r="FF58" s="70">
        <v>355.8</v>
      </c>
      <c r="FG58" s="70">
        <v>354.79</v>
      </c>
      <c r="FH58" s="70">
        <v>353.78</v>
      </c>
      <c r="FI58" s="70">
        <v>352.78</v>
      </c>
      <c r="FJ58" s="70">
        <v>351.77</v>
      </c>
      <c r="FK58" s="70">
        <v>350.77</v>
      </c>
      <c r="FL58" s="70">
        <v>349.76</v>
      </c>
      <c r="FM58" s="70">
        <v>348.76</v>
      </c>
      <c r="FN58" s="70">
        <v>347.75</v>
      </c>
      <c r="FO58" s="70">
        <v>346.75</v>
      </c>
      <c r="FP58" s="70">
        <v>345.75</v>
      </c>
      <c r="FQ58" s="70">
        <v>344.74</v>
      </c>
      <c r="FR58" s="70">
        <v>343.74</v>
      </c>
      <c r="FS58" s="70">
        <v>342.74</v>
      </c>
      <c r="FT58" s="70">
        <v>341.74</v>
      </c>
      <c r="FU58" s="70">
        <v>340.74</v>
      </c>
      <c r="FV58" s="70">
        <v>339.74</v>
      </c>
      <c r="FW58" s="70">
        <v>338.74</v>
      </c>
      <c r="FX58" s="70">
        <v>337.74</v>
      </c>
      <c r="FY58" s="70">
        <v>336.74</v>
      </c>
      <c r="FZ58" s="70">
        <v>335.74</v>
      </c>
      <c r="GA58" s="70">
        <v>334.74</v>
      </c>
      <c r="GB58" s="70">
        <v>333.75</v>
      </c>
      <c r="GC58" s="70">
        <v>332.75</v>
      </c>
      <c r="GD58" s="70">
        <v>331.76</v>
      </c>
      <c r="GE58" s="70">
        <v>330.76</v>
      </c>
      <c r="GF58" s="70">
        <v>329.76</v>
      </c>
      <c r="GG58" s="70">
        <v>328.76</v>
      </c>
      <c r="GH58" s="70">
        <v>327.78</v>
      </c>
      <c r="GI58" s="70">
        <v>326.77999999999997</v>
      </c>
      <c r="GJ58" s="70">
        <v>325.79000000000002</v>
      </c>
      <c r="GK58" s="70">
        <v>324.79000000000002</v>
      </c>
      <c r="GL58" s="70">
        <v>323.81</v>
      </c>
      <c r="GM58" s="70">
        <v>322.82</v>
      </c>
      <c r="GN58" s="70">
        <v>321.82</v>
      </c>
      <c r="GO58" s="70">
        <v>320.83999999999997</v>
      </c>
      <c r="GP58" s="70">
        <v>319.85000000000002</v>
      </c>
      <c r="GQ58" s="70">
        <v>318.88</v>
      </c>
      <c r="GR58" s="70">
        <v>317.89</v>
      </c>
      <c r="GS58" s="70">
        <v>316.91000000000003</v>
      </c>
      <c r="GT58" s="70">
        <v>315.93</v>
      </c>
      <c r="GU58" s="70">
        <v>314.95</v>
      </c>
      <c r="GV58" s="70">
        <v>313.97000000000003</v>
      </c>
      <c r="GW58" s="70">
        <v>312.99</v>
      </c>
      <c r="GX58" s="70">
        <v>312.01</v>
      </c>
      <c r="GY58" s="70">
        <v>311.02999999999997</v>
      </c>
      <c r="GZ58" s="70">
        <v>310.04000000000002</v>
      </c>
      <c r="HA58" s="70">
        <v>309.07</v>
      </c>
      <c r="HB58" s="70">
        <v>308.10000000000002</v>
      </c>
      <c r="HC58" s="70">
        <v>307.12</v>
      </c>
      <c r="HD58" s="70">
        <v>306.14999999999998</v>
      </c>
      <c r="HE58" s="70">
        <v>305.17</v>
      </c>
      <c r="HF58" s="70">
        <v>304.2</v>
      </c>
      <c r="HG58" s="70">
        <v>303.23</v>
      </c>
      <c r="HH58" s="70">
        <v>302.25</v>
      </c>
      <c r="HI58" s="70">
        <v>301.27999999999997</v>
      </c>
      <c r="HJ58" s="70">
        <v>300.31</v>
      </c>
      <c r="HK58" s="70">
        <v>299.33999999999997</v>
      </c>
      <c r="HL58" s="70">
        <v>298.38</v>
      </c>
      <c r="HM58" s="70">
        <v>297.42</v>
      </c>
      <c r="HN58" s="70">
        <v>296.45999999999998</v>
      </c>
      <c r="HO58" s="70">
        <v>295.5</v>
      </c>
      <c r="HP58" s="70">
        <v>294.54000000000002</v>
      </c>
      <c r="HQ58" s="70">
        <v>293.57</v>
      </c>
      <c r="HR58" s="70">
        <v>292.62</v>
      </c>
      <c r="HS58" s="70">
        <v>291.66000000000003</v>
      </c>
      <c r="HT58" s="70">
        <v>290.70999999999998</v>
      </c>
      <c r="HU58" s="70">
        <v>289.75</v>
      </c>
      <c r="HV58" s="70">
        <v>288.79000000000002</v>
      </c>
      <c r="HW58" s="70">
        <v>287.83999999999997</v>
      </c>
      <c r="HX58" s="70">
        <v>286.89</v>
      </c>
      <c r="HY58" s="70">
        <v>285.94</v>
      </c>
      <c r="HZ58" s="70">
        <v>284.99</v>
      </c>
      <c r="IA58" s="70">
        <v>284.04000000000002</v>
      </c>
      <c r="IB58" s="70">
        <v>283.08999999999997</v>
      </c>
      <c r="IC58" s="70">
        <v>282.14</v>
      </c>
      <c r="ID58" s="70">
        <v>281.19</v>
      </c>
      <c r="IE58" s="70">
        <v>280.24</v>
      </c>
      <c r="IF58" s="70">
        <v>279.29000000000002</v>
      </c>
      <c r="IG58" s="70">
        <v>278.35000000000002</v>
      </c>
      <c r="IH58" s="70">
        <v>277.39999999999998</v>
      </c>
      <c r="II58" s="70">
        <v>276.45</v>
      </c>
      <c r="IJ58" s="70">
        <v>275.51</v>
      </c>
      <c r="IK58" s="70">
        <v>274.57</v>
      </c>
      <c r="IL58" s="70">
        <v>273.63</v>
      </c>
      <c r="IM58" s="70">
        <v>272.69</v>
      </c>
      <c r="IN58" s="70">
        <v>271.75</v>
      </c>
      <c r="IO58" s="70">
        <v>270.81</v>
      </c>
      <c r="IP58" s="70">
        <v>269.87</v>
      </c>
      <c r="IQ58" s="70">
        <v>268.93</v>
      </c>
      <c r="IR58" s="70">
        <v>267.99</v>
      </c>
      <c r="IS58" s="70">
        <v>267.06</v>
      </c>
      <c r="IT58" s="70">
        <v>266.12</v>
      </c>
      <c r="IU58" s="70">
        <v>265.19</v>
      </c>
      <c r="IV58" s="70">
        <v>264.26</v>
      </c>
      <c r="IW58" s="70">
        <v>263.33999999999997</v>
      </c>
      <c r="IX58" s="70">
        <v>262.42</v>
      </c>
      <c r="IY58" s="70">
        <v>261.5</v>
      </c>
      <c r="IZ58" s="70">
        <v>260.57</v>
      </c>
      <c r="JA58" s="70">
        <v>259.65999999999997</v>
      </c>
      <c r="JB58" s="70">
        <v>258.74</v>
      </c>
      <c r="JC58" s="70">
        <v>257.82</v>
      </c>
      <c r="JD58" s="70">
        <v>256.89999999999998</v>
      </c>
      <c r="JE58" s="70">
        <v>255.99</v>
      </c>
      <c r="JF58" s="70">
        <v>255.07</v>
      </c>
      <c r="JG58" s="70">
        <v>254.15</v>
      </c>
      <c r="JH58" s="70">
        <v>253.24</v>
      </c>
      <c r="JI58" s="70">
        <v>252.33</v>
      </c>
      <c r="JJ58" s="70">
        <v>251.42</v>
      </c>
      <c r="JK58" s="70">
        <v>250.51</v>
      </c>
      <c r="JL58" s="70">
        <v>249.6</v>
      </c>
      <c r="JM58" s="70">
        <v>248.69</v>
      </c>
      <c r="JN58" s="70">
        <v>247.78</v>
      </c>
      <c r="JO58" s="70">
        <v>246.87</v>
      </c>
      <c r="JP58" s="70">
        <v>245.96</v>
      </c>
      <c r="JQ58" s="70">
        <v>245.06</v>
      </c>
      <c r="JR58" s="70">
        <v>244.15</v>
      </c>
      <c r="JS58" s="70">
        <v>243.25</v>
      </c>
      <c r="JT58" s="70">
        <v>242.34</v>
      </c>
      <c r="JU58" s="70">
        <v>241.43</v>
      </c>
      <c r="JV58" s="70">
        <v>240.52</v>
      </c>
      <c r="JW58" s="70">
        <v>239.61</v>
      </c>
      <c r="JX58" s="70">
        <v>238.7</v>
      </c>
      <c r="JY58" s="70">
        <v>237.79</v>
      </c>
      <c r="JZ58" s="70">
        <v>236.88</v>
      </c>
      <c r="KA58" s="70">
        <v>235.97</v>
      </c>
      <c r="KB58" s="70">
        <v>235.07</v>
      </c>
      <c r="KC58" s="70">
        <v>234.16</v>
      </c>
      <c r="KD58" s="70">
        <v>233.26</v>
      </c>
      <c r="KE58" s="70">
        <v>232.35</v>
      </c>
      <c r="KF58" s="70">
        <v>231.45</v>
      </c>
      <c r="KG58" s="70">
        <v>230.55</v>
      </c>
      <c r="KH58" s="70">
        <v>229.65</v>
      </c>
      <c r="KI58" s="70">
        <v>228.75</v>
      </c>
      <c r="KJ58" s="70">
        <v>227.85</v>
      </c>
      <c r="KK58" s="70">
        <v>226.95</v>
      </c>
      <c r="KL58" s="70">
        <v>226.05</v>
      </c>
      <c r="KM58" s="70">
        <v>225.16</v>
      </c>
      <c r="KN58" s="70">
        <v>224.26</v>
      </c>
      <c r="KO58" s="70">
        <v>223.37</v>
      </c>
      <c r="KP58" s="70">
        <v>222.47</v>
      </c>
      <c r="KQ58" s="70">
        <v>221.58</v>
      </c>
      <c r="KR58" s="74">
        <f t="shared" si="37"/>
        <v>223.52</v>
      </c>
      <c r="KS58" s="74">
        <f t="shared" si="38"/>
        <v>222.73</v>
      </c>
      <c r="KT58" s="74">
        <f t="shared" si="37"/>
        <v>221.91</v>
      </c>
      <c r="KU58" s="74">
        <f t="shared" si="37"/>
        <v>221.12</v>
      </c>
      <c r="KV58" s="74">
        <f t="shared" si="37"/>
        <v>220.34</v>
      </c>
      <c r="KW58" s="74">
        <f t="shared" si="37"/>
        <v>219.55</v>
      </c>
      <c r="KX58" s="74">
        <f t="shared" si="37"/>
        <v>218.76</v>
      </c>
      <c r="KY58" s="74">
        <f t="shared" si="37"/>
        <v>217.98</v>
      </c>
      <c r="KZ58" s="74">
        <f t="shared" si="37"/>
        <v>217.19</v>
      </c>
      <c r="LA58" s="74">
        <f t="shared" si="37"/>
        <v>216.41</v>
      </c>
      <c r="LB58" s="74">
        <f t="shared" si="37"/>
        <v>215.63</v>
      </c>
      <c r="LC58" s="74">
        <f t="shared" si="37"/>
        <v>214.85</v>
      </c>
      <c r="LD58" s="74">
        <f t="shared" si="37"/>
        <v>214.07</v>
      </c>
      <c r="LE58" s="74">
        <f t="shared" si="37"/>
        <v>213.29</v>
      </c>
      <c r="LF58" s="74">
        <f t="shared" si="37"/>
        <v>212.52</v>
      </c>
      <c r="LG58" s="74">
        <f t="shared" si="37"/>
        <v>211.75</v>
      </c>
      <c r="LH58" s="74">
        <f t="shared" si="37"/>
        <v>210.97</v>
      </c>
      <c r="LI58" s="74">
        <f t="shared" si="37"/>
        <v>210.2</v>
      </c>
      <c r="LJ58" s="74">
        <f t="shared" si="37"/>
        <v>209.43</v>
      </c>
      <c r="LK58" s="74">
        <f t="shared" si="37"/>
        <v>208.66</v>
      </c>
      <c r="LL58" s="74">
        <f t="shared" si="37"/>
        <v>207.89</v>
      </c>
      <c r="LM58" s="74">
        <f t="shared" si="37"/>
        <v>207.13</v>
      </c>
      <c r="LN58" s="74">
        <f t="shared" si="36"/>
        <v>206.36</v>
      </c>
      <c r="LO58" s="74">
        <f t="shared" si="36"/>
        <v>205.6</v>
      </c>
      <c r="LP58" s="74">
        <f t="shared" si="36"/>
        <v>204.84</v>
      </c>
      <c r="LQ58" s="74">
        <f t="shared" si="36"/>
        <v>204.08</v>
      </c>
      <c r="LR58" s="74">
        <f t="shared" si="36"/>
        <v>203.32</v>
      </c>
      <c r="LS58" s="74">
        <f t="shared" si="36"/>
        <v>202.56</v>
      </c>
      <c r="LT58" s="74">
        <f t="shared" si="36"/>
        <v>201.81</v>
      </c>
      <c r="LU58" s="74">
        <f t="shared" si="36"/>
        <v>201.06</v>
      </c>
      <c r="LV58" s="74">
        <f t="shared" si="36"/>
        <v>200.3</v>
      </c>
      <c r="LW58" s="74">
        <f t="shared" si="36"/>
        <v>199.55</v>
      </c>
      <c r="LX58" s="74">
        <f t="shared" si="36"/>
        <v>198.8</v>
      </c>
      <c r="LY58" s="74">
        <f t="shared" si="36"/>
        <v>198.05</v>
      </c>
      <c r="LZ58" s="74">
        <f t="shared" si="36"/>
        <v>197.31</v>
      </c>
      <c r="MA58" s="74">
        <f t="shared" si="36"/>
        <v>196.56</v>
      </c>
      <c r="MB58" s="74">
        <f t="shared" si="36"/>
        <v>195.82</v>
      </c>
      <c r="MC58" s="74">
        <f t="shared" si="36"/>
        <v>195.08</v>
      </c>
      <c r="MD58" s="76">
        <f t="shared" si="36"/>
        <v>194.34</v>
      </c>
      <c r="ME58" s="77">
        <f t="shared" si="36"/>
        <v>193.61</v>
      </c>
      <c r="MF58" s="77">
        <f t="shared" si="36"/>
        <v>192.87</v>
      </c>
      <c r="MG58" s="77">
        <f t="shared" si="36"/>
        <v>192.14</v>
      </c>
      <c r="MH58" s="77">
        <f t="shared" si="36"/>
        <v>191.4</v>
      </c>
      <c r="MI58" s="77">
        <f t="shared" si="36"/>
        <v>190.67</v>
      </c>
      <c r="MJ58" s="77">
        <f t="shared" si="36"/>
        <v>189.94</v>
      </c>
      <c r="MK58" s="77">
        <f t="shared" si="36"/>
        <v>189.21</v>
      </c>
      <c r="ML58" s="77">
        <f t="shared" si="36"/>
        <v>188.49</v>
      </c>
      <c r="MM58" s="77">
        <f t="shared" si="36"/>
        <v>187.76</v>
      </c>
      <c r="MN58" s="77">
        <f t="shared" si="36"/>
        <v>187.04</v>
      </c>
      <c r="MO58" s="77">
        <f t="shared" si="36"/>
        <v>186.32</v>
      </c>
      <c r="MP58" s="77">
        <f t="shared" si="36"/>
        <v>185.6</v>
      </c>
      <c r="MQ58" s="77">
        <f t="shared" si="36"/>
        <v>184.89</v>
      </c>
      <c r="MR58" s="77">
        <f t="shared" si="36"/>
        <v>184.17</v>
      </c>
      <c r="MS58" s="77">
        <f t="shared" si="36"/>
        <v>183.46</v>
      </c>
      <c r="MT58" s="77">
        <f t="shared" si="36"/>
        <v>182.74</v>
      </c>
      <c r="MU58" s="77">
        <f t="shared" si="36"/>
        <v>182.03</v>
      </c>
      <c r="MV58" s="77">
        <f t="shared" si="36"/>
        <v>181.32</v>
      </c>
      <c r="MW58" s="77">
        <f t="shared" si="36"/>
        <v>180.62</v>
      </c>
      <c r="MX58" s="77">
        <f t="shared" si="36"/>
        <v>179.91</v>
      </c>
      <c r="MY58" s="77">
        <f t="shared" si="36"/>
        <v>179.21</v>
      </c>
    </row>
    <row r="59" spans="1:363" ht="15.6" x14ac:dyDescent="0.3">
      <c r="A59" s="67" t="s">
        <v>6</v>
      </c>
      <c r="B59" s="72">
        <v>2069</v>
      </c>
      <c r="C59" s="70">
        <v>520.54</v>
      </c>
      <c r="D59" s="70">
        <v>519.57000000000005</v>
      </c>
      <c r="E59" s="70">
        <v>518.54</v>
      </c>
      <c r="F59" s="70">
        <v>517.5</v>
      </c>
      <c r="G59" s="70">
        <v>516.47</v>
      </c>
      <c r="H59" s="70">
        <v>515.43000000000006</v>
      </c>
      <c r="I59" s="70">
        <v>514.4</v>
      </c>
      <c r="J59" s="70">
        <v>513.36</v>
      </c>
      <c r="K59" s="70">
        <v>512.32999999999993</v>
      </c>
      <c r="L59" s="70">
        <v>511.29</v>
      </c>
      <c r="M59" s="70">
        <v>510.26</v>
      </c>
      <c r="N59" s="70">
        <v>509.22</v>
      </c>
      <c r="O59" s="70">
        <v>508.19</v>
      </c>
      <c r="P59" s="70">
        <v>507.15</v>
      </c>
      <c r="Q59" s="70">
        <v>506.12</v>
      </c>
      <c r="R59" s="70">
        <v>505.08</v>
      </c>
      <c r="S59" s="70">
        <v>504.05</v>
      </c>
      <c r="T59" s="70">
        <v>503.01</v>
      </c>
      <c r="U59" s="70">
        <v>501.98</v>
      </c>
      <c r="V59" s="70">
        <v>500.94</v>
      </c>
      <c r="W59" s="70">
        <v>499.91</v>
      </c>
      <c r="X59" s="70">
        <v>498.87</v>
      </c>
      <c r="Y59" s="70">
        <v>497.84</v>
      </c>
      <c r="Z59" s="70">
        <v>496.8</v>
      </c>
      <c r="AA59" s="70">
        <v>495.77</v>
      </c>
      <c r="AB59" s="70">
        <v>494.73</v>
      </c>
      <c r="AC59" s="70">
        <v>493.7</v>
      </c>
      <c r="AD59" s="70">
        <v>492.66</v>
      </c>
      <c r="AE59" s="70">
        <v>491.62</v>
      </c>
      <c r="AF59" s="70">
        <v>490.59</v>
      </c>
      <c r="AG59" s="70">
        <v>489.55</v>
      </c>
      <c r="AH59" s="70">
        <v>488.52</v>
      </c>
      <c r="AI59" s="70">
        <v>487.48</v>
      </c>
      <c r="AJ59" s="70">
        <v>486.44</v>
      </c>
      <c r="AK59" s="70">
        <v>485.41</v>
      </c>
      <c r="AL59" s="70">
        <v>484.37</v>
      </c>
      <c r="AM59" s="70">
        <v>483.34</v>
      </c>
      <c r="AN59" s="70">
        <v>482.3</v>
      </c>
      <c r="AO59" s="70">
        <v>481.26</v>
      </c>
      <c r="AP59" s="70">
        <v>480.23</v>
      </c>
      <c r="AQ59" s="70">
        <v>479.19</v>
      </c>
      <c r="AR59" s="70">
        <v>478.15</v>
      </c>
      <c r="AS59" s="70">
        <v>477.12</v>
      </c>
      <c r="AT59" s="70">
        <v>476.08</v>
      </c>
      <c r="AU59" s="70">
        <v>475.04</v>
      </c>
      <c r="AV59" s="70">
        <v>474.01</v>
      </c>
      <c r="AW59" s="70">
        <v>472.97</v>
      </c>
      <c r="AX59" s="70">
        <v>471.94</v>
      </c>
      <c r="AY59" s="70">
        <v>470.9</v>
      </c>
      <c r="AZ59" s="70">
        <v>469.86</v>
      </c>
      <c r="BA59" s="70">
        <v>468.83</v>
      </c>
      <c r="BB59" s="70">
        <v>467.79</v>
      </c>
      <c r="BC59" s="70">
        <v>466.75</v>
      </c>
      <c r="BD59" s="70">
        <v>465.71</v>
      </c>
      <c r="BE59" s="70">
        <v>464.68</v>
      </c>
      <c r="BF59" s="70">
        <v>463.64</v>
      </c>
      <c r="BG59" s="70">
        <v>462.6</v>
      </c>
      <c r="BH59" s="70">
        <v>461.57</v>
      </c>
      <c r="BI59" s="70">
        <v>460.53</v>
      </c>
      <c r="BJ59" s="70">
        <v>459.49</v>
      </c>
      <c r="BK59" s="70">
        <v>458.46</v>
      </c>
      <c r="BL59" s="70">
        <v>457.42</v>
      </c>
      <c r="BM59" s="70">
        <v>456.38</v>
      </c>
      <c r="BN59" s="70">
        <v>455.34</v>
      </c>
      <c r="BO59" s="70">
        <v>454.3</v>
      </c>
      <c r="BP59" s="70">
        <v>453.27</v>
      </c>
      <c r="BQ59" s="70">
        <v>452.23</v>
      </c>
      <c r="BR59" s="70">
        <v>451.19</v>
      </c>
      <c r="BS59" s="70">
        <v>450.15</v>
      </c>
      <c r="BT59" s="70">
        <v>449.12</v>
      </c>
      <c r="BU59" s="70">
        <v>448.08</v>
      </c>
      <c r="BV59" s="70">
        <v>447.04</v>
      </c>
      <c r="BW59" s="70">
        <v>446</v>
      </c>
      <c r="BX59" s="70">
        <v>444.97</v>
      </c>
      <c r="BY59" s="70">
        <v>443.93</v>
      </c>
      <c r="BZ59" s="70">
        <v>442.89</v>
      </c>
      <c r="CA59" s="70">
        <v>441.86</v>
      </c>
      <c r="CB59" s="70">
        <v>440.82</v>
      </c>
      <c r="CC59" s="70">
        <v>439.78</v>
      </c>
      <c r="CD59" s="70">
        <v>438.75</v>
      </c>
      <c r="CE59" s="70">
        <v>437.71</v>
      </c>
      <c r="CF59" s="70">
        <v>436.68</v>
      </c>
      <c r="CG59" s="70">
        <v>435.64</v>
      </c>
      <c r="CH59" s="70">
        <v>434.6</v>
      </c>
      <c r="CI59" s="70">
        <v>433.57</v>
      </c>
      <c r="CJ59" s="70">
        <v>432.53</v>
      </c>
      <c r="CK59" s="70">
        <v>431.49</v>
      </c>
      <c r="CL59" s="70">
        <v>430.46</v>
      </c>
      <c r="CM59" s="70">
        <v>429.42</v>
      </c>
      <c r="CN59" s="70">
        <v>428.38</v>
      </c>
      <c r="CO59" s="70">
        <v>427.35</v>
      </c>
      <c r="CP59" s="70">
        <v>426.31</v>
      </c>
      <c r="CQ59" s="70">
        <v>425.27</v>
      </c>
      <c r="CR59" s="70">
        <v>424.24</v>
      </c>
      <c r="CS59" s="70">
        <v>423.2</v>
      </c>
      <c r="CT59" s="70">
        <v>422.16</v>
      </c>
      <c r="CU59" s="70">
        <v>421.13</v>
      </c>
      <c r="CV59" s="70">
        <v>420.09</v>
      </c>
      <c r="CW59" s="70">
        <v>419.06</v>
      </c>
      <c r="CX59" s="70">
        <v>418.02</v>
      </c>
      <c r="CY59" s="70">
        <v>416.99</v>
      </c>
      <c r="CZ59" s="70">
        <v>415.95</v>
      </c>
      <c r="DA59" s="70">
        <v>414.92</v>
      </c>
      <c r="DB59" s="70">
        <v>413.88</v>
      </c>
      <c r="DC59" s="70">
        <v>412.85</v>
      </c>
      <c r="DD59" s="70">
        <v>411.81</v>
      </c>
      <c r="DE59" s="70">
        <v>410.78</v>
      </c>
      <c r="DF59" s="70">
        <v>409.74</v>
      </c>
      <c r="DG59" s="70">
        <v>408.71</v>
      </c>
      <c r="DH59" s="70">
        <v>407.68</v>
      </c>
      <c r="DI59" s="70">
        <v>406.64</v>
      </c>
      <c r="DJ59" s="70">
        <v>405.61</v>
      </c>
      <c r="DK59" s="70">
        <v>404.58</v>
      </c>
      <c r="DL59" s="70">
        <v>403.54</v>
      </c>
      <c r="DM59" s="70">
        <v>402.51</v>
      </c>
      <c r="DN59" s="70">
        <v>401.48</v>
      </c>
      <c r="DO59" s="70">
        <v>400.44</v>
      </c>
      <c r="DP59" s="70">
        <v>399.41</v>
      </c>
      <c r="DQ59" s="70">
        <v>398.38</v>
      </c>
      <c r="DR59" s="70">
        <v>397.35</v>
      </c>
      <c r="DS59" s="70">
        <v>396.31</v>
      </c>
      <c r="DT59" s="70">
        <v>395.28</v>
      </c>
      <c r="DU59" s="70">
        <v>394.26</v>
      </c>
      <c r="DV59" s="70">
        <v>393.23</v>
      </c>
      <c r="DW59" s="70">
        <v>392.2</v>
      </c>
      <c r="DX59" s="70">
        <v>391.17</v>
      </c>
      <c r="DY59" s="70">
        <v>390.14</v>
      </c>
      <c r="DZ59" s="70">
        <v>389.12</v>
      </c>
      <c r="EA59" s="70">
        <v>388.09</v>
      </c>
      <c r="EB59" s="70">
        <v>387.06</v>
      </c>
      <c r="EC59" s="70">
        <v>386.03</v>
      </c>
      <c r="ED59" s="70">
        <v>385.01</v>
      </c>
      <c r="EE59" s="70">
        <v>383.98</v>
      </c>
      <c r="EF59" s="70">
        <v>382.96</v>
      </c>
      <c r="EG59" s="70">
        <v>381.94</v>
      </c>
      <c r="EH59" s="70">
        <v>380.92</v>
      </c>
      <c r="EI59" s="70">
        <v>379.9</v>
      </c>
      <c r="EJ59" s="70">
        <v>378.87</v>
      </c>
      <c r="EK59" s="70">
        <v>377.85</v>
      </c>
      <c r="EL59" s="70">
        <v>376.83</v>
      </c>
      <c r="EM59" s="70">
        <v>375.81</v>
      </c>
      <c r="EN59" s="70">
        <v>374.79</v>
      </c>
      <c r="EO59" s="70">
        <v>373.77</v>
      </c>
      <c r="EP59" s="70">
        <v>372.75</v>
      </c>
      <c r="EQ59" s="70">
        <v>371.74</v>
      </c>
      <c r="ER59" s="70">
        <v>370.72</v>
      </c>
      <c r="ES59" s="70">
        <v>369.71</v>
      </c>
      <c r="ET59" s="70">
        <v>368.69</v>
      </c>
      <c r="EU59" s="70">
        <v>367.68</v>
      </c>
      <c r="EV59" s="70">
        <v>366.66</v>
      </c>
      <c r="EW59" s="70">
        <v>365.65</v>
      </c>
      <c r="EX59" s="70">
        <v>364.63</v>
      </c>
      <c r="EY59" s="70">
        <v>363.62</v>
      </c>
      <c r="EZ59" s="70">
        <v>362.61</v>
      </c>
      <c r="FA59" s="70">
        <v>361.59</v>
      </c>
      <c r="FB59" s="70">
        <v>360.58</v>
      </c>
      <c r="FC59" s="70">
        <v>359.57</v>
      </c>
      <c r="FD59" s="70">
        <v>358.56</v>
      </c>
      <c r="FE59" s="70">
        <v>357.55</v>
      </c>
      <c r="FF59" s="70">
        <v>356.55</v>
      </c>
      <c r="FG59" s="70">
        <v>355.54</v>
      </c>
      <c r="FH59" s="70">
        <v>354.53</v>
      </c>
      <c r="FI59" s="70">
        <v>353.53</v>
      </c>
      <c r="FJ59" s="70">
        <v>352.52</v>
      </c>
      <c r="FK59" s="70">
        <v>351.52</v>
      </c>
      <c r="FL59" s="70">
        <v>350.51</v>
      </c>
      <c r="FM59" s="70">
        <v>349.51</v>
      </c>
      <c r="FN59" s="70">
        <v>348.5</v>
      </c>
      <c r="FO59" s="70">
        <v>347.5</v>
      </c>
      <c r="FP59" s="70">
        <v>346.5</v>
      </c>
      <c r="FQ59" s="70">
        <v>345.49</v>
      </c>
      <c r="FR59" s="70">
        <v>344.49</v>
      </c>
      <c r="FS59" s="70">
        <v>343.49</v>
      </c>
      <c r="FT59" s="70">
        <v>342.49</v>
      </c>
      <c r="FU59" s="70">
        <v>341.49</v>
      </c>
      <c r="FV59" s="70">
        <v>340.49</v>
      </c>
      <c r="FW59" s="70">
        <v>339.49</v>
      </c>
      <c r="FX59" s="70">
        <v>338.49</v>
      </c>
      <c r="FY59" s="70">
        <v>337.49</v>
      </c>
      <c r="FZ59" s="70">
        <v>336.49</v>
      </c>
      <c r="GA59" s="70">
        <v>335.49</v>
      </c>
      <c r="GB59" s="70">
        <v>334.5</v>
      </c>
      <c r="GC59" s="70">
        <v>333.5</v>
      </c>
      <c r="GD59" s="70">
        <v>332.51</v>
      </c>
      <c r="GE59" s="70">
        <v>331.51</v>
      </c>
      <c r="GF59" s="70">
        <v>330.51</v>
      </c>
      <c r="GG59" s="70">
        <v>329.51</v>
      </c>
      <c r="GH59" s="70">
        <v>328.53</v>
      </c>
      <c r="GI59" s="70">
        <v>327.52999999999997</v>
      </c>
      <c r="GJ59" s="70">
        <v>326.54000000000002</v>
      </c>
      <c r="GK59" s="70">
        <v>325.54000000000002</v>
      </c>
      <c r="GL59" s="70">
        <v>324.56</v>
      </c>
      <c r="GM59" s="70">
        <v>323.57</v>
      </c>
      <c r="GN59" s="70">
        <v>322.57</v>
      </c>
      <c r="GO59" s="70">
        <v>321.58999999999997</v>
      </c>
      <c r="GP59" s="70">
        <v>320.60000000000002</v>
      </c>
      <c r="GQ59" s="70">
        <v>319.63</v>
      </c>
      <c r="GR59" s="70">
        <v>318.64</v>
      </c>
      <c r="GS59" s="70">
        <v>317.66000000000003</v>
      </c>
      <c r="GT59" s="70">
        <v>316.68</v>
      </c>
      <c r="GU59" s="70">
        <v>315.7</v>
      </c>
      <c r="GV59" s="70">
        <v>314.72000000000003</v>
      </c>
      <c r="GW59" s="70">
        <v>313.74</v>
      </c>
      <c r="GX59" s="70">
        <v>312.76</v>
      </c>
      <c r="GY59" s="70">
        <v>311.77999999999997</v>
      </c>
      <c r="GZ59" s="70">
        <v>310.79000000000002</v>
      </c>
      <c r="HA59" s="70">
        <v>309.82</v>
      </c>
      <c r="HB59" s="70">
        <v>308.85000000000002</v>
      </c>
      <c r="HC59" s="70">
        <v>307.87</v>
      </c>
      <c r="HD59" s="70">
        <v>306.89999999999998</v>
      </c>
      <c r="HE59" s="70">
        <v>305.92</v>
      </c>
      <c r="HF59" s="70">
        <v>304.95</v>
      </c>
      <c r="HG59" s="70">
        <v>303.98</v>
      </c>
      <c r="HH59" s="70">
        <v>303</v>
      </c>
      <c r="HI59" s="70">
        <v>302.02999999999997</v>
      </c>
      <c r="HJ59" s="70">
        <v>301.06</v>
      </c>
      <c r="HK59" s="70">
        <v>300.08999999999997</v>
      </c>
      <c r="HL59" s="70">
        <v>299.13</v>
      </c>
      <c r="HM59" s="70">
        <v>298.17</v>
      </c>
      <c r="HN59" s="70">
        <v>297.20999999999998</v>
      </c>
      <c r="HO59" s="70">
        <v>296.25</v>
      </c>
      <c r="HP59" s="70">
        <v>295.29000000000002</v>
      </c>
      <c r="HQ59" s="70">
        <v>294.32</v>
      </c>
      <c r="HR59" s="70">
        <v>293.37</v>
      </c>
      <c r="HS59" s="70">
        <v>292.41000000000003</v>
      </c>
      <c r="HT59" s="70">
        <v>291.45999999999998</v>
      </c>
      <c r="HU59" s="70">
        <v>290.5</v>
      </c>
      <c r="HV59" s="70">
        <v>289.54000000000002</v>
      </c>
      <c r="HW59" s="70">
        <v>288.58999999999997</v>
      </c>
      <c r="HX59" s="70">
        <v>287.64</v>
      </c>
      <c r="HY59" s="70">
        <v>286.69</v>
      </c>
      <c r="HZ59" s="70">
        <v>285.74</v>
      </c>
      <c r="IA59" s="70">
        <v>284.79000000000002</v>
      </c>
      <c r="IB59" s="70">
        <v>283.83999999999997</v>
      </c>
      <c r="IC59" s="70">
        <v>282.89</v>
      </c>
      <c r="ID59" s="70">
        <v>281.94</v>
      </c>
      <c r="IE59" s="70">
        <v>280.99</v>
      </c>
      <c r="IF59" s="70">
        <v>280.04000000000002</v>
      </c>
      <c r="IG59" s="70">
        <v>279.10000000000002</v>
      </c>
      <c r="IH59" s="70">
        <v>278.14999999999998</v>
      </c>
      <c r="II59" s="70">
        <v>277.2</v>
      </c>
      <c r="IJ59" s="70">
        <v>276.26</v>
      </c>
      <c r="IK59" s="70">
        <v>275.32</v>
      </c>
      <c r="IL59" s="70">
        <v>274.38</v>
      </c>
      <c r="IM59" s="70">
        <v>273.44</v>
      </c>
      <c r="IN59" s="70">
        <v>272.5</v>
      </c>
      <c r="IO59" s="70">
        <v>271.56</v>
      </c>
      <c r="IP59" s="70">
        <v>270.62</v>
      </c>
      <c r="IQ59" s="70">
        <v>269.68</v>
      </c>
      <c r="IR59" s="70">
        <v>268.74</v>
      </c>
      <c r="IS59" s="70">
        <v>267.81</v>
      </c>
      <c r="IT59" s="70">
        <v>266.87</v>
      </c>
      <c r="IU59" s="70">
        <v>265.94</v>
      </c>
      <c r="IV59" s="70">
        <v>265.01</v>
      </c>
      <c r="IW59" s="70">
        <v>264.08999999999997</v>
      </c>
      <c r="IX59" s="70">
        <v>263.17</v>
      </c>
      <c r="IY59" s="70">
        <v>262.25</v>
      </c>
      <c r="IZ59" s="70">
        <v>261.32</v>
      </c>
      <c r="JA59" s="70">
        <v>260.40999999999997</v>
      </c>
      <c r="JB59" s="70">
        <v>259.49</v>
      </c>
      <c r="JC59" s="70">
        <v>258.57</v>
      </c>
      <c r="JD59" s="70">
        <v>257.64999999999998</v>
      </c>
      <c r="JE59" s="70">
        <v>256.74</v>
      </c>
      <c r="JF59" s="70">
        <v>255.82</v>
      </c>
      <c r="JG59" s="70">
        <v>254.9</v>
      </c>
      <c r="JH59" s="70">
        <v>253.99</v>
      </c>
      <c r="JI59" s="70">
        <v>253.08</v>
      </c>
      <c r="JJ59" s="70">
        <v>252.17</v>
      </c>
      <c r="JK59" s="70">
        <v>251.26</v>
      </c>
      <c r="JL59" s="70">
        <v>250.35</v>
      </c>
      <c r="JM59" s="70">
        <v>249.44</v>
      </c>
      <c r="JN59" s="70">
        <v>248.53</v>
      </c>
      <c r="JO59" s="70">
        <v>247.62</v>
      </c>
      <c r="JP59" s="70">
        <v>246.71</v>
      </c>
      <c r="JQ59" s="70">
        <v>245.81</v>
      </c>
      <c r="JR59" s="70">
        <v>244.9</v>
      </c>
      <c r="JS59" s="70">
        <v>244</v>
      </c>
      <c r="JT59" s="70">
        <v>243.09</v>
      </c>
      <c r="JU59" s="70">
        <v>242.18</v>
      </c>
      <c r="JV59" s="70">
        <v>241.27</v>
      </c>
      <c r="JW59" s="70">
        <v>240.36</v>
      </c>
      <c r="JX59" s="70">
        <v>239.45</v>
      </c>
      <c r="JY59" s="70">
        <v>238.54</v>
      </c>
      <c r="JZ59" s="70">
        <v>237.63</v>
      </c>
      <c r="KA59" s="70">
        <v>236.72</v>
      </c>
      <c r="KB59" s="70">
        <v>235.82</v>
      </c>
      <c r="KC59" s="70">
        <v>234.91</v>
      </c>
      <c r="KD59" s="70">
        <v>234.01</v>
      </c>
      <c r="KE59" s="70">
        <v>233.1</v>
      </c>
      <c r="KF59" s="70">
        <v>232.2</v>
      </c>
      <c r="KG59" s="70">
        <v>231.3</v>
      </c>
      <c r="KH59" s="70">
        <v>230.4</v>
      </c>
      <c r="KI59" s="70">
        <v>229.5</v>
      </c>
      <c r="KJ59" s="70">
        <v>228.6</v>
      </c>
      <c r="KK59" s="70">
        <v>227.7</v>
      </c>
      <c r="KL59" s="70">
        <v>226.8</v>
      </c>
      <c r="KM59" s="70">
        <v>225.91</v>
      </c>
      <c r="KN59" s="70">
        <v>225.01</v>
      </c>
      <c r="KO59" s="70">
        <v>224.12</v>
      </c>
      <c r="KP59" s="70">
        <v>223.22</v>
      </c>
      <c r="KQ59" s="70">
        <v>222.33</v>
      </c>
      <c r="KR59" s="74">
        <f t="shared" si="37"/>
        <v>224.27</v>
      </c>
      <c r="KS59" s="74">
        <f t="shared" si="38"/>
        <v>223.48</v>
      </c>
      <c r="KT59" s="74">
        <f t="shared" si="37"/>
        <v>222.66</v>
      </c>
      <c r="KU59" s="74">
        <f t="shared" si="37"/>
        <v>221.87</v>
      </c>
      <c r="KV59" s="74">
        <f t="shared" si="37"/>
        <v>221.09</v>
      </c>
      <c r="KW59" s="74">
        <f t="shared" si="37"/>
        <v>220.3</v>
      </c>
      <c r="KX59" s="74">
        <f t="shared" si="37"/>
        <v>219.51</v>
      </c>
      <c r="KY59" s="74">
        <f t="shared" si="37"/>
        <v>218.73</v>
      </c>
      <c r="KZ59" s="74">
        <f t="shared" si="37"/>
        <v>217.94</v>
      </c>
      <c r="LA59" s="74">
        <f t="shared" si="37"/>
        <v>217.16</v>
      </c>
      <c r="LB59" s="74">
        <f t="shared" si="37"/>
        <v>216.38</v>
      </c>
      <c r="LC59" s="74">
        <f t="shared" si="37"/>
        <v>215.6</v>
      </c>
      <c r="LD59" s="74">
        <f t="shared" si="37"/>
        <v>214.82</v>
      </c>
      <c r="LE59" s="74">
        <f t="shared" si="37"/>
        <v>214.04</v>
      </c>
      <c r="LF59" s="74">
        <f t="shared" si="37"/>
        <v>213.27</v>
      </c>
      <c r="LG59" s="74">
        <f t="shared" si="37"/>
        <v>212.5</v>
      </c>
      <c r="LH59" s="74">
        <f t="shared" si="37"/>
        <v>211.72</v>
      </c>
      <c r="LI59" s="74">
        <f t="shared" si="37"/>
        <v>210.95</v>
      </c>
      <c r="LJ59" s="74">
        <f t="shared" si="37"/>
        <v>210.18</v>
      </c>
      <c r="LK59" s="74">
        <f t="shared" si="37"/>
        <v>209.41</v>
      </c>
      <c r="LL59" s="74">
        <f t="shared" si="37"/>
        <v>208.64</v>
      </c>
      <c r="LM59" s="74">
        <f t="shared" si="37"/>
        <v>207.88</v>
      </c>
      <c r="LN59" s="74">
        <f t="shared" si="36"/>
        <v>207.11</v>
      </c>
      <c r="LO59" s="74">
        <f t="shared" si="36"/>
        <v>206.35</v>
      </c>
      <c r="LP59" s="74">
        <f t="shared" si="36"/>
        <v>205.59</v>
      </c>
      <c r="LQ59" s="74">
        <f t="shared" si="36"/>
        <v>204.83</v>
      </c>
      <c r="LR59" s="74">
        <f t="shared" si="36"/>
        <v>204.07</v>
      </c>
      <c r="LS59" s="74">
        <f t="shared" si="36"/>
        <v>203.31</v>
      </c>
      <c r="LT59" s="74">
        <f t="shared" si="36"/>
        <v>202.56</v>
      </c>
      <c r="LU59" s="74">
        <f t="shared" si="36"/>
        <v>201.81</v>
      </c>
      <c r="LV59" s="74">
        <f t="shared" si="36"/>
        <v>201.05</v>
      </c>
      <c r="LW59" s="74">
        <f t="shared" si="36"/>
        <v>200.3</v>
      </c>
      <c r="LX59" s="74">
        <f t="shared" si="36"/>
        <v>199.55</v>
      </c>
      <c r="LY59" s="74">
        <f t="shared" si="36"/>
        <v>198.8</v>
      </c>
      <c r="LZ59" s="74">
        <f t="shared" si="36"/>
        <v>198.06</v>
      </c>
      <c r="MA59" s="74">
        <f t="shared" si="36"/>
        <v>197.31</v>
      </c>
      <c r="MB59" s="74">
        <f t="shared" si="36"/>
        <v>196.57</v>
      </c>
      <c r="MC59" s="74">
        <f t="shared" si="36"/>
        <v>195.83</v>
      </c>
      <c r="MD59" s="76">
        <f t="shared" si="36"/>
        <v>195.09</v>
      </c>
      <c r="ME59" s="77">
        <f t="shared" si="36"/>
        <v>194.36</v>
      </c>
      <c r="MF59" s="77">
        <f t="shared" si="36"/>
        <v>193.62</v>
      </c>
      <c r="MG59" s="77">
        <f t="shared" si="36"/>
        <v>192.89</v>
      </c>
      <c r="MH59" s="77">
        <f t="shared" si="36"/>
        <v>192.15</v>
      </c>
      <c r="MI59" s="77">
        <f t="shared" si="36"/>
        <v>191.42</v>
      </c>
      <c r="MJ59" s="77">
        <f t="shared" si="36"/>
        <v>190.69</v>
      </c>
      <c r="MK59" s="77">
        <f t="shared" si="36"/>
        <v>189.96</v>
      </c>
      <c r="ML59" s="77">
        <f t="shared" si="36"/>
        <v>189.24</v>
      </c>
      <c r="MM59" s="77">
        <f t="shared" si="36"/>
        <v>188.51</v>
      </c>
      <c r="MN59" s="77">
        <f t="shared" si="36"/>
        <v>187.79</v>
      </c>
      <c r="MO59" s="77">
        <f t="shared" si="36"/>
        <v>187.07</v>
      </c>
      <c r="MP59" s="77">
        <f t="shared" si="36"/>
        <v>186.35</v>
      </c>
      <c r="MQ59" s="77">
        <f t="shared" si="36"/>
        <v>185.64</v>
      </c>
      <c r="MR59" s="77">
        <f t="shared" si="36"/>
        <v>184.92</v>
      </c>
      <c r="MS59" s="77">
        <f t="shared" si="36"/>
        <v>184.21</v>
      </c>
      <c r="MT59" s="77">
        <f t="shared" si="36"/>
        <v>183.49</v>
      </c>
      <c r="MU59" s="77">
        <f t="shared" si="36"/>
        <v>182.78</v>
      </c>
      <c r="MV59" s="77">
        <f t="shared" si="36"/>
        <v>182.07</v>
      </c>
      <c r="MW59" s="77">
        <f t="shared" si="36"/>
        <v>181.37</v>
      </c>
      <c r="MX59" s="77">
        <f t="shared" si="36"/>
        <v>180.66</v>
      </c>
      <c r="MY59" s="77">
        <f>MY58+0.75</f>
        <v>179.96</v>
      </c>
    </row>
    <row r="60" spans="1:363" ht="15.6" x14ac:dyDescent="0.3">
      <c r="A60" s="67" t="s">
        <v>6</v>
      </c>
      <c r="B60" s="72">
        <v>2070</v>
      </c>
      <c r="C60" s="70">
        <v>521.26</v>
      </c>
      <c r="D60" s="70">
        <v>520.32000000000005</v>
      </c>
      <c r="E60" s="70">
        <v>519.29</v>
      </c>
      <c r="F60" s="70">
        <v>518.25</v>
      </c>
      <c r="G60" s="70">
        <v>517.22</v>
      </c>
      <c r="H60" s="70">
        <v>516.18000000000006</v>
      </c>
      <c r="I60" s="70">
        <v>515.15</v>
      </c>
      <c r="J60" s="70">
        <v>514.11</v>
      </c>
      <c r="K60" s="70">
        <v>513.07999999999993</v>
      </c>
      <c r="L60" s="70">
        <v>512.04</v>
      </c>
      <c r="M60" s="70">
        <v>511.01</v>
      </c>
      <c r="N60" s="70">
        <v>509.97</v>
      </c>
      <c r="O60" s="70">
        <v>508.94</v>
      </c>
      <c r="P60" s="70">
        <v>507.9</v>
      </c>
      <c r="Q60" s="70">
        <v>506.87</v>
      </c>
      <c r="R60" s="70">
        <v>505.83</v>
      </c>
      <c r="S60" s="70">
        <v>504.8</v>
      </c>
      <c r="T60" s="70">
        <v>503.76</v>
      </c>
      <c r="U60" s="70">
        <v>502.73</v>
      </c>
      <c r="V60" s="70">
        <v>501.69</v>
      </c>
      <c r="W60" s="70">
        <v>500.66</v>
      </c>
      <c r="X60" s="70">
        <v>499.62</v>
      </c>
      <c r="Y60" s="70">
        <v>498.59</v>
      </c>
      <c r="Z60" s="70">
        <v>497.55</v>
      </c>
      <c r="AA60" s="70">
        <v>496.52</v>
      </c>
      <c r="AB60" s="70">
        <v>495.48</v>
      </c>
      <c r="AC60" s="70">
        <v>494.45</v>
      </c>
      <c r="AD60" s="70">
        <v>493.41</v>
      </c>
      <c r="AE60" s="70">
        <v>492.37</v>
      </c>
      <c r="AF60" s="70">
        <v>491.34</v>
      </c>
      <c r="AG60" s="70">
        <v>490.3</v>
      </c>
      <c r="AH60" s="70">
        <v>489.27</v>
      </c>
      <c r="AI60" s="70">
        <v>488.23</v>
      </c>
      <c r="AJ60" s="70">
        <v>487.19</v>
      </c>
      <c r="AK60" s="70">
        <v>486.16</v>
      </c>
      <c r="AL60" s="70">
        <v>485.12</v>
      </c>
      <c r="AM60" s="70">
        <v>484.09</v>
      </c>
      <c r="AN60" s="70">
        <v>483.05</v>
      </c>
      <c r="AO60" s="70">
        <v>482.01</v>
      </c>
      <c r="AP60" s="70">
        <v>480.98</v>
      </c>
      <c r="AQ60" s="70">
        <v>479.94</v>
      </c>
      <c r="AR60" s="70">
        <v>478.9</v>
      </c>
      <c r="AS60" s="70">
        <v>477.87</v>
      </c>
      <c r="AT60" s="70">
        <v>476.83</v>
      </c>
      <c r="AU60" s="70">
        <v>475.79</v>
      </c>
      <c r="AV60" s="70">
        <v>474.76</v>
      </c>
      <c r="AW60" s="70">
        <v>473.72</v>
      </c>
      <c r="AX60" s="70">
        <v>472.69</v>
      </c>
      <c r="AY60" s="70">
        <v>471.65</v>
      </c>
      <c r="AZ60" s="70">
        <v>470.61</v>
      </c>
      <c r="BA60" s="70">
        <v>469.58</v>
      </c>
      <c r="BB60" s="70">
        <v>468.54</v>
      </c>
      <c r="BC60" s="70">
        <v>467.5</v>
      </c>
      <c r="BD60" s="70">
        <v>466.46</v>
      </c>
      <c r="BE60" s="70">
        <v>465.43</v>
      </c>
      <c r="BF60" s="70">
        <v>464.39</v>
      </c>
      <c r="BG60" s="70">
        <v>463.35</v>
      </c>
      <c r="BH60" s="70">
        <v>462.32</v>
      </c>
      <c r="BI60" s="70">
        <v>461.28</v>
      </c>
      <c r="BJ60" s="70">
        <v>460.24</v>
      </c>
      <c r="BK60" s="70">
        <v>459.21</v>
      </c>
      <c r="BL60" s="70">
        <v>458.17</v>
      </c>
      <c r="BM60" s="70">
        <v>457.13</v>
      </c>
      <c r="BN60" s="70">
        <v>456.09</v>
      </c>
      <c r="BO60" s="70">
        <v>455.05</v>
      </c>
      <c r="BP60" s="70">
        <v>454.02</v>
      </c>
      <c r="BQ60" s="70">
        <v>452.98</v>
      </c>
      <c r="BR60" s="70">
        <v>451.94</v>
      </c>
      <c r="BS60" s="70">
        <v>450.9</v>
      </c>
      <c r="BT60" s="70">
        <v>449.87</v>
      </c>
      <c r="BU60" s="70">
        <v>448.83</v>
      </c>
      <c r="BV60" s="70">
        <v>447.79</v>
      </c>
      <c r="BW60" s="70">
        <v>446.75</v>
      </c>
      <c r="BX60" s="70">
        <v>445.72</v>
      </c>
      <c r="BY60" s="70">
        <v>444.68</v>
      </c>
      <c r="BZ60" s="70">
        <v>443.64</v>
      </c>
      <c r="CA60" s="70">
        <v>442.61</v>
      </c>
      <c r="CB60" s="70">
        <v>441.57</v>
      </c>
      <c r="CC60" s="70">
        <v>440.53</v>
      </c>
      <c r="CD60" s="70">
        <v>439.5</v>
      </c>
      <c r="CE60" s="70">
        <v>438.46</v>
      </c>
      <c r="CF60" s="70">
        <v>437.43</v>
      </c>
      <c r="CG60" s="70">
        <v>436.39</v>
      </c>
      <c r="CH60" s="70">
        <v>435.35</v>
      </c>
      <c r="CI60" s="70">
        <v>434.32</v>
      </c>
      <c r="CJ60" s="70">
        <v>433.28</v>
      </c>
      <c r="CK60" s="70">
        <v>432.24</v>
      </c>
      <c r="CL60" s="70">
        <v>431.21</v>
      </c>
      <c r="CM60" s="70">
        <v>430.17</v>
      </c>
      <c r="CN60" s="70">
        <v>429.13</v>
      </c>
      <c r="CO60" s="70">
        <v>428.1</v>
      </c>
      <c r="CP60" s="70">
        <v>427.06</v>
      </c>
      <c r="CQ60" s="70">
        <v>426.02</v>
      </c>
      <c r="CR60" s="70">
        <v>424.99</v>
      </c>
      <c r="CS60" s="70">
        <v>423.95</v>
      </c>
      <c r="CT60" s="70">
        <v>422.91</v>
      </c>
      <c r="CU60" s="70">
        <v>421.88</v>
      </c>
      <c r="CV60" s="70">
        <v>420.84</v>
      </c>
      <c r="CW60" s="70">
        <v>419.81</v>
      </c>
      <c r="CX60" s="70">
        <v>418.77</v>
      </c>
      <c r="CY60" s="70">
        <v>417.74</v>
      </c>
      <c r="CZ60" s="70">
        <v>416.7</v>
      </c>
      <c r="DA60" s="70">
        <v>415.67</v>
      </c>
      <c r="DB60" s="70">
        <v>414.63</v>
      </c>
      <c r="DC60" s="70">
        <v>413.6</v>
      </c>
      <c r="DD60" s="70">
        <v>412.56</v>
      </c>
      <c r="DE60" s="70">
        <v>411.53</v>
      </c>
      <c r="DF60" s="70">
        <v>410.49</v>
      </c>
      <c r="DG60" s="70">
        <v>409.46</v>
      </c>
      <c r="DH60" s="70">
        <v>408.43</v>
      </c>
      <c r="DI60" s="70">
        <v>407.39</v>
      </c>
      <c r="DJ60" s="70">
        <v>406.36</v>
      </c>
      <c r="DK60" s="70">
        <v>405.33</v>
      </c>
      <c r="DL60" s="70">
        <v>404.29</v>
      </c>
      <c r="DM60" s="70">
        <v>403.26</v>
      </c>
      <c r="DN60" s="70">
        <v>402.23</v>
      </c>
      <c r="DO60" s="70">
        <v>401.19</v>
      </c>
      <c r="DP60" s="70">
        <v>400.16</v>
      </c>
      <c r="DQ60" s="70">
        <v>399.13</v>
      </c>
      <c r="DR60" s="70">
        <v>398.1</v>
      </c>
      <c r="DS60" s="70">
        <v>397.06</v>
      </c>
      <c r="DT60" s="70">
        <v>396.03</v>
      </c>
      <c r="DU60" s="70">
        <v>395.01</v>
      </c>
      <c r="DV60" s="70">
        <v>393.98</v>
      </c>
      <c r="DW60" s="70">
        <v>392.95</v>
      </c>
      <c r="DX60" s="70">
        <v>391.92</v>
      </c>
      <c r="DY60" s="70">
        <v>390.89</v>
      </c>
      <c r="DZ60" s="70">
        <v>389.87</v>
      </c>
      <c r="EA60" s="70">
        <v>388.84</v>
      </c>
      <c r="EB60" s="70">
        <v>387.81</v>
      </c>
      <c r="EC60" s="70">
        <v>386.78</v>
      </c>
      <c r="ED60" s="70">
        <v>385.76</v>
      </c>
      <c r="EE60" s="70">
        <v>384.73</v>
      </c>
      <c r="EF60" s="70">
        <v>383.71</v>
      </c>
      <c r="EG60" s="70">
        <v>382.69</v>
      </c>
      <c r="EH60" s="70">
        <v>381.67</v>
      </c>
      <c r="EI60" s="70">
        <v>380.65</v>
      </c>
      <c r="EJ60" s="70">
        <v>379.62</v>
      </c>
      <c r="EK60" s="70">
        <v>378.6</v>
      </c>
      <c r="EL60" s="70">
        <v>377.58</v>
      </c>
      <c r="EM60" s="70">
        <v>376.56</v>
      </c>
      <c r="EN60" s="70">
        <v>375.54</v>
      </c>
      <c r="EO60" s="70">
        <v>374.52</v>
      </c>
      <c r="EP60" s="70">
        <v>373.5</v>
      </c>
      <c r="EQ60" s="70">
        <v>372.49</v>
      </c>
      <c r="ER60" s="70">
        <v>371.47</v>
      </c>
      <c r="ES60" s="70">
        <v>370.46</v>
      </c>
      <c r="ET60" s="70">
        <v>369.44</v>
      </c>
      <c r="EU60" s="70">
        <v>368.43</v>
      </c>
      <c r="EV60" s="70">
        <v>367.41</v>
      </c>
      <c r="EW60" s="70">
        <v>366.4</v>
      </c>
      <c r="EX60" s="70">
        <v>365.38</v>
      </c>
      <c r="EY60" s="70">
        <v>364.37</v>
      </c>
      <c r="EZ60" s="70">
        <v>363.36</v>
      </c>
      <c r="FA60" s="70">
        <v>362.34</v>
      </c>
      <c r="FB60" s="70">
        <v>361.33</v>
      </c>
      <c r="FC60" s="70">
        <v>360.32</v>
      </c>
      <c r="FD60" s="70">
        <v>359.31</v>
      </c>
      <c r="FE60" s="70">
        <v>358.3</v>
      </c>
      <c r="FF60" s="70">
        <v>357.3</v>
      </c>
      <c r="FG60" s="70">
        <v>356.29</v>
      </c>
      <c r="FH60" s="70">
        <v>355.28</v>
      </c>
      <c r="FI60" s="70">
        <v>354.28</v>
      </c>
      <c r="FJ60" s="70">
        <v>353.27</v>
      </c>
      <c r="FK60" s="70">
        <v>352.27</v>
      </c>
      <c r="FL60" s="70">
        <v>351.26</v>
      </c>
      <c r="FM60" s="70">
        <v>350.26</v>
      </c>
      <c r="FN60" s="70">
        <v>349.25</v>
      </c>
      <c r="FO60" s="70">
        <v>348.25</v>
      </c>
      <c r="FP60" s="70">
        <v>347.25</v>
      </c>
      <c r="FQ60" s="70">
        <v>346.24</v>
      </c>
      <c r="FR60" s="70">
        <v>345.24</v>
      </c>
      <c r="FS60" s="70">
        <v>344.24</v>
      </c>
      <c r="FT60" s="70">
        <v>343.24</v>
      </c>
      <c r="FU60" s="70">
        <v>342.24</v>
      </c>
      <c r="FV60" s="70">
        <v>341.24</v>
      </c>
      <c r="FW60" s="70">
        <v>340.24</v>
      </c>
      <c r="FX60" s="70">
        <v>339.24</v>
      </c>
      <c r="FY60" s="70">
        <v>338.24</v>
      </c>
      <c r="FZ60" s="70">
        <v>337.24</v>
      </c>
      <c r="GA60" s="70">
        <v>336.24</v>
      </c>
      <c r="GB60" s="70">
        <v>335.25</v>
      </c>
      <c r="GC60" s="70">
        <v>334.25</v>
      </c>
      <c r="GD60" s="70">
        <v>333.26</v>
      </c>
      <c r="GE60" s="70">
        <v>332.26</v>
      </c>
      <c r="GF60" s="70">
        <v>331.26</v>
      </c>
      <c r="GG60" s="70">
        <v>330.26</v>
      </c>
      <c r="GH60" s="70">
        <v>329.28</v>
      </c>
      <c r="GI60" s="70">
        <v>328.28</v>
      </c>
      <c r="GJ60" s="70">
        <v>327.29000000000002</v>
      </c>
      <c r="GK60" s="70">
        <v>326.29000000000002</v>
      </c>
      <c r="GL60" s="70">
        <v>325.31</v>
      </c>
      <c r="GM60" s="70">
        <v>324.32</v>
      </c>
      <c r="GN60" s="70">
        <v>323.32</v>
      </c>
      <c r="GO60" s="70">
        <v>322.33999999999997</v>
      </c>
      <c r="GP60" s="70">
        <v>321.35000000000002</v>
      </c>
      <c r="GQ60" s="70">
        <v>320.38</v>
      </c>
      <c r="GR60" s="70">
        <v>319.39</v>
      </c>
      <c r="GS60" s="70">
        <v>318.41000000000003</v>
      </c>
      <c r="GT60" s="70">
        <v>317.43</v>
      </c>
      <c r="GU60" s="70">
        <v>316.45</v>
      </c>
      <c r="GV60" s="70">
        <v>315.47000000000003</v>
      </c>
      <c r="GW60" s="70">
        <v>314.49</v>
      </c>
      <c r="GX60" s="70">
        <v>313.51</v>
      </c>
      <c r="GY60" s="70">
        <v>312.52999999999997</v>
      </c>
      <c r="GZ60" s="70">
        <v>311.54000000000002</v>
      </c>
      <c r="HA60" s="70">
        <v>310.57</v>
      </c>
      <c r="HB60" s="70">
        <v>309.60000000000002</v>
      </c>
      <c r="HC60" s="70">
        <v>308.62</v>
      </c>
      <c r="HD60" s="70">
        <v>307.64999999999998</v>
      </c>
      <c r="HE60" s="70">
        <v>306.67</v>
      </c>
      <c r="HF60" s="70">
        <v>305.7</v>
      </c>
      <c r="HG60" s="70">
        <v>304.73</v>
      </c>
      <c r="HH60" s="70">
        <v>303.75</v>
      </c>
      <c r="HI60" s="70">
        <v>302.77999999999997</v>
      </c>
      <c r="HJ60" s="70">
        <v>301.81</v>
      </c>
      <c r="HK60" s="70">
        <v>300.83999999999997</v>
      </c>
      <c r="HL60" s="70">
        <v>299.88</v>
      </c>
      <c r="HM60" s="70">
        <v>298.92</v>
      </c>
      <c r="HN60" s="70">
        <v>297.95999999999998</v>
      </c>
      <c r="HO60" s="70">
        <v>297</v>
      </c>
      <c r="HP60" s="70">
        <v>296.04000000000002</v>
      </c>
      <c r="HQ60" s="70">
        <v>295.07</v>
      </c>
      <c r="HR60" s="70">
        <v>294.12</v>
      </c>
      <c r="HS60" s="70">
        <v>293.16000000000003</v>
      </c>
      <c r="HT60" s="70">
        <v>292.20999999999998</v>
      </c>
      <c r="HU60" s="70">
        <v>291.25</v>
      </c>
      <c r="HV60" s="70">
        <v>290.29000000000002</v>
      </c>
      <c r="HW60" s="70">
        <v>289.33999999999997</v>
      </c>
      <c r="HX60" s="70">
        <v>288.39</v>
      </c>
      <c r="HY60" s="70">
        <v>287.44</v>
      </c>
      <c r="HZ60" s="70">
        <v>286.49</v>
      </c>
      <c r="IA60" s="70">
        <v>285.54000000000002</v>
      </c>
      <c r="IB60" s="70">
        <v>284.58999999999997</v>
      </c>
      <c r="IC60" s="70">
        <v>283.64</v>
      </c>
      <c r="ID60" s="70">
        <v>282.69</v>
      </c>
      <c r="IE60" s="70">
        <v>281.74</v>
      </c>
      <c r="IF60" s="70">
        <v>280.79000000000002</v>
      </c>
      <c r="IG60" s="70">
        <v>279.85000000000002</v>
      </c>
      <c r="IH60" s="70">
        <v>278.89999999999998</v>
      </c>
      <c r="II60" s="70">
        <v>277.95</v>
      </c>
      <c r="IJ60" s="70">
        <v>277.01</v>
      </c>
      <c r="IK60" s="70">
        <v>276.07</v>
      </c>
      <c r="IL60" s="70">
        <v>275.13</v>
      </c>
      <c r="IM60" s="70">
        <v>274.19</v>
      </c>
      <c r="IN60" s="70">
        <v>273.25</v>
      </c>
      <c r="IO60" s="70">
        <v>272.31</v>
      </c>
      <c r="IP60" s="70">
        <v>271.37</v>
      </c>
      <c r="IQ60" s="70">
        <v>270.43</v>
      </c>
      <c r="IR60" s="70">
        <v>269.49</v>
      </c>
      <c r="IS60" s="70">
        <v>268.56</v>
      </c>
      <c r="IT60" s="70">
        <v>267.62</v>
      </c>
      <c r="IU60" s="70">
        <v>266.69</v>
      </c>
      <c r="IV60" s="70">
        <v>265.76</v>
      </c>
      <c r="IW60" s="70">
        <v>264.83999999999997</v>
      </c>
      <c r="IX60" s="70">
        <v>263.92</v>
      </c>
      <c r="IY60" s="70">
        <v>263</v>
      </c>
      <c r="IZ60" s="70">
        <v>262.07</v>
      </c>
      <c r="JA60" s="70">
        <v>261.15999999999997</v>
      </c>
      <c r="JB60" s="70">
        <v>260.24</v>
      </c>
      <c r="JC60" s="70">
        <v>259.32</v>
      </c>
      <c r="JD60" s="70">
        <v>258.39999999999998</v>
      </c>
      <c r="JE60" s="70">
        <v>257.49</v>
      </c>
      <c r="JF60" s="70">
        <v>256.57</v>
      </c>
      <c r="JG60" s="70">
        <v>255.65</v>
      </c>
      <c r="JH60" s="70">
        <v>254.74</v>
      </c>
      <c r="JI60" s="70">
        <v>253.83</v>
      </c>
      <c r="JJ60" s="70">
        <v>252.92</v>
      </c>
      <c r="JK60" s="70">
        <v>252.01</v>
      </c>
      <c r="JL60" s="70">
        <v>251.1</v>
      </c>
      <c r="JM60" s="70">
        <v>250.19</v>
      </c>
      <c r="JN60" s="70">
        <v>249.28</v>
      </c>
      <c r="JO60" s="70">
        <v>248.37</v>
      </c>
      <c r="JP60" s="70">
        <v>247.46</v>
      </c>
      <c r="JQ60" s="70">
        <v>246.56</v>
      </c>
      <c r="JR60" s="70">
        <v>245.65</v>
      </c>
      <c r="JS60" s="70">
        <v>244.75</v>
      </c>
      <c r="JT60" s="70">
        <v>243.84</v>
      </c>
      <c r="JU60" s="70">
        <v>242.93</v>
      </c>
      <c r="JV60" s="70">
        <v>242.02</v>
      </c>
      <c r="JW60" s="70">
        <v>241.11</v>
      </c>
      <c r="JX60" s="70">
        <v>240.2</v>
      </c>
      <c r="JY60" s="70">
        <v>239.29</v>
      </c>
      <c r="JZ60" s="70">
        <v>238.38</v>
      </c>
      <c r="KA60" s="70">
        <v>237.47</v>
      </c>
      <c r="KB60" s="70">
        <v>236.57</v>
      </c>
      <c r="KC60" s="70">
        <v>235.66</v>
      </c>
      <c r="KD60" s="70">
        <v>234.76</v>
      </c>
      <c r="KE60" s="70">
        <v>233.85</v>
      </c>
      <c r="KF60" s="70">
        <v>232.95</v>
      </c>
      <c r="KG60" s="70">
        <v>232.05</v>
      </c>
      <c r="KH60" s="70">
        <v>231.15</v>
      </c>
      <c r="KI60" s="70">
        <v>230.25</v>
      </c>
      <c r="KJ60" s="70">
        <v>229.35</v>
      </c>
      <c r="KK60" s="70">
        <v>228.45</v>
      </c>
      <c r="KL60" s="70">
        <v>227.55</v>
      </c>
      <c r="KM60" s="70">
        <v>226.66</v>
      </c>
      <c r="KN60" s="70">
        <v>225.76</v>
      </c>
      <c r="KO60" s="70">
        <v>224.87</v>
      </c>
      <c r="KP60" s="70">
        <v>223.97</v>
      </c>
      <c r="KQ60" s="70">
        <v>223.08</v>
      </c>
      <c r="KR60" s="74">
        <f t="shared" si="37"/>
        <v>225.02</v>
      </c>
      <c r="KS60" s="74">
        <f t="shared" si="38"/>
        <v>224.23</v>
      </c>
      <c r="KT60" s="74">
        <f t="shared" si="37"/>
        <v>223.41</v>
      </c>
      <c r="KU60" s="74">
        <f t="shared" si="37"/>
        <v>222.62</v>
      </c>
      <c r="KV60" s="74">
        <f t="shared" si="37"/>
        <v>221.84</v>
      </c>
      <c r="KW60" s="74">
        <f t="shared" si="37"/>
        <v>221.05</v>
      </c>
      <c r="KX60" s="74">
        <f t="shared" si="37"/>
        <v>220.26</v>
      </c>
      <c r="KY60" s="74">
        <f t="shared" si="37"/>
        <v>219.48</v>
      </c>
      <c r="KZ60" s="74">
        <f t="shared" si="37"/>
        <v>218.69</v>
      </c>
      <c r="LA60" s="74">
        <f t="shared" si="37"/>
        <v>217.91</v>
      </c>
      <c r="LB60" s="74">
        <f t="shared" si="37"/>
        <v>217.13</v>
      </c>
      <c r="LC60" s="74">
        <f t="shared" si="37"/>
        <v>216.35</v>
      </c>
      <c r="LD60" s="74">
        <f t="shared" si="37"/>
        <v>215.57</v>
      </c>
      <c r="LE60" s="74">
        <f t="shared" si="37"/>
        <v>214.79</v>
      </c>
      <c r="LF60" s="74">
        <f t="shared" si="37"/>
        <v>214.02</v>
      </c>
      <c r="LG60" s="74">
        <f t="shared" si="37"/>
        <v>213.25</v>
      </c>
      <c r="LH60" s="74">
        <f t="shared" si="37"/>
        <v>212.47</v>
      </c>
      <c r="LI60" s="74">
        <f t="shared" si="37"/>
        <v>211.7</v>
      </c>
      <c r="LJ60" s="74">
        <f t="shared" si="37"/>
        <v>210.93</v>
      </c>
      <c r="LK60" s="74">
        <f t="shared" si="37"/>
        <v>210.16</v>
      </c>
      <c r="LL60" s="74">
        <f t="shared" si="37"/>
        <v>209.39</v>
      </c>
      <c r="LM60" s="74">
        <f t="shared" si="37"/>
        <v>208.63</v>
      </c>
      <c r="LN60" s="74">
        <f t="shared" si="36"/>
        <v>207.86</v>
      </c>
      <c r="LO60" s="74">
        <f t="shared" si="36"/>
        <v>207.1</v>
      </c>
      <c r="LP60" s="74">
        <f t="shared" si="36"/>
        <v>206.34</v>
      </c>
      <c r="LQ60" s="74">
        <f t="shared" si="36"/>
        <v>205.58</v>
      </c>
      <c r="LR60" s="74">
        <f t="shared" si="36"/>
        <v>204.82</v>
      </c>
      <c r="LS60" s="74">
        <f t="shared" si="36"/>
        <v>204.06</v>
      </c>
      <c r="LT60" s="74">
        <f t="shared" si="36"/>
        <v>203.31</v>
      </c>
      <c r="LU60" s="74">
        <f t="shared" si="36"/>
        <v>202.56</v>
      </c>
      <c r="LV60" s="74">
        <f t="shared" si="36"/>
        <v>201.8</v>
      </c>
      <c r="LW60" s="74">
        <f t="shared" si="36"/>
        <v>201.05</v>
      </c>
      <c r="LX60" s="74">
        <f t="shared" si="36"/>
        <v>200.3</v>
      </c>
      <c r="LY60" s="74">
        <f t="shared" si="36"/>
        <v>199.55</v>
      </c>
      <c r="LZ60" s="74">
        <f t="shared" si="36"/>
        <v>198.81</v>
      </c>
      <c r="MA60" s="74">
        <f t="shared" si="36"/>
        <v>198.06</v>
      </c>
      <c r="MB60" s="74">
        <f t="shared" si="36"/>
        <v>197.32</v>
      </c>
      <c r="MC60" s="74">
        <f t="shared" si="36"/>
        <v>196.58</v>
      </c>
      <c r="MD60" s="76">
        <f t="shared" si="36"/>
        <v>195.84</v>
      </c>
      <c r="ME60" s="77">
        <f t="shared" si="36"/>
        <v>195.11</v>
      </c>
      <c r="MF60" s="77">
        <f t="shared" si="36"/>
        <v>194.37</v>
      </c>
      <c r="MG60" s="77">
        <f t="shared" si="36"/>
        <v>193.64</v>
      </c>
      <c r="MH60" s="77">
        <f t="shared" si="36"/>
        <v>192.9</v>
      </c>
      <c r="MI60" s="77">
        <f t="shared" si="36"/>
        <v>192.17</v>
      </c>
      <c r="MJ60" s="77">
        <f t="shared" si="36"/>
        <v>191.44</v>
      </c>
      <c r="MK60" s="77">
        <f t="shared" si="36"/>
        <v>190.71</v>
      </c>
      <c r="ML60" s="77">
        <f t="shared" si="36"/>
        <v>189.99</v>
      </c>
      <c r="MM60" s="77">
        <f t="shared" si="36"/>
        <v>189.26</v>
      </c>
      <c r="MN60" s="77">
        <f t="shared" si="36"/>
        <v>188.54</v>
      </c>
      <c r="MO60" s="77">
        <f t="shared" si="36"/>
        <v>187.82</v>
      </c>
      <c r="MP60" s="77">
        <f t="shared" si="36"/>
        <v>187.1</v>
      </c>
      <c r="MQ60" s="77">
        <f t="shared" si="36"/>
        <v>186.39</v>
      </c>
      <c r="MR60" s="77">
        <f t="shared" si="36"/>
        <v>185.67</v>
      </c>
      <c r="MS60" s="77">
        <f t="shared" si="36"/>
        <v>184.96</v>
      </c>
      <c r="MT60" s="77">
        <f t="shared" si="36"/>
        <v>184.24</v>
      </c>
      <c r="MU60" s="77">
        <f t="shared" si="36"/>
        <v>183.53</v>
      </c>
      <c r="MV60" s="77">
        <f t="shared" si="36"/>
        <v>182.82</v>
      </c>
      <c r="MW60" s="77">
        <f t="shared" si="36"/>
        <v>182.12</v>
      </c>
      <c r="MX60" s="77">
        <f t="shared" si="36"/>
        <v>181.41</v>
      </c>
      <c r="MY60" s="77">
        <f t="shared" si="36"/>
        <v>180.71</v>
      </c>
    </row>
    <row r="61" spans="1:363" ht="15.6" x14ac:dyDescent="0.3">
      <c r="A61" s="67" t="s">
        <v>6</v>
      </c>
      <c r="B61" s="72">
        <v>2071</v>
      </c>
      <c r="C61" s="70">
        <v>521.97</v>
      </c>
      <c r="D61" s="70">
        <v>521.07000000000005</v>
      </c>
      <c r="E61" s="70">
        <v>520.04</v>
      </c>
      <c r="F61" s="70">
        <v>519</v>
      </c>
      <c r="G61" s="70">
        <v>517.97</v>
      </c>
      <c r="H61" s="70">
        <v>516.93000000000006</v>
      </c>
      <c r="I61" s="70">
        <v>515.9</v>
      </c>
      <c r="J61" s="70">
        <v>514.86</v>
      </c>
      <c r="K61" s="70">
        <v>513.82999999999993</v>
      </c>
      <c r="L61" s="70">
        <v>512.79</v>
      </c>
      <c r="M61" s="70">
        <v>511.76</v>
      </c>
      <c r="N61" s="70">
        <v>510.72</v>
      </c>
      <c r="O61" s="70">
        <v>509.69</v>
      </c>
      <c r="P61" s="70">
        <v>508.65</v>
      </c>
      <c r="Q61" s="70">
        <v>507.62</v>
      </c>
      <c r="R61" s="70">
        <v>506.58</v>
      </c>
      <c r="S61" s="70">
        <v>505.55</v>
      </c>
      <c r="T61" s="70">
        <v>504.51</v>
      </c>
      <c r="U61" s="70">
        <v>503.48</v>
      </c>
      <c r="V61" s="70">
        <v>502.44</v>
      </c>
      <c r="W61" s="70">
        <v>501.41</v>
      </c>
      <c r="X61" s="70">
        <v>500.37</v>
      </c>
      <c r="Y61" s="70">
        <v>499.34</v>
      </c>
      <c r="Z61" s="70">
        <v>498.3</v>
      </c>
      <c r="AA61" s="70">
        <v>497.27</v>
      </c>
      <c r="AB61" s="70">
        <v>496.23</v>
      </c>
      <c r="AC61" s="70">
        <v>495.2</v>
      </c>
      <c r="AD61" s="70">
        <v>494.16</v>
      </c>
      <c r="AE61" s="70">
        <v>493.12</v>
      </c>
      <c r="AF61" s="70">
        <v>492.09</v>
      </c>
      <c r="AG61" s="70">
        <v>491.05</v>
      </c>
      <c r="AH61" s="70">
        <v>490.02</v>
      </c>
      <c r="AI61" s="70">
        <v>488.98</v>
      </c>
      <c r="AJ61" s="70">
        <v>487.94</v>
      </c>
      <c r="AK61" s="70">
        <v>486.91</v>
      </c>
      <c r="AL61" s="70">
        <v>485.87</v>
      </c>
      <c r="AM61" s="70">
        <v>484.84</v>
      </c>
      <c r="AN61" s="70">
        <v>483.8</v>
      </c>
      <c r="AO61" s="70">
        <v>482.76</v>
      </c>
      <c r="AP61" s="70">
        <v>481.73</v>
      </c>
      <c r="AQ61" s="70">
        <v>480.69</v>
      </c>
      <c r="AR61" s="70">
        <v>479.65</v>
      </c>
      <c r="AS61" s="70">
        <v>478.62</v>
      </c>
      <c r="AT61" s="70">
        <v>477.58</v>
      </c>
      <c r="AU61" s="70">
        <v>476.54</v>
      </c>
      <c r="AV61" s="70">
        <v>475.51</v>
      </c>
      <c r="AW61" s="70">
        <v>474.47</v>
      </c>
      <c r="AX61" s="70">
        <v>473.44</v>
      </c>
      <c r="AY61" s="70">
        <v>472.4</v>
      </c>
      <c r="AZ61" s="70">
        <v>471.36</v>
      </c>
      <c r="BA61" s="70">
        <v>470.33</v>
      </c>
      <c r="BB61" s="70">
        <v>469.29</v>
      </c>
      <c r="BC61" s="70">
        <v>468.25</v>
      </c>
      <c r="BD61" s="70">
        <v>467.21</v>
      </c>
      <c r="BE61" s="70">
        <v>466.18</v>
      </c>
      <c r="BF61" s="70">
        <v>465.14</v>
      </c>
      <c r="BG61" s="70">
        <v>464.1</v>
      </c>
      <c r="BH61" s="70">
        <v>463.07</v>
      </c>
      <c r="BI61" s="70">
        <v>462.03</v>
      </c>
      <c r="BJ61" s="70">
        <v>460.99</v>
      </c>
      <c r="BK61" s="70">
        <v>459.96</v>
      </c>
      <c r="BL61" s="70">
        <v>458.92</v>
      </c>
      <c r="BM61" s="70">
        <v>457.88</v>
      </c>
      <c r="BN61" s="70">
        <v>456.84</v>
      </c>
      <c r="BO61" s="70">
        <v>455.8</v>
      </c>
      <c r="BP61" s="70">
        <v>454.77</v>
      </c>
      <c r="BQ61" s="70">
        <v>453.73</v>
      </c>
      <c r="BR61" s="70">
        <v>452.69</v>
      </c>
      <c r="BS61" s="70">
        <v>451.65</v>
      </c>
      <c r="BT61" s="70">
        <v>450.62</v>
      </c>
      <c r="BU61" s="70">
        <v>449.58</v>
      </c>
      <c r="BV61" s="70">
        <v>448.54</v>
      </c>
      <c r="BW61" s="70">
        <v>447.5</v>
      </c>
      <c r="BX61" s="70">
        <v>446.47</v>
      </c>
      <c r="BY61" s="70">
        <v>445.43</v>
      </c>
      <c r="BZ61" s="70">
        <v>444.39</v>
      </c>
      <c r="CA61" s="70">
        <v>443.36</v>
      </c>
      <c r="CB61" s="70">
        <v>442.32</v>
      </c>
      <c r="CC61" s="70">
        <v>441.28</v>
      </c>
      <c r="CD61" s="70">
        <v>440.25</v>
      </c>
      <c r="CE61" s="70">
        <v>439.21</v>
      </c>
      <c r="CF61" s="70">
        <v>438.18</v>
      </c>
      <c r="CG61" s="70">
        <v>437.14</v>
      </c>
      <c r="CH61" s="70">
        <v>436.1</v>
      </c>
      <c r="CI61" s="70">
        <v>435.07</v>
      </c>
      <c r="CJ61" s="70">
        <v>434.03</v>
      </c>
      <c r="CK61" s="70">
        <v>432.99</v>
      </c>
      <c r="CL61" s="70">
        <v>431.96</v>
      </c>
      <c r="CM61" s="70">
        <v>430.92</v>
      </c>
      <c r="CN61" s="70">
        <v>429.88</v>
      </c>
      <c r="CO61" s="70">
        <v>428.85</v>
      </c>
      <c r="CP61" s="70">
        <v>427.81</v>
      </c>
      <c r="CQ61" s="70">
        <v>426.77</v>
      </c>
      <c r="CR61" s="70">
        <v>425.74</v>
      </c>
      <c r="CS61" s="70">
        <v>424.7</v>
      </c>
      <c r="CT61" s="70">
        <v>423.66</v>
      </c>
      <c r="CU61" s="70">
        <v>422.63</v>
      </c>
      <c r="CV61" s="70">
        <v>421.59</v>
      </c>
      <c r="CW61" s="70">
        <v>420.56</v>
      </c>
      <c r="CX61" s="70">
        <v>419.52</v>
      </c>
      <c r="CY61" s="70">
        <v>418.49</v>
      </c>
      <c r="CZ61" s="70">
        <v>417.45</v>
      </c>
      <c r="DA61" s="70">
        <v>416.42</v>
      </c>
      <c r="DB61" s="70">
        <v>415.38</v>
      </c>
      <c r="DC61" s="70">
        <v>414.35</v>
      </c>
      <c r="DD61" s="70">
        <v>413.31</v>
      </c>
      <c r="DE61" s="70">
        <v>412.28</v>
      </c>
      <c r="DF61" s="70">
        <v>411.24</v>
      </c>
      <c r="DG61" s="70">
        <v>410.21</v>
      </c>
      <c r="DH61" s="70">
        <v>409.18</v>
      </c>
      <c r="DI61" s="70">
        <v>408.14</v>
      </c>
      <c r="DJ61" s="70">
        <v>407.11</v>
      </c>
      <c r="DK61" s="70">
        <v>406.08</v>
      </c>
      <c r="DL61" s="70">
        <v>405.04</v>
      </c>
      <c r="DM61" s="70">
        <v>404.01</v>
      </c>
      <c r="DN61" s="70">
        <v>402.98</v>
      </c>
      <c r="DO61" s="70">
        <v>401.94</v>
      </c>
      <c r="DP61" s="70">
        <v>400.91</v>
      </c>
      <c r="DQ61" s="70">
        <v>399.88</v>
      </c>
      <c r="DR61" s="70">
        <v>398.85</v>
      </c>
      <c r="DS61" s="70">
        <v>397.81</v>
      </c>
      <c r="DT61" s="70">
        <v>396.78</v>
      </c>
      <c r="DU61" s="70">
        <v>395.76</v>
      </c>
      <c r="DV61" s="70">
        <v>394.73</v>
      </c>
      <c r="DW61" s="70">
        <v>393.7</v>
      </c>
      <c r="DX61" s="70">
        <v>392.67</v>
      </c>
      <c r="DY61" s="70">
        <v>391.64</v>
      </c>
      <c r="DZ61" s="70">
        <v>390.62</v>
      </c>
      <c r="EA61" s="70">
        <v>389.59</v>
      </c>
      <c r="EB61" s="70">
        <v>388.56</v>
      </c>
      <c r="EC61" s="70">
        <v>387.53</v>
      </c>
      <c r="ED61" s="70">
        <v>386.51</v>
      </c>
      <c r="EE61" s="70">
        <v>385.48</v>
      </c>
      <c r="EF61" s="70">
        <v>384.46</v>
      </c>
      <c r="EG61" s="70">
        <v>383.44</v>
      </c>
      <c r="EH61" s="70">
        <v>382.42</v>
      </c>
      <c r="EI61" s="70">
        <v>381.4</v>
      </c>
      <c r="EJ61" s="70">
        <v>380.37</v>
      </c>
      <c r="EK61" s="70">
        <v>379.35</v>
      </c>
      <c r="EL61" s="70">
        <v>378.33</v>
      </c>
      <c r="EM61" s="70">
        <v>377.31</v>
      </c>
      <c r="EN61" s="70">
        <v>376.29</v>
      </c>
      <c r="EO61" s="70">
        <v>375.27</v>
      </c>
      <c r="EP61" s="70">
        <v>374.25</v>
      </c>
      <c r="EQ61" s="70">
        <v>373.24</v>
      </c>
      <c r="ER61" s="70">
        <v>372.22</v>
      </c>
      <c r="ES61" s="70">
        <v>371.21</v>
      </c>
      <c r="ET61" s="70">
        <v>370.19</v>
      </c>
      <c r="EU61" s="70">
        <v>369.18</v>
      </c>
      <c r="EV61" s="70">
        <v>368.16</v>
      </c>
      <c r="EW61" s="70">
        <v>367.15</v>
      </c>
      <c r="EX61" s="70">
        <v>366.13</v>
      </c>
      <c r="EY61" s="70">
        <v>365.12</v>
      </c>
      <c r="EZ61" s="70">
        <v>364.11</v>
      </c>
      <c r="FA61" s="70">
        <v>363.09</v>
      </c>
      <c r="FB61" s="70">
        <v>362.08</v>
      </c>
      <c r="FC61" s="70">
        <v>361.07</v>
      </c>
      <c r="FD61" s="70">
        <v>360.06</v>
      </c>
      <c r="FE61" s="70">
        <v>359.05</v>
      </c>
      <c r="FF61" s="70">
        <v>358.05</v>
      </c>
      <c r="FG61" s="70">
        <v>357.04</v>
      </c>
      <c r="FH61" s="70">
        <v>356.03</v>
      </c>
      <c r="FI61" s="70">
        <v>355.03</v>
      </c>
      <c r="FJ61" s="70">
        <v>354.02</v>
      </c>
      <c r="FK61" s="70">
        <v>353.02</v>
      </c>
      <c r="FL61" s="70">
        <v>352.01</v>
      </c>
      <c r="FM61" s="70">
        <v>351.01</v>
      </c>
      <c r="FN61" s="70">
        <v>350</v>
      </c>
      <c r="FO61" s="70">
        <v>349</v>
      </c>
      <c r="FP61" s="70">
        <v>348</v>
      </c>
      <c r="FQ61" s="70">
        <v>346.99</v>
      </c>
      <c r="FR61" s="70">
        <v>345.99</v>
      </c>
      <c r="FS61" s="70">
        <v>344.99</v>
      </c>
      <c r="FT61" s="70">
        <v>343.99</v>
      </c>
      <c r="FU61" s="70">
        <v>342.99</v>
      </c>
      <c r="FV61" s="70">
        <v>341.99</v>
      </c>
      <c r="FW61" s="70">
        <v>340.99</v>
      </c>
      <c r="FX61" s="70">
        <v>339.99</v>
      </c>
      <c r="FY61" s="70">
        <v>338.99</v>
      </c>
      <c r="FZ61" s="70">
        <v>337.99</v>
      </c>
      <c r="GA61" s="70">
        <v>336.99</v>
      </c>
      <c r="GB61" s="70">
        <v>336</v>
      </c>
      <c r="GC61" s="70">
        <v>335</v>
      </c>
      <c r="GD61" s="70">
        <v>334.01</v>
      </c>
      <c r="GE61" s="70">
        <v>333.01</v>
      </c>
      <c r="GF61" s="70">
        <v>332.01</v>
      </c>
      <c r="GG61" s="70">
        <v>331.01</v>
      </c>
      <c r="GH61" s="70">
        <v>330.03</v>
      </c>
      <c r="GI61" s="70">
        <v>329.03</v>
      </c>
      <c r="GJ61" s="70">
        <v>328.04</v>
      </c>
      <c r="GK61" s="70">
        <v>327.04000000000002</v>
      </c>
      <c r="GL61" s="70">
        <v>326.06</v>
      </c>
      <c r="GM61" s="70">
        <v>325.07</v>
      </c>
      <c r="GN61" s="70">
        <v>324.07</v>
      </c>
      <c r="GO61" s="70">
        <v>323.08999999999997</v>
      </c>
      <c r="GP61" s="70">
        <v>322.10000000000002</v>
      </c>
      <c r="GQ61" s="70">
        <v>321.13</v>
      </c>
      <c r="GR61" s="70">
        <v>320.14</v>
      </c>
      <c r="GS61" s="70">
        <v>319.16000000000003</v>
      </c>
      <c r="GT61" s="70">
        <v>318.18</v>
      </c>
      <c r="GU61" s="70">
        <v>317.2</v>
      </c>
      <c r="GV61" s="70">
        <v>316.22000000000003</v>
      </c>
      <c r="GW61" s="70">
        <v>315.24</v>
      </c>
      <c r="GX61" s="70">
        <v>314.26</v>
      </c>
      <c r="GY61" s="70">
        <v>313.27999999999997</v>
      </c>
      <c r="GZ61" s="70">
        <v>312.29000000000002</v>
      </c>
      <c r="HA61" s="70">
        <v>311.32</v>
      </c>
      <c r="HB61" s="70">
        <v>310.35000000000002</v>
      </c>
      <c r="HC61" s="70">
        <v>309.37</v>
      </c>
      <c r="HD61" s="70">
        <v>308.39999999999998</v>
      </c>
      <c r="HE61" s="70">
        <v>307.42</v>
      </c>
      <c r="HF61" s="70">
        <v>306.45</v>
      </c>
      <c r="HG61" s="70">
        <v>305.48</v>
      </c>
      <c r="HH61" s="70">
        <v>304.5</v>
      </c>
      <c r="HI61" s="70">
        <v>303.52999999999997</v>
      </c>
      <c r="HJ61" s="70">
        <v>302.56</v>
      </c>
      <c r="HK61" s="70">
        <v>301.58999999999997</v>
      </c>
      <c r="HL61" s="70">
        <v>300.63</v>
      </c>
      <c r="HM61" s="70">
        <v>299.67</v>
      </c>
      <c r="HN61" s="70">
        <v>298.70999999999998</v>
      </c>
      <c r="HO61" s="70">
        <v>297.75</v>
      </c>
      <c r="HP61" s="70">
        <v>296.79000000000002</v>
      </c>
      <c r="HQ61" s="70">
        <v>295.82</v>
      </c>
      <c r="HR61" s="70">
        <v>294.87</v>
      </c>
      <c r="HS61" s="70">
        <v>293.91000000000003</v>
      </c>
      <c r="HT61" s="70">
        <v>292.95999999999998</v>
      </c>
      <c r="HU61" s="70">
        <v>292</v>
      </c>
      <c r="HV61" s="70">
        <v>291.04000000000002</v>
      </c>
      <c r="HW61" s="70">
        <v>290.08999999999997</v>
      </c>
      <c r="HX61" s="70">
        <v>289.14</v>
      </c>
      <c r="HY61" s="70">
        <v>288.19</v>
      </c>
      <c r="HZ61" s="70">
        <v>287.24</v>
      </c>
      <c r="IA61" s="70">
        <v>286.29000000000002</v>
      </c>
      <c r="IB61" s="70">
        <v>285.33999999999997</v>
      </c>
      <c r="IC61" s="70">
        <v>284.39</v>
      </c>
      <c r="ID61" s="70">
        <v>283.44</v>
      </c>
      <c r="IE61" s="70">
        <v>282.49</v>
      </c>
      <c r="IF61" s="70">
        <v>281.54000000000002</v>
      </c>
      <c r="IG61" s="70">
        <v>280.60000000000002</v>
      </c>
      <c r="IH61" s="70">
        <v>279.64999999999998</v>
      </c>
      <c r="II61" s="70">
        <v>278.7</v>
      </c>
      <c r="IJ61" s="70">
        <v>277.76</v>
      </c>
      <c r="IK61" s="70">
        <v>276.82</v>
      </c>
      <c r="IL61" s="70">
        <v>275.88</v>
      </c>
      <c r="IM61" s="70">
        <v>274.94</v>
      </c>
      <c r="IN61" s="70">
        <v>274</v>
      </c>
      <c r="IO61" s="70">
        <v>273.06</v>
      </c>
      <c r="IP61" s="70">
        <v>272.12</v>
      </c>
      <c r="IQ61" s="70">
        <v>271.18</v>
      </c>
      <c r="IR61" s="70">
        <v>270.24</v>
      </c>
      <c r="IS61" s="70">
        <v>269.31</v>
      </c>
      <c r="IT61" s="70">
        <v>268.37</v>
      </c>
      <c r="IU61" s="70">
        <v>267.44</v>
      </c>
      <c r="IV61" s="70">
        <v>266.51</v>
      </c>
      <c r="IW61" s="70">
        <v>265.58999999999997</v>
      </c>
      <c r="IX61" s="70">
        <v>264.67</v>
      </c>
      <c r="IY61" s="70">
        <v>263.75</v>
      </c>
      <c r="IZ61" s="70">
        <v>262.82</v>
      </c>
      <c r="JA61" s="70">
        <v>261.90999999999997</v>
      </c>
      <c r="JB61" s="70">
        <v>260.99</v>
      </c>
      <c r="JC61" s="70">
        <v>260.07</v>
      </c>
      <c r="JD61" s="70">
        <v>259.14999999999998</v>
      </c>
      <c r="JE61" s="70">
        <v>258.24</v>
      </c>
      <c r="JF61" s="70">
        <v>257.32</v>
      </c>
      <c r="JG61" s="70">
        <v>256.39999999999998</v>
      </c>
      <c r="JH61" s="70">
        <v>255.49</v>
      </c>
      <c r="JI61" s="70">
        <v>254.58</v>
      </c>
      <c r="JJ61" s="70">
        <v>253.67</v>
      </c>
      <c r="JK61" s="70">
        <v>252.76</v>
      </c>
      <c r="JL61" s="70">
        <v>251.85</v>
      </c>
      <c r="JM61" s="70">
        <v>250.94</v>
      </c>
      <c r="JN61" s="70">
        <v>250.03</v>
      </c>
      <c r="JO61" s="70">
        <v>249.12</v>
      </c>
      <c r="JP61" s="70">
        <v>248.21</v>
      </c>
      <c r="JQ61" s="70">
        <v>247.31</v>
      </c>
      <c r="JR61" s="70">
        <v>246.4</v>
      </c>
      <c r="JS61" s="70">
        <v>245.5</v>
      </c>
      <c r="JT61" s="70">
        <v>244.59</v>
      </c>
      <c r="JU61" s="70">
        <v>243.68</v>
      </c>
      <c r="JV61" s="70">
        <v>242.77</v>
      </c>
      <c r="JW61" s="70">
        <v>241.86</v>
      </c>
      <c r="JX61" s="70">
        <v>240.95</v>
      </c>
      <c r="JY61" s="70">
        <v>240.04</v>
      </c>
      <c r="JZ61" s="70">
        <v>239.13</v>
      </c>
      <c r="KA61" s="70">
        <v>238.22</v>
      </c>
      <c r="KB61" s="70">
        <v>237.32</v>
      </c>
      <c r="KC61" s="70">
        <v>236.41</v>
      </c>
      <c r="KD61" s="70">
        <v>235.51</v>
      </c>
      <c r="KE61" s="70">
        <v>234.6</v>
      </c>
      <c r="KF61" s="70">
        <v>233.7</v>
      </c>
      <c r="KG61" s="70">
        <v>232.8</v>
      </c>
      <c r="KH61" s="70">
        <v>231.9</v>
      </c>
      <c r="KI61" s="70">
        <v>231</v>
      </c>
      <c r="KJ61" s="70">
        <v>230.1</v>
      </c>
      <c r="KK61" s="70">
        <v>229.2</v>
      </c>
      <c r="KL61" s="70">
        <v>228.3</v>
      </c>
      <c r="KM61" s="70">
        <v>227.41</v>
      </c>
      <c r="KN61" s="70">
        <v>226.51</v>
      </c>
      <c r="KO61" s="70">
        <v>225.62</v>
      </c>
      <c r="KP61" s="70">
        <v>224.72</v>
      </c>
      <c r="KQ61" s="70">
        <v>223.83</v>
      </c>
      <c r="KR61" s="74">
        <f t="shared" si="37"/>
        <v>225.77</v>
      </c>
      <c r="KS61" s="74">
        <f t="shared" si="38"/>
        <v>224.98</v>
      </c>
      <c r="KT61" s="74">
        <f t="shared" si="37"/>
        <v>224.16</v>
      </c>
      <c r="KU61" s="74">
        <f t="shared" si="37"/>
        <v>223.37</v>
      </c>
      <c r="KV61" s="74">
        <f t="shared" si="37"/>
        <v>222.59</v>
      </c>
      <c r="KW61" s="74">
        <f t="shared" si="37"/>
        <v>221.8</v>
      </c>
      <c r="KX61" s="74">
        <f t="shared" si="37"/>
        <v>221.01</v>
      </c>
      <c r="KY61" s="74">
        <f t="shared" si="37"/>
        <v>220.23</v>
      </c>
      <c r="KZ61" s="74">
        <f t="shared" si="37"/>
        <v>219.44</v>
      </c>
      <c r="LA61" s="74">
        <f t="shared" si="37"/>
        <v>218.66</v>
      </c>
      <c r="LB61" s="74">
        <f t="shared" si="37"/>
        <v>217.88</v>
      </c>
      <c r="LC61" s="74">
        <f t="shared" si="37"/>
        <v>217.1</v>
      </c>
      <c r="LD61" s="74">
        <f t="shared" si="37"/>
        <v>216.32</v>
      </c>
      <c r="LE61" s="74">
        <f t="shared" si="37"/>
        <v>215.54</v>
      </c>
      <c r="LF61" s="74">
        <f t="shared" si="37"/>
        <v>214.77</v>
      </c>
      <c r="LG61" s="74">
        <f t="shared" si="37"/>
        <v>214</v>
      </c>
      <c r="LH61" s="74">
        <f t="shared" si="37"/>
        <v>213.22</v>
      </c>
      <c r="LI61" s="74">
        <f t="shared" si="37"/>
        <v>212.45</v>
      </c>
      <c r="LJ61" s="74">
        <f t="shared" si="37"/>
        <v>211.68</v>
      </c>
      <c r="LK61" s="74">
        <f t="shared" si="37"/>
        <v>210.91</v>
      </c>
      <c r="LL61" s="74">
        <f t="shared" si="37"/>
        <v>210.14</v>
      </c>
      <c r="LM61" s="74">
        <f t="shared" si="37"/>
        <v>209.38</v>
      </c>
      <c r="LN61" s="74">
        <f t="shared" si="36"/>
        <v>208.61</v>
      </c>
      <c r="LO61" s="74">
        <f t="shared" si="36"/>
        <v>207.85</v>
      </c>
      <c r="LP61" s="74">
        <f t="shared" si="36"/>
        <v>207.09</v>
      </c>
      <c r="LQ61" s="74">
        <f t="shared" si="36"/>
        <v>206.33</v>
      </c>
      <c r="LR61" s="74">
        <f t="shared" si="36"/>
        <v>205.57</v>
      </c>
      <c r="LS61" s="74">
        <f t="shared" si="36"/>
        <v>204.81</v>
      </c>
      <c r="LT61" s="74">
        <f t="shared" si="36"/>
        <v>204.06</v>
      </c>
      <c r="LU61" s="74">
        <f t="shared" si="36"/>
        <v>203.31</v>
      </c>
      <c r="LV61" s="74">
        <f t="shared" si="36"/>
        <v>202.55</v>
      </c>
      <c r="LW61" s="74">
        <f t="shared" si="36"/>
        <v>201.8</v>
      </c>
      <c r="LX61" s="74">
        <f t="shared" si="36"/>
        <v>201.05</v>
      </c>
      <c r="LY61" s="74">
        <f t="shared" si="36"/>
        <v>200.3</v>
      </c>
      <c r="LZ61" s="74">
        <f t="shared" si="36"/>
        <v>199.56</v>
      </c>
      <c r="MA61" s="74">
        <f t="shared" si="36"/>
        <v>198.81</v>
      </c>
      <c r="MB61" s="74">
        <f t="shared" si="36"/>
        <v>198.07</v>
      </c>
      <c r="MC61" s="74">
        <f t="shared" si="36"/>
        <v>197.33</v>
      </c>
      <c r="MD61" s="76">
        <f t="shared" si="36"/>
        <v>196.59</v>
      </c>
      <c r="ME61" s="77">
        <f t="shared" si="36"/>
        <v>195.86</v>
      </c>
      <c r="MF61" s="77">
        <f t="shared" si="36"/>
        <v>195.12</v>
      </c>
      <c r="MG61" s="77">
        <f t="shared" si="36"/>
        <v>194.39</v>
      </c>
      <c r="MH61" s="77">
        <f t="shared" si="36"/>
        <v>193.65</v>
      </c>
      <c r="MI61" s="77">
        <f t="shared" si="36"/>
        <v>192.92</v>
      </c>
      <c r="MJ61" s="77">
        <f t="shared" si="36"/>
        <v>192.19</v>
      </c>
      <c r="MK61" s="77">
        <f t="shared" si="36"/>
        <v>191.46</v>
      </c>
      <c r="ML61" s="77">
        <f t="shared" si="36"/>
        <v>190.74</v>
      </c>
      <c r="MM61" s="77">
        <f t="shared" si="36"/>
        <v>190.01</v>
      </c>
      <c r="MN61" s="77">
        <f t="shared" si="36"/>
        <v>189.29</v>
      </c>
      <c r="MO61" s="77">
        <f t="shared" si="36"/>
        <v>188.57</v>
      </c>
      <c r="MP61" s="77">
        <f t="shared" si="36"/>
        <v>187.85</v>
      </c>
      <c r="MQ61" s="77">
        <f t="shared" si="36"/>
        <v>187.14</v>
      </c>
      <c r="MR61" s="77">
        <f t="shared" si="36"/>
        <v>186.42</v>
      </c>
      <c r="MS61" s="77">
        <f t="shared" si="36"/>
        <v>185.71</v>
      </c>
      <c r="MT61" s="77">
        <f t="shared" si="36"/>
        <v>184.99</v>
      </c>
      <c r="MU61" s="77">
        <f t="shared" si="36"/>
        <v>184.28</v>
      </c>
      <c r="MV61" s="77">
        <f t="shared" si="36"/>
        <v>183.57</v>
      </c>
      <c r="MW61" s="77">
        <f t="shared" si="36"/>
        <v>182.87</v>
      </c>
      <c r="MX61" s="77">
        <f t="shared" si="36"/>
        <v>182.16</v>
      </c>
      <c r="MY61" s="77">
        <f t="shared" si="36"/>
        <v>181.46</v>
      </c>
    </row>
    <row r="62" spans="1:363" ht="15.6" x14ac:dyDescent="0.3">
      <c r="A62" s="67" t="s">
        <v>6</v>
      </c>
      <c r="B62" s="72">
        <v>2072</v>
      </c>
      <c r="C62" s="70">
        <v>522.67999999999995</v>
      </c>
      <c r="D62" s="70">
        <v>521.82000000000005</v>
      </c>
      <c r="E62" s="70">
        <v>520.79</v>
      </c>
      <c r="F62" s="70">
        <v>519.75</v>
      </c>
      <c r="G62" s="70">
        <v>518.72</v>
      </c>
      <c r="H62" s="70">
        <v>517.68000000000006</v>
      </c>
      <c r="I62" s="70">
        <v>516.65</v>
      </c>
      <c r="J62" s="70">
        <v>515.61</v>
      </c>
      <c r="K62" s="70">
        <v>514.57999999999993</v>
      </c>
      <c r="L62" s="70">
        <v>513.54</v>
      </c>
      <c r="M62" s="70">
        <v>512.51</v>
      </c>
      <c r="N62" s="70">
        <v>511.47</v>
      </c>
      <c r="O62" s="70">
        <v>510.44</v>
      </c>
      <c r="P62" s="70">
        <v>509.4</v>
      </c>
      <c r="Q62" s="70">
        <v>508.37</v>
      </c>
      <c r="R62" s="70">
        <v>507.33</v>
      </c>
      <c r="S62" s="70">
        <v>506.3</v>
      </c>
      <c r="T62" s="70">
        <v>505.26</v>
      </c>
      <c r="U62" s="70">
        <v>504.23</v>
      </c>
      <c r="V62" s="70">
        <v>503.19</v>
      </c>
      <c r="W62" s="70">
        <v>502.16</v>
      </c>
      <c r="X62" s="70">
        <v>501.12</v>
      </c>
      <c r="Y62" s="70">
        <v>500.09</v>
      </c>
      <c r="Z62" s="70">
        <v>499.05</v>
      </c>
      <c r="AA62" s="70">
        <v>498.02</v>
      </c>
      <c r="AB62" s="70">
        <v>496.98</v>
      </c>
      <c r="AC62" s="70">
        <v>495.95</v>
      </c>
      <c r="AD62" s="70">
        <v>494.91</v>
      </c>
      <c r="AE62" s="70">
        <v>493.87</v>
      </c>
      <c r="AF62" s="70">
        <v>492.84</v>
      </c>
      <c r="AG62" s="70">
        <v>491.8</v>
      </c>
      <c r="AH62" s="70">
        <v>490.77</v>
      </c>
      <c r="AI62" s="70">
        <v>489.73</v>
      </c>
      <c r="AJ62" s="70">
        <v>488.69</v>
      </c>
      <c r="AK62" s="70">
        <v>487.66</v>
      </c>
      <c r="AL62" s="70">
        <v>486.62</v>
      </c>
      <c r="AM62" s="70">
        <v>485.59</v>
      </c>
      <c r="AN62" s="70">
        <v>484.55</v>
      </c>
      <c r="AO62" s="70">
        <v>483.51</v>
      </c>
      <c r="AP62" s="70">
        <v>482.48</v>
      </c>
      <c r="AQ62" s="70">
        <v>481.44</v>
      </c>
      <c r="AR62" s="70">
        <v>480.4</v>
      </c>
      <c r="AS62" s="70">
        <v>479.37</v>
      </c>
      <c r="AT62" s="70">
        <v>478.33</v>
      </c>
      <c r="AU62" s="70">
        <v>477.29</v>
      </c>
      <c r="AV62" s="70">
        <v>476.26</v>
      </c>
      <c r="AW62" s="70">
        <v>475.22</v>
      </c>
      <c r="AX62" s="70">
        <v>474.19</v>
      </c>
      <c r="AY62" s="70">
        <v>473.15</v>
      </c>
      <c r="AZ62" s="70">
        <v>472.11</v>
      </c>
      <c r="BA62" s="70">
        <v>471.08</v>
      </c>
      <c r="BB62" s="70">
        <v>470.04</v>
      </c>
      <c r="BC62" s="70">
        <v>469</v>
      </c>
      <c r="BD62" s="70">
        <v>467.96</v>
      </c>
      <c r="BE62" s="70">
        <v>466.93</v>
      </c>
      <c r="BF62" s="70">
        <v>465.89</v>
      </c>
      <c r="BG62" s="70">
        <v>464.85</v>
      </c>
      <c r="BH62" s="70">
        <v>463.82</v>
      </c>
      <c r="BI62" s="70">
        <v>462.78</v>
      </c>
      <c r="BJ62" s="70">
        <v>461.74</v>
      </c>
      <c r="BK62" s="70">
        <v>460.71</v>
      </c>
      <c r="BL62" s="70">
        <v>459.67</v>
      </c>
      <c r="BM62" s="70">
        <v>458.63</v>
      </c>
      <c r="BN62" s="70">
        <v>457.59</v>
      </c>
      <c r="BO62" s="70">
        <v>456.55</v>
      </c>
      <c r="BP62" s="70">
        <v>455.52</v>
      </c>
      <c r="BQ62" s="70">
        <v>454.48</v>
      </c>
      <c r="BR62" s="70">
        <v>453.44</v>
      </c>
      <c r="BS62" s="70">
        <v>452.4</v>
      </c>
      <c r="BT62" s="70">
        <v>451.37</v>
      </c>
      <c r="BU62" s="70">
        <v>450.33</v>
      </c>
      <c r="BV62" s="70">
        <v>449.29</v>
      </c>
      <c r="BW62" s="70">
        <v>448.25</v>
      </c>
      <c r="BX62" s="70">
        <v>447.22</v>
      </c>
      <c r="BY62" s="70">
        <v>446.18</v>
      </c>
      <c r="BZ62" s="70">
        <v>445.14</v>
      </c>
      <c r="CA62" s="70">
        <v>444.11</v>
      </c>
      <c r="CB62" s="70">
        <v>443.07</v>
      </c>
      <c r="CC62" s="70">
        <v>442.03</v>
      </c>
      <c r="CD62" s="70">
        <v>441</v>
      </c>
      <c r="CE62" s="70">
        <v>439.96</v>
      </c>
      <c r="CF62" s="70">
        <v>438.93</v>
      </c>
      <c r="CG62" s="70">
        <v>437.89</v>
      </c>
      <c r="CH62" s="70">
        <v>436.85</v>
      </c>
      <c r="CI62" s="70">
        <v>435.82</v>
      </c>
      <c r="CJ62" s="70">
        <v>434.78</v>
      </c>
      <c r="CK62" s="70">
        <v>433.74</v>
      </c>
      <c r="CL62" s="70">
        <v>432.71</v>
      </c>
      <c r="CM62" s="70">
        <v>431.67</v>
      </c>
      <c r="CN62" s="70">
        <v>430.63</v>
      </c>
      <c r="CO62" s="70">
        <v>429.6</v>
      </c>
      <c r="CP62" s="70">
        <v>428.56</v>
      </c>
      <c r="CQ62" s="70">
        <v>427.52</v>
      </c>
      <c r="CR62" s="70">
        <v>426.49</v>
      </c>
      <c r="CS62" s="70">
        <v>425.45</v>
      </c>
      <c r="CT62" s="70">
        <v>424.41</v>
      </c>
      <c r="CU62" s="70">
        <v>423.38</v>
      </c>
      <c r="CV62" s="70">
        <v>422.34</v>
      </c>
      <c r="CW62" s="70">
        <v>421.31</v>
      </c>
      <c r="CX62" s="70">
        <v>420.27</v>
      </c>
      <c r="CY62" s="70">
        <v>419.24</v>
      </c>
      <c r="CZ62" s="70">
        <v>418.2</v>
      </c>
      <c r="DA62" s="70">
        <v>417.17</v>
      </c>
      <c r="DB62" s="70">
        <v>416.13</v>
      </c>
      <c r="DC62" s="70">
        <v>415.1</v>
      </c>
      <c r="DD62" s="70">
        <v>414.06</v>
      </c>
      <c r="DE62" s="70">
        <v>413.03</v>
      </c>
      <c r="DF62" s="70">
        <v>411.99</v>
      </c>
      <c r="DG62" s="70">
        <v>410.96</v>
      </c>
      <c r="DH62" s="70">
        <v>409.93</v>
      </c>
      <c r="DI62" s="70">
        <v>408.89</v>
      </c>
      <c r="DJ62" s="70">
        <v>407.86</v>
      </c>
      <c r="DK62" s="70">
        <v>406.83</v>
      </c>
      <c r="DL62" s="70">
        <v>405.79</v>
      </c>
      <c r="DM62" s="70">
        <v>404.76</v>
      </c>
      <c r="DN62" s="70">
        <v>403.73</v>
      </c>
      <c r="DO62" s="70">
        <v>402.69</v>
      </c>
      <c r="DP62" s="70">
        <v>401.66</v>
      </c>
      <c r="DQ62" s="70">
        <v>400.63</v>
      </c>
      <c r="DR62" s="70">
        <v>399.6</v>
      </c>
      <c r="DS62" s="70">
        <v>398.56</v>
      </c>
      <c r="DT62" s="70">
        <v>397.53</v>
      </c>
      <c r="DU62" s="70">
        <v>396.51</v>
      </c>
      <c r="DV62" s="70">
        <v>395.48</v>
      </c>
      <c r="DW62" s="70">
        <v>394.45</v>
      </c>
      <c r="DX62" s="70">
        <v>393.42</v>
      </c>
      <c r="DY62" s="70">
        <v>392.39</v>
      </c>
      <c r="DZ62" s="70">
        <v>391.37</v>
      </c>
      <c r="EA62" s="70">
        <v>390.34</v>
      </c>
      <c r="EB62" s="70">
        <v>389.31</v>
      </c>
      <c r="EC62" s="70">
        <v>388.28</v>
      </c>
      <c r="ED62" s="70">
        <v>387.26</v>
      </c>
      <c r="EE62" s="70">
        <v>386.23</v>
      </c>
      <c r="EF62" s="70">
        <v>385.21</v>
      </c>
      <c r="EG62" s="70">
        <v>384.19</v>
      </c>
      <c r="EH62" s="70">
        <v>383.17</v>
      </c>
      <c r="EI62" s="70">
        <v>382.15</v>
      </c>
      <c r="EJ62" s="70">
        <v>381.12</v>
      </c>
      <c r="EK62" s="70">
        <v>380.1</v>
      </c>
      <c r="EL62" s="70">
        <v>379.08</v>
      </c>
      <c r="EM62" s="70">
        <v>378.06</v>
      </c>
      <c r="EN62" s="70">
        <v>377.04</v>
      </c>
      <c r="EO62" s="70">
        <v>376.02</v>
      </c>
      <c r="EP62" s="70">
        <v>375</v>
      </c>
      <c r="EQ62" s="70">
        <v>373.99</v>
      </c>
      <c r="ER62" s="70">
        <v>372.97</v>
      </c>
      <c r="ES62" s="70">
        <v>371.96</v>
      </c>
      <c r="ET62" s="70">
        <v>370.94</v>
      </c>
      <c r="EU62" s="70">
        <v>369.93</v>
      </c>
      <c r="EV62" s="70">
        <v>368.91</v>
      </c>
      <c r="EW62" s="70">
        <v>367.9</v>
      </c>
      <c r="EX62" s="70">
        <v>366.88</v>
      </c>
      <c r="EY62" s="70">
        <v>365.87</v>
      </c>
      <c r="EZ62" s="70">
        <v>364.86</v>
      </c>
      <c r="FA62" s="70">
        <v>363.84</v>
      </c>
      <c r="FB62" s="70">
        <v>362.83</v>
      </c>
      <c r="FC62" s="70">
        <v>361.82</v>
      </c>
      <c r="FD62" s="70">
        <v>360.81</v>
      </c>
      <c r="FE62" s="70">
        <v>359.8</v>
      </c>
      <c r="FF62" s="70">
        <v>358.8</v>
      </c>
      <c r="FG62" s="70">
        <v>357.79</v>
      </c>
      <c r="FH62" s="70">
        <v>356.78</v>
      </c>
      <c r="FI62" s="70">
        <v>355.78</v>
      </c>
      <c r="FJ62" s="70">
        <v>354.77</v>
      </c>
      <c r="FK62" s="70">
        <v>353.77</v>
      </c>
      <c r="FL62" s="70">
        <v>352.76</v>
      </c>
      <c r="FM62" s="70">
        <v>351.76</v>
      </c>
      <c r="FN62" s="70">
        <v>350.75</v>
      </c>
      <c r="FO62" s="70">
        <v>349.75</v>
      </c>
      <c r="FP62" s="70">
        <v>348.75</v>
      </c>
      <c r="FQ62" s="70">
        <v>347.74</v>
      </c>
      <c r="FR62" s="70">
        <v>346.74</v>
      </c>
      <c r="FS62" s="70">
        <v>345.74</v>
      </c>
      <c r="FT62" s="70">
        <v>344.74</v>
      </c>
      <c r="FU62" s="70">
        <v>343.74</v>
      </c>
      <c r="FV62" s="70">
        <v>342.74</v>
      </c>
      <c r="FW62" s="70">
        <v>341.74</v>
      </c>
      <c r="FX62" s="70">
        <v>340.74</v>
      </c>
      <c r="FY62" s="70">
        <v>339.74</v>
      </c>
      <c r="FZ62" s="70">
        <v>338.74</v>
      </c>
      <c r="GA62" s="70">
        <v>337.74</v>
      </c>
      <c r="GB62" s="70">
        <v>336.75</v>
      </c>
      <c r="GC62" s="70">
        <v>335.75</v>
      </c>
      <c r="GD62" s="70">
        <v>334.76</v>
      </c>
      <c r="GE62" s="70">
        <v>333.76</v>
      </c>
      <c r="GF62" s="70">
        <v>332.76</v>
      </c>
      <c r="GG62" s="70">
        <v>331.76</v>
      </c>
      <c r="GH62" s="70">
        <v>330.78</v>
      </c>
      <c r="GI62" s="70">
        <v>329.78</v>
      </c>
      <c r="GJ62" s="70">
        <v>328.79</v>
      </c>
      <c r="GK62" s="70">
        <v>327.79</v>
      </c>
      <c r="GL62" s="70">
        <v>326.81</v>
      </c>
      <c r="GM62" s="70">
        <v>325.82</v>
      </c>
      <c r="GN62" s="70">
        <v>324.82</v>
      </c>
      <c r="GO62" s="70">
        <v>323.83999999999997</v>
      </c>
      <c r="GP62" s="70">
        <v>322.85000000000002</v>
      </c>
      <c r="GQ62" s="70">
        <v>321.88</v>
      </c>
      <c r="GR62" s="70">
        <v>320.89</v>
      </c>
      <c r="GS62" s="70">
        <v>319.91000000000003</v>
      </c>
      <c r="GT62" s="70">
        <v>318.93</v>
      </c>
      <c r="GU62" s="70">
        <v>317.95</v>
      </c>
      <c r="GV62" s="70">
        <v>316.97000000000003</v>
      </c>
      <c r="GW62" s="70">
        <v>315.99</v>
      </c>
      <c r="GX62" s="70">
        <v>315.01</v>
      </c>
      <c r="GY62" s="70">
        <v>314.02999999999997</v>
      </c>
      <c r="GZ62" s="70">
        <v>313.04000000000002</v>
      </c>
      <c r="HA62" s="70">
        <v>312.07</v>
      </c>
      <c r="HB62" s="70">
        <v>311.10000000000002</v>
      </c>
      <c r="HC62" s="70">
        <v>310.12</v>
      </c>
      <c r="HD62" s="70">
        <v>309.14999999999998</v>
      </c>
      <c r="HE62" s="70">
        <v>308.17</v>
      </c>
      <c r="HF62" s="70">
        <v>307.2</v>
      </c>
      <c r="HG62" s="70">
        <v>306.23</v>
      </c>
      <c r="HH62" s="70">
        <v>305.25</v>
      </c>
      <c r="HI62" s="70">
        <v>304.27999999999997</v>
      </c>
      <c r="HJ62" s="70">
        <v>303.31</v>
      </c>
      <c r="HK62" s="70">
        <v>302.33999999999997</v>
      </c>
      <c r="HL62" s="70">
        <v>301.38</v>
      </c>
      <c r="HM62" s="70">
        <v>300.42</v>
      </c>
      <c r="HN62" s="70">
        <v>299.45999999999998</v>
      </c>
      <c r="HO62" s="70">
        <v>298.5</v>
      </c>
      <c r="HP62" s="70">
        <v>297.54000000000002</v>
      </c>
      <c r="HQ62" s="70">
        <v>296.57</v>
      </c>
      <c r="HR62" s="70">
        <v>295.62</v>
      </c>
      <c r="HS62" s="70">
        <v>294.66000000000003</v>
      </c>
      <c r="HT62" s="70">
        <v>293.70999999999998</v>
      </c>
      <c r="HU62" s="70">
        <v>292.75</v>
      </c>
      <c r="HV62" s="70">
        <v>291.79000000000002</v>
      </c>
      <c r="HW62" s="70">
        <v>290.83999999999997</v>
      </c>
      <c r="HX62" s="70">
        <v>289.89</v>
      </c>
      <c r="HY62" s="70">
        <v>288.94</v>
      </c>
      <c r="HZ62" s="70">
        <v>287.99</v>
      </c>
      <c r="IA62" s="70">
        <v>287.04000000000002</v>
      </c>
      <c r="IB62" s="70">
        <v>286.08999999999997</v>
      </c>
      <c r="IC62" s="70">
        <v>285.14</v>
      </c>
      <c r="ID62" s="70">
        <v>284.19</v>
      </c>
      <c r="IE62" s="70">
        <v>283.24</v>
      </c>
      <c r="IF62" s="70">
        <v>282.29000000000002</v>
      </c>
      <c r="IG62" s="70">
        <v>281.35000000000002</v>
      </c>
      <c r="IH62" s="70">
        <v>280.39999999999998</v>
      </c>
      <c r="II62" s="70">
        <v>279.45</v>
      </c>
      <c r="IJ62" s="70">
        <v>278.51</v>
      </c>
      <c r="IK62" s="70">
        <v>277.57</v>
      </c>
      <c r="IL62" s="70">
        <v>276.63</v>
      </c>
      <c r="IM62" s="70">
        <v>275.69</v>
      </c>
      <c r="IN62" s="70">
        <v>274.75</v>
      </c>
      <c r="IO62" s="70">
        <v>273.81</v>
      </c>
      <c r="IP62" s="70">
        <v>272.87</v>
      </c>
      <c r="IQ62" s="70">
        <v>271.93</v>
      </c>
      <c r="IR62" s="70">
        <v>270.99</v>
      </c>
      <c r="IS62" s="70">
        <v>270.06</v>
      </c>
      <c r="IT62" s="70">
        <v>269.12</v>
      </c>
      <c r="IU62" s="70">
        <v>268.19</v>
      </c>
      <c r="IV62" s="70">
        <v>267.26</v>
      </c>
      <c r="IW62" s="70">
        <v>266.33999999999997</v>
      </c>
      <c r="IX62" s="70">
        <v>265.42</v>
      </c>
      <c r="IY62" s="70">
        <v>264.5</v>
      </c>
      <c r="IZ62" s="70">
        <v>263.57</v>
      </c>
      <c r="JA62" s="70">
        <v>262.65999999999997</v>
      </c>
      <c r="JB62" s="70">
        <v>261.74</v>
      </c>
      <c r="JC62" s="70">
        <v>260.82</v>
      </c>
      <c r="JD62" s="70">
        <v>259.89999999999998</v>
      </c>
      <c r="JE62" s="70">
        <v>258.99</v>
      </c>
      <c r="JF62" s="70">
        <v>258.07</v>
      </c>
      <c r="JG62" s="70">
        <v>257.14999999999998</v>
      </c>
      <c r="JH62" s="70">
        <v>256.24</v>
      </c>
      <c r="JI62" s="70">
        <v>255.33</v>
      </c>
      <c r="JJ62" s="70">
        <v>254.42</v>
      </c>
      <c r="JK62" s="70">
        <v>253.51</v>
      </c>
      <c r="JL62" s="70">
        <v>252.6</v>
      </c>
      <c r="JM62" s="70">
        <v>251.69</v>
      </c>
      <c r="JN62" s="70">
        <v>250.78</v>
      </c>
      <c r="JO62" s="70">
        <v>249.87</v>
      </c>
      <c r="JP62" s="70">
        <v>248.96</v>
      </c>
      <c r="JQ62" s="70">
        <v>248.06</v>
      </c>
      <c r="JR62" s="70">
        <v>247.15</v>
      </c>
      <c r="JS62" s="70">
        <v>246.25</v>
      </c>
      <c r="JT62" s="70">
        <v>245.34</v>
      </c>
      <c r="JU62" s="70">
        <v>244.43</v>
      </c>
      <c r="JV62" s="70">
        <v>243.52</v>
      </c>
      <c r="JW62" s="70">
        <v>242.61</v>
      </c>
      <c r="JX62" s="70">
        <v>241.7</v>
      </c>
      <c r="JY62" s="70">
        <v>240.79</v>
      </c>
      <c r="JZ62" s="70">
        <v>239.88</v>
      </c>
      <c r="KA62" s="70">
        <v>238.97</v>
      </c>
      <c r="KB62" s="70">
        <v>238.07</v>
      </c>
      <c r="KC62" s="70">
        <v>237.16</v>
      </c>
      <c r="KD62" s="70">
        <v>236.26</v>
      </c>
      <c r="KE62" s="70">
        <v>235.35</v>
      </c>
      <c r="KF62" s="70">
        <v>234.45</v>
      </c>
      <c r="KG62" s="70">
        <v>233.55</v>
      </c>
      <c r="KH62" s="70">
        <v>232.65</v>
      </c>
      <c r="KI62" s="70">
        <v>231.75</v>
      </c>
      <c r="KJ62" s="70">
        <v>230.85</v>
      </c>
      <c r="KK62" s="70">
        <v>229.95</v>
      </c>
      <c r="KL62" s="70">
        <v>229.05</v>
      </c>
      <c r="KM62" s="70">
        <v>228.16</v>
      </c>
      <c r="KN62" s="70">
        <v>227.26</v>
      </c>
      <c r="KO62" s="70">
        <v>226.37</v>
      </c>
      <c r="KP62" s="70">
        <v>225.47</v>
      </c>
      <c r="KQ62" s="70">
        <v>224.58</v>
      </c>
      <c r="KR62" s="74">
        <f t="shared" si="37"/>
        <v>226.52</v>
      </c>
      <c r="KS62" s="74">
        <f t="shared" si="38"/>
        <v>225.73</v>
      </c>
      <c r="KT62" s="74">
        <f t="shared" si="37"/>
        <v>224.91</v>
      </c>
      <c r="KU62" s="74">
        <f t="shared" si="37"/>
        <v>224.12</v>
      </c>
      <c r="KV62" s="74">
        <f t="shared" si="37"/>
        <v>223.34</v>
      </c>
      <c r="KW62" s="74">
        <f t="shared" si="37"/>
        <v>222.55</v>
      </c>
      <c r="KX62" s="74">
        <f t="shared" si="37"/>
        <v>221.76</v>
      </c>
      <c r="KY62" s="74">
        <f t="shared" si="37"/>
        <v>220.98</v>
      </c>
      <c r="KZ62" s="74">
        <f t="shared" si="37"/>
        <v>220.19</v>
      </c>
      <c r="LA62" s="74">
        <f t="shared" si="37"/>
        <v>219.41</v>
      </c>
      <c r="LB62" s="74">
        <f t="shared" si="37"/>
        <v>218.63</v>
      </c>
      <c r="LC62" s="74">
        <f t="shared" si="37"/>
        <v>217.85</v>
      </c>
      <c r="LD62" s="74">
        <f t="shared" si="37"/>
        <v>217.07</v>
      </c>
      <c r="LE62" s="74">
        <f t="shared" si="37"/>
        <v>216.29</v>
      </c>
      <c r="LF62" s="74">
        <f t="shared" si="37"/>
        <v>215.52</v>
      </c>
      <c r="LG62" s="74">
        <f t="shared" si="37"/>
        <v>214.75</v>
      </c>
      <c r="LH62" s="74">
        <f t="shared" si="37"/>
        <v>213.97</v>
      </c>
      <c r="LI62" s="74">
        <f t="shared" si="37"/>
        <v>213.2</v>
      </c>
      <c r="LJ62" s="74">
        <f t="shared" si="37"/>
        <v>212.43</v>
      </c>
      <c r="LK62" s="74">
        <f t="shared" si="37"/>
        <v>211.66</v>
      </c>
      <c r="LL62" s="74">
        <f t="shared" si="37"/>
        <v>210.89</v>
      </c>
      <c r="LM62" s="74">
        <f t="shared" si="37"/>
        <v>210.13</v>
      </c>
      <c r="LN62" s="74">
        <f t="shared" si="36"/>
        <v>209.36</v>
      </c>
      <c r="LO62" s="74">
        <f t="shared" si="36"/>
        <v>208.6</v>
      </c>
      <c r="LP62" s="74">
        <f t="shared" si="36"/>
        <v>207.84</v>
      </c>
      <c r="LQ62" s="74">
        <f t="shared" si="36"/>
        <v>207.08</v>
      </c>
      <c r="LR62" s="74">
        <f t="shared" si="36"/>
        <v>206.32</v>
      </c>
      <c r="LS62" s="74">
        <f t="shared" si="36"/>
        <v>205.56</v>
      </c>
      <c r="LT62" s="74">
        <f t="shared" si="36"/>
        <v>204.81</v>
      </c>
      <c r="LU62" s="74">
        <f t="shared" si="36"/>
        <v>204.06</v>
      </c>
      <c r="LV62" s="74">
        <f t="shared" si="36"/>
        <v>203.3</v>
      </c>
      <c r="LW62" s="74">
        <f t="shared" si="36"/>
        <v>202.55</v>
      </c>
      <c r="LX62" s="74">
        <f t="shared" si="36"/>
        <v>201.8</v>
      </c>
      <c r="LY62" s="74">
        <f t="shared" si="36"/>
        <v>201.05</v>
      </c>
      <c r="LZ62" s="74">
        <f t="shared" si="36"/>
        <v>200.31</v>
      </c>
      <c r="MA62" s="74">
        <f t="shared" si="36"/>
        <v>199.56</v>
      </c>
      <c r="MB62" s="74">
        <f t="shared" si="36"/>
        <v>198.82</v>
      </c>
      <c r="MC62" s="74">
        <f t="shared" si="36"/>
        <v>198.08</v>
      </c>
      <c r="MD62" s="76">
        <f t="shared" si="36"/>
        <v>197.34</v>
      </c>
      <c r="ME62" s="77">
        <f t="shared" si="36"/>
        <v>196.61</v>
      </c>
      <c r="MF62" s="77">
        <f t="shared" si="36"/>
        <v>195.87</v>
      </c>
      <c r="MG62" s="77">
        <f t="shared" si="36"/>
        <v>195.14</v>
      </c>
      <c r="MH62" s="77">
        <f t="shared" si="36"/>
        <v>194.4</v>
      </c>
      <c r="MI62" s="77">
        <f t="shared" si="36"/>
        <v>193.67</v>
      </c>
      <c r="MJ62" s="77">
        <f t="shared" si="36"/>
        <v>192.94</v>
      </c>
      <c r="MK62" s="77">
        <f t="shared" si="36"/>
        <v>192.21</v>
      </c>
      <c r="ML62" s="77">
        <f t="shared" si="36"/>
        <v>191.49</v>
      </c>
      <c r="MM62" s="77">
        <f t="shared" si="36"/>
        <v>190.76</v>
      </c>
      <c r="MN62" s="77">
        <f t="shared" si="36"/>
        <v>190.04</v>
      </c>
      <c r="MO62" s="77">
        <f t="shared" si="36"/>
        <v>189.32</v>
      </c>
      <c r="MP62" s="77">
        <f t="shared" si="36"/>
        <v>188.6</v>
      </c>
      <c r="MQ62" s="77">
        <f t="shared" si="36"/>
        <v>187.89</v>
      </c>
      <c r="MR62" s="77">
        <f t="shared" si="36"/>
        <v>187.17</v>
      </c>
      <c r="MS62" s="77">
        <f t="shared" si="36"/>
        <v>186.46</v>
      </c>
      <c r="MT62" s="77">
        <f t="shared" si="36"/>
        <v>185.74</v>
      </c>
      <c r="MU62" s="77">
        <f t="shared" si="36"/>
        <v>185.03</v>
      </c>
      <c r="MV62" s="77">
        <f t="shared" si="36"/>
        <v>184.32</v>
      </c>
      <c r="MW62" s="77">
        <f t="shared" si="36"/>
        <v>183.62</v>
      </c>
      <c r="MX62" s="77">
        <f t="shared" si="36"/>
        <v>182.91</v>
      </c>
      <c r="MY62" s="77">
        <f t="shared" si="36"/>
        <v>182.21</v>
      </c>
    </row>
    <row r="63" spans="1:363" ht="15.6" x14ac:dyDescent="0.3">
      <c r="A63" s="67" t="s">
        <v>6</v>
      </c>
      <c r="B63" s="72">
        <v>2073</v>
      </c>
      <c r="C63" s="70">
        <v>523.39</v>
      </c>
      <c r="D63" s="70">
        <v>522.57000000000005</v>
      </c>
      <c r="E63" s="70">
        <v>521.54</v>
      </c>
      <c r="F63" s="70">
        <v>520.5</v>
      </c>
      <c r="G63" s="70">
        <v>519.47</v>
      </c>
      <c r="H63" s="70">
        <v>518.43000000000006</v>
      </c>
      <c r="I63" s="70">
        <v>517.4</v>
      </c>
      <c r="J63" s="70">
        <v>516.36</v>
      </c>
      <c r="K63" s="70">
        <v>515.32999999999993</v>
      </c>
      <c r="L63" s="70">
        <v>514.29</v>
      </c>
      <c r="M63" s="70">
        <v>513.26</v>
      </c>
      <c r="N63" s="70">
        <v>512.22</v>
      </c>
      <c r="O63" s="70">
        <v>511.19</v>
      </c>
      <c r="P63" s="70">
        <v>510.15</v>
      </c>
      <c r="Q63" s="70">
        <v>509.12</v>
      </c>
      <c r="R63" s="70">
        <v>508.08</v>
      </c>
      <c r="S63" s="70">
        <v>507.05</v>
      </c>
      <c r="T63" s="70">
        <v>506.01</v>
      </c>
      <c r="U63" s="70">
        <v>504.98</v>
      </c>
      <c r="V63" s="70">
        <v>503.94</v>
      </c>
      <c r="W63" s="70">
        <v>502.91</v>
      </c>
      <c r="X63" s="70">
        <v>501.87</v>
      </c>
      <c r="Y63" s="70">
        <v>500.84</v>
      </c>
      <c r="Z63" s="70">
        <v>499.8</v>
      </c>
      <c r="AA63" s="70">
        <v>498.77</v>
      </c>
      <c r="AB63" s="70">
        <v>497.73</v>
      </c>
      <c r="AC63" s="70">
        <v>496.7</v>
      </c>
      <c r="AD63" s="70">
        <v>495.66</v>
      </c>
      <c r="AE63" s="70">
        <v>494.62</v>
      </c>
      <c r="AF63" s="70">
        <v>493.59</v>
      </c>
      <c r="AG63" s="70">
        <v>492.55</v>
      </c>
      <c r="AH63" s="70">
        <v>491.52</v>
      </c>
      <c r="AI63" s="70">
        <v>490.48</v>
      </c>
      <c r="AJ63" s="70">
        <v>489.44</v>
      </c>
      <c r="AK63" s="70">
        <v>488.41</v>
      </c>
      <c r="AL63" s="70">
        <v>487.37</v>
      </c>
      <c r="AM63" s="70">
        <v>486.34</v>
      </c>
      <c r="AN63" s="70">
        <v>485.3</v>
      </c>
      <c r="AO63" s="70">
        <v>484.26</v>
      </c>
      <c r="AP63" s="70">
        <v>483.23</v>
      </c>
      <c r="AQ63" s="70">
        <v>482.19</v>
      </c>
      <c r="AR63" s="70">
        <v>481.15</v>
      </c>
      <c r="AS63" s="70">
        <v>480.12</v>
      </c>
      <c r="AT63" s="70">
        <v>479.08</v>
      </c>
      <c r="AU63" s="70">
        <v>478.04</v>
      </c>
      <c r="AV63" s="70">
        <v>477.01</v>
      </c>
      <c r="AW63" s="70">
        <v>475.97</v>
      </c>
      <c r="AX63" s="70">
        <v>474.94</v>
      </c>
      <c r="AY63" s="70">
        <v>473.9</v>
      </c>
      <c r="AZ63" s="70">
        <v>472.86</v>
      </c>
      <c r="BA63" s="70">
        <v>471.83</v>
      </c>
      <c r="BB63" s="70">
        <v>470.79</v>
      </c>
      <c r="BC63" s="70">
        <v>469.75</v>
      </c>
      <c r="BD63" s="70">
        <v>468.71</v>
      </c>
      <c r="BE63" s="70">
        <v>467.68</v>
      </c>
      <c r="BF63" s="70">
        <v>466.64</v>
      </c>
      <c r="BG63" s="70">
        <v>465.6</v>
      </c>
      <c r="BH63" s="70">
        <v>464.57</v>
      </c>
      <c r="BI63" s="70">
        <v>463.53</v>
      </c>
      <c r="BJ63" s="70">
        <v>462.49</v>
      </c>
      <c r="BK63" s="70">
        <v>461.46</v>
      </c>
      <c r="BL63" s="70">
        <v>460.42</v>
      </c>
      <c r="BM63" s="70">
        <v>459.38</v>
      </c>
      <c r="BN63" s="70">
        <v>458.34</v>
      </c>
      <c r="BO63" s="70">
        <v>457.3</v>
      </c>
      <c r="BP63" s="70">
        <v>456.27</v>
      </c>
      <c r="BQ63" s="70">
        <v>455.23</v>
      </c>
      <c r="BR63" s="70">
        <v>454.19</v>
      </c>
      <c r="BS63" s="70">
        <v>453.15</v>
      </c>
      <c r="BT63" s="70">
        <v>452.12</v>
      </c>
      <c r="BU63" s="70">
        <v>451.08</v>
      </c>
      <c r="BV63" s="70">
        <v>450.04</v>
      </c>
      <c r="BW63" s="70">
        <v>449</v>
      </c>
      <c r="BX63" s="70">
        <v>447.97</v>
      </c>
      <c r="BY63" s="70">
        <v>446.93</v>
      </c>
      <c r="BZ63" s="70">
        <v>445.89</v>
      </c>
      <c r="CA63" s="70">
        <v>444.86</v>
      </c>
      <c r="CB63" s="70">
        <v>443.82</v>
      </c>
      <c r="CC63" s="70">
        <v>442.78</v>
      </c>
      <c r="CD63" s="70">
        <v>441.75</v>
      </c>
      <c r="CE63" s="70">
        <v>440.71</v>
      </c>
      <c r="CF63" s="70">
        <v>439.68</v>
      </c>
      <c r="CG63" s="70">
        <v>438.64</v>
      </c>
      <c r="CH63" s="70">
        <v>437.6</v>
      </c>
      <c r="CI63" s="70">
        <v>436.57</v>
      </c>
      <c r="CJ63" s="70">
        <v>435.53</v>
      </c>
      <c r="CK63" s="70">
        <v>434.49</v>
      </c>
      <c r="CL63" s="70">
        <v>433.46</v>
      </c>
      <c r="CM63" s="70">
        <v>432.42</v>
      </c>
      <c r="CN63" s="70">
        <v>431.38</v>
      </c>
      <c r="CO63" s="70">
        <v>430.35</v>
      </c>
      <c r="CP63" s="70">
        <v>429.31</v>
      </c>
      <c r="CQ63" s="70">
        <v>428.27</v>
      </c>
      <c r="CR63" s="70">
        <v>427.24</v>
      </c>
      <c r="CS63" s="70">
        <v>426.2</v>
      </c>
      <c r="CT63" s="70">
        <v>425.16</v>
      </c>
      <c r="CU63" s="70">
        <v>424.13</v>
      </c>
      <c r="CV63" s="70">
        <v>423.09</v>
      </c>
      <c r="CW63" s="70">
        <v>422.06</v>
      </c>
      <c r="CX63" s="70">
        <v>421.02</v>
      </c>
      <c r="CY63" s="70">
        <v>419.99</v>
      </c>
      <c r="CZ63" s="70">
        <v>418.95</v>
      </c>
      <c r="DA63" s="70">
        <v>417.92</v>
      </c>
      <c r="DB63" s="70">
        <v>416.88</v>
      </c>
      <c r="DC63" s="70">
        <v>415.85</v>
      </c>
      <c r="DD63" s="70">
        <v>414.81</v>
      </c>
      <c r="DE63" s="70">
        <v>413.78</v>
      </c>
      <c r="DF63" s="70">
        <v>412.74</v>
      </c>
      <c r="DG63" s="70">
        <v>411.71</v>
      </c>
      <c r="DH63" s="70">
        <v>410.68</v>
      </c>
      <c r="DI63" s="70">
        <v>409.64</v>
      </c>
      <c r="DJ63" s="70">
        <v>408.61</v>
      </c>
      <c r="DK63" s="70">
        <v>407.58</v>
      </c>
      <c r="DL63" s="70">
        <v>406.54</v>
      </c>
      <c r="DM63" s="70">
        <v>405.51</v>
      </c>
      <c r="DN63" s="70">
        <v>404.48</v>
      </c>
      <c r="DO63" s="70">
        <v>403.44</v>
      </c>
      <c r="DP63" s="70">
        <v>402.41</v>
      </c>
      <c r="DQ63" s="70">
        <v>401.38</v>
      </c>
      <c r="DR63" s="70">
        <v>400.35</v>
      </c>
      <c r="DS63" s="70">
        <v>399.31</v>
      </c>
      <c r="DT63" s="70">
        <v>398.28</v>
      </c>
      <c r="DU63" s="70">
        <v>397.26</v>
      </c>
      <c r="DV63" s="70">
        <v>396.23</v>
      </c>
      <c r="DW63" s="70">
        <v>395.2</v>
      </c>
      <c r="DX63" s="70">
        <v>394.17</v>
      </c>
      <c r="DY63" s="70">
        <v>393.14</v>
      </c>
      <c r="DZ63" s="70">
        <v>392.12</v>
      </c>
      <c r="EA63" s="70">
        <v>391.09</v>
      </c>
      <c r="EB63" s="70">
        <v>390.06</v>
      </c>
      <c r="EC63" s="70">
        <v>389.03</v>
      </c>
      <c r="ED63" s="70">
        <v>388.01</v>
      </c>
      <c r="EE63" s="70">
        <v>386.98</v>
      </c>
      <c r="EF63" s="70">
        <v>385.96</v>
      </c>
      <c r="EG63" s="70">
        <v>384.94</v>
      </c>
      <c r="EH63" s="70">
        <v>383.92</v>
      </c>
      <c r="EI63" s="70">
        <v>382.9</v>
      </c>
      <c r="EJ63" s="70">
        <v>381.87</v>
      </c>
      <c r="EK63" s="70">
        <v>380.85</v>
      </c>
      <c r="EL63" s="70">
        <v>379.83</v>
      </c>
      <c r="EM63" s="70">
        <v>378.81</v>
      </c>
      <c r="EN63" s="70">
        <v>377.79</v>
      </c>
      <c r="EO63" s="70">
        <v>376.77</v>
      </c>
      <c r="EP63" s="70">
        <v>375.75</v>
      </c>
      <c r="EQ63" s="70">
        <v>374.74</v>
      </c>
      <c r="ER63" s="70">
        <v>373.72</v>
      </c>
      <c r="ES63" s="70">
        <v>372.71</v>
      </c>
      <c r="ET63" s="70">
        <v>371.69</v>
      </c>
      <c r="EU63" s="70">
        <v>370.68</v>
      </c>
      <c r="EV63" s="70">
        <v>369.66</v>
      </c>
      <c r="EW63" s="70">
        <v>368.65</v>
      </c>
      <c r="EX63" s="70">
        <v>367.63</v>
      </c>
      <c r="EY63" s="70">
        <v>366.62</v>
      </c>
      <c r="EZ63" s="70">
        <v>365.61</v>
      </c>
      <c r="FA63" s="70">
        <v>364.59</v>
      </c>
      <c r="FB63" s="70">
        <v>363.58</v>
      </c>
      <c r="FC63" s="70">
        <v>362.57</v>
      </c>
      <c r="FD63" s="70">
        <v>361.56</v>
      </c>
      <c r="FE63" s="70">
        <v>360.55</v>
      </c>
      <c r="FF63" s="70">
        <v>359.55</v>
      </c>
      <c r="FG63" s="70">
        <v>358.54</v>
      </c>
      <c r="FH63" s="70">
        <v>357.53</v>
      </c>
      <c r="FI63" s="70">
        <v>356.53</v>
      </c>
      <c r="FJ63" s="70">
        <v>355.52</v>
      </c>
      <c r="FK63" s="70">
        <v>354.52</v>
      </c>
      <c r="FL63" s="70">
        <v>353.51</v>
      </c>
      <c r="FM63" s="70">
        <v>352.51</v>
      </c>
      <c r="FN63" s="70">
        <v>351.5</v>
      </c>
      <c r="FO63" s="70">
        <v>350.5</v>
      </c>
      <c r="FP63" s="70">
        <v>349.5</v>
      </c>
      <c r="FQ63" s="70">
        <v>348.49</v>
      </c>
      <c r="FR63" s="70">
        <v>347.49</v>
      </c>
      <c r="FS63" s="70">
        <v>346.49</v>
      </c>
      <c r="FT63" s="70">
        <v>345.49</v>
      </c>
      <c r="FU63" s="70">
        <v>344.49</v>
      </c>
      <c r="FV63" s="70">
        <v>343.49</v>
      </c>
      <c r="FW63" s="70">
        <v>342.49</v>
      </c>
      <c r="FX63" s="70">
        <v>341.49</v>
      </c>
      <c r="FY63" s="70">
        <v>340.49</v>
      </c>
      <c r="FZ63" s="70">
        <v>339.49</v>
      </c>
      <c r="GA63" s="70">
        <v>338.49</v>
      </c>
      <c r="GB63" s="70">
        <v>337.5</v>
      </c>
      <c r="GC63" s="70">
        <v>336.5</v>
      </c>
      <c r="GD63" s="70">
        <v>335.51</v>
      </c>
      <c r="GE63" s="70">
        <v>334.51</v>
      </c>
      <c r="GF63" s="70">
        <v>333.51</v>
      </c>
      <c r="GG63" s="70">
        <v>332.51</v>
      </c>
      <c r="GH63" s="70">
        <v>331.53</v>
      </c>
      <c r="GI63" s="70">
        <v>330.53</v>
      </c>
      <c r="GJ63" s="70">
        <v>329.54</v>
      </c>
      <c r="GK63" s="70">
        <v>328.54</v>
      </c>
      <c r="GL63" s="70">
        <v>327.56</v>
      </c>
      <c r="GM63" s="70">
        <v>326.57</v>
      </c>
      <c r="GN63" s="70">
        <v>325.57</v>
      </c>
      <c r="GO63" s="70">
        <v>324.58999999999997</v>
      </c>
      <c r="GP63" s="70">
        <v>323.60000000000002</v>
      </c>
      <c r="GQ63" s="70">
        <v>322.63</v>
      </c>
      <c r="GR63" s="70">
        <v>321.64</v>
      </c>
      <c r="GS63" s="70">
        <v>320.66000000000003</v>
      </c>
      <c r="GT63" s="70">
        <v>319.68</v>
      </c>
      <c r="GU63" s="70">
        <v>318.7</v>
      </c>
      <c r="GV63" s="70">
        <v>317.72000000000003</v>
      </c>
      <c r="GW63" s="70">
        <v>316.74</v>
      </c>
      <c r="GX63" s="70">
        <v>315.76</v>
      </c>
      <c r="GY63" s="70">
        <v>314.77999999999997</v>
      </c>
      <c r="GZ63" s="70">
        <v>313.79000000000002</v>
      </c>
      <c r="HA63" s="70">
        <v>312.82</v>
      </c>
      <c r="HB63" s="70">
        <v>311.85000000000002</v>
      </c>
      <c r="HC63" s="70">
        <v>310.87</v>
      </c>
      <c r="HD63" s="70">
        <v>309.89999999999998</v>
      </c>
      <c r="HE63" s="70">
        <v>308.92</v>
      </c>
      <c r="HF63" s="70">
        <v>307.95</v>
      </c>
      <c r="HG63" s="70">
        <v>306.98</v>
      </c>
      <c r="HH63" s="70">
        <v>306</v>
      </c>
      <c r="HI63" s="70">
        <v>305.02999999999997</v>
      </c>
      <c r="HJ63" s="70">
        <v>304.06</v>
      </c>
      <c r="HK63" s="70">
        <v>303.08999999999997</v>
      </c>
      <c r="HL63" s="70">
        <v>302.13</v>
      </c>
      <c r="HM63" s="70">
        <v>301.17</v>
      </c>
      <c r="HN63" s="70">
        <v>300.20999999999998</v>
      </c>
      <c r="HO63" s="70">
        <v>299.25</v>
      </c>
      <c r="HP63" s="70">
        <v>298.29000000000002</v>
      </c>
      <c r="HQ63" s="70">
        <v>297.32</v>
      </c>
      <c r="HR63" s="70">
        <v>296.37</v>
      </c>
      <c r="HS63" s="70">
        <v>295.41000000000003</v>
      </c>
      <c r="HT63" s="70">
        <v>294.45999999999998</v>
      </c>
      <c r="HU63" s="70">
        <v>293.5</v>
      </c>
      <c r="HV63" s="70">
        <v>292.54000000000002</v>
      </c>
      <c r="HW63" s="70">
        <v>291.58999999999997</v>
      </c>
      <c r="HX63" s="70">
        <v>290.64</v>
      </c>
      <c r="HY63" s="70">
        <v>289.69</v>
      </c>
      <c r="HZ63" s="70">
        <v>288.74</v>
      </c>
      <c r="IA63" s="70">
        <v>287.79000000000002</v>
      </c>
      <c r="IB63" s="70">
        <v>286.83999999999997</v>
      </c>
      <c r="IC63" s="70">
        <v>285.89</v>
      </c>
      <c r="ID63" s="70">
        <v>284.94</v>
      </c>
      <c r="IE63" s="70">
        <v>283.99</v>
      </c>
      <c r="IF63" s="70">
        <v>283.04000000000002</v>
      </c>
      <c r="IG63" s="70">
        <v>282.10000000000002</v>
      </c>
      <c r="IH63" s="70">
        <v>281.14999999999998</v>
      </c>
      <c r="II63" s="70">
        <v>280.2</v>
      </c>
      <c r="IJ63" s="70">
        <v>279.26</v>
      </c>
      <c r="IK63" s="70">
        <v>278.32</v>
      </c>
      <c r="IL63" s="70">
        <v>277.38</v>
      </c>
      <c r="IM63" s="70">
        <v>276.44</v>
      </c>
      <c r="IN63" s="70">
        <v>275.5</v>
      </c>
      <c r="IO63" s="70">
        <v>274.56</v>
      </c>
      <c r="IP63" s="70">
        <v>273.62</v>
      </c>
      <c r="IQ63" s="70">
        <v>272.68</v>
      </c>
      <c r="IR63" s="70">
        <v>271.74</v>
      </c>
      <c r="IS63" s="70">
        <v>270.81</v>
      </c>
      <c r="IT63" s="70">
        <v>269.87</v>
      </c>
      <c r="IU63" s="70">
        <v>268.94</v>
      </c>
      <c r="IV63" s="70">
        <v>268.01</v>
      </c>
      <c r="IW63" s="70">
        <v>267.08999999999997</v>
      </c>
      <c r="IX63" s="70">
        <v>266.17</v>
      </c>
      <c r="IY63" s="70">
        <v>265.25</v>
      </c>
      <c r="IZ63" s="70">
        <v>264.32</v>
      </c>
      <c r="JA63" s="70">
        <v>263.40999999999997</v>
      </c>
      <c r="JB63" s="70">
        <v>262.49</v>
      </c>
      <c r="JC63" s="70">
        <v>261.57</v>
      </c>
      <c r="JD63" s="70">
        <v>260.64999999999998</v>
      </c>
      <c r="JE63" s="70">
        <v>259.74</v>
      </c>
      <c r="JF63" s="70">
        <v>258.82</v>
      </c>
      <c r="JG63" s="70">
        <v>257.89999999999998</v>
      </c>
      <c r="JH63" s="70">
        <v>256.99</v>
      </c>
      <c r="JI63" s="70">
        <v>256.08000000000004</v>
      </c>
      <c r="JJ63" s="70">
        <v>255.17</v>
      </c>
      <c r="JK63" s="70">
        <v>254.26</v>
      </c>
      <c r="JL63" s="70">
        <v>253.35</v>
      </c>
      <c r="JM63" s="70">
        <v>252.44</v>
      </c>
      <c r="JN63" s="70">
        <v>251.53</v>
      </c>
      <c r="JO63" s="70">
        <v>250.62</v>
      </c>
      <c r="JP63" s="70">
        <v>249.71</v>
      </c>
      <c r="JQ63" s="70">
        <v>248.81</v>
      </c>
      <c r="JR63" s="70">
        <v>247.9</v>
      </c>
      <c r="JS63" s="70">
        <v>247</v>
      </c>
      <c r="JT63" s="70">
        <v>246.09</v>
      </c>
      <c r="JU63" s="70">
        <v>245.18</v>
      </c>
      <c r="JV63" s="70">
        <v>244.27</v>
      </c>
      <c r="JW63" s="70">
        <v>243.36</v>
      </c>
      <c r="JX63" s="70">
        <v>242.45</v>
      </c>
      <c r="JY63" s="70">
        <v>241.54</v>
      </c>
      <c r="JZ63" s="70">
        <v>240.63</v>
      </c>
      <c r="KA63" s="70">
        <v>239.72</v>
      </c>
      <c r="KB63" s="70">
        <v>238.82</v>
      </c>
      <c r="KC63" s="70">
        <v>237.91</v>
      </c>
      <c r="KD63" s="70">
        <v>237.01</v>
      </c>
      <c r="KE63" s="70">
        <v>236.1</v>
      </c>
      <c r="KF63" s="70">
        <v>235.2</v>
      </c>
      <c r="KG63" s="70">
        <v>234.3</v>
      </c>
      <c r="KH63" s="70">
        <v>233.4</v>
      </c>
      <c r="KI63" s="70">
        <v>232.5</v>
      </c>
      <c r="KJ63" s="70">
        <v>231.6</v>
      </c>
      <c r="KK63" s="70">
        <v>230.7</v>
      </c>
      <c r="KL63" s="70">
        <v>229.8</v>
      </c>
      <c r="KM63" s="70">
        <v>228.91</v>
      </c>
      <c r="KN63" s="70">
        <v>228.01</v>
      </c>
      <c r="KO63" s="70">
        <v>227.12</v>
      </c>
      <c r="KP63" s="70">
        <v>226.22</v>
      </c>
      <c r="KQ63" s="70">
        <v>225.33</v>
      </c>
      <c r="KR63" s="74">
        <f t="shared" si="37"/>
        <v>227.27</v>
      </c>
      <c r="KS63" s="74">
        <f t="shared" si="38"/>
        <v>226.48</v>
      </c>
      <c r="KT63" s="74">
        <f t="shared" si="37"/>
        <v>225.66</v>
      </c>
      <c r="KU63" s="74">
        <f t="shared" si="37"/>
        <v>224.87</v>
      </c>
      <c r="KV63" s="74">
        <f t="shared" si="37"/>
        <v>224.09</v>
      </c>
      <c r="KW63" s="74">
        <f t="shared" si="37"/>
        <v>223.3</v>
      </c>
      <c r="KX63" s="74">
        <f t="shared" si="37"/>
        <v>222.51</v>
      </c>
      <c r="KY63" s="74">
        <f t="shared" si="37"/>
        <v>221.73</v>
      </c>
      <c r="KZ63" s="74">
        <f t="shared" si="37"/>
        <v>220.94</v>
      </c>
      <c r="LA63" s="74">
        <f t="shared" si="37"/>
        <v>220.16</v>
      </c>
      <c r="LB63" s="74">
        <f t="shared" si="37"/>
        <v>219.38</v>
      </c>
      <c r="LC63" s="74">
        <f t="shared" si="37"/>
        <v>218.6</v>
      </c>
      <c r="LD63" s="74">
        <f t="shared" si="37"/>
        <v>217.82</v>
      </c>
      <c r="LE63" s="74">
        <f t="shared" si="37"/>
        <v>217.04</v>
      </c>
      <c r="LF63" s="74">
        <f t="shared" si="37"/>
        <v>216.27</v>
      </c>
      <c r="LG63" s="74">
        <f t="shared" si="37"/>
        <v>215.5</v>
      </c>
      <c r="LH63" s="74">
        <f t="shared" si="37"/>
        <v>214.72</v>
      </c>
      <c r="LI63" s="74">
        <f t="shared" si="37"/>
        <v>213.95</v>
      </c>
      <c r="LJ63" s="74">
        <f t="shared" si="37"/>
        <v>213.18</v>
      </c>
      <c r="LK63" s="74">
        <f t="shared" si="37"/>
        <v>212.41</v>
      </c>
      <c r="LL63" s="74">
        <f t="shared" si="37"/>
        <v>211.64</v>
      </c>
      <c r="LM63" s="74">
        <f t="shared" si="37"/>
        <v>210.88</v>
      </c>
      <c r="LN63" s="74">
        <f t="shared" si="36"/>
        <v>210.11</v>
      </c>
      <c r="LO63" s="74">
        <f t="shared" si="36"/>
        <v>209.35</v>
      </c>
      <c r="LP63" s="74">
        <f t="shared" si="36"/>
        <v>208.59</v>
      </c>
      <c r="LQ63" s="74">
        <f t="shared" si="36"/>
        <v>207.83</v>
      </c>
      <c r="LR63" s="74">
        <f t="shared" si="36"/>
        <v>207.07</v>
      </c>
      <c r="LS63" s="74">
        <f t="shared" si="36"/>
        <v>206.31</v>
      </c>
      <c r="LT63" s="74">
        <f t="shared" si="36"/>
        <v>205.56</v>
      </c>
      <c r="LU63" s="74">
        <f t="shared" si="36"/>
        <v>204.81</v>
      </c>
      <c r="LV63" s="74">
        <f t="shared" si="36"/>
        <v>204.05</v>
      </c>
      <c r="LW63" s="74">
        <f t="shared" si="36"/>
        <v>203.3</v>
      </c>
      <c r="LX63" s="74">
        <f t="shared" si="36"/>
        <v>202.55</v>
      </c>
      <c r="LY63" s="74">
        <f t="shared" si="36"/>
        <v>201.8</v>
      </c>
      <c r="LZ63" s="74">
        <f t="shared" si="36"/>
        <v>201.06</v>
      </c>
      <c r="MA63" s="74">
        <f t="shared" si="36"/>
        <v>200.31</v>
      </c>
      <c r="MB63" s="74">
        <f t="shared" si="36"/>
        <v>199.57</v>
      </c>
      <c r="MC63" s="74">
        <f t="shared" ref="MC63:MY63" si="39">MC62+0.75</f>
        <v>198.83</v>
      </c>
      <c r="MD63" s="76">
        <f t="shared" si="39"/>
        <v>198.09</v>
      </c>
      <c r="ME63" s="77">
        <f t="shared" si="39"/>
        <v>197.36</v>
      </c>
      <c r="MF63" s="77">
        <f t="shared" si="39"/>
        <v>196.62</v>
      </c>
      <c r="MG63" s="77">
        <f t="shared" si="39"/>
        <v>195.89</v>
      </c>
      <c r="MH63" s="77">
        <f t="shared" si="39"/>
        <v>195.15</v>
      </c>
      <c r="MI63" s="77">
        <f t="shared" si="39"/>
        <v>194.42</v>
      </c>
      <c r="MJ63" s="77">
        <f t="shared" si="39"/>
        <v>193.69</v>
      </c>
      <c r="MK63" s="77">
        <f t="shared" si="39"/>
        <v>192.96</v>
      </c>
      <c r="ML63" s="77">
        <f t="shared" si="39"/>
        <v>192.24</v>
      </c>
      <c r="MM63" s="77">
        <f t="shared" si="39"/>
        <v>191.51</v>
      </c>
      <c r="MN63" s="77">
        <f t="shared" si="39"/>
        <v>190.79</v>
      </c>
      <c r="MO63" s="77">
        <f t="shared" si="39"/>
        <v>190.07</v>
      </c>
      <c r="MP63" s="77">
        <f t="shared" si="39"/>
        <v>189.35</v>
      </c>
      <c r="MQ63" s="77">
        <f t="shared" si="39"/>
        <v>188.64</v>
      </c>
      <c r="MR63" s="77">
        <f t="shared" si="39"/>
        <v>187.92</v>
      </c>
      <c r="MS63" s="77">
        <f t="shared" si="39"/>
        <v>187.21</v>
      </c>
      <c r="MT63" s="77">
        <f t="shared" si="39"/>
        <v>186.49</v>
      </c>
      <c r="MU63" s="77">
        <f t="shared" si="39"/>
        <v>185.78</v>
      </c>
      <c r="MV63" s="77">
        <f t="shared" si="39"/>
        <v>185.07</v>
      </c>
      <c r="MW63" s="77">
        <f t="shared" si="39"/>
        <v>184.37</v>
      </c>
      <c r="MX63" s="77">
        <f t="shared" si="39"/>
        <v>183.66</v>
      </c>
      <c r="MY63" s="77">
        <f t="shared" si="39"/>
        <v>182.96</v>
      </c>
    </row>
    <row r="64" spans="1:363" ht="15.6" x14ac:dyDescent="0.3">
      <c r="A64" s="67" t="s">
        <v>6</v>
      </c>
      <c r="B64" s="72">
        <v>2074</v>
      </c>
      <c r="C64" s="247">
        <v>524.08830927423776</v>
      </c>
      <c r="D64" s="247">
        <v>523.05468536454919</v>
      </c>
      <c r="E64" s="247">
        <v>522.02112120847949</v>
      </c>
      <c r="F64" s="247">
        <v>520.98761540768646</v>
      </c>
      <c r="G64" s="247">
        <v>519.95416656506382</v>
      </c>
      <c r="H64" s="247">
        <v>518.92077330301925</v>
      </c>
      <c r="I64" s="247">
        <v>517.88743424367954</v>
      </c>
      <c r="J64" s="247">
        <v>516.85414808455153</v>
      </c>
      <c r="K64" s="247">
        <v>515.82091349170582</v>
      </c>
      <c r="L64" s="247">
        <v>514.78772916247055</v>
      </c>
      <c r="M64" s="247">
        <v>513.75459380215432</v>
      </c>
      <c r="N64" s="247">
        <v>512.72150621031972</v>
      </c>
      <c r="O64" s="247">
        <v>511.68846509862027</v>
      </c>
      <c r="P64" s="247">
        <v>510.65410157641833</v>
      </c>
      <c r="Q64" s="247">
        <v>509.61976896413734</v>
      </c>
      <c r="R64" s="247">
        <v>508.58546943107223</v>
      </c>
      <c r="S64" s="247">
        <v>507.5512052008101</v>
      </c>
      <c r="T64" s="247">
        <v>506.51697845847377</v>
      </c>
      <c r="U64" s="247">
        <v>505.48279136912595</v>
      </c>
      <c r="V64" s="247">
        <v>504.44864611078003</v>
      </c>
      <c r="W64" s="247">
        <v>503.41454484968426</v>
      </c>
      <c r="X64" s="247">
        <v>502.38048979617514</v>
      </c>
      <c r="Y64" s="247">
        <v>501.34648311264158</v>
      </c>
      <c r="Z64" s="247">
        <v>500.31252700997095</v>
      </c>
      <c r="AA64" s="247">
        <v>499.27862363512355</v>
      </c>
      <c r="AB64" s="247">
        <v>498.24347474753336</v>
      </c>
      <c r="AC64" s="247">
        <v>497.20836361663743</v>
      </c>
      <c r="AD64" s="247">
        <v>496.1732903943909</v>
      </c>
      <c r="AE64" s="247">
        <v>495.13825519616017</v>
      </c>
      <c r="AF64" s="247">
        <v>494.10325813081982</v>
      </c>
      <c r="AG64" s="247">
        <v>493.06829938318015</v>
      </c>
      <c r="AH64" s="247">
        <v>492.03337909618682</v>
      </c>
      <c r="AI64" s="247">
        <v>490.99849743134058</v>
      </c>
      <c r="AJ64" s="247">
        <v>489.96365453714219</v>
      </c>
      <c r="AK64" s="247">
        <v>488.92885066119021</v>
      </c>
      <c r="AL64" s="247">
        <v>487.89408597755954</v>
      </c>
      <c r="AM64" s="247">
        <v>486.85936072815457</v>
      </c>
      <c r="AN64" s="247">
        <v>485.82344241582859</v>
      </c>
      <c r="AO64" s="247">
        <v>484.78755074573161</v>
      </c>
      <c r="AP64" s="247">
        <v>483.75168889865853</v>
      </c>
      <c r="AQ64" s="247">
        <v>482.71586001815979</v>
      </c>
      <c r="AR64" s="247">
        <v>481.68006729715773</v>
      </c>
      <c r="AS64" s="247">
        <v>480.64431387544573</v>
      </c>
      <c r="AT64" s="247">
        <v>479.60860287972582</v>
      </c>
      <c r="AU64" s="247">
        <v>478.57293746509276</v>
      </c>
      <c r="AV64" s="247">
        <v>477.5373207549631</v>
      </c>
      <c r="AW64" s="247">
        <v>476.50175588664302</v>
      </c>
      <c r="AX64" s="247">
        <v>475.46624595482115</v>
      </c>
      <c r="AY64" s="247">
        <v>474.43079412758362</v>
      </c>
      <c r="AZ64" s="247">
        <v>473.39422625477067</v>
      </c>
      <c r="BA64" s="247">
        <v>472.35769572483133</v>
      </c>
      <c r="BB64" s="247">
        <v>471.32119652004212</v>
      </c>
      <c r="BC64" s="247">
        <v>470.28472262120312</v>
      </c>
      <c r="BD64" s="247">
        <v>469.24826811416131</v>
      </c>
      <c r="BE64" s="247">
        <v>468.21182708228969</v>
      </c>
      <c r="BF64" s="247">
        <v>467.17539366969834</v>
      </c>
      <c r="BG64" s="247">
        <v>466.13896210705286</v>
      </c>
      <c r="BH64" s="247">
        <v>465.10252660163411</v>
      </c>
      <c r="BI64" s="247">
        <v>464.06608148739866</v>
      </c>
      <c r="BJ64" s="247">
        <v>463.0296210918965</v>
      </c>
      <c r="BK64" s="247">
        <v>461.99313980471703</v>
      </c>
      <c r="BL64" s="247">
        <v>460.95554832178919</v>
      </c>
      <c r="BM64" s="247">
        <v>459.91794295893857</v>
      </c>
      <c r="BN64" s="247">
        <v>458.88034769266204</v>
      </c>
      <c r="BO64" s="247">
        <v>457.84278628699707</v>
      </c>
      <c r="BP64" s="247">
        <v>456.80528242798869</v>
      </c>
      <c r="BQ64" s="247">
        <v>455.7678596367108</v>
      </c>
      <c r="BR64" s="247">
        <v>454.73054129045977</v>
      </c>
      <c r="BS64" s="247">
        <v>453.69335067186972</v>
      </c>
      <c r="BT64" s="247">
        <v>452.65631090216226</v>
      </c>
      <c r="BU64" s="247">
        <v>451.61944496019936</v>
      </c>
      <c r="BV64" s="247">
        <v>450.58277572714769</v>
      </c>
      <c r="BW64" s="247">
        <v>449.54632594234829</v>
      </c>
      <c r="BX64" s="247">
        <v>448.50900862280088</v>
      </c>
      <c r="BY64" s="247">
        <v>447.47188611217177</v>
      </c>
      <c r="BZ64" s="247">
        <v>446.4349420962198</v>
      </c>
      <c r="CA64" s="247">
        <v>445.39816036951936</v>
      </c>
      <c r="CB64" s="247">
        <v>444.36152482719967</v>
      </c>
      <c r="CC64" s="247">
        <v>443.32501950587834</v>
      </c>
      <c r="CD64" s="247">
        <v>442.288628515082</v>
      </c>
      <c r="CE64" s="247">
        <v>441.25233608410355</v>
      </c>
      <c r="CF64" s="247">
        <v>440.21612656451265</v>
      </c>
      <c r="CG64" s="247">
        <v>439.17998440575184</v>
      </c>
      <c r="CH64" s="247">
        <v>438.14389417351822</v>
      </c>
      <c r="CI64" s="247">
        <v>437.10784054327161</v>
      </c>
      <c r="CJ64" s="247">
        <v>436.07070352606803</v>
      </c>
      <c r="CK64" s="247">
        <v>435.03357998884638</v>
      </c>
      <c r="CL64" s="247">
        <v>433.99647686600446</v>
      </c>
      <c r="CM64" s="247">
        <v>432.95940101229945</v>
      </c>
      <c r="CN64" s="247">
        <v>431.9223592749093</v>
      </c>
      <c r="CO64" s="247">
        <v>430.88535846147118</v>
      </c>
      <c r="CP64" s="247">
        <v>429.84840536540275</v>
      </c>
      <c r="CQ64" s="247">
        <v>428.81150671149129</v>
      </c>
      <c r="CR64" s="247">
        <v>427.774669225455</v>
      </c>
      <c r="CS64" s="247">
        <v>426.73789958338347</v>
      </c>
      <c r="CT64" s="247">
        <v>425.70120444692157</v>
      </c>
      <c r="CU64" s="247">
        <v>424.66459042910623</v>
      </c>
      <c r="CV64" s="247">
        <v>423.62862438629969</v>
      </c>
      <c r="CW64" s="247">
        <v>422.592734199078</v>
      </c>
      <c r="CX64" s="247">
        <v>421.55691851413093</v>
      </c>
      <c r="CY64" s="247">
        <v>420.52117597583361</v>
      </c>
      <c r="CZ64" s="247">
        <v>419.48550526866131</v>
      </c>
      <c r="DA64" s="247">
        <v>418.44990510481887</v>
      </c>
      <c r="DB64" s="247">
        <v>417.41437417254377</v>
      </c>
      <c r="DC64" s="247">
        <v>416.37891122623529</v>
      </c>
      <c r="DD64" s="247">
        <v>415.34351500204951</v>
      </c>
      <c r="DE64" s="247">
        <v>414.30818426370638</v>
      </c>
      <c r="DF64" s="247">
        <v>413.27291781802182</v>
      </c>
      <c r="DG64" s="247">
        <v>412.23771448124864</v>
      </c>
      <c r="DH64" s="247">
        <v>411.2031572597308</v>
      </c>
      <c r="DI64" s="247">
        <v>410.16866074568185</v>
      </c>
      <c r="DJ64" s="247">
        <v>409.13423414833841</v>
      </c>
      <c r="DK64" s="247">
        <v>408.09988659424113</v>
      </c>
      <c r="DL64" s="247">
        <v>407.06562719727367</v>
      </c>
      <c r="DM64" s="247">
        <v>406.03146499037081</v>
      </c>
      <c r="DN64" s="247">
        <v>404.99740895795702</v>
      </c>
      <c r="DO64" s="247">
        <v>403.96346806018602</v>
      </c>
      <c r="DP64" s="247">
        <v>402.92965118608674</v>
      </c>
      <c r="DQ64" s="247">
        <v>401.89596717129137</v>
      </c>
      <c r="DR64" s="247">
        <v>400.86242481325735</v>
      </c>
      <c r="DS64" s="247">
        <v>399.82903285649809</v>
      </c>
      <c r="DT64" s="247">
        <v>398.79840484311347</v>
      </c>
      <c r="DU64" s="247">
        <v>397.76795362453794</v>
      </c>
      <c r="DV64" s="247">
        <v>396.73769201920487</v>
      </c>
      <c r="DW64" s="247">
        <v>395.70763277499304</v>
      </c>
      <c r="DX64" s="247">
        <v>394.67778855537068</v>
      </c>
      <c r="DY64" s="247">
        <v>393.64817194511221</v>
      </c>
      <c r="DZ64" s="247">
        <v>392.61879542648467</v>
      </c>
      <c r="EA64" s="247">
        <v>391.58967145287198</v>
      </c>
      <c r="EB64" s="247">
        <v>390.56081236112499</v>
      </c>
      <c r="EC64" s="247">
        <v>389.53223041838243</v>
      </c>
      <c r="ED64" s="247">
        <v>388.50393782929063</v>
      </c>
      <c r="EE64" s="247">
        <v>387.47594673858254</v>
      </c>
      <c r="EF64" s="247">
        <v>386.45132349567314</v>
      </c>
      <c r="EG64" s="247">
        <v>385.4270158676722</v>
      </c>
      <c r="EH64" s="247">
        <v>384.40300932719538</v>
      </c>
      <c r="EI64" s="247">
        <v>383.37928946846648</v>
      </c>
      <c r="EJ64" s="247">
        <v>382.35584197194555</v>
      </c>
      <c r="EK64" s="247">
        <v>381.33265261094613</v>
      </c>
      <c r="EL64" s="247">
        <v>380.309707267166</v>
      </c>
      <c r="EM64" s="247">
        <v>379.28699191722006</v>
      </c>
      <c r="EN64" s="247">
        <v>378.26449265196629</v>
      </c>
      <c r="EO64" s="247">
        <v>377.24219564461362</v>
      </c>
      <c r="EP64" s="247">
        <v>376.22008718955834</v>
      </c>
      <c r="EQ64" s="247">
        <v>375.19815366464195</v>
      </c>
      <c r="ER64" s="247">
        <v>374.1799199087518</v>
      </c>
      <c r="ES64" s="247">
        <v>373.16186221288831</v>
      </c>
      <c r="ET64" s="247">
        <v>372.1439904091493</v>
      </c>
      <c r="EU64" s="247">
        <v>371.12631427929881</v>
      </c>
      <c r="EV64" s="247">
        <v>370.10884352744301</v>
      </c>
      <c r="EW64" s="247">
        <v>369.09158780830415</v>
      </c>
      <c r="EX64" s="247">
        <v>368.07455672231885</v>
      </c>
      <c r="EY64" s="247">
        <v>367.05775978987003</v>
      </c>
      <c r="EZ64" s="247">
        <v>366.04120648326659</v>
      </c>
      <c r="FA64" s="247">
        <v>365.02490621261245</v>
      </c>
      <c r="FB64" s="247">
        <v>364.008868346393</v>
      </c>
      <c r="FC64" s="247">
        <v>362.99310218093069</v>
      </c>
      <c r="FD64" s="247">
        <v>361.98164799391265</v>
      </c>
      <c r="FE64" s="247">
        <v>360.97049094581337</v>
      </c>
      <c r="FF64" s="247">
        <v>359.95963317638763</v>
      </c>
      <c r="FG64" s="247">
        <v>358.94907689937361</v>
      </c>
      <c r="FH64" s="247">
        <v>357.93882421787907</v>
      </c>
      <c r="FI64" s="247">
        <v>356.92887732072563</v>
      </c>
      <c r="FJ64" s="247">
        <v>355.91923831173887</v>
      </c>
      <c r="FK64" s="247">
        <v>354.90990933597732</v>
      </c>
      <c r="FL64" s="247">
        <v>353.90089246093976</v>
      </c>
      <c r="FM64" s="247">
        <v>352.89218982492616</v>
      </c>
      <c r="FN64" s="247">
        <v>351.88380348478802</v>
      </c>
      <c r="FO64" s="247">
        <v>350.87573553559065</v>
      </c>
      <c r="FP64" s="247">
        <v>349.86872325995108</v>
      </c>
      <c r="FQ64" s="247">
        <v>348.86202908845689</v>
      </c>
      <c r="FR64" s="247">
        <v>347.85566057419061</v>
      </c>
      <c r="FS64" s="247">
        <v>346.84962527067125</v>
      </c>
      <c r="FT64" s="247">
        <v>345.84393064683087</v>
      </c>
      <c r="FU64" s="247">
        <v>344.83858415147745</v>
      </c>
      <c r="FV64" s="247">
        <v>343.83359316269213</v>
      </c>
      <c r="FW64" s="247">
        <v>342.82896502705842</v>
      </c>
      <c r="FX64" s="247">
        <v>341.82470701654631</v>
      </c>
      <c r="FY64" s="247">
        <v>340.82082638995297</v>
      </c>
      <c r="FZ64" s="247">
        <v>339.81733032748429</v>
      </c>
      <c r="GA64" s="247">
        <v>338.81422600612046</v>
      </c>
      <c r="GB64" s="247">
        <v>337.81227589127235</v>
      </c>
      <c r="GC64" s="247">
        <v>336.81071954213508</v>
      </c>
      <c r="GD64" s="247">
        <v>335.80956181010555</v>
      </c>
      <c r="GE64" s="247">
        <v>334.80880755172274</v>
      </c>
      <c r="GF64" s="247">
        <v>333.80846157619641</v>
      </c>
      <c r="GG64" s="247">
        <v>332.80852864691423</v>
      </c>
      <c r="GH64" s="247">
        <v>331.80901351382113</v>
      </c>
      <c r="GI64" s="247">
        <v>330.80992089075914</v>
      </c>
      <c r="GJ64" s="247">
        <v>329.81125546364166</v>
      </c>
      <c r="GK64" s="247">
        <v>328.81302185952097</v>
      </c>
      <c r="GL64" s="247">
        <v>327.81522473456323</v>
      </c>
      <c r="GM64" s="247">
        <v>326.81786867570941</v>
      </c>
      <c r="GN64" s="247">
        <v>325.8264136216884</v>
      </c>
      <c r="GO64" s="247">
        <v>324.83543582025425</v>
      </c>
      <c r="GP64" s="247">
        <v>323.84494068291826</v>
      </c>
      <c r="GQ64" s="247">
        <v>322.85493358430261</v>
      </c>
      <c r="GR64" s="247">
        <v>321.86541986063213</v>
      </c>
      <c r="GS64" s="247">
        <v>320.87640481113215</v>
      </c>
      <c r="GT64" s="247">
        <v>319.88789371092889</v>
      </c>
      <c r="GU64" s="247">
        <v>318.89989178642833</v>
      </c>
      <c r="GV64" s="247">
        <v>317.91240421436862</v>
      </c>
      <c r="GW64" s="247">
        <v>316.92543617267427</v>
      </c>
      <c r="GX64" s="247">
        <v>315.93899277546279</v>
      </c>
      <c r="GY64" s="247">
        <v>314.95307913726145</v>
      </c>
      <c r="GZ64" s="247">
        <v>313.96851022248552</v>
      </c>
      <c r="HA64" s="247">
        <v>312.98447787892479</v>
      </c>
      <c r="HB64" s="247">
        <v>312.00099366633475</v>
      </c>
      <c r="HC64" s="247">
        <v>311.01806906214722</v>
      </c>
      <c r="HD64" s="247">
        <v>310.0357154391362</v>
      </c>
      <c r="HE64" s="247">
        <v>309.05394414927395</v>
      </c>
      <c r="HF64" s="247">
        <v>308.07276640194567</v>
      </c>
      <c r="HG64" s="247">
        <v>307.09219338423475</v>
      </c>
      <c r="HH64" s="247">
        <v>306.11223617684357</v>
      </c>
      <c r="HI64" s="247">
        <v>305.13290582472655</v>
      </c>
      <c r="HJ64" s="247">
        <v>304.154213262849</v>
      </c>
      <c r="HK64" s="247">
        <v>303.17616940944913</v>
      </c>
      <c r="HL64" s="247">
        <v>302.20570630633159</v>
      </c>
      <c r="HM64" s="247">
        <v>301.23593405508745</v>
      </c>
      <c r="HN64" s="247">
        <v>300.26684160835617</v>
      </c>
      <c r="HO64" s="247">
        <v>299.29841793382451</v>
      </c>
      <c r="HP64" s="247">
        <v>298.33065214113338</v>
      </c>
      <c r="HQ64" s="247">
        <v>297.36353335618918</v>
      </c>
      <c r="HR64" s="247">
        <v>296.39705080720768</v>
      </c>
      <c r="HS64" s="247">
        <v>295.43119374859907</v>
      </c>
      <c r="HT64" s="247">
        <v>294.46595153311085</v>
      </c>
      <c r="HU64" s="247">
        <v>293.50131359017752</v>
      </c>
      <c r="HV64" s="247">
        <v>292.5372693910719</v>
      </c>
      <c r="HW64" s="247">
        <v>291.57380847348566</v>
      </c>
      <c r="HX64" s="247">
        <v>290.61178310239723</v>
      </c>
      <c r="HY64" s="247">
        <v>289.65033049380793</v>
      </c>
      <c r="HZ64" s="247">
        <v>288.68946018508586</v>
      </c>
      <c r="IA64" s="247">
        <v>287.72918161382114</v>
      </c>
      <c r="IB64" s="247">
        <v>286.76950417925065</v>
      </c>
      <c r="IC64" s="247">
        <v>285.810437222377</v>
      </c>
      <c r="ID64" s="247">
        <v>284.85199000623601</v>
      </c>
      <c r="IE64" s="247">
        <v>283.89417175445186</v>
      </c>
      <c r="IF64" s="247">
        <v>282.93699162825715</v>
      </c>
      <c r="IG64" s="247">
        <v>281.9804587463745</v>
      </c>
      <c r="IH64" s="247">
        <v>281.02458213990968</v>
      </c>
      <c r="II64" s="247">
        <v>280.06937082642258</v>
      </c>
      <c r="IJ64" s="247">
        <v>279.11571630134711</v>
      </c>
      <c r="IK64" s="247">
        <v>278.16273804073359</v>
      </c>
      <c r="IL64" s="247">
        <v>277.21044767862276</v>
      </c>
      <c r="IM64" s="247">
        <v>276.25885668384194</v>
      </c>
      <c r="IN64" s="247">
        <v>275.30797665691097</v>
      </c>
      <c r="IO64" s="247">
        <v>274.35781893481624</v>
      </c>
      <c r="IP64" s="247">
        <v>273.40839487720916</v>
      </c>
      <c r="IQ64" s="247">
        <v>272.45971578593401</v>
      </c>
      <c r="IR64" s="247">
        <v>271.51179288163485</v>
      </c>
      <c r="IS64" s="247">
        <v>270.56463732370162</v>
      </c>
      <c r="IT64" s="247">
        <v>269.61826029123654</v>
      </c>
      <c r="IU64" s="247">
        <v>268.67267280365229</v>
      </c>
      <c r="IV64" s="247">
        <v>267.7372054710458</v>
      </c>
      <c r="IW64" s="247">
        <v>266.80257662713905</v>
      </c>
      <c r="IX64" s="247">
        <v>265.86877071806288</v>
      </c>
      <c r="IY64" s="247">
        <v>264.93577238831057</v>
      </c>
      <c r="IZ64" s="247">
        <v>264.00356628026879</v>
      </c>
      <c r="JA64" s="247">
        <v>263.07213713255931</v>
      </c>
      <c r="JB64" s="247">
        <v>262.14146987546673</v>
      </c>
      <c r="JC64" s="247">
        <v>261.21154944599579</v>
      </c>
      <c r="JD64" s="247">
        <v>260.2823608664923</v>
      </c>
      <c r="JE64" s="247">
        <v>259.35388926536729</v>
      </c>
      <c r="JF64" s="247">
        <v>258.4261198632945</v>
      </c>
      <c r="JG64" s="247">
        <v>257.49903788619542</v>
      </c>
      <c r="JH64" s="247">
        <v>256.57356151382902</v>
      </c>
      <c r="JI64" s="247">
        <v>255.64875590017817</v>
      </c>
      <c r="JJ64" s="247">
        <v>254.72462856771182</v>
      </c>
      <c r="JK64" s="247">
        <v>253.80118680053917</v>
      </c>
      <c r="JL64" s="247">
        <v>252.87843803846138</v>
      </c>
      <c r="JM64" s="247">
        <v>251.95638948165723</v>
      </c>
      <c r="JN64" s="247">
        <v>251.03504847550599</v>
      </c>
      <c r="JO64" s="247">
        <v>250.11442223329655</v>
      </c>
      <c r="JP64" s="247">
        <v>249.19451800696658</v>
      </c>
      <c r="JQ64" s="247">
        <v>248.27534291444454</v>
      </c>
      <c r="JR64" s="247">
        <v>247.35690411721529</v>
      </c>
      <c r="JS64" s="247">
        <v>246.43920873424454</v>
      </c>
      <c r="JT64" s="247">
        <v>245.513550228822</v>
      </c>
      <c r="JU64" s="247">
        <v>244.58856737498436</v>
      </c>
      <c r="JV64" s="247">
        <v>243.66425004334334</v>
      </c>
      <c r="JW64" s="247">
        <v>242.7405884054794</v>
      </c>
      <c r="JX64" s="247">
        <v>241.81757250413258</v>
      </c>
      <c r="JY64" s="247">
        <v>240.89519250659842</v>
      </c>
      <c r="JZ64" s="247">
        <v>239.97343861806948</v>
      </c>
      <c r="KA64" s="247">
        <v>239.05230109384155</v>
      </c>
      <c r="KB64" s="247">
        <v>238.13177030482316</v>
      </c>
      <c r="KC64" s="247">
        <v>237.21183658510236</v>
      </c>
      <c r="KD64" s="247">
        <v>236.29249030650507</v>
      </c>
      <c r="KE64" s="247">
        <v>235.37372197293519</v>
      </c>
      <c r="KF64" s="247">
        <v>234.45650946893036</v>
      </c>
      <c r="KG64" s="247">
        <v>233.53988831349835</v>
      </c>
      <c r="KH64" s="247">
        <v>232.62389088806293</v>
      </c>
      <c r="KI64" s="247">
        <v>231.70854921496047</v>
      </c>
      <c r="KJ64" s="247">
        <v>230.79389537185747</v>
      </c>
      <c r="KK64" s="247">
        <v>229.87996106924712</v>
      </c>
      <c r="KL64" s="247">
        <v>228.96677797793222</v>
      </c>
      <c r="KM64" s="247">
        <v>228.05437765482876</v>
      </c>
      <c r="KN64" s="247">
        <v>227.14279143909292</v>
      </c>
      <c r="KO64" s="247">
        <v>226.23205062852685</v>
      </c>
      <c r="KP64" s="247">
        <v>225.32218630311155</v>
      </c>
      <c r="KQ64" s="247">
        <v>224.41322941454581</v>
      </c>
      <c r="KR64" s="247">
        <v>223.49606982361362</v>
      </c>
      <c r="KS64" s="247">
        <v>222.57974426515028</v>
      </c>
      <c r="KT64" s="247">
        <v>221.66422698456827</v>
      </c>
      <c r="KU64" s="247">
        <v>220.74949228771567</v>
      </c>
      <c r="KV64" s="247">
        <v>219.83551454946144</v>
      </c>
      <c r="KW64" s="247">
        <v>218.92226842368387</v>
      </c>
      <c r="KX64" s="247">
        <v>218.0097285551409</v>
      </c>
      <c r="KY64" s="247">
        <v>217.09786973840855</v>
      </c>
      <c r="KZ64" s="247">
        <v>216.18666689809783</v>
      </c>
      <c r="LA64" s="247">
        <v>215.2760951801782</v>
      </c>
      <c r="LB64" s="247">
        <v>214.36612972474506</v>
      </c>
      <c r="LC64" s="247">
        <v>213.45674582362199</v>
      </c>
      <c r="LD64" s="247">
        <v>212.54895451136971</v>
      </c>
      <c r="LE64" s="247">
        <v>211.64172420304888</v>
      </c>
      <c r="LF64" s="247">
        <v>210.73506840463602</v>
      </c>
      <c r="LG64" s="247">
        <v>209.82900056679543</v>
      </c>
      <c r="LH64" s="247">
        <v>208.92353408899865</v>
      </c>
      <c r="LI64" s="247">
        <v>208.01868224049429</v>
      </c>
      <c r="LJ64" s="247">
        <v>207.11445836478262</v>
      </c>
      <c r="LK64" s="247">
        <v>206.21087561401006</v>
      </c>
      <c r="LL64" s="247">
        <v>205.30794720113133</v>
      </c>
      <c r="LM64" s="247">
        <v>204.40568614311775</v>
      </c>
      <c r="LN64" s="247">
        <v>203.5041055830917</v>
      </c>
      <c r="LO64" s="247">
        <v>202.60321852926549</v>
      </c>
      <c r="LP64" s="247">
        <v>201.70409812268028</v>
      </c>
      <c r="LQ64" s="247">
        <v>200.80567847522724</v>
      </c>
      <c r="LR64" s="247">
        <v>199.90796322185307</v>
      </c>
      <c r="LS64" s="247">
        <v>199.01095609263712</v>
      </c>
      <c r="LT64" s="247">
        <v>198.11466078370847</v>
      </c>
      <c r="LU64" s="247">
        <v>197.21908088165591</v>
      </c>
      <c r="LV64" s="247">
        <v>196.32422012657435</v>
      </c>
      <c r="LW64" s="247">
        <v>195.43008215663022</v>
      </c>
      <c r="LX64" s="247">
        <v>194.53667061998939</v>
      </c>
      <c r="LY64" s="247">
        <v>193.64398918830173</v>
      </c>
      <c r="LZ64" s="247">
        <v>192.75204147841251</v>
      </c>
      <c r="MA64" s="247">
        <v>191.86083125300516</v>
      </c>
      <c r="MB64" s="247">
        <v>190.97145822417778</v>
      </c>
      <c r="MC64" s="247">
        <v>190.08282084507022</v>
      </c>
      <c r="MD64" s="247">
        <v>189.19492305055073</v>
      </c>
      <c r="ME64" s="247">
        <v>188.30776864197983</v>
      </c>
      <c r="MF64" s="247">
        <v>187.42136147873944</v>
      </c>
      <c r="MG64" s="247">
        <v>186.535705465013</v>
      </c>
      <c r="MH64" s="247">
        <v>185.65080449021121</v>
      </c>
      <c r="MI64" s="247">
        <v>184.76666237082927</v>
      </c>
      <c r="MJ64" s="247">
        <v>183.88328307837335</v>
      </c>
      <c r="MK64" s="247">
        <v>183.00067044506392</v>
      </c>
      <c r="ML64" s="247">
        <v>182.11882839349963</v>
      </c>
      <c r="MM64" s="247">
        <v>181.23776082472341</v>
      </c>
      <c r="MN64" s="247">
        <v>180.35860385210876</v>
      </c>
      <c r="MO64" s="247">
        <v>179.48021818102342</v>
      </c>
      <c r="MP64" s="247">
        <v>178.60260575754467</v>
      </c>
      <c r="MQ64" s="247">
        <v>177.72576856534988</v>
      </c>
      <c r="MR64" s="247">
        <v>176.84970868845576</v>
      </c>
      <c r="MS64" s="247">
        <v>175.9744281209484</v>
      </c>
      <c r="MT64" s="247">
        <v>175.09992900376292</v>
      </c>
      <c r="MU64" s="247">
        <v>174.22621333378302</v>
      </c>
      <c r="MV64" s="247">
        <v>173.35328324009552</v>
      </c>
      <c r="MW64" s="247">
        <v>172.48114087500176</v>
      </c>
      <c r="MX64" s="247">
        <v>171.60978840129937</v>
      </c>
      <c r="MY64" s="247">
        <v>170.7392279436076</v>
      </c>
    </row>
    <row r="65" spans="1:363" ht="15.6" x14ac:dyDescent="0.3">
      <c r="A65" s="67" t="s">
        <v>6</v>
      </c>
      <c r="B65" s="72">
        <v>2075</v>
      </c>
      <c r="C65" s="247">
        <v>524.78364587640601</v>
      </c>
      <c r="D65" s="247">
        <v>523.75013888783042</v>
      </c>
      <c r="E65" s="247">
        <v>522.71669181020332</v>
      </c>
      <c r="F65" s="247">
        <v>521.68330327161334</v>
      </c>
      <c r="G65" s="247">
        <v>520.64997190149097</v>
      </c>
      <c r="H65" s="247">
        <v>519.6166963487716</v>
      </c>
      <c r="I65" s="247">
        <v>518.58347526221155</v>
      </c>
      <c r="J65" s="247">
        <v>517.55030736526601</v>
      </c>
      <c r="K65" s="247">
        <v>516.51719135050644</v>
      </c>
      <c r="L65" s="247">
        <v>515.48412594152649</v>
      </c>
      <c r="M65" s="247">
        <v>514.45110987005683</v>
      </c>
      <c r="N65" s="247">
        <v>513.41814196115672</v>
      </c>
      <c r="O65" s="247">
        <v>512.38522095324959</v>
      </c>
      <c r="P65" s="247">
        <v>511.35095868864778</v>
      </c>
      <c r="Q65" s="247">
        <v>510.31672774684921</v>
      </c>
      <c r="R65" s="247">
        <v>509.28253028044287</v>
      </c>
      <c r="S65" s="247">
        <v>508.24836849578236</v>
      </c>
      <c r="T65" s="247">
        <v>507.2142445615068</v>
      </c>
      <c r="U65" s="247">
        <v>506.18016062658654</v>
      </c>
      <c r="V65" s="247">
        <v>505.14611885300468</v>
      </c>
      <c r="W65" s="247">
        <v>504.11212139137325</v>
      </c>
      <c r="X65" s="247">
        <v>503.07817043599147</v>
      </c>
      <c r="Y65" s="247">
        <v>502.04426813411237</v>
      </c>
      <c r="Z65" s="247">
        <v>501.01041668108502</v>
      </c>
      <c r="AA65" s="247">
        <v>499.97661820943955</v>
      </c>
      <c r="AB65" s="247">
        <v>498.94155649351796</v>
      </c>
      <c r="AC65" s="247">
        <v>497.90653277082043</v>
      </c>
      <c r="AD65" s="247">
        <v>496.87154720284877</v>
      </c>
      <c r="AE65" s="247">
        <v>495.83659991517038</v>
      </c>
      <c r="AF65" s="247">
        <v>494.80169102719663</v>
      </c>
      <c r="AG65" s="247">
        <v>493.76682073336838</v>
      </c>
      <c r="AH65" s="247">
        <v>492.731989187046</v>
      </c>
      <c r="AI65" s="247">
        <v>491.69719656013257</v>
      </c>
      <c r="AJ65" s="247">
        <v>490.66244301184491</v>
      </c>
      <c r="AK65" s="247">
        <v>489.62772879944526</v>
      </c>
      <c r="AL65" s="247">
        <v>488.5930541078597</v>
      </c>
      <c r="AM65" s="247">
        <v>487.55841918923085</v>
      </c>
      <c r="AN65" s="247">
        <v>486.52257478479021</v>
      </c>
      <c r="AO65" s="247">
        <v>485.48675733030092</v>
      </c>
      <c r="AP65" s="247">
        <v>484.45096997256377</v>
      </c>
      <c r="AQ65" s="247">
        <v>483.41521582186522</v>
      </c>
      <c r="AR65" s="247">
        <v>482.3794980374301</v>
      </c>
      <c r="AS65" s="247">
        <v>481.34381972629279</v>
      </c>
      <c r="AT65" s="247">
        <v>480.30818398283952</v>
      </c>
      <c r="AU65" s="247">
        <v>479.27259392971928</v>
      </c>
      <c r="AV65" s="247">
        <v>478.23705265852453</v>
      </c>
      <c r="AW65" s="247">
        <v>477.20156327488576</v>
      </c>
      <c r="AX65" s="247">
        <v>476.16612884265282</v>
      </c>
      <c r="AY65" s="247">
        <v>475.13075249836351</v>
      </c>
      <c r="AZ65" s="247">
        <v>474.09424444130605</v>
      </c>
      <c r="BA65" s="247">
        <v>473.05777378745438</v>
      </c>
      <c r="BB65" s="247">
        <v>472.02133462593548</v>
      </c>
      <c r="BC65" s="247">
        <v>470.98492104453624</v>
      </c>
      <c r="BD65" s="247">
        <v>469.94852723464976</v>
      </c>
      <c r="BE65" s="247">
        <v>468.9121473853229</v>
      </c>
      <c r="BF65" s="247">
        <v>467.87577574554786</v>
      </c>
      <c r="BG65" s="247">
        <v>466.83940664974222</v>
      </c>
      <c r="BH65" s="247">
        <v>465.8030344093653</v>
      </c>
      <c r="BI65" s="247">
        <v>464.76665346085605</v>
      </c>
      <c r="BJ65" s="247">
        <v>463.73025823447068</v>
      </c>
      <c r="BK65" s="247">
        <v>462.69384322182401</v>
      </c>
      <c r="BL65" s="247">
        <v>461.65630445591944</v>
      </c>
      <c r="BM65" s="247">
        <v>460.61875262221338</v>
      </c>
      <c r="BN65" s="247">
        <v>459.58121131524575</v>
      </c>
      <c r="BO65" s="247">
        <v>458.54370392104096</v>
      </c>
      <c r="BP65" s="247">
        <v>457.50625374943036</v>
      </c>
      <c r="BQ65" s="247">
        <v>456.46888394841</v>
      </c>
      <c r="BR65" s="247">
        <v>455.43161752505159</v>
      </c>
      <c r="BS65" s="247">
        <v>454.39447739385702</v>
      </c>
      <c r="BT65" s="247">
        <v>453.35748631097533</v>
      </c>
      <c r="BU65" s="247">
        <v>452.32066689313854</v>
      </c>
      <c r="BV65" s="247">
        <v>451.28404166144026</v>
      </c>
      <c r="BW65" s="247">
        <v>450.24763299810598</v>
      </c>
      <c r="BX65" s="247">
        <v>449.21034016876649</v>
      </c>
      <c r="BY65" s="247">
        <v>448.17323927423462</v>
      </c>
      <c r="BZ65" s="247">
        <v>447.13631430158028</v>
      </c>
      <c r="CA65" s="247">
        <v>446.09954934479924</v>
      </c>
      <c r="CB65" s="247">
        <v>445.06292859678473</v>
      </c>
      <c r="CC65" s="247">
        <v>444.02643638943152</v>
      </c>
      <c r="CD65" s="247">
        <v>442.99005712632811</v>
      </c>
      <c r="CE65" s="247">
        <v>441.95377532886056</v>
      </c>
      <c r="CF65" s="247">
        <v>440.91757563851769</v>
      </c>
      <c r="CG65" s="247">
        <v>439.8814427931361</v>
      </c>
      <c r="CH65" s="247">
        <v>438.84536164480988</v>
      </c>
      <c r="CI65" s="247">
        <v>437.80931715367149</v>
      </c>
      <c r="CJ65" s="247">
        <v>436.77217721566302</v>
      </c>
      <c r="CK65" s="247">
        <v>435.73505098470008</v>
      </c>
      <c r="CL65" s="247">
        <v>434.69794528344283</v>
      </c>
      <c r="CM65" s="247">
        <v>433.66086685663709</v>
      </c>
      <c r="CN65" s="247">
        <v>432.62382244195322</v>
      </c>
      <c r="CO65" s="247">
        <v>431.58681873848502</v>
      </c>
      <c r="CP65" s="247">
        <v>430.54986243168054</v>
      </c>
      <c r="CQ65" s="247">
        <v>429.51296014001451</v>
      </c>
      <c r="CR65" s="247">
        <v>428.47611848307486</v>
      </c>
      <c r="CS65" s="247">
        <v>427.43934403219686</v>
      </c>
      <c r="CT65" s="247">
        <v>426.4026433448015</v>
      </c>
      <c r="CU65" s="247">
        <v>425.36602293107984</v>
      </c>
      <c r="CV65" s="247">
        <v>424.330029326177</v>
      </c>
      <c r="CW65" s="247">
        <v>423.29411065790276</v>
      </c>
      <c r="CX65" s="247">
        <v>422.25826561437293</v>
      </c>
      <c r="CY65" s="247">
        <v>421.22249288160134</v>
      </c>
      <c r="CZ65" s="247">
        <v>420.18679118523733</v>
      </c>
      <c r="DA65" s="247">
        <v>419.15115927828901</v>
      </c>
      <c r="DB65" s="247">
        <v>418.11559589045805</v>
      </c>
      <c r="DC65" s="247">
        <v>417.08009981668647</v>
      </c>
      <c r="DD65" s="247">
        <v>416.04466983411959</v>
      </c>
      <c r="DE65" s="247">
        <v>415.00930474732479</v>
      </c>
      <c r="DF65" s="247">
        <v>413.97400340334605</v>
      </c>
      <c r="DG65" s="247">
        <v>412.93876465887394</v>
      </c>
      <c r="DH65" s="247">
        <v>411.90415103695437</v>
      </c>
      <c r="DI65" s="247">
        <v>410.86959748637207</v>
      </c>
      <c r="DJ65" s="247">
        <v>409.8351130641729</v>
      </c>
      <c r="DK65" s="247">
        <v>408.80070674651319</v>
      </c>
      <c r="DL65" s="247">
        <v>407.76638749752487</v>
      </c>
      <c r="DM65" s="247">
        <v>406.73216420214294</v>
      </c>
      <c r="DN65" s="247">
        <v>405.69804569801471</v>
      </c>
      <c r="DO65" s="247">
        <v>404.66404079939963</v>
      </c>
      <c r="DP65" s="247">
        <v>403.63015825096141</v>
      </c>
      <c r="DQ65" s="247">
        <v>402.59640674543152</v>
      </c>
      <c r="DR65" s="247">
        <v>401.56279493837218</v>
      </c>
      <c r="DS65" s="247">
        <v>400.52933143387583</v>
      </c>
      <c r="DT65" s="247">
        <v>399.4986002344495</v>
      </c>
      <c r="DU65" s="247">
        <v>398.46804331290338</v>
      </c>
      <c r="DV65" s="247">
        <v>397.43767328289567</v>
      </c>
      <c r="DW65" s="247">
        <v>396.40750268908778</v>
      </c>
      <c r="DX65" s="247">
        <v>395.37754399362649</v>
      </c>
      <c r="DY65" s="247">
        <v>394.34780958163338</v>
      </c>
      <c r="DZ65" s="247">
        <v>393.3183117378793</v>
      </c>
      <c r="EA65" s="247">
        <v>392.28906271921153</v>
      </c>
      <c r="EB65" s="247">
        <v>391.2600746682316</v>
      </c>
      <c r="EC65" s="247">
        <v>390.23135965955231</v>
      </c>
      <c r="ED65" s="247">
        <v>389.20292970672227</v>
      </c>
      <c r="EE65" s="247">
        <v>388.17479676493542</v>
      </c>
      <c r="EF65" s="247">
        <v>387.149998507399</v>
      </c>
      <c r="EG65" s="247">
        <v>386.12551135173464</v>
      </c>
      <c r="EH65" s="247">
        <v>385.10132102286826</v>
      </c>
      <c r="EI65" s="247">
        <v>384.07741336536111</v>
      </c>
      <c r="EJ65" s="247">
        <v>383.05377430869908</v>
      </c>
      <c r="EK65" s="247">
        <v>382.03038987369808</v>
      </c>
      <c r="EL65" s="247">
        <v>381.00724618784591</v>
      </c>
      <c r="EM65" s="247">
        <v>379.98432947211921</v>
      </c>
      <c r="EN65" s="247">
        <v>378.96162605985046</v>
      </c>
      <c r="EO65" s="247">
        <v>377.93912236555383</v>
      </c>
      <c r="EP65" s="247">
        <v>376.91680492299645</v>
      </c>
      <c r="EQ65" s="247">
        <v>375.89466034821447</v>
      </c>
      <c r="ER65" s="247">
        <v>374.87618687190343</v>
      </c>
      <c r="ES65" s="247">
        <v>373.85788746244242</v>
      </c>
      <c r="ET65" s="247">
        <v>372.83977181759548</v>
      </c>
      <c r="EU65" s="247">
        <v>371.82184958586174</v>
      </c>
      <c r="EV65" s="247">
        <v>370.80413033963339</v>
      </c>
      <c r="EW65" s="247">
        <v>369.78662360294283</v>
      </c>
      <c r="EX65" s="247">
        <v>368.76933884670137</v>
      </c>
      <c r="EY65" s="247">
        <v>367.75228546337036</v>
      </c>
      <c r="EZ65" s="247">
        <v>366.73547279832201</v>
      </c>
      <c r="FA65" s="247">
        <v>365.71891013611878</v>
      </c>
      <c r="FB65" s="247">
        <v>364.70260672064165</v>
      </c>
      <c r="FC65" s="247">
        <v>363.68657172516725</v>
      </c>
      <c r="FD65" s="247">
        <v>362.67482134871869</v>
      </c>
      <c r="FE65" s="247">
        <v>361.66336466880114</v>
      </c>
      <c r="FF65" s="247">
        <v>360.65220380988353</v>
      </c>
      <c r="FG65" s="247">
        <v>359.64134096957821</v>
      </c>
      <c r="FH65" s="247">
        <v>358.63077823670545</v>
      </c>
      <c r="FI65" s="247">
        <v>357.62051778476098</v>
      </c>
      <c r="FJ65" s="247">
        <v>356.61056170370051</v>
      </c>
      <c r="FK65" s="247">
        <v>355.60091212441392</v>
      </c>
      <c r="FL65" s="247">
        <v>354.59157110148561</v>
      </c>
      <c r="FM65" s="247">
        <v>353.58254075966073</v>
      </c>
      <c r="FN65" s="247">
        <v>352.57382314359069</v>
      </c>
      <c r="FO65" s="247">
        <v>351.56542033596389</v>
      </c>
      <c r="FP65" s="247">
        <v>350.5580497130303</v>
      </c>
      <c r="FQ65" s="247">
        <v>349.55099350190767</v>
      </c>
      <c r="FR65" s="247">
        <v>348.54425916482717</v>
      </c>
      <c r="FS65" s="247">
        <v>347.53785416471368</v>
      </c>
      <c r="FT65" s="247">
        <v>346.53178588144738</v>
      </c>
      <c r="FU65" s="247">
        <v>345.52606167530558</v>
      </c>
      <c r="FV65" s="247">
        <v>344.52068883715793</v>
      </c>
      <c r="FW65" s="247">
        <v>343.51567462716235</v>
      </c>
      <c r="FX65" s="247">
        <v>342.51102623214638</v>
      </c>
      <c r="FY65" s="247">
        <v>341.50675082637031</v>
      </c>
      <c r="FZ65" s="247">
        <v>340.50285550687647</v>
      </c>
      <c r="GA65" s="247">
        <v>339.49934736795859</v>
      </c>
      <c r="GB65" s="247">
        <v>338.49696869010199</v>
      </c>
      <c r="GC65" s="247">
        <v>337.49497907664534</v>
      </c>
      <c r="GD65" s="247">
        <v>336.49338332722738</v>
      </c>
      <c r="GE65" s="247">
        <v>335.49218624679975</v>
      </c>
      <c r="GF65" s="247">
        <v>334.49139259395582</v>
      </c>
      <c r="GG65" s="247">
        <v>333.49100708231759</v>
      </c>
      <c r="GH65" s="247">
        <v>332.49103441253897</v>
      </c>
      <c r="GI65" s="247">
        <v>331.49147924999039</v>
      </c>
      <c r="GJ65" s="247">
        <v>330.49234623270189</v>
      </c>
      <c r="GK65" s="247">
        <v>329.49363994104709</v>
      </c>
      <c r="GL65" s="247">
        <v>328.49536498435469</v>
      </c>
      <c r="GM65" s="247">
        <v>327.49752590408059</v>
      </c>
      <c r="GN65" s="247">
        <v>326.50556255681801</v>
      </c>
      <c r="GO65" s="247">
        <v>325.5140711818409</v>
      </c>
      <c r="GP65" s="247">
        <v>324.52305713645831</v>
      </c>
      <c r="GQ65" s="247">
        <v>323.53252574180726</v>
      </c>
      <c r="GR65" s="247">
        <v>322.54248228143604</v>
      </c>
      <c r="GS65" s="247">
        <v>321.5529320025833</v>
      </c>
      <c r="GT65" s="247">
        <v>320.56388012899077</v>
      </c>
      <c r="GU65" s="247">
        <v>319.57533183662105</v>
      </c>
      <c r="GV65" s="247">
        <v>318.58729225261436</v>
      </c>
      <c r="GW65" s="247">
        <v>317.59976650566335</v>
      </c>
      <c r="GX65" s="247">
        <v>316.61275966171848</v>
      </c>
      <c r="GY65" s="247">
        <v>315.62627678752176</v>
      </c>
      <c r="GZ65" s="247">
        <v>314.64111306340737</v>
      </c>
      <c r="HA65" s="247">
        <v>313.65647993785046</v>
      </c>
      <c r="HB65" s="247">
        <v>312.67238883813945</v>
      </c>
      <c r="HC65" s="247">
        <v>311.68885111060683</v>
      </c>
      <c r="HD65" s="247">
        <v>310.70587799865422</v>
      </c>
      <c r="HE65" s="247">
        <v>309.72348072542928</v>
      </c>
      <c r="HF65" s="247">
        <v>308.74167037368795</v>
      </c>
      <c r="HG65" s="247">
        <v>307.7604580045371</v>
      </c>
      <c r="HH65" s="247">
        <v>306.77985457434983</v>
      </c>
      <c r="HI65" s="247">
        <v>305.79987100464353</v>
      </c>
      <c r="HJ65" s="247">
        <v>304.82051810867142</v>
      </c>
      <c r="HK65" s="247">
        <v>303.84180668360995</v>
      </c>
      <c r="HL65" s="247">
        <v>302.87065602334974</v>
      </c>
      <c r="HM65" s="247">
        <v>301.90018907740722</v>
      </c>
      <c r="HN65" s="247">
        <v>300.9303949454191</v>
      </c>
      <c r="HO65" s="247">
        <v>299.96126274192881</v>
      </c>
      <c r="HP65" s="247">
        <v>298.99278172186604</v>
      </c>
      <c r="HQ65" s="247">
        <v>298.02494115624046</v>
      </c>
      <c r="HR65" s="247">
        <v>297.0577304172723</v>
      </c>
      <c r="HS65" s="247">
        <v>296.09113890315797</v>
      </c>
      <c r="HT65" s="247">
        <v>295.1251561093087</v>
      </c>
      <c r="HU65" s="247">
        <v>294.15977160708883</v>
      </c>
      <c r="HV65" s="247">
        <v>293.19497500927878</v>
      </c>
      <c r="HW65" s="247">
        <v>292.23075599447634</v>
      </c>
      <c r="HX65" s="247">
        <v>291.26794784783283</v>
      </c>
      <c r="HY65" s="247">
        <v>290.30570681012193</v>
      </c>
      <c r="HZ65" s="247">
        <v>289.34404232212813</v>
      </c>
      <c r="IA65" s="247">
        <v>288.38296372630305</v>
      </c>
      <c r="IB65" s="247">
        <v>287.4224803275518</v>
      </c>
      <c r="IC65" s="247">
        <v>286.46260137346621</v>
      </c>
      <c r="ID65" s="247">
        <v>285.50333603493078</v>
      </c>
      <c r="IE65" s="247">
        <v>284.54469344420147</v>
      </c>
      <c r="IF65" s="247">
        <v>283.58668267213346</v>
      </c>
      <c r="IG65" s="247">
        <v>282.62931274796568</v>
      </c>
      <c r="IH65" s="247">
        <v>281.67259261462885</v>
      </c>
      <c r="II65" s="247">
        <v>280.71653120206963</v>
      </c>
      <c r="IJ65" s="247">
        <v>279.76200058188999</v>
      </c>
      <c r="IK65" s="247">
        <v>278.80813944684132</v>
      </c>
      <c r="IL65" s="247">
        <v>277.8549593111083</v>
      </c>
      <c r="IM65" s="247">
        <v>276.90247152587966</v>
      </c>
      <c r="IN65" s="247">
        <v>275.95068757285088</v>
      </c>
      <c r="IO65" s="247">
        <v>274.9996186735072</v>
      </c>
      <c r="IP65" s="247">
        <v>274.04927607207708</v>
      </c>
      <c r="IQ65" s="247">
        <v>273.09967095598279</v>
      </c>
      <c r="IR65" s="247">
        <v>272.15081443264916</v>
      </c>
      <c r="IS65" s="247">
        <v>271.20271754935493</v>
      </c>
      <c r="IT65" s="247">
        <v>270.2553913731382</v>
      </c>
      <c r="IU65" s="247">
        <v>269.3088468136097</v>
      </c>
      <c r="IV65" s="247">
        <v>268.37241487096782</v>
      </c>
      <c r="IW65" s="247">
        <v>267.43681371398645</v>
      </c>
      <c r="IX65" s="247">
        <v>266.50202797049229</v>
      </c>
      <c r="IY65" s="247">
        <v>265.5680424645596</v>
      </c>
      <c r="IZ65" s="247">
        <v>264.63484201826128</v>
      </c>
      <c r="JA65" s="247">
        <v>263.70241154884889</v>
      </c>
      <c r="JB65" s="247">
        <v>262.77073616329199</v>
      </c>
      <c r="JC65" s="247">
        <v>261.83980097526205</v>
      </c>
      <c r="JD65" s="247">
        <v>260.90959118288941</v>
      </c>
      <c r="JE65" s="247">
        <v>259.98009208937845</v>
      </c>
      <c r="JF65" s="247">
        <v>259.05128908927099</v>
      </c>
      <c r="JG65" s="247">
        <v>258.12316758245362</v>
      </c>
      <c r="JH65" s="247">
        <v>257.1966275508438</v>
      </c>
      <c r="JI65" s="247">
        <v>256.27075246008224</v>
      </c>
      <c r="JJ65" s="247">
        <v>255.34554976798822</v>
      </c>
      <c r="JK65" s="247">
        <v>254.42102669678147</v>
      </c>
      <c r="JL65" s="247">
        <v>253.49719062302984</v>
      </c>
      <c r="JM65" s="247">
        <v>252.57404868641211</v>
      </c>
      <c r="JN65" s="247">
        <v>251.65160817057748</v>
      </c>
      <c r="JO65" s="247">
        <v>250.729876228747</v>
      </c>
      <c r="JP65" s="247">
        <v>249.80886005260675</v>
      </c>
      <c r="JQ65" s="247">
        <v>248.88856670159512</v>
      </c>
      <c r="JR65" s="247">
        <v>247.96900327848618</v>
      </c>
      <c r="JS65" s="247">
        <v>247.05017684433301</v>
      </c>
      <c r="JT65" s="247">
        <v>246.12333814054898</v>
      </c>
      <c r="JU65" s="247">
        <v>245.19716861323553</v>
      </c>
      <c r="JV65" s="247">
        <v>244.27165826634658</v>
      </c>
      <c r="JW65" s="247">
        <v>243.34679740141092</v>
      </c>
      <c r="JX65" s="247">
        <v>242.42257619277379</v>
      </c>
      <c r="JY65" s="247">
        <v>241.4989849379518</v>
      </c>
      <c r="JZ65" s="247">
        <v>240.57601397209413</v>
      </c>
      <c r="KA65" s="247">
        <v>239.65365368001616</v>
      </c>
      <c r="KB65" s="247">
        <v>238.73189456090785</v>
      </c>
      <c r="KC65" s="247">
        <v>237.81072707779271</v>
      </c>
      <c r="KD65" s="247">
        <v>236.89014173111775</v>
      </c>
      <c r="KE65" s="247">
        <v>235.97012915213458</v>
      </c>
      <c r="KF65" s="247">
        <v>235.0516465260134</v>
      </c>
      <c r="KG65" s="247">
        <v>234.13374983342865</v>
      </c>
      <c r="KH65" s="247">
        <v>233.2164710995369</v>
      </c>
      <c r="KI65" s="247">
        <v>232.29984199492986</v>
      </c>
      <c r="KJ65" s="247">
        <v>231.38389424535254</v>
      </c>
      <c r="KK65" s="247">
        <v>230.4686592139343</v>
      </c>
      <c r="KL65" s="247">
        <v>229.55416822501041</v>
      </c>
      <c r="KM65" s="247">
        <v>228.64045249073649</v>
      </c>
      <c r="KN65" s="247">
        <v>227.7275430083437</v>
      </c>
      <c r="KO65" s="247">
        <v>226.81547073464219</v>
      </c>
      <c r="KP65" s="247">
        <v>225.90426641145572</v>
      </c>
      <c r="KQ65" s="247">
        <v>224.9939606542361</v>
      </c>
      <c r="KR65" s="247">
        <v>224.07540592792364</v>
      </c>
      <c r="KS65" s="247">
        <v>223.15767627900445</v>
      </c>
      <c r="KT65" s="247">
        <v>222.24074629137129</v>
      </c>
      <c r="KU65" s="247">
        <v>221.32459060857295</v>
      </c>
      <c r="KV65" s="247">
        <v>220.40918394238537</v>
      </c>
      <c r="KW65" s="247">
        <v>219.49450128007541</v>
      </c>
      <c r="KX65" s="247">
        <v>218.58051759998162</v>
      </c>
      <c r="KY65" s="247">
        <v>217.66720802846763</v>
      </c>
      <c r="KZ65" s="247">
        <v>216.75454782032295</v>
      </c>
      <c r="LA65" s="247">
        <v>215.84251244910874</v>
      </c>
      <c r="LB65" s="247">
        <v>214.93107738264158</v>
      </c>
      <c r="LC65" s="247">
        <v>214.02021823877482</v>
      </c>
      <c r="LD65" s="247">
        <v>213.11092280373012</v>
      </c>
      <c r="LE65" s="247">
        <v>212.20218288697271</v>
      </c>
      <c r="LF65" s="247">
        <v>211.29401184425947</v>
      </c>
      <c r="LG65" s="247">
        <v>210.38642297694162</v>
      </c>
      <c r="LH65" s="247">
        <v>209.47942953611104</v>
      </c>
      <c r="LI65" s="247">
        <v>208.5730446444266</v>
      </c>
      <c r="LJ65" s="247">
        <v>207.66728149816177</v>
      </c>
      <c r="LK65" s="247">
        <v>206.76215310486896</v>
      </c>
      <c r="LL65" s="247">
        <v>205.85767253234312</v>
      </c>
      <c r="LM65" s="247">
        <v>204.95385265515119</v>
      </c>
      <c r="LN65" s="247">
        <v>204.05070647265993</v>
      </c>
      <c r="LO65" s="247">
        <v>203.1482468513274</v>
      </c>
      <c r="LP65" s="247">
        <v>202.24752278290214</v>
      </c>
      <c r="LQ65" s="247">
        <v>201.34749232566594</v>
      </c>
      <c r="LR65" s="247">
        <v>200.44815908656108</v>
      </c>
      <c r="LS65" s="247">
        <v>199.54952676661881</v>
      </c>
      <c r="LT65" s="247">
        <v>198.65159903356249</v>
      </c>
      <c r="LU65" s="247">
        <v>197.7543794470177</v>
      </c>
      <c r="LV65" s="247">
        <v>196.85787171843168</v>
      </c>
      <c r="LW65" s="247">
        <v>195.96207945876361</v>
      </c>
      <c r="LX65" s="247">
        <v>195.06700628896698</v>
      </c>
      <c r="LY65" s="247">
        <v>194.17265585344731</v>
      </c>
      <c r="LZ65" s="247">
        <v>193.27903174262312</v>
      </c>
      <c r="MA65" s="247">
        <v>192.38613769122176</v>
      </c>
      <c r="MB65" s="247">
        <v>191.49504876706052</v>
      </c>
      <c r="MC65" s="247">
        <v>190.60468797062381</v>
      </c>
      <c r="MD65" s="247">
        <v>189.71505920435743</v>
      </c>
      <c r="ME65" s="247">
        <v>188.82616623894509</v>
      </c>
      <c r="MF65" s="247">
        <v>187.93801290256158</v>
      </c>
      <c r="MG65" s="247">
        <v>187.05060306769013</v>
      </c>
      <c r="MH65" s="247">
        <v>186.16394059239704</v>
      </c>
      <c r="MI65" s="247">
        <v>185.27802926287501</v>
      </c>
      <c r="MJ65" s="247">
        <v>184.39287301850098</v>
      </c>
      <c r="MK65" s="247">
        <v>183.50847566129863</v>
      </c>
      <c r="ML65" s="247">
        <v>182.62484108266005</v>
      </c>
      <c r="MM65" s="247">
        <v>181.74197315291329</v>
      </c>
      <c r="MN65" s="247">
        <v>180.86098268366413</v>
      </c>
      <c r="MO65" s="247">
        <v>179.98075559316223</v>
      </c>
      <c r="MP65" s="247">
        <v>179.101293818166</v>
      </c>
      <c r="MQ65" s="247">
        <v>178.22259933263643</v>
      </c>
      <c r="MR65" s="247">
        <v>177.34467420978189</v>
      </c>
      <c r="MS65" s="247">
        <v>176.46752043399755</v>
      </c>
      <c r="MT65" s="247">
        <v>175.59114013486376</v>
      </c>
      <c r="MU65" s="247">
        <v>174.71553529977106</v>
      </c>
      <c r="MV65" s="247">
        <v>173.84070804673465</v>
      </c>
      <c r="MW65" s="247">
        <v>172.96666051687558</v>
      </c>
      <c r="MX65" s="247">
        <v>172.09339486174161</v>
      </c>
      <c r="MY65" s="247">
        <v>171.22091319535247</v>
      </c>
    </row>
    <row r="66" spans="1:363" ht="15.6" x14ac:dyDescent="0.3">
      <c r="A66" s="67" t="s">
        <v>6</v>
      </c>
      <c r="B66" s="72">
        <v>2076</v>
      </c>
      <c r="C66" s="247">
        <v>525.4740970573464</v>
      </c>
      <c r="D66" s="247">
        <v>524.44070686465056</v>
      </c>
      <c r="E66" s="247">
        <v>523.40737674120965</v>
      </c>
      <c r="F66" s="247">
        <v>522.37410534122694</v>
      </c>
      <c r="G66" s="247">
        <v>521.34089132035945</v>
      </c>
      <c r="H66" s="247">
        <v>520.3077333537567</v>
      </c>
      <c r="I66" s="247">
        <v>519.27463011649752</v>
      </c>
      <c r="J66" s="247">
        <v>518.24158035768733</v>
      </c>
      <c r="K66" s="247">
        <v>517.20858279609354</v>
      </c>
      <c r="L66" s="247">
        <v>516.17563618127542</v>
      </c>
      <c r="M66" s="247">
        <v>515.14273927109252</v>
      </c>
      <c r="N66" s="247">
        <v>514.10989091580007</v>
      </c>
      <c r="O66" s="247">
        <v>513.07708988030367</v>
      </c>
      <c r="P66" s="247">
        <v>512.04292923733306</v>
      </c>
      <c r="Q66" s="247">
        <v>511.00880032924425</v>
      </c>
      <c r="R66" s="247">
        <v>509.97470529208937</v>
      </c>
      <c r="S66" s="247">
        <v>508.94064631516949</v>
      </c>
      <c r="T66" s="247">
        <v>507.90662555080706</v>
      </c>
      <c r="U66" s="247">
        <v>506.87264513204269</v>
      </c>
      <c r="V66" s="247">
        <v>505.83870720500454</v>
      </c>
      <c r="W66" s="247">
        <v>504.80481390483106</v>
      </c>
      <c r="X66" s="247">
        <v>503.77096740994938</v>
      </c>
      <c r="Y66" s="247">
        <v>502.73716985264872</v>
      </c>
      <c r="Z66" s="247">
        <v>501.70342341289364</v>
      </c>
      <c r="AA66" s="247">
        <v>500.66973020894886</v>
      </c>
      <c r="AB66" s="247">
        <v>499.63475652981856</v>
      </c>
      <c r="AC66" s="247">
        <v>498.59982108286147</v>
      </c>
      <c r="AD66" s="247">
        <v>497.5649240389784</v>
      </c>
      <c r="AE66" s="247">
        <v>496.53006553377872</v>
      </c>
      <c r="AF66" s="247">
        <v>495.49524569704869</v>
      </c>
      <c r="AG66" s="247">
        <v>494.46046473270832</v>
      </c>
      <c r="AH66" s="247">
        <v>493.4257228043864</v>
      </c>
      <c r="AI66" s="247">
        <v>492.39102009423067</v>
      </c>
      <c r="AJ66" s="247">
        <v>491.35635677201793</v>
      </c>
      <c r="AK66" s="247">
        <v>490.32173310453715</v>
      </c>
      <c r="AL66" s="247">
        <v>489.28714928740999</v>
      </c>
      <c r="AM66" s="247">
        <v>488.25260558287448</v>
      </c>
      <c r="AN66" s="247">
        <v>487.21683646952835</v>
      </c>
      <c r="AO66" s="247">
        <v>486.18109461643712</v>
      </c>
      <c r="AP66" s="247">
        <v>485.14538313684307</v>
      </c>
      <c r="AQ66" s="247">
        <v>484.10970510820079</v>
      </c>
      <c r="AR66" s="247">
        <v>483.0740636564712</v>
      </c>
      <c r="AS66" s="247">
        <v>482.03846185635831</v>
      </c>
      <c r="AT66" s="247">
        <v>481.00290277035094</v>
      </c>
      <c r="AU66" s="247">
        <v>479.96738948907205</v>
      </c>
      <c r="AV66" s="247">
        <v>478.9319250727134</v>
      </c>
      <c r="AW66" s="247">
        <v>477.89651259564022</v>
      </c>
      <c r="AX66" s="247">
        <v>476.86115509127052</v>
      </c>
      <c r="AY66" s="247">
        <v>475.82585566500575</v>
      </c>
      <c r="AZ66" s="247">
        <v>474.78940936339376</v>
      </c>
      <c r="BA66" s="247">
        <v>473.75300053260054</v>
      </c>
      <c r="BB66" s="247">
        <v>472.71662336699677</v>
      </c>
      <c r="BC66" s="247">
        <v>471.68027205974278</v>
      </c>
      <c r="BD66" s="247">
        <v>470.64394090619879</v>
      </c>
      <c r="BE66" s="247">
        <v>469.60762419948981</v>
      </c>
      <c r="BF66" s="247">
        <v>468.57131629193236</v>
      </c>
      <c r="BG66" s="247">
        <v>467.53501162014021</v>
      </c>
      <c r="BH66" s="247">
        <v>466.49870459820221</v>
      </c>
      <c r="BI66" s="247">
        <v>465.46238976351503</v>
      </c>
      <c r="BJ66" s="247">
        <v>464.42606164752061</v>
      </c>
      <c r="BK66" s="247">
        <v>463.38971484235032</v>
      </c>
      <c r="BL66" s="247">
        <v>462.35223120654342</v>
      </c>
      <c r="BM66" s="247">
        <v>461.31473531180734</v>
      </c>
      <c r="BN66" s="247">
        <v>460.27725037671854</v>
      </c>
      <c r="BO66" s="247">
        <v>459.2397994152044</v>
      </c>
      <c r="BP66" s="247">
        <v>458.20240536678648</v>
      </c>
      <c r="BQ66" s="247">
        <v>457.16509101221669</v>
      </c>
      <c r="BR66" s="247">
        <v>456.12787899412456</v>
      </c>
      <c r="BS66" s="247">
        <v>455.09079186464521</v>
      </c>
      <c r="BT66" s="247">
        <v>454.05385202054538</v>
      </c>
      <c r="BU66" s="247">
        <v>453.01708172208021</v>
      </c>
      <c r="BV66" s="247">
        <v>451.98050313588567</v>
      </c>
      <c r="BW66" s="247">
        <v>450.94413829262726</v>
      </c>
      <c r="BX66" s="247">
        <v>449.90687320660822</v>
      </c>
      <c r="BY66" s="247">
        <v>448.86979724020324</v>
      </c>
      <c r="BZ66" s="247">
        <v>447.83289467668067</v>
      </c>
      <c r="CA66" s="247">
        <v>446.79614990437705</v>
      </c>
      <c r="CB66" s="247">
        <v>445.75954740891137</v>
      </c>
      <c r="CC66" s="247">
        <v>444.72307181246077</v>
      </c>
      <c r="CD66" s="247">
        <v>443.6867078077027</v>
      </c>
      <c r="CE66" s="247">
        <v>442.65044020319266</v>
      </c>
      <c r="CF66" s="247">
        <v>441.61425392545169</v>
      </c>
      <c r="CG66" s="247">
        <v>440.57813399586138</v>
      </c>
      <c r="CH66" s="247">
        <v>439.54206554809565</v>
      </c>
      <c r="CI66" s="247">
        <v>438.50603382218577</v>
      </c>
      <c r="CJ66" s="247">
        <v>437.46889509537073</v>
      </c>
      <c r="CK66" s="247">
        <v>436.43177031063055</v>
      </c>
      <c r="CL66" s="247">
        <v>435.39466618081769</v>
      </c>
      <c r="CM66" s="247">
        <v>434.35758934257484</v>
      </c>
      <c r="CN66" s="247">
        <v>433.32054642596444</v>
      </c>
      <c r="CO66" s="247">
        <v>432.28354402341961</v>
      </c>
      <c r="CP66" s="247">
        <v>431.24658871428915</v>
      </c>
      <c r="CQ66" s="247">
        <v>430.20968701257607</v>
      </c>
      <c r="CR66" s="247">
        <v>429.1728454335813</v>
      </c>
      <c r="CS66" s="247">
        <v>428.13607044569733</v>
      </c>
      <c r="CT66" s="247">
        <v>427.09936850393751</v>
      </c>
      <c r="CU66" s="247">
        <v>426.06274601741836</v>
      </c>
      <c r="CV66" s="247">
        <v>425.02672942714298</v>
      </c>
      <c r="CW66" s="247">
        <v>423.99078688254724</v>
      </c>
      <c r="CX66" s="247">
        <v>422.9549171123852</v>
      </c>
      <c r="CY66" s="247">
        <v>421.91911884352356</v>
      </c>
      <c r="CZ66" s="247">
        <v>420.88339084200123</v>
      </c>
      <c r="DA66" s="247">
        <v>419.8477319008669</v>
      </c>
      <c r="DB66" s="247">
        <v>418.81214079050403</v>
      </c>
      <c r="DC66" s="247">
        <v>417.77661634563884</v>
      </c>
      <c r="DD66" s="247">
        <v>416.74115738364628</v>
      </c>
      <c r="DE66" s="247">
        <v>415.70576274917232</v>
      </c>
      <c r="DF66" s="247">
        <v>414.67043132875364</v>
      </c>
      <c r="DG66" s="247">
        <v>413.6351620187657</v>
      </c>
      <c r="DH66" s="247">
        <v>412.60049708694294</v>
      </c>
      <c r="DI66" s="247">
        <v>411.56589161305129</v>
      </c>
      <c r="DJ66" s="247">
        <v>410.53135450455886</v>
      </c>
      <c r="DK66" s="247">
        <v>409.49689458983096</v>
      </c>
      <c r="DL66" s="247">
        <v>408.46252068581498</v>
      </c>
      <c r="DM66" s="247">
        <v>407.42824153199098</v>
      </c>
      <c r="DN66" s="247">
        <v>406.39406582175604</v>
      </c>
      <c r="DO66" s="247">
        <v>405.36000222597147</v>
      </c>
      <c r="DP66" s="247">
        <v>404.326059347414</v>
      </c>
      <c r="DQ66" s="247">
        <v>403.29224573836791</v>
      </c>
      <c r="DR66" s="247">
        <v>402.25856991493754</v>
      </c>
      <c r="DS66" s="247">
        <v>401.22504034319581</v>
      </c>
      <c r="DT66" s="247">
        <v>400.19421136595969</v>
      </c>
      <c r="DU66" s="247">
        <v>399.16355420094118</v>
      </c>
      <c r="DV66" s="247">
        <v>398.13308126030932</v>
      </c>
      <c r="DW66" s="247">
        <v>397.10280488877913</v>
      </c>
      <c r="DX66" s="247">
        <v>396.07273735040218</v>
      </c>
      <c r="DY66" s="247">
        <v>395.04289083385311</v>
      </c>
      <c r="DZ66" s="247">
        <v>394.01327742956886</v>
      </c>
      <c r="EA66" s="247">
        <v>392.98390920100729</v>
      </c>
      <c r="EB66" s="247">
        <v>391.95479809963422</v>
      </c>
      <c r="EC66" s="247">
        <v>390.92595601061345</v>
      </c>
      <c r="ED66" s="247">
        <v>389.89739475944788</v>
      </c>
      <c r="EE66" s="247">
        <v>388.86912611482006</v>
      </c>
      <c r="EF66" s="247">
        <v>387.84415884434071</v>
      </c>
      <c r="EG66" s="247">
        <v>386.81949823985781</v>
      </c>
      <c r="EH66" s="247">
        <v>385.79513027463986</v>
      </c>
      <c r="EI66" s="247">
        <v>384.77104103965848</v>
      </c>
      <c r="EJ66" s="247">
        <v>383.74721670952681</v>
      </c>
      <c r="EK66" s="247">
        <v>382.72364354868029</v>
      </c>
      <c r="EL66" s="247">
        <v>381.70030792656098</v>
      </c>
      <c r="EM66" s="247">
        <v>380.67719630469492</v>
      </c>
      <c r="EN66" s="247">
        <v>379.6542952551053</v>
      </c>
      <c r="EO66" s="247">
        <v>378.63159142986109</v>
      </c>
      <c r="EP66" s="247">
        <v>377.60907159837404</v>
      </c>
      <c r="EQ66" s="247">
        <v>376.58672261118818</v>
      </c>
      <c r="ER66" s="247">
        <v>375.56801574103946</v>
      </c>
      <c r="ES66" s="247">
        <v>374.54948097895942</v>
      </c>
      <c r="ET66" s="247">
        <v>373.53112789021822</v>
      </c>
      <c r="EU66" s="247">
        <v>372.51296599186253</v>
      </c>
      <c r="EV66" s="247">
        <v>371.49500472637044</v>
      </c>
      <c r="EW66" s="247">
        <v>370.47725348885598</v>
      </c>
      <c r="EX66" s="247">
        <v>369.45972162247415</v>
      </c>
      <c r="EY66" s="247">
        <v>368.44241839350093</v>
      </c>
      <c r="EZ66" s="247">
        <v>367.42535302209586</v>
      </c>
      <c r="FA66" s="247">
        <v>366.40853466898324</v>
      </c>
      <c r="FB66" s="247">
        <v>365.39197245512997</v>
      </c>
      <c r="FC66" s="247">
        <v>364.37567543243097</v>
      </c>
      <c r="FD66" s="247">
        <v>363.36363525515014</v>
      </c>
      <c r="FE66" s="247">
        <v>362.35188538110532</v>
      </c>
      <c r="FF66" s="247">
        <v>361.3404279195928</v>
      </c>
      <c r="FG66" s="247">
        <v>360.3292650522157</v>
      </c>
      <c r="FH66" s="247">
        <v>359.3183988536037</v>
      </c>
      <c r="FI66" s="247">
        <v>358.30783148204142</v>
      </c>
      <c r="FJ66" s="247">
        <v>357.29756501370815</v>
      </c>
      <c r="FK66" s="247">
        <v>356.28760156541887</v>
      </c>
      <c r="FL66" s="247">
        <v>355.27794317893523</v>
      </c>
      <c r="FM66" s="247">
        <v>354.26859196553437</v>
      </c>
      <c r="FN66" s="247">
        <v>353.25954995774464</v>
      </c>
      <c r="FO66" s="247">
        <v>352.25081922595899</v>
      </c>
      <c r="FP66" s="247">
        <v>351.24309740856336</v>
      </c>
      <c r="FQ66" s="247">
        <v>350.23568636198002</v>
      </c>
      <c r="FR66" s="247">
        <v>349.22859345866038</v>
      </c>
      <c r="FS66" s="247">
        <v>348.22182607201432</v>
      </c>
      <c r="FT66" s="247">
        <v>347.21539149392282</v>
      </c>
      <c r="FU66" s="247">
        <v>346.20929699717811</v>
      </c>
      <c r="FV66" s="247">
        <v>345.20354978646623</v>
      </c>
      <c r="FW66" s="247">
        <v>344.19815703653978</v>
      </c>
      <c r="FX66" s="247">
        <v>343.19312585008731</v>
      </c>
      <c r="FY66" s="247">
        <v>342.18846331781936</v>
      </c>
      <c r="FZ66" s="247">
        <v>341.18417645459664</v>
      </c>
      <c r="GA66" s="247">
        <v>340.18027227299143</v>
      </c>
      <c r="GB66" s="247">
        <v>339.17747303947408</v>
      </c>
      <c r="GC66" s="247">
        <v>338.17505823226566</v>
      </c>
      <c r="GD66" s="247">
        <v>337.17303259980196</v>
      </c>
      <c r="GE66" s="247">
        <v>336.17140089599457</v>
      </c>
      <c r="GF66" s="247">
        <v>335.17016782936088</v>
      </c>
      <c r="GG66" s="247">
        <v>334.16933806428136</v>
      </c>
      <c r="GH66" s="247">
        <v>333.16891625263997</v>
      </c>
      <c r="GI66" s="247">
        <v>332.16890701184593</v>
      </c>
      <c r="GJ66" s="247">
        <v>331.169314932551</v>
      </c>
      <c r="GK66" s="247">
        <v>330.17014454894564</v>
      </c>
      <c r="GL66" s="247">
        <v>329.17140042400172</v>
      </c>
      <c r="GM66" s="247">
        <v>328.17308705417315</v>
      </c>
      <c r="GN66" s="247">
        <v>327.18062345426961</v>
      </c>
      <c r="GO66" s="247">
        <v>326.18862660869127</v>
      </c>
      <c r="GP66" s="247">
        <v>325.19710182104978</v>
      </c>
      <c r="GQ66" s="247">
        <v>324.20605435950461</v>
      </c>
      <c r="GR66" s="247">
        <v>323.21548945542173</v>
      </c>
      <c r="GS66" s="247">
        <v>322.22541230453459</v>
      </c>
      <c r="GT66" s="247">
        <v>321.23582807968512</v>
      </c>
      <c r="GU66" s="247">
        <v>320.24674190685585</v>
      </c>
      <c r="GV66" s="247">
        <v>319.2581588640532</v>
      </c>
      <c r="GW66" s="247">
        <v>318.27008403118549</v>
      </c>
      <c r="GX66" s="247">
        <v>317.28252242648773</v>
      </c>
      <c r="GY66" s="247">
        <v>316.29547906934806</v>
      </c>
      <c r="GZ66" s="247">
        <v>315.3097295056748</v>
      </c>
      <c r="HA66" s="247">
        <v>314.32450463685223</v>
      </c>
      <c r="HB66" s="247">
        <v>313.33981575910025</v>
      </c>
      <c r="HC66" s="247">
        <v>312.35567408903893</v>
      </c>
      <c r="HD66" s="247">
        <v>311.37209074206811</v>
      </c>
      <c r="HE66" s="247">
        <v>310.38907681386843</v>
      </c>
      <c r="HF66" s="247">
        <v>309.40664326189489</v>
      </c>
      <c r="HG66" s="247">
        <v>308.4248010226101</v>
      </c>
      <c r="HH66" s="247">
        <v>307.44356092935891</v>
      </c>
      <c r="HI66" s="247">
        <v>306.46293378151711</v>
      </c>
      <c r="HJ66" s="247">
        <v>305.48293027189573</v>
      </c>
      <c r="HK66" s="247">
        <v>304.50356107788105</v>
      </c>
      <c r="HL66" s="247">
        <v>303.53173168442618</v>
      </c>
      <c r="HM66" s="247">
        <v>302.56057893933161</v>
      </c>
      <c r="HN66" s="247">
        <v>301.5900920875676</v>
      </c>
      <c r="HO66" s="247">
        <v>300.62026038887359</v>
      </c>
      <c r="HP66" s="247">
        <v>299.65107324182765</v>
      </c>
      <c r="HQ66" s="247">
        <v>298.68252006090802</v>
      </c>
      <c r="HR66" s="247">
        <v>297.714590360719</v>
      </c>
      <c r="HS66" s="247">
        <v>296.74727368163065</v>
      </c>
      <c r="HT66" s="247">
        <v>295.78055966011954</v>
      </c>
      <c r="HU66" s="247">
        <v>294.81443800789276</v>
      </c>
      <c r="HV66" s="247">
        <v>293.84889847765481</v>
      </c>
      <c r="HW66" s="247">
        <v>292.8839308873429</v>
      </c>
      <c r="HX66" s="247">
        <v>291.92034966564006</v>
      </c>
      <c r="HY66" s="247">
        <v>290.95732995393729</v>
      </c>
      <c r="HZ66" s="247">
        <v>289.99488109730083</v>
      </c>
      <c r="IA66" s="247">
        <v>289.0330123438963</v>
      </c>
      <c r="IB66" s="247">
        <v>288.07173290514191</v>
      </c>
      <c r="IC66" s="247">
        <v>287.11105193605232</v>
      </c>
      <c r="ID66" s="247">
        <v>286.15097851617645</v>
      </c>
      <c r="IE66" s="247">
        <v>285.1915216872174</v>
      </c>
      <c r="IF66" s="247">
        <v>284.23269043045548</v>
      </c>
      <c r="IG66" s="247">
        <v>283.27449368643295</v>
      </c>
      <c r="IH66" s="247">
        <v>282.31694031068986</v>
      </c>
      <c r="II66" s="247">
        <v>281.36003914632511</v>
      </c>
      <c r="IJ66" s="247">
        <v>280.40464296883272</v>
      </c>
      <c r="IK66" s="247">
        <v>279.44990956174746</v>
      </c>
      <c r="IL66" s="247">
        <v>278.49585032048486</v>
      </c>
      <c r="IM66" s="247">
        <v>277.54247647966361</v>
      </c>
      <c r="IN66" s="247">
        <v>276.58979940322968</v>
      </c>
      <c r="IO66" s="247">
        <v>275.6378301982154</v>
      </c>
      <c r="IP66" s="247">
        <v>274.6865799944697</v>
      </c>
      <c r="IQ66" s="247">
        <v>273.73605986602382</v>
      </c>
      <c r="IR66" s="247">
        <v>272.78628080810586</v>
      </c>
      <c r="IS66" s="247">
        <v>271.8372537568942</v>
      </c>
      <c r="IT66" s="247">
        <v>270.88898966837536</v>
      </c>
      <c r="IU66" s="247">
        <v>269.94149934334604</v>
      </c>
      <c r="IV66" s="247">
        <v>269.00411264955846</v>
      </c>
      <c r="IW66" s="247">
        <v>268.06754910050972</v>
      </c>
      <c r="IX66" s="247">
        <v>267.13179350395586</v>
      </c>
      <c r="IY66" s="247">
        <v>266.19683086181533</v>
      </c>
      <c r="IZ66" s="247">
        <v>265.26264617410391</v>
      </c>
      <c r="JA66" s="247">
        <v>264.32922453498662</v>
      </c>
      <c r="JB66" s="247">
        <v>263.39655122640931</v>
      </c>
      <c r="JC66" s="247">
        <v>262.46461153701341</v>
      </c>
      <c r="JD66" s="247">
        <v>261.53339083902387</v>
      </c>
      <c r="JE66" s="247">
        <v>260.6028746087627</v>
      </c>
      <c r="JF66" s="247">
        <v>259.67304841297511</v>
      </c>
      <c r="JG66" s="247">
        <v>258.74389782385271</v>
      </c>
      <c r="JH66" s="247">
        <v>257.81630472217375</v>
      </c>
      <c r="JI66" s="247">
        <v>256.88937078714355</v>
      </c>
      <c r="JJ66" s="247">
        <v>255.96310341237938</v>
      </c>
      <c r="JK66" s="247">
        <v>255.03750975864102</v>
      </c>
      <c r="JL66" s="247">
        <v>254.11259713969844</v>
      </c>
      <c r="JM66" s="247">
        <v>253.1883726351472</v>
      </c>
      <c r="JN66" s="247">
        <v>252.26484346733031</v>
      </c>
      <c r="JO66" s="247">
        <v>251.34201672981033</v>
      </c>
      <c r="JP66" s="247">
        <v>250.41989955444015</v>
      </c>
      <c r="JQ66" s="247">
        <v>249.49849894256127</v>
      </c>
      <c r="JR66" s="247">
        <v>248.57782193864014</v>
      </c>
      <c r="JS66" s="247">
        <v>247.65787554621161</v>
      </c>
      <c r="JT66" s="247">
        <v>246.72986978523437</v>
      </c>
      <c r="JU66" s="247">
        <v>245.80252678265038</v>
      </c>
      <c r="JV66" s="247">
        <v>244.87583667432261</v>
      </c>
      <c r="JW66" s="247">
        <v>243.94978989033629</v>
      </c>
      <c r="JX66" s="247">
        <v>243.02437673523386</v>
      </c>
      <c r="JY66" s="247">
        <v>242.09958763536096</v>
      </c>
      <c r="JZ66" s="247">
        <v>241.17541305443447</v>
      </c>
      <c r="KA66" s="247">
        <v>240.25184350540891</v>
      </c>
      <c r="KB66" s="247">
        <v>239.3288696143907</v>
      </c>
      <c r="KC66" s="247">
        <v>238.4064819719666</v>
      </c>
      <c r="KD66" s="247">
        <v>237.48467120584095</v>
      </c>
      <c r="KE66" s="247">
        <v>236.56342807325939</v>
      </c>
      <c r="KF66" s="247">
        <v>235.6436892048101</v>
      </c>
      <c r="KG66" s="247">
        <v>234.72453090030507</v>
      </c>
      <c r="KH66" s="247">
        <v>233.8059848320469</v>
      </c>
      <c r="KI66" s="247">
        <v>232.88808232224528</v>
      </c>
      <c r="KJ66" s="247">
        <v>231.97085474809518</v>
      </c>
      <c r="KK66" s="247">
        <v>231.05433312868615</v>
      </c>
      <c r="KL66" s="247">
        <v>230.13854844520264</v>
      </c>
      <c r="KM66" s="247">
        <v>229.22353156834257</v>
      </c>
      <c r="KN66" s="247">
        <v>228.3093131566894</v>
      </c>
      <c r="KO66" s="247">
        <v>227.39592382932977</v>
      </c>
      <c r="KP66" s="247">
        <v>226.48339399317373</v>
      </c>
      <c r="KQ66" s="247">
        <v>225.57175393065711</v>
      </c>
      <c r="KR66" s="247">
        <v>224.65182089387284</v>
      </c>
      <c r="KS66" s="247">
        <v>223.73270407044873</v>
      </c>
      <c r="KT66" s="247">
        <v>222.81437837901279</v>
      </c>
      <c r="KU66" s="247">
        <v>221.89681879707791</v>
      </c>
      <c r="KV66" s="247">
        <v>220.98000036960548</v>
      </c>
      <c r="KW66" s="247">
        <v>220.06389841356861</v>
      </c>
      <c r="KX66" s="247">
        <v>219.14848823720484</v>
      </c>
      <c r="KY66" s="247">
        <v>218.23374529500185</v>
      </c>
      <c r="KZ66" s="247">
        <v>217.31964516828623</v>
      </c>
      <c r="LA66" s="247">
        <v>216.4061636545994</v>
      </c>
      <c r="LB66" s="247">
        <v>215.49327654586628</v>
      </c>
      <c r="LC66" s="247">
        <v>214.58095978237529</v>
      </c>
      <c r="LD66" s="247">
        <v>213.67017810536271</v>
      </c>
      <c r="LE66" s="247">
        <v>212.75994651413697</v>
      </c>
      <c r="LF66" s="247">
        <v>211.85027821581627</v>
      </c>
      <c r="LG66" s="247">
        <v>210.94118636401552</v>
      </c>
      <c r="LH66" s="247">
        <v>210.03268406302055</v>
      </c>
      <c r="LI66" s="247">
        <v>209.12478429045098</v>
      </c>
      <c r="LJ66" s="247">
        <v>208.21750009692508</v>
      </c>
      <c r="LK66" s="247">
        <v>207.31084434694154</v>
      </c>
      <c r="LL66" s="247">
        <v>206.40482996469052</v>
      </c>
      <c r="LM66" s="247">
        <v>205.49946968386374</v>
      </c>
      <c r="LN66" s="247">
        <v>204.59477636162188</v>
      </c>
      <c r="LO66" s="247">
        <v>203.69076272419781</v>
      </c>
      <c r="LP66" s="247">
        <v>202.78845383123294</v>
      </c>
      <c r="LQ66" s="247">
        <v>201.88683147301577</v>
      </c>
      <c r="LR66" s="247">
        <v>200.98589922879415</v>
      </c>
      <c r="LS66" s="247">
        <v>200.08566077088091</v>
      </c>
      <c r="LT66" s="247">
        <v>199.18611973891757</v>
      </c>
      <c r="LU66" s="247">
        <v>198.28727966588184</v>
      </c>
      <c r="LV66" s="247">
        <v>197.38914423491147</v>
      </c>
      <c r="LW66" s="247">
        <v>196.49171703008656</v>
      </c>
      <c r="LX66" s="247">
        <v>195.59500164548126</v>
      </c>
      <c r="LY66" s="247">
        <v>194.69900169859616</v>
      </c>
      <c r="LZ66" s="247">
        <v>193.80372075375976</v>
      </c>
      <c r="MA66" s="247">
        <v>192.90916251810077</v>
      </c>
      <c r="MB66" s="247">
        <v>192.01637764275239</v>
      </c>
      <c r="MC66" s="247">
        <v>191.12431344986459</v>
      </c>
      <c r="MD66" s="247">
        <v>190.23297380988572</v>
      </c>
      <c r="ME66" s="247">
        <v>189.34236246323354</v>
      </c>
      <c r="MF66" s="247">
        <v>188.45248320730019</v>
      </c>
      <c r="MG66" s="247">
        <v>187.56333988330474</v>
      </c>
      <c r="MH66" s="247">
        <v>186.67493631840853</v>
      </c>
      <c r="MI66" s="247">
        <v>185.78727626893667</v>
      </c>
      <c r="MJ66" s="247">
        <v>184.90036364259987</v>
      </c>
      <c r="MK66" s="247">
        <v>184.01420221167393</v>
      </c>
      <c r="ML66" s="247">
        <v>183.12879583681368</v>
      </c>
      <c r="MM66" s="247">
        <v>182.24414835809995</v>
      </c>
      <c r="MN66" s="247">
        <v>181.36134552635522</v>
      </c>
      <c r="MO66" s="247">
        <v>180.47929823390797</v>
      </c>
      <c r="MP66" s="247">
        <v>179.59800840846711</v>
      </c>
      <c r="MQ66" s="247">
        <v>178.71747801455263</v>
      </c>
      <c r="MR66" s="247">
        <v>177.83770911486613</v>
      </c>
      <c r="MS66" s="247">
        <v>176.95870368440904</v>
      </c>
      <c r="MT66" s="247">
        <v>176.08046384172565</v>
      </c>
      <c r="MU66" s="247">
        <v>175.20299156502907</v>
      </c>
      <c r="MV66" s="247">
        <v>174.32628896159724</v>
      </c>
      <c r="MW66" s="247">
        <v>173.45035816172043</v>
      </c>
      <c r="MX66" s="247">
        <v>172.57520130605639</v>
      </c>
      <c r="MY66" s="247">
        <v>171.70082049838467</v>
      </c>
    </row>
    <row r="67" spans="1:363" ht="15.6" x14ac:dyDescent="0.3">
      <c r="A67" s="67" t="s">
        <v>6</v>
      </c>
      <c r="B67" s="72">
        <v>2077</v>
      </c>
      <c r="C67" s="247">
        <v>526.15970175058249</v>
      </c>
      <c r="D67" s="247">
        <v>525.12642821559098</v>
      </c>
      <c r="E67" s="247">
        <v>524.09321490903039</v>
      </c>
      <c r="F67" s="247">
        <v>523.06006051091265</v>
      </c>
      <c r="G67" s="247">
        <v>522.02696370281308</v>
      </c>
      <c r="H67" s="247">
        <v>520.99392318578919</v>
      </c>
      <c r="I67" s="247">
        <v>519.96093766093452</v>
      </c>
      <c r="J67" s="247">
        <v>518.9280059027019</v>
      </c>
      <c r="K67" s="247">
        <v>517.8951266557624</v>
      </c>
      <c r="L67" s="247">
        <v>516.86229869534282</v>
      </c>
      <c r="M67" s="247">
        <v>515.82952080512655</v>
      </c>
      <c r="N67" s="247">
        <v>514.7967918602925</v>
      </c>
      <c r="O67" s="247">
        <v>513.76411065192474</v>
      </c>
      <c r="P67" s="247">
        <v>512.73005197276552</v>
      </c>
      <c r="Q67" s="247">
        <v>511.69602543966545</v>
      </c>
      <c r="R67" s="247">
        <v>510.66203317231242</v>
      </c>
      <c r="S67" s="247">
        <v>509.62807734312713</v>
      </c>
      <c r="T67" s="247">
        <v>508.59416008828583</v>
      </c>
      <c r="U67" s="247">
        <v>507.56028352506638</v>
      </c>
      <c r="V67" s="247">
        <v>506.52644978390532</v>
      </c>
      <c r="W67" s="247">
        <v>505.49266098463141</v>
      </c>
      <c r="X67" s="247">
        <v>504.45891928997059</v>
      </c>
      <c r="Y67" s="247">
        <v>503.42522681739825</v>
      </c>
      <c r="Z67" s="247">
        <v>502.39158573167128</v>
      </c>
      <c r="AA67" s="247">
        <v>501.35799813693859</v>
      </c>
      <c r="AB67" s="247">
        <v>500.32311332785508</v>
      </c>
      <c r="AC67" s="247">
        <v>499.28826699217734</v>
      </c>
      <c r="AD67" s="247">
        <v>498.2534593100508</v>
      </c>
      <c r="AE67" s="247">
        <v>497.21869042697199</v>
      </c>
      <c r="AF67" s="247">
        <v>496.18396048294488</v>
      </c>
      <c r="AG67" s="247">
        <v>495.14926969122519</v>
      </c>
      <c r="AH67" s="247">
        <v>494.11461822555248</v>
      </c>
      <c r="AI67" s="247">
        <v>493.08000627816966</v>
      </c>
      <c r="AJ67" s="247">
        <v>492.04543402926123</v>
      </c>
      <c r="AK67" s="247">
        <v>491.01090175500036</v>
      </c>
      <c r="AL67" s="247">
        <v>489.97640966155882</v>
      </c>
      <c r="AM67" s="247">
        <v>488.94195802112415</v>
      </c>
      <c r="AN67" s="247">
        <v>487.90626553901973</v>
      </c>
      <c r="AO67" s="247">
        <v>486.8706006298986</v>
      </c>
      <c r="AP67" s="247">
        <v>485.83496637387884</v>
      </c>
      <c r="AQ67" s="247">
        <v>484.79936581600469</v>
      </c>
      <c r="AR67" s="247">
        <v>483.76380204941103</v>
      </c>
      <c r="AS67" s="247">
        <v>482.72827811688535</v>
      </c>
      <c r="AT67" s="247">
        <v>481.69279704943608</v>
      </c>
      <c r="AU67" s="247">
        <v>480.65736190608038</v>
      </c>
      <c r="AV67" s="247">
        <v>479.62197571601695</v>
      </c>
      <c r="AW67" s="247">
        <v>478.58664152275651</v>
      </c>
      <c r="AX67" s="247">
        <v>477.55136232968897</v>
      </c>
      <c r="AY67" s="247">
        <v>476.51614121148708</v>
      </c>
      <c r="AZ67" s="247">
        <v>475.47975854924732</v>
      </c>
      <c r="BA67" s="247">
        <v>474.44341343249806</v>
      </c>
      <c r="BB67" s="247">
        <v>473.40710015925919</v>
      </c>
      <c r="BC67" s="247">
        <v>472.37081302648028</v>
      </c>
      <c r="BD67" s="247">
        <v>471.33454643191754</v>
      </c>
      <c r="BE67" s="247">
        <v>470.29829477122064</v>
      </c>
      <c r="BF67" s="247">
        <v>469.2620524984755</v>
      </c>
      <c r="BG67" s="247">
        <v>468.22581415096533</v>
      </c>
      <c r="BH67" s="247">
        <v>467.18957424387736</v>
      </c>
      <c r="BI67" s="247">
        <v>466.15332741406615</v>
      </c>
      <c r="BJ67" s="247">
        <v>465.11706829265665</v>
      </c>
      <c r="BK67" s="247">
        <v>464.08079157080454</v>
      </c>
      <c r="BL67" s="247">
        <v>463.04336540987231</v>
      </c>
      <c r="BM67" s="247">
        <v>462.00592779554279</v>
      </c>
      <c r="BN67" s="247">
        <v>460.96850157633406</v>
      </c>
      <c r="BO67" s="247">
        <v>459.93110939991982</v>
      </c>
      <c r="BP67" s="247">
        <v>458.89377384131114</v>
      </c>
      <c r="BQ67" s="247">
        <v>457.85651731977197</v>
      </c>
      <c r="BR67" s="247">
        <v>456.8193621192051</v>
      </c>
      <c r="BS67" s="247">
        <v>455.78233043503542</v>
      </c>
      <c r="BT67" s="247">
        <v>454.74544431027533</v>
      </c>
      <c r="BU67" s="247">
        <v>453.70872565426635</v>
      </c>
      <c r="BV67" s="247">
        <v>452.67219628472481</v>
      </c>
      <c r="BW67" s="247">
        <v>451.63587788624</v>
      </c>
      <c r="BX67" s="247">
        <v>450.5986437092958</v>
      </c>
      <c r="BY67" s="247">
        <v>449.56159589463141</v>
      </c>
      <c r="BZ67" s="247">
        <v>448.52471901668224</v>
      </c>
      <c r="CA67" s="247">
        <v>447.4879977531271</v>
      </c>
      <c r="CB67" s="247">
        <v>446.45141687734736</v>
      </c>
      <c r="CC67" s="247">
        <v>445.41496129688352</v>
      </c>
      <c r="CD67" s="247">
        <v>444.37861598861849</v>
      </c>
      <c r="CE67" s="247">
        <v>443.34236604342095</v>
      </c>
      <c r="CF67" s="247">
        <v>442.30619666803784</v>
      </c>
      <c r="CG67" s="247">
        <v>441.27009316261467</v>
      </c>
      <c r="CH67" s="247">
        <v>440.23404093766982</v>
      </c>
      <c r="CI67" s="247">
        <v>439.19802550842883</v>
      </c>
      <c r="CJ67" s="247">
        <v>438.16089201616387</v>
      </c>
      <c r="CK67" s="247">
        <v>437.12377270868024</v>
      </c>
      <c r="CL67" s="247">
        <v>436.08667419093422</v>
      </c>
      <c r="CM67" s="247">
        <v>435.04960299334414</v>
      </c>
      <c r="CN67" s="247">
        <v>434.01256564022771</v>
      </c>
      <c r="CO67" s="247">
        <v>432.97556861921186</v>
      </c>
      <c r="CP67" s="247">
        <v>431.9386184053829</v>
      </c>
      <c r="CQ67" s="247">
        <v>430.90172141008821</v>
      </c>
      <c r="CR67" s="247">
        <v>429.86488404615244</v>
      </c>
      <c r="CS67" s="247">
        <v>428.82811268080917</v>
      </c>
      <c r="CT67" s="247">
        <v>427.79141366844175</v>
      </c>
      <c r="CU67" s="247">
        <v>426.75479331884947</v>
      </c>
      <c r="CV67" s="247">
        <v>425.71875820433013</v>
      </c>
      <c r="CW67" s="247">
        <v>424.68279627194966</v>
      </c>
      <c r="CX67" s="247">
        <v>423.64690629032509</v>
      </c>
      <c r="CY67" s="247">
        <v>422.61108702639945</v>
      </c>
      <c r="CZ67" s="247">
        <v>421.5753372858419</v>
      </c>
      <c r="DA67" s="247">
        <v>420.53965590097965</v>
      </c>
      <c r="DB67" s="247">
        <v>419.50404168211634</v>
      </c>
      <c r="DC67" s="247">
        <v>418.46849350302062</v>
      </c>
      <c r="DD67" s="247">
        <v>417.43301022053498</v>
      </c>
      <c r="DE67" s="247">
        <v>416.39759071864927</v>
      </c>
      <c r="DF67" s="247">
        <v>415.36223392265509</v>
      </c>
      <c r="DG67" s="247">
        <v>414.32693876788153</v>
      </c>
      <c r="DH67" s="247">
        <v>413.29222749310594</v>
      </c>
      <c r="DI67" s="247">
        <v>412.2575750850782</v>
      </c>
      <c r="DJ67" s="247">
        <v>411.22299030426245</v>
      </c>
      <c r="DK67" s="247">
        <v>410.18848183377651</v>
      </c>
      <c r="DL67" s="247">
        <v>409.15405834591957</v>
      </c>
      <c r="DM67" s="247">
        <v>408.11972843721554</v>
      </c>
      <c r="DN67" s="247">
        <v>407.08550065929199</v>
      </c>
      <c r="DO67" s="247">
        <v>406.05138354207753</v>
      </c>
      <c r="DP67" s="247">
        <v>405.0173855489017</v>
      </c>
      <c r="DQ67" s="247">
        <v>403.983515094013</v>
      </c>
      <c r="DR67" s="247">
        <v>402.94978055645038</v>
      </c>
      <c r="DS67" s="247">
        <v>401.91619026663375</v>
      </c>
      <c r="DT67" s="247">
        <v>400.88526880088426</v>
      </c>
      <c r="DU67" s="247">
        <v>399.85451673206239</v>
      </c>
      <c r="DV67" s="247">
        <v>398.82394627409991</v>
      </c>
      <c r="DW67" s="247">
        <v>397.79356957497407</v>
      </c>
      <c r="DX67" s="247">
        <v>396.763398703831</v>
      </c>
      <c r="DY67" s="247">
        <v>395.73344565605021</v>
      </c>
      <c r="DZ67" s="247">
        <v>394.70372233086067</v>
      </c>
      <c r="EA67" s="247">
        <v>393.67424060142702</v>
      </c>
      <c r="EB67" s="247">
        <v>392.64501223114178</v>
      </c>
      <c r="EC67" s="247">
        <v>391.61604891875817</v>
      </c>
      <c r="ED67" s="247">
        <v>390.58736230474096</v>
      </c>
      <c r="EE67" s="247">
        <v>389.55896397424596</v>
      </c>
      <c r="EF67" s="247">
        <v>388.53383357540486</v>
      </c>
      <c r="EG67" s="247">
        <v>387.50900548269175</v>
      </c>
      <c r="EH67" s="247">
        <v>386.4844659138073</v>
      </c>
      <c r="EI67" s="247">
        <v>385.46020120225842</v>
      </c>
      <c r="EJ67" s="247">
        <v>384.43619776393632</v>
      </c>
      <c r="EK67" s="247">
        <v>383.4124421030819</v>
      </c>
      <c r="EL67" s="247">
        <v>382.38892082729905</v>
      </c>
      <c r="EM67" s="247">
        <v>381.36562063490607</v>
      </c>
      <c r="EN67" s="247">
        <v>380.34252833288986</v>
      </c>
      <c r="EO67" s="247">
        <v>379.31963080717321</v>
      </c>
      <c r="EP67" s="247">
        <v>378.29691505914388</v>
      </c>
      <c r="EQ67" s="247">
        <v>377.27436817020782</v>
      </c>
      <c r="ER67" s="247">
        <v>376.25543412278705</v>
      </c>
      <c r="ES67" s="247">
        <v>375.23667025855252</v>
      </c>
      <c r="ET67" s="247">
        <v>374.21808601208983</v>
      </c>
      <c r="EU67" s="247">
        <v>373.19969077079082</v>
      </c>
      <c r="EV67" s="247">
        <v>372.18149384899402</v>
      </c>
      <c r="EW67" s="247">
        <v>371.16350451465746</v>
      </c>
      <c r="EX67" s="247">
        <v>370.14573198491581</v>
      </c>
      <c r="EY67" s="247">
        <v>369.12818540158139</v>
      </c>
      <c r="EZ67" s="247">
        <v>368.11087386130498</v>
      </c>
      <c r="FA67" s="247">
        <v>367.09380640265221</v>
      </c>
      <c r="FB67" s="247">
        <v>366.07699202534855</v>
      </c>
      <c r="FC67" s="247">
        <v>365.06043966155488</v>
      </c>
      <c r="FD67" s="247">
        <v>364.04811597340881</v>
      </c>
      <c r="FE67" s="247">
        <v>363.03607924371425</v>
      </c>
      <c r="FF67" s="247">
        <v>362.02433156669127</v>
      </c>
      <c r="FG67" s="247">
        <v>361.01287510806378</v>
      </c>
      <c r="FH67" s="247">
        <v>360.00171192836495</v>
      </c>
      <c r="FI67" s="247">
        <v>358.99084417078086</v>
      </c>
      <c r="FJ67" s="247">
        <v>357.98027389780754</v>
      </c>
      <c r="FK67" s="247">
        <v>356.97000321228819</v>
      </c>
      <c r="FL67" s="247">
        <v>355.96003414324082</v>
      </c>
      <c r="FM67" s="247">
        <v>354.95036878857007</v>
      </c>
      <c r="FN67" s="247">
        <v>353.94100916876204</v>
      </c>
      <c r="FO67" s="247">
        <v>352.93195734198952</v>
      </c>
      <c r="FP67" s="247">
        <v>351.92389137730567</v>
      </c>
      <c r="FQ67" s="247">
        <v>350.91613259317739</v>
      </c>
      <c r="FR67" s="247">
        <v>349.90868827334407</v>
      </c>
      <c r="FS67" s="247">
        <v>348.90156570276463</v>
      </c>
      <c r="FT67" s="247">
        <v>347.89477208636345</v>
      </c>
      <c r="FU67" s="247">
        <v>346.88831461048653</v>
      </c>
      <c r="FV67" s="247">
        <v>345.88220039465369</v>
      </c>
      <c r="FW67" s="247">
        <v>344.87643652922145</v>
      </c>
      <c r="FX67" s="247">
        <v>343.87103003373232</v>
      </c>
      <c r="FY67" s="247">
        <v>342.86598791633565</v>
      </c>
      <c r="FZ67" s="247">
        <v>341.86131711067111</v>
      </c>
      <c r="GA67" s="247">
        <v>340.85702454855186</v>
      </c>
      <c r="GB67" s="247">
        <v>339.85381265336093</v>
      </c>
      <c r="GC67" s="247">
        <v>338.85098060891625</v>
      </c>
      <c r="GD67" s="247">
        <v>337.84853311299611</v>
      </c>
      <c r="GE67" s="247">
        <v>336.84647486901753</v>
      </c>
      <c r="GF67" s="247">
        <v>335.84481053595636</v>
      </c>
      <c r="GG67" s="247">
        <v>334.84354472947501</v>
      </c>
      <c r="GH67" s="247">
        <v>333.84268205320728</v>
      </c>
      <c r="GI67" s="247">
        <v>332.84222707710683</v>
      </c>
      <c r="GJ67" s="247">
        <v>331.84218434495079</v>
      </c>
      <c r="GK67" s="247">
        <v>330.84255834522315</v>
      </c>
      <c r="GL67" s="247">
        <v>329.84335359504047</v>
      </c>
      <c r="GM67" s="247">
        <v>328.84457454631632</v>
      </c>
      <c r="GN67" s="247">
        <v>327.85161863619942</v>
      </c>
      <c r="GO67" s="247">
        <v>326.85912432421975</v>
      </c>
      <c r="GP67" s="247">
        <v>325.86709686081014</v>
      </c>
      <c r="GQ67" s="247">
        <v>324.87554146164587</v>
      </c>
      <c r="GR67" s="247">
        <v>323.8844633064021</v>
      </c>
      <c r="GS67" s="247">
        <v>322.89386753979585</v>
      </c>
      <c r="GT67" s="247">
        <v>321.90375928424277</v>
      </c>
      <c r="GU67" s="247">
        <v>320.91414361621031</v>
      </c>
      <c r="GV67" s="247">
        <v>319.92502556502865</v>
      </c>
      <c r="GW67" s="247">
        <v>318.93641016227934</v>
      </c>
      <c r="GX67" s="247">
        <v>317.94830237891523</v>
      </c>
      <c r="GY67" s="247">
        <v>316.96070718741419</v>
      </c>
      <c r="GZ67" s="247">
        <v>315.9743806493824</v>
      </c>
      <c r="HA67" s="247">
        <v>314.9885729708493</v>
      </c>
      <c r="HB67" s="247">
        <v>314.00329531836195</v>
      </c>
      <c r="HC67" s="247">
        <v>313.01855878020507</v>
      </c>
      <c r="HD67" s="247">
        <v>312.0343743451329</v>
      </c>
      <c r="HE67" s="247">
        <v>311.05075298270532</v>
      </c>
      <c r="HF67" s="247">
        <v>310.06770552640887</v>
      </c>
      <c r="HG67" s="247">
        <v>309.08524278936687</v>
      </c>
      <c r="HH67" s="247">
        <v>308.10337548319694</v>
      </c>
      <c r="HI67" s="247">
        <v>307.12211428641558</v>
      </c>
      <c r="HJ67" s="247">
        <v>306.14146977266182</v>
      </c>
      <c r="HK67" s="247">
        <v>305.16145250078063</v>
      </c>
      <c r="HL67" s="247">
        <v>304.1889531131846</v>
      </c>
      <c r="HM67" s="247">
        <v>303.21712337913169</v>
      </c>
      <c r="HN67" s="247">
        <v>302.24595268727933</v>
      </c>
      <c r="HO67" s="247">
        <v>301.27543044091192</v>
      </c>
      <c r="HP67" s="247">
        <v>300.30554618063587</v>
      </c>
      <c r="HQ67" s="247">
        <v>299.336289462774</v>
      </c>
      <c r="HR67" s="247">
        <v>298.36764994270703</v>
      </c>
      <c r="HS67" s="247">
        <v>297.39961730138162</v>
      </c>
      <c r="HT67" s="247">
        <v>296.43218131475226</v>
      </c>
      <c r="HU67" s="247">
        <v>295.46533183329677</v>
      </c>
      <c r="HV67" s="247">
        <v>294.49905874807786</v>
      </c>
      <c r="HW67" s="247">
        <v>293.53335201481536</v>
      </c>
      <c r="HX67" s="247">
        <v>292.56900733002095</v>
      </c>
      <c r="HY67" s="247">
        <v>291.60521861062438</v>
      </c>
      <c r="HZ67" s="247">
        <v>290.64199510683608</v>
      </c>
      <c r="IA67" s="247">
        <v>289.6793459733866</v>
      </c>
      <c r="IB67" s="247">
        <v>288.71728032904309</v>
      </c>
      <c r="IC67" s="247">
        <v>287.75580723707247</v>
      </c>
      <c r="ID67" s="247">
        <v>286.79493568651003</v>
      </c>
      <c r="IE67" s="247">
        <v>285.83467462930798</v>
      </c>
      <c r="IF67" s="247">
        <v>284.87503295797001</v>
      </c>
      <c r="IG67" s="247">
        <v>283.91601952513662</v>
      </c>
      <c r="IH67" s="247">
        <v>282.95764309972407</v>
      </c>
      <c r="II67" s="247">
        <v>281.99991243876008</v>
      </c>
      <c r="IJ67" s="247">
        <v>281.04366115025829</v>
      </c>
      <c r="IK67" s="247">
        <v>280.08806598169969</v>
      </c>
      <c r="IL67" s="247">
        <v>279.13313821082136</v>
      </c>
      <c r="IM67" s="247">
        <v>278.17888895672979</v>
      </c>
      <c r="IN67" s="247">
        <v>277.22532946669469</v>
      </c>
      <c r="IO67" s="247">
        <v>276.27247073433693</v>
      </c>
      <c r="IP67" s="247">
        <v>275.32032377616321</v>
      </c>
      <c r="IQ67" s="247">
        <v>274.36889955384214</v>
      </c>
      <c r="IR67" s="247">
        <v>273.41820895142371</v>
      </c>
      <c r="IS67" s="247">
        <v>272.46826279499101</v>
      </c>
      <c r="IT67" s="247">
        <v>271.51907193048368</v>
      </c>
      <c r="IU67" s="247">
        <v>270.57064705086754</v>
      </c>
      <c r="IV67" s="247">
        <v>269.63231540128385</v>
      </c>
      <c r="IW67" s="247">
        <v>268.69479931748054</v>
      </c>
      <c r="IX67" s="247">
        <v>267.75808378539256</v>
      </c>
      <c r="IY67" s="247">
        <v>266.82215398305306</v>
      </c>
      <c r="IZ67" s="247">
        <v>265.88699508669515</v>
      </c>
      <c r="JA67" s="247">
        <v>264.95259236568108</v>
      </c>
      <c r="JB67" s="247">
        <v>264.01893127524193</v>
      </c>
      <c r="JC67" s="247">
        <v>263.08599727730029</v>
      </c>
      <c r="JD67" s="247">
        <v>262.15377591649423</v>
      </c>
      <c r="JE67" s="247">
        <v>261.22225284060448</v>
      </c>
      <c r="JF67" s="247">
        <v>260.29141378691793</v>
      </c>
      <c r="JG67" s="247">
        <v>259.36124449828191</v>
      </c>
      <c r="JH67" s="247">
        <v>258.43260885241324</v>
      </c>
      <c r="JI67" s="247">
        <v>257.5046266426304</v>
      </c>
      <c r="JJ67" s="247">
        <v>256.57730519880187</v>
      </c>
      <c r="JK67" s="247">
        <v>255.65065162064974</v>
      </c>
      <c r="JL67" s="247">
        <v>254.72467315958798</v>
      </c>
      <c r="JM67" s="247">
        <v>253.79937683554135</v>
      </c>
      <c r="JN67" s="247">
        <v>252.8747698099738</v>
      </c>
      <c r="JO67" s="247">
        <v>251.9508591172015</v>
      </c>
      <c r="JP67" s="247">
        <v>251.02765182965442</v>
      </c>
      <c r="JQ67" s="247">
        <v>250.10515489098103</v>
      </c>
      <c r="JR67" s="247">
        <v>249.18337528773773</v>
      </c>
      <c r="JS67" s="247">
        <v>248.26231996633561</v>
      </c>
      <c r="JT67" s="247">
        <v>247.33316019146028</v>
      </c>
      <c r="JU67" s="247">
        <v>246.40465681372009</v>
      </c>
      <c r="JV67" s="247">
        <v>245.47680009947055</v>
      </c>
      <c r="JW67" s="247">
        <v>244.54958060596744</v>
      </c>
      <c r="JX67" s="247">
        <v>243.62298876655086</v>
      </c>
      <c r="JY67" s="247">
        <v>242.69701513501394</v>
      </c>
      <c r="JZ67" s="247">
        <v>241.77165030226482</v>
      </c>
      <c r="KA67" s="247">
        <v>240.84688490802557</v>
      </c>
      <c r="KB67" s="247">
        <v>239.92270970396225</v>
      </c>
      <c r="KC67" s="247">
        <v>238.99911540686119</v>
      </c>
      <c r="KD67" s="247">
        <v>238.07609277032893</v>
      </c>
      <c r="KE67" s="247">
        <v>237.15363267626182</v>
      </c>
      <c r="KF67" s="247">
        <v>236.23265134616929</v>
      </c>
      <c r="KG67" s="247">
        <v>235.31224525574441</v>
      </c>
      <c r="KH67" s="247">
        <v>234.39244572782405</v>
      </c>
      <c r="KI67" s="247">
        <v>233.47328373958584</v>
      </c>
      <c r="KJ67" s="247">
        <v>232.55479032302179</v>
      </c>
      <c r="KK67" s="247">
        <v>231.63699615648792</v>
      </c>
      <c r="KL67" s="247">
        <v>230.71993188131549</v>
      </c>
      <c r="KM67" s="247">
        <v>229.8036280300266</v>
      </c>
      <c r="KN67" s="247">
        <v>228.88811492581519</v>
      </c>
      <c r="KO67" s="247">
        <v>227.9734228532937</v>
      </c>
      <c r="KP67" s="247">
        <v>227.05958188768429</v>
      </c>
      <c r="KQ67" s="247">
        <v>226.1466219816156</v>
      </c>
      <c r="KR67" s="247">
        <v>225.22532731522369</v>
      </c>
      <c r="KS67" s="247">
        <v>224.30484008858676</v>
      </c>
      <c r="KT67" s="247">
        <v>223.38513555134779</v>
      </c>
      <c r="KU67" s="247">
        <v>222.46618901127644</v>
      </c>
      <c r="KV67" s="247">
        <v>221.54797584282178</v>
      </c>
      <c r="KW67" s="247">
        <v>220.63047168900505</v>
      </c>
      <c r="KX67" s="247">
        <v>219.71365218430833</v>
      </c>
      <c r="KY67" s="247">
        <v>218.79749310770643</v>
      </c>
      <c r="KZ67" s="247">
        <v>217.88197036344815</v>
      </c>
      <c r="LA67" s="247">
        <v>216.96706006946738</v>
      </c>
      <c r="LB67" s="247">
        <v>216.05273833820945</v>
      </c>
      <c r="LC67" s="247">
        <v>215.13898142883033</v>
      </c>
      <c r="LD67" s="247">
        <v>214.22673124067259</v>
      </c>
      <c r="LE67" s="247">
        <v>213.31502575857988</v>
      </c>
      <c r="LF67" s="247">
        <v>212.40387804260425</v>
      </c>
      <c r="LG67" s="247">
        <v>211.4933011001861</v>
      </c>
      <c r="LH67" s="247">
        <v>210.58330789035932</v>
      </c>
      <c r="LI67" s="247">
        <v>209.67391124725063</v>
      </c>
      <c r="LJ67" s="247">
        <v>208.7651240773711</v>
      </c>
      <c r="LK67" s="247">
        <v>207.8569591036952</v>
      </c>
      <c r="LL67" s="247">
        <v>206.94942910834718</v>
      </c>
      <c r="LM67" s="247">
        <v>206.04254668565844</v>
      </c>
      <c r="LN67" s="247">
        <v>205.13632455211447</v>
      </c>
      <c r="LO67" s="247">
        <v>204.23077529524406</v>
      </c>
      <c r="LP67" s="247">
        <v>203.32690025926473</v>
      </c>
      <c r="LQ67" s="247">
        <v>202.42370475254424</v>
      </c>
      <c r="LR67" s="247">
        <v>201.52119232693778</v>
      </c>
      <c r="LS67" s="247">
        <v>200.61936662636106</v>
      </c>
      <c r="LT67" s="247">
        <v>199.71823126269138</v>
      </c>
      <c r="LU67" s="247">
        <v>198.81778974256414</v>
      </c>
      <c r="LV67" s="247">
        <v>197.918045721141</v>
      </c>
      <c r="LW67" s="247">
        <v>197.01900275594127</v>
      </c>
      <c r="LX67" s="247">
        <v>196.12066441448377</v>
      </c>
      <c r="LY67" s="247">
        <v>195.22303428769717</v>
      </c>
      <c r="LZ67" s="247">
        <v>194.32611591414553</v>
      </c>
      <c r="MA67" s="247">
        <v>193.42991297370958</v>
      </c>
      <c r="MB67" s="247">
        <v>192.53545192770028</v>
      </c>
      <c r="MC67" s="247">
        <v>191.64170419494496</v>
      </c>
      <c r="MD67" s="247">
        <v>190.74867361430478</v>
      </c>
      <c r="ME67" s="247">
        <v>189.85636389633268</v>
      </c>
      <c r="MF67" s="247">
        <v>188.96477880805077</v>
      </c>
      <c r="MG67" s="247">
        <v>188.07392215983896</v>
      </c>
      <c r="MH67" s="247">
        <v>187.18379774838169</v>
      </c>
      <c r="MI67" s="247">
        <v>186.29440930055776</v>
      </c>
      <c r="MJ67" s="247">
        <v>185.40576069286399</v>
      </c>
      <c r="MK67" s="247">
        <v>184.517855668263</v>
      </c>
      <c r="ML67" s="247">
        <v>183.63069805712689</v>
      </c>
      <c r="MM67" s="247">
        <v>182.74429166974963</v>
      </c>
      <c r="MN67" s="247">
        <v>181.85969743612083</v>
      </c>
      <c r="MO67" s="247">
        <v>180.97585098481639</v>
      </c>
      <c r="MP67" s="247">
        <v>180.09275423474605</v>
      </c>
      <c r="MQ67" s="247">
        <v>179.21040914125692</v>
      </c>
      <c r="MR67" s="247">
        <v>178.32881775682682</v>
      </c>
      <c r="MS67" s="247">
        <v>177.44798204734479</v>
      </c>
      <c r="MT67" s="247">
        <v>176.56790412062779</v>
      </c>
      <c r="MU67" s="247">
        <v>175.68858594600519</v>
      </c>
      <c r="MV67" s="247">
        <v>174.81002962034214</v>
      </c>
      <c r="MW67" s="247">
        <v>173.9322372634293</v>
      </c>
      <c r="MX67" s="247">
        <v>173.05521100537464</v>
      </c>
      <c r="MY67" s="247">
        <v>172.17895294006408</v>
      </c>
    </row>
    <row r="68" spans="1:363" ht="15.6" x14ac:dyDescent="0.3">
      <c r="A68" s="67" t="s">
        <v>6</v>
      </c>
      <c r="B68" s="72">
        <v>2078</v>
      </c>
      <c r="C68" s="247">
        <v>526.84049871953687</v>
      </c>
      <c r="D68" s="247">
        <v>525.80734169154505</v>
      </c>
      <c r="E68" s="247">
        <v>524.77424505193687</v>
      </c>
      <c r="F68" s="247">
        <v>523.74120750622785</v>
      </c>
      <c r="G68" s="247">
        <v>522.70822776160037</v>
      </c>
      <c r="H68" s="247">
        <v>521.67530454471864</v>
      </c>
      <c r="I68" s="247">
        <v>520.64243658238854</v>
      </c>
      <c r="J68" s="247">
        <v>519.60962267411662</v>
      </c>
      <c r="K68" s="247">
        <v>518.57686159017248</v>
      </c>
      <c r="L68" s="247">
        <v>517.54415213115851</v>
      </c>
      <c r="M68" s="247">
        <v>516.51149310629228</v>
      </c>
      <c r="N68" s="247">
        <v>515.47888341539033</v>
      </c>
      <c r="O68" s="247">
        <v>514.44632187542322</v>
      </c>
      <c r="P68" s="247">
        <v>513.41236548093821</v>
      </c>
      <c r="Q68" s="247">
        <v>512.37844164270132</v>
      </c>
      <c r="R68" s="247">
        <v>511.34455246419998</v>
      </c>
      <c r="S68" s="247">
        <v>510.3107001011528</v>
      </c>
      <c r="T68" s="247">
        <v>509.27688667375259</v>
      </c>
      <c r="U68" s="247">
        <v>508.24311428367804</v>
      </c>
      <c r="V68" s="247">
        <v>507.20938504584109</v>
      </c>
      <c r="W68" s="247">
        <v>506.17570106491581</v>
      </c>
      <c r="X68" s="247">
        <v>505.14206448809949</v>
      </c>
      <c r="Y68" s="247">
        <v>504.10847741821169</v>
      </c>
      <c r="Z68" s="247">
        <v>503.07494200496444</v>
      </c>
      <c r="AA68" s="247">
        <v>502.04146033854164</v>
      </c>
      <c r="AB68" s="247">
        <v>501.00666520158097</v>
      </c>
      <c r="AC68" s="247">
        <v>499.9719087813981</v>
      </c>
      <c r="AD68" s="247">
        <v>498.93719126724369</v>
      </c>
      <c r="AE68" s="247">
        <v>497.90251281434371</v>
      </c>
      <c r="AF68" s="247">
        <v>496.86787357276359</v>
      </c>
      <c r="AG68" s="247">
        <v>495.8332737649506</v>
      </c>
      <c r="AH68" s="247">
        <v>494.79871357460166</v>
      </c>
      <c r="AI68" s="247">
        <v>493.76419320391039</v>
      </c>
      <c r="AJ68" s="247">
        <v>492.72971284330873</v>
      </c>
      <c r="AK68" s="247">
        <v>491.69527277822652</v>
      </c>
      <c r="AL68" s="247">
        <v>490.66087322522907</v>
      </c>
      <c r="AM68" s="247">
        <v>489.62651446631452</v>
      </c>
      <c r="AN68" s="247">
        <v>488.59089991340039</v>
      </c>
      <c r="AO68" s="247">
        <v>487.5553132484722</v>
      </c>
      <c r="AP68" s="247">
        <v>486.51975751895259</v>
      </c>
      <c r="AQ68" s="247">
        <v>485.48423573789836</v>
      </c>
      <c r="AR68" s="247">
        <v>484.44875096603732</v>
      </c>
      <c r="AS68" s="247">
        <v>483.41330621465818</v>
      </c>
      <c r="AT68" s="247">
        <v>482.37790448370271</v>
      </c>
      <c r="AU68" s="247">
        <v>481.34254880099439</v>
      </c>
      <c r="AV68" s="247">
        <v>480.30724216514147</v>
      </c>
      <c r="AW68" s="247">
        <v>479.27198758920866</v>
      </c>
      <c r="AX68" s="247">
        <v>478.23678804694936</v>
      </c>
      <c r="AY68" s="247">
        <v>477.20164658272085</v>
      </c>
      <c r="AZ68" s="247">
        <v>476.16532938910603</v>
      </c>
      <c r="BA68" s="247">
        <v>475.12904982248631</v>
      </c>
      <c r="BB68" s="247">
        <v>474.09280228296564</v>
      </c>
      <c r="BC68" s="247">
        <v>473.05658116970983</v>
      </c>
      <c r="BD68" s="247">
        <v>472.0203809813317</v>
      </c>
      <c r="BE68" s="247">
        <v>470.98419621446169</v>
      </c>
      <c r="BF68" s="247">
        <v>469.94802142342957</v>
      </c>
      <c r="BG68" s="247">
        <v>468.91185124467654</v>
      </c>
      <c r="BH68" s="247">
        <v>467.87568029298313</v>
      </c>
      <c r="BI68" s="247">
        <v>466.83950330317413</v>
      </c>
      <c r="BJ68" s="247">
        <v>465.80331500457868</v>
      </c>
      <c r="BK68" s="247">
        <v>464.76711018590652</v>
      </c>
      <c r="BL68" s="247">
        <v>463.72974377766531</v>
      </c>
      <c r="BM68" s="247">
        <v>462.6923667181307</v>
      </c>
      <c r="BN68" s="247">
        <v>461.65500149157668</v>
      </c>
      <c r="BO68" s="247">
        <v>460.61767038518292</v>
      </c>
      <c r="BP68" s="247">
        <v>459.58039561517364</v>
      </c>
      <c r="BQ68" s="247">
        <v>458.54319924499674</v>
      </c>
      <c r="BR68" s="247">
        <v>457.50610320544808</v>
      </c>
      <c r="BS68" s="247">
        <v>456.46912934083861</v>
      </c>
      <c r="BT68" s="247">
        <v>455.43229934595945</v>
      </c>
      <c r="BU68" s="247">
        <v>454.395634784729</v>
      </c>
      <c r="BV68" s="247">
        <v>453.35915713139747</v>
      </c>
      <c r="BW68" s="247">
        <v>452.32288772988448</v>
      </c>
      <c r="BX68" s="247">
        <v>451.2856875420951</v>
      </c>
      <c r="BY68" s="247">
        <v>450.24867101607691</v>
      </c>
      <c r="BZ68" s="247">
        <v>449.21182301246859</v>
      </c>
      <c r="CA68" s="247">
        <v>448.17512849337709</v>
      </c>
      <c r="CB68" s="247">
        <v>447.13857251505715</v>
      </c>
      <c r="CC68" s="247">
        <v>446.10214026557719</v>
      </c>
      <c r="CD68" s="247">
        <v>445.0658170012087</v>
      </c>
      <c r="CE68" s="247">
        <v>444.02958809036085</v>
      </c>
      <c r="CF68" s="247">
        <v>442.99343901527033</v>
      </c>
      <c r="CG68" s="247">
        <v>441.95735535014899</v>
      </c>
      <c r="CH68" s="247">
        <v>440.92132277768809</v>
      </c>
      <c r="CI68" s="247">
        <v>439.88532708368371</v>
      </c>
      <c r="CJ68" s="247">
        <v>438.84820274278616</v>
      </c>
      <c r="CK68" s="247">
        <v>437.81109283679302</v>
      </c>
      <c r="CL68" s="247">
        <v>436.77400386463268</v>
      </c>
      <c r="CM68" s="247">
        <v>435.73694225234436</v>
      </c>
      <c r="CN68" s="247">
        <v>434.69991442033677</v>
      </c>
      <c r="CO68" s="247">
        <v>433.66292675325104</v>
      </c>
      <c r="CP68" s="247">
        <v>432.6259856237283</v>
      </c>
      <c r="CQ68" s="247">
        <v>431.58909734223965</v>
      </c>
      <c r="CR68" s="247">
        <v>430.55226822091072</v>
      </c>
      <c r="CS68" s="247">
        <v>429.51550452758039</v>
      </c>
      <c r="CT68" s="247">
        <v>428.47881251774629</v>
      </c>
      <c r="CU68" s="247">
        <v>427.44219840361666</v>
      </c>
      <c r="CV68" s="247">
        <v>426.40614911258456</v>
      </c>
      <c r="CW68" s="247">
        <v>425.37017216696773</v>
      </c>
      <c r="CX68" s="247">
        <v>424.33426637448667</v>
      </c>
      <c r="CY68" s="247">
        <v>423.29843054139883</v>
      </c>
      <c r="CZ68" s="247">
        <v>422.26266351224876</v>
      </c>
      <c r="DA68" s="247">
        <v>421.22696415790534</v>
      </c>
      <c r="DB68" s="247">
        <v>420.19133132783622</v>
      </c>
      <c r="DC68" s="247">
        <v>419.15576393411789</v>
      </c>
      <c r="DD68" s="247">
        <v>418.12026087233141</v>
      </c>
      <c r="DE68" s="247">
        <v>417.08482106506966</v>
      </c>
      <c r="DF68" s="247">
        <v>416.04944347566033</v>
      </c>
      <c r="DG68" s="247">
        <v>415.01412707766661</v>
      </c>
      <c r="DH68" s="247">
        <v>413.97937430563712</v>
      </c>
      <c r="DI68" s="247">
        <v>412.94467983089612</v>
      </c>
      <c r="DJ68" s="247">
        <v>411.91005226944196</v>
      </c>
      <c r="DK68" s="247">
        <v>410.87550016164431</v>
      </c>
      <c r="DL68" s="247">
        <v>409.84103203765125</v>
      </c>
      <c r="DM68" s="247">
        <v>408.80665635348947</v>
      </c>
      <c r="DN68" s="247">
        <v>407.77238152145844</v>
      </c>
      <c r="DO68" s="247">
        <v>406.73821593298101</v>
      </c>
      <c r="DP68" s="247">
        <v>405.70416791433718</v>
      </c>
      <c r="DQ68" s="247">
        <v>404.67024574411306</v>
      </c>
      <c r="DR68" s="247">
        <v>403.63645766663814</v>
      </c>
      <c r="DS68" s="247">
        <v>402.60281187901597</v>
      </c>
      <c r="DT68" s="247">
        <v>401.57180309713482</v>
      </c>
      <c r="DU68" s="247">
        <v>400.54096134639559</v>
      </c>
      <c r="DV68" s="247">
        <v>399.51029864568227</v>
      </c>
      <c r="DW68" s="247">
        <v>398.47982694941123</v>
      </c>
      <c r="DX68" s="247">
        <v>397.44955813495517</v>
      </c>
      <c r="DY68" s="247">
        <v>396.41950400751227</v>
      </c>
      <c r="DZ68" s="247">
        <v>395.38967627817135</v>
      </c>
      <c r="EA68" s="247">
        <v>394.36008663286731</v>
      </c>
      <c r="EB68" s="247">
        <v>393.33074664993421</v>
      </c>
      <c r="EC68" s="247">
        <v>392.30166784470396</v>
      </c>
      <c r="ED68" s="247">
        <v>391.27286167557355</v>
      </c>
      <c r="EE68" s="247">
        <v>390.24433954710764</v>
      </c>
      <c r="EF68" s="247">
        <v>389.21905178918047</v>
      </c>
      <c r="EG68" s="247">
        <v>388.19406205237567</v>
      </c>
      <c r="EH68" s="247">
        <v>387.16935679496993</v>
      </c>
      <c r="EI68" s="247">
        <v>386.14492258919256</v>
      </c>
      <c r="EJ68" s="247">
        <v>385.12074608841453</v>
      </c>
      <c r="EK68" s="247">
        <v>384.09681403291887</v>
      </c>
      <c r="EL68" s="247">
        <v>383.07311326474002</v>
      </c>
      <c r="EM68" s="247">
        <v>382.04963071527612</v>
      </c>
      <c r="EN68" s="247">
        <v>381.02635342280945</v>
      </c>
      <c r="EO68" s="247">
        <v>380.00326850346215</v>
      </c>
      <c r="EP68" s="247">
        <v>378.98036318698615</v>
      </c>
      <c r="EQ68" s="247">
        <v>377.95762478205353</v>
      </c>
      <c r="ER68" s="247">
        <v>376.93846966540559</v>
      </c>
      <c r="ES68" s="247">
        <v>375.91948284046452</v>
      </c>
      <c r="ET68" s="247">
        <v>374.90067361292046</v>
      </c>
      <c r="EU68" s="247">
        <v>373.88205124229</v>
      </c>
      <c r="EV68" s="247">
        <v>372.86362491652176</v>
      </c>
      <c r="EW68" s="247">
        <v>371.84540377815694</v>
      </c>
      <c r="EX68" s="247">
        <v>370.82739692002997</v>
      </c>
      <c r="EY68" s="247">
        <v>369.8096133611906</v>
      </c>
      <c r="EZ68" s="247">
        <v>368.79206207645751</v>
      </c>
      <c r="FA68" s="247">
        <v>367.77475198391323</v>
      </c>
      <c r="FB68" s="247">
        <v>366.75769196368384</v>
      </c>
      <c r="FC68" s="247">
        <v>365.74089082982414</v>
      </c>
      <c r="FD68" s="247">
        <v>364.72828982332368</v>
      </c>
      <c r="FE68" s="247">
        <v>363.71597247840464</v>
      </c>
      <c r="FF68" s="247">
        <v>362.70394087432874</v>
      </c>
      <c r="FG68" s="247">
        <v>361.69219716105073</v>
      </c>
      <c r="FH68" s="247">
        <v>360.6807433851136</v>
      </c>
      <c r="FI68" s="247">
        <v>359.66958167471387</v>
      </c>
      <c r="FJ68" s="247">
        <v>358.65871407876102</v>
      </c>
      <c r="FK68" s="247">
        <v>357.64814268622354</v>
      </c>
      <c r="FL68" s="247">
        <v>356.63786951346339</v>
      </c>
      <c r="FM68" s="247">
        <v>355.62789664510478</v>
      </c>
      <c r="FN68" s="247">
        <v>354.61822608966787</v>
      </c>
      <c r="FO68" s="247">
        <v>353.60885989319013</v>
      </c>
      <c r="FP68" s="247">
        <v>352.60045672390709</v>
      </c>
      <c r="FQ68" s="247">
        <v>351.5923571950737</v>
      </c>
      <c r="FR68" s="247">
        <v>350.58456850277923</v>
      </c>
      <c r="FS68" s="247">
        <v>349.57709784458405</v>
      </c>
      <c r="FT68" s="247">
        <v>348.56995233948896</v>
      </c>
      <c r="FU68" s="247">
        <v>347.56313908842128</v>
      </c>
      <c r="FV68" s="247">
        <v>346.55666512674821</v>
      </c>
      <c r="FW68" s="247">
        <v>345.55053746142755</v>
      </c>
      <c r="FX68" s="247">
        <v>344.54476302983886</v>
      </c>
      <c r="FY68" s="247">
        <v>343.53934875854316</v>
      </c>
      <c r="FZ68" s="247">
        <v>342.5343015009239</v>
      </c>
      <c r="GA68" s="247">
        <v>341.52962810898595</v>
      </c>
      <c r="GB68" s="247">
        <v>340.52601133391784</v>
      </c>
      <c r="GC68" s="247">
        <v>339.52276989586949</v>
      </c>
      <c r="GD68" s="247">
        <v>338.51990844250497</v>
      </c>
      <c r="GE68" s="247">
        <v>337.5174316272907</v>
      </c>
      <c r="GF68" s="247">
        <v>336.51534406018686</v>
      </c>
      <c r="GG68" s="247">
        <v>335.51365030866117</v>
      </c>
      <c r="GH68" s="247">
        <v>334.51235492860718</v>
      </c>
      <c r="GI68" s="247">
        <v>333.51146244303055</v>
      </c>
      <c r="GJ68" s="247">
        <v>332.51097734932915</v>
      </c>
      <c r="GK68" s="247">
        <v>331.51090409076511</v>
      </c>
      <c r="GL68" s="247">
        <v>330.51124713908263</v>
      </c>
      <c r="GM68" s="247">
        <v>329.51201090212697</v>
      </c>
      <c r="GN68" s="247">
        <v>328.51857052682936</v>
      </c>
      <c r="GO68" s="247">
        <v>327.52558665469974</v>
      </c>
      <c r="GP68" s="247">
        <v>326.53306448349406</v>
      </c>
      <c r="GQ68" s="247">
        <v>325.54100917690164</v>
      </c>
      <c r="GR68" s="247">
        <v>324.54942586340167</v>
      </c>
      <c r="GS68" s="247">
        <v>323.55831963716776</v>
      </c>
      <c r="GT68" s="247">
        <v>322.56769557066809</v>
      </c>
      <c r="GU68" s="247">
        <v>321.57755869132234</v>
      </c>
      <c r="GV68" s="247">
        <v>320.58791398023493</v>
      </c>
      <c r="GW68" s="247">
        <v>319.59876642111135</v>
      </c>
      <c r="GX68" s="247">
        <v>318.61012093806443</v>
      </c>
      <c r="GY68" s="247">
        <v>317.62198245709698</v>
      </c>
      <c r="GZ68" s="247">
        <v>316.63508770605847</v>
      </c>
      <c r="HA68" s="247">
        <v>315.64870604693306</v>
      </c>
      <c r="HB68" s="247">
        <v>314.66284851797519</v>
      </c>
      <c r="HC68" s="247">
        <v>313.67752608050517</v>
      </c>
      <c r="HD68" s="247">
        <v>312.69274959797565</v>
      </c>
      <c r="HE68" s="247">
        <v>311.70852991516801</v>
      </c>
      <c r="HF68" s="247">
        <v>310.72487774290801</v>
      </c>
      <c r="HG68" s="247">
        <v>309.74180377229152</v>
      </c>
      <c r="HH68" s="247">
        <v>308.75931859449156</v>
      </c>
      <c r="HI68" s="247">
        <v>307.77743276844501</v>
      </c>
      <c r="HJ68" s="247">
        <v>306.796156749869</v>
      </c>
      <c r="HK68" s="247">
        <v>305.8155009803217</v>
      </c>
      <c r="HL68" s="247">
        <v>304.84234025305136</v>
      </c>
      <c r="HM68" s="247">
        <v>303.8698422551933</v>
      </c>
      <c r="HN68" s="247">
        <v>302.89799651744784</v>
      </c>
      <c r="HO68" s="247">
        <v>301.92679258502034</v>
      </c>
      <c r="HP68" s="247">
        <v>300.95622013892557</v>
      </c>
      <c r="HQ68" s="247">
        <v>299.98626887572635</v>
      </c>
      <c r="HR68" s="247">
        <v>299.01692858999127</v>
      </c>
      <c r="HS68" s="247">
        <v>298.04818910165551</v>
      </c>
      <c r="HT68" s="247">
        <v>297.08004032457961</v>
      </c>
      <c r="HU68" s="247">
        <v>296.11247224645183</v>
      </c>
      <c r="HV68" s="247">
        <v>295.14547489513728</v>
      </c>
      <c r="HW68" s="247">
        <v>294.17903836259995</v>
      </c>
      <c r="HX68" s="247">
        <v>293.2139397383674</v>
      </c>
      <c r="HY68" s="247">
        <v>292.24939158895279</v>
      </c>
      <c r="HZ68" s="247">
        <v>291.28540307056937</v>
      </c>
      <c r="IA68" s="247">
        <v>290.3219832453571</v>
      </c>
      <c r="IB68" s="247">
        <v>289.35914114026889</v>
      </c>
      <c r="IC68" s="247">
        <v>288.3968857276484</v>
      </c>
      <c r="ID68" s="247">
        <v>287.43522590683057</v>
      </c>
      <c r="IE68" s="247">
        <v>286.47417054082308</v>
      </c>
      <c r="IF68" s="247">
        <v>285.51372843414686</v>
      </c>
      <c r="IG68" s="247">
        <v>284.55390835232248</v>
      </c>
      <c r="IH68" s="247">
        <v>283.59471897841883</v>
      </c>
      <c r="II68" s="247">
        <v>282.63616898415791</v>
      </c>
      <c r="IJ68" s="247">
        <v>281.67907293955648</v>
      </c>
      <c r="IK68" s="247">
        <v>280.72262642835295</v>
      </c>
      <c r="IL68" s="247">
        <v>279.76684061168106</v>
      </c>
      <c r="IM68" s="247">
        <v>278.81172649419312</v>
      </c>
      <c r="IN68" s="247">
        <v>277.85729520755376</v>
      </c>
      <c r="IO68" s="247">
        <v>276.90355763299851</v>
      </c>
      <c r="IP68" s="247">
        <v>275.95052467473209</v>
      </c>
      <c r="IQ68" s="247">
        <v>274.99820718308246</v>
      </c>
      <c r="IR68" s="247">
        <v>274.0466159319339</v>
      </c>
      <c r="IS68" s="247">
        <v>273.09576163827319</v>
      </c>
      <c r="IT68" s="247">
        <v>272.14565503899712</v>
      </c>
      <c r="IU68" s="247">
        <v>271.19630672021844</v>
      </c>
      <c r="IV68" s="247">
        <v>270.25703984628097</v>
      </c>
      <c r="IW68" s="247">
        <v>269.31858102097175</v>
      </c>
      <c r="IX68" s="247">
        <v>268.38091540666306</v>
      </c>
      <c r="IY68" s="247">
        <v>267.44402835578052</v>
      </c>
      <c r="IZ68" s="247">
        <v>266.50790521906123</v>
      </c>
      <c r="JA68" s="247">
        <v>265.57253143936026</v>
      </c>
      <c r="JB68" s="247">
        <v>264.63789264351601</v>
      </c>
      <c r="JC68" s="247">
        <v>263.70397446504819</v>
      </c>
      <c r="JD68" s="247">
        <v>262.77076261934513</v>
      </c>
      <c r="JE68" s="247">
        <v>261.83824292398521</v>
      </c>
      <c r="JF68" s="247">
        <v>260.90640128515628</v>
      </c>
      <c r="JG68" s="247">
        <v>259.97522361471857</v>
      </c>
      <c r="JH68" s="247">
        <v>259.045555886719</v>
      </c>
      <c r="JI68" s="247">
        <v>258.11653590784198</v>
      </c>
      <c r="JJ68" s="247">
        <v>257.18817094465459</v>
      </c>
      <c r="JK68" s="247">
        <v>256.26046803627298</v>
      </c>
      <c r="JL68" s="247">
        <v>255.33343437219003</v>
      </c>
      <c r="JM68" s="247">
        <v>254.40707691307546</v>
      </c>
      <c r="JN68" s="247">
        <v>253.48140275993973</v>
      </c>
      <c r="JO68" s="247">
        <v>252.55641888826625</v>
      </c>
      <c r="JP68" s="247">
        <v>251.63213231147617</v>
      </c>
      <c r="JQ68" s="247">
        <v>250.70854991592032</v>
      </c>
      <c r="JR68" s="247">
        <v>249.78567863064973</v>
      </c>
      <c r="JS68" s="247">
        <v>248.86352534534669</v>
      </c>
      <c r="JT68" s="247">
        <v>247.93322450166499</v>
      </c>
      <c r="JU68" s="247">
        <v>247.00357375046175</v>
      </c>
      <c r="JV68" s="247">
        <v>246.07456348717304</v>
      </c>
      <c r="JW68" s="247">
        <v>245.14618439484974</v>
      </c>
      <c r="JX68" s="247">
        <v>244.21842703424335</v>
      </c>
      <c r="JY68" s="247">
        <v>243.29128208522221</v>
      </c>
      <c r="JZ68" s="247">
        <v>242.36474026451486</v>
      </c>
      <c r="KA68" s="247">
        <v>241.43879233725141</v>
      </c>
      <c r="KB68" s="247">
        <v>240.51342917930879</v>
      </c>
      <c r="KC68" s="247">
        <v>239.58864163232187</v>
      </c>
      <c r="KD68" s="247">
        <v>238.66442057445292</v>
      </c>
      <c r="KE68" s="247">
        <v>237.74075701091536</v>
      </c>
      <c r="KF68" s="247">
        <v>236.81854690030164</v>
      </c>
      <c r="KG68" s="247">
        <v>235.89690675025622</v>
      </c>
      <c r="KH68" s="247">
        <v>234.97586753752287</v>
      </c>
      <c r="KI68" s="247">
        <v>234.05545989757277</v>
      </c>
      <c r="KJ68" s="247">
        <v>233.1357145205252</v>
      </c>
      <c r="KK68" s="247">
        <v>232.2166617472879</v>
      </c>
      <c r="KL68" s="247">
        <v>231.29833188261713</v>
      </c>
      <c r="KM68" s="247">
        <v>230.38075512412311</v>
      </c>
      <c r="KN68" s="247">
        <v>229.46396146284545</v>
      </c>
      <c r="KO68" s="247">
        <v>228.54798085215398</v>
      </c>
      <c r="KP68" s="247">
        <v>227.63284303878791</v>
      </c>
      <c r="KQ68" s="247">
        <v>226.71857764875762</v>
      </c>
      <c r="KR68" s="247">
        <v>225.79593788950362</v>
      </c>
      <c r="KS68" s="247">
        <v>224.87409688620872</v>
      </c>
      <c r="KT68" s="247">
        <v>223.95303021583712</v>
      </c>
      <c r="KU68" s="247">
        <v>223.0327135127358</v>
      </c>
      <c r="KV68" s="247">
        <v>222.11312247716774</v>
      </c>
      <c r="KW68" s="247">
        <v>221.19423307457339</v>
      </c>
      <c r="KX68" s="247">
        <v>220.27602126204624</v>
      </c>
      <c r="KY68" s="247">
        <v>219.3584631394431</v>
      </c>
      <c r="KZ68" s="247">
        <v>218.4415349303415</v>
      </c>
      <c r="LA68" s="247">
        <v>217.52521306950678</v>
      </c>
      <c r="LB68" s="247">
        <v>216.60947398634377</v>
      </c>
      <c r="LC68" s="247">
        <v>215.69429425533326</v>
      </c>
      <c r="LD68" s="247">
        <v>214.78059313670701</v>
      </c>
      <c r="LE68" s="247">
        <v>213.86743139684614</v>
      </c>
      <c r="LF68" s="247">
        <v>212.95482195028816</v>
      </c>
      <c r="LG68" s="247">
        <v>212.04277765984858</v>
      </c>
      <c r="LH68" s="247">
        <v>211.13131134085233</v>
      </c>
      <c r="LI68" s="247">
        <v>210.22043568545743</v>
      </c>
      <c r="LJ68" s="247">
        <v>209.31016345760847</v>
      </c>
      <c r="LK68" s="247">
        <v>208.40050724026972</v>
      </c>
      <c r="LL68" s="247">
        <v>207.49147967502114</v>
      </c>
      <c r="LM68" s="247">
        <v>206.58309321833337</v>
      </c>
      <c r="LN68" s="247">
        <v>205.67536044753692</v>
      </c>
      <c r="LO68" s="247">
        <v>204.76829381295678</v>
      </c>
      <c r="LP68" s="247">
        <v>203.86287115954337</v>
      </c>
      <c r="LQ68" s="247">
        <v>202.95812110030047</v>
      </c>
      <c r="LR68" s="247">
        <v>202.05404715999026</v>
      </c>
      <c r="LS68" s="247">
        <v>201.1506529544437</v>
      </c>
      <c r="LT68" s="247">
        <v>200.24794206808338</v>
      </c>
      <c r="LU68" s="247">
        <v>199.34591798150493</v>
      </c>
      <c r="LV68" s="247">
        <v>198.44458432221239</v>
      </c>
      <c r="LW68" s="247">
        <v>197.54394462147857</v>
      </c>
      <c r="LX68" s="247">
        <v>196.64400242058551</v>
      </c>
      <c r="LY68" s="247">
        <v>195.74476128420918</v>
      </c>
      <c r="LZ68" s="247">
        <v>194.84622472547039</v>
      </c>
      <c r="MA68" s="247">
        <v>193.94839639734118</v>
      </c>
      <c r="MB68" s="247">
        <v>193.05227879741554</v>
      </c>
      <c r="MC68" s="247">
        <v>192.15686721691978</v>
      </c>
      <c r="MD68" s="247">
        <v>191.262165463532</v>
      </c>
      <c r="ME68" s="247">
        <v>190.36817721833032</v>
      </c>
      <c r="MF68" s="247">
        <v>189.4749062183684</v>
      </c>
      <c r="MG68" s="247">
        <v>188.58235624360091</v>
      </c>
      <c r="MH68" s="247">
        <v>187.69053106064902</v>
      </c>
      <c r="MI68" s="247">
        <v>186.79943436736193</v>
      </c>
      <c r="MJ68" s="247">
        <v>185.90907000945566</v>
      </c>
      <c r="MK68" s="247">
        <v>185.01944170100575</v>
      </c>
      <c r="ML68" s="247">
        <v>184.13055324254341</v>
      </c>
      <c r="MM68" s="247">
        <v>183.24240841501754</v>
      </c>
      <c r="MN68" s="247">
        <v>182.35604356649333</v>
      </c>
      <c r="MO68" s="247">
        <v>181.47041882494776</v>
      </c>
      <c r="MP68" s="247">
        <v>180.58553610073352</v>
      </c>
      <c r="MQ68" s="247">
        <v>179.70139734027475</v>
      </c>
      <c r="MR68" s="247">
        <v>178.81800458609794</v>
      </c>
      <c r="MS68" s="247">
        <v>177.93535979524705</v>
      </c>
      <c r="MT68" s="247">
        <v>177.05346506510466</v>
      </c>
      <c r="MU68" s="247">
        <v>176.17232235639722</v>
      </c>
      <c r="MV68" s="247">
        <v>175.29193375588414</v>
      </c>
      <c r="MW68" s="247">
        <v>174.41230137317248</v>
      </c>
      <c r="MX68" s="247">
        <v>173.53342732814625</v>
      </c>
      <c r="MY68" s="247">
        <v>172.65531370512394</v>
      </c>
    </row>
    <row r="69" spans="1:363" ht="15.6" x14ac:dyDescent="0.3">
      <c r="A69" s="67" t="s">
        <v>6</v>
      </c>
      <c r="B69" s="72">
        <v>2079</v>
      </c>
      <c r="C69" s="247">
        <v>527.51652655345208</v>
      </c>
      <c r="D69" s="247">
        <v>526.48348586964221</v>
      </c>
      <c r="E69" s="247">
        <v>525.4505057348548</v>
      </c>
      <c r="F69" s="247">
        <v>524.41758487979928</v>
      </c>
      <c r="G69" s="247">
        <v>523.38472203696381</v>
      </c>
      <c r="H69" s="247">
        <v>522.35191595831759</v>
      </c>
      <c r="I69" s="247">
        <v>521.31916539607528</v>
      </c>
      <c r="J69" s="247">
        <v>520.28646917450567</v>
      </c>
      <c r="K69" s="247">
        <v>519.25382608918562</v>
      </c>
      <c r="L69" s="247">
        <v>518.2212349657965</v>
      </c>
      <c r="M69" s="247">
        <v>517.18869463880196</v>
      </c>
      <c r="N69" s="247">
        <v>516.15620403237256</v>
      </c>
      <c r="O69" s="247">
        <v>515.12376198907521</v>
      </c>
      <c r="P69" s="247">
        <v>514.08990817934682</v>
      </c>
      <c r="Q69" s="247">
        <v>513.05608733497672</v>
      </c>
      <c r="R69" s="247">
        <v>512.02230154341441</v>
      </c>
      <c r="S69" s="247">
        <v>510.98855294384981</v>
      </c>
      <c r="T69" s="247">
        <v>509.95484364065913</v>
      </c>
      <c r="U69" s="247">
        <v>508.92117572008544</v>
      </c>
      <c r="V69" s="247">
        <v>507.88755128167588</v>
      </c>
      <c r="W69" s="247">
        <v>506.85397241511322</v>
      </c>
      <c r="X69" s="247">
        <v>505.82044125222518</v>
      </c>
      <c r="Y69" s="247">
        <v>504.78695988133546</v>
      </c>
      <c r="Z69" s="247">
        <v>503.75353043727176</v>
      </c>
      <c r="AA69" s="247">
        <v>502.72015499640509</v>
      </c>
      <c r="AB69" s="247">
        <v>501.68545030313203</v>
      </c>
      <c r="AC69" s="247">
        <v>500.65078457202543</v>
      </c>
      <c r="AD69" s="247">
        <v>499.61615800128749</v>
      </c>
      <c r="AE69" s="247">
        <v>498.58157075572404</v>
      </c>
      <c r="AF69" s="247">
        <v>497.54702299530294</v>
      </c>
      <c r="AG69" s="247">
        <v>496.51251495152678</v>
      </c>
      <c r="AH69" s="247">
        <v>495.47804681790041</v>
      </c>
      <c r="AI69" s="247">
        <v>494.44361880641321</v>
      </c>
      <c r="AJ69" s="247">
        <v>493.40923111760492</v>
      </c>
      <c r="AK69" s="247">
        <v>492.37488404601299</v>
      </c>
      <c r="AL69" s="247">
        <v>491.34057781845877</v>
      </c>
      <c r="AM69" s="247">
        <v>490.30631272660992</v>
      </c>
      <c r="AN69" s="247">
        <v>489.27077735948757</v>
      </c>
      <c r="AO69" s="247">
        <v>488.23527019748383</v>
      </c>
      <c r="AP69" s="247">
        <v>487.19979425574638</v>
      </c>
      <c r="AQ69" s="247">
        <v>486.16435251575751</v>
      </c>
      <c r="AR69" s="247">
        <v>485.12894800626242</v>
      </c>
      <c r="AS69" s="247">
        <v>484.09358370746349</v>
      </c>
      <c r="AT69" s="247">
        <v>483.05826258863493</v>
      </c>
      <c r="AU69" s="247">
        <v>482.02298764681399</v>
      </c>
      <c r="AV69" s="247">
        <v>480.98776185042624</v>
      </c>
      <c r="AW69" s="247">
        <v>479.95258818248578</v>
      </c>
      <c r="AX69" s="247">
        <v>478.91746958750394</v>
      </c>
      <c r="AY69" s="247">
        <v>477.88240907991621</v>
      </c>
      <c r="AZ69" s="247">
        <v>476.84615913057723</v>
      </c>
      <c r="BA69" s="247">
        <v>475.80994689635179</v>
      </c>
      <c r="BB69" s="247">
        <v>474.77376687788154</v>
      </c>
      <c r="BC69" s="247">
        <v>473.73761357500149</v>
      </c>
      <c r="BD69" s="247">
        <v>472.70148158565939</v>
      </c>
      <c r="BE69" s="247">
        <v>471.66536550594401</v>
      </c>
      <c r="BF69" s="247">
        <v>470.62925998892115</v>
      </c>
      <c r="BG69" s="247">
        <v>469.59315976870778</v>
      </c>
      <c r="BH69" s="247">
        <v>468.55705955818235</v>
      </c>
      <c r="BI69" s="247">
        <v>467.52095418867879</v>
      </c>
      <c r="BJ69" s="247">
        <v>466.48483848626893</v>
      </c>
      <c r="BK69" s="247">
        <v>465.44870733576465</v>
      </c>
      <c r="BL69" s="247">
        <v>464.41140289237768</v>
      </c>
      <c r="BM69" s="247">
        <v>463.37408859628545</v>
      </c>
      <c r="BN69" s="247">
        <v>462.3367865732564</v>
      </c>
      <c r="BO69" s="247">
        <v>461.29951875564262</v>
      </c>
      <c r="BP69" s="247">
        <v>460.26230700652667</v>
      </c>
      <c r="BQ69" s="247">
        <v>459.22517303912775</v>
      </c>
      <c r="BR69" s="247">
        <v>458.18813843668005</v>
      </c>
      <c r="BS69" s="247">
        <v>457.15122469788685</v>
      </c>
      <c r="BT69" s="247">
        <v>456.11445317477313</v>
      </c>
      <c r="BU69" s="247">
        <v>455.07784509125383</v>
      </c>
      <c r="BV69" s="247">
        <v>454.04142158348077</v>
      </c>
      <c r="BW69" s="247">
        <v>453.00520366003775</v>
      </c>
      <c r="BX69" s="247">
        <v>451.96804045748149</v>
      </c>
      <c r="BY69" s="247">
        <v>450.93105827197945</v>
      </c>
      <c r="BZ69" s="247">
        <v>449.89424224549805</v>
      </c>
      <c r="CA69" s="247">
        <v>448.85757761973468</v>
      </c>
      <c r="CB69" s="247">
        <v>447.82104972900692</v>
      </c>
      <c r="CC69" s="247">
        <v>446.78464403714696</v>
      </c>
      <c r="CD69" s="247">
        <v>445.74834607507734</v>
      </c>
      <c r="CE69" s="247">
        <v>444.71214148404869</v>
      </c>
      <c r="CF69" s="247">
        <v>443.67601601712585</v>
      </c>
      <c r="CG69" s="247">
        <v>442.63995551795767</v>
      </c>
      <c r="CH69" s="247">
        <v>441.60394593682014</v>
      </c>
      <c r="CI69" s="247">
        <v>440.56797332551901</v>
      </c>
      <c r="CJ69" s="247">
        <v>439.53086194836601</v>
      </c>
      <c r="CK69" s="247">
        <v>438.49376526338108</v>
      </c>
      <c r="CL69" s="247">
        <v>437.4566896653144</v>
      </c>
      <c r="CM69" s="247">
        <v>436.41964147763412</v>
      </c>
      <c r="CN69" s="247">
        <v>435.38262701865767</v>
      </c>
      <c r="CO69" s="247">
        <v>434.34565257182146</v>
      </c>
      <c r="CP69" s="247">
        <v>433.30872440910872</v>
      </c>
      <c r="CQ69" s="247">
        <v>432.27184874186133</v>
      </c>
      <c r="CR69" s="247">
        <v>431.23503178326746</v>
      </c>
      <c r="CS69" s="247">
        <v>430.19827970349212</v>
      </c>
      <c r="CT69" s="247">
        <v>429.16159866087207</v>
      </c>
      <c r="CU69" s="247">
        <v>428.1249947717219</v>
      </c>
      <c r="CV69" s="247">
        <v>427.08893554067862</v>
      </c>
      <c r="CW69" s="247">
        <v>426.05294784456373</v>
      </c>
      <c r="CX69" s="247">
        <v>425.01703052945396</v>
      </c>
      <c r="CY69" s="247">
        <v>423.98118244017127</v>
      </c>
      <c r="CZ69" s="247">
        <v>422.9454024593997</v>
      </c>
      <c r="DA69" s="247">
        <v>421.90968949581975</v>
      </c>
      <c r="DB69" s="247">
        <v>420.87404243732396</v>
      </c>
      <c r="DC69" s="247">
        <v>419.83846023357711</v>
      </c>
      <c r="DD69" s="247">
        <v>418.80294181817135</v>
      </c>
      <c r="DE69" s="247">
        <v>417.76748615158431</v>
      </c>
      <c r="DF69" s="247">
        <v>416.73209223447344</v>
      </c>
      <c r="DG69" s="247">
        <v>415.69675907792481</v>
      </c>
      <c r="DH69" s="247">
        <v>414.66196953534359</v>
      </c>
      <c r="DI69" s="247">
        <v>413.62723774182768</v>
      </c>
      <c r="DJ69" s="247">
        <v>412.59257217140924</v>
      </c>
      <c r="DK69" s="247">
        <v>411.55798122417013</v>
      </c>
      <c r="DL69" s="247">
        <v>410.52347329055698</v>
      </c>
      <c r="DM69" s="247">
        <v>409.48905668852518</v>
      </c>
      <c r="DN69" s="247">
        <v>408.45473969344789</v>
      </c>
      <c r="DO69" s="247">
        <v>407.42053056062491</v>
      </c>
      <c r="DP69" s="247">
        <v>406.38643748165185</v>
      </c>
      <c r="DQ69" s="247">
        <v>405.3524686017862</v>
      </c>
      <c r="DR69" s="247">
        <v>404.31863203296894</v>
      </c>
      <c r="DS69" s="247">
        <v>403.28493584127938</v>
      </c>
      <c r="DT69" s="247">
        <v>402.25384480073961</v>
      </c>
      <c r="DU69" s="247">
        <v>401.22291847419689</v>
      </c>
      <c r="DV69" s="247">
        <v>400.19216868863379</v>
      </c>
      <c r="DW69" s="247">
        <v>399.16160720802611</v>
      </c>
      <c r="DX69" s="247">
        <v>398.13124572107102</v>
      </c>
      <c r="DY69" s="247">
        <v>397.10109584584319</v>
      </c>
      <c r="DZ69" s="247">
        <v>396.07116910832633</v>
      </c>
      <c r="EA69" s="247">
        <v>395.04147701022538</v>
      </c>
      <c r="EB69" s="247">
        <v>394.01203094780425</v>
      </c>
      <c r="EC69" s="247">
        <v>392.98284225591431</v>
      </c>
      <c r="ED69" s="247">
        <v>391.95392221380638</v>
      </c>
      <c r="EE69" s="247">
        <v>390.92528204835605</v>
      </c>
      <c r="EF69" s="247">
        <v>389.89984258708802</v>
      </c>
      <c r="EG69" s="247">
        <v>388.87469693566669</v>
      </c>
      <c r="EH69" s="247">
        <v>387.84983178915269</v>
      </c>
      <c r="EI69" s="247">
        <v>386.82523395472725</v>
      </c>
      <c r="EJ69" s="247">
        <v>385.80089031950769</v>
      </c>
      <c r="EK69" s="247">
        <v>384.7767878561034</v>
      </c>
      <c r="EL69" s="247">
        <v>383.75291363729997</v>
      </c>
      <c r="EM69" s="247">
        <v>382.72925482392213</v>
      </c>
      <c r="EN69" s="247">
        <v>381.70579868192237</v>
      </c>
      <c r="EO69" s="247">
        <v>380.68253255402681</v>
      </c>
      <c r="EP69" s="247">
        <v>379.65944389478312</v>
      </c>
      <c r="EQ69" s="247">
        <v>378.63652023659017</v>
      </c>
      <c r="ER69" s="247">
        <v>377.61715005172545</v>
      </c>
      <c r="ES69" s="247">
        <v>376.59794630000096</v>
      </c>
      <c r="ET69" s="247">
        <v>375.57891815998147</v>
      </c>
      <c r="EU69" s="247">
        <v>374.56007476506181</v>
      </c>
      <c r="EV69" s="247">
        <v>373.54142517853285</v>
      </c>
      <c r="EW69" s="247">
        <v>372.52297841923593</v>
      </c>
      <c r="EX69" s="247">
        <v>371.50474345741213</v>
      </c>
      <c r="EY69" s="247">
        <v>370.4867291910171</v>
      </c>
      <c r="EZ69" s="247">
        <v>369.46894447471169</v>
      </c>
      <c r="FA69" s="247">
        <v>368.45139810772952</v>
      </c>
      <c r="FB69" s="247">
        <v>367.43409885223855</v>
      </c>
      <c r="FC69" s="247">
        <v>366.41705540579221</v>
      </c>
      <c r="FD69" s="247">
        <v>365.40418317715</v>
      </c>
      <c r="FE69" s="247">
        <v>364.39159136055417</v>
      </c>
      <c r="FF69" s="247">
        <v>363.37928202041559</v>
      </c>
      <c r="FG69" s="247">
        <v>362.36725729104637</v>
      </c>
      <c r="FH69" s="247">
        <v>361.35551920509334</v>
      </c>
      <c r="FI69" s="247">
        <v>360.3440698758771</v>
      </c>
      <c r="FJ69" s="247">
        <v>359.33291133881636</v>
      </c>
      <c r="FK69" s="247">
        <v>358.32204566910491</v>
      </c>
      <c r="FL69" s="247">
        <v>357.31147487053136</v>
      </c>
      <c r="FM69" s="247">
        <v>356.30120101453974</v>
      </c>
      <c r="FN69" s="247">
        <v>355.29122609775885</v>
      </c>
      <c r="FO69" s="247">
        <v>354.28155215417189</v>
      </c>
      <c r="FP69" s="247">
        <v>353.27281861965776</v>
      </c>
      <c r="FQ69" s="247">
        <v>352.26438523505931</v>
      </c>
      <c r="FR69" s="247">
        <v>351.25625910985588</v>
      </c>
      <c r="FS69" s="247">
        <v>350.24844735525636</v>
      </c>
      <c r="FT69" s="247">
        <v>349.24095700536679</v>
      </c>
      <c r="FU69" s="247">
        <v>348.23379507671035</v>
      </c>
      <c r="FV69" s="247">
        <v>347.22696852150045</v>
      </c>
      <c r="FW69" s="247">
        <v>346.22048426428978</v>
      </c>
      <c r="FX69" s="247">
        <v>345.21434916126901</v>
      </c>
      <c r="FY69" s="247">
        <v>344.20857005837905</v>
      </c>
      <c r="FZ69" s="247">
        <v>343.20315372969458</v>
      </c>
      <c r="GA69" s="247">
        <v>342.19810694835365</v>
      </c>
      <c r="GB69" s="247">
        <v>341.19409296418888</v>
      </c>
      <c r="GC69" s="247">
        <v>340.1904498644638</v>
      </c>
      <c r="GD69" s="247">
        <v>339.18718224726842</v>
      </c>
      <c r="GE69" s="247">
        <v>338.18429471665712</v>
      </c>
      <c r="GF69" s="247">
        <v>337.18179183410365</v>
      </c>
      <c r="GG69" s="247">
        <v>336.17967811939019</v>
      </c>
      <c r="GH69" s="247">
        <v>335.17795808118763</v>
      </c>
      <c r="GI69" s="247">
        <v>334.17663619604951</v>
      </c>
      <c r="GJ69" s="247">
        <v>333.17571691548955</v>
      </c>
      <c r="GK69" s="247">
        <v>332.17520463802919</v>
      </c>
      <c r="GL69" s="247">
        <v>331.17510379052027</v>
      </c>
      <c r="GM69" s="247">
        <v>330.17541873720711</v>
      </c>
      <c r="GN69" s="247">
        <v>329.1815016451572</v>
      </c>
      <c r="GO69" s="247">
        <v>328.18803602196164</v>
      </c>
      <c r="GP69" s="247">
        <v>327.19502701320266</v>
      </c>
      <c r="GQ69" s="247">
        <v>326.2024797310828</v>
      </c>
      <c r="GR69" s="247">
        <v>325.21039925336532</v>
      </c>
      <c r="GS69" s="247">
        <v>324.21879062416627</v>
      </c>
      <c r="GT69" s="247">
        <v>323.22765886647574</v>
      </c>
      <c r="GU69" s="247">
        <v>322.23700895912481</v>
      </c>
      <c r="GV69" s="247">
        <v>321.24684583545132</v>
      </c>
      <c r="GW69" s="247">
        <v>320.25717443172869</v>
      </c>
      <c r="GX69" s="247">
        <v>319.26799962566798</v>
      </c>
      <c r="GY69" s="247">
        <v>318.27932629722955</v>
      </c>
      <c r="GZ69" s="247">
        <v>317.29187199143331</v>
      </c>
      <c r="HA69" s="247">
        <v>316.30492507713581</v>
      </c>
      <c r="HB69" s="247">
        <v>315.31849646567963</v>
      </c>
      <c r="HC69" s="247">
        <v>314.33259699277062</v>
      </c>
      <c r="HD69" s="247">
        <v>313.34723739789797</v>
      </c>
      <c r="HE69" s="247">
        <v>312.36242840239208</v>
      </c>
      <c r="HF69" s="247">
        <v>311.37818059572851</v>
      </c>
      <c r="HG69" s="247">
        <v>310.39450454826539</v>
      </c>
      <c r="HH69" s="247">
        <v>309.41141073201163</v>
      </c>
      <c r="HI69" s="247">
        <v>308.42890958758727</v>
      </c>
      <c r="HJ69" s="247">
        <v>307.44701145403747</v>
      </c>
      <c r="HK69" s="247">
        <v>306.4657266568712</v>
      </c>
      <c r="HL69" s="247">
        <v>305.49191316014088</v>
      </c>
      <c r="HM69" s="247">
        <v>304.51875553890557</v>
      </c>
      <c r="HN69" s="247">
        <v>303.54624346429176</v>
      </c>
      <c r="HO69" s="247">
        <v>302.57436662180379</v>
      </c>
      <c r="HP69" s="247">
        <v>301.6031148312706</v>
      </c>
      <c r="HQ69" s="247">
        <v>300.63247792790423</v>
      </c>
      <c r="HR69" s="247">
        <v>299.66244584387846</v>
      </c>
      <c r="HS69" s="247">
        <v>298.69300853654585</v>
      </c>
      <c r="HT69" s="247">
        <v>297.7241560561157</v>
      </c>
      <c r="HU69" s="247">
        <v>296.7558785259381</v>
      </c>
      <c r="HV69" s="247">
        <v>295.78816610914765</v>
      </c>
      <c r="HW69" s="247">
        <v>294.82100903241115</v>
      </c>
      <c r="HX69" s="247">
        <v>293.8551659043041</v>
      </c>
      <c r="HY69" s="247">
        <v>292.8898678141444</v>
      </c>
      <c r="HZ69" s="247">
        <v>291.92512382500536</v>
      </c>
      <c r="IA69" s="247">
        <v>290.96094290727729</v>
      </c>
      <c r="IB69" s="247">
        <v>289.9973339969261</v>
      </c>
      <c r="IC69" s="247">
        <v>289.03430597620076</v>
      </c>
      <c r="ID69" s="247">
        <v>288.07186765553922</v>
      </c>
      <c r="IE69" s="247">
        <v>287.11002780980988</v>
      </c>
      <c r="IF69" s="247">
        <v>286.14879515633896</v>
      </c>
      <c r="IG69" s="247">
        <v>285.18817837431277</v>
      </c>
      <c r="IH69" s="247">
        <v>284.22818606171819</v>
      </c>
      <c r="II69" s="247">
        <v>283.26882680573442</v>
      </c>
      <c r="IJ69" s="247">
        <v>282.31089626867276</v>
      </c>
      <c r="IK69" s="247">
        <v>281.35360874203019</v>
      </c>
      <c r="IL69" s="247">
        <v>280.39697527140771</v>
      </c>
      <c r="IM69" s="247">
        <v>279.44100674805361</v>
      </c>
      <c r="IN69" s="247">
        <v>278.48571418909074</v>
      </c>
      <c r="IO69" s="247">
        <v>277.53110836440152</v>
      </c>
      <c r="IP69" s="247">
        <v>276.57720006691443</v>
      </c>
      <c r="IQ69" s="247">
        <v>275.62400003663544</v>
      </c>
      <c r="IR69" s="247">
        <v>274.67151893828827</v>
      </c>
      <c r="IS69" s="247">
        <v>273.71976738076467</v>
      </c>
      <c r="IT69" s="247">
        <v>272.76875599290963</v>
      </c>
      <c r="IU69" s="247">
        <v>271.81849525495807</v>
      </c>
      <c r="IV69" s="247">
        <v>270.87830282386506</v>
      </c>
      <c r="IW69" s="247">
        <v>269.93891098588188</v>
      </c>
      <c r="IX69" s="247">
        <v>269.00030507809043</v>
      </c>
      <c r="IY69" s="247">
        <v>268.0624706256018</v>
      </c>
      <c r="IZ69" s="247">
        <v>267.12539315195295</v>
      </c>
      <c r="JA69" s="247">
        <v>266.18905827179697</v>
      </c>
      <c r="JB69" s="247">
        <v>265.25345178190759</v>
      </c>
      <c r="JC69" s="247">
        <v>264.3185594857348</v>
      </c>
      <c r="JD69" s="247">
        <v>263.38436726775916</v>
      </c>
      <c r="JE69" s="247">
        <v>262.45086111371063</v>
      </c>
      <c r="JF69" s="247">
        <v>261.51802709704549</v>
      </c>
      <c r="JG69" s="247">
        <v>260.58585129700259</v>
      </c>
      <c r="JH69" s="247">
        <v>259.65516188461157</v>
      </c>
      <c r="JI69" s="247">
        <v>258.72511457793104</v>
      </c>
      <c r="JJ69" s="247">
        <v>257.79571658067999</v>
      </c>
      <c r="JK69" s="247">
        <v>256.8669748717914</v>
      </c>
      <c r="JL69" s="247">
        <v>255.93889657927838</v>
      </c>
      <c r="JM69" s="247">
        <v>255.01148860497096</v>
      </c>
      <c r="JN69" s="247">
        <v>254.08475798985194</v>
      </c>
      <c r="JO69" s="247">
        <v>253.15871165098261</v>
      </c>
      <c r="JP69" s="247">
        <v>252.23335654319172</v>
      </c>
      <c r="JQ69" s="247">
        <v>251.30869949593117</v>
      </c>
      <c r="JR69" s="247">
        <v>250.3847473811478</v>
      </c>
      <c r="JS69" s="247">
        <v>249.46150703218868</v>
      </c>
      <c r="JT69" s="247">
        <v>248.53007796629817</v>
      </c>
      <c r="JU69" s="247">
        <v>247.59929274460058</v>
      </c>
      <c r="JV69" s="247">
        <v>246.66914189021159</v>
      </c>
      <c r="JW69" s="247">
        <v>245.7396162106173</v>
      </c>
      <c r="JX69" s="247">
        <v>244.81070639259923</v>
      </c>
      <c r="JY69" s="247">
        <v>243.88240324073686</v>
      </c>
      <c r="JZ69" s="247">
        <v>242.95469759622287</v>
      </c>
      <c r="KA69" s="247">
        <v>242.02758034824222</v>
      </c>
      <c r="KB69" s="247">
        <v>241.10104249554379</v>
      </c>
      <c r="KC69" s="247">
        <v>240.1750750032715</v>
      </c>
      <c r="KD69" s="247">
        <v>239.24966887280132</v>
      </c>
      <c r="KE69" s="247">
        <v>238.32481523134422</v>
      </c>
      <c r="KF69" s="247">
        <v>237.40138992134587</v>
      </c>
      <c r="KG69" s="247">
        <v>236.47852933785248</v>
      </c>
      <c r="KH69" s="247">
        <v>235.55626411486389</v>
      </c>
      <c r="KI69" s="247">
        <v>234.63462454945309</v>
      </c>
      <c r="KJ69" s="247">
        <v>233.71364099317586</v>
      </c>
      <c r="KK69" s="247">
        <v>232.79334345275606</v>
      </c>
      <c r="KL69" s="247">
        <v>231.8737618996357</v>
      </c>
      <c r="KM69" s="247">
        <v>230.95492619975246</v>
      </c>
      <c r="KN69" s="247">
        <v>230.03686601521397</v>
      </c>
      <c r="KO69" s="247">
        <v>229.1196109713548</v>
      </c>
      <c r="KP69" s="247">
        <v>228.20319048961684</v>
      </c>
      <c r="KQ69" s="247">
        <v>227.28763387256109</v>
      </c>
      <c r="KR69" s="247">
        <v>226.36366541303804</v>
      </c>
      <c r="KS69" s="247">
        <v>225.44048711486712</v>
      </c>
      <c r="KT69" s="247">
        <v>224.51807487866728</v>
      </c>
      <c r="KU69" s="247">
        <v>223.59640466170512</v>
      </c>
      <c r="KV69" s="247">
        <v>222.67545248641545</v>
      </c>
      <c r="KW69" s="247">
        <v>221.75519463705385</v>
      </c>
      <c r="KX69" s="247">
        <v>220.83560738972099</v>
      </c>
      <c r="KY69" s="247">
        <v>219.91666716157027</v>
      </c>
      <c r="KZ69" s="247">
        <v>218.99835049194536</v>
      </c>
      <c r="LA69" s="247">
        <v>218.08063412890695</v>
      </c>
      <c r="LB69" s="247">
        <v>217.16349481528408</v>
      </c>
      <c r="LC69" s="247">
        <v>216.24690943736337</v>
      </c>
      <c r="LD69" s="247">
        <v>215.33177481871112</v>
      </c>
      <c r="LE69" s="247">
        <v>214.41717430358028</v>
      </c>
      <c r="LF69" s="247">
        <v>213.50312066253841</v>
      </c>
      <c r="LG69" s="247">
        <v>212.5896266153085</v>
      </c>
      <c r="LH69" s="247">
        <v>211.67670483503679</v>
      </c>
      <c r="LI69" s="247">
        <v>210.7643678734247</v>
      </c>
      <c r="LJ69" s="247">
        <v>209.85262835337355</v>
      </c>
      <c r="LK69" s="247">
        <v>208.94149871933524</v>
      </c>
      <c r="LL69" s="247">
        <v>208.03099147385788</v>
      </c>
      <c r="LM69" s="247">
        <v>207.12111893703357</v>
      </c>
      <c r="LN69" s="247">
        <v>206.21189354854246</v>
      </c>
      <c r="LO69" s="247">
        <v>205.30332762299082</v>
      </c>
      <c r="LP69" s="247">
        <v>204.39637572165003</v>
      </c>
      <c r="LQ69" s="247">
        <v>203.49008954924719</v>
      </c>
      <c r="LR69" s="247">
        <v>202.58447260374098</v>
      </c>
      <c r="LS69" s="247">
        <v>201.67952847318415</v>
      </c>
      <c r="LT69" s="247">
        <v>200.77526071484786</v>
      </c>
      <c r="LU69" s="247">
        <v>199.87167278358049</v>
      </c>
      <c r="LV69" s="247">
        <v>198.96876827954469</v>
      </c>
      <c r="LW69" s="247">
        <v>198.06655070807062</v>
      </c>
      <c r="LX69" s="247">
        <v>197.16502358451123</v>
      </c>
      <c r="LY69" s="247">
        <v>196.26419044760684</v>
      </c>
      <c r="LZ69" s="247">
        <v>195.36405478534408</v>
      </c>
      <c r="MA69" s="247">
        <v>194.46462022411825</v>
      </c>
      <c r="MB69" s="247">
        <v>193.56686552311589</v>
      </c>
      <c r="MC69" s="247">
        <v>192.66980962243687</v>
      </c>
      <c r="MD69" s="247">
        <v>191.77345629896939</v>
      </c>
      <c r="ME69" s="247">
        <v>190.87780920469584</v>
      </c>
      <c r="MF69" s="247">
        <v>189.98287204709422</v>
      </c>
      <c r="MG69" s="247">
        <v>189.08864857609515</v>
      </c>
      <c r="MH69" s="247">
        <v>188.195142528665</v>
      </c>
      <c r="MI69" s="247">
        <v>187.30235757401763</v>
      </c>
      <c r="MJ69" s="247">
        <v>186.41029752751837</v>
      </c>
      <c r="MK69" s="247">
        <v>185.51896607476786</v>
      </c>
      <c r="ML69" s="247">
        <v>184.62836698688452</v>
      </c>
      <c r="MM69" s="247">
        <v>183.73850401590317</v>
      </c>
      <c r="MN69" s="247">
        <v>182.8503891657941</v>
      </c>
      <c r="MO69" s="247">
        <v>181.96300682811014</v>
      </c>
      <c r="MP69" s="247">
        <v>181.07635890487435</v>
      </c>
      <c r="MQ69" s="247">
        <v>180.19044733382867</v>
      </c>
      <c r="MR69" s="247">
        <v>179.30527414780539</v>
      </c>
      <c r="MS69" s="247">
        <v>178.42084129525801</v>
      </c>
      <c r="MT69" s="247">
        <v>177.53715086341361</v>
      </c>
      <c r="MU69" s="247">
        <v>176.65420480466207</v>
      </c>
      <c r="MV69" s="247">
        <v>175.77200519594973</v>
      </c>
      <c r="MW69" s="247">
        <v>174.89055413699904</v>
      </c>
      <c r="MX69" s="247">
        <v>174.00985373778144</v>
      </c>
      <c r="MY69" s="247">
        <v>173.12990607336019</v>
      </c>
    </row>
    <row r="70" spans="1:363" ht="15.6" x14ac:dyDescent="0.3">
      <c r="A70" s="67" t="s">
        <v>6</v>
      </c>
      <c r="B70" s="72">
        <v>2080</v>
      </c>
      <c r="C70" s="247">
        <v>528.18782366348239</v>
      </c>
      <c r="D70" s="247">
        <v>527.15489914933289</v>
      </c>
      <c r="E70" s="247">
        <v>526.12203534542948</v>
      </c>
      <c r="F70" s="247">
        <v>525.08923100738491</v>
      </c>
      <c r="G70" s="247">
        <v>524.05648489268799</v>
      </c>
      <c r="H70" s="247">
        <v>523.02379577831391</v>
      </c>
      <c r="I70" s="247">
        <v>521.99116244158597</v>
      </c>
      <c r="J70" s="247">
        <v>520.95858373124838</v>
      </c>
      <c r="K70" s="247">
        <v>519.92605846788979</v>
      </c>
      <c r="L70" s="247">
        <v>518.89358550198494</v>
      </c>
      <c r="M70" s="247">
        <v>517.86116369294757</v>
      </c>
      <c r="N70" s="247">
        <v>516.82879198903242</v>
      </c>
      <c r="O70" s="247">
        <v>515.79646925810664</v>
      </c>
      <c r="P70" s="247">
        <v>514.76271831295037</v>
      </c>
      <c r="Q70" s="247">
        <v>513.72900074109373</v>
      </c>
      <c r="R70" s="247">
        <v>512.69531861411986</v>
      </c>
      <c r="S70" s="247">
        <v>511.66167405485567</v>
      </c>
      <c r="T70" s="247">
        <v>510.62806915202566</v>
      </c>
      <c r="U70" s="247">
        <v>509.59450597659702</v>
      </c>
      <c r="V70" s="247">
        <v>508.56098661291185</v>
      </c>
      <c r="W70" s="247">
        <v>507.52751313582212</v>
      </c>
      <c r="X70" s="247">
        <v>506.49408766194961</v>
      </c>
      <c r="Y70" s="247">
        <v>505.4607122652738</v>
      </c>
      <c r="Z70" s="247">
        <v>504.42738906590137</v>
      </c>
      <c r="AA70" s="247">
        <v>503.39412012653548</v>
      </c>
      <c r="AB70" s="247">
        <v>502.35950661867741</v>
      </c>
      <c r="AC70" s="247">
        <v>501.32493232024996</v>
      </c>
      <c r="AD70" s="247">
        <v>500.29039743826877</v>
      </c>
      <c r="AE70" s="247">
        <v>499.25590214696939</v>
      </c>
      <c r="AF70" s="247">
        <v>498.22144661607138</v>
      </c>
      <c r="AG70" s="247">
        <v>497.18703108598754</v>
      </c>
      <c r="AH70" s="247">
        <v>496.1526557598819</v>
      </c>
      <c r="AI70" s="247">
        <v>495.11832085939773</v>
      </c>
      <c r="AJ70" s="247">
        <v>494.08402659502804</v>
      </c>
      <c r="AK70" s="247">
        <v>493.04977327029292</v>
      </c>
      <c r="AL70" s="247">
        <v>492.01556112211324</v>
      </c>
      <c r="AM70" s="247">
        <v>490.98139045169404</v>
      </c>
      <c r="AN70" s="247">
        <v>489.94593548645969</v>
      </c>
      <c r="AO70" s="247">
        <v>488.91050904546017</v>
      </c>
      <c r="AP70" s="247">
        <v>487.87511411198915</v>
      </c>
      <c r="AQ70" s="247">
        <v>486.83975363636233</v>
      </c>
      <c r="AR70" s="247">
        <v>485.80443061575926</v>
      </c>
      <c r="AS70" s="247">
        <v>484.76914799969717</v>
      </c>
      <c r="AT70" s="247">
        <v>483.73390872718517</v>
      </c>
      <c r="AU70" s="247">
        <v>482.69871576488123</v>
      </c>
      <c r="AV70" s="247">
        <v>481.66357205141833</v>
      </c>
      <c r="AW70" s="247">
        <v>480.62848054016092</v>
      </c>
      <c r="AX70" s="247">
        <v>479.59344414675934</v>
      </c>
      <c r="AY70" s="247">
        <v>478.55846585612733</v>
      </c>
      <c r="AZ70" s="247">
        <v>477.52228487416488</v>
      </c>
      <c r="BA70" s="247">
        <v>476.48614170183413</v>
      </c>
      <c r="BB70" s="247">
        <v>475.45003093878699</v>
      </c>
      <c r="BC70" s="247">
        <v>474.41394718400369</v>
      </c>
      <c r="BD70" s="247">
        <v>473.37788513326575</v>
      </c>
      <c r="BE70" s="247">
        <v>472.341839480619</v>
      </c>
      <c r="BF70" s="247">
        <v>471.30580497637754</v>
      </c>
      <c r="BG70" s="247">
        <v>470.26977645087044</v>
      </c>
      <c r="BH70" s="247">
        <v>469.2337487135988</v>
      </c>
      <c r="BI70" s="247">
        <v>468.19771669096718</v>
      </c>
      <c r="BJ70" s="247">
        <v>467.16167530434177</v>
      </c>
      <c r="BK70" s="247">
        <v>466.12561953320983</v>
      </c>
      <c r="BL70" s="247">
        <v>465.08837920248408</v>
      </c>
      <c r="BM70" s="247">
        <v>464.05112981404159</v>
      </c>
      <c r="BN70" s="247">
        <v>463.01389314079921</v>
      </c>
      <c r="BO70" s="247">
        <v>461.9766907658705</v>
      </c>
      <c r="BP70" s="247">
        <v>460.93954420475291</v>
      </c>
      <c r="BQ70" s="247">
        <v>459.90247482594935</v>
      </c>
      <c r="BR70" s="247">
        <v>458.86550387059492</v>
      </c>
      <c r="BS70" s="247">
        <v>457.8286524972097</v>
      </c>
      <c r="BT70" s="247">
        <v>456.7919417204422</v>
      </c>
      <c r="BU70" s="247">
        <v>455.75539242952533</v>
      </c>
      <c r="BV70" s="247">
        <v>454.71902542782016</v>
      </c>
      <c r="BW70" s="247">
        <v>453.68286139382082</v>
      </c>
      <c r="BX70" s="247">
        <v>452.64573809020823</v>
      </c>
      <c r="BY70" s="247">
        <v>451.60879321371431</v>
      </c>
      <c r="BZ70" s="247">
        <v>450.57201218283888</v>
      </c>
      <c r="CA70" s="247">
        <v>449.53538051409748</v>
      </c>
      <c r="CB70" s="247">
        <v>448.49888381514381</v>
      </c>
      <c r="CC70" s="247">
        <v>447.46250782088276</v>
      </c>
      <c r="CD70" s="247">
        <v>446.42623833222802</v>
      </c>
      <c r="CE70" s="247">
        <v>445.3900612586441</v>
      </c>
      <c r="CF70" s="247">
        <v>444.35396261943691</v>
      </c>
      <c r="CG70" s="247">
        <v>443.31792852313379</v>
      </c>
      <c r="CH70" s="247">
        <v>442.28194518307924</v>
      </c>
      <c r="CI70" s="247">
        <v>441.24599891259504</v>
      </c>
      <c r="CJ70" s="247">
        <v>440.20890420917368</v>
      </c>
      <c r="CK70" s="247">
        <v>439.17182446206357</v>
      </c>
      <c r="CL70" s="247">
        <v>438.13476596365166</v>
      </c>
      <c r="CM70" s="247">
        <v>437.09773493662459</v>
      </c>
      <c r="CN70" s="247">
        <v>436.0607375989764</v>
      </c>
      <c r="CO70" s="247">
        <v>435.02378013471048</v>
      </c>
      <c r="CP70" s="247">
        <v>433.98686871689779</v>
      </c>
      <c r="CQ70" s="247">
        <v>432.9500094594851</v>
      </c>
      <c r="CR70" s="247">
        <v>431.91320847843554</v>
      </c>
      <c r="CS70" s="247">
        <v>430.8764718479473</v>
      </c>
      <c r="CT70" s="247">
        <v>429.83980563088613</v>
      </c>
      <c r="CU70" s="247">
        <v>428.80321584934359</v>
      </c>
      <c r="CV70" s="247">
        <v>427.76715080569801</v>
      </c>
      <c r="CW70" s="247">
        <v>426.73115651215829</v>
      </c>
      <c r="CX70" s="247">
        <v>425.69523185242372</v>
      </c>
      <c r="CY70" s="247">
        <v>424.65937570914696</v>
      </c>
      <c r="CZ70" s="247">
        <v>423.62358700242737</v>
      </c>
      <c r="DA70" s="247">
        <v>422.58786467803105</v>
      </c>
      <c r="DB70" s="247">
        <v>421.55220766156452</v>
      </c>
      <c r="DC70" s="247">
        <v>420.51661493956209</v>
      </c>
      <c r="DD70" s="247">
        <v>419.48108548291646</v>
      </c>
      <c r="DE70" s="247">
        <v>418.4456182892846</v>
      </c>
      <c r="DF70" s="247">
        <v>417.4102123959554</v>
      </c>
      <c r="DG70" s="247">
        <v>416.37486685084531</v>
      </c>
      <c r="DH70" s="247">
        <v>415.34004514764911</v>
      </c>
      <c r="DI70" s="247">
        <v>414.30528066605393</v>
      </c>
      <c r="DJ70" s="247">
        <v>413.27058174057532</v>
      </c>
      <c r="DK70" s="247">
        <v>412.23595663344037</v>
      </c>
      <c r="DL70" s="247">
        <v>411.20141359779979</v>
      </c>
      <c r="DM70" s="247">
        <v>410.16696081592443</v>
      </c>
      <c r="DN70" s="247">
        <v>409.13260642862241</v>
      </c>
      <c r="DO70" s="247">
        <v>408.09835855742244</v>
      </c>
      <c r="DP70" s="247">
        <v>407.06422526155211</v>
      </c>
      <c r="DQ70" s="247">
        <v>406.03021455524566</v>
      </c>
      <c r="DR70" s="247">
        <v>404.99633442033434</v>
      </c>
      <c r="DS70" s="247">
        <v>403.96259279412811</v>
      </c>
      <c r="DT70" s="247">
        <v>402.93142443947676</v>
      </c>
      <c r="DU70" s="247">
        <v>401.9004185294591</v>
      </c>
      <c r="DV70" s="247">
        <v>400.86958670226971</v>
      </c>
      <c r="DW70" s="247">
        <v>399.83894053451496</v>
      </c>
      <c r="DX70" s="247">
        <v>398.80849152925947</v>
      </c>
      <c r="DY70" s="247">
        <v>397.77825112047725</v>
      </c>
      <c r="DZ70" s="247">
        <v>396.74823065202781</v>
      </c>
      <c r="EA70" s="247">
        <v>395.71844144436182</v>
      </c>
      <c r="EB70" s="247">
        <v>394.68889471459244</v>
      </c>
      <c r="EC70" s="247">
        <v>393.65960162000232</v>
      </c>
      <c r="ED70" s="247">
        <v>392.6305732635733</v>
      </c>
      <c r="EE70" s="247">
        <v>391.60182069734668</v>
      </c>
      <c r="EF70" s="247">
        <v>390.57623507670701</v>
      </c>
      <c r="EG70" s="247">
        <v>389.55093912725812</v>
      </c>
      <c r="EH70" s="247">
        <v>388.52591977709488</v>
      </c>
      <c r="EI70" s="247">
        <v>387.50116406464298</v>
      </c>
      <c r="EJ70" s="247">
        <v>386.47665910707809</v>
      </c>
      <c r="EK70" s="247">
        <v>385.45239210567945</v>
      </c>
      <c r="EL70" s="247">
        <v>384.42835036035507</v>
      </c>
      <c r="EM70" s="247">
        <v>383.40452125775175</v>
      </c>
      <c r="EN70" s="247">
        <v>382.38089228792364</v>
      </c>
      <c r="EO70" s="247">
        <v>381.35745101665208</v>
      </c>
      <c r="EP70" s="247">
        <v>380.33418511976635</v>
      </c>
      <c r="EQ70" s="247">
        <v>379.31108234989927</v>
      </c>
      <c r="ER70" s="247">
        <v>378.29150299226774</v>
      </c>
      <c r="ES70" s="247">
        <v>377.27208824163608</v>
      </c>
      <c r="ET70" s="247">
        <v>376.25284715119318</v>
      </c>
      <c r="EU70" s="247">
        <v>375.23378872994704</v>
      </c>
      <c r="EV70" s="247">
        <v>374.21492191824177</v>
      </c>
      <c r="EW70" s="247">
        <v>373.19625561291576</v>
      </c>
      <c r="EX70" s="247">
        <v>372.17779866329602</v>
      </c>
      <c r="EY70" s="247">
        <v>371.1595598479073</v>
      </c>
      <c r="EZ70" s="247">
        <v>370.14154790289348</v>
      </c>
      <c r="FA70" s="247">
        <v>369.12377151026891</v>
      </c>
      <c r="FB70" s="247">
        <v>368.10623931584479</v>
      </c>
      <c r="FC70" s="247">
        <v>367.0889599022745</v>
      </c>
      <c r="FD70" s="247">
        <v>366.07582245255992</v>
      </c>
      <c r="FE70" s="247">
        <v>365.06296221211483</v>
      </c>
      <c r="FF70" s="247">
        <v>364.0503812306078</v>
      </c>
      <c r="FG70" s="247">
        <v>363.03808162682952</v>
      </c>
      <c r="FH70" s="247">
        <v>362.0260654196295</v>
      </c>
      <c r="FI70" s="247">
        <v>361.01433470756416</v>
      </c>
      <c r="FJ70" s="247">
        <v>360.00289151265866</v>
      </c>
      <c r="FK70" s="247">
        <v>358.99173789643265</v>
      </c>
      <c r="FL70" s="247">
        <v>357.98087585018902</v>
      </c>
      <c r="FM70" s="247">
        <v>356.97030743228134</v>
      </c>
      <c r="FN70" s="247">
        <v>355.96003462752952</v>
      </c>
      <c r="FO70" s="247">
        <v>354.95005945794441</v>
      </c>
      <c r="FP70" s="247">
        <v>353.9410022954138</v>
      </c>
      <c r="FQ70" s="247">
        <v>352.9322418412487</v>
      </c>
      <c r="FR70" s="247">
        <v>351.92378511936204</v>
      </c>
      <c r="FS70" s="247">
        <v>350.91563915564296</v>
      </c>
      <c r="FT70" s="247">
        <v>349.90781090031749</v>
      </c>
      <c r="FU70" s="247">
        <v>348.90030728651175</v>
      </c>
      <c r="FV70" s="247">
        <v>347.8931351842815</v>
      </c>
      <c r="FW70" s="247">
        <v>346.8863014367509</v>
      </c>
      <c r="FX70" s="247">
        <v>345.87981281989136</v>
      </c>
      <c r="FY70" s="247">
        <v>344.87367609997904</v>
      </c>
      <c r="FZ70" s="247">
        <v>343.86789797272138</v>
      </c>
      <c r="GA70" s="247">
        <v>342.8624851333247</v>
      </c>
      <c r="GB70" s="247">
        <v>341.85808150099007</v>
      </c>
      <c r="GC70" s="247">
        <v>340.8540443609777</v>
      </c>
      <c r="GD70" s="247">
        <v>339.8503782623427</v>
      </c>
      <c r="GE70" s="247">
        <v>338.84708776025764</v>
      </c>
      <c r="GF70" s="247">
        <v>337.84417736823173</v>
      </c>
      <c r="GG70" s="247">
        <v>336.84165155887803</v>
      </c>
      <c r="GH70" s="247">
        <v>335.83951479414804</v>
      </c>
      <c r="GI70" s="247">
        <v>334.83777150464192</v>
      </c>
      <c r="GJ70" s="247">
        <v>333.83642609647831</v>
      </c>
      <c r="GK70" s="247">
        <v>332.83548292391703</v>
      </c>
      <c r="GL70" s="247">
        <v>331.83494636939247</v>
      </c>
      <c r="GM70" s="247">
        <v>330.83482075401145</v>
      </c>
      <c r="GN70" s="247">
        <v>329.84043459782396</v>
      </c>
      <c r="GO70" s="247">
        <v>328.84649493627217</v>
      </c>
      <c r="GP70" s="247">
        <v>327.85300686326923</v>
      </c>
      <c r="GQ70" s="247">
        <v>326.85997544001845</v>
      </c>
      <c r="GR70" s="247">
        <v>325.86740569405782</v>
      </c>
      <c r="GS70" s="247">
        <v>324.87530261991583</v>
      </c>
      <c r="GT70" s="247">
        <v>323.88367119158107</v>
      </c>
      <c r="GU70" s="247">
        <v>322.89251633975204</v>
      </c>
      <c r="GV70" s="247">
        <v>321.90184295044804</v>
      </c>
      <c r="GW70" s="247">
        <v>320.9116559129626</v>
      </c>
      <c r="GX70" s="247">
        <v>319.9219600590398</v>
      </c>
      <c r="GY70" s="247">
        <v>318.9327602230245</v>
      </c>
      <c r="GZ70" s="247">
        <v>317.94475491836585</v>
      </c>
      <c r="HA70" s="247">
        <v>316.95725137137578</v>
      </c>
      <c r="HB70" s="247">
        <v>315.97026036784382</v>
      </c>
      <c r="HC70" s="247">
        <v>314.98379261920962</v>
      </c>
      <c r="HD70" s="247">
        <v>313.99785874232811</v>
      </c>
      <c r="HE70" s="247">
        <v>313.01246933639771</v>
      </c>
      <c r="HF70" s="247">
        <v>312.02763487083456</v>
      </c>
      <c r="HG70" s="247">
        <v>311.04336579654768</v>
      </c>
      <c r="HH70" s="247">
        <v>310.05967246764936</v>
      </c>
      <c r="HI70" s="247">
        <v>309.07656520770234</v>
      </c>
      <c r="HJ70" s="247">
        <v>308.09405424031411</v>
      </c>
      <c r="HK70" s="247">
        <v>307.1121497761755</v>
      </c>
      <c r="HL70" s="247">
        <v>306.13769199627234</v>
      </c>
      <c r="HM70" s="247">
        <v>305.16388330769905</v>
      </c>
      <c r="HN70" s="247">
        <v>304.19071352039612</v>
      </c>
      <c r="HO70" s="247">
        <v>303.21817245856579</v>
      </c>
      <c r="HP70" s="247">
        <v>302.24625007926875</v>
      </c>
      <c r="HQ70" s="247">
        <v>301.27493635478231</v>
      </c>
      <c r="HR70" s="247">
        <v>300.30422135332657</v>
      </c>
      <c r="HS70" s="247">
        <v>299.33409516810934</v>
      </c>
      <c r="HT70" s="247">
        <v>298.3645479841478</v>
      </c>
      <c r="HU70" s="247">
        <v>297.39557005891851</v>
      </c>
      <c r="HV70" s="247">
        <v>296.42715168929607</v>
      </c>
      <c r="HW70" s="247">
        <v>295.4592832351363</v>
      </c>
      <c r="HX70" s="247">
        <v>294.49270495087086</v>
      </c>
      <c r="HY70" s="247">
        <v>293.52666632107815</v>
      </c>
      <c r="HZ70" s="247">
        <v>292.56117631654081</v>
      </c>
      <c r="IA70" s="247">
        <v>291.59624381673433</v>
      </c>
      <c r="IB70" s="247">
        <v>290.63187766747029</v>
      </c>
      <c r="IC70" s="247">
        <v>289.66808666171733</v>
      </c>
      <c r="ID70" s="247">
        <v>288.7048795218243</v>
      </c>
      <c r="IE70" s="247">
        <v>287.74226493531575</v>
      </c>
      <c r="IF70" s="247">
        <v>286.78025153311273</v>
      </c>
      <c r="IG70" s="247">
        <v>285.81884790884243</v>
      </c>
      <c r="IH70" s="247">
        <v>284.85806257617844</v>
      </c>
      <c r="II70" s="247">
        <v>283.89790403851595</v>
      </c>
      <c r="IJ70" s="247">
        <v>282.93914918150335</v>
      </c>
      <c r="IK70" s="247">
        <v>281.98103087513704</v>
      </c>
      <c r="IL70" s="247">
        <v>281.02356005055333</v>
      </c>
      <c r="IM70" s="247">
        <v>280.06674748664642</v>
      </c>
      <c r="IN70" s="247">
        <v>279.11060408704691</v>
      </c>
      <c r="IO70" s="247">
        <v>278.15514051131476</v>
      </c>
      <c r="IP70" s="247">
        <v>277.20036744211961</v>
      </c>
      <c r="IQ70" s="247">
        <v>276.24629551016562</v>
      </c>
      <c r="IR70" s="247">
        <v>275.29293527201321</v>
      </c>
      <c r="IS70" s="247">
        <v>274.3402972294511</v>
      </c>
      <c r="IT70" s="247">
        <v>273.38839190426398</v>
      </c>
      <c r="IU70" s="247">
        <v>272.43722967177854</v>
      </c>
      <c r="IV70" s="247">
        <v>271.49612128616377</v>
      </c>
      <c r="IW70" s="247">
        <v>270.55580609959986</v>
      </c>
      <c r="IX70" s="247">
        <v>269.61626962215723</v>
      </c>
      <c r="IY70" s="247">
        <v>268.67749754993645</v>
      </c>
      <c r="IZ70" s="247">
        <v>267.73947557758078</v>
      </c>
      <c r="JA70" s="247">
        <v>266.80218948986135</v>
      </c>
      <c r="JB70" s="247">
        <v>265.86562525182336</v>
      </c>
      <c r="JC70" s="247">
        <v>264.92976883519032</v>
      </c>
      <c r="JD70" s="247">
        <v>263.99460629188917</v>
      </c>
      <c r="JE70" s="247">
        <v>263.06012377416397</v>
      </c>
      <c r="JF70" s="247">
        <v>262.12630752111721</v>
      </c>
      <c r="JG70" s="247">
        <v>261.19314377774128</v>
      </c>
      <c r="JH70" s="247">
        <v>260.26144301390798</v>
      </c>
      <c r="JI70" s="247">
        <v>259.33037875586842</v>
      </c>
      <c r="JJ70" s="247">
        <v>258.399958144945</v>
      </c>
      <c r="JK70" s="247">
        <v>257.47018810031534</v>
      </c>
      <c r="JL70" s="247">
        <v>256.54107568895182</v>
      </c>
      <c r="JM70" s="247">
        <v>255.61262775425968</v>
      </c>
      <c r="JN70" s="247">
        <v>254.68485127762082</v>
      </c>
      <c r="JO70" s="247">
        <v>253.7577531180861</v>
      </c>
      <c r="JP70" s="247">
        <v>252.831340172305</v>
      </c>
      <c r="JQ70" s="247">
        <v>251.90561921323194</v>
      </c>
      <c r="JR70" s="247">
        <v>250.98059705610981</v>
      </c>
      <c r="JS70" s="247">
        <v>250.05628047834904</v>
      </c>
      <c r="JT70" s="247">
        <v>249.12373593808925</v>
      </c>
      <c r="JU70" s="247">
        <v>248.19182904987485</v>
      </c>
      <c r="JV70" s="247">
        <v>247.26055046311356</v>
      </c>
      <c r="JW70" s="247">
        <v>246.32989110836738</v>
      </c>
      <c r="JX70" s="247">
        <v>245.399841797081</v>
      </c>
      <c r="JY70" s="247">
        <v>244.47039345719242</v>
      </c>
      <c r="JZ70" s="247">
        <v>243.5415370530099</v>
      </c>
      <c r="KA70" s="247">
        <v>242.6132635964311</v>
      </c>
      <c r="KB70" s="247">
        <v>241.68556420774985</v>
      </c>
      <c r="KC70" s="247">
        <v>240.75842997428063</v>
      </c>
      <c r="KD70" s="247">
        <v>239.83185201929086</v>
      </c>
      <c r="KE70" s="247">
        <v>238.90582159067154</v>
      </c>
      <c r="KF70" s="247">
        <v>237.98119456205481</v>
      </c>
      <c r="KG70" s="247">
        <v>237.05712707076634</v>
      </c>
      <c r="KH70" s="247">
        <v>236.1336494113917</v>
      </c>
      <c r="KI70" s="247">
        <v>235.21079154589415</v>
      </c>
      <c r="KJ70" s="247">
        <v>234.28858349055162</v>
      </c>
      <c r="KK70" s="247">
        <v>233.36705492115425</v>
      </c>
      <c r="KL70" s="247">
        <v>232.44623547906409</v>
      </c>
      <c r="KM70" s="247">
        <v>231.52615470177511</v>
      </c>
      <c r="KN70" s="247">
        <v>230.60684192565273</v>
      </c>
      <c r="KO70" s="247">
        <v>229.68832645119076</v>
      </c>
      <c r="KP70" s="247">
        <v>228.77063737769916</v>
      </c>
      <c r="KQ70" s="247">
        <v>227.85380368743859</v>
      </c>
      <c r="KR70" s="247">
        <v>226.92852277609339</v>
      </c>
      <c r="KS70" s="247">
        <v>226.00402352005838</v>
      </c>
      <c r="KT70" s="247">
        <v>225.08028213996815</v>
      </c>
      <c r="KU70" s="247">
        <v>224.15727491237888</v>
      </c>
      <c r="KV70" s="247">
        <v>223.23497817828095</v>
      </c>
      <c r="KW70" s="247">
        <v>222.31336853716593</v>
      </c>
      <c r="KX70" s="247">
        <v>221.39242258056456</v>
      </c>
      <c r="KY70" s="247">
        <v>220.4721170393702</v>
      </c>
      <c r="KZ70" s="247">
        <v>219.55242876515388</v>
      </c>
      <c r="LA70" s="247">
        <v>218.63333481576223</v>
      </c>
      <c r="LB70" s="247">
        <v>217.71481224393827</v>
      </c>
      <c r="LC70" s="247">
        <v>216.79683824428636</v>
      </c>
      <c r="LD70" s="247">
        <v>215.8802874057593</v>
      </c>
      <c r="LE70" s="247">
        <v>214.96426544720802</v>
      </c>
      <c r="LF70" s="247">
        <v>214.04878499675323</v>
      </c>
      <c r="LG70" s="247">
        <v>213.13385863255002</v>
      </c>
      <c r="LH70" s="247">
        <v>212.21949888707707</v>
      </c>
      <c r="LI70" s="247">
        <v>211.30571817308021</v>
      </c>
      <c r="LJ70" s="247">
        <v>210.3925289739249</v>
      </c>
      <c r="LK70" s="247">
        <v>209.47994359703694</v>
      </c>
      <c r="LL70" s="247">
        <v>208.56797440742744</v>
      </c>
      <c r="LM70" s="247">
        <v>207.65663359027948</v>
      </c>
      <c r="LN70" s="247">
        <v>206.74593344911125</v>
      </c>
      <c r="LO70" s="247">
        <v>205.8358861642821</v>
      </c>
      <c r="LP70" s="247">
        <v>204.92742322836713</v>
      </c>
      <c r="LQ70" s="247">
        <v>204.01961922546738</v>
      </c>
      <c r="LR70" s="247">
        <v>203.11247762702291</v>
      </c>
      <c r="LS70" s="247">
        <v>202.20600199360521</v>
      </c>
      <c r="LT70" s="247">
        <v>201.300195855634</v>
      </c>
      <c r="LU70" s="247">
        <v>200.39506264249448</v>
      </c>
      <c r="LV70" s="247">
        <v>199.49060592731561</v>
      </c>
      <c r="LW70" s="247">
        <v>198.58682918978315</v>
      </c>
      <c r="LX70" s="247">
        <v>197.68373591962197</v>
      </c>
      <c r="LY70" s="247">
        <v>196.78132962994226</v>
      </c>
      <c r="LZ70" s="247">
        <v>195.87961378390085</v>
      </c>
      <c r="MA70" s="247">
        <v>194.97859198163948</v>
      </c>
      <c r="MB70" s="247">
        <v>194.07921946842197</v>
      </c>
      <c r="MC70" s="247">
        <v>193.18053861047954</v>
      </c>
      <c r="MD70" s="247">
        <v>192.28255315429254</v>
      </c>
      <c r="ME70" s="247">
        <v>191.38526672311846</v>
      </c>
      <c r="MF70" s="247">
        <v>190.48868299524017</v>
      </c>
      <c r="MG70" s="247">
        <v>189.59280569095657</v>
      </c>
      <c r="MH70" s="247">
        <v>188.69763851797302</v>
      </c>
      <c r="MI70" s="247">
        <v>187.80318511725852</v>
      </c>
      <c r="MJ70" s="247">
        <v>186.90944927424249</v>
      </c>
      <c r="MK70" s="247">
        <v>186.01643464644883</v>
      </c>
      <c r="ML70" s="247">
        <v>185.12414497600278</v>
      </c>
      <c r="MM70" s="247">
        <v>184.23258398644441</v>
      </c>
      <c r="MN70" s="247">
        <v>183.34273957437412</v>
      </c>
      <c r="MO70" s="247">
        <v>182.45362016014332</v>
      </c>
      <c r="MP70" s="247">
        <v>181.56522763766185</v>
      </c>
      <c r="MQ70" s="247">
        <v>180.67756393621596</v>
      </c>
      <c r="MR70" s="247">
        <v>179.79063107919001</v>
      </c>
      <c r="MS70" s="247">
        <v>178.90443100668602</v>
      </c>
      <c r="MT70" s="247">
        <v>178.0189657960405</v>
      </c>
      <c r="MU70" s="247">
        <v>177.13423739156502</v>
      </c>
      <c r="MV70" s="247">
        <v>176.25024786066521</v>
      </c>
      <c r="MW70" s="247">
        <v>175.36699929346798</v>
      </c>
      <c r="MX70" s="247">
        <v>174.48449379032687</v>
      </c>
      <c r="MY70" s="247">
        <v>173.60273341734484</v>
      </c>
    </row>
    <row r="71" spans="1:363" ht="15.6" x14ac:dyDescent="0.3">
      <c r="A71" s="67" t="s">
        <v>6</v>
      </c>
      <c r="B71" s="72">
        <v>2081</v>
      </c>
      <c r="C71" s="247">
        <v>528.85442827895383</v>
      </c>
      <c r="D71" s="247">
        <v>527.8216197486239</v>
      </c>
      <c r="E71" s="247">
        <v>526.78887209027414</v>
      </c>
      <c r="F71" s="247">
        <v>525.75618408410708</v>
      </c>
      <c r="G71" s="247">
        <v>524.72355451232113</v>
      </c>
      <c r="H71" s="247">
        <v>523.69098217660201</v>
      </c>
      <c r="I71" s="247">
        <v>522.65846587908629</v>
      </c>
      <c r="J71" s="247">
        <v>521.62600449270769</v>
      </c>
      <c r="K71" s="247">
        <v>520.59359686277196</v>
      </c>
      <c r="L71" s="247">
        <v>519.56124186426177</v>
      </c>
      <c r="M71" s="247">
        <v>518.5289383812576</v>
      </c>
      <c r="N71" s="247">
        <v>517.49668538581534</v>
      </c>
      <c r="O71" s="247">
        <v>516.4644817708263</v>
      </c>
      <c r="P71" s="247">
        <v>515.43083395029373</v>
      </c>
      <c r="Q71" s="247">
        <v>514.39721990976079</v>
      </c>
      <c r="R71" s="247">
        <v>513.3636417050966</v>
      </c>
      <c r="S71" s="247">
        <v>512.33010144293962</v>
      </c>
      <c r="T71" s="247">
        <v>511.29660119652129</v>
      </c>
      <c r="U71" s="247">
        <v>510.26314302169305</v>
      </c>
      <c r="V71" s="247">
        <v>509.22972898775322</v>
      </c>
      <c r="W71" s="247">
        <v>508.19636115487651</v>
      </c>
      <c r="X71" s="247">
        <v>507.1630416246378</v>
      </c>
      <c r="Y71" s="247">
        <v>506.12977245683163</v>
      </c>
      <c r="Z71" s="247">
        <v>505.09655575699611</v>
      </c>
      <c r="AA71" s="247">
        <v>504.06339357431773</v>
      </c>
      <c r="AB71" s="247">
        <v>503.0288719644015</v>
      </c>
      <c r="AC71" s="247">
        <v>501.99438981293895</v>
      </c>
      <c r="AD71" s="247">
        <v>500.95994733561025</v>
      </c>
      <c r="AE71" s="247">
        <v>499.92554471593462</v>
      </c>
      <c r="AF71" s="247">
        <v>498.89118213323178</v>
      </c>
      <c r="AG71" s="247">
        <v>497.85685983668481</v>
      </c>
      <c r="AH71" s="247">
        <v>496.82257803897431</v>
      </c>
      <c r="AI71" s="247">
        <v>495.78833697124702</v>
      </c>
      <c r="AJ71" s="247">
        <v>494.75413685380784</v>
      </c>
      <c r="AK71" s="247">
        <v>493.71997799902238</v>
      </c>
      <c r="AL71" s="247">
        <v>492.68586065377065</v>
      </c>
      <c r="AM71" s="247">
        <v>491.65178512865486</v>
      </c>
      <c r="AN71" s="247">
        <v>490.61641174172161</v>
      </c>
      <c r="AO71" s="247">
        <v>489.58106719998869</v>
      </c>
      <c r="AP71" s="247">
        <v>488.54575445530116</v>
      </c>
      <c r="AQ71" s="247">
        <v>487.51047642721636</v>
      </c>
      <c r="AR71" s="247">
        <v>486.47523608175914</v>
      </c>
      <c r="AS71" s="247">
        <v>485.44003633815777</v>
      </c>
      <c r="AT71" s="247">
        <v>484.40488010556288</v>
      </c>
      <c r="AU71" s="247">
        <v>483.36977032063902</v>
      </c>
      <c r="AV71" s="247">
        <v>482.33470989262315</v>
      </c>
      <c r="AW71" s="247">
        <v>481.29970174561919</v>
      </c>
      <c r="AX71" s="247">
        <v>480.26474876679822</v>
      </c>
      <c r="AY71" s="247">
        <v>479.22985391194425</v>
      </c>
      <c r="AZ71" s="247">
        <v>478.19374356894633</v>
      </c>
      <c r="BA71" s="247">
        <v>477.15767113629119</v>
      </c>
      <c r="BB71" s="247">
        <v>476.12163131113022</v>
      </c>
      <c r="BC71" s="247">
        <v>475.08561879008795</v>
      </c>
      <c r="BD71" s="247">
        <v>474.04962836529404</v>
      </c>
      <c r="BE71" s="247">
        <v>473.01365482727209</v>
      </c>
      <c r="BF71" s="247">
        <v>471.97769302212521</v>
      </c>
      <c r="BG71" s="247">
        <v>470.94173787493258</v>
      </c>
      <c r="BH71" s="247">
        <v>469.90578429038419</v>
      </c>
      <c r="BI71" s="247">
        <v>468.86982728851837</v>
      </c>
      <c r="BJ71" s="247">
        <v>467.83386188457786</v>
      </c>
      <c r="BK71" s="247">
        <v>466.79788315131481</v>
      </c>
      <c r="BL71" s="247">
        <v>465.76070901796743</v>
      </c>
      <c r="BM71" s="247">
        <v>464.72352661821799</v>
      </c>
      <c r="BN71" s="247">
        <v>463.68635737769438</v>
      </c>
      <c r="BO71" s="247">
        <v>462.64922253578425</v>
      </c>
      <c r="BP71" s="247">
        <v>461.61214326587566</v>
      </c>
      <c r="BQ71" s="247">
        <v>460.57514059718284</v>
      </c>
      <c r="BR71" s="247">
        <v>459.53823543412852</v>
      </c>
      <c r="BS71" s="247">
        <v>458.50144860040172</v>
      </c>
      <c r="BT71" s="247">
        <v>457.46480077857098</v>
      </c>
      <c r="BU71" s="247">
        <v>456.42831252844695</v>
      </c>
      <c r="BV71" s="247">
        <v>455.39200432582277</v>
      </c>
      <c r="BW71" s="247">
        <v>454.35589652427552</v>
      </c>
      <c r="BX71" s="247">
        <v>453.31881595256203</v>
      </c>
      <c r="BY71" s="247">
        <v>452.28191127182026</v>
      </c>
      <c r="BZ71" s="247">
        <v>451.24516817235832</v>
      </c>
      <c r="CA71" s="247">
        <v>450.20857244082544</v>
      </c>
      <c r="CB71" s="247">
        <v>449.17210995354611</v>
      </c>
      <c r="CC71" s="247">
        <v>448.13576671188957</v>
      </c>
      <c r="CD71" s="247">
        <v>447.09952878217166</v>
      </c>
      <c r="CE71" s="247">
        <v>446.06338233751035</v>
      </c>
      <c r="CF71" s="247">
        <v>445.0273136589451</v>
      </c>
      <c r="CG71" s="247">
        <v>443.99130911539294</v>
      </c>
      <c r="CH71" s="247">
        <v>442.95535517881626</v>
      </c>
      <c r="CI71" s="247">
        <v>441.9194384196424</v>
      </c>
      <c r="CJ71" s="247">
        <v>440.88236399956833</v>
      </c>
      <c r="CK71" s="247">
        <v>439.84530480657537</v>
      </c>
      <c r="CL71" s="247">
        <v>438.80826703246663</v>
      </c>
      <c r="CM71" s="247">
        <v>437.77125680090967</v>
      </c>
      <c r="CN71" s="247">
        <v>436.73428023131999</v>
      </c>
      <c r="CO71" s="247">
        <v>435.69734340999867</v>
      </c>
      <c r="CP71" s="247">
        <v>434.66045241282882</v>
      </c>
      <c r="CQ71" s="247">
        <v>433.62361325805921</v>
      </c>
      <c r="CR71" s="247">
        <v>432.58683196612719</v>
      </c>
      <c r="CS71" s="247">
        <v>431.5501145169311</v>
      </c>
      <c r="CT71" s="247">
        <v>430.51346687953389</v>
      </c>
      <c r="CU71" s="247">
        <v>429.47689498344698</v>
      </c>
      <c r="CV71" s="247">
        <v>428.44082814761606</v>
      </c>
      <c r="CW71" s="247">
        <v>427.40483130217223</v>
      </c>
      <c r="CX71" s="247">
        <v>426.36890336771802</v>
      </c>
      <c r="CY71" s="247">
        <v>425.33304326401134</v>
      </c>
      <c r="CZ71" s="247">
        <v>424.29724994785295</v>
      </c>
      <c r="DA71" s="247">
        <v>423.26152240139783</v>
      </c>
      <c r="DB71" s="247">
        <v>422.22585958723965</v>
      </c>
      <c r="DC71" s="247">
        <v>421.19026052810119</v>
      </c>
      <c r="DD71" s="247">
        <v>420.1547242314698</v>
      </c>
      <c r="DE71" s="247">
        <v>419.11924973148382</v>
      </c>
      <c r="DF71" s="247">
        <v>418.08383610138355</v>
      </c>
      <c r="DG71" s="247">
        <v>417.04848242522911</v>
      </c>
      <c r="DH71" s="247">
        <v>416.01363305678206</v>
      </c>
      <c r="DI71" s="247">
        <v>414.97884040275977</v>
      </c>
      <c r="DJ71" s="247">
        <v>413.94411266057756</v>
      </c>
      <c r="DK71" s="247">
        <v>412.90945795698389</v>
      </c>
      <c r="DL71" s="247">
        <v>411.87488441021759</v>
      </c>
      <c r="DM71" s="247">
        <v>410.84040006920407</v>
      </c>
      <c r="DN71" s="247">
        <v>409.80601294251193</v>
      </c>
      <c r="DO71" s="247">
        <v>408.77173102021175</v>
      </c>
      <c r="DP71" s="247">
        <v>407.7375622314504</v>
      </c>
      <c r="DQ71" s="247">
        <v>406.70351446169349</v>
      </c>
      <c r="DR71" s="247">
        <v>405.66959556491213</v>
      </c>
      <c r="DS71" s="247">
        <v>404.6358133518699</v>
      </c>
      <c r="DT71" s="247">
        <v>403.60457251667555</v>
      </c>
      <c r="DU71" s="247">
        <v>402.57349190370144</v>
      </c>
      <c r="DV71" s="247">
        <v>401.54258296540462</v>
      </c>
      <c r="DW71" s="247">
        <v>400.51185709405735</v>
      </c>
      <c r="DX71" s="247">
        <v>399.48132561009413</v>
      </c>
      <c r="DY71" s="247">
        <v>398.4509997663589</v>
      </c>
      <c r="DZ71" s="247">
        <v>397.42089072752822</v>
      </c>
      <c r="EA71" s="247">
        <v>396.3910096357223</v>
      </c>
      <c r="EB71" s="247">
        <v>395.36136753179318</v>
      </c>
      <c r="EC71" s="247">
        <v>394.33197539831104</v>
      </c>
      <c r="ED71" s="247">
        <v>393.30284416483261</v>
      </c>
      <c r="EE71" s="247">
        <v>392.27398471137496</v>
      </c>
      <c r="EF71" s="247">
        <v>391.24825836530141</v>
      </c>
      <c r="EG71" s="247">
        <v>390.22281762327185</v>
      </c>
      <c r="EH71" s="247">
        <v>389.19764964273054</v>
      </c>
      <c r="EI71" s="247">
        <v>388.17274168968845</v>
      </c>
      <c r="EJ71" s="247">
        <v>387.14808110774669</v>
      </c>
      <c r="EK71" s="247">
        <v>386.12365532324674</v>
      </c>
      <c r="EL71" s="247">
        <v>385.09945185964233</v>
      </c>
      <c r="EM71" s="247">
        <v>384.07545832585339</v>
      </c>
      <c r="EN71" s="247">
        <v>383.05166243251409</v>
      </c>
      <c r="EO71" s="247">
        <v>382.02805196496274</v>
      </c>
      <c r="EP71" s="247">
        <v>381.00461481685153</v>
      </c>
      <c r="EQ71" s="247">
        <v>379.98133895759258</v>
      </c>
      <c r="ER71" s="247">
        <v>378.96155621854467</v>
      </c>
      <c r="ES71" s="247">
        <v>377.94193629230227</v>
      </c>
      <c r="ET71" s="247">
        <v>376.92248810840948</v>
      </c>
      <c r="EU71" s="247">
        <v>375.90322055319587</v>
      </c>
      <c r="EV71" s="247">
        <v>374.8841424457529</v>
      </c>
      <c r="EW71" s="247">
        <v>373.86526256259481</v>
      </c>
      <c r="EX71" s="247">
        <v>372.84658963379212</v>
      </c>
      <c r="EY71" s="247">
        <v>371.82813232007931</v>
      </c>
      <c r="EZ71" s="247">
        <v>370.80989924070821</v>
      </c>
      <c r="FA71" s="247">
        <v>369.79189896207572</v>
      </c>
      <c r="FB71" s="247">
        <v>368.77414001523971</v>
      </c>
      <c r="FC71" s="247">
        <v>367.75663086951573</v>
      </c>
      <c r="FD71" s="247">
        <v>366.7432341058074</v>
      </c>
      <c r="FE71" s="247">
        <v>365.73011139477421</v>
      </c>
      <c r="FF71" s="247">
        <v>364.71726477145404</v>
      </c>
      <c r="FG71" s="247">
        <v>363.70469633923324</v>
      </c>
      <c r="FH71" s="247">
        <v>362.69240810326727</v>
      </c>
      <c r="FI71" s="247">
        <v>361.68040214746162</v>
      </c>
      <c r="FJ71" s="247">
        <v>360.66868048054295</v>
      </c>
      <c r="FK71" s="247">
        <v>359.6572451504577</v>
      </c>
      <c r="FL71" s="247">
        <v>358.64609813610718</v>
      </c>
      <c r="FM71" s="247">
        <v>357.63524148285114</v>
      </c>
      <c r="FN71" s="247">
        <v>356.62467716378109</v>
      </c>
      <c r="FO71" s="247">
        <v>355.61440718901628</v>
      </c>
      <c r="FP71" s="247">
        <v>354.60503303468641</v>
      </c>
      <c r="FQ71" s="247">
        <v>353.59595219558014</v>
      </c>
      <c r="FR71" s="247">
        <v>352.58717161107353</v>
      </c>
      <c r="FS71" s="247">
        <v>351.57869822276211</v>
      </c>
      <c r="FT71" s="247">
        <v>350.57053889799209</v>
      </c>
      <c r="FU71" s="247">
        <v>349.56270048749792</v>
      </c>
      <c r="FV71" s="247">
        <v>348.55518978015215</v>
      </c>
      <c r="FW71" s="247">
        <v>347.54801353863212</v>
      </c>
      <c r="FX71" s="247">
        <v>346.54117845963833</v>
      </c>
      <c r="FY71" s="247">
        <v>345.53469123073614</v>
      </c>
      <c r="FZ71" s="247">
        <v>344.52855847019543</v>
      </c>
      <c r="GA71" s="247">
        <v>343.52278679622191</v>
      </c>
      <c r="GB71" s="247">
        <v>342.51800096795574</v>
      </c>
      <c r="GC71" s="247">
        <v>341.51357729968151</v>
      </c>
      <c r="GD71" s="247">
        <v>340.50952029194519</v>
      </c>
      <c r="GE71" s="247">
        <v>339.50583445157116</v>
      </c>
      <c r="GF71" s="247">
        <v>338.50252424462059</v>
      </c>
      <c r="GG71" s="247">
        <v>337.49959409704542</v>
      </c>
      <c r="GH71" s="247">
        <v>336.49704842458164</v>
      </c>
      <c r="GI71" s="247">
        <v>335.49489161237119</v>
      </c>
      <c r="GJ71" s="247">
        <v>334.49312802162336</v>
      </c>
      <c r="GK71" s="247">
        <v>333.49176196280558</v>
      </c>
      <c r="GL71" s="247">
        <v>332.49079777441648</v>
      </c>
      <c r="GM71" s="247">
        <v>331.49023973488045</v>
      </c>
      <c r="GN71" s="247">
        <v>330.49539207214929</v>
      </c>
      <c r="GO71" s="247">
        <v>329.50098598937728</v>
      </c>
      <c r="GP71" s="247">
        <v>328.50702652929658</v>
      </c>
      <c r="GQ71" s="247">
        <v>327.51351870261107</v>
      </c>
      <c r="GR71" s="247">
        <v>326.52046748710939</v>
      </c>
      <c r="GS71" s="247">
        <v>325.5278778282111</v>
      </c>
      <c r="GT71" s="247">
        <v>324.53575465136441</v>
      </c>
      <c r="GU71" s="247">
        <v>323.54410283959936</v>
      </c>
      <c r="GV71" s="247">
        <v>322.55292723206543</v>
      </c>
      <c r="GW71" s="247">
        <v>321.5622326715158</v>
      </c>
      <c r="GX71" s="247">
        <v>320.57202394416078</v>
      </c>
      <c r="GY71" s="247">
        <v>319.58230583916486</v>
      </c>
      <c r="GZ71" s="247">
        <v>318.59375798994103</v>
      </c>
      <c r="HA71" s="247">
        <v>317.60570633054687</v>
      </c>
      <c r="HB71" s="247">
        <v>316.61816152257245</v>
      </c>
      <c r="HC71" s="247">
        <v>315.6311341545279</v>
      </c>
      <c r="HD71" s="247">
        <v>314.64463472194802</v>
      </c>
      <c r="HE71" s="247">
        <v>313.6586737032095</v>
      </c>
      <c r="HF71" s="247">
        <v>312.67326144895361</v>
      </c>
      <c r="HG71" s="247">
        <v>311.68840829191976</v>
      </c>
      <c r="HH71" s="247">
        <v>310.70412446957903</v>
      </c>
      <c r="HI71" s="247">
        <v>309.72042018968284</v>
      </c>
      <c r="HJ71" s="247">
        <v>308.73730556163264</v>
      </c>
      <c r="HK71" s="247">
        <v>307.75479068252008</v>
      </c>
      <c r="HL71" s="247">
        <v>306.77969702215972</v>
      </c>
      <c r="HM71" s="247">
        <v>305.80524573824187</v>
      </c>
      <c r="HN71" s="247">
        <v>304.83142677792779</v>
      </c>
      <c r="HO71" s="247">
        <v>303.85823010252932</v>
      </c>
      <c r="HP71" s="247">
        <v>302.88564580476526</v>
      </c>
      <c r="HQ71" s="247">
        <v>301.91366399242122</v>
      </c>
      <c r="HR71" s="247">
        <v>300.94227486820665</v>
      </c>
      <c r="HS71" s="247">
        <v>299.97146865964413</v>
      </c>
      <c r="HT71" s="247">
        <v>299.00123568502283</v>
      </c>
      <c r="HU71" s="247">
        <v>298.0315663344291</v>
      </c>
      <c r="HV71" s="247">
        <v>297.06245103696233</v>
      </c>
      <c r="HW71" s="247">
        <v>296.09388028416646</v>
      </c>
      <c r="HX71" s="247">
        <v>295.12657610386975</v>
      </c>
      <c r="HY71" s="247">
        <v>294.15980624764421</v>
      </c>
      <c r="HZ71" s="247">
        <v>293.19357959483034</v>
      </c>
      <c r="IA71" s="247">
        <v>292.22790493482398</v>
      </c>
      <c r="IB71" s="247">
        <v>291.26279102410422</v>
      </c>
      <c r="IC71" s="247">
        <v>290.2982465671717</v>
      </c>
      <c r="ID71" s="247">
        <v>289.33428019909297</v>
      </c>
      <c r="IE71" s="247">
        <v>288.37090052083749</v>
      </c>
      <c r="IF71" s="247">
        <v>287.40811607770695</v>
      </c>
      <c r="IG71" s="247">
        <v>286.44593537854388</v>
      </c>
      <c r="IH71" s="247">
        <v>285.48436685347036</v>
      </c>
      <c r="II71" s="247">
        <v>284.52341892285278</v>
      </c>
      <c r="IJ71" s="247">
        <v>283.56384982742458</v>
      </c>
      <c r="IK71" s="247">
        <v>282.60491088571274</v>
      </c>
      <c r="IL71" s="247">
        <v>281.6466129154565</v>
      </c>
      <c r="IM71" s="247">
        <v>280.68896658422869</v>
      </c>
      <c r="IN71" s="247">
        <v>279.73198268322767</v>
      </c>
      <c r="IO71" s="247">
        <v>278.77567176270173</v>
      </c>
      <c r="IP71" s="247">
        <v>277.82004439608733</v>
      </c>
      <c r="IQ71" s="247">
        <v>276.86511110578783</v>
      </c>
      <c r="IR71" s="247">
        <v>275.91088234120423</v>
      </c>
      <c r="IS71" s="247">
        <v>274.95736849800016</v>
      </c>
      <c r="IT71" s="247">
        <v>274.00457999189291</v>
      </c>
      <c r="IU71" s="247">
        <v>273.05252709425997</v>
      </c>
      <c r="IV71" s="247">
        <v>272.11051229189837</v>
      </c>
      <c r="IW71" s="247">
        <v>271.16928335579985</v>
      </c>
      <c r="IX71" s="247">
        <v>270.22882596731881</v>
      </c>
      <c r="IY71" s="247">
        <v>269.28912599185838</v>
      </c>
      <c r="IZ71" s="247">
        <v>268.3501692934837</v>
      </c>
      <c r="JA71" s="247">
        <v>267.41194182541358</v>
      </c>
      <c r="JB71" s="247">
        <v>266.47442971931491</v>
      </c>
      <c r="JC71" s="247">
        <v>265.53761911353951</v>
      </c>
      <c r="JD71" s="247">
        <v>264.60149622581991</v>
      </c>
      <c r="JE71" s="247">
        <v>263.66604737329368</v>
      </c>
      <c r="JF71" s="247">
        <v>262.73125895909095</v>
      </c>
      <c r="JG71" s="247">
        <v>261.79711739234875</v>
      </c>
      <c r="JH71" s="247">
        <v>260.86441554478216</v>
      </c>
      <c r="JI71" s="247">
        <v>259.9323446465271</v>
      </c>
      <c r="JJ71" s="247">
        <v>259.00091177696112</v>
      </c>
      <c r="JK71" s="247">
        <v>258.0701237959305</v>
      </c>
      <c r="JL71" s="247">
        <v>257.13998770980658</v>
      </c>
      <c r="JM71" s="247">
        <v>256.21051030398519</v>
      </c>
      <c r="JN71" s="247">
        <v>255.28169850067306</v>
      </c>
      <c r="JO71" s="247">
        <v>254.35355910132458</v>
      </c>
      <c r="JP71" s="247">
        <v>253.42609894482277</v>
      </c>
      <c r="JQ71" s="247">
        <v>252.49932474802409</v>
      </c>
      <c r="JR71" s="247">
        <v>251.573243269871</v>
      </c>
      <c r="JS71" s="247">
        <v>250.64786123222916</v>
      </c>
      <c r="JT71" s="247">
        <v>249.71421386645494</v>
      </c>
      <c r="JU71" s="247">
        <v>248.78119801647586</v>
      </c>
      <c r="JV71" s="247">
        <v>247.84880445661068</v>
      </c>
      <c r="JW71" s="247">
        <v>246.91702423915476</v>
      </c>
      <c r="JX71" s="247">
        <v>245.98584829885704</v>
      </c>
      <c r="JY71" s="247">
        <v>245.05526768566966</v>
      </c>
      <c r="JZ71" s="247">
        <v>244.12527348567963</v>
      </c>
      <c r="KA71" s="247">
        <v>243.19585683216152</v>
      </c>
      <c r="KB71" s="247">
        <v>242.26700896563631</v>
      </c>
      <c r="KC71" s="247">
        <v>241.33872109426852</v>
      </c>
      <c r="KD71" s="247">
        <v>240.4109844618954</v>
      </c>
      <c r="KE71" s="247">
        <v>239.48379043578296</v>
      </c>
      <c r="KF71" s="247">
        <v>238.55797506859545</v>
      </c>
      <c r="KG71" s="247">
        <v>237.63271409428873</v>
      </c>
      <c r="KH71" s="247">
        <v>236.7080374713469</v>
      </c>
      <c r="KI71" s="247">
        <v>235.78397482988748</v>
      </c>
      <c r="KJ71" s="247">
        <v>234.86055585418399</v>
      </c>
      <c r="KK71" s="247">
        <v>233.93780989231368</v>
      </c>
      <c r="KL71" s="247">
        <v>233.01576625878133</v>
      </c>
      <c r="KM71" s="247">
        <v>232.09445416583452</v>
      </c>
      <c r="KN71" s="247">
        <v>231.17390262727946</v>
      </c>
      <c r="KO71" s="247">
        <v>230.25414062193479</v>
      </c>
      <c r="KP71" s="247">
        <v>229.33519693012551</v>
      </c>
      <c r="KQ71" s="247">
        <v>228.41710021694061</v>
      </c>
      <c r="KR71" s="247">
        <v>227.49052295812044</v>
      </c>
      <c r="KS71" s="247">
        <v>226.56471893650763</v>
      </c>
      <c r="KT71" s="247">
        <v>225.63966468913927</v>
      </c>
      <c r="KU71" s="247">
        <v>224.71533680826013</v>
      </c>
      <c r="KV71" s="247">
        <v>223.79171194982479</v>
      </c>
      <c r="KW71" s="247">
        <v>222.86876702500984</v>
      </c>
      <c r="KX71" s="247">
        <v>221.94647893722512</v>
      </c>
      <c r="KY71" s="247">
        <v>221.02482472757393</v>
      </c>
      <c r="KZ71" s="247">
        <v>220.10378155634143</v>
      </c>
      <c r="LA71" s="247">
        <v>219.18332678767814</v>
      </c>
      <c r="LB71" s="247">
        <v>218.26343778075776</v>
      </c>
      <c r="LC71" s="247">
        <v>217.3440920350354</v>
      </c>
      <c r="LD71" s="247">
        <v>216.42614210648884</v>
      </c>
      <c r="LE71" s="247">
        <v>215.50871588570462</v>
      </c>
      <c r="LF71" s="247">
        <v>214.5918258598735</v>
      </c>
      <c r="LG71" s="247">
        <v>213.67548446708739</v>
      </c>
      <c r="LH71" s="247">
        <v>212.7597041006598</v>
      </c>
      <c r="LI71" s="247">
        <v>211.84449703586486</v>
      </c>
      <c r="LJ71" s="247">
        <v>210.92987561802795</v>
      </c>
      <c r="LK71" s="247">
        <v>210.01585201901813</v>
      </c>
      <c r="LL71" s="247">
        <v>209.10243846779022</v>
      </c>
      <c r="LM71" s="247">
        <v>208.18964701607553</v>
      </c>
      <c r="LN71" s="247">
        <v>207.27748983270169</v>
      </c>
      <c r="LO71" s="247">
        <v>206.36597896523901</v>
      </c>
      <c r="LP71" s="247">
        <v>205.45602305191233</v>
      </c>
      <c r="LQ71" s="247">
        <v>204.54671934444346</v>
      </c>
      <c r="LR71" s="247">
        <v>203.63807128803299</v>
      </c>
      <c r="LS71" s="247">
        <v>202.73008241606544</v>
      </c>
      <c r="LT71" s="247">
        <v>201.82275623239724</v>
      </c>
      <c r="LU71" s="247">
        <v>200.91609614123035</v>
      </c>
      <c r="LV71" s="247">
        <v>200.01010568896112</v>
      </c>
      <c r="LW71" s="247">
        <v>199.10478832991933</v>
      </c>
      <c r="LX71" s="247">
        <v>198.20014752849886</v>
      </c>
      <c r="LY71" s="247">
        <v>197.29618677247731</v>
      </c>
      <c r="LZ71" s="247">
        <v>196.39290950047791</v>
      </c>
      <c r="MA71" s="247">
        <v>195.49031928670263</v>
      </c>
      <c r="MB71" s="247">
        <v>194.58934808612509</v>
      </c>
      <c r="MC71" s="247">
        <v>193.68906146917655</v>
      </c>
      <c r="MD71" s="247">
        <v>192.78946315230388</v>
      </c>
      <c r="ME71" s="247">
        <v>191.89055673040045</v>
      </c>
      <c r="MF71" s="247">
        <v>190.99234585292507</v>
      </c>
      <c r="MG71" s="247">
        <v>190.09483421092787</v>
      </c>
      <c r="MH71" s="247">
        <v>189.19802548323509</v>
      </c>
      <c r="MI71" s="247">
        <v>188.3019232829522</v>
      </c>
      <c r="MJ71" s="247">
        <v>187.40653136597371</v>
      </c>
      <c r="MK71" s="247">
        <v>186.51185336213774</v>
      </c>
      <c r="ML71" s="247">
        <v>185.61789298498181</v>
      </c>
      <c r="MM71" s="247">
        <v>184.72465392995829</v>
      </c>
      <c r="MN71" s="247">
        <v>183.83310022190062</v>
      </c>
      <c r="MO71" s="247">
        <v>182.9422640762516</v>
      </c>
      <c r="MP71" s="247">
        <v>182.05214737901025</v>
      </c>
      <c r="MQ71" s="247">
        <v>181.1627520512242</v>
      </c>
      <c r="MR71" s="247">
        <v>180.27408010706205</v>
      </c>
      <c r="MS71" s="247">
        <v>179.38613347850335</v>
      </c>
      <c r="MT71" s="247">
        <v>178.49891423324806</v>
      </c>
      <c r="MU71" s="247">
        <v>177.61242430776477</v>
      </c>
      <c r="MV71" s="247">
        <v>176.72666576018716</v>
      </c>
      <c r="MW71" s="247">
        <v>175.84164067131786</v>
      </c>
      <c r="MX71" s="247">
        <v>174.95735113217208</v>
      </c>
      <c r="MY71" s="247">
        <v>174.07379920017425</v>
      </c>
    </row>
    <row r="72" spans="1:363" ht="15.6" x14ac:dyDescent="0.3">
      <c r="A72" s="67" t="s">
        <v>6</v>
      </c>
      <c r="B72" s="72">
        <v>2082</v>
      </c>
      <c r="C72" s="247">
        <v>529.51637844378365</v>
      </c>
      <c r="D72" s="247">
        <v>528.48368570050297</v>
      </c>
      <c r="E72" s="247">
        <v>527.45105399135161</v>
      </c>
      <c r="F72" s="247">
        <v>526.41848212083039</v>
      </c>
      <c r="G72" s="247">
        <v>525.38596889555458</v>
      </c>
      <c r="H72" s="247">
        <v>524.35351314161551</v>
      </c>
      <c r="I72" s="247">
        <v>523.32111368568007</v>
      </c>
      <c r="J72" s="247">
        <v>522.28876942458078</v>
      </c>
      <c r="K72" s="247">
        <v>521.25647922805808</v>
      </c>
      <c r="L72" s="247">
        <v>520.22424199531019</v>
      </c>
      <c r="M72" s="247">
        <v>519.1920566348083</v>
      </c>
      <c r="N72" s="247">
        <v>518.15992214213463</v>
      </c>
      <c r="O72" s="247">
        <v>517.12783743491411</v>
      </c>
      <c r="P72" s="247">
        <v>516.09429297980148</v>
      </c>
      <c r="Q72" s="247">
        <v>515.06078271006163</v>
      </c>
      <c r="R72" s="247">
        <v>514.02730866600621</v>
      </c>
      <c r="S72" s="247">
        <v>512.99387293825589</v>
      </c>
      <c r="T72" s="247">
        <v>511.96047758471337</v>
      </c>
      <c r="U72" s="247">
        <v>510.92712464626425</v>
      </c>
      <c r="V72" s="247">
        <v>509.8938161773255</v>
      </c>
      <c r="W72" s="247">
        <v>508.86055422354355</v>
      </c>
      <c r="X72" s="247">
        <v>507.82734087161492</v>
      </c>
      <c r="Y72" s="247">
        <v>506.79417816729222</v>
      </c>
      <c r="Z72" s="247">
        <v>505.7610682017081</v>
      </c>
      <c r="AA72" s="247">
        <v>504.72801301067551</v>
      </c>
      <c r="AB72" s="247">
        <v>503.69358398267616</v>
      </c>
      <c r="AC72" s="247">
        <v>502.6591946637825</v>
      </c>
      <c r="AD72" s="247">
        <v>501.62484527820703</v>
      </c>
      <c r="AE72" s="247">
        <v>500.59053601859574</v>
      </c>
      <c r="AF72" s="247">
        <v>499.55626707372403</v>
      </c>
      <c r="AG72" s="247">
        <v>498.52203870140829</v>
      </c>
      <c r="AH72" s="247">
        <v>497.4878511236966</v>
      </c>
      <c r="AI72" s="247">
        <v>496.45370458110267</v>
      </c>
      <c r="AJ72" s="247">
        <v>495.41959930359161</v>
      </c>
      <c r="AK72" s="247">
        <v>494.38553561224643</v>
      </c>
      <c r="AL72" s="247">
        <v>493.3515137637641</v>
      </c>
      <c r="AM72" s="247">
        <v>492.31753407800443</v>
      </c>
      <c r="AN72" s="247">
        <v>491.28224340692179</v>
      </c>
      <c r="AO72" s="247">
        <v>490.24698190370788</v>
      </c>
      <c r="AP72" s="247">
        <v>489.21175248917416</v>
      </c>
      <c r="AQ72" s="247">
        <v>488.17655805252014</v>
      </c>
      <c r="AR72" s="247">
        <v>487.1414015290182</v>
      </c>
      <c r="AS72" s="247">
        <v>486.1062858080092</v>
      </c>
      <c r="AT72" s="247">
        <v>485.07121376916325</v>
      </c>
      <c r="AU72" s="247">
        <v>484.03618831955566</v>
      </c>
      <c r="AV72" s="247">
        <v>483.00121233941144</v>
      </c>
      <c r="AW72" s="247">
        <v>481.96628872395905</v>
      </c>
      <c r="AX72" s="247">
        <v>480.93142033226667</v>
      </c>
      <c r="AY72" s="247">
        <v>479.89661009137393</v>
      </c>
      <c r="AZ72" s="247">
        <v>478.86057200844465</v>
      </c>
      <c r="BA72" s="247">
        <v>477.82457194254994</v>
      </c>
      <c r="BB72" s="247">
        <v>476.78860468685701</v>
      </c>
      <c r="BC72" s="247">
        <v>475.75266503415207</v>
      </c>
      <c r="BD72" s="247">
        <v>474.71674787145355</v>
      </c>
      <c r="BE72" s="247">
        <v>473.68084808430166</v>
      </c>
      <c r="BF72" s="247">
        <v>472.6449606131352</v>
      </c>
      <c r="BG72" s="247">
        <v>471.60908047636951</v>
      </c>
      <c r="BH72" s="247">
        <v>470.57320267243642</v>
      </c>
      <c r="BI72" s="247">
        <v>469.53732231361664</v>
      </c>
      <c r="BJ72" s="247">
        <v>468.50143450761652</v>
      </c>
      <c r="BK72" s="247">
        <v>467.46553441905985</v>
      </c>
      <c r="BL72" s="247">
        <v>466.428428505981</v>
      </c>
      <c r="BM72" s="247">
        <v>465.3913151140585</v>
      </c>
      <c r="BN72" s="247">
        <v>464.35421532712081</v>
      </c>
      <c r="BO72" s="247">
        <v>463.31715004625323</v>
      </c>
      <c r="BP72" s="247">
        <v>462.2801401081399</v>
      </c>
      <c r="BQ72" s="247">
        <v>461.24320620805383</v>
      </c>
      <c r="BR72" s="247">
        <v>460.20636891900836</v>
      </c>
      <c r="BS72" s="247">
        <v>459.16964873513388</v>
      </c>
      <c r="BT72" s="247">
        <v>458.13306601214896</v>
      </c>
      <c r="BU72" s="247">
        <v>457.09664098561876</v>
      </c>
      <c r="BV72" s="247">
        <v>456.06039380891582</v>
      </c>
      <c r="BW72" s="247">
        <v>455.02434451580649</v>
      </c>
      <c r="BX72" s="247">
        <v>453.98730942978443</v>
      </c>
      <c r="BY72" s="247">
        <v>452.95044775139729</v>
      </c>
      <c r="BZ72" s="247">
        <v>451.91374543810912</v>
      </c>
      <c r="CA72" s="247">
        <v>450.87718854208856</v>
      </c>
      <c r="CB72" s="247">
        <v>449.84076320375198</v>
      </c>
      <c r="CC72" s="247">
        <v>448.80445568638555</v>
      </c>
      <c r="CD72" s="247">
        <v>447.76825231718743</v>
      </c>
      <c r="CE72" s="247">
        <v>446.73213952845879</v>
      </c>
      <c r="CF72" s="247">
        <v>445.69610385851945</v>
      </c>
      <c r="CG72" s="247">
        <v>444.66013193226667</v>
      </c>
      <c r="CH72" s="247">
        <v>443.62421047589902</v>
      </c>
      <c r="CI72" s="247">
        <v>442.5883263126006</v>
      </c>
      <c r="CJ72" s="247">
        <v>441.55127568711384</v>
      </c>
      <c r="CK72" s="247">
        <v>440.51424056585449</v>
      </c>
      <c r="CL72" s="247">
        <v>439.47722704179404</v>
      </c>
      <c r="CM72" s="247">
        <v>438.44024114130224</v>
      </c>
      <c r="CN72" s="247">
        <v>437.40328888694467</v>
      </c>
      <c r="CO72" s="247">
        <v>436.36637626901648</v>
      </c>
      <c r="CP72" s="247">
        <v>435.3295092679154</v>
      </c>
      <c r="CQ72" s="247">
        <v>434.29269380785666</v>
      </c>
      <c r="CR72" s="247">
        <v>433.25593581541739</v>
      </c>
      <c r="CS72" s="247">
        <v>432.21924117784619</v>
      </c>
      <c r="CT72" s="247">
        <v>431.18261577203873</v>
      </c>
      <c r="CU72" s="247">
        <v>430.14606543653815</v>
      </c>
      <c r="CV72" s="247">
        <v>429.11000072402567</v>
      </c>
      <c r="CW72" s="247">
        <v>428.07400526673223</v>
      </c>
      <c r="CX72" s="247">
        <v>427.03807802145201</v>
      </c>
      <c r="CY72" s="247">
        <v>426.00221794434515</v>
      </c>
      <c r="CZ72" s="247">
        <v>424.96642402820976</v>
      </c>
      <c r="DA72" s="247">
        <v>423.93069529089507</v>
      </c>
      <c r="DB72" s="247">
        <v>422.89503073129123</v>
      </c>
      <c r="DC72" s="247">
        <v>421.85942940761379</v>
      </c>
      <c r="DD72" s="247">
        <v>420.82389036326481</v>
      </c>
      <c r="DE72" s="247">
        <v>419.78841266817568</v>
      </c>
      <c r="DF72" s="247">
        <v>418.75299543087027</v>
      </c>
      <c r="DG72" s="247">
        <v>417.71763777087881</v>
      </c>
      <c r="DH72" s="247">
        <v>416.68276512013887</v>
      </c>
      <c r="DI72" s="247">
        <v>415.64794869647261</v>
      </c>
      <c r="DJ72" s="247">
        <v>414.61319656256933</v>
      </c>
      <c r="DK72" s="247">
        <v>413.57851671204378</v>
      </c>
      <c r="DL72" s="247">
        <v>412.54391713055884</v>
      </c>
      <c r="DM72" s="247">
        <v>411.50940573600133</v>
      </c>
      <c r="DN72" s="247">
        <v>410.47499040699222</v>
      </c>
      <c r="DO72" s="247">
        <v>409.44067900440746</v>
      </c>
      <c r="DP72" s="247">
        <v>408.40647932956824</v>
      </c>
      <c r="DQ72" s="247">
        <v>407.372399141399</v>
      </c>
      <c r="DR72" s="247">
        <v>406.33844616821528</v>
      </c>
      <c r="DS72" s="247">
        <v>405.30462809642296</v>
      </c>
      <c r="DT72" s="247">
        <v>404.27331950520704</v>
      </c>
      <c r="DU72" s="247">
        <v>403.24216895991952</v>
      </c>
      <c r="DV72" s="247">
        <v>402.21118773028712</v>
      </c>
      <c r="DW72" s="247">
        <v>401.18038702723868</v>
      </c>
      <c r="DX72" s="247">
        <v>400.14977799152911</v>
      </c>
      <c r="DY72" s="247">
        <v>399.11937169780583</v>
      </c>
      <c r="DZ72" s="247">
        <v>398.08917913445725</v>
      </c>
      <c r="EA72" s="247">
        <v>397.05921126815457</v>
      </c>
      <c r="EB72" s="247">
        <v>396.0294789663364</v>
      </c>
      <c r="EC72" s="247">
        <v>394.9999930396782</v>
      </c>
      <c r="ED72" s="247">
        <v>393.97076424710747</v>
      </c>
      <c r="EE72" s="247">
        <v>392.94180329938627</v>
      </c>
      <c r="EF72" s="247">
        <v>391.91594155350163</v>
      </c>
      <c r="EG72" s="247">
        <v>390.89036141493438</v>
      </c>
      <c r="EH72" s="247">
        <v>389.86505026684489</v>
      </c>
      <c r="EI72" s="247">
        <v>388.83999559922052</v>
      </c>
      <c r="EJ72" s="247">
        <v>387.81518497850868</v>
      </c>
      <c r="EK72" s="247">
        <v>386.79060605256171</v>
      </c>
      <c r="EL72" s="247">
        <v>385.76624656484881</v>
      </c>
      <c r="EM72" s="247">
        <v>384.74209434306073</v>
      </c>
      <c r="EN72" s="247">
        <v>383.71813731494944</v>
      </c>
      <c r="EO72" s="247">
        <v>382.6943634819558</v>
      </c>
      <c r="EP72" s="247">
        <v>381.67076095213577</v>
      </c>
      <c r="EQ72" s="247">
        <v>380.64731790829842</v>
      </c>
      <c r="ER72" s="247">
        <v>379.62733747653391</v>
      </c>
      <c r="ES72" s="247">
        <v>378.60751809485373</v>
      </c>
      <c r="ET72" s="247">
        <v>377.58786857086193</v>
      </c>
      <c r="EU72" s="247">
        <v>376.56839766990419</v>
      </c>
      <c r="EV72" s="247">
        <v>375.54911409149105</v>
      </c>
      <c r="EW72" s="247">
        <v>374.53002649346354</v>
      </c>
      <c r="EX72" s="247">
        <v>373.51114348828503</v>
      </c>
      <c r="EY72" s="247">
        <v>372.49247362051125</v>
      </c>
      <c r="EZ72" s="247">
        <v>371.47402539411445</v>
      </c>
      <c r="FA72" s="247">
        <v>370.45580726146028</v>
      </c>
      <c r="FB72" s="247">
        <v>369.43782764042345</v>
      </c>
      <c r="FC72" s="247">
        <v>368.42009488853603</v>
      </c>
      <c r="FD72" s="247">
        <v>367.40644462506572</v>
      </c>
      <c r="FE72" s="247">
        <v>366.39306530328815</v>
      </c>
      <c r="FF72" s="247">
        <v>365.37995894372051</v>
      </c>
      <c r="FG72" s="247">
        <v>364.36712763446945</v>
      </c>
      <c r="FH72" s="247">
        <v>363.35457336709254</v>
      </c>
      <c r="FI72" s="247">
        <v>362.34229821095903</v>
      </c>
      <c r="FJ72" s="247">
        <v>361.33030416159312</v>
      </c>
      <c r="FK72" s="247">
        <v>360.31859325346869</v>
      </c>
      <c r="FL72" s="247">
        <v>359.30716745317415</v>
      </c>
      <c r="FM72" s="247">
        <v>358.2960287931694</v>
      </c>
      <c r="FN72" s="247">
        <v>357.28517923489704</v>
      </c>
      <c r="FO72" s="247">
        <v>356.27462077666712</v>
      </c>
      <c r="FP72" s="247">
        <v>355.26493616691437</v>
      </c>
      <c r="FQ72" s="247">
        <v>354.25554152707849</v>
      </c>
      <c r="FR72" s="247">
        <v>353.24644371301548</v>
      </c>
      <c r="FS72" s="247">
        <v>352.23764958304218</v>
      </c>
      <c r="FT72" s="247">
        <v>351.22916592262578</v>
      </c>
      <c r="FU72" s="247">
        <v>350.22099950109146</v>
      </c>
      <c r="FV72" s="247">
        <v>349.2131570271078</v>
      </c>
      <c r="FW72" s="247">
        <v>348.20564518386226</v>
      </c>
      <c r="FX72" s="247">
        <v>347.19847058973983</v>
      </c>
      <c r="FY72" s="247">
        <v>346.19163985453054</v>
      </c>
      <c r="FZ72" s="247">
        <v>345.18515951999245</v>
      </c>
      <c r="GA72" s="247">
        <v>344.17903612824512</v>
      </c>
      <c r="GB72" s="247">
        <v>343.17387544876664</v>
      </c>
      <c r="GC72" s="247">
        <v>342.16907265605317</v>
      </c>
      <c r="GD72" s="247">
        <v>341.16463220267542</v>
      </c>
      <c r="GE72" s="247">
        <v>340.16055854763107</v>
      </c>
      <c r="GF72" s="247">
        <v>339.15685611005034</v>
      </c>
      <c r="GG72" s="247">
        <v>338.15352926972861</v>
      </c>
      <c r="GH72" s="247">
        <v>337.15058239668491</v>
      </c>
      <c r="GI72" s="247">
        <v>336.14801983108987</v>
      </c>
      <c r="GJ72" s="247">
        <v>335.14584588973293</v>
      </c>
      <c r="GK72" s="247">
        <v>334.14406483975557</v>
      </c>
      <c r="GL72" s="247">
        <v>333.14268097619049</v>
      </c>
      <c r="GM72" s="247">
        <v>332.14169853523896</v>
      </c>
      <c r="GN72" s="247">
        <v>331.14639682934018</v>
      </c>
      <c r="GO72" s="247">
        <v>330.15153184769679</v>
      </c>
      <c r="GP72" s="247">
        <v>329.15710858236866</v>
      </c>
      <c r="GQ72" s="247">
        <v>328.16313199404118</v>
      </c>
      <c r="GR72" s="247">
        <v>327.16960701123156</v>
      </c>
      <c r="GS72" s="247">
        <v>326.17653853072602</v>
      </c>
      <c r="GT72" s="247">
        <v>325.18393142989606</v>
      </c>
      <c r="GU72" s="247">
        <v>324.19179054455714</v>
      </c>
      <c r="GV72" s="247">
        <v>323.20012066743385</v>
      </c>
      <c r="GW72" s="247">
        <v>322.20892659518529</v>
      </c>
      <c r="GX72" s="247">
        <v>321.21821306891843</v>
      </c>
      <c r="GY72" s="247">
        <v>320.22798483304274</v>
      </c>
      <c r="GZ72" s="247">
        <v>319.23890279271586</v>
      </c>
      <c r="HA72" s="247">
        <v>318.25031143978225</v>
      </c>
      <c r="HB72" s="247">
        <v>317.26222131297004</v>
      </c>
      <c r="HC72" s="247">
        <v>316.27464287919111</v>
      </c>
      <c r="HD72" s="247">
        <v>315.28758651396294</v>
      </c>
      <c r="HE72" s="247">
        <v>314.30106257614051</v>
      </c>
      <c r="HF72" s="247">
        <v>313.31508129886885</v>
      </c>
      <c r="HG72" s="247">
        <v>312.32965289797863</v>
      </c>
      <c r="HH72" s="247">
        <v>311.344787495552</v>
      </c>
      <c r="HI72" s="247">
        <v>310.36049518476818</v>
      </c>
      <c r="HJ72" s="247">
        <v>309.37678596204125</v>
      </c>
      <c r="HK72" s="247">
        <v>308.39366981207223</v>
      </c>
      <c r="HL72" s="247">
        <v>307.41794859075486</v>
      </c>
      <c r="HM72" s="247">
        <v>306.44286309979401</v>
      </c>
      <c r="HN72" s="247">
        <v>305.46840342199516</v>
      </c>
      <c r="HO72" s="247">
        <v>304.49455965420663</v>
      </c>
      <c r="HP72" s="247">
        <v>303.52132202324913</v>
      </c>
      <c r="HQ72" s="247">
        <v>302.54868077086161</v>
      </c>
      <c r="HR72" s="247">
        <v>301.57662623271165</v>
      </c>
      <c r="HS72" s="247">
        <v>300.60514876910122</v>
      </c>
      <c r="HT72" s="247">
        <v>299.6342388300792</v>
      </c>
      <c r="HU72" s="247">
        <v>298.66388693682819</v>
      </c>
      <c r="HV72" s="247">
        <v>297.69408364917723</v>
      </c>
      <c r="HW72" s="247">
        <v>296.72481958886544</v>
      </c>
      <c r="HX72" s="247">
        <v>295.75679868534314</v>
      </c>
      <c r="HY72" s="247">
        <v>294.78930682824512</v>
      </c>
      <c r="HZ72" s="247">
        <v>293.82235280631124</v>
      </c>
      <c r="IA72" s="247">
        <v>292.85594531968195</v>
      </c>
      <c r="IB72" s="247">
        <v>291.89009303632577</v>
      </c>
      <c r="IC72" s="247">
        <v>290.92480457309023</v>
      </c>
      <c r="ID72" s="247">
        <v>289.96008847855069</v>
      </c>
      <c r="IE72" s="247">
        <v>288.99595326791581</v>
      </c>
      <c r="IF72" s="247">
        <v>288.03240740164733</v>
      </c>
      <c r="IG72" s="247">
        <v>287.0694593045726</v>
      </c>
      <c r="IH72" s="247">
        <v>286.10711732402137</v>
      </c>
      <c r="II72" s="247">
        <v>285.14538979808179</v>
      </c>
      <c r="IJ72" s="247">
        <v>284.18501645497372</v>
      </c>
      <c r="IK72" s="247">
        <v>283.22526693113082</v>
      </c>
      <c r="IL72" s="247">
        <v>282.26615193194999</v>
      </c>
      <c r="IM72" s="247">
        <v>281.30768201472182</v>
      </c>
      <c r="IN72" s="247">
        <v>280.34986785925327</v>
      </c>
      <c r="IO72" s="247">
        <v>279.39271990750029</v>
      </c>
      <c r="IP72" s="247">
        <v>278.43624862467232</v>
      </c>
      <c r="IQ72" s="247">
        <v>277.48046442587895</v>
      </c>
      <c r="IR72" s="247">
        <v>276.52537765434943</v>
      </c>
      <c r="IS72" s="247">
        <v>275.57099860061072</v>
      </c>
      <c r="IT72" s="247">
        <v>274.61733757528407</v>
      </c>
      <c r="IU72" s="247">
        <v>273.66440474676324</v>
      </c>
      <c r="IV72" s="247">
        <v>272.72149300029577</v>
      </c>
      <c r="IW72" s="247">
        <v>271.77935984838285</v>
      </c>
      <c r="IX72" s="247">
        <v>270.83799114196455</v>
      </c>
      <c r="IY72" s="247">
        <v>269.89737291407647</v>
      </c>
      <c r="IZ72" s="247">
        <v>268.95749119652879</v>
      </c>
      <c r="JA72" s="247">
        <v>268.0183321093312</v>
      </c>
      <c r="JB72" s="247">
        <v>267.07988194913298</v>
      </c>
      <c r="JC72" s="247">
        <v>266.1421270192721</v>
      </c>
      <c r="JD72" s="247">
        <v>265.20505370166728</v>
      </c>
      <c r="JE72" s="247">
        <v>264.2686484767317</v>
      </c>
      <c r="JF72" s="247">
        <v>263.33289791002028</v>
      </c>
      <c r="JG72" s="247">
        <v>262.3977885732134</v>
      </c>
      <c r="JH72" s="247">
        <v>261.46409584396429</v>
      </c>
      <c r="JI72" s="247">
        <v>260.53102855091066</v>
      </c>
      <c r="JJ72" s="247">
        <v>259.59859371192948</v>
      </c>
      <c r="JK72" s="247">
        <v>258.66679812796838</v>
      </c>
      <c r="JL72" s="247">
        <v>257.73564874523265</v>
      </c>
      <c r="JM72" s="247">
        <v>256.80515229152479</v>
      </c>
      <c r="JN72" s="247">
        <v>255.8753156303039</v>
      </c>
      <c r="JO72" s="247">
        <v>254.94614550583799</v>
      </c>
      <c r="JP72" s="247">
        <v>254.01764869965982</v>
      </c>
      <c r="JQ72" s="247">
        <v>253.08983187292526</v>
      </c>
      <c r="JR72" s="247">
        <v>252.1627017286788</v>
      </c>
      <c r="JS72" s="247">
        <v>251.23626493363835</v>
      </c>
      <c r="JT72" s="247">
        <v>250.30152729201956</v>
      </c>
      <c r="JU72" s="247">
        <v>249.36741508559678</v>
      </c>
      <c r="JV72" s="247">
        <v>248.4339192122309</v>
      </c>
      <c r="JW72" s="247">
        <v>247.50103084461426</v>
      </c>
      <c r="JX72" s="247">
        <v>246.56874103945256</v>
      </c>
      <c r="JY72" s="247">
        <v>245.63704096737933</v>
      </c>
      <c r="JZ72" s="247">
        <v>244.70592183492809</v>
      </c>
      <c r="KA72" s="247">
        <v>243.77537489543127</v>
      </c>
      <c r="KB72" s="247">
        <v>242.84539150832617</v>
      </c>
      <c r="KC72" s="247">
        <v>241.91596300131414</v>
      </c>
      <c r="KD72" s="247">
        <v>240.98708073749231</v>
      </c>
      <c r="KE72" s="247">
        <v>240.05873620220831</v>
      </c>
      <c r="KF72" s="247">
        <v>239.1317457754586</v>
      </c>
      <c r="KG72" s="247">
        <v>238.20530464171389</v>
      </c>
      <c r="KH72" s="247">
        <v>237.27944242664535</v>
      </c>
      <c r="KI72" s="247">
        <v>236.35418843177263</v>
      </c>
      <c r="KJ72" s="247">
        <v>235.4295720126089</v>
      </c>
      <c r="KK72" s="247">
        <v>234.50562219272823</v>
      </c>
      <c r="KL72" s="247">
        <v>233.58236796297274</v>
      </c>
      <c r="KM72" s="247">
        <v>232.65983821352802</v>
      </c>
      <c r="KN72" s="247">
        <v>231.73806163879667</v>
      </c>
      <c r="KO72" s="247">
        <v>230.8170668990735</v>
      </c>
      <c r="KP72" s="247">
        <v>229.89688245882093</v>
      </c>
      <c r="KQ72" s="247">
        <v>228.9775366690657</v>
      </c>
      <c r="KR72" s="247">
        <v>228.04967902310312</v>
      </c>
      <c r="KS72" s="247">
        <v>227.12258628355414</v>
      </c>
      <c r="KT72" s="247">
        <v>226.19623530027434</v>
      </c>
      <c r="KU72" s="247">
        <v>225.27060297762222</v>
      </c>
      <c r="KV72" s="247">
        <v>224.34566628295426</v>
      </c>
      <c r="KW72" s="247">
        <v>223.42140243560715</v>
      </c>
      <c r="KX72" s="247">
        <v>222.497788647345</v>
      </c>
      <c r="KY72" s="247">
        <v>221.57480226597721</v>
      </c>
      <c r="KZ72" s="247">
        <v>220.65242075701997</v>
      </c>
      <c r="LA72" s="247">
        <v>219.73062178746702</v>
      </c>
      <c r="LB72" s="247">
        <v>218.80938301946836</v>
      </c>
      <c r="LC72" s="247">
        <v>217.88868225389055</v>
      </c>
      <c r="LD72" s="247">
        <v>216.96935021491061</v>
      </c>
      <c r="LE72" s="247">
        <v>216.05053676245271</v>
      </c>
      <c r="LF72" s="247">
        <v>215.13225424427728</v>
      </c>
      <c r="LG72" s="247">
        <v>214.21451495990604</v>
      </c>
      <c r="LH72" s="247">
        <v>213.29733116497377</v>
      </c>
      <c r="LI72" s="247">
        <v>212.38071499875451</v>
      </c>
      <c r="LJ72" s="247">
        <v>211.46467867001292</v>
      </c>
      <c r="LK72" s="247">
        <v>210.5492342165208</v>
      </c>
      <c r="LL72" s="247">
        <v>209.63439373264049</v>
      </c>
      <c r="LM72" s="247">
        <v>208.72016913809327</v>
      </c>
      <c r="LN72" s="247">
        <v>207.80657246847517</v>
      </c>
      <c r="LO72" s="247">
        <v>206.89361564001103</v>
      </c>
      <c r="LP72" s="247">
        <v>205.98218465024837</v>
      </c>
      <c r="LQ72" s="247">
        <v>205.07139920741119</v>
      </c>
      <c r="LR72" s="247">
        <v>204.16126273073195</v>
      </c>
      <c r="LS72" s="247">
        <v>203.25177872669548</v>
      </c>
      <c r="LT72" s="247">
        <v>202.34295067287886</v>
      </c>
      <c r="LU72" s="247">
        <v>201.43478194857369</v>
      </c>
      <c r="LV72" s="247">
        <v>200.52727607373868</v>
      </c>
      <c r="LW72" s="247">
        <v>199.62043647762891</v>
      </c>
      <c r="LX72" s="247">
        <v>198.71426659959579</v>
      </c>
      <c r="LY72" s="247">
        <v>197.80876990237667</v>
      </c>
      <c r="LZ72" s="247">
        <v>196.90394980034617</v>
      </c>
      <c r="MA72" s="247">
        <v>195.99980984207744</v>
      </c>
      <c r="MB72" s="247">
        <v>195.0972589150023</v>
      </c>
      <c r="MC72" s="247">
        <v>194.19538557266404</v>
      </c>
      <c r="MD72" s="247">
        <v>193.29419350183858</v>
      </c>
      <c r="ME72" s="247">
        <v>192.39368626940941</v>
      </c>
      <c r="MF72" s="247">
        <v>191.49386749637117</v>
      </c>
      <c r="MG72" s="247">
        <v>190.59474084489844</v>
      </c>
      <c r="MH72" s="247">
        <v>189.6963099653118</v>
      </c>
      <c r="MI72" s="247">
        <v>188.79857844322174</v>
      </c>
      <c r="MJ72" s="247">
        <v>187.90155000538138</v>
      </c>
      <c r="MK72" s="247">
        <v>187.00522825432094</v>
      </c>
      <c r="ML72" s="247">
        <v>186.10961687538526</v>
      </c>
      <c r="MM72" s="247">
        <v>185.21471953633358</v>
      </c>
      <c r="MN72" s="247">
        <v>184.32147662469185</v>
      </c>
      <c r="MO72" s="247">
        <v>183.42894391837592</v>
      </c>
      <c r="MP72" s="247">
        <v>182.53712329567151</v>
      </c>
      <c r="MQ72" s="247">
        <v>181.64601666958873</v>
      </c>
      <c r="MR72" s="247">
        <v>180.75562604530262</v>
      </c>
      <c r="MS72" s="247">
        <v>179.86595334688883</v>
      </c>
      <c r="MT72" s="247">
        <v>178.97700063264779</v>
      </c>
      <c r="MU72" s="247">
        <v>178.08876983143574</v>
      </c>
      <c r="MV72" s="247">
        <v>177.20126299236358</v>
      </c>
      <c r="MW72" s="247">
        <v>176.31448218716727</v>
      </c>
      <c r="MX72" s="247">
        <v>175.42842949779245</v>
      </c>
      <c r="MY72" s="247">
        <v>174.54310697325107</v>
      </c>
    </row>
    <row r="73" spans="1:363" ht="15.6" x14ac:dyDescent="0.3">
      <c r="A73" s="67" t="s">
        <v>6</v>
      </c>
      <c r="B73" s="72">
        <v>2083</v>
      </c>
      <c r="C73" s="247">
        <v>530.17371201303172</v>
      </c>
      <c r="D73" s="247">
        <v>529.14113484947643</v>
      </c>
      <c r="E73" s="247">
        <v>528.10861888253351</v>
      </c>
      <c r="F73" s="247">
        <v>527.07616294071147</v>
      </c>
      <c r="G73" s="247">
        <v>526.04376585474085</v>
      </c>
      <c r="H73" s="247">
        <v>525.01142647484346</v>
      </c>
      <c r="I73" s="247">
        <v>523.97914365191104</v>
      </c>
      <c r="J73" s="247">
        <v>522.94691630640159</v>
      </c>
      <c r="K73" s="247">
        <v>521.91474333219969</v>
      </c>
      <c r="L73" s="247">
        <v>520.88262365244555</v>
      </c>
      <c r="M73" s="247">
        <v>519.85055619970626</v>
      </c>
      <c r="N73" s="247">
        <v>518.81853999283226</v>
      </c>
      <c r="O73" s="247">
        <v>517.78657397389338</v>
      </c>
      <c r="P73" s="247">
        <v>516.75313310622494</v>
      </c>
      <c r="Q73" s="247">
        <v>515.71972682789078</v>
      </c>
      <c r="R73" s="247">
        <v>514.68635716381925</v>
      </c>
      <c r="S73" s="247">
        <v>513.65302618876729</v>
      </c>
      <c r="T73" s="247">
        <v>512.61973594546964</v>
      </c>
      <c r="U73" s="247">
        <v>511.58648846000756</v>
      </c>
      <c r="V73" s="247">
        <v>510.55328577206404</v>
      </c>
      <c r="W73" s="247">
        <v>509.52012991291559</v>
      </c>
      <c r="X73" s="247">
        <v>508.48702295453631</v>
      </c>
      <c r="Y73" s="247">
        <v>507.45396692878796</v>
      </c>
      <c r="Z73" s="247">
        <v>506.42096391255228</v>
      </c>
      <c r="AA73" s="247">
        <v>505.38801592841293</v>
      </c>
      <c r="AB73" s="247">
        <v>504.35368013837751</v>
      </c>
      <c r="AC73" s="247">
        <v>503.31938430961674</v>
      </c>
      <c r="AD73" s="247">
        <v>502.28512867472415</v>
      </c>
      <c r="AE73" s="247">
        <v>501.25091343534024</v>
      </c>
      <c r="AF73" s="247">
        <v>500.21673878953783</v>
      </c>
      <c r="AG73" s="247">
        <v>499.18260500363709</v>
      </c>
      <c r="AH73" s="247">
        <v>498.14851230891009</v>
      </c>
      <c r="AI73" s="247">
        <v>497.11446095509211</v>
      </c>
      <c r="AJ73" s="247">
        <v>496.08045118166893</v>
      </c>
      <c r="AK73" s="247">
        <v>495.04648331830981</v>
      </c>
      <c r="AL73" s="247">
        <v>494.0125576313838</v>
      </c>
      <c r="AM73" s="247">
        <v>492.97867444988066</v>
      </c>
      <c r="AN73" s="247">
        <v>491.94346759412258</v>
      </c>
      <c r="AO73" s="247">
        <v>490.90829023048201</v>
      </c>
      <c r="AP73" s="247">
        <v>489.87314524913666</v>
      </c>
      <c r="AQ73" s="247">
        <v>488.83803550931754</v>
      </c>
      <c r="AR73" s="247">
        <v>487.80296391595004</v>
      </c>
      <c r="AS73" s="247">
        <v>486.76793332887712</v>
      </c>
      <c r="AT73" s="247">
        <v>485.73294659867645</v>
      </c>
      <c r="AU73" s="247">
        <v>484.69800660321755</v>
      </c>
      <c r="AV73" s="247">
        <v>483.66311619410175</v>
      </c>
      <c r="AW73" s="247">
        <v>482.62827823805674</v>
      </c>
      <c r="AX73" s="247">
        <v>481.59349556642161</v>
      </c>
      <c r="AY73" s="247">
        <v>480.55877107787637</v>
      </c>
      <c r="AZ73" s="247">
        <v>479.52280682663513</v>
      </c>
      <c r="BA73" s="247">
        <v>478.48688070489987</v>
      </c>
      <c r="BB73" s="247">
        <v>477.450987600394</v>
      </c>
      <c r="BC73" s="247">
        <v>476.41512240059819</v>
      </c>
      <c r="BD73" s="247">
        <v>475.37928008597692</v>
      </c>
      <c r="BE73" s="247">
        <v>474.34345563564671</v>
      </c>
      <c r="BF73" s="247">
        <v>473.30764408296153</v>
      </c>
      <c r="BG73" s="247">
        <v>472.27184053825687</v>
      </c>
      <c r="BH73" s="247">
        <v>471.23604009229848</v>
      </c>
      <c r="BI73" s="247">
        <v>470.20023794822038</v>
      </c>
      <c r="BJ73" s="247">
        <v>469.16442930481179</v>
      </c>
      <c r="BK73" s="247">
        <v>468.1286094171906</v>
      </c>
      <c r="BL73" s="247">
        <v>467.09157368667485</v>
      </c>
      <c r="BM73" s="247">
        <v>466.05453126103822</v>
      </c>
      <c r="BN73" s="247">
        <v>465.01750288772752</v>
      </c>
      <c r="BO73" s="247">
        <v>463.98050913487162</v>
      </c>
      <c r="BP73" s="247">
        <v>462.94357050776466</v>
      </c>
      <c r="BQ73" s="247">
        <v>461.9067073730136</v>
      </c>
      <c r="BR73" s="247">
        <v>460.86993997745464</v>
      </c>
      <c r="BS73" s="247">
        <v>459.83328849085171</v>
      </c>
      <c r="BT73" s="247">
        <v>458.79677294722029</v>
      </c>
      <c r="BU73" s="247">
        <v>457.76041326299043</v>
      </c>
      <c r="BV73" s="247">
        <v>456.72422927418324</v>
      </c>
      <c r="BW73" s="247">
        <v>455.68824069978183</v>
      </c>
      <c r="BX73" s="247">
        <v>454.65125377565073</v>
      </c>
      <c r="BY73" s="247">
        <v>453.61443782765917</v>
      </c>
      <c r="BZ73" s="247">
        <v>452.57777907585222</v>
      </c>
      <c r="CA73" s="247">
        <v>451.54126383337797</v>
      </c>
      <c r="CB73" s="247">
        <v>450.50487850023171</v>
      </c>
      <c r="CC73" s="247">
        <v>449.46860959715087</v>
      </c>
      <c r="CD73" s="247">
        <v>448.43244370777415</v>
      </c>
      <c r="CE73" s="247">
        <v>447.39636751916237</v>
      </c>
      <c r="CF73" s="247">
        <v>446.36036782255144</v>
      </c>
      <c r="CG73" s="247">
        <v>445.32443149447005</v>
      </c>
      <c r="CH73" s="247">
        <v>444.28854551104564</v>
      </c>
      <c r="CI73" s="247">
        <v>443.25269694393774</v>
      </c>
      <c r="CJ73" s="247">
        <v>442.2156735278682</v>
      </c>
      <c r="CK73" s="247">
        <v>441.17866589929662</v>
      </c>
      <c r="CL73" s="247">
        <v>440.14168005409323</v>
      </c>
      <c r="CM73" s="247">
        <v>439.1047219230249</v>
      </c>
      <c r="CN73" s="247">
        <v>438.06779743349733</v>
      </c>
      <c r="CO73" s="247">
        <v>437.03091248148263</v>
      </c>
      <c r="CP73" s="247">
        <v>435.99407295355161</v>
      </c>
      <c r="CQ73" s="247">
        <v>434.95728468153288</v>
      </c>
      <c r="CR73" s="247">
        <v>433.92055349978193</v>
      </c>
      <c r="CS73" s="247">
        <v>432.88388520451707</v>
      </c>
      <c r="CT73" s="247">
        <v>431.84728558207416</v>
      </c>
      <c r="CU73" s="247">
        <v>430.81076038162382</v>
      </c>
      <c r="CV73" s="247">
        <v>429.77470160505555</v>
      </c>
      <c r="CW73" s="247">
        <v>428.73871137254901</v>
      </c>
      <c r="CX73" s="247">
        <v>427.7027886763924</v>
      </c>
      <c r="CY73" s="247">
        <v>426.66693250844719</v>
      </c>
      <c r="CZ73" s="247">
        <v>425.63114189682307</v>
      </c>
      <c r="DA73" s="247">
        <v>424.59541589438578</v>
      </c>
      <c r="DB73" s="247">
        <v>423.55975353562991</v>
      </c>
      <c r="DC73" s="247">
        <v>422.52415391359574</v>
      </c>
      <c r="DD73" s="247">
        <v>421.48861610691921</v>
      </c>
      <c r="DE73" s="247">
        <v>420.45313922066128</v>
      </c>
      <c r="DF73" s="247">
        <v>419.41772239796239</v>
      </c>
      <c r="DG73" s="247">
        <v>418.38236479316242</v>
      </c>
      <c r="DH73" s="247">
        <v>417.34747313281656</v>
      </c>
      <c r="DI73" s="247">
        <v>416.31263723156286</v>
      </c>
      <c r="DJ73" s="247">
        <v>415.27786501969524</v>
      </c>
      <c r="DK73" s="247">
        <v>414.24316436001271</v>
      </c>
      <c r="DL73" s="247">
        <v>413.20854310789031</v>
      </c>
      <c r="DM73" s="247">
        <v>412.1740090524504</v>
      </c>
      <c r="DN73" s="247">
        <v>411.13956994461205</v>
      </c>
      <c r="DO73" s="247">
        <v>410.1052335183021</v>
      </c>
      <c r="DP73" s="247">
        <v>409.07100744922258</v>
      </c>
      <c r="DQ73" s="247">
        <v>408.03689937194594</v>
      </c>
      <c r="DR73" s="247">
        <v>407.00291689130898</v>
      </c>
      <c r="DS73" s="247">
        <v>405.96906757150475</v>
      </c>
      <c r="DT73" s="247">
        <v>404.93769584164818</v>
      </c>
      <c r="DU73" s="247">
        <v>403.90648002673049</v>
      </c>
      <c r="DV73" s="247">
        <v>402.87543121671513</v>
      </c>
      <c r="DW73" s="247">
        <v>401.84456044412877</v>
      </c>
      <c r="DX73" s="247">
        <v>400.81387867295996</v>
      </c>
      <c r="DY73" s="247">
        <v>399.7833968025451</v>
      </c>
      <c r="DZ73" s="247">
        <v>398.75312564783889</v>
      </c>
      <c r="EA73" s="247">
        <v>397.72307600290014</v>
      </c>
      <c r="EB73" s="247">
        <v>396.69325856455777</v>
      </c>
      <c r="EC73" s="247">
        <v>395.66368397437088</v>
      </c>
      <c r="ED73" s="247">
        <v>394.63436282339063</v>
      </c>
      <c r="EE73" s="247">
        <v>393.60530565585907</v>
      </c>
      <c r="EF73" s="247">
        <v>392.57931372917375</v>
      </c>
      <c r="EG73" s="247">
        <v>391.55359948242693</v>
      </c>
      <c r="EH73" s="247">
        <v>390.52815052089994</v>
      </c>
      <c r="EI73" s="247">
        <v>389.50295455501504</v>
      </c>
      <c r="EJ73" s="247">
        <v>388.47799937053315</v>
      </c>
      <c r="EK73" s="247">
        <v>387.45327283330892</v>
      </c>
      <c r="EL73" s="247">
        <v>386.42876290335624</v>
      </c>
      <c r="EM73" s="247">
        <v>385.40445762368836</v>
      </c>
      <c r="EN73" s="247">
        <v>384.38034513574542</v>
      </c>
      <c r="EO73" s="247">
        <v>383.35641365368389</v>
      </c>
      <c r="EP73" s="247">
        <v>382.33265149659002</v>
      </c>
      <c r="EQ73" s="247">
        <v>381.30904705732326</v>
      </c>
      <c r="ER73" s="247">
        <v>380.28887452033183</v>
      </c>
      <c r="ES73" s="247">
        <v>379.26886130170465</v>
      </c>
      <c r="ET73" s="247">
        <v>378.24901608879372</v>
      </c>
      <c r="EU73" s="247">
        <v>377.2293475276299</v>
      </c>
      <c r="EV73" s="247">
        <v>376.2098641997938</v>
      </c>
      <c r="EW73" s="247">
        <v>375.19057464609705</v>
      </c>
      <c r="EX73" s="247">
        <v>374.17148736300823</v>
      </c>
      <c r="EY73" s="247">
        <v>373.15261078051276</v>
      </c>
      <c r="EZ73" s="247">
        <v>372.13395328888276</v>
      </c>
      <c r="FA73" s="247">
        <v>371.11552322802515</v>
      </c>
      <c r="FB73" s="247">
        <v>370.09732890418468</v>
      </c>
      <c r="FC73" s="247">
        <v>369.07937856465048</v>
      </c>
      <c r="FD73" s="247">
        <v>368.06548052393532</v>
      </c>
      <c r="FE73" s="247">
        <v>367.05185035897972</v>
      </c>
      <c r="FF73" s="247">
        <v>366.03849007588786</v>
      </c>
      <c r="FG73" s="247">
        <v>365.02540174761043</v>
      </c>
      <c r="FH73" s="247">
        <v>364.01258735220551</v>
      </c>
      <c r="FI73" s="247">
        <v>363.00004894461995</v>
      </c>
      <c r="FJ73" s="247">
        <v>361.98778850727069</v>
      </c>
      <c r="FK73" s="247">
        <v>360.9758080612616</v>
      </c>
      <c r="FL73" s="247">
        <v>359.96410956095411</v>
      </c>
      <c r="FM73" s="247">
        <v>358.95269502600678</v>
      </c>
      <c r="FN73" s="247">
        <v>357.94156640629001</v>
      </c>
      <c r="FO73" s="247">
        <v>356.93072568839131</v>
      </c>
      <c r="FP73" s="247">
        <v>355.92073706089798</v>
      </c>
      <c r="FQ73" s="247">
        <v>354.91103510527967</v>
      </c>
      <c r="FR73" s="247">
        <v>353.9016265948809</v>
      </c>
      <c r="FS73" s="247">
        <v>352.89251830574608</v>
      </c>
      <c r="FT73" s="247">
        <v>351.88371694244739</v>
      </c>
      <c r="FU73" s="247">
        <v>350.87522919388329</v>
      </c>
      <c r="FV73" s="247">
        <v>349.86706168948172</v>
      </c>
      <c r="FW73" s="247">
        <v>348.85922103389436</v>
      </c>
      <c r="FX73" s="247">
        <v>347.85171376812679</v>
      </c>
      <c r="FY73" s="247">
        <v>346.84454642512782</v>
      </c>
      <c r="FZ73" s="247">
        <v>345.83772547105747</v>
      </c>
      <c r="GA73" s="247">
        <v>344.83125737285729</v>
      </c>
      <c r="GB73" s="247">
        <v>343.82572908052219</v>
      </c>
      <c r="GC73" s="247">
        <v>342.82055446016039</v>
      </c>
      <c r="GD73" s="247">
        <v>341.81573791688714</v>
      </c>
      <c r="GE73" s="247">
        <v>340.81128386239851</v>
      </c>
      <c r="GF73" s="247">
        <v>339.8071966694049</v>
      </c>
      <c r="GG73" s="247">
        <v>338.80348067204426</v>
      </c>
      <c r="GH73" s="247">
        <v>337.80014019511566</v>
      </c>
      <c r="GI73" s="247">
        <v>336.79717953430657</v>
      </c>
      <c r="GJ73" s="247">
        <v>335.79460296246071</v>
      </c>
      <c r="GK73" s="247">
        <v>334.79241470386427</v>
      </c>
      <c r="GL73" s="247">
        <v>333.79061901055337</v>
      </c>
      <c r="GM73" s="247">
        <v>332.78922007695485</v>
      </c>
      <c r="GN73" s="247">
        <v>331.79347169783932</v>
      </c>
      <c r="GO73" s="247">
        <v>330.7981552457037</v>
      </c>
      <c r="GP73" s="247">
        <v>329.80327566241863</v>
      </c>
      <c r="GQ73" s="247">
        <v>328.80883785914074</v>
      </c>
      <c r="GR73" s="247">
        <v>327.81484671559565</v>
      </c>
      <c r="GS73" s="247">
        <v>326.82130708039853</v>
      </c>
      <c r="GT73" s="247">
        <v>325.82822378331218</v>
      </c>
      <c r="GU73" s="247">
        <v>324.83560161338823</v>
      </c>
      <c r="GV73" s="247">
        <v>323.84344531737071</v>
      </c>
      <c r="GW73" s="247">
        <v>322.85175964626546</v>
      </c>
      <c r="GX73" s="247">
        <v>321.86054929650356</v>
      </c>
      <c r="GY73" s="247">
        <v>320.86981896816229</v>
      </c>
      <c r="GZ73" s="247">
        <v>319.88021099012946</v>
      </c>
      <c r="HA73" s="247">
        <v>318.89108826185981</v>
      </c>
      <c r="HB73" s="247">
        <v>317.90246120056031</v>
      </c>
      <c r="HC73" s="247">
        <v>316.91434015285154</v>
      </c>
      <c r="HD73" s="247">
        <v>315.9267353755352</v>
      </c>
      <c r="HE73" s="247">
        <v>314.93965710923447</v>
      </c>
      <c r="HF73" s="247">
        <v>313.9531154708576</v>
      </c>
      <c r="HG73" s="247">
        <v>312.9671205605913</v>
      </c>
      <c r="HH73" s="247">
        <v>311.98168238636327</v>
      </c>
      <c r="HI73" s="247">
        <v>310.99681092800989</v>
      </c>
      <c r="HJ73" s="247">
        <v>310.01251607016673</v>
      </c>
      <c r="HK73" s="247">
        <v>309.02880768635049</v>
      </c>
      <c r="HL73" s="247">
        <v>308.05246714072837</v>
      </c>
      <c r="HM73" s="247">
        <v>307.07675574770332</v>
      </c>
      <c r="HN73" s="247">
        <v>306.10166372416205</v>
      </c>
      <c r="HO73" s="247">
        <v>305.12718130092526</v>
      </c>
      <c r="HP73" s="247">
        <v>304.15329883737633</v>
      </c>
      <c r="HQ73" s="247">
        <v>303.18000670767327</v>
      </c>
      <c r="HR73" s="247">
        <v>302.20729537891464</v>
      </c>
      <c r="HS73" s="247">
        <v>301.23515534266613</v>
      </c>
      <c r="HT73" s="247">
        <v>300.26357717922923</v>
      </c>
      <c r="HU73" s="247">
        <v>299.29255153939459</v>
      </c>
      <c r="HV73" s="247">
        <v>298.32206911223034</v>
      </c>
      <c r="HW73" s="247">
        <v>297.35212064819171</v>
      </c>
      <c r="HX73" s="247">
        <v>296.38339210721898</v>
      </c>
      <c r="HY73" s="247">
        <v>295.41518738744674</v>
      </c>
      <c r="HZ73" s="247">
        <v>294.44751518785648</v>
      </c>
      <c r="IA73" s="247">
        <v>293.480384120157</v>
      </c>
      <c r="IB73" s="247">
        <v>292.51380276462345</v>
      </c>
      <c r="IC73" s="247">
        <v>291.54777965125186</v>
      </c>
      <c r="ID73" s="247">
        <v>290.58232324292453</v>
      </c>
      <c r="IE73" s="247">
        <v>289.61744196987354</v>
      </c>
      <c r="IF73" s="247">
        <v>288.65314420849677</v>
      </c>
      <c r="IG73" s="247">
        <v>287.68943830037568</v>
      </c>
      <c r="IH73" s="247">
        <v>286.72633251079895</v>
      </c>
      <c r="II73" s="247">
        <v>285.76383509632848</v>
      </c>
      <c r="IJ73" s="247">
        <v>284.80266740566816</v>
      </c>
      <c r="IK73" s="247">
        <v>283.84211726193223</v>
      </c>
      <c r="IL73" s="247">
        <v>282.88219525922443</v>
      </c>
      <c r="IM73" s="247">
        <v>281.92291184557979</v>
      </c>
      <c r="IN73" s="247">
        <v>280.96427759045781</v>
      </c>
      <c r="IO73" s="247">
        <v>280.00630282852495</v>
      </c>
      <c r="IP73" s="247">
        <v>279.04899791777598</v>
      </c>
      <c r="IQ73" s="247">
        <v>278.09237316702257</v>
      </c>
      <c r="IR73" s="247">
        <v>277.13643881431005</v>
      </c>
      <c r="IS73" s="247">
        <v>276.18120504599699</v>
      </c>
      <c r="IT73" s="247">
        <v>275.22668206859362</v>
      </c>
      <c r="IU73" s="247">
        <v>274.27287994845472</v>
      </c>
      <c r="IV73" s="247">
        <v>273.32908066513647</v>
      </c>
      <c r="IW73" s="247">
        <v>272.38605276554216</v>
      </c>
      <c r="IX73" s="247">
        <v>271.44378226851188</v>
      </c>
      <c r="IY73" s="247">
        <v>270.50225537304777</v>
      </c>
      <c r="IZ73" s="247">
        <v>269.56145827704967</v>
      </c>
      <c r="JA73" s="247">
        <v>268.62137726566567</v>
      </c>
      <c r="JB73" s="247">
        <v>267.68199879889721</v>
      </c>
      <c r="JC73" s="247">
        <v>266.74330934344829</v>
      </c>
      <c r="JD73" s="247">
        <v>265.80529544380136</v>
      </c>
      <c r="JE73" s="247">
        <v>264.86794374204487</v>
      </c>
      <c r="JF73" s="247">
        <v>263.93124096456427</v>
      </c>
      <c r="JG73" s="247">
        <v>262.9951738439911</v>
      </c>
      <c r="JH73" s="247">
        <v>262.06050036905975</v>
      </c>
      <c r="JI73" s="247">
        <v>261.12644686049066</v>
      </c>
      <c r="JJ73" s="247">
        <v>260.19302027511543</v>
      </c>
      <c r="JK73" s="247">
        <v>259.26022735540522</v>
      </c>
      <c r="JL73" s="247">
        <v>258.32807498784024</v>
      </c>
      <c r="JM73" s="247">
        <v>257.39656984304509</v>
      </c>
      <c r="JN73" s="247">
        <v>256.46571872615573</v>
      </c>
      <c r="JO73" s="247">
        <v>255.5355283246661</v>
      </c>
      <c r="JP73" s="247">
        <v>254.60600536317173</v>
      </c>
      <c r="JQ73" s="247">
        <v>253.67715644752985</v>
      </c>
      <c r="JR73" s="247">
        <v>252.74898822528644</v>
      </c>
      <c r="JS73" s="247">
        <v>251.82150730840655</v>
      </c>
      <c r="JT73" s="247">
        <v>250.88569184126169</v>
      </c>
      <c r="JU73" s="247">
        <v>249.95049578411113</v>
      </c>
      <c r="JV73" s="247">
        <v>249.01591015699952</v>
      </c>
      <c r="JW73" s="247">
        <v>248.08192625169383</v>
      </c>
      <c r="JX73" s="247">
        <v>247.14853524551449</v>
      </c>
      <c r="JY73" s="247">
        <v>246.21572842845484</v>
      </c>
      <c r="JZ73" s="247">
        <v>245.28349712617666</v>
      </c>
      <c r="KA73" s="247">
        <v>244.3518327107557</v>
      </c>
      <c r="KB73" s="247">
        <v>243.4207266592461</v>
      </c>
      <c r="KC73" s="247">
        <v>242.49017041758179</v>
      </c>
      <c r="KD73" s="247">
        <v>241.56015546682116</v>
      </c>
      <c r="KE73" s="247">
        <v>240.63067340910595</v>
      </c>
      <c r="KF73" s="247">
        <v>239.70252110048762</v>
      </c>
      <c r="KG73" s="247">
        <v>238.77491302940317</v>
      </c>
      <c r="KH73" s="247">
        <v>237.84787849197738</v>
      </c>
      <c r="KI73" s="247">
        <v>236.92144646435975</v>
      </c>
      <c r="KJ73" s="247">
        <v>235.99564597653094</v>
      </c>
      <c r="KK73" s="247">
        <v>235.07050573074781</v>
      </c>
      <c r="KL73" s="247">
        <v>234.14605439736542</v>
      </c>
      <c r="KM73" s="247">
        <v>233.22232054766997</v>
      </c>
      <c r="KN73" s="247">
        <v>232.29933255979665</v>
      </c>
      <c r="KO73" s="247">
        <v>231.37711877864456</v>
      </c>
      <c r="KP73" s="247">
        <v>230.45570735591986</v>
      </c>
      <c r="KQ73" s="247">
        <v>229.53512633167372</v>
      </c>
      <c r="KR73" s="247">
        <v>228.60600411500459</v>
      </c>
      <c r="KS73" s="247">
        <v>227.67763856063567</v>
      </c>
      <c r="KT73" s="247">
        <v>226.75000682768118</v>
      </c>
      <c r="KU73" s="247">
        <v>225.82308612907107</v>
      </c>
      <c r="KV73" s="247">
        <v>224.89685374002283</v>
      </c>
      <c r="KW73" s="247">
        <v>223.97128718453615</v>
      </c>
      <c r="KX73" s="247">
        <v>223.04636397923522</v>
      </c>
      <c r="KY73" s="247">
        <v>222.1220617751558</v>
      </c>
      <c r="KZ73" s="247">
        <v>221.19835833958638</v>
      </c>
      <c r="LA73" s="247">
        <v>220.27523163893645</v>
      </c>
      <c r="LB73" s="247">
        <v>219.35265963489823</v>
      </c>
      <c r="LC73" s="247">
        <v>218.43062042634099</v>
      </c>
      <c r="LD73" s="247">
        <v>217.50992310631855</v>
      </c>
      <c r="LE73" s="247">
        <v>216.58973930218866</v>
      </c>
      <c r="LF73" s="247">
        <v>215.67008122376691</v>
      </c>
      <c r="LG73" s="247">
        <v>214.75096103348551</v>
      </c>
      <c r="LH73" s="247">
        <v>213.83239085077307</v>
      </c>
      <c r="LI73" s="247">
        <v>212.91438268036092</v>
      </c>
      <c r="LJ73" s="247">
        <v>211.99694859592134</v>
      </c>
      <c r="LK73" s="247">
        <v>211.08010050256905</v>
      </c>
      <c r="LL73" s="247">
        <v>210.16385036152843</v>
      </c>
      <c r="LM73" s="247">
        <v>209.24820996193554</v>
      </c>
      <c r="LN73" s="247">
        <v>208.33319120760208</v>
      </c>
      <c r="LO73" s="247">
        <v>207.41880588483133</v>
      </c>
      <c r="LP73" s="247">
        <v>206.50591756346824</v>
      </c>
      <c r="LQ73" s="247">
        <v>205.59366819778225</v>
      </c>
      <c r="LR73" s="247">
        <v>204.68206118130672</v>
      </c>
      <c r="LS73" s="247">
        <v>203.77109999390609</v>
      </c>
      <c r="LT73" s="247">
        <v>202.86078808715598</v>
      </c>
      <c r="LU73" s="247">
        <v>201.95112881570455</v>
      </c>
      <c r="LV73" s="247">
        <v>201.04212567335892</v>
      </c>
      <c r="LW73" s="247">
        <v>200.13378206457898</v>
      </c>
      <c r="LX73" s="247">
        <v>199.22610140395139</v>
      </c>
      <c r="LY73" s="247">
        <v>198.31908712945858</v>
      </c>
      <c r="LZ73" s="247">
        <v>197.41274263150964</v>
      </c>
      <c r="MA73" s="247">
        <v>196.50707143334523</v>
      </c>
      <c r="MB73" s="247">
        <v>195.60295957669803</v>
      </c>
      <c r="MC73" s="247">
        <v>194.69951837800514</v>
      </c>
      <c r="MD73" s="247">
        <v>193.79675149472774</v>
      </c>
      <c r="ME73" s="247">
        <v>192.89466246607947</v>
      </c>
      <c r="MF73" s="247">
        <v>191.99325488494702</v>
      </c>
      <c r="MG73" s="247">
        <v>191.09253238498951</v>
      </c>
      <c r="MH73" s="247">
        <v>190.19249858838867</v>
      </c>
      <c r="MI73" s="247">
        <v>189.293157053616</v>
      </c>
      <c r="MJ73" s="247">
        <v>188.39451147866649</v>
      </c>
      <c r="MK73" s="247">
        <v>187.49656543913196</v>
      </c>
      <c r="ML73" s="247">
        <v>186.59932259254794</v>
      </c>
      <c r="MM73" s="247">
        <v>185.70278657936453</v>
      </c>
      <c r="MN73" s="247">
        <v>184.80787438308747</v>
      </c>
      <c r="MO73" s="247">
        <v>183.91366511261191</v>
      </c>
      <c r="MP73" s="247">
        <v>183.02016063869038</v>
      </c>
      <c r="MQ73" s="247">
        <v>182.12736286649078</v>
      </c>
      <c r="MR73" s="247">
        <v>181.23527379240434</v>
      </c>
      <c r="MS73" s="247">
        <v>180.34389533280594</v>
      </c>
      <c r="MT73" s="247">
        <v>179.45322953682756</v>
      </c>
      <c r="MU73" s="247">
        <v>178.56327832592621</v>
      </c>
      <c r="MV73" s="247">
        <v>177.67404374042897</v>
      </c>
      <c r="MW73" s="247">
        <v>176.78552784325157</v>
      </c>
      <c r="MX73" s="247">
        <v>175.89773270752218</v>
      </c>
      <c r="MY73" s="247">
        <v>175.01066037409501</v>
      </c>
    </row>
    <row r="74" spans="1:363" ht="15.6" x14ac:dyDescent="0.3">
      <c r="A74" s="67" t="s">
        <v>6</v>
      </c>
      <c r="B74" s="72">
        <v>2084</v>
      </c>
      <c r="C74" s="247">
        <v>530.82646664963681</v>
      </c>
      <c r="D74" s="247">
        <v>529.79400484829512</v>
      </c>
      <c r="E74" s="247">
        <v>528.76160440630213</v>
      </c>
      <c r="F74" s="247">
        <v>527.72926417588144</v>
      </c>
      <c r="G74" s="247">
        <v>526.6969830115969</v>
      </c>
      <c r="H74" s="247">
        <v>525.66475978750361</v>
      </c>
      <c r="I74" s="247">
        <v>524.6325933784376</v>
      </c>
      <c r="J74" s="247">
        <v>523.60048272819802</v>
      </c>
      <c r="K74" s="247">
        <v>522.56842675453322</v>
      </c>
      <c r="L74" s="247">
        <v>521.53642440424301</v>
      </c>
      <c r="M74" s="247">
        <v>520.50447463371756</v>
      </c>
      <c r="N74" s="247">
        <v>519.47257648479842</v>
      </c>
      <c r="O74" s="247">
        <v>518.44072892372503</v>
      </c>
      <c r="P74" s="247">
        <v>517.40739184722668</v>
      </c>
      <c r="Q74" s="247">
        <v>516.37408976254778</v>
      </c>
      <c r="R74" s="247">
        <v>515.34082467938833</v>
      </c>
      <c r="S74" s="247">
        <v>514.3075986568067</v>
      </c>
      <c r="T74" s="247">
        <v>513.2744137225236</v>
      </c>
      <c r="U74" s="247">
        <v>512.24127188797024</v>
      </c>
      <c r="V74" s="247">
        <v>511.20817517825196</v>
      </c>
      <c r="W74" s="247">
        <v>510.1751256104277</v>
      </c>
      <c r="X74" s="247">
        <v>509.14212524190316</v>
      </c>
      <c r="Y74" s="247">
        <v>508.10917609079718</v>
      </c>
      <c r="Z74" s="247">
        <v>507.07628021989393</v>
      </c>
      <c r="AA74" s="247">
        <v>506.0434396386936</v>
      </c>
      <c r="AB74" s="247">
        <v>505.00919771536638</v>
      </c>
      <c r="AC74" s="247">
        <v>503.97499600687132</v>
      </c>
      <c r="AD74" s="247">
        <v>502.94083475405569</v>
      </c>
      <c r="AE74" s="247">
        <v>501.90671416740224</v>
      </c>
      <c r="AF74" s="247">
        <v>500.87263445414408</v>
      </c>
      <c r="AG74" s="247">
        <v>499.8385958889653</v>
      </c>
      <c r="AH74" s="247">
        <v>498.80459871222325</v>
      </c>
      <c r="AI74" s="247">
        <v>497.77064318273125</v>
      </c>
      <c r="AJ74" s="247">
        <v>496.73672954935932</v>
      </c>
      <c r="AK74" s="247">
        <v>495.70285815023055</v>
      </c>
      <c r="AL74" s="247">
        <v>494.66902926124516</v>
      </c>
      <c r="AM74" s="247">
        <v>493.63524322039473</v>
      </c>
      <c r="AN74" s="247">
        <v>492.60012124215569</v>
      </c>
      <c r="AO74" s="247">
        <v>491.56502908172752</v>
      </c>
      <c r="AP74" s="247">
        <v>490.52996959905482</v>
      </c>
      <c r="AQ74" s="247">
        <v>489.49494562378902</v>
      </c>
      <c r="AR74" s="247">
        <v>488.4599600309059</v>
      </c>
      <c r="AS74" s="247">
        <v>487.42501565113275</v>
      </c>
      <c r="AT74" s="247">
        <v>486.39011530633741</v>
      </c>
      <c r="AU74" s="247">
        <v>485.3552618455725</v>
      </c>
      <c r="AV74" s="247">
        <v>484.32045809218096</v>
      </c>
      <c r="AW74" s="247">
        <v>483.285706884776</v>
      </c>
      <c r="AX74" s="247">
        <v>482.25101102733311</v>
      </c>
      <c r="AY74" s="247">
        <v>481.2163733905432</v>
      </c>
      <c r="AZ74" s="247">
        <v>480.18048449412186</v>
      </c>
      <c r="BA74" s="247">
        <v>479.14463384525948</v>
      </c>
      <c r="BB74" s="247">
        <v>478.10881642479171</v>
      </c>
      <c r="BC74" s="247">
        <v>477.07302721345178</v>
      </c>
      <c r="BD74" s="247">
        <v>476.03726128372989</v>
      </c>
      <c r="BE74" s="247">
        <v>475.00151370689974</v>
      </c>
      <c r="BF74" s="247">
        <v>473.96577960781536</v>
      </c>
      <c r="BG74" s="247">
        <v>472.93005418734691</v>
      </c>
      <c r="BH74" s="247">
        <v>471.89433262720598</v>
      </c>
      <c r="BI74" s="247">
        <v>470.85861022000734</v>
      </c>
      <c r="BJ74" s="247">
        <v>469.82288225425452</v>
      </c>
      <c r="BK74" s="247">
        <v>468.7871440742091</v>
      </c>
      <c r="BL74" s="247">
        <v>467.75018042916503</v>
      </c>
      <c r="BM74" s="247">
        <v>466.7132108688308</v>
      </c>
      <c r="BN74" s="247">
        <v>465.67625580958276</v>
      </c>
      <c r="BO74" s="247">
        <v>464.6393354918718</v>
      </c>
      <c r="BP74" s="247">
        <v>463.6024700948438</v>
      </c>
      <c r="BQ74" s="247">
        <v>462.56567966163266</v>
      </c>
      <c r="BR74" s="247">
        <v>461.52898411804802</v>
      </c>
      <c r="BS74" s="247">
        <v>460.49240331461283</v>
      </c>
      <c r="BT74" s="247">
        <v>459.45595696871089</v>
      </c>
      <c r="BU74" s="247">
        <v>458.41966468266719</v>
      </c>
      <c r="BV74" s="247">
        <v>457.38354598015093</v>
      </c>
      <c r="BW74" s="247">
        <v>456.34762027032025</v>
      </c>
      <c r="BX74" s="247">
        <v>455.31068410822485</v>
      </c>
      <c r="BY74" s="247">
        <v>454.27391654166564</v>
      </c>
      <c r="BZ74" s="247">
        <v>453.23730404876687</v>
      </c>
      <c r="CA74" s="247">
        <v>452.20083319918592</v>
      </c>
      <c r="CB74" s="247">
        <v>451.1644906480592</v>
      </c>
      <c r="CC74" s="247">
        <v>450.12826316917671</v>
      </c>
      <c r="CD74" s="247">
        <v>449.09213759823893</v>
      </c>
      <c r="CE74" s="247">
        <v>448.05610087273169</v>
      </c>
      <c r="CF74" s="247">
        <v>447.02014003250213</v>
      </c>
      <c r="CG74" s="247">
        <v>445.98424220143022</v>
      </c>
      <c r="CH74" s="247">
        <v>444.94839460133045</v>
      </c>
      <c r="CI74" s="247">
        <v>443.91258454812487</v>
      </c>
      <c r="CJ74" s="247">
        <v>442.87559166181978</v>
      </c>
      <c r="CK74" s="247">
        <v>441.83861485216704</v>
      </c>
      <c r="CL74" s="247">
        <v>440.80166001963335</v>
      </c>
      <c r="CM74" s="247">
        <v>439.7647330010563</v>
      </c>
      <c r="CN74" s="247">
        <v>438.7278396303405</v>
      </c>
      <c r="CO74" s="247">
        <v>437.69098571078371</v>
      </c>
      <c r="CP74" s="247">
        <v>436.65417703677241</v>
      </c>
      <c r="CQ74" s="247">
        <v>435.61741934935964</v>
      </c>
      <c r="CR74" s="247">
        <v>434.5807183922991</v>
      </c>
      <c r="CS74" s="247">
        <v>433.54407987235987</v>
      </c>
      <c r="CT74" s="247">
        <v>432.50750948691029</v>
      </c>
      <c r="CU74" s="247">
        <v>431.47101289730631</v>
      </c>
      <c r="CV74" s="247">
        <v>430.4349637684499</v>
      </c>
      <c r="CW74" s="247">
        <v>429.39898249596996</v>
      </c>
      <c r="CX74" s="247">
        <v>428.36306810696601</v>
      </c>
      <c r="CY74" s="247">
        <v>427.32721962831596</v>
      </c>
      <c r="CZ74" s="247">
        <v>426.29143612276954</v>
      </c>
      <c r="DA74" s="247">
        <v>425.2557166775336</v>
      </c>
      <c r="DB74" s="247">
        <v>424.22006036203754</v>
      </c>
      <c r="DC74" s="247">
        <v>423.18446630348245</v>
      </c>
      <c r="DD74" s="247">
        <v>422.1489336150766</v>
      </c>
      <c r="DE74" s="247">
        <v>421.11346143634671</v>
      </c>
      <c r="DF74" s="247">
        <v>420.07804894440363</v>
      </c>
      <c r="DG74" s="247">
        <v>419.04269532775083</v>
      </c>
      <c r="DH74" s="247">
        <v>418.00778882231634</v>
      </c>
      <c r="DI74" s="247">
        <v>416.97293762691226</v>
      </c>
      <c r="DJ74" s="247">
        <v>415.93814954173786</v>
      </c>
      <c r="DK74" s="247">
        <v>414.90343230104179</v>
      </c>
      <c r="DL74" s="247">
        <v>413.86879363217417</v>
      </c>
      <c r="DM74" s="247">
        <v>412.83424119772633</v>
      </c>
      <c r="DN74" s="247">
        <v>411.79978262313125</v>
      </c>
      <c r="DO74" s="247">
        <v>410.76542551756023</v>
      </c>
      <c r="DP74" s="247">
        <v>409.73117743327595</v>
      </c>
      <c r="DQ74" s="247">
        <v>408.69704588265557</v>
      </c>
      <c r="DR74" s="247">
        <v>407.6630383491933</v>
      </c>
      <c r="DS74" s="247">
        <v>406.62916227698929</v>
      </c>
      <c r="DT74" s="247">
        <v>405.59773192060811</v>
      </c>
      <c r="DU74" s="247">
        <v>404.56645539267629</v>
      </c>
      <c r="DV74" s="247">
        <v>403.53534360631795</v>
      </c>
      <c r="DW74" s="247">
        <v>402.50440741854527</v>
      </c>
      <c r="DX74" s="247">
        <v>401.47365761945861</v>
      </c>
      <c r="DY74" s="247">
        <v>400.44310493592292</v>
      </c>
      <c r="DZ74" s="247">
        <v>399.41276001227061</v>
      </c>
      <c r="EA74" s="247">
        <v>398.38263347274307</v>
      </c>
      <c r="EB74" s="247">
        <v>397.35273584632523</v>
      </c>
      <c r="EC74" s="247">
        <v>396.32307760819117</v>
      </c>
      <c r="ED74" s="247">
        <v>395.29366918423221</v>
      </c>
      <c r="EE74" s="247">
        <v>394.26452095486246</v>
      </c>
      <c r="EF74" s="247">
        <v>393.23840396146056</v>
      </c>
      <c r="EG74" s="247">
        <v>392.21256078889519</v>
      </c>
      <c r="EH74" s="247">
        <v>391.18697926104227</v>
      </c>
      <c r="EI74" s="247">
        <v>390.16164730525082</v>
      </c>
      <c r="EJ74" s="247">
        <v>389.13655292311779</v>
      </c>
      <c r="EK74" s="247">
        <v>388.1116841950477</v>
      </c>
      <c r="EL74" s="247">
        <v>387.0870292941766</v>
      </c>
      <c r="EM74" s="247">
        <v>386.06257647543407</v>
      </c>
      <c r="EN74" s="247">
        <v>385.03831409058324</v>
      </c>
      <c r="EO74" s="247">
        <v>384.01423056313922</v>
      </c>
      <c r="EP74" s="247">
        <v>382.99031441990712</v>
      </c>
      <c r="EQ74" s="247">
        <v>381.96655426048841</v>
      </c>
      <c r="ER74" s="247">
        <v>380.946195105973</v>
      </c>
      <c r="ES74" s="247">
        <v>379.92599356863678</v>
      </c>
      <c r="ET74" s="247">
        <v>378.90595821724565</v>
      </c>
      <c r="EU74" s="247">
        <v>377.88609758017208</v>
      </c>
      <c r="EV74" s="247">
        <v>376.86642012269465</v>
      </c>
      <c r="EW74" s="247">
        <v>375.84693427020989</v>
      </c>
      <c r="EX74" s="247">
        <v>374.82764840479797</v>
      </c>
      <c r="EY74" s="247">
        <v>373.80857084345308</v>
      </c>
      <c r="EZ74" s="247">
        <v>372.78970986431631</v>
      </c>
      <c r="FA74" s="247">
        <v>371.77107369638145</v>
      </c>
      <c r="FB74" s="247">
        <v>370.75267053580615</v>
      </c>
      <c r="FC74" s="247">
        <v>369.73450852114627</v>
      </c>
      <c r="FD74" s="247">
        <v>368.72036833512578</v>
      </c>
      <c r="FE74" s="247">
        <v>367.70649300341535</v>
      </c>
      <c r="FF74" s="247">
        <v>366.69288451782222</v>
      </c>
      <c r="FG74" s="247">
        <v>365.67954493625683</v>
      </c>
      <c r="FH74" s="247">
        <v>364.66647622338087</v>
      </c>
      <c r="FI74" s="247">
        <v>363.65368041983226</v>
      </c>
      <c r="FJ74" s="247">
        <v>362.64115949501888</v>
      </c>
      <c r="FK74" s="247">
        <v>361.62891545677275</v>
      </c>
      <c r="FL74" s="247">
        <v>360.6169502473183</v>
      </c>
      <c r="FM74" s="247">
        <v>359.60526587360488</v>
      </c>
      <c r="FN74" s="247">
        <v>358.5938642740158</v>
      </c>
      <c r="FO74" s="247">
        <v>357.58274742349784</v>
      </c>
      <c r="FP74" s="247">
        <v>356.57246111839783</v>
      </c>
      <c r="FQ74" s="247">
        <v>355.56245823383148</v>
      </c>
      <c r="FR74" s="247">
        <v>354.55274546162997</v>
      </c>
      <c r="FS74" s="247">
        <v>353.54332949655947</v>
      </c>
      <c r="FT74" s="247">
        <v>352.53421696327251</v>
      </c>
      <c r="FU74" s="247">
        <v>351.52541447121359</v>
      </c>
      <c r="FV74" s="247">
        <v>350.51692857152341</v>
      </c>
      <c r="FW74" s="247">
        <v>349.50876579126361</v>
      </c>
      <c r="FX74" s="247">
        <v>348.50093259499084</v>
      </c>
      <c r="FY74" s="247">
        <v>347.49343543973407</v>
      </c>
      <c r="FZ74" s="247">
        <v>346.48628071696373</v>
      </c>
      <c r="GA74" s="247">
        <v>345.4794748193429</v>
      </c>
      <c r="GB74" s="247">
        <v>344.47358604729999</v>
      </c>
      <c r="GC74" s="247">
        <v>343.46804679020454</v>
      </c>
      <c r="GD74" s="247">
        <v>342.46286140623567</v>
      </c>
      <c r="GE74" s="247">
        <v>341.45803426030449</v>
      </c>
      <c r="GF74" s="247">
        <v>340.45356967921072</v>
      </c>
      <c r="GG74" s="247">
        <v>339.44947195193231</v>
      </c>
      <c r="GH74" s="247">
        <v>338.44574535853548</v>
      </c>
      <c r="GI74" s="247">
        <v>337.44239415071155</v>
      </c>
      <c r="GJ74" s="247">
        <v>336.43942255783577</v>
      </c>
      <c r="GK74" s="247">
        <v>335.43683476179893</v>
      </c>
      <c r="GL74" s="247">
        <v>334.43463497210394</v>
      </c>
      <c r="GM74" s="247">
        <v>333.43282734185715</v>
      </c>
      <c r="GN74" s="247">
        <v>332.43663956686044</v>
      </c>
      <c r="GO74" s="247">
        <v>331.44087897943302</v>
      </c>
      <c r="GP74" s="247">
        <v>330.44555047175226</v>
      </c>
      <c r="GQ74" s="247">
        <v>329.45065890592633</v>
      </c>
      <c r="GR74" s="247">
        <v>328.45620911335817</v>
      </c>
      <c r="GS74" s="247">
        <v>327.46220589496482</v>
      </c>
      <c r="GT74" s="247">
        <v>326.46865403335744</v>
      </c>
      <c r="GU74" s="247">
        <v>325.47555827127644</v>
      </c>
      <c r="GV74" s="247">
        <v>324.4829233099249</v>
      </c>
      <c r="GW74" s="247">
        <v>323.4907538550911</v>
      </c>
      <c r="GX74" s="247">
        <v>322.49905455896032</v>
      </c>
      <c r="GY74" s="247">
        <v>321.5078300777015</v>
      </c>
      <c r="GZ74" s="247">
        <v>320.51770431606144</v>
      </c>
      <c r="HA74" s="247">
        <v>319.52805843078119</v>
      </c>
      <c r="HB74" s="247">
        <v>318.53890271885598</v>
      </c>
      <c r="HC74" s="247">
        <v>317.55024740793084</v>
      </c>
      <c r="HD74" s="247">
        <v>316.56210263737154</v>
      </c>
      <c r="HE74" s="247">
        <v>315.57447853085114</v>
      </c>
      <c r="HF74" s="247">
        <v>314.58738509029627</v>
      </c>
      <c r="HG74" s="247">
        <v>313.6008323014953</v>
      </c>
      <c r="HH74" s="247">
        <v>312.61483005945468</v>
      </c>
      <c r="HI74" s="247">
        <v>311.62938823188529</v>
      </c>
      <c r="HJ74" s="247">
        <v>310.64451659284572</v>
      </c>
      <c r="HK74" s="247">
        <v>309.6602249058601</v>
      </c>
      <c r="HL74" s="247">
        <v>308.68327319011655</v>
      </c>
      <c r="HM74" s="247">
        <v>307.70694411706143</v>
      </c>
      <c r="HN74" s="247">
        <v>306.73122803610568</v>
      </c>
      <c r="HO74" s="247">
        <v>305.75611531050146</v>
      </c>
      <c r="HP74" s="247">
        <v>304.78159643066545</v>
      </c>
      <c r="HQ74" s="247">
        <v>303.80766190164741</v>
      </c>
      <c r="HR74" s="247">
        <v>302.83430232047459</v>
      </c>
      <c r="HS74" s="247">
        <v>301.86150830846691</v>
      </c>
      <c r="HT74" s="247">
        <v>300.88927057469277</v>
      </c>
      <c r="HU74" s="247">
        <v>299.91757989806479</v>
      </c>
      <c r="HV74" s="247">
        <v>298.94642709542103</v>
      </c>
      <c r="HW74" s="247">
        <v>297.97580304446677</v>
      </c>
      <c r="HX74" s="247">
        <v>297.00637586508248</v>
      </c>
      <c r="HY74" s="247">
        <v>296.03746733377181</v>
      </c>
      <c r="HZ74" s="247">
        <v>295.06908606059028</v>
      </c>
      <c r="IA74" s="247">
        <v>294.10124056964003</v>
      </c>
      <c r="IB74" s="247">
        <v>293.13393935430719</v>
      </c>
      <c r="IC74" s="247">
        <v>292.16719085854527</v>
      </c>
      <c r="ID74" s="247">
        <v>291.2010034603282</v>
      </c>
      <c r="IE74" s="247">
        <v>290.23538550569708</v>
      </c>
      <c r="IF74" s="247">
        <v>289.27034528775539</v>
      </c>
      <c r="IG74" s="247">
        <v>288.30589106560262</v>
      </c>
      <c r="IH74" s="247">
        <v>287.34203102323977</v>
      </c>
      <c r="II74" s="247">
        <v>286.37877333644377</v>
      </c>
      <c r="IJ74" s="247">
        <v>285.41682110796592</v>
      </c>
      <c r="IK74" s="247">
        <v>284.45548021580419</v>
      </c>
      <c r="IL74" s="247">
        <v>283.49476114381378</v>
      </c>
      <c r="IM74" s="247">
        <v>282.5346742318003</v>
      </c>
      <c r="IN74" s="247">
        <v>281.57522993990824</v>
      </c>
      <c r="IO74" s="247">
        <v>280.61643849651864</v>
      </c>
      <c r="IP74" s="247">
        <v>279.65831015341223</v>
      </c>
      <c r="IQ74" s="247">
        <v>278.70085511409468</v>
      </c>
      <c r="IR74" s="247">
        <v>277.74408351240686</v>
      </c>
      <c r="IS74" s="247">
        <v>276.78800543151357</v>
      </c>
      <c r="IT74" s="247">
        <v>275.83263097477703</v>
      </c>
      <c r="IU74" s="247">
        <v>274.8779701074713</v>
      </c>
      <c r="IV74" s="247">
        <v>273.93329262893695</v>
      </c>
      <c r="IW74" s="247">
        <v>272.98937938396546</v>
      </c>
      <c r="IX74" s="247">
        <v>272.04621655762247</v>
      </c>
      <c r="IY74" s="247">
        <v>271.10379051322576</v>
      </c>
      <c r="IZ74" s="247">
        <v>270.16208761311202</v>
      </c>
      <c r="JA74" s="247">
        <v>269.22109430593167</v>
      </c>
      <c r="JB74" s="247">
        <v>268.28079721342021</v>
      </c>
      <c r="JC74" s="247">
        <v>267.34118296402988</v>
      </c>
      <c r="JD74" s="247">
        <v>266.40223826320556</v>
      </c>
      <c r="JE74" s="247">
        <v>265.46394991311433</v>
      </c>
      <c r="JF74" s="247">
        <v>264.52630479939205</v>
      </c>
      <c r="JG74" s="247">
        <v>263.58928981403716</v>
      </c>
      <c r="JH74" s="247">
        <v>262.65364566299968</v>
      </c>
      <c r="JI74" s="247">
        <v>261.71861605169033</v>
      </c>
      <c r="JJ74" s="247">
        <v>260.78420787634633</v>
      </c>
      <c r="JK74" s="247">
        <v>259.85042782138976</v>
      </c>
      <c r="JL74" s="247">
        <v>258.91728271401331</v>
      </c>
      <c r="JM74" s="247">
        <v>257.98477916807752</v>
      </c>
      <c r="JN74" s="247">
        <v>257.0529239308197</v>
      </c>
      <c r="JO74" s="247">
        <v>256.12172363337424</v>
      </c>
      <c r="JP74" s="247">
        <v>255.19118494381291</v>
      </c>
      <c r="JQ74" s="247">
        <v>254.26131441309042</v>
      </c>
      <c r="JR74" s="247">
        <v>253.33211863365915</v>
      </c>
      <c r="JS74" s="247">
        <v>252.40360416312467</v>
      </c>
      <c r="JT74" s="247">
        <v>251.46672322127856</v>
      </c>
      <c r="JU74" s="247">
        <v>250.53045571936764</v>
      </c>
      <c r="JV74" s="247">
        <v>249.59479279826968</v>
      </c>
      <c r="JW74" s="247">
        <v>248.65972586751025</v>
      </c>
      <c r="JX74" s="247">
        <v>247.72524622369903</v>
      </c>
      <c r="JY74" s="247">
        <v>246.79134527487417</v>
      </c>
      <c r="JZ74" s="247">
        <v>245.85801446451671</v>
      </c>
      <c r="KA74" s="247">
        <v>244.92524528214261</v>
      </c>
      <c r="KB74" s="247">
        <v>243.99302932113287</v>
      </c>
      <c r="KC74" s="247">
        <v>243.06135814435842</v>
      </c>
      <c r="KD74" s="247">
        <v>242.13022334955201</v>
      </c>
      <c r="KE74" s="247">
        <v>241.19961665437154</v>
      </c>
      <c r="KF74" s="247">
        <v>240.27031554000945</v>
      </c>
      <c r="KG74" s="247">
        <v>239.34155365194374</v>
      </c>
      <c r="KH74" s="247">
        <v>238.41335996000171</v>
      </c>
      <c r="KI74" s="247">
        <v>237.48576311816535</v>
      </c>
      <c r="KJ74" s="247">
        <v>236.55879183409252</v>
      </c>
      <c r="KK74" s="247">
        <v>235.63247449188265</v>
      </c>
      <c r="KL74" s="247">
        <v>234.70683944456405</v>
      </c>
      <c r="KM74" s="247">
        <v>233.78191494766375</v>
      </c>
      <c r="KN74" s="247">
        <v>232.85772906616538</v>
      </c>
      <c r="KO74" s="247">
        <v>231.93430983268061</v>
      </c>
      <c r="KP74" s="247">
        <v>231.011685089243</v>
      </c>
      <c r="KQ74" s="247">
        <v>230.0898825679964</v>
      </c>
      <c r="KR74" s="247">
        <v>229.15951145331638</v>
      </c>
      <c r="KS74" s="247">
        <v>228.22988884287227</v>
      </c>
      <c r="KT74" s="247">
        <v>227.30099220150683</v>
      </c>
      <c r="KU74" s="247">
        <v>226.37279904719784</v>
      </c>
      <c r="KV74" s="247">
        <v>225.445286959519</v>
      </c>
      <c r="KW74" s="247">
        <v>224.51843376366298</v>
      </c>
      <c r="KX74" s="247">
        <v>223.59221727764043</v>
      </c>
      <c r="KY74" s="247">
        <v>222.66661545226503</v>
      </c>
      <c r="KZ74" s="247">
        <v>221.74160635316727</v>
      </c>
      <c r="LA74" s="247">
        <v>220.81716824276577</v>
      </c>
      <c r="LB74" s="247">
        <v>219.89327937889459</v>
      </c>
      <c r="LC74" s="247">
        <v>218.96991815503651</v>
      </c>
      <c r="LD74" s="247">
        <v>218.04787223327565</v>
      </c>
      <c r="LE74" s="247">
        <v>217.12633480702542</v>
      </c>
      <c r="LF74" s="247">
        <v>216.20531794963193</v>
      </c>
      <c r="LG74" s="247">
        <v>215.28483368790398</v>
      </c>
      <c r="LH74" s="247">
        <v>214.36489400652178</v>
      </c>
      <c r="LI74" s="247">
        <v>213.44551077711799</v>
      </c>
      <c r="LJ74" s="247">
        <v>212.52669593972533</v>
      </c>
      <c r="LK74" s="247">
        <v>211.60846126823134</v>
      </c>
      <c r="LL74" s="247">
        <v>210.69081859216024</v>
      </c>
      <c r="LM74" s="247">
        <v>209.77377957147573</v>
      </c>
      <c r="LN74" s="247">
        <v>208.8573559796348</v>
      </c>
      <c r="LO74" s="247">
        <v>207.94155947443389</v>
      </c>
      <c r="LP74" s="247">
        <v>207.02723141025004</v>
      </c>
      <c r="LQ74" s="247">
        <v>206.11353577764521</v>
      </c>
      <c r="LR74" s="247">
        <v>205.20047594470986</v>
      </c>
      <c r="LS74" s="247">
        <v>204.28805536496563</v>
      </c>
      <c r="LT74" s="247">
        <v>203.37627746425778</v>
      </c>
      <c r="LU74" s="247">
        <v>202.46514557285178</v>
      </c>
      <c r="LV74" s="247">
        <v>201.55466315868503</v>
      </c>
      <c r="LW74" s="247">
        <v>200.6448336016914</v>
      </c>
      <c r="LX74" s="247">
        <v>199.73566029196778</v>
      </c>
      <c r="LY74" s="247">
        <v>198.82714664301818</v>
      </c>
      <c r="LZ74" s="247">
        <v>197.91929602155923</v>
      </c>
      <c r="MA74" s="247">
        <v>197.01211192579447</v>
      </c>
      <c r="MB74" s="247">
        <v>196.106457772662</v>
      </c>
      <c r="MC74" s="247">
        <v>195.20146742217037</v>
      </c>
      <c r="MD74" s="247">
        <v>194.2971445028152</v>
      </c>
      <c r="ME74" s="247">
        <v>193.39349252647409</v>
      </c>
      <c r="MF74" s="247">
        <v>192.49051505826878</v>
      </c>
      <c r="MG74" s="247">
        <v>191.58821570369756</v>
      </c>
      <c r="MH74" s="247">
        <v>190.6865980571572</v>
      </c>
      <c r="MI74" s="247">
        <v>189.78566565033054</v>
      </c>
      <c r="MJ74" s="247">
        <v>188.88542215282635</v>
      </c>
      <c r="MK74" s="247">
        <v>187.98587111365475</v>
      </c>
      <c r="ML74" s="247">
        <v>187.08701616291734</v>
      </c>
      <c r="MM74" s="247">
        <v>186.18886091412921</v>
      </c>
      <c r="MN74" s="247">
        <v>185.29229917887469</v>
      </c>
      <c r="MO74" s="247">
        <v>184.3964331666694</v>
      </c>
      <c r="MP74" s="247">
        <v>183.50126474090777</v>
      </c>
      <c r="MQ74" s="247">
        <v>182.60679579909706</v>
      </c>
      <c r="MR74" s="247">
        <v>181.7130283290459</v>
      </c>
      <c r="MS74" s="247">
        <v>180.81996423962048</v>
      </c>
      <c r="MT74" s="247">
        <v>179.92760557100166</v>
      </c>
      <c r="MU74" s="247">
        <v>179.03595423745108</v>
      </c>
      <c r="MV74" s="247">
        <v>178.14501227073808</v>
      </c>
      <c r="MW74" s="247">
        <v>177.25478172519129</v>
      </c>
      <c r="MX74" s="247">
        <v>176.36526466536202</v>
      </c>
      <c r="MY74" s="247">
        <v>175.47646312418672</v>
      </c>
    </row>
    <row r="75" spans="1:363" ht="15.6" x14ac:dyDescent="0.3">
      <c r="A75" s="67" t="s">
        <v>6</v>
      </c>
      <c r="B75" s="72">
        <v>2085</v>
      </c>
      <c r="C75" s="247">
        <v>531.47467982128239</v>
      </c>
      <c r="D75" s="247">
        <v>530.4423331548096</v>
      </c>
      <c r="E75" s="247">
        <v>529.41004801059842</v>
      </c>
      <c r="F75" s="247">
        <v>528.37782326430283</v>
      </c>
      <c r="G75" s="247">
        <v>527.34565779402635</v>
      </c>
      <c r="H75" s="247">
        <v>526.31355049737249</v>
      </c>
      <c r="I75" s="247">
        <v>525.2815002728421</v>
      </c>
      <c r="J75" s="247">
        <v>524.24950608729887</v>
      </c>
      <c r="K75" s="247">
        <v>523.21756688206574</v>
      </c>
      <c r="L75" s="247">
        <v>522.18568162733402</v>
      </c>
      <c r="M75" s="247">
        <v>521.15384930303378</v>
      </c>
      <c r="N75" s="247">
        <v>520.1220689737346</v>
      </c>
      <c r="O75" s="247">
        <v>519.09033962956971</v>
      </c>
      <c r="P75" s="247">
        <v>518.05710653014671</v>
      </c>
      <c r="Q75" s="247">
        <v>517.02390882347777</v>
      </c>
      <c r="R75" s="247">
        <v>515.99074850418333</v>
      </c>
      <c r="S75" s="247">
        <v>514.95762761579817</v>
      </c>
      <c r="T75" s="247">
        <v>513.92454817117653</v>
      </c>
      <c r="U75" s="247">
        <v>512.89151216725315</v>
      </c>
      <c r="V75" s="247">
        <v>511.85852161471291</v>
      </c>
      <c r="W75" s="247">
        <v>510.82557851654104</v>
      </c>
      <c r="X75" s="247">
        <v>509.79268491573089</v>
      </c>
      <c r="Y75" s="247">
        <v>508.75984281680604</v>
      </c>
      <c r="Z75" s="247">
        <v>507.72705426860756</v>
      </c>
      <c r="AA75" s="247">
        <v>506.6943212676855</v>
      </c>
      <c r="AB75" s="247">
        <v>505.66017381310326</v>
      </c>
      <c r="AC75" s="247">
        <v>504.62606682819603</v>
      </c>
      <c r="AD75" s="247">
        <v>503.59200056192071</v>
      </c>
      <c r="AE75" s="247">
        <v>502.55797523346712</v>
      </c>
      <c r="AF75" s="247">
        <v>501.5239910590812</v>
      </c>
      <c r="AG75" s="247">
        <v>500.49004832167572</v>
      </c>
      <c r="AH75" s="247">
        <v>499.45614727055835</v>
      </c>
      <c r="AI75" s="247">
        <v>498.42228817348143</v>
      </c>
      <c r="AJ75" s="247">
        <v>497.38847128855474</v>
      </c>
      <c r="AK75" s="247">
        <v>496.35469696223009</v>
      </c>
      <c r="AL75" s="247">
        <v>495.3209654798062</v>
      </c>
      <c r="AM75" s="247">
        <v>494.2872771881361</v>
      </c>
      <c r="AN75" s="247">
        <v>493.2522411131016</v>
      </c>
      <c r="AO75" s="247">
        <v>492.21723518289053</v>
      </c>
      <c r="AP75" s="247">
        <v>491.18226222760745</v>
      </c>
      <c r="AQ75" s="247">
        <v>490.14732504771297</v>
      </c>
      <c r="AR75" s="247">
        <v>489.11242648861833</v>
      </c>
      <c r="AS75" s="247">
        <v>488.07756935232072</v>
      </c>
      <c r="AT75" s="247">
        <v>487.04275643235388</v>
      </c>
      <c r="AU75" s="247">
        <v>486.00799054932673</v>
      </c>
      <c r="AV75" s="247">
        <v>484.9732744987046</v>
      </c>
      <c r="AW75" s="247">
        <v>483.93861109135139</v>
      </c>
      <c r="AX75" s="247">
        <v>482.90400310424536</v>
      </c>
      <c r="AY75" s="247">
        <v>481.86945338045933</v>
      </c>
      <c r="AZ75" s="247">
        <v>480.83364131447235</v>
      </c>
      <c r="BA75" s="247">
        <v>479.79786761949021</v>
      </c>
      <c r="BB75" s="247">
        <v>478.76212736803183</v>
      </c>
      <c r="BC75" s="247">
        <v>477.72641563265915</v>
      </c>
      <c r="BD75" s="247">
        <v>476.69072757648701</v>
      </c>
      <c r="BE75" s="247">
        <v>475.65505836154244</v>
      </c>
      <c r="BF75" s="247">
        <v>474.61940320280007</v>
      </c>
      <c r="BG75" s="247">
        <v>473.58375739028816</v>
      </c>
      <c r="BH75" s="247">
        <v>472.54811619528721</v>
      </c>
      <c r="BI75" s="247">
        <v>471.51247499854924</v>
      </c>
      <c r="BJ75" s="247">
        <v>470.47682917694385</v>
      </c>
      <c r="BK75" s="247">
        <v>469.44117416253403</v>
      </c>
      <c r="BL75" s="247">
        <v>468.40428444769259</v>
      </c>
      <c r="BM75" s="247">
        <v>467.36738959341562</v>
      </c>
      <c r="BN75" s="247">
        <v>466.33050969027067</v>
      </c>
      <c r="BO75" s="247">
        <v>465.2936646562141</v>
      </c>
      <c r="BP75" s="247">
        <v>464.25687434941119</v>
      </c>
      <c r="BQ75" s="247">
        <v>463.22015849464026</v>
      </c>
      <c r="BR75" s="247">
        <v>462.18353670176367</v>
      </c>
      <c r="BS75" s="247">
        <v>461.14702850710461</v>
      </c>
      <c r="BT75" s="247">
        <v>460.11065331641817</v>
      </c>
      <c r="BU75" s="247">
        <v>459.07443042288099</v>
      </c>
      <c r="BV75" s="247">
        <v>458.03837904274002</v>
      </c>
      <c r="BW75" s="247">
        <v>457.002518280206</v>
      </c>
      <c r="BX75" s="247">
        <v>455.96563540575926</v>
      </c>
      <c r="BY75" s="247">
        <v>454.92891879619708</v>
      </c>
      <c r="BZ75" s="247">
        <v>453.8923551832977</v>
      </c>
      <c r="CA75" s="247">
        <v>452.85593138883002</v>
      </c>
      <c r="CB75" s="247">
        <v>451.81963431870213</v>
      </c>
      <c r="CC75" s="247">
        <v>450.78345099542781</v>
      </c>
      <c r="CD75" s="247">
        <v>449.74736850246762</v>
      </c>
      <c r="CE75" s="247">
        <v>448.71137402345619</v>
      </c>
      <c r="CF75" s="247">
        <v>447.67545484261365</v>
      </c>
      <c r="CG75" s="247">
        <v>446.63959832696713</v>
      </c>
      <c r="CH75" s="247">
        <v>445.60379193984102</v>
      </c>
      <c r="CI75" s="247">
        <v>444.56802323727459</v>
      </c>
      <c r="CJ75" s="247">
        <v>443.53106410849898</v>
      </c>
      <c r="CK75" s="247">
        <v>442.4941213511803</v>
      </c>
      <c r="CL75" s="247">
        <v>441.45720077205016</v>
      </c>
      <c r="CM75" s="247">
        <v>440.42030811565621</v>
      </c>
      <c r="CN75" s="247">
        <v>439.38344912403994</v>
      </c>
      <c r="CO75" s="247">
        <v>438.34662950944232</v>
      </c>
      <c r="CP75" s="247">
        <v>437.30985497568503</v>
      </c>
      <c r="CQ75" s="247">
        <v>436.27313117462944</v>
      </c>
      <c r="CR75" s="247">
        <v>435.23646376100874</v>
      </c>
      <c r="CS75" s="247">
        <v>434.19985835371779</v>
      </c>
      <c r="CT75" s="247">
        <v>433.16332056270682</v>
      </c>
      <c r="CU75" s="247">
        <v>432.1268559630596</v>
      </c>
      <c r="CV75" s="247">
        <v>431.09082009479982</v>
      </c>
      <c r="CW75" s="247">
        <v>430.0548514181807</v>
      </c>
      <c r="CX75" s="247">
        <v>429.0189489944425</v>
      </c>
      <c r="CY75" s="247">
        <v>427.98311188480341</v>
      </c>
      <c r="CZ75" s="247">
        <v>426.94733918598928</v>
      </c>
      <c r="DA75" s="247">
        <v>425.91163001889788</v>
      </c>
      <c r="DB75" s="247">
        <v>424.87598348721849</v>
      </c>
      <c r="DC75" s="247">
        <v>423.84039875167474</v>
      </c>
      <c r="DD75" s="247">
        <v>422.8048749593903</v>
      </c>
      <c r="DE75" s="247">
        <v>421.76941128370754</v>
      </c>
      <c r="DF75" s="247">
        <v>420.73400693507426</v>
      </c>
      <c r="DG75" s="247">
        <v>419.69866113551598</v>
      </c>
      <c r="DH75" s="247">
        <v>418.6637438434156</v>
      </c>
      <c r="DI75" s="247">
        <v>417.62888143076151</v>
      </c>
      <c r="DJ75" s="247">
        <v>416.5940815699214</v>
      </c>
      <c r="DK75" s="247">
        <v>415.55935186882323</v>
      </c>
      <c r="DL75" s="247">
        <v>414.52469992902132</v>
      </c>
      <c r="DM75" s="247">
        <v>413.49013328876646</v>
      </c>
      <c r="DN75" s="247">
        <v>412.45565945018541</v>
      </c>
      <c r="DO75" s="247">
        <v>411.42128589986191</v>
      </c>
      <c r="DP75" s="247">
        <v>410.38702006876065</v>
      </c>
      <c r="DQ75" s="247">
        <v>409.35286934917627</v>
      </c>
      <c r="DR75" s="247">
        <v>408.31884110536714</v>
      </c>
      <c r="DS75" s="247">
        <v>407.28494266342352</v>
      </c>
      <c r="DT75" s="247">
        <v>406.25345808923208</v>
      </c>
      <c r="DU75" s="247">
        <v>405.22212530070476</v>
      </c>
      <c r="DV75" s="247">
        <v>404.19095503700277</v>
      </c>
      <c r="DW75" s="247">
        <v>403.15995798248218</v>
      </c>
      <c r="DX75" s="247">
        <v>402.12914475617617</v>
      </c>
      <c r="DY75" s="247">
        <v>401.09852591528124</v>
      </c>
      <c r="DZ75" s="247">
        <v>400.06811193627863</v>
      </c>
      <c r="EA75" s="247">
        <v>399.03791327634775</v>
      </c>
      <c r="EB75" s="247">
        <v>398.00794029934275</v>
      </c>
      <c r="EC75" s="247">
        <v>396.97820331675581</v>
      </c>
      <c r="ED75" s="247">
        <v>395.9487125919909</v>
      </c>
      <c r="EE75" s="247">
        <v>394.91947834428248</v>
      </c>
      <c r="EF75" s="247">
        <v>393.89324129498704</v>
      </c>
      <c r="EG75" s="247">
        <v>392.86727427465257</v>
      </c>
      <c r="EH75" s="247">
        <v>391.84156532226757</v>
      </c>
      <c r="EI75" s="247">
        <v>390.81610257865782</v>
      </c>
      <c r="EJ75" s="247">
        <v>389.79087425782751</v>
      </c>
      <c r="EK75" s="247">
        <v>388.76586865133044</v>
      </c>
      <c r="EL75" s="247">
        <v>387.74107414204371</v>
      </c>
      <c r="EM75" s="247">
        <v>386.71647919346316</v>
      </c>
      <c r="EN75" s="247">
        <v>385.69207236435557</v>
      </c>
      <c r="EO75" s="247">
        <v>384.66784228428861</v>
      </c>
      <c r="EP75" s="247">
        <v>383.64377768451294</v>
      </c>
      <c r="EQ75" s="247">
        <v>382.61986736812707</v>
      </c>
      <c r="ER75" s="247">
        <v>381.59932698541547</v>
      </c>
      <c r="ES75" s="247">
        <v>380.57894254877601</v>
      </c>
      <c r="ET75" s="247">
        <v>379.55872251003257</v>
      </c>
      <c r="EU75" s="247">
        <v>378.53867528152705</v>
      </c>
      <c r="EV75" s="247">
        <v>377.51880921385151</v>
      </c>
      <c r="EW75" s="247">
        <v>376.49913261858489</v>
      </c>
      <c r="EX75" s="247">
        <v>375.47965376500349</v>
      </c>
      <c r="EY75" s="247">
        <v>374.46038085866616</v>
      </c>
      <c r="EZ75" s="247">
        <v>373.44132206713448</v>
      </c>
      <c r="FA75" s="247">
        <v>372.42248551002552</v>
      </c>
      <c r="FB75" s="247">
        <v>371.40387927492014</v>
      </c>
      <c r="FC75" s="247">
        <v>370.38551139314535</v>
      </c>
      <c r="FD75" s="247">
        <v>369.37113460429782</v>
      </c>
      <c r="FE75" s="247">
        <v>368.35701969224203</v>
      </c>
      <c r="FF75" s="247">
        <v>367.3431686345964</v>
      </c>
      <c r="FG75" s="247">
        <v>366.32958347435391</v>
      </c>
      <c r="FH75" s="247">
        <v>365.31626616288202</v>
      </c>
      <c r="FI75" s="247">
        <v>364.30321872661841</v>
      </c>
      <c r="FJ75" s="247">
        <v>363.29044312206059</v>
      </c>
      <c r="FK75" s="247">
        <v>362.2779413438725</v>
      </c>
      <c r="FL75" s="247">
        <v>361.26571532222738</v>
      </c>
      <c r="FM75" s="247">
        <v>360.25376705146164</v>
      </c>
      <c r="FN75" s="247">
        <v>359.24209845855273</v>
      </c>
      <c r="FO75" s="247">
        <v>358.23071150688975</v>
      </c>
      <c r="FP75" s="247">
        <v>357.22013376791188</v>
      </c>
      <c r="FQ75" s="247">
        <v>356.20983624425935</v>
      </c>
      <c r="FR75" s="247">
        <v>355.19982554724351</v>
      </c>
      <c r="FS75" s="247">
        <v>354.1901082913356</v>
      </c>
      <c r="FT75" s="247">
        <v>353.18069102224018</v>
      </c>
      <c r="FU75" s="247">
        <v>352.171580270905</v>
      </c>
      <c r="FV75" s="247">
        <v>351.16278251112982</v>
      </c>
      <c r="FW75" s="247">
        <v>350.15430419332228</v>
      </c>
      <c r="FX75" s="247">
        <v>349.14615170651348</v>
      </c>
      <c r="FY75" s="247">
        <v>348.13833143272171</v>
      </c>
      <c r="FZ75" s="247">
        <v>347.13084968962943</v>
      </c>
      <c r="GA75" s="247">
        <v>346.12371279651069</v>
      </c>
      <c r="GB75" s="247">
        <v>345.11747057385696</v>
      </c>
      <c r="GC75" s="247">
        <v>344.11157376622435</v>
      </c>
      <c r="GD75" s="247">
        <v>343.10602668537479</v>
      </c>
      <c r="GE75" s="247">
        <v>342.10083364994892</v>
      </c>
      <c r="GF75" s="247">
        <v>341.09599894133277</v>
      </c>
      <c r="GG75" s="247">
        <v>340.09152680383778</v>
      </c>
      <c r="GH75" s="247">
        <v>339.08742147329559</v>
      </c>
      <c r="GI75" s="247">
        <v>338.08368715786929</v>
      </c>
      <c r="GJ75" s="247">
        <v>337.08032804394401</v>
      </c>
      <c r="GK75" s="247">
        <v>336.07734827146999</v>
      </c>
      <c r="GL75" s="247">
        <v>335.07475200788349</v>
      </c>
      <c r="GM75" s="247">
        <v>334.07254336541263</v>
      </c>
      <c r="GN75" s="247">
        <v>333.07592338005867</v>
      </c>
      <c r="GO75" s="247">
        <v>332.07972590017761</v>
      </c>
      <c r="GP75" s="247">
        <v>331.08395576873829</v>
      </c>
      <c r="GQ75" s="247">
        <v>330.08861779927923</v>
      </c>
      <c r="GR75" s="247">
        <v>329.09371677535751</v>
      </c>
      <c r="GS75" s="247">
        <v>328.09925745065266</v>
      </c>
      <c r="GT75" s="247">
        <v>327.10524456108186</v>
      </c>
      <c r="GU75" s="247">
        <v>326.11168280352024</v>
      </c>
      <c r="GV75" s="247">
        <v>325.11857683407129</v>
      </c>
      <c r="GW75" s="247">
        <v>324.12593131374439</v>
      </c>
      <c r="GX75" s="247">
        <v>323.13375085089802</v>
      </c>
      <c r="GY75" s="247">
        <v>322.14204005821625</v>
      </c>
      <c r="GZ75" s="247">
        <v>321.1514045685559</v>
      </c>
      <c r="HA75" s="247">
        <v>320.16124364547949</v>
      </c>
      <c r="HB75" s="247">
        <v>319.17156746709009</v>
      </c>
      <c r="HC75" s="247">
        <v>318.18238614334371</v>
      </c>
      <c r="HD75" s="247">
        <v>317.19370969745484</v>
      </c>
      <c r="HE75" s="247">
        <v>316.20554813740921</v>
      </c>
      <c r="HF75" s="247">
        <v>315.21791135140057</v>
      </c>
      <c r="HG75" s="247">
        <v>314.23080921205525</v>
      </c>
      <c r="HH75" s="247">
        <v>313.24425150267911</v>
      </c>
      <c r="HI75" s="247">
        <v>312.25824798006539</v>
      </c>
      <c r="HJ75" s="247">
        <v>311.27280830889168</v>
      </c>
      <c r="HK75" s="247">
        <v>310.28794214386949</v>
      </c>
      <c r="HL75" s="247">
        <v>309.31038733011206</v>
      </c>
      <c r="HM75" s="247">
        <v>308.33344871649803</v>
      </c>
      <c r="HN75" s="247">
        <v>307.35711678343</v>
      </c>
      <c r="HO75" s="247">
        <v>306.38138202505615</v>
      </c>
      <c r="HP75" s="247">
        <v>305.40623506131459</v>
      </c>
      <c r="HQ75" s="247">
        <v>304.43166652663911</v>
      </c>
      <c r="HR75" s="247">
        <v>303.45766714648721</v>
      </c>
      <c r="HS75" s="247">
        <v>302.48422767044366</v>
      </c>
      <c r="HT75" s="247">
        <v>301.51133893486485</v>
      </c>
      <c r="HU75" s="247">
        <v>300.53899184532116</v>
      </c>
      <c r="HV75" s="247">
        <v>299.56717734495697</v>
      </c>
      <c r="HW75" s="247">
        <v>298.59588643727716</v>
      </c>
      <c r="HX75" s="247">
        <v>297.62576953209788</v>
      </c>
      <c r="HY75" s="247">
        <v>296.6561661536316</v>
      </c>
      <c r="HZ75" s="247">
        <v>295.68708482383647</v>
      </c>
      <c r="IA75" s="247">
        <v>294.71853398001946</v>
      </c>
      <c r="IB75" s="247">
        <v>293.75052202949075</v>
      </c>
      <c r="IC75" s="247">
        <v>292.78305733095317</v>
      </c>
      <c r="ID75" s="247">
        <v>291.81614817826664</v>
      </c>
      <c r="IE75" s="247">
        <v>290.84980283405196</v>
      </c>
      <c r="IF75" s="247">
        <v>289.88402950889025</v>
      </c>
      <c r="IG75" s="247">
        <v>288.91883638015679</v>
      </c>
      <c r="IH75" s="247">
        <v>287.95423155131084</v>
      </c>
      <c r="II75" s="247">
        <v>286.99022311808812</v>
      </c>
      <c r="IJ75" s="247">
        <v>286.02749607135684</v>
      </c>
      <c r="IK75" s="247">
        <v>285.06537421168849</v>
      </c>
      <c r="IL75" s="247">
        <v>284.10386791372952</v>
      </c>
      <c r="IM75" s="247">
        <v>283.14298741007138</v>
      </c>
      <c r="IN75" s="247">
        <v>282.18274305257444</v>
      </c>
      <c r="IO75" s="247">
        <v>281.22314496433188</v>
      </c>
      <c r="IP75" s="247">
        <v>280.26420329190512</v>
      </c>
      <c r="IQ75" s="247">
        <v>279.30592813447925</v>
      </c>
      <c r="IR75" s="247">
        <v>278.34832952266936</v>
      </c>
      <c r="IS75" s="247">
        <v>277.39141743740674</v>
      </c>
      <c r="IT75" s="247">
        <v>276.43520187987406</v>
      </c>
      <c r="IU75" s="247">
        <v>275.4796927152031</v>
      </c>
      <c r="IV75" s="247">
        <v>274.53414631726002</v>
      </c>
      <c r="IW75" s="247">
        <v>273.58935706316902</v>
      </c>
      <c r="IX75" s="247">
        <v>272.64531130256188</v>
      </c>
      <c r="IY75" s="247">
        <v>271.70199556143007</v>
      </c>
      <c r="IZ75" s="247">
        <v>270.7593963649075</v>
      </c>
      <c r="JA75" s="247">
        <v>269.8175003235221</v>
      </c>
      <c r="JB75" s="247">
        <v>268.876294219133</v>
      </c>
      <c r="JC75" s="247">
        <v>267.93576484034043</v>
      </c>
      <c r="JD75" s="247">
        <v>266.99589905195558</v>
      </c>
      <c r="JE75" s="247">
        <v>266.05668381463909</v>
      </c>
      <c r="JF75" s="247">
        <v>265.11810617170596</v>
      </c>
      <c r="JG75" s="247">
        <v>264.1801531729522</v>
      </c>
      <c r="JH75" s="247">
        <v>263.24354834861248</v>
      </c>
      <c r="JI75" s="247">
        <v>262.30755268047909</v>
      </c>
      <c r="JJ75" s="247">
        <v>261.37217300463851</v>
      </c>
      <c r="JK75" s="247">
        <v>260.43741594789174</v>
      </c>
      <c r="JL75" s="247">
        <v>259.5032882785797</v>
      </c>
      <c r="JM75" s="247">
        <v>258.5697965542148</v>
      </c>
      <c r="JN75" s="247">
        <v>257.63694746456179</v>
      </c>
      <c r="JO75" s="247">
        <v>256.70474758480646</v>
      </c>
      <c r="JP75" s="247">
        <v>255.77320352690893</v>
      </c>
      <c r="JQ75" s="247">
        <v>254.84232178732231</v>
      </c>
      <c r="JR75" s="247">
        <v>253.9121089038035</v>
      </c>
      <c r="JS75" s="247">
        <v>252.98257137999627</v>
      </c>
      <c r="JT75" s="247">
        <v>252.04463721467306</v>
      </c>
      <c r="JU75" s="247">
        <v>251.10731057410203</v>
      </c>
      <c r="JV75" s="247">
        <v>250.17058271865872</v>
      </c>
      <c r="JW75" s="247">
        <v>249.23444517432239</v>
      </c>
      <c r="JX75" s="247">
        <v>248.29888935567203</v>
      </c>
      <c r="JY75" s="247">
        <v>247.36390678748776</v>
      </c>
      <c r="JZ75" s="247">
        <v>246.42948902977119</v>
      </c>
      <c r="KA75" s="247">
        <v>245.49562768818359</v>
      </c>
      <c r="KB75" s="247">
        <v>244.56231447115525</v>
      </c>
      <c r="KC75" s="247">
        <v>243.62954105720897</v>
      </c>
      <c r="KD75" s="247">
        <v>242.69729915946883</v>
      </c>
      <c r="KE75" s="247">
        <v>241.76558060984652</v>
      </c>
      <c r="KF75" s="247">
        <v>240.83514366408281</v>
      </c>
      <c r="KG75" s="247">
        <v>239.90524097743545</v>
      </c>
      <c r="KH75" s="247">
        <v>238.97590119666037</v>
      </c>
      <c r="KI75" s="247">
        <v>238.04715265675713</v>
      </c>
      <c r="KJ75" s="247">
        <v>237.1190237462443</v>
      </c>
      <c r="KK75" s="247">
        <v>236.19154253421129</v>
      </c>
      <c r="KL75" s="247">
        <v>235.26473705949255</v>
      </c>
      <c r="KM75" s="247">
        <v>234.33863526497623</v>
      </c>
      <c r="KN75" s="247">
        <v>233.41326490559197</v>
      </c>
      <c r="KO75" s="247">
        <v>232.4886537047507</v>
      </c>
      <c r="KP75" s="247">
        <v>231.56482919787439</v>
      </c>
      <c r="KQ75" s="247">
        <v>230.64181881224854</v>
      </c>
      <c r="KR75" s="247">
        <v>229.7102143287072</v>
      </c>
      <c r="KS75" s="247">
        <v>228.77935027675048</v>
      </c>
      <c r="KT75" s="247">
        <v>227.84920442344878</v>
      </c>
      <c r="KU75" s="247">
        <v>226.91975458833588</v>
      </c>
      <c r="KV75" s="247">
        <v>225.99097865185854</v>
      </c>
      <c r="KW75" s="247">
        <v>225.06285473696119</v>
      </c>
      <c r="KX75" s="247">
        <v>224.13536095959705</v>
      </c>
      <c r="KY75" s="247">
        <v>223.20847556693641</v>
      </c>
      <c r="KZ75" s="247">
        <v>222.28217691954393</v>
      </c>
      <c r="LA75" s="247">
        <v>221.35644357247332</v>
      </c>
      <c r="LB75" s="247">
        <v>220.43125407632158</v>
      </c>
      <c r="LC75" s="247">
        <v>219.50658711582739</v>
      </c>
      <c r="LD75" s="247">
        <v>218.5832091216912</v>
      </c>
      <c r="LE75" s="247">
        <v>217.66033465257212</v>
      </c>
      <c r="LF75" s="247">
        <v>216.73797564680441</v>
      </c>
      <c r="LG75" s="247">
        <v>215.81614399702642</v>
      </c>
      <c r="LH75" s="247">
        <v>214.89485155461665</v>
      </c>
      <c r="LI75" s="247">
        <v>213.97411005954027</v>
      </c>
      <c r="LJ75" s="247">
        <v>213.05393131962737</v>
      </c>
      <c r="LK75" s="247">
        <v>212.13432697895638</v>
      </c>
      <c r="LL75" s="247">
        <v>211.21530873677219</v>
      </c>
      <c r="LM75" s="247">
        <v>210.29688812526808</v>
      </c>
      <c r="LN75" s="247">
        <v>209.37907678896093</v>
      </c>
      <c r="LO75" s="247">
        <v>208.46188625853929</v>
      </c>
      <c r="LP75" s="247">
        <v>207.54613588438698</v>
      </c>
      <c r="LQ75" s="247">
        <v>206.6310114843252</v>
      </c>
      <c r="LR75" s="247">
        <v>205.71651640126132</v>
      </c>
      <c r="LS75" s="247">
        <v>204.80265406264229</v>
      </c>
      <c r="LT75" s="247">
        <v>203.88942786884792</v>
      </c>
      <c r="LU75" s="247">
        <v>202.97684112601695</v>
      </c>
      <c r="LV75" s="247">
        <v>202.06489727649125</v>
      </c>
      <c r="LW75" s="247">
        <v>201.15359967594259</v>
      </c>
      <c r="LX75" s="247">
        <v>200.24295169024532</v>
      </c>
      <c r="LY75" s="247">
        <v>199.33295670869873</v>
      </c>
      <c r="LZ75" s="247">
        <v>198.42361807459253</v>
      </c>
      <c r="MA75" s="247">
        <v>197.51493926137798</v>
      </c>
      <c r="MB75" s="247">
        <v>196.60776128114358</v>
      </c>
      <c r="MC75" s="247">
        <v>195.70124031907284</v>
      </c>
      <c r="MD75" s="247">
        <v>194.79537997503544</v>
      </c>
      <c r="ME75" s="247">
        <v>193.89018373389882</v>
      </c>
      <c r="MF75" s="247">
        <v>192.98565513335384</v>
      </c>
      <c r="MG75" s="247">
        <v>192.08179775108479</v>
      </c>
      <c r="MH75" s="247">
        <v>191.17861515404826</v>
      </c>
      <c r="MI75" s="247">
        <v>190.27611084747736</v>
      </c>
      <c r="MJ75" s="247">
        <v>189.37428847295911</v>
      </c>
      <c r="MK75" s="247">
        <v>188.47315155327087</v>
      </c>
      <c r="ML75" s="247">
        <v>187.57270369144072</v>
      </c>
      <c r="MM75" s="247">
        <v>186.67294847441457</v>
      </c>
      <c r="MN75" s="247">
        <v>185.77475677274452</v>
      </c>
      <c r="MO75" s="247">
        <v>184.87725366737268</v>
      </c>
      <c r="MP75" s="247">
        <v>183.98044101449796</v>
      </c>
      <c r="MQ75" s="247">
        <v>183.08432070413954</v>
      </c>
      <c r="MR75" s="247">
        <v>182.18889471571038</v>
      </c>
      <c r="MS75" s="247">
        <v>181.29416495075444</v>
      </c>
      <c r="MT75" s="247">
        <v>180.40013344070445</v>
      </c>
      <c r="MU75" s="247">
        <v>179.50680209282189</v>
      </c>
      <c r="MV75" s="247">
        <v>178.61417293053117</v>
      </c>
      <c r="MW75" s="247">
        <v>177.7222479997954</v>
      </c>
      <c r="MX75" s="247">
        <v>176.83102935681728</v>
      </c>
      <c r="MY75" s="247">
        <v>175.94051902684336</v>
      </c>
    </row>
    <row r="76" spans="1:363" ht="15.6" x14ac:dyDescent="0.3">
      <c r="A76" s="67" t="s">
        <v>6</v>
      </c>
      <c r="B76" s="72">
        <v>2086</v>
      </c>
      <c r="C76" s="247">
        <v>532.1183887974039</v>
      </c>
      <c r="D76" s="247">
        <v>531.08615702897282</v>
      </c>
      <c r="E76" s="247">
        <v>530.05398694581811</v>
      </c>
      <c r="F76" s="247">
        <v>529.0218774467379</v>
      </c>
      <c r="G76" s="247">
        <v>527.98982743309114</v>
      </c>
      <c r="H76" s="247">
        <v>526.95783582575302</v>
      </c>
      <c r="I76" s="247">
        <v>525.92590154659706</v>
      </c>
      <c r="J76" s="247">
        <v>524.89402358527752</v>
      </c>
      <c r="K76" s="247">
        <v>523.86220090642371</v>
      </c>
      <c r="L76" s="247">
        <v>522.83043250333276</v>
      </c>
      <c r="M76" s="247">
        <v>521.79871737920791</v>
      </c>
      <c r="N76" s="247">
        <v>520.7670546210793</v>
      </c>
      <c r="O76" s="247">
        <v>519.73544324269983</v>
      </c>
      <c r="P76" s="247">
        <v>518.70231428888633</v>
      </c>
      <c r="Q76" s="247">
        <v>517.66922112714121</v>
      </c>
      <c r="R76" s="247">
        <v>516.63616573716695</v>
      </c>
      <c r="S76" s="247">
        <v>515.60315014712023</v>
      </c>
      <c r="T76" s="247">
        <v>514.57017635515672</v>
      </c>
      <c r="U76" s="247">
        <v>513.53724634386083</v>
      </c>
      <c r="V76" s="247">
        <v>512.5043621096421</v>
      </c>
      <c r="W76" s="247">
        <v>511.47152564156539</v>
      </c>
      <c r="X76" s="247">
        <v>510.43873896836698</v>
      </c>
      <c r="Y76" s="247">
        <v>509.40600408111789</v>
      </c>
      <c r="Z76" s="247">
        <v>508.37332301486333</v>
      </c>
      <c r="AA76" s="247">
        <v>507.34069775334842</v>
      </c>
      <c r="AB76" s="247">
        <v>506.30664534344567</v>
      </c>
      <c r="AC76" s="247">
        <v>505.27263365922511</v>
      </c>
      <c r="AD76" s="247">
        <v>504.23866295762906</v>
      </c>
      <c r="AE76" s="247">
        <v>503.20473346640944</v>
      </c>
      <c r="AF76" s="247">
        <v>502.17084541068073</v>
      </c>
      <c r="AG76" s="247">
        <v>501.1369990814589</v>
      </c>
      <c r="AH76" s="247">
        <v>500.10319473685558</v>
      </c>
      <c r="AI76" s="247">
        <v>499.06943265343455</v>
      </c>
      <c r="AJ76" s="247">
        <v>498.03571309839901</v>
      </c>
      <c r="AK76" s="247">
        <v>497.00203642641168</v>
      </c>
      <c r="AL76" s="247">
        <v>495.96840293202325</v>
      </c>
      <c r="AM76" s="247">
        <v>494.93481297082457</v>
      </c>
      <c r="AN76" s="247">
        <v>493.89986378893013</v>
      </c>
      <c r="AO76" s="247">
        <v>492.86494508007144</v>
      </c>
      <c r="AP76" s="247">
        <v>491.83005964489769</v>
      </c>
      <c r="AQ76" s="247">
        <v>490.7952102550579</v>
      </c>
      <c r="AR76" s="247">
        <v>489.76039972678899</v>
      </c>
      <c r="AS76" s="247">
        <v>488.72563083372972</v>
      </c>
      <c r="AT76" s="247">
        <v>487.690906341453</v>
      </c>
      <c r="AU76" s="247">
        <v>486.65622904250091</v>
      </c>
      <c r="AV76" s="247">
        <v>485.62160170482531</v>
      </c>
      <c r="AW76" s="247">
        <v>484.5870271119112</v>
      </c>
      <c r="AX76" s="247">
        <v>483.55250801408926</v>
      </c>
      <c r="AY76" s="247">
        <v>482.51804722719373</v>
      </c>
      <c r="AZ76" s="247">
        <v>481.48231342070432</v>
      </c>
      <c r="BA76" s="247">
        <v>480.44661811386084</v>
      </c>
      <c r="BB76" s="247">
        <v>479.41095646946826</v>
      </c>
      <c r="BC76" s="247">
        <v>478.37532365051158</v>
      </c>
      <c r="BD76" s="247">
        <v>477.33971490934505</v>
      </c>
      <c r="BE76" s="247">
        <v>476.30412549737088</v>
      </c>
      <c r="BF76" s="247">
        <v>475.26855071830977</v>
      </c>
      <c r="BG76" s="247">
        <v>474.23298594999892</v>
      </c>
      <c r="BH76" s="247">
        <v>473.19742655193414</v>
      </c>
      <c r="BI76" s="247">
        <v>472.16186799167099</v>
      </c>
      <c r="BJ76" s="247">
        <v>471.12630573311594</v>
      </c>
      <c r="BK76" s="247">
        <v>470.09073529481395</v>
      </c>
      <c r="BL76" s="247">
        <v>469.05392129790067</v>
      </c>
      <c r="BM76" s="247">
        <v>468.01710293337192</v>
      </c>
      <c r="BN76" s="247">
        <v>466.98029997115327</v>
      </c>
      <c r="BO76" s="247">
        <v>465.94353201182463</v>
      </c>
      <c r="BP76" s="247">
        <v>464.90681859765908</v>
      </c>
      <c r="BQ76" s="247">
        <v>463.87017914012614</v>
      </c>
      <c r="BR76" s="247">
        <v>462.8336329381396</v>
      </c>
      <c r="BS76" s="247">
        <v>461.79719921879439</v>
      </c>
      <c r="BT76" s="247">
        <v>460.76089708115035</v>
      </c>
      <c r="BU76" s="247">
        <v>459.7247455141125</v>
      </c>
      <c r="BV76" s="247">
        <v>458.68876343136282</v>
      </c>
      <c r="BW76" s="247">
        <v>457.65296963697898</v>
      </c>
      <c r="BX76" s="247">
        <v>456.61614250275431</v>
      </c>
      <c r="BY76" s="247">
        <v>455.57947935179374</v>
      </c>
      <c r="BZ76" s="247">
        <v>454.54296716517604</v>
      </c>
      <c r="CA76" s="247">
        <v>453.50659301245099</v>
      </c>
      <c r="CB76" s="247">
        <v>452.47034404599805</v>
      </c>
      <c r="CC76" s="247">
        <v>451.43420753279821</v>
      </c>
      <c r="CD76" s="247">
        <v>450.39817079983493</v>
      </c>
      <c r="CE76" s="247">
        <v>449.36222127268678</v>
      </c>
      <c r="CF76" s="247">
        <v>448.32634647578203</v>
      </c>
      <c r="CG76" s="247">
        <v>447.29053401514295</v>
      </c>
      <c r="CH76" s="247">
        <v>446.25477159150336</v>
      </c>
      <c r="CI76" s="247">
        <v>445.21904699693897</v>
      </c>
      <c r="CJ76" s="247">
        <v>444.18212476274829</v>
      </c>
      <c r="CK76" s="247">
        <v>443.14521920023827</v>
      </c>
      <c r="CL76" s="247">
        <v>442.10833602404102</v>
      </c>
      <c r="CM76" s="247">
        <v>441.07148088803444</v>
      </c>
      <c r="CN76" s="247">
        <v>440.03465944400517</v>
      </c>
      <c r="CO76" s="247">
        <v>438.99787731473066</v>
      </c>
      <c r="CP76" s="247">
        <v>437.96114011504858</v>
      </c>
      <c r="CQ76" s="247">
        <v>436.92445340919602</v>
      </c>
      <c r="CR76" s="247">
        <v>435.88782276444243</v>
      </c>
      <c r="CS76" s="247">
        <v>434.85125371334965</v>
      </c>
      <c r="CT76" s="247">
        <v>433.81475177998288</v>
      </c>
      <c r="CU76" s="247">
        <v>432.77832245466311</v>
      </c>
      <c r="CV76" s="247">
        <v>431.74230336295602</v>
      </c>
      <c r="CW76" s="247">
        <v>430.70635082058635</v>
      </c>
      <c r="CX76" s="247">
        <v>429.67046392227491</v>
      </c>
      <c r="CY76" s="247">
        <v>428.63464176292177</v>
      </c>
      <c r="CZ76" s="247">
        <v>427.59888347257345</v>
      </c>
      <c r="DA76" s="247">
        <v>426.56318820517316</v>
      </c>
      <c r="DB76" s="247">
        <v>425.52755509802319</v>
      </c>
      <c r="DC76" s="247">
        <v>424.49198334472572</v>
      </c>
      <c r="DD76" s="247">
        <v>423.45647212568326</v>
      </c>
      <c r="DE76" s="247">
        <v>422.42102064741567</v>
      </c>
      <c r="DF76" s="247">
        <v>421.38562815308012</v>
      </c>
      <c r="DG76" s="247">
        <v>420.35029389759524</v>
      </c>
      <c r="DH76" s="247">
        <v>419.31536977319513</v>
      </c>
      <c r="DI76" s="247">
        <v>418.28050011570224</v>
      </c>
      <c r="DJ76" s="247">
        <v>417.24569247187804</v>
      </c>
      <c r="DK76" s="247">
        <v>416.2109543255267</v>
      </c>
      <c r="DL76" s="247">
        <v>415.17629315458987</v>
      </c>
      <c r="DM76" s="247">
        <v>414.14171637514158</v>
      </c>
      <c r="DN76" s="247">
        <v>413.10723136814687</v>
      </c>
      <c r="DO76" s="247">
        <v>412.0728454997269</v>
      </c>
      <c r="DP76" s="247">
        <v>411.03856608165506</v>
      </c>
      <c r="DQ76" s="247">
        <v>410.00440038823069</v>
      </c>
      <c r="DR76" s="247">
        <v>408.97035566654944</v>
      </c>
      <c r="DS76" s="247">
        <v>407.93643912673036</v>
      </c>
      <c r="DT76" s="247">
        <v>406.90490464186837</v>
      </c>
      <c r="DU76" s="247">
        <v>405.87351994280596</v>
      </c>
      <c r="DV76" s="247">
        <v>404.84229559757682</v>
      </c>
      <c r="DW76" s="247">
        <v>403.81124212069591</v>
      </c>
      <c r="DX76" s="247">
        <v>402.78036996290922</v>
      </c>
      <c r="DY76" s="247">
        <v>401.7496895145033</v>
      </c>
      <c r="DZ76" s="247">
        <v>400.71921108683648</v>
      </c>
      <c r="EA76" s="247">
        <v>399.68894497273982</v>
      </c>
      <c r="EB76" s="247">
        <v>398.65890137361907</v>
      </c>
      <c r="EC76" s="247">
        <v>397.62909043993852</v>
      </c>
      <c r="ED76" s="247">
        <v>396.59952227524701</v>
      </c>
      <c r="EE76" s="247">
        <v>395.5702069402127</v>
      </c>
      <c r="EF76" s="247">
        <v>394.54385474423208</v>
      </c>
      <c r="EG76" s="247">
        <v>393.51776885152498</v>
      </c>
      <c r="EH76" s="247">
        <v>392.49193751275914</v>
      </c>
      <c r="EI76" s="247">
        <v>391.46634907883828</v>
      </c>
      <c r="EJ76" s="247">
        <v>390.44099197279451</v>
      </c>
      <c r="EK76" s="247">
        <v>389.41585469397586</v>
      </c>
      <c r="EL76" s="247">
        <v>388.39092583167559</v>
      </c>
      <c r="EM76" s="247">
        <v>387.36619405465183</v>
      </c>
      <c r="EN76" s="247">
        <v>386.34164812539632</v>
      </c>
      <c r="EO76" s="247">
        <v>385.3172768762783</v>
      </c>
      <c r="EP76" s="247">
        <v>384.29306923976776</v>
      </c>
      <c r="EQ76" s="247">
        <v>383.26901421925476</v>
      </c>
      <c r="ER76" s="247">
        <v>382.24829790070243</v>
      </c>
      <c r="ES76" s="247">
        <v>381.22773588673499</v>
      </c>
      <c r="ET76" s="247">
        <v>380.20733651385967</v>
      </c>
      <c r="EU76" s="247">
        <v>379.1871080800031</v>
      </c>
      <c r="EV76" s="247">
        <v>378.16705882265956</v>
      </c>
      <c r="EW76" s="247">
        <v>377.14719694116963</v>
      </c>
      <c r="EX76" s="247">
        <v>376.12753059356436</v>
      </c>
      <c r="EY76" s="247">
        <v>375.10806787551707</v>
      </c>
      <c r="EZ76" s="247">
        <v>374.08881684553984</v>
      </c>
      <c r="FA76" s="247">
        <v>373.0697855153781</v>
      </c>
      <c r="FB76" s="247">
        <v>372.05098186554449</v>
      </c>
      <c r="FC76" s="247">
        <v>371.03241382161161</v>
      </c>
      <c r="FD76" s="247">
        <v>370.01780588407559</v>
      </c>
      <c r="FE76" s="247">
        <v>369.00345688919043</v>
      </c>
      <c r="FF76" s="247">
        <v>367.98936880049587</v>
      </c>
      <c r="FG76" s="247">
        <v>366.97554364618969</v>
      </c>
      <c r="FH76" s="247">
        <v>365.96198336444223</v>
      </c>
      <c r="FI76" s="247">
        <v>364.948689967608</v>
      </c>
      <c r="FJ76" s="247">
        <v>363.93566539937257</v>
      </c>
      <c r="FK76" s="247">
        <v>362.9229116413303</v>
      </c>
      <c r="FL76" s="247">
        <v>361.91043061169125</v>
      </c>
      <c r="FM76" s="247">
        <v>360.89822429227769</v>
      </c>
      <c r="FN76" s="247">
        <v>359.88629459874056</v>
      </c>
      <c r="FO76" s="247">
        <v>358.87464348299591</v>
      </c>
      <c r="FP76" s="247">
        <v>357.86378045858999</v>
      </c>
      <c r="FQ76" s="247">
        <v>356.8531944898827</v>
      </c>
      <c r="FR76" s="247">
        <v>355.84289210863943</v>
      </c>
      <c r="FS76" s="247">
        <v>354.83287985001647</v>
      </c>
      <c r="FT76" s="247">
        <v>353.8231641817253</v>
      </c>
      <c r="FU76" s="247">
        <v>352.81375155716916</v>
      </c>
      <c r="FV76" s="247">
        <v>351.80464837374586</v>
      </c>
      <c r="FW76" s="247">
        <v>350.79586100613403</v>
      </c>
      <c r="FX76" s="247">
        <v>349.7873957687471</v>
      </c>
      <c r="FY76" s="247">
        <v>348.77925896950853</v>
      </c>
      <c r="FZ76" s="247">
        <v>347.77145685319044</v>
      </c>
      <c r="GA76" s="247">
        <v>346.76399566656869</v>
      </c>
      <c r="GB76" s="247">
        <v>345.75740691949909</v>
      </c>
      <c r="GC76" s="247">
        <v>344.75115954396546</v>
      </c>
      <c r="GD76" s="247">
        <v>343.74525780582263</v>
      </c>
      <c r="GE76" s="247">
        <v>342.7397059779509</v>
      </c>
      <c r="GF76" s="247">
        <v>341.73450829682184</v>
      </c>
      <c r="GG76" s="247">
        <v>340.72966896257276</v>
      </c>
      <c r="GH76" s="247">
        <v>339.72519216727733</v>
      </c>
      <c r="GI76" s="247">
        <v>338.72108207605578</v>
      </c>
      <c r="GJ76" s="247">
        <v>337.7173428327626</v>
      </c>
      <c r="GK76" s="247">
        <v>336.71397853587189</v>
      </c>
      <c r="GL76" s="247">
        <v>335.7109933112061</v>
      </c>
      <c r="GM76" s="247">
        <v>334.70839123055833</v>
      </c>
      <c r="GN76" s="247">
        <v>333.7113461293651</v>
      </c>
      <c r="GO76" s="247">
        <v>332.71471890830776</v>
      </c>
      <c r="GP76" s="247">
        <v>331.71851436163445</v>
      </c>
      <c r="GQ76" s="247">
        <v>330.72273725478777</v>
      </c>
      <c r="GR76" s="247">
        <v>329.72739232394957</v>
      </c>
      <c r="GS76" s="247">
        <v>328.7324842760197</v>
      </c>
      <c r="GT76" s="247">
        <v>327.73801780067964</v>
      </c>
      <c r="GU76" s="247">
        <v>326.74399754938395</v>
      </c>
      <c r="GV76" s="247">
        <v>325.75042813357402</v>
      </c>
      <c r="GW76" s="247">
        <v>324.75731416990959</v>
      </c>
      <c r="GX76" s="247">
        <v>323.76466022334989</v>
      </c>
      <c r="GY76" s="247">
        <v>322.77247086350701</v>
      </c>
      <c r="GZ76" s="247">
        <v>321.78133360367616</v>
      </c>
      <c r="HA76" s="247">
        <v>320.79066566369988</v>
      </c>
      <c r="HB76" s="247">
        <v>319.80047710408587</v>
      </c>
      <c r="HC76" s="247">
        <v>318.81077791838976</v>
      </c>
      <c r="HD76" s="247">
        <v>317.8215780149327</v>
      </c>
      <c r="HE76" s="247">
        <v>316.83288728727928</v>
      </c>
      <c r="HF76" s="247">
        <v>315.8447155111258</v>
      </c>
      <c r="HG76" s="247">
        <v>314.85707244716241</v>
      </c>
      <c r="HH76" s="247">
        <v>313.86996776820422</v>
      </c>
      <c r="HI76" s="247">
        <v>312.88341112133048</v>
      </c>
      <c r="HJ76" s="247">
        <v>311.89741206301397</v>
      </c>
      <c r="HK76" s="247">
        <v>310.91198014033472</v>
      </c>
      <c r="HL76" s="247">
        <v>309.93383021899211</v>
      </c>
      <c r="HM76" s="247">
        <v>308.95629012212834</v>
      </c>
      <c r="HN76" s="247">
        <v>307.97935045961759</v>
      </c>
      <c r="HO76" s="247">
        <v>307.00300185498287</v>
      </c>
      <c r="HP76" s="247">
        <v>306.02723505618729</v>
      </c>
      <c r="HQ76" s="247">
        <v>305.05204082555269</v>
      </c>
      <c r="HR76" s="247">
        <v>304.07741001548123</v>
      </c>
      <c r="HS76" s="247">
        <v>303.10333350235152</v>
      </c>
      <c r="HT76" s="247">
        <v>302.12980224833939</v>
      </c>
      <c r="HU76" s="247">
        <v>301.15680728422046</v>
      </c>
      <c r="HV76" s="247">
        <v>300.18433967799837</v>
      </c>
      <c r="HW76" s="247">
        <v>299.21239055753767</v>
      </c>
      <c r="HX76" s="247">
        <v>298.24159275308438</v>
      </c>
      <c r="HY76" s="247">
        <v>297.27130340540992</v>
      </c>
      <c r="HZ76" s="247">
        <v>296.3015309492045</v>
      </c>
      <c r="IA76" s="247">
        <v>295.33228373578942</v>
      </c>
      <c r="IB76" s="247">
        <v>294.36357008720324</v>
      </c>
      <c r="IC76" s="247">
        <v>293.39539827769283</v>
      </c>
      <c r="ID76" s="247">
        <v>292.42777651777982</v>
      </c>
      <c r="IE76" s="247">
        <v>291.46071298744454</v>
      </c>
      <c r="IF76" s="247">
        <v>290.49421581550763</v>
      </c>
      <c r="IG76" s="247">
        <v>289.52829309837563</v>
      </c>
      <c r="IH76" s="247">
        <v>288.56295285971015</v>
      </c>
      <c r="II76" s="247">
        <v>287.59820311594314</v>
      </c>
      <c r="IJ76" s="247">
        <v>286.63471088059634</v>
      </c>
      <c r="IK76" s="247">
        <v>285.67181774403031</v>
      </c>
      <c r="IL76" s="247">
        <v>284.70953397271973</v>
      </c>
      <c r="IM76" s="247">
        <v>283.74786969305211</v>
      </c>
      <c r="IN76" s="247">
        <v>282.78683514962586</v>
      </c>
      <c r="IO76" s="247">
        <v>281.82644036123617</v>
      </c>
      <c r="IP76" s="247">
        <v>280.86669537021913</v>
      </c>
      <c r="IQ76" s="247">
        <v>279.90761017241869</v>
      </c>
      <c r="IR76" s="247">
        <v>278.94919469619106</v>
      </c>
      <c r="IS76" s="247">
        <v>277.99145882119905</v>
      </c>
      <c r="IT76" s="247">
        <v>277.03441244740134</v>
      </c>
      <c r="IU76" s="247">
        <v>276.07806534072336</v>
      </c>
      <c r="IV76" s="247">
        <v>275.13165923315438</v>
      </c>
      <c r="IW76" s="247">
        <v>274.18600323995679</v>
      </c>
      <c r="IX76" s="247">
        <v>273.24108387367545</v>
      </c>
      <c r="IY76" s="247">
        <v>272.29688782134696</v>
      </c>
      <c r="IZ76" s="247">
        <v>271.3534017692765</v>
      </c>
      <c r="JA76" s="247">
        <v>270.41061248824997</v>
      </c>
      <c r="JB76" s="247">
        <v>269.46850691865961</v>
      </c>
      <c r="JC76" s="247">
        <v>268.52707200765178</v>
      </c>
      <c r="JD76" s="247">
        <v>267.58629477782614</v>
      </c>
      <c r="JE76" s="247">
        <v>266.64616234676453</v>
      </c>
      <c r="JF76" s="247">
        <v>265.70666191389762</v>
      </c>
      <c r="JG76" s="247">
        <v>264.76778068525624</v>
      </c>
      <c r="JH76" s="247">
        <v>263.8302251233298</v>
      </c>
      <c r="JI76" s="247">
        <v>262.89327337709432</v>
      </c>
      <c r="JJ76" s="247">
        <v>261.95693222293841</v>
      </c>
      <c r="JK76" s="247">
        <v>261.02120823046607</v>
      </c>
      <c r="JL76" s="247">
        <v>260.08610810960471</v>
      </c>
      <c r="JM76" s="247">
        <v>259.15163836193318</v>
      </c>
      <c r="JN76" s="247">
        <v>258.21780562016602</v>
      </c>
      <c r="JO76" s="247">
        <v>257.28461640395125</v>
      </c>
      <c r="JP76" s="247">
        <v>256.35207726955321</v>
      </c>
      <c r="JQ76" s="247">
        <v>255.42019465931929</v>
      </c>
      <c r="JR76" s="247">
        <v>254.48897505671374</v>
      </c>
      <c r="JS76" s="247">
        <v>253.55842491181124</v>
      </c>
      <c r="JT76" s="247">
        <v>252.61944967454869</v>
      </c>
      <c r="JU76" s="247">
        <v>251.68107610146762</v>
      </c>
      <c r="JV76" s="247">
        <v>250.74329557110997</v>
      </c>
      <c r="JW76" s="247">
        <v>249.80609972461423</v>
      </c>
      <c r="JX76" s="247">
        <v>248.86948009322253</v>
      </c>
      <c r="JY76" s="247">
        <v>247.93342831716208</v>
      </c>
      <c r="JZ76" s="247">
        <v>246.99793607166586</v>
      </c>
      <c r="KA76" s="247">
        <v>246.06299507725862</v>
      </c>
      <c r="KB76" s="247">
        <v>245.12859715614704</v>
      </c>
      <c r="KC76" s="247">
        <v>244.19473410123277</v>
      </c>
      <c r="KD76" s="247">
        <v>243.26139773976141</v>
      </c>
      <c r="KE76" s="247">
        <v>242.32858001663851</v>
      </c>
      <c r="KF76" s="247">
        <v>241.39702011184744</v>
      </c>
      <c r="KG76" s="247">
        <v>240.46598954286787</v>
      </c>
      <c r="KH76" s="247">
        <v>239.5355166365913</v>
      </c>
      <c r="KI76" s="247">
        <v>238.60562941219692</v>
      </c>
      <c r="KJ76" s="247">
        <v>237.67635594222986</v>
      </c>
      <c r="KK76" s="247">
        <v>236.74772398389089</v>
      </c>
      <c r="KL76" s="247">
        <v>235.81976126493731</v>
      </c>
      <c r="KM76" s="247">
        <v>234.89249541871726</v>
      </c>
      <c r="KN76" s="247">
        <v>233.96595389317915</v>
      </c>
      <c r="KO76" s="247">
        <v>233.04016410560155</v>
      </c>
      <c r="KP76" s="247">
        <v>232.11515328783787</v>
      </c>
      <c r="KQ76" s="247">
        <v>231.19094856533951</v>
      </c>
      <c r="KR76" s="247">
        <v>230.25812609876277</v>
      </c>
      <c r="KS76" s="247">
        <v>229.32603607589942</v>
      </c>
      <c r="KT76" s="247">
        <v>228.39465656256931</v>
      </c>
      <c r="KU76" s="247">
        <v>227.46396567640107</v>
      </c>
      <c r="KV76" s="247">
        <v>226.53394159526235</v>
      </c>
      <c r="KW76" s="247">
        <v>225.60456273642973</v>
      </c>
      <c r="KX76" s="247">
        <v>224.67580751038477</v>
      </c>
      <c r="KY76" s="247">
        <v>223.74765445725964</v>
      </c>
      <c r="KZ76" s="247">
        <v>222.82008222917585</v>
      </c>
      <c r="LA76" s="247">
        <v>221.8930696704696</v>
      </c>
      <c r="LB76" s="247">
        <v>220.96659562115207</v>
      </c>
      <c r="LC76" s="247">
        <v>220.04063905388642</v>
      </c>
      <c r="LD76" s="247">
        <v>219.11594536698141</v>
      </c>
      <c r="LE76" s="247">
        <v>218.19175028412519</v>
      </c>
      <c r="LF76" s="247">
        <v>217.2680656100859</v>
      </c>
      <c r="LG76" s="247">
        <v>216.34490310477341</v>
      </c>
      <c r="LH76" s="247">
        <v>215.42227448769606</v>
      </c>
      <c r="LI76" s="247">
        <v>214.50019136856628</v>
      </c>
      <c r="LJ76" s="247">
        <v>213.57866542444069</v>
      </c>
      <c r="LK76" s="247">
        <v>212.65770817098721</v>
      </c>
      <c r="LL76" s="247">
        <v>211.73733117858413</v>
      </c>
      <c r="LM76" s="247">
        <v>210.81754585303739</v>
      </c>
      <c r="LN76" s="247">
        <v>209.89836371132714</v>
      </c>
      <c r="LO76" s="247">
        <v>208.97979615841959</v>
      </c>
      <c r="LP76" s="247">
        <v>208.06264075138199</v>
      </c>
      <c r="LQ76" s="247">
        <v>207.14610492702678</v>
      </c>
      <c r="LR76" s="247">
        <v>206.23019200332698</v>
      </c>
      <c r="LS76" s="247">
        <v>205.31490538191721</v>
      </c>
      <c r="LT76" s="247">
        <v>204.40024843797562</v>
      </c>
      <c r="LU76" s="247">
        <v>203.48622445375977</v>
      </c>
      <c r="LV76" s="247">
        <v>202.57283684628754</v>
      </c>
      <c r="LW76" s="247">
        <v>201.66008894722643</v>
      </c>
      <c r="LX76" s="247">
        <v>200.74798409848898</v>
      </c>
      <c r="LY76" s="247">
        <v>199.83652566543404</v>
      </c>
      <c r="LZ76" s="247">
        <v>198.92571696818612</v>
      </c>
      <c r="MA76" s="247">
        <v>198.01556145572357</v>
      </c>
      <c r="MB76" s="247">
        <v>197.10687795424286</v>
      </c>
      <c r="MC76" s="247">
        <v>196.19884475665637</v>
      </c>
      <c r="MD76" s="247">
        <v>195.29146543453922</v>
      </c>
      <c r="ME76" s="247">
        <v>194.38474344606669</v>
      </c>
      <c r="MF76" s="247">
        <v>193.47868230182664</v>
      </c>
      <c r="MG76" s="247">
        <v>192.57328555202346</v>
      </c>
      <c r="MH76" s="247">
        <v>191.66855673651153</v>
      </c>
      <c r="MI76" s="247">
        <v>190.76449933440642</v>
      </c>
      <c r="MJ76" s="247">
        <v>189.86111695962541</v>
      </c>
      <c r="MK76" s="247">
        <v>188.95841310905118</v>
      </c>
      <c r="ML76" s="247">
        <v>188.0563913589956</v>
      </c>
      <c r="MM76" s="247">
        <v>187.15505527018504</v>
      </c>
      <c r="MN76" s="247">
        <v>186.25525300180664</v>
      </c>
      <c r="MO76" s="247">
        <v>185.35613227821031</v>
      </c>
      <c r="MP76" s="247">
        <v>184.45769494855358</v>
      </c>
      <c r="MQ76" s="247">
        <v>183.55994289553195</v>
      </c>
      <c r="MR76" s="247">
        <v>182.66287809034242</v>
      </c>
      <c r="MS76" s="247">
        <v>181.76650242737787</v>
      </c>
      <c r="MT76" s="247">
        <v>180.87081792952193</v>
      </c>
      <c r="MU76" s="247">
        <v>179.97582649721232</v>
      </c>
      <c r="MV76" s="247">
        <v>179.08153014573529</v>
      </c>
      <c r="MW76" s="247">
        <v>178.18793091289768</v>
      </c>
      <c r="MX76" s="247">
        <v>177.29503084676935</v>
      </c>
      <c r="MY76" s="247">
        <v>176.40283196512362</v>
      </c>
    </row>
    <row r="77" spans="1:363" ht="15.6" x14ac:dyDescent="0.3">
      <c r="A77" s="67" t="s">
        <v>6</v>
      </c>
      <c r="B77" s="72">
        <v>2087</v>
      </c>
      <c r="C77" s="247">
        <v>532.75763064635078</v>
      </c>
      <c r="D77" s="247">
        <v>531.72551352999506</v>
      </c>
      <c r="E77" s="247">
        <v>530.69345826195683</v>
      </c>
      <c r="F77" s="247">
        <v>529.66146376389531</v>
      </c>
      <c r="G77" s="247">
        <v>528.62952896015167</v>
      </c>
      <c r="H77" s="247">
        <v>527.59765279458372</v>
      </c>
      <c r="I77" s="247">
        <v>526.56583421216101</v>
      </c>
      <c r="J77" s="247">
        <v>525.53407222505996</v>
      </c>
      <c r="K77" s="247">
        <v>524.50236582093351</v>
      </c>
      <c r="L77" s="247">
        <v>523.47071401591847</v>
      </c>
      <c r="M77" s="247">
        <v>522.43911583621673</v>
      </c>
      <c r="N77" s="247">
        <v>521.40757039105472</v>
      </c>
      <c r="O77" s="247">
        <v>520.37607671753767</v>
      </c>
      <c r="P77" s="247">
        <v>519.3430520609528</v>
      </c>
      <c r="Q77" s="247">
        <v>518.31006359406911</v>
      </c>
      <c r="R77" s="247">
        <v>517.27711328180828</v>
      </c>
      <c r="S77" s="247">
        <v>516.24420313712835</v>
      </c>
      <c r="T77" s="247">
        <v>515.21133514362577</v>
      </c>
      <c r="U77" s="247">
        <v>514.17851126968515</v>
      </c>
      <c r="V77" s="247">
        <v>513.14573349759451</v>
      </c>
      <c r="W77" s="247">
        <v>512.11300380264208</v>
      </c>
      <c r="X77" s="247">
        <v>511.08032419945755</v>
      </c>
      <c r="Y77" s="247">
        <v>510.04769666580455</v>
      </c>
      <c r="Z77" s="247">
        <v>509.015123223079</v>
      </c>
      <c r="AA77" s="247">
        <v>507.98260584236124</v>
      </c>
      <c r="AB77" s="247">
        <v>506.9486490275483</v>
      </c>
      <c r="AC77" s="247">
        <v>505.91473319549061</v>
      </c>
      <c r="AD77" s="247">
        <v>504.88085861097568</v>
      </c>
      <c r="AE77" s="247">
        <v>503.84702551018177</v>
      </c>
      <c r="AF77" s="247">
        <v>502.81323412695247</v>
      </c>
      <c r="AG77" s="247">
        <v>501.77948476027865</v>
      </c>
      <c r="AH77" s="247">
        <v>500.74577767694041</v>
      </c>
      <c r="AI77" s="247">
        <v>499.71211316216915</v>
      </c>
      <c r="AJ77" s="247">
        <v>498.67849149213635</v>
      </c>
      <c r="AK77" s="247">
        <v>497.64491302958078</v>
      </c>
      <c r="AL77" s="247">
        <v>496.61137807817278</v>
      </c>
      <c r="AM77" s="247">
        <v>495.5778870021162</v>
      </c>
      <c r="AN77" s="247">
        <v>494.54302566830023</v>
      </c>
      <c r="AO77" s="247">
        <v>493.50819513680864</v>
      </c>
      <c r="AP77" s="247">
        <v>492.4733981792167</v>
      </c>
      <c r="AQ77" s="247">
        <v>491.43863753874354</v>
      </c>
      <c r="AR77" s="247">
        <v>490.40391600282805</v>
      </c>
      <c r="AS77" s="247">
        <v>489.3692363171233</v>
      </c>
      <c r="AT77" s="247">
        <v>488.33460121960883</v>
      </c>
      <c r="AU77" s="247">
        <v>487.30001347512797</v>
      </c>
      <c r="AV77" s="247">
        <v>486.26547582448455</v>
      </c>
      <c r="AW77" s="247">
        <v>485.23099102414244</v>
      </c>
      <c r="AX77" s="247">
        <v>484.1965617981478</v>
      </c>
      <c r="AY77" s="247">
        <v>483.16219093544646</v>
      </c>
      <c r="AZ77" s="247">
        <v>482.1265367719086</v>
      </c>
      <c r="BA77" s="247">
        <v>481.0909212416733</v>
      </c>
      <c r="BB77" s="247">
        <v>480.05533959644356</v>
      </c>
      <c r="BC77" s="247">
        <v>479.01978708824248</v>
      </c>
      <c r="BD77" s="247">
        <v>477.98425905730409</v>
      </c>
      <c r="BE77" s="247">
        <v>476.94875084303874</v>
      </c>
      <c r="BF77" s="247">
        <v>475.91325783656384</v>
      </c>
      <c r="BG77" s="247">
        <v>474.8777755021938</v>
      </c>
      <c r="BH77" s="247">
        <v>473.84229928630168</v>
      </c>
      <c r="BI77" s="247">
        <v>472.80682474193537</v>
      </c>
      <c r="BJ77" s="247">
        <v>471.77134741872294</v>
      </c>
      <c r="BK77" s="247">
        <v>470.73586292039266</v>
      </c>
      <c r="BL77" s="247">
        <v>469.69912637329054</v>
      </c>
      <c r="BM77" s="247">
        <v>468.66238622628975</v>
      </c>
      <c r="BN77" s="247">
        <v>467.62566193377063</v>
      </c>
      <c r="BO77" s="247">
        <v>466.58897278398337</v>
      </c>
      <c r="BP77" s="247">
        <v>465.55233800831382</v>
      </c>
      <c r="BQ77" s="247">
        <v>464.51577670989462</v>
      </c>
      <c r="BR77" s="247">
        <v>463.47930788162131</v>
      </c>
      <c r="BS77" s="247">
        <v>462.44295044625898</v>
      </c>
      <c r="BT77" s="247">
        <v>461.40672320102334</v>
      </c>
      <c r="BU77" s="247">
        <v>460.37064483536733</v>
      </c>
      <c r="BV77" s="247">
        <v>459.33473396518735</v>
      </c>
      <c r="BW77" s="247">
        <v>458.29900909917126</v>
      </c>
      <c r="BX77" s="247">
        <v>457.26224008617459</v>
      </c>
      <c r="BY77" s="247">
        <v>456.22563282295135</v>
      </c>
      <c r="BZ77" s="247">
        <v>455.18917453558521</v>
      </c>
      <c r="CA77" s="247">
        <v>454.15285253715018</v>
      </c>
      <c r="CB77" s="247">
        <v>453.11665422227134</v>
      </c>
      <c r="CC77" s="247">
        <v>452.08056709820187</v>
      </c>
      <c r="CD77" s="247">
        <v>451.04457873128081</v>
      </c>
      <c r="CE77" s="247">
        <v>450.00867678489288</v>
      </c>
      <c r="CF77" s="247">
        <v>448.97284901956891</v>
      </c>
      <c r="CG77" s="247">
        <v>447.93708327626064</v>
      </c>
      <c r="CH77" s="247">
        <v>446.901367489054</v>
      </c>
      <c r="CI77" s="247">
        <v>445.86568968204853</v>
      </c>
      <c r="CJ77" s="247">
        <v>444.82880739063381</v>
      </c>
      <c r="CK77" s="247">
        <v>443.79194207631338</v>
      </c>
      <c r="CL77" s="247">
        <v>442.75509936323351</v>
      </c>
      <c r="CM77" s="247">
        <v>441.71828481619173</v>
      </c>
      <c r="CN77" s="247">
        <v>440.68150399829705</v>
      </c>
      <c r="CO77" s="247">
        <v>439.64476244443301</v>
      </c>
      <c r="CP77" s="247">
        <v>438.60806568201667</v>
      </c>
      <c r="CQ77" s="247">
        <v>437.57141918919319</v>
      </c>
      <c r="CR77" s="247">
        <v>436.53482844730422</v>
      </c>
      <c r="CS77" s="247">
        <v>435.49829890408841</v>
      </c>
      <c r="CT77" s="247">
        <v>434.46183599923501</v>
      </c>
      <c r="CU77" s="247">
        <v>433.42544513978811</v>
      </c>
      <c r="CV77" s="247">
        <v>432.38944624558246</v>
      </c>
      <c r="CW77" s="247">
        <v>431.35351328033533</v>
      </c>
      <c r="CX77" s="247">
        <v>430.31764537160143</v>
      </c>
      <c r="CY77" s="247">
        <v>429.28184164731312</v>
      </c>
      <c r="CZ77" s="247">
        <v>428.24610127019673</v>
      </c>
      <c r="DA77" s="247">
        <v>427.2104234266078</v>
      </c>
      <c r="DB77" s="247">
        <v>426.17480728681909</v>
      </c>
      <c r="DC77" s="247">
        <v>425.13925207669052</v>
      </c>
      <c r="DD77" s="247">
        <v>424.10375700926573</v>
      </c>
      <c r="DE77" s="247">
        <v>423.06832132362126</v>
      </c>
      <c r="DF77" s="247">
        <v>422.0329442950046</v>
      </c>
      <c r="DG77" s="247">
        <v>420.99762521061854</v>
      </c>
      <c r="DH77" s="247">
        <v>419.96269810624028</v>
      </c>
      <c r="DI77" s="247">
        <v>418.92782507385078</v>
      </c>
      <c r="DJ77" s="247">
        <v>417.89301353679122</v>
      </c>
      <c r="DK77" s="247">
        <v>416.85827085690312</v>
      </c>
      <c r="DL77" s="247">
        <v>415.82360439066787</v>
      </c>
      <c r="DM77" s="247">
        <v>414.78902143410704</v>
      </c>
      <c r="DN77" s="247">
        <v>413.75452924912855</v>
      </c>
      <c r="DO77" s="247">
        <v>412.72013508348965</v>
      </c>
      <c r="DP77" s="247">
        <v>411.68584613184356</v>
      </c>
      <c r="DQ77" s="247">
        <v>410.65166955254574</v>
      </c>
      <c r="DR77" s="247">
        <v>409.61761247755993</v>
      </c>
      <c r="DS77" s="247">
        <v>408.5836820030579</v>
      </c>
      <c r="DT77" s="247">
        <v>407.55210181489531</v>
      </c>
      <c r="DU77" s="247">
        <v>406.52066945482039</v>
      </c>
      <c r="DV77" s="247">
        <v>405.48939532252939</v>
      </c>
      <c r="DW77" s="247">
        <v>404.45828976546596</v>
      </c>
      <c r="DX77" s="247">
        <v>403.42736306882915</v>
      </c>
      <c r="DY77" s="247">
        <v>402.39662545871539</v>
      </c>
      <c r="DZ77" s="247">
        <v>401.36608708404685</v>
      </c>
      <c r="EA77" s="247">
        <v>400.33575807597532</v>
      </c>
      <c r="EB77" s="247">
        <v>399.30564847610287</v>
      </c>
      <c r="EC77" s="247">
        <v>398.2757682764755</v>
      </c>
      <c r="ED77" s="247">
        <v>397.246127423389</v>
      </c>
      <c r="EE77" s="247">
        <v>396.21673582151453</v>
      </c>
      <c r="EF77" s="247">
        <v>395.19027328807272</v>
      </c>
      <c r="EG77" s="247">
        <v>394.16407339737555</v>
      </c>
      <c r="EH77" s="247">
        <v>393.13812460838977</v>
      </c>
      <c r="EI77" s="247">
        <v>392.11241547874653</v>
      </c>
      <c r="EJ77" s="247">
        <v>391.08693463717731</v>
      </c>
      <c r="EK77" s="247">
        <v>390.06167078751889</v>
      </c>
      <c r="EL77" s="247">
        <v>389.03661272220108</v>
      </c>
      <c r="EM77" s="247">
        <v>388.01174931198517</v>
      </c>
      <c r="EN77" s="247">
        <v>386.98706951986497</v>
      </c>
      <c r="EO77" s="247">
        <v>385.96256237780074</v>
      </c>
      <c r="EP77" s="247">
        <v>384.93821701630543</v>
      </c>
      <c r="EQ77" s="247">
        <v>383.91402263589845</v>
      </c>
      <c r="ER77" s="247">
        <v>382.89313557827364</v>
      </c>
      <c r="ES77" s="247">
        <v>381.87240121291893</v>
      </c>
      <c r="ET77" s="247">
        <v>380.85182776262724</v>
      </c>
      <c r="EU77" s="247">
        <v>379.83142341250255</v>
      </c>
      <c r="EV77" s="247">
        <v>378.81119628851144</v>
      </c>
      <c r="EW77" s="247">
        <v>377.79115447931792</v>
      </c>
      <c r="EX77" s="247">
        <v>376.77130603325543</v>
      </c>
      <c r="EY77" s="247">
        <v>375.75165893763221</v>
      </c>
      <c r="EZ77" s="247">
        <v>374.73222114342047</v>
      </c>
      <c r="FA77" s="247">
        <v>373.71300055599062</v>
      </c>
      <c r="FB77" s="247">
        <v>372.69400505026817</v>
      </c>
      <c r="FC77" s="247">
        <v>371.67524244753696</v>
      </c>
      <c r="FD77" s="247">
        <v>370.66040872821742</v>
      </c>
      <c r="FE77" s="247">
        <v>369.64583106023656</v>
      </c>
      <c r="FF77" s="247">
        <v>368.63151139316875</v>
      </c>
      <c r="FG77" s="247">
        <v>367.61745174053414</v>
      </c>
      <c r="FH77" s="247">
        <v>366.6036540274103</v>
      </c>
      <c r="FI77" s="247">
        <v>365.5901202521793</v>
      </c>
      <c r="FJ77" s="247">
        <v>364.57685234581174</v>
      </c>
      <c r="FK77" s="247">
        <v>363.56385227693386</v>
      </c>
      <c r="FL77" s="247">
        <v>362.55112195188474</v>
      </c>
      <c r="FM77" s="247">
        <v>361.53866334006534</v>
      </c>
      <c r="FN77" s="247">
        <v>360.52647834588146</v>
      </c>
      <c r="FO77" s="247">
        <v>359.51456890986327</v>
      </c>
      <c r="FP77" s="247">
        <v>358.50342665433215</v>
      </c>
      <c r="FQ77" s="247">
        <v>357.49255833989696</v>
      </c>
      <c r="FR77" s="247">
        <v>356.48197041975004</v>
      </c>
      <c r="FS77" s="247">
        <v>355.47166935069436</v>
      </c>
      <c r="FT77" s="247">
        <v>354.46166152339839</v>
      </c>
      <c r="FU77" s="247">
        <v>353.45195331466607</v>
      </c>
      <c r="FV77" s="247">
        <v>352.44255104641377</v>
      </c>
      <c r="FW77" s="247">
        <v>351.43346101851512</v>
      </c>
      <c r="FX77" s="247">
        <v>350.4246894716693</v>
      </c>
      <c r="FY77" s="247">
        <v>349.41624264059385</v>
      </c>
      <c r="FZ77" s="247">
        <v>348.40812669804006</v>
      </c>
      <c r="GA77" s="247">
        <v>347.40034781915455</v>
      </c>
      <c r="GB77" s="247">
        <v>346.39341937210594</v>
      </c>
      <c r="GC77" s="247">
        <v>345.38682830889456</v>
      </c>
      <c r="GD77" s="247">
        <v>344.38057884997193</v>
      </c>
      <c r="GE77" s="247">
        <v>343.37467522296566</v>
      </c>
      <c r="GF77" s="247">
        <v>342.36912161992916</v>
      </c>
      <c r="GG77" s="247">
        <v>341.36392219730931</v>
      </c>
      <c r="GH77" s="247">
        <v>340.35908110390517</v>
      </c>
      <c r="GI77" s="247">
        <v>339.35460246225819</v>
      </c>
      <c r="GJ77" s="247">
        <v>338.35049037416854</v>
      </c>
      <c r="GK77" s="247">
        <v>337.34674889707759</v>
      </c>
      <c r="GL77" s="247">
        <v>336.34338211565029</v>
      </c>
      <c r="GM77" s="247">
        <v>335.34039406168705</v>
      </c>
      <c r="GN77" s="247">
        <v>334.3429308489753</v>
      </c>
      <c r="GO77" s="247">
        <v>333.34588094727383</v>
      </c>
      <c r="GP77" s="247">
        <v>332.34924910258763</v>
      </c>
      <c r="GQ77" s="247">
        <v>331.35304003274149</v>
      </c>
      <c r="GR77" s="247">
        <v>330.35725842700305</v>
      </c>
      <c r="GS77" s="247">
        <v>329.36190894595597</v>
      </c>
      <c r="GT77" s="247">
        <v>328.36699623349529</v>
      </c>
      <c r="GU77" s="247">
        <v>327.37252489609904</v>
      </c>
      <c r="GV77" s="247">
        <v>326.37849950097899</v>
      </c>
      <c r="GW77" s="247">
        <v>325.38492462087902</v>
      </c>
      <c r="GX77" s="247">
        <v>324.39180477777558</v>
      </c>
      <c r="GY77" s="247">
        <v>323.39914449862852</v>
      </c>
      <c r="GZ77" s="247">
        <v>322.40751332952948</v>
      </c>
      <c r="HA77" s="247">
        <v>321.41634629601464</v>
      </c>
      <c r="HB77" s="247">
        <v>320.42565334228436</v>
      </c>
      <c r="HC77" s="247">
        <v>319.43544434676795</v>
      </c>
      <c r="HD77" s="247">
        <v>318.44572910415104</v>
      </c>
      <c r="HE77" s="247">
        <v>317.45651739482264</v>
      </c>
      <c r="HF77" s="247">
        <v>316.46781888320675</v>
      </c>
      <c r="HG77" s="247">
        <v>315.47964321928208</v>
      </c>
      <c r="HH77" s="247">
        <v>314.49199996656779</v>
      </c>
      <c r="HI77" s="247">
        <v>313.50489866362147</v>
      </c>
      <c r="HJ77" s="247">
        <v>312.51834875988561</v>
      </c>
      <c r="HK77" s="247">
        <v>311.5323596959704</v>
      </c>
      <c r="HL77" s="247">
        <v>310.55362257620089</v>
      </c>
      <c r="HM77" s="247">
        <v>309.5754889716394</v>
      </c>
      <c r="HN77" s="247">
        <v>308.59794962012501</v>
      </c>
      <c r="HO77" s="247">
        <v>307.62099527305497</v>
      </c>
      <c r="HP77" s="247">
        <v>306.64461680492479</v>
      </c>
      <c r="HQ77" s="247">
        <v>305.66880510446634</v>
      </c>
      <c r="HR77" s="247">
        <v>304.69355114955891</v>
      </c>
      <c r="HS77" s="247">
        <v>303.71884594190868</v>
      </c>
      <c r="HT77" s="247">
        <v>302.74468056806222</v>
      </c>
      <c r="HU77" s="247">
        <v>301.77104618256004</v>
      </c>
      <c r="HV77" s="247">
        <v>300.79793397683062</v>
      </c>
      <c r="HW77" s="247">
        <v>299.82533520167152</v>
      </c>
      <c r="HX77" s="247">
        <v>298.85386523870125</v>
      </c>
      <c r="HY77" s="247">
        <v>297.88289871367095</v>
      </c>
      <c r="HZ77" s="247">
        <v>296.9124439748179</v>
      </c>
      <c r="IA77" s="247">
        <v>295.94250928828853</v>
      </c>
      <c r="IB77" s="247">
        <v>294.97310289164392</v>
      </c>
      <c r="IC77" s="247">
        <v>294.00423297546848</v>
      </c>
      <c r="ID77" s="247">
        <v>293.03590766772226</v>
      </c>
      <c r="IE77" s="247">
        <v>292.06813506651247</v>
      </c>
      <c r="IF77" s="247">
        <v>291.10092321966113</v>
      </c>
      <c r="IG77" s="247">
        <v>290.13428014335926</v>
      </c>
      <c r="IH77" s="247">
        <v>289.16821378220664</v>
      </c>
      <c r="II77" s="247">
        <v>288.20273207406524</v>
      </c>
      <c r="IJ77" s="247">
        <v>287.23848419006947</v>
      </c>
      <c r="IK77" s="247">
        <v>286.27482937716263</v>
      </c>
      <c r="IL77" s="247">
        <v>285.31177779466873</v>
      </c>
      <c r="IM77" s="247">
        <v>284.34933946378277</v>
      </c>
      <c r="IN77" s="247">
        <v>283.38752452285541</v>
      </c>
      <c r="IO77" s="247">
        <v>282.42634288737133</v>
      </c>
      <c r="IP77" s="247">
        <v>281.46580449642266</v>
      </c>
      <c r="IQ77" s="247">
        <v>280.50591924348998</v>
      </c>
      <c r="IR77" s="247">
        <v>279.5466969556353</v>
      </c>
      <c r="IS77" s="247">
        <v>278.5881474122034</v>
      </c>
      <c r="IT77" s="247">
        <v>277.63028041288283</v>
      </c>
      <c r="IU77" s="247">
        <v>276.6731056253318</v>
      </c>
      <c r="IV77" s="247">
        <v>275.72584895172503</v>
      </c>
      <c r="IW77" s="247">
        <v>274.77933542300644</v>
      </c>
      <c r="IX77" s="247">
        <v>273.83355171299866</v>
      </c>
      <c r="IY77" s="247">
        <v>272.88848466816142</v>
      </c>
      <c r="IZ77" s="247">
        <v>271.94412113435584</v>
      </c>
      <c r="JA77" s="247">
        <v>271.00044804102293</v>
      </c>
      <c r="JB77" s="247">
        <v>270.05745248549908</v>
      </c>
      <c r="JC77" s="247">
        <v>269.11512157189679</v>
      </c>
      <c r="JD77" s="247">
        <v>268.17344247902935</v>
      </c>
      <c r="JE77" s="247">
        <v>267.23240247983858</v>
      </c>
      <c r="JF77" s="247">
        <v>266.29198892831869</v>
      </c>
      <c r="JG77" s="247">
        <v>265.35218918518751</v>
      </c>
      <c r="JH77" s="247">
        <v>264.41369275399592</v>
      </c>
      <c r="JI77" s="247">
        <v>263.47579484088504</v>
      </c>
      <c r="JJ77" s="247">
        <v>262.5385021629927</v>
      </c>
      <c r="JK77" s="247">
        <v>261.60182123315195</v>
      </c>
      <c r="JL77" s="247">
        <v>260.66575870331059</v>
      </c>
      <c r="JM77" s="247">
        <v>259.73032101952867</v>
      </c>
      <c r="JN77" s="247">
        <v>258.79551475789714</v>
      </c>
      <c r="JO77" s="247">
        <v>257.86134638293493</v>
      </c>
      <c r="JP77" s="247">
        <v>256.92782239562155</v>
      </c>
      <c r="JQ77" s="247">
        <v>255.99494918459922</v>
      </c>
      <c r="JR77" s="247">
        <v>255.06273317943658</v>
      </c>
      <c r="JS77" s="247">
        <v>254.13118077703479</v>
      </c>
      <c r="JT77" s="247">
        <v>253.19117651963325</v>
      </c>
      <c r="JU77" s="247">
        <v>252.25176812017662</v>
      </c>
      <c r="JV77" s="247">
        <v>251.31294707405928</v>
      </c>
      <c r="JW77" s="247">
        <v>250.37470513629447</v>
      </c>
      <c r="JX77" s="247">
        <v>249.43703395348774</v>
      </c>
      <c r="JY77" s="247">
        <v>248.4999252800321</v>
      </c>
      <c r="JZ77" s="247">
        <v>247.56337090511173</v>
      </c>
      <c r="KA77" s="247">
        <v>246.62736266284119</v>
      </c>
      <c r="KB77" s="247">
        <v>245.69189248794353</v>
      </c>
      <c r="KC77" s="247">
        <v>244.75695228643323</v>
      </c>
      <c r="KD77" s="247">
        <v>243.82253399841784</v>
      </c>
      <c r="KE77" s="247">
        <v>242.88862968055022</v>
      </c>
      <c r="KF77" s="247">
        <v>241.95595958698155</v>
      </c>
      <c r="KG77" s="247">
        <v>241.02381394961125</v>
      </c>
      <c r="KH77" s="247">
        <v>240.09222077864729</v>
      </c>
      <c r="KI77" s="247">
        <v>239.16120778059309</v>
      </c>
      <c r="KJ77" s="247">
        <v>238.23080271516432</v>
      </c>
      <c r="KK77" s="247">
        <v>237.30103303077277</v>
      </c>
      <c r="KL77" s="247">
        <v>236.37192614719237</v>
      </c>
      <c r="KM77" s="247">
        <v>235.44350939131266</v>
      </c>
      <c r="KN77" s="247">
        <v>234.51580990715226</v>
      </c>
      <c r="KO77" s="247">
        <v>233.58885480890402</v>
      </c>
      <c r="KP77" s="247">
        <v>232.66267102787344</v>
      </c>
      <c r="KQ77" s="247">
        <v>231.7372853906823</v>
      </c>
      <c r="KR77" s="247">
        <v>230.80326018383056</v>
      </c>
      <c r="KS77" s="247">
        <v>229.86995951696184</v>
      </c>
      <c r="KT77" s="247">
        <v>228.9373617512023</v>
      </c>
      <c r="KU77" s="247">
        <v>228.00544529883692</v>
      </c>
      <c r="KV77" s="247">
        <v>227.07418863172734</v>
      </c>
      <c r="KW77" s="247">
        <v>226.14357045809524</v>
      </c>
      <c r="KX77" s="247">
        <v>225.2135694795646</v>
      </c>
      <c r="KY77" s="247">
        <v>224.2841645258568</v>
      </c>
      <c r="KZ77" s="247">
        <v>223.35533453730181</v>
      </c>
      <c r="LA77" s="247">
        <v>222.42705864419591</v>
      </c>
      <c r="LB77" s="247">
        <v>221.49931597264029</v>
      </c>
      <c r="LC77" s="247">
        <v>220.57208577991818</v>
      </c>
      <c r="LD77" s="247">
        <v>219.64609263031011</v>
      </c>
      <c r="LE77" s="247">
        <v>218.72059321294657</v>
      </c>
      <c r="LF77" s="247">
        <v>217.79559920046481</v>
      </c>
      <c r="LG77" s="247">
        <v>216.87112222146982</v>
      </c>
      <c r="LH77" s="247">
        <v>215.94717386502012</v>
      </c>
      <c r="LI77" s="247">
        <v>215.02376561197951</v>
      </c>
      <c r="LJ77" s="247">
        <v>214.1009090100419</v>
      </c>
      <c r="LK77" s="247">
        <v>213.17861544785228</v>
      </c>
      <c r="LL77" s="247">
        <v>212.25689636832155</v>
      </c>
      <c r="LM77" s="247">
        <v>211.33576305223849</v>
      </c>
      <c r="LN77" s="247">
        <v>210.41522689043435</v>
      </c>
      <c r="LO77" s="247">
        <v>209.49529916352364</v>
      </c>
      <c r="LP77" s="247">
        <v>208.57675584511932</v>
      </c>
      <c r="LQ77" s="247">
        <v>207.65882578353509</v>
      </c>
      <c r="LR77" s="247">
        <v>206.74151227205542</v>
      </c>
      <c r="LS77" s="247">
        <v>205.82481868676382</v>
      </c>
      <c r="LT77" s="247">
        <v>204.90874837788826</v>
      </c>
      <c r="LU77" s="247">
        <v>203.99330460405201</v>
      </c>
      <c r="LV77" s="247">
        <v>203.07849075720989</v>
      </c>
      <c r="LW77" s="247">
        <v>202.16431014527879</v>
      </c>
      <c r="LX77" s="247">
        <v>201.25076608646509</v>
      </c>
      <c r="LY77" s="247">
        <v>200.33786192244588</v>
      </c>
      <c r="LZ77" s="247">
        <v>199.42560095043348</v>
      </c>
      <c r="MA77" s="247">
        <v>198.51398659520697</v>
      </c>
      <c r="MB77" s="247">
        <v>197.60381571502</v>
      </c>
      <c r="MC77" s="247">
        <v>196.69428849404329</v>
      </c>
      <c r="MD77" s="247">
        <v>195.78540847587894</v>
      </c>
      <c r="ME77" s="247">
        <v>194.87717909232114</v>
      </c>
      <c r="MF77" s="247">
        <v>193.96960382717251</v>
      </c>
      <c r="MG77" s="247">
        <v>193.06268620348803</v>
      </c>
      <c r="MH77" s="247">
        <v>192.156429734347</v>
      </c>
      <c r="MI77" s="247">
        <v>191.25083787306878</v>
      </c>
      <c r="MJ77" s="247">
        <v>190.34591420624722</v>
      </c>
      <c r="MK77" s="247">
        <v>189.44166220520029</v>
      </c>
      <c r="ML77" s="247">
        <v>188.53808541986587</v>
      </c>
      <c r="MM77" s="247">
        <v>187.63518738509669</v>
      </c>
      <c r="MN77" s="247">
        <v>186.73379377713115</v>
      </c>
      <c r="MO77" s="247">
        <v>185.83307473691286</v>
      </c>
      <c r="MP77" s="247">
        <v>184.93303210670416</v>
      </c>
      <c r="MQ77" s="247">
        <v>184.03366776203023</v>
      </c>
      <c r="MR77" s="247">
        <v>183.1349836660408</v>
      </c>
      <c r="MS77" s="247">
        <v>182.23698170614236</v>
      </c>
      <c r="MT77" s="247">
        <v>181.33966389685156</v>
      </c>
      <c r="MU77" s="247">
        <v>180.44303213195863</v>
      </c>
      <c r="MV77" s="247">
        <v>179.54708841879994</v>
      </c>
      <c r="MW77" s="247">
        <v>178.65183478722579</v>
      </c>
      <c r="MX77" s="247">
        <v>177.75727327738056</v>
      </c>
      <c r="MY77" s="247">
        <v>176.86340589976516</v>
      </c>
    </row>
    <row r="78" spans="1:363" ht="15.6" x14ac:dyDescent="0.3">
      <c r="A78" s="67" t="s">
        <v>6</v>
      </c>
      <c r="B78" s="72">
        <v>2088</v>
      </c>
      <c r="C78" s="247">
        <v>533.39244223267531</v>
      </c>
      <c r="D78" s="247">
        <v>532.36043951361421</v>
      </c>
      <c r="E78" s="247">
        <v>531.32849880587105</v>
      </c>
      <c r="F78" s="247">
        <v>530.29661905368994</v>
      </c>
      <c r="G78" s="247">
        <v>529.26479920410713</v>
      </c>
      <c r="H78" s="247">
        <v>528.233038223687</v>
      </c>
      <c r="I78" s="247">
        <v>527.20133508022491</v>
      </c>
      <c r="J78" s="247">
        <v>526.16968880814147</v>
      </c>
      <c r="K78" s="247">
        <v>525.13809841784712</v>
      </c>
      <c r="L78" s="247">
        <v>524.10656294804346</v>
      </c>
      <c r="M78" s="247">
        <v>523.07508144766223</v>
      </c>
      <c r="N78" s="247">
        <v>522.04365304787143</v>
      </c>
      <c r="O78" s="247">
        <v>521.01227680885177</v>
      </c>
      <c r="P78" s="247">
        <v>519.97935658464041</v>
      </c>
      <c r="Q78" s="247">
        <v>518.94647294600634</v>
      </c>
      <c r="R78" s="247">
        <v>517.91362784325827</v>
      </c>
      <c r="S78" s="247">
        <v>516.88082327429561</v>
      </c>
      <c r="T78" s="247">
        <v>515.84806120831331</v>
      </c>
      <c r="U78" s="247">
        <v>514.81534359964587</v>
      </c>
      <c r="V78" s="247">
        <v>513.78267241660387</v>
      </c>
      <c r="W78" s="247">
        <v>512.75004962084597</v>
      </c>
      <c r="X78" s="247">
        <v>511.71747721304581</v>
      </c>
      <c r="Y78" s="247">
        <v>510.68495715779784</v>
      </c>
      <c r="Z78" s="247">
        <v>509.65249146300101</v>
      </c>
      <c r="AA78" s="247">
        <v>508.62008208720147</v>
      </c>
      <c r="AB78" s="247">
        <v>507.58622139294391</v>
      </c>
      <c r="AC78" s="247">
        <v>506.55240193946986</v>
      </c>
      <c r="AD78" s="247">
        <v>505.51862399928245</v>
      </c>
      <c r="AE78" s="247">
        <v>504.48488781685165</v>
      </c>
      <c r="AF78" s="247">
        <v>503.45119363460827</v>
      </c>
      <c r="AG78" s="247">
        <v>502.41754175938911</v>
      </c>
      <c r="AH78" s="247">
        <v>501.38393246651196</v>
      </c>
      <c r="AI78" s="247">
        <v>500.35036604974044</v>
      </c>
      <c r="AJ78" s="247">
        <v>499.31684279407392</v>
      </c>
      <c r="AK78" s="247">
        <v>498.2833630702093</v>
      </c>
      <c r="AL78" s="247">
        <v>497.24992719080558</v>
      </c>
      <c r="AM78" s="247">
        <v>496.21653552854355</v>
      </c>
      <c r="AN78" s="247">
        <v>495.18176296348059</v>
      </c>
      <c r="AO78" s="247">
        <v>494.14702153099114</v>
      </c>
      <c r="AP78" s="247">
        <v>493.11231397395591</v>
      </c>
      <c r="AQ78" s="247">
        <v>492.07764300752814</v>
      </c>
      <c r="AR78" s="247">
        <v>491.04301139073289</v>
      </c>
      <c r="AS78" s="247">
        <v>490.00842184160473</v>
      </c>
      <c r="AT78" s="247">
        <v>488.97387707089018</v>
      </c>
      <c r="AU78" s="247">
        <v>487.93937981609781</v>
      </c>
      <c r="AV78" s="247">
        <v>486.90493279124047</v>
      </c>
      <c r="AW78" s="247">
        <v>485.87053872612728</v>
      </c>
      <c r="AX78" s="247">
        <v>484.83620031885306</v>
      </c>
      <c r="AY78" s="247">
        <v>483.80192033184471</v>
      </c>
      <c r="AZ78" s="247">
        <v>482.76634715003519</v>
      </c>
      <c r="BA78" s="247">
        <v>481.73081274001788</v>
      </c>
      <c r="BB78" s="247">
        <v>480.69531244102552</v>
      </c>
      <c r="BC78" s="247">
        <v>479.65984159275513</v>
      </c>
      <c r="BD78" s="247">
        <v>478.624395621975</v>
      </c>
      <c r="BE78" s="247">
        <v>477.58896995476027</v>
      </c>
      <c r="BF78" s="247">
        <v>476.55356006829669</v>
      </c>
      <c r="BG78" s="247">
        <v>475.51816151205338</v>
      </c>
      <c r="BH78" s="247">
        <v>474.48276981796835</v>
      </c>
      <c r="BI78" s="247">
        <v>473.44738062328321</v>
      </c>
      <c r="BJ78" s="247">
        <v>472.41198956205784</v>
      </c>
      <c r="BK78" s="247">
        <v>471.37659232191493</v>
      </c>
      <c r="BL78" s="247">
        <v>470.3399349018016</v>
      </c>
      <c r="BM78" s="247">
        <v>469.30327464534724</v>
      </c>
      <c r="BN78" s="247">
        <v>468.26663069640517</v>
      </c>
      <c r="BO78" s="247">
        <v>467.23002203585304</v>
      </c>
      <c r="BP78" s="247">
        <v>466.19346758914281</v>
      </c>
      <c r="BQ78" s="247">
        <v>465.1569861559592</v>
      </c>
      <c r="BR78" s="247">
        <v>464.12059642803348</v>
      </c>
      <c r="BS78" s="247">
        <v>463.08431702862953</v>
      </c>
      <c r="BT78" s="247">
        <v>462.04816645790254</v>
      </c>
      <c r="BU78" s="247">
        <v>461.01216311059665</v>
      </c>
      <c r="BV78" s="247">
        <v>459.97632530953655</v>
      </c>
      <c r="BW78" s="247">
        <v>458.94067127269147</v>
      </c>
      <c r="BX78" s="247">
        <v>457.90396269181372</v>
      </c>
      <c r="BY78" s="247">
        <v>456.86741367445069</v>
      </c>
      <c r="BZ78" s="247">
        <v>455.8310116874689</v>
      </c>
      <c r="CA78" s="247">
        <v>454.79474428328274</v>
      </c>
      <c r="CB78" s="247">
        <v>453.75859909459649</v>
      </c>
      <c r="CC78" s="247">
        <v>452.72256386481558</v>
      </c>
      <c r="CD78" s="247">
        <v>451.68662639552758</v>
      </c>
      <c r="CE78" s="247">
        <v>450.65077458385434</v>
      </c>
      <c r="CF78" s="247">
        <v>449.61499642239278</v>
      </c>
      <c r="CG78" s="247">
        <v>448.57927998300596</v>
      </c>
      <c r="CH78" s="247">
        <v>447.54361342916212</v>
      </c>
      <c r="CI78" s="247">
        <v>446.50798501302717</v>
      </c>
      <c r="CJ78" s="247">
        <v>445.47114562552338</v>
      </c>
      <c r="CK78" s="247">
        <v>444.43432352549456</v>
      </c>
      <c r="CL78" s="247">
        <v>443.39752424819159</v>
      </c>
      <c r="CM78" s="247">
        <v>442.3607532708873</v>
      </c>
      <c r="CN78" s="247">
        <v>441.32401606957228</v>
      </c>
      <c r="CO78" s="247">
        <v>440.28731809277832</v>
      </c>
      <c r="CP78" s="247">
        <v>439.250664782032</v>
      </c>
      <c r="CQ78" s="247">
        <v>438.2140615308968</v>
      </c>
      <c r="CR78" s="247">
        <v>437.17751373629795</v>
      </c>
      <c r="CS78" s="247">
        <v>436.14102676263525</v>
      </c>
      <c r="CT78" s="247">
        <v>435.10460596670754</v>
      </c>
      <c r="CU78" s="247">
        <v>434.06825667374346</v>
      </c>
      <c r="CV78" s="247">
        <v>433.03228130487054</v>
      </c>
      <c r="CW78" s="247">
        <v>431.99637126600356</v>
      </c>
      <c r="CX78" s="247">
        <v>430.96052571689751</v>
      </c>
      <c r="CY78" s="247">
        <v>429.92474381787343</v>
      </c>
      <c r="CZ78" s="247">
        <v>428.88902476371425</v>
      </c>
      <c r="DA78" s="247">
        <v>427.85336777256316</v>
      </c>
      <c r="DB78" s="247">
        <v>426.81777204703411</v>
      </c>
      <c r="DC78" s="247">
        <v>425.78223684462523</v>
      </c>
      <c r="DD78" s="247">
        <v>424.74676141040811</v>
      </c>
      <c r="DE78" s="247">
        <v>423.71134501539859</v>
      </c>
      <c r="DF78" s="247">
        <v>422.67598696633274</v>
      </c>
      <c r="DG78" s="247">
        <v>421.64068658208527</v>
      </c>
      <c r="DH78" s="247">
        <v>420.60576024998596</v>
      </c>
      <c r="DI78" s="247">
        <v>419.57088761216079</v>
      </c>
      <c r="DJ78" s="247">
        <v>418.53607597067833</v>
      </c>
      <c r="DK78" s="247">
        <v>417.50133256754333</v>
      </c>
      <c r="DL78" s="247">
        <v>416.46666463989288</v>
      </c>
      <c r="DM78" s="247">
        <v>415.43207936578818</v>
      </c>
      <c r="DN78" s="247">
        <v>414.39758389015185</v>
      </c>
      <c r="DO78" s="247">
        <v>413.36318534443564</v>
      </c>
      <c r="DP78" s="247">
        <v>412.32889080821224</v>
      </c>
      <c r="DQ78" s="247">
        <v>411.29470732591091</v>
      </c>
      <c r="DR78" s="247">
        <v>410.26064191636942</v>
      </c>
      <c r="DS78" s="247">
        <v>409.22670156378496</v>
      </c>
      <c r="DT78" s="247">
        <v>408.1950797817093</v>
      </c>
      <c r="DU78" s="247">
        <v>407.16360391140159</v>
      </c>
      <c r="DV78" s="247">
        <v>406.13228418697128</v>
      </c>
      <c r="DW78" s="247">
        <v>405.1011307915104</v>
      </c>
      <c r="DX78" s="247">
        <v>404.0701538473798</v>
      </c>
      <c r="DY78" s="247">
        <v>403.03936341915943</v>
      </c>
      <c r="DZ78" s="247">
        <v>402.00876949598029</v>
      </c>
      <c r="EA78" s="247">
        <v>400.97838204995014</v>
      </c>
      <c r="EB78" s="247">
        <v>399.94821096546582</v>
      </c>
      <c r="EC78" s="247">
        <v>398.91826607873446</v>
      </c>
      <c r="ED78" s="247">
        <v>397.88855718135198</v>
      </c>
      <c r="EE78" s="247">
        <v>396.85909402452944</v>
      </c>
      <c r="EF78" s="247">
        <v>395.83252586447207</v>
      </c>
      <c r="EG78" s="247">
        <v>394.8062167507764</v>
      </c>
      <c r="EH78" s="247">
        <v>393.78015534737727</v>
      </c>
      <c r="EI78" s="247">
        <v>392.75433041533182</v>
      </c>
      <c r="EJ78" s="247">
        <v>391.72873078578817</v>
      </c>
      <c r="EK78" s="247">
        <v>390.70334536381165</v>
      </c>
      <c r="EL78" s="247">
        <v>389.67816314174144</v>
      </c>
      <c r="EM78" s="247">
        <v>388.65317318913236</v>
      </c>
      <c r="EN78" s="247">
        <v>387.62836466629784</v>
      </c>
      <c r="EO78" s="247">
        <v>386.60372680162897</v>
      </c>
      <c r="EP78" s="247">
        <v>385.57924892054712</v>
      </c>
      <c r="EQ78" s="247">
        <v>384.55492041758936</v>
      </c>
      <c r="ER78" s="247">
        <v>383.53386772345021</v>
      </c>
      <c r="ES78" s="247">
        <v>382.51296613798911</v>
      </c>
      <c r="ET78" s="247">
        <v>381.49222377187397</v>
      </c>
      <c r="EU78" s="247">
        <v>380.47164869895641</v>
      </c>
      <c r="EV78" s="247">
        <v>379.45124893522996</v>
      </c>
      <c r="EW78" s="247">
        <v>378.43103246022031</v>
      </c>
      <c r="EX78" s="247">
        <v>377.41100721408907</v>
      </c>
      <c r="EY78" s="247">
        <v>376.39118107728365</v>
      </c>
      <c r="EZ78" s="247">
        <v>375.37156189473194</v>
      </c>
      <c r="FA78" s="247">
        <v>374.35215746690693</v>
      </c>
      <c r="FB78" s="247">
        <v>373.33297556460741</v>
      </c>
      <c r="FC78" s="247">
        <v>372.31402390627335</v>
      </c>
      <c r="FD78" s="247">
        <v>371.29896968594119</v>
      </c>
      <c r="FE78" s="247">
        <v>370.28416866792566</v>
      </c>
      <c r="FF78" s="247">
        <v>369.26962278793889</v>
      </c>
      <c r="FG78" s="247">
        <v>368.25533404495161</v>
      </c>
      <c r="FH78" s="247">
        <v>367.24130435104405</v>
      </c>
      <c r="FI78" s="247">
        <v>366.22753569074138</v>
      </c>
      <c r="FJ78" s="247">
        <v>365.21402998239614</v>
      </c>
      <c r="FK78" s="247">
        <v>364.20078918177029</v>
      </c>
      <c r="FL78" s="247">
        <v>363.18781518341541</v>
      </c>
      <c r="FM78" s="247">
        <v>362.17510994440806</v>
      </c>
      <c r="FN78" s="247">
        <v>361.16267535799727</v>
      </c>
      <c r="FO78" s="247">
        <v>360.15051335340507</v>
      </c>
      <c r="FP78" s="247">
        <v>359.13909782802943</v>
      </c>
      <c r="FQ78" s="247">
        <v>358.12795317362162</v>
      </c>
      <c r="FR78" s="247">
        <v>357.11708576575808</v>
      </c>
      <c r="FS78" s="247">
        <v>356.1065019838482</v>
      </c>
      <c r="FT78" s="247">
        <v>355.09620814245653</v>
      </c>
      <c r="FU78" s="247">
        <v>354.08621054271697</v>
      </c>
      <c r="FV78" s="247">
        <v>353.07651543199063</v>
      </c>
      <c r="FW78" s="247">
        <v>352.06712903624555</v>
      </c>
      <c r="FX78" s="247">
        <v>351.05805752336784</v>
      </c>
      <c r="FY78" s="247">
        <v>350.04930705575509</v>
      </c>
      <c r="FZ78" s="247">
        <v>349.04088373500696</v>
      </c>
      <c r="GA78" s="247">
        <v>348.03279366551118</v>
      </c>
      <c r="GB78" s="247">
        <v>347.02553224230803</v>
      </c>
      <c r="GC78" s="247">
        <v>346.01860427037349</v>
      </c>
      <c r="GD78" s="247">
        <v>345.01201392526531</v>
      </c>
      <c r="GE78" s="247">
        <v>344.00576538985371</v>
      </c>
      <c r="GF78" s="247">
        <v>342.99986281226825</v>
      </c>
      <c r="GG78" s="247">
        <v>341.99431030574641</v>
      </c>
      <c r="GH78" s="247">
        <v>340.98911197628803</v>
      </c>
      <c r="GI78" s="247">
        <v>339.98427190432943</v>
      </c>
      <c r="GJ78" s="247">
        <v>338.97979415007018</v>
      </c>
      <c r="GK78" s="247">
        <v>337.97568273037217</v>
      </c>
      <c r="GL78" s="247">
        <v>336.97194168919464</v>
      </c>
      <c r="GM78" s="247">
        <v>335.9685750187777</v>
      </c>
      <c r="GN78" s="247">
        <v>334.97070060948403</v>
      </c>
      <c r="GO78" s="247">
        <v>333.97323499773404</v>
      </c>
      <c r="GP78" s="247">
        <v>332.9761828817671</v>
      </c>
      <c r="GQ78" s="247">
        <v>331.97954893226591</v>
      </c>
      <c r="GR78" s="247">
        <v>330.9833377920441</v>
      </c>
      <c r="GS78" s="247">
        <v>329.98755407582348</v>
      </c>
      <c r="GT78" s="247">
        <v>328.99220238216503</v>
      </c>
      <c r="GU78" s="247">
        <v>327.9972872730084</v>
      </c>
      <c r="GV78" s="247">
        <v>327.00281327177089</v>
      </c>
      <c r="GW78" s="247">
        <v>326.0087849077039</v>
      </c>
      <c r="GX78" s="247">
        <v>325.01520666022236</v>
      </c>
      <c r="GY78" s="247">
        <v>324.02208301404602</v>
      </c>
      <c r="GZ78" s="247">
        <v>323.02996570042643</v>
      </c>
      <c r="HA78" s="247">
        <v>322.03830739999091</v>
      </c>
      <c r="HB78" s="247">
        <v>321.0471179419136</v>
      </c>
      <c r="HC78" s="247">
        <v>320.05640709075993</v>
      </c>
      <c r="HD78" s="247">
        <v>319.06618452882645</v>
      </c>
      <c r="HE78" s="247">
        <v>318.0764599245681</v>
      </c>
      <c r="HF78" s="247">
        <v>317.08724283235063</v>
      </c>
      <c r="HG78" s="247">
        <v>316.09854279264437</v>
      </c>
      <c r="HH78" s="247">
        <v>315.11036926087229</v>
      </c>
      <c r="HI78" s="247">
        <v>314.12273166824639</v>
      </c>
      <c r="HJ78" s="247">
        <v>313.13563935834532</v>
      </c>
      <c r="HK78" s="247">
        <v>312.14910166646314</v>
      </c>
      <c r="HL78" s="247">
        <v>311.16978517656906</v>
      </c>
      <c r="HM78" s="247">
        <v>310.19106595852151</v>
      </c>
      <c r="HN78" s="247">
        <v>309.2129348766257</v>
      </c>
      <c r="HO78" s="247">
        <v>308.23538280866688</v>
      </c>
      <c r="HP78" s="247">
        <v>307.25840075420018</v>
      </c>
      <c r="HQ78" s="247">
        <v>306.28197972689992</v>
      </c>
      <c r="HR78" s="247">
        <v>305.30611082866767</v>
      </c>
      <c r="HS78" s="247">
        <v>304.33078518508529</v>
      </c>
      <c r="HT78" s="247">
        <v>303.35599400563433</v>
      </c>
      <c r="HU78" s="247">
        <v>302.3817285671895</v>
      </c>
      <c r="HV78" s="247">
        <v>301.40798018318594</v>
      </c>
      <c r="HW78" s="247">
        <v>300.43474022594</v>
      </c>
      <c r="HX78" s="247">
        <v>299.46260675980312</v>
      </c>
      <c r="HY78" s="247">
        <v>298.49097176351557</v>
      </c>
      <c r="HZ78" s="247">
        <v>297.51984349968285</v>
      </c>
      <c r="IA78" s="247">
        <v>296.54923015007716</v>
      </c>
      <c r="IB78" s="247">
        <v>295.57913986857608</v>
      </c>
      <c r="IC78" s="247">
        <v>294.60958076288586</v>
      </c>
      <c r="ID78" s="247">
        <v>293.64056087917965</v>
      </c>
      <c r="IE78" s="247">
        <v>292.67208823445583</v>
      </c>
      <c r="IF78" s="247">
        <v>291.70417079629539</v>
      </c>
      <c r="IG78" s="247">
        <v>290.73681650141748</v>
      </c>
      <c r="IH78" s="247">
        <v>289.77003321609931</v>
      </c>
      <c r="II78" s="247">
        <v>288.80382880036052</v>
      </c>
      <c r="IJ78" s="247">
        <v>287.83883471828864</v>
      </c>
      <c r="IK78" s="247">
        <v>286.87442773981149</v>
      </c>
      <c r="IL78" s="247">
        <v>285.91061791812621</v>
      </c>
      <c r="IM78" s="247">
        <v>284.94741517023181</v>
      </c>
      <c r="IN78" s="247">
        <v>283.98482952924451</v>
      </c>
      <c r="IO78" s="247">
        <v>283.02287080831775</v>
      </c>
      <c r="IP78" s="247">
        <v>282.06154884427923</v>
      </c>
      <c r="IQ78" s="247">
        <v>281.10087342921571</v>
      </c>
      <c r="IR78" s="247">
        <v>280.14085428985277</v>
      </c>
      <c r="IS78" s="247">
        <v>279.18150110616455</v>
      </c>
      <c r="IT78" s="247">
        <v>278.22282357852072</v>
      </c>
      <c r="IU78" s="247">
        <v>277.26483127723117</v>
      </c>
      <c r="IV78" s="247">
        <v>276.31673311482649</v>
      </c>
      <c r="IW78" s="247">
        <v>275.36937118758937</v>
      </c>
      <c r="IX78" s="247">
        <v>274.42273232899015</v>
      </c>
      <c r="IY78" s="247">
        <v>273.47680354330839</v>
      </c>
      <c r="IZ78" s="247">
        <v>272.53157183435439</v>
      </c>
      <c r="JA78" s="247">
        <v>271.58702428863046</v>
      </c>
      <c r="JB78" s="247">
        <v>270.64314815884109</v>
      </c>
      <c r="JC78" s="247">
        <v>269.69993070449721</v>
      </c>
      <c r="JD78" s="247">
        <v>268.75735925906071</v>
      </c>
      <c r="JE78" s="247">
        <v>267.81542124928342</v>
      </c>
      <c r="JF78" s="247">
        <v>266.87410418218104</v>
      </c>
      <c r="JG78" s="247">
        <v>265.93339557161835</v>
      </c>
      <c r="JH78" s="247">
        <v>264.99396807181483</v>
      </c>
      <c r="JI78" s="247">
        <v>264.05513383527443</v>
      </c>
      <c r="JJ78" s="247">
        <v>263.11689952033316</v>
      </c>
      <c r="JK78" s="247">
        <v>262.17927158347385</v>
      </c>
      <c r="JL78" s="247">
        <v>261.24225661910504</v>
      </c>
      <c r="JM78" s="247">
        <v>260.30586101817613</v>
      </c>
      <c r="JN78" s="247">
        <v>259.37009130058027</v>
      </c>
      <c r="JO78" s="247">
        <v>258.43495387611841</v>
      </c>
      <c r="JP78" s="247">
        <v>257.50045519089639</v>
      </c>
      <c r="JQ78" s="247">
        <v>256.56660158024687</v>
      </c>
      <c r="JR78" s="247">
        <v>255.63339942024612</v>
      </c>
      <c r="JS78" s="247">
        <v>254.70085505501265</v>
      </c>
      <c r="JT78" s="247">
        <v>253.75983372950068</v>
      </c>
      <c r="JU78" s="247">
        <v>252.81940250975782</v>
      </c>
      <c r="JV78" s="247">
        <v>251.87955300672158</v>
      </c>
      <c r="JW78" s="247">
        <v>250.94027708800596</v>
      </c>
      <c r="JX78" s="247">
        <v>250.00156651429401</v>
      </c>
      <c r="JY78" s="247">
        <v>249.06341315286943</v>
      </c>
      <c r="JZ78" s="247">
        <v>248.12580890559937</v>
      </c>
      <c r="KA78" s="247">
        <v>247.18874571892351</v>
      </c>
      <c r="KB78" s="247">
        <v>246.25221563883122</v>
      </c>
      <c r="KC78" s="247">
        <v>245.31621068319586</v>
      </c>
      <c r="KD78" s="247">
        <v>244.38072290373475</v>
      </c>
      <c r="KE78" s="247">
        <v>243.44574446761027</v>
      </c>
      <c r="KF78" s="247">
        <v>242.51197685326594</v>
      </c>
      <c r="KG78" s="247">
        <v>241.57872885900628</v>
      </c>
      <c r="KH78" s="247">
        <v>240.64602818152034</v>
      </c>
      <c r="KI78" s="247">
        <v>239.71390221775479</v>
      </c>
      <c r="KJ78" s="247">
        <v>238.78237841771724</v>
      </c>
      <c r="KK78" s="247">
        <v>237.85148392411327</v>
      </c>
      <c r="KL78" s="247">
        <v>236.92124585180636</v>
      </c>
      <c r="KM78" s="247">
        <v>235.99169122428214</v>
      </c>
      <c r="KN78" s="247">
        <v>235.0628468846661</v>
      </c>
      <c r="KO78" s="247">
        <v>234.13473964708714</v>
      </c>
      <c r="KP78" s="247">
        <v>233.20739614530339</v>
      </c>
      <c r="KQ78" s="247">
        <v>232.28084291009387</v>
      </c>
      <c r="KR78" s="247">
        <v>231.34563006295045</v>
      </c>
      <c r="KS78" s="247">
        <v>230.41113393556469</v>
      </c>
      <c r="KT78" s="247">
        <v>229.47733318095032</v>
      </c>
      <c r="KU78" s="247">
        <v>228.54420650263941</v>
      </c>
      <c r="KV78" s="247">
        <v>227.61173266309052</v>
      </c>
      <c r="KW78" s="247">
        <v>226.67989065811147</v>
      </c>
      <c r="KX78" s="247">
        <v>225.74865947710447</v>
      </c>
      <c r="KY78" s="247">
        <v>224.81801823604235</v>
      </c>
      <c r="KZ78" s="247">
        <v>223.8879461601378</v>
      </c>
      <c r="LA78" s="247">
        <v>222.95842266235186</v>
      </c>
      <c r="LB78" s="247">
        <v>222.02942715158102</v>
      </c>
      <c r="LC78" s="247">
        <v>221.10093916644817</v>
      </c>
      <c r="LD78" s="247">
        <v>220.17366263491454</v>
      </c>
      <c r="LE78" s="247">
        <v>219.24687501262585</v>
      </c>
      <c r="LF78" s="247">
        <v>218.32058784150607</v>
      </c>
      <c r="LG78" s="247">
        <v>217.39481262027121</v>
      </c>
      <c r="LH78" s="247">
        <v>216.46956080893324</v>
      </c>
      <c r="LI78" s="247">
        <v>215.54484376089925</v>
      </c>
      <c r="LJ78" s="247">
        <v>214.62067289589828</v>
      </c>
      <c r="LK78" s="247">
        <v>213.6970594769287</v>
      </c>
      <c r="LL78" s="247">
        <v>212.77401482081495</v>
      </c>
      <c r="LM78" s="247">
        <v>211.8515500846886</v>
      </c>
      <c r="LN78" s="247">
        <v>210.92967653460639</v>
      </c>
      <c r="LO78" s="247">
        <v>210.00840532818728</v>
      </c>
      <c r="LP78" s="247">
        <v>209.08849106459971</v>
      </c>
      <c r="LQ78" s="247">
        <v>208.16918379698868</v>
      </c>
      <c r="LR78" s="247">
        <v>207.25048679418964</v>
      </c>
      <c r="LS78" s="247">
        <v>206.33240340698813</v>
      </c>
      <c r="LT78" s="247">
        <v>205.41493696091172</v>
      </c>
      <c r="LU78" s="247">
        <v>204.49809069118868</v>
      </c>
      <c r="LV78" s="247">
        <v>203.58186796496878</v>
      </c>
      <c r="LW78" s="247">
        <v>202.66627206666351</v>
      </c>
      <c r="LX78" s="247">
        <v>201.75130629102438</v>
      </c>
      <c r="LY78" s="247">
        <v>200.83697395629812</v>
      </c>
      <c r="LZ78" s="247">
        <v>199.92327833703516</v>
      </c>
      <c r="MA78" s="247">
        <v>199.01022283407863</v>
      </c>
      <c r="MB78" s="247">
        <v>198.09858255465943</v>
      </c>
      <c r="MC78" s="247">
        <v>197.18757935873271</v>
      </c>
      <c r="MD78" s="247">
        <v>196.27721676224201</v>
      </c>
      <c r="ME78" s="247">
        <v>195.36749817090396</v>
      </c>
      <c r="MF78" s="247">
        <v>194.45842704204964</v>
      </c>
      <c r="MG78" s="247">
        <v>193.55000687190056</v>
      </c>
      <c r="MH78" s="247">
        <v>192.64224114708338</v>
      </c>
      <c r="MI78" s="247">
        <v>191.73513329543499</v>
      </c>
      <c r="MJ78" s="247">
        <v>190.8286868765627</v>
      </c>
      <c r="MK78" s="247">
        <v>189.92290533653878</v>
      </c>
      <c r="ML78" s="247">
        <v>189.01779219926357</v>
      </c>
      <c r="MM78" s="247">
        <v>188.11335097405137</v>
      </c>
      <c r="MN78" s="247">
        <v>187.21038508134583</v>
      </c>
      <c r="MO78" s="247">
        <v>186.3080868530885</v>
      </c>
      <c r="MP78" s="247">
        <v>185.4064581247826</v>
      </c>
      <c r="MQ78" s="247">
        <v>184.50550076492905</v>
      </c>
      <c r="MR78" s="247">
        <v>183.60521672879062</v>
      </c>
      <c r="MS78" s="247">
        <v>182.70560789694241</v>
      </c>
      <c r="MT78" s="247">
        <v>181.80667627570799</v>
      </c>
      <c r="MU78" s="247">
        <v>180.90842375239103</v>
      </c>
      <c r="MV78" s="247">
        <v>180.010852326563</v>
      </c>
      <c r="MW78" s="247">
        <v>179.11396402030417</v>
      </c>
      <c r="MX78" s="247">
        <v>178.2177608660264</v>
      </c>
      <c r="MY78" s="247">
        <v>177.32224486715168</v>
      </c>
    </row>
    <row r="79" spans="1:363" ht="15.6" x14ac:dyDescent="0.3">
      <c r="A79" s="67" t="s">
        <v>6</v>
      </c>
      <c r="B79" s="72">
        <v>2089</v>
      </c>
      <c r="C79" s="247">
        <v>534.0228602145628</v>
      </c>
      <c r="D79" s="247">
        <v>532.99097162953251</v>
      </c>
      <c r="E79" s="247">
        <v>531.95914521870941</v>
      </c>
      <c r="F79" s="247">
        <v>530.92737994864615</v>
      </c>
      <c r="G79" s="247">
        <v>529.89567478879871</v>
      </c>
      <c r="H79" s="247">
        <v>528.86402872816825</v>
      </c>
      <c r="I79" s="247">
        <v>527.83244075709024</v>
      </c>
      <c r="J79" s="247">
        <v>526.80090993197143</v>
      </c>
      <c r="K79" s="247">
        <v>525.76943528570439</v>
      </c>
      <c r="L79" s="247">
        <v>524.73801587929279</v>
      </c>
      <c r="M79" s="247">
        <v>523.70665078412696</v>
      </c>
      <c r="N79" s="247">
        <v>522.67533915306012</v>
      </c>
      <c r="O79" s="247">
        <v>521.64408006907991</v>
      </c>
      <c r="P79" s="247">
        <v>520.61126439633949</v>
      </c>
      <c r="Q79" s="247">
        <v>519.57848570324484</v>
      </c>
      <c r="R79" s="247">
        <v>518.54574592563176</v>
      </c>
      <c r="S79" s="247">
        <v>517.51304704650499</v>
      </c>
      <c r="T79" s="247">
        <v>516.48039102080304</v>
      </c>
      <c r="U79" s="247">
        <v>515.44777978895604</v>
      </c>
      <c r="V79" s="247">
        <v>514.41521530544742</v>
      </c>
      <c r="W79" s="247">
        <v>513.38269951844495</v>
      </c>
      <c r="X79" s="247">
        <v>512.35023441481644</v>
      </c>
      <c r="Y79" s="247">
        <v>511.3178219461297</v>
      </c>
      <c r="Z79" s="247">
        <v>510.28546410692718</v>
      </c>
      <c r="AA79" s="247">
        <v>509.25316284335861</v>
      </c>
      <c r="AB79" s="247">
        <v>508.21939877073868</v>
      </c>
      <c r="AC79" s="247">
        <v>507.18567619778315</v>
      </c>
      <c r="AD79" s="247">
        <v>506.15199540458593</v>
      </c>
      <c r="AE79" s="247">
        <v>505.11835664376969</v>
      </c>
      <c r="AF79" s="247">
        <v>504.08476016621728</v>
      </c>
      <c r="AG79" s="247">
        <v>503.05120628648427</v>
      </c>
      <c r="AH79" s="247">
        <v>502.01769528828754</v>
      </c>
      <c r="AI79" s="247">
        <v>500.98422747380056</v>
      </c>
      <c r="AJ79" s="247">
        <v>499.95080313670957</v>
      </c>
      <c r="AK79" s="247">
        <v>498.91742265555433</v>
      </c>
      <c r="AL79" s="247">
        <v>497.88408635183845</v>
      </c>
      <c r="AM79" s="247">
        <v>496.8507946066066</v>
      </c>
      <c r="AN79" s="247">
        <v>495.81611169742922</v>
      </c>
      <c r="AO79" s="247">
        <v>494.78146025192012</v>
      </c>
      <c r="AP79" s="247">
        <v>493.746842984642</v>
      </c>
      <c r="AQ79" s="247">
        <v>492.71226258304796</v>
      </c>
      <c r="AR79" s="247">
        <v>491.67772177812054</v>
      </c>
      <c r="AS79" s="247">
        <v>490.64322326063399</v>
      </c>
      <c r="AT79" s="247">
        <v>489.60876971446163</v>
      </c>
      <c r="AU79" s="247">
        <v>488.57436385014171</v>
      </c>
      <c r="AV79" s="247">
        <v>487.54000835524533</v>
      </c>
      <c r="AW79" s="247">
        <v>486.50570593327672</v>
      </c>
      <c r="AX79" s="247">
        <v>485.47145925673675</v>
      </c>
      <c r="AY79" s="247">
        <v>484.43727106187777</v>
      </c>
      <c r="AZ79" s="247">
        <v>483.40178015681062</v>
      </c>
      <c r="BA79" s="247">
        <v>482.36632816667907</v>
      </c>
      <c r="BB79" s="247">
        <v>481.33091051689712</v>
      </c>
      <c r="BC79" s="247">
        <v>480.29552263349552</v>
      </c>
      <c r="BD79" s="247">
        <v>479.26016002844432</v>
      </c>
      <c r="BE79" s="247">
        <v>478.22481821316092</v>
      </c>
      <c r="BF79" s="247">
        <v>477.18949274958237</v>
      </c>
      <c r="BG79" s="247">
        <v>476.1541792710392</v>
      </c>
      <c r="BH79" s="247">
        <v>475.11887339373214</v>
      </c>
      <c r="BI79" s="247">
        <v>474.08357083782153</v>
      </c>
      <c r="BJ79" s="247">
        <v>473.04826732051816</v>
      </c>
      <c r="BK79" s="247">
        <v>472.01295861207592</v>
      </c>
      <c r="BL79" s="247">
        <v>470.97638194255649</v>
      </c>
      <c r="BM79" s="247">
        <v>469.93980319602844</v>
      </c>
      <c r="BN79" s="247">
        <v>468.90324121076657</v>
      </c>
      <c r="BO79" s="247">
        <v>467.86671466517362</v>
      </c>
      <c r="BP79" s="247">
        <v>466.83024218362391</v>
      </c>
      <c r="BQ79" s="247">
        <v>465.7938422671815</v>
      </c>
      <c r="BR79" s="247">
        <v>464.75753331120302</v>
      </c>
      <c r="BS79" s="247">
        <v>463.72133364420313</v>
      </c>
      <c r="BT79" s="247">
        <v>462.68526147398819</v>
      </c>
      <c r="BU79" s="247">
        <v>461.64933490526664</v>
      </c>
      <c r="BV79" s="247">
        <v>460.61357197243734</v>
      </c>
      <c r="BW79" s="247">
        <v>459.5779906073534</v>
      </c>
      <c r="BX79" s="247">
        <v>458.54134470079669</v>
      </c>
      <c r="BY79" s="247">
        <v>457.5048562178456</v>
      </c>
      <c r="BZ79" s="247">
        <v>456.46851286200314</v>
      </c>
      <c r="CA79" s="247">
        <v>455.43230242089925</v>
      </c>
      <c r="CB79" s="247">
        <v>454.3962127612217</v>
      </c>
      <c r="CC79" s="247">
        <v>453.36023185847159</v>
      </c>
      <c r="CD79" s="247">
        <v>452.32434774544856</v>
      </c>
      <c r="CE79" s="247">
        <v>451.28854854900464</v>
      </c>
      <c r="CF79" s="247">
        <v>450.25282248983029</v>
      </c>
      <c r="CG79" s="247">
        <v>449.21715786675412</v>
      </c>
      <c r="CH79" s="247">
        <v>448.18154306870446</v>
      </c>
      <c r="CI79" s="247">
        <v>447.14596657202895</v>
      </c>
      <c r="CJ79" s="247">
        <v>446.1091729643025</v>
      </c>
      <c r="CK79" s="247">
        <v>445.07239695918133</v>
      </c>
      <c r="CL79" s="247">
        <v>444.03564400458049</v>
      </c>
      <c r="CM79" s="247">
        <v>442.99891949178436</v>
      </c>
      <c r="CN79" s="247">
        <v>441.96222881119712</v>
      </c>
      <c r="CO79" s="247">
        <v>440.92557732650994</v>
      </c>
      <c r="CP79" s="247">
        <v>439.88897039486932</v>
      </c>
      <c r="CQ79" s="247">
        <v>438.85241332674286</v>
      </c>
      <c r="CR79" s="247">
        <v>437.81591143611757</v>
      </c>
      <c r="CS79" s="247">
        <v>436.77947000552444</v>
      </c>
      <c r="CT79" s="247">
        <v>435.74309431032447</v>
      </c>
      <c r="CU79" s="247">
        <v>434.70678959537048</v>
      </c>
      <c r="CV79" s="247">
        <v>433.6708409884061</v>
      </c>
      <c r="CW79" s="247">
        <v>432.63495713343337</v>
      </c>
      <c r="CX79" s="247">
        <v>431.59913722177765</v>
      </c>
      <c r="CY79" s="247">
        <v>430.563380445532</v>
      </c>
      <c r="CZ79" s="247">
        <v>429.52768603090846</v>
      </c>
      <c r="DA79" s="247">
        <v>428.49205322722628</v>
      </c>
      <c r="DB79" s="247">
        <v>427.45648126882844</v>
      </c>
      <c r="DC79" s="247">
        <v>426.42096944424475</v>
      </c>
      <c r="DD79" s="247">
        <v>425.38551702996637</v>
      </c>
      <c r="DE79" s="247">
        <v>424.35012332834009</v>
      </c>
      <c r="DF79" s="247">
        <v>423.31478767700048</v>
      </c>
      <c r="DG79" s="247">
        <v>422.27950942589865</v>
      </c>
      <c r="DH79" s="247">
        <v>421.24458752022645</v>
      </c>
      <c r="DI79" s="247">
        <v>420.20971894790205</v>
      </c>
      <c r="DJ79" s="247">
        <v>419.17491089183892</v>
      </c>
      <c r="DK79" s="247">
        <v>418.14017047629721</v>
      </c>
      <c r="DL79" s="247">
        <v>417.10550482114593</v>
      </c>
      <c r="DM79" s="247">
        <v>416.07092098854531</v>
      </c>
      <c r="DN79" s="247">
        <v>415.03642600847076</v>
      </c>
      <c r="DO79" s="247">
        <v>414.00202689809669</v>
      </c>
      <c r="DP79" s="247">
        <v>412.96773062391969</v>
      </c>
      <c r="DQ79" s="247">
        <v>411.93354411842461</v>
      </c>
      <c r="DR79" s="247">
        <v>410.8994742892931</v>
      </c>
      <c r="DS79" s="247">
        <v>409.86552801070468</v>
      </c>
      <c r="DT79" s="247">
        <v>408.83386864787735</v>
      </c>
      <c r="DU79" s="247">
        <v>407.80235332114017</v>
      </c>
      <c r="DV79" s="247">
        <v>406.77099210172418</v>
      </c>
      <c r="DW79" s="247">
        <v>405.73979501105896</v>
      </c>
      <c r="DX79" s="247">
        <v>404.70877201132049</v>
      </c>
      <c r="DY79" s="247">
        <v>403.67793300821143</v>
      </c>
      <c r="DZ79" s="247">
        <v>402.64728783367889</v>
      </c>
      <c r="EA79" s="247">
        <v>401.6168463033772</v>
      </c>
      <c r="EB79" s="247">
        <v>400.58661814706301</v>
      </c>
      <c r="EC79" s="247">
        <v>399.55661304763822</v>
      </c>
      <c r="ED79" s="247">
        <v>398.52684064451887</v>
      </c>
      <c r="EE79" s="247">
        <v>397.49731053795307</v>
      </c>
      <c r="EF79" s="247">
        <v>396.47064136534283</v>
      </c>
      <c r="EG79" s="247">
        <v>395.44422770585572</v>
      </c>
      <c r="EH79" s="247">
        <v>394.4180584251128</v>
      </c>
      <c r="EI79" s="247">
        <v>393.39212248433859</v>
      </c>
      <c r="EJ79" s="247">
        <v>392.36640891386838</v>
      </c>
      <c r="EK79" s="247">
        <v>391.34090681678867</v>
      </c>
      <c r="EL79" s="247">
        <v>390.31560538215768</v>
      </c>
      <c r="EM79" s="247">
        <v>389.29049387516778</v>
      </c>
      <c r="EN79" s="247">
        <v>388.26556165031127</v>
      </c>
      <c r="EO79" s="247">
        <v>387.24079812929688</v>
      </c>
      <c r="EP79" s="247">
        <v>386.21619282936689</v>
      </c>
      <c r="EQ79" s="247">
        <v>385.19173533600701</v>
      </c>
      <c r="ER79" s="247">
        <v>384.17052201506135</v>
      </c>
      <c r="ES79" s="247">
        <v>383.14945824748543</v>
      </c>
      <c r="ET79" s="247">
        <v>382.12855203339012</v>
      </c>
      <c r="EU79" s="247">
        <v>381.10781133692501</v>
      </c>
      <c r="EV79" s="247">
        <v>380.08724406564755</v>
      </c>
      <c r="EW79" s="247">
        <v>379.06685809146302</v>
      </c>
      <c r="EX79" s="247">
        <v>378.04666124786814</v>
      </c>
      <c r="EY79" s="247">
        <v>377.02666130993839</v>
      </c>
      <c r="EZ79" s="247">
        <v>376.00686601803278</v>
      </c>
      <c r="FA79" s="247">
        <v>374.98728306918076</v>
      </c>
      <c r="FB79" s="247">
        <v>373.96792013150639</v>
      </c>
      <c r="FC79" s="247">
        <v>372.94878482202716</v>
      </c>
      <c r="FD79" s="247">
        <v>371.93351529641978</v>
      </c>
      <c r="FE79" s="247">
        <v>370.91849616585233</v>
      </c>
      <c r="FF79" s="247">
        <v>369.90372935228766</v>
      </c>
      <c r="FG79" s="247">
        <v>368.88921684026695</v>
      </c>
      <c r="FH79" s="247">
        <v>367.87496052897438</v>
      </c>
      <c r="FI79" s="247">
        <v>366.86096238919345</v>
      </c>
      <c r="FJ79" s="247">
        <v>365.84722432675369</v>
      </c>
      <c r="FK79" s="247">
        <v>364.83374828465344</v>
      </c>
      <c r="FL79" s="247">
        <v>363.82053614574761</v>
      </c>
      <c r="FM79" s="247">
        <v>362.80758985488842</v>
      </c>
      <c r="FN79" s="247">
        <v>361.79491129424031</v>
      </c>
      <c r="FO79" s="247">
        <v>360.78250238181084</v>
      </c>
      <c r="FP79" s="247">
        <v>359.77081945596024</v>
      </c>
      <c r="FQ79" s="247">
        <v>358.75940437487765</v>
      </c>
      <c r="FR79" s="247">
        <v>357.74826343747367</v>
      </c>
      <c r="FS79" s="247">
        <v>356.73740294671234</v>
      </c>
      <c r="FT79" s="247">
        <v>355.72682914198333</v>
      </c>
      <c r="FU79" s="247">
        <v>354.71654824967442</v>
      </c>
      <c r="FV79" s="247">
        <v>353.7065664434985</v>
      </c>
      <c r="FW79" s="247">
        <v>352.69688987642388</v>
      </c>
      <c r="FX79" s="247">
        <v>351.68752464440036</v>
      </c>
      <c r="FY79" s="247">
        <v>350.67847683839085</v>
      </c>
      <c r="FZ79" s="247">
        <v>349.66975248970544</v>
      </c>
      <c r="GA79" s="247">
        <v>348.66135763283114</v>
      </c>
      <c r="GB79" s="247">
        <v>347.6537698578158</v>
      </c>
      <c r="GC79" s="247">
        <v>346.64651165598985</v>
      </c>
      <c r="GD79" s="247">
        <v>345.63958715850902</v>
      </c>
      <c r="GE79" s="247">
        <v>344.63300050399027</v>
      </c>
      <c r="GF79" s="247">
        <v>343.62675579712152</v>
      </c>
      <c r="GG79" s="247">
        <v>342.62085710841092</v>
      </c>
      <c r="GH79" s="247">
        <v>341.61530850153298</v>
      </c>
      <c r="GI79" s="247">
        <v>340.61011401527901</v>
      </c>
      <c r="GJ79" s="247">
        <v>339.60527766870939</v>
      </c>
      <c r="GK79" s="247">
        <v>338.60080343855236</v>
      </c>
      <c r="GL79" s="247">
        <v>337.59669532850688</v>
      </c>
      <c r="GM79" s="247">
        <v>336.59295729168855</v>
      </c>
      <c r="GN79" s="247">
        <v>335.5946785121717</v>
      </c>
      <c r="GO79" s="247">
        <v>334.59680407184362</v>
      </c>
      <c r="GP79" s="247">
        <v>333.59933862165877</v>
      </c>
      <c r="GQ79" s="247">
        <v>332.60228678561805</v>
      </c>
      <c r="GR79" s="247">
        <v>331.60565316054493</v>
      </c>
      <c r="GS79" s="247">
        <v>330.60944231575104</v>
      </c>
      <c r="GT79" s="247">
        <v>329.61365880491229</v>
      </c>
      <c r="GU79" s="247">
        <v>328.61830714586824</v>
      </c>
      <c r="GV79" s="247">
        <v>327.62339181866764</v>
      </c>
      <c r="GW79" s="247">
        <v>326.62891730949696</v>
      </c>
      <c r="GX79" s="247">
        <v>325.63488805562611</v>
      </c>
      <c r="GY79" s="247">
        <v>324.64130849994183</v>
      </c>
      <c r="GZ79" s="247">
        <v>323.64871271118267</v>
      </c>
      <c r="HA79" s="247">
        <v>322.65657087449534</v>
      </c>
      <c r="HB79" s="247">
        <v>321.66489270529729</v>
      </c>
      <c r="HC79" s="247">
        <v>320.67368785554265</v>
      </c>
      <c r="HD79" s="247">
        <v>319.68296589637418</v>
      </c>
      <c r="HE79" s="247">
        <v>318.69273638553807</v>
      </c>
      <c r="HF79" s="247">
        <v>317.7030087685539</v>
      </c>
      <c r="HG79" s="247">
        <v>316.71379247758068</v>
      </c>
      <c r="HH79" s="247">
        <v>315.72509686112119</v>
      </c>
      <c r="HI79" s="247">
        <v>314.73693124422272</v>
      </c>
      <c r="HJ79" s="247">
        <v>313.74930486574482</v>
      </c>
      <c r="HK79" s="247">
        <v>312.76222695681867</v>
      </c>
      <c r="HL79" s="247">
        <v>311.78233884467357</v>
      </c>
      <c r="HM79" s="247">
        <v>310.80304182643221</v>
      </c>
      <c r="HN79" s="247">
        <v>309.82432689138545</v>
      </c>
      <c r="HO79" s="247">
        <v>308.84618504222925</v>
      </c>
      <c r="HP79" s="247">
        <v>307.86860740212217</v>
      </c>
      <c r="HQ79" s="247">
        <v>306.89158510822324</v>
      </c>
      <c r="HR79" s="247">
        <v>305.91510938501858</v>
      </c>
      <c r="HS79" s="247">
        <v>304.93917148052435</v>
      </c>
      <c r="HT79" s="247">
        <v>303.96376272573724</v>
      </c>
      <c r="HU79" s="247">
        <v>302.98887451845263</v>
      </c>
      <c r="HV79" s="247">
        <v>302.01449829269836</v>
      </c>
      <c r="HW79" s="247">
        <v>301.04062554091433</v>
      </c>
      <c r="HX79" s="247">
        <v>300.06783714190612</v>
      </c>
      <c r="HY79" s="247">
        <v>299.09554229506892</v>
      </c>
      <c r="HZ79" s="247">
        <v>298.12374917818403</v>
      </c>
      <c r="IA79" s="247">
        <v>297.15246588944603</v>
      </c>
      <c r="IB79" s="247">
        <v>296.18170049984406</v>
      </c>
      <c r="IC79" s="247">
        <v>295.21146103498006</v>
      </c>
      <c r="ID79" s="247">
        <v>294.24175546001328</v>
      </c>
      <c r="IE79" s="247">
        <v>293.27259171159403</v>
      </c>
      <c r="IF79" s="247">
        <v>292.30397767781199</v>
      </c>
      <c r="IG79" s="247">
        <v>291.33592121666015</v>
      </c>
      <c r="IH79" s="247">
        <v>290.36843011682328</v>
      </c>
      <c r="II79" s="247">
        <v>289.40151216120546</v>
      </c>
      <c r="IJ79" s="247">
        <v>288.43578124252099</v>
      </c>
      <c r="IK79" s="247">
        <v>287.47063151974379</v>
      </c>
      <c r="IL79" s="247">
        <v>286.50607294095755</v>
      </c>
      <c r="IM79" s="247">
        <v>285.54211531996469</v>
      </c>
      <c r="IN79" s="247">
        <v>284.57876858564669</v>
      </c>
      <c r="IO79" s="247">
        <v>283.61604244980163</v>
      </c>
      <c r="IP79" s="247">
        <v>282.65394664796611</v>
      </c>
      <c r="IQ79" s="247">
        <v>281.69249087179543</v>
      </c>
      <c r="IR79" s="247">
        <v>280.73168474863195</v>
      </c>
      <c r="IS79" s="247">
        <v>279.77153786002236</v>
      </c>
      <c r="IT79" s="247">
        <v>278.81205980795892</v>
      </c>
      <c r="IU79" s="247">
        <v>277.85326006632857</v>
      </c>
      <c r="IV79" s="247">
        <v>276.90432942588006</v>
      </c>
      <c r="IW79" s="247">
        <v>275.95612817039842</v>
      </c>
      <c r="IX79" s="247">
        <v>275.00864329138648</v>
      </c>
      <c r="IY79" s="247">
        <v>274.06186194934509</v>
      </c>
      <c r="IZ79" s="247">
        <v>273.11577130444203</v>
      </c>
      <c r="JA79" s="247">
        <v>272.1703585986574</v>
      </c>
      <c r="JB79" s="247">
        <v>271.22561123850323</v>
      </c>
      <c r="JC79" s="247">
        <v>270.28151663732331</v>
      </c>
      <c r="JD79" s="247">
        <v>269.3380622816797</v>
      </c>
      <c r="JE79" s="247">
        <v>268.3952357505928</v>
      </c>
      <c r="JF79" s="247">
        <v>267.45302470256956</v>
      </c>
      <c r="JG79" s="247">
        <v>266.51141680309189</v>
      </c>
      <c r="JH79" s="247">
        <v>265.57106796740652</v>
      </c>
      <c r="JI79" s="247">
        <v>264.63130718284367</v>
      </c>
      <c r="JJ79" s="247">
        <v>263.69214104937964</v>
      </c>
      <c r="JK79" s="247">
        <v>262.75357596757419</v>
      </c>
      <c r="JL79" s="247">
        <v>261.81561847472943</v>
      </c>
      <c r="JM79" s="247">
        <v>260.87827490709947</v>
      </c>
      <c r="JN79" s="247">
        <v>259.94155172880068</v>
      </c>
      <c r="JO79" s="247">
        <v>259.005455295324</v>
      </c>
      <c r="JP79" s="247">
        <v>258.06999199831461</v>
      </c>
      <c r="JQ79" s="247">
        <v>257.13516812019196</v>
      </c>
      <c r="JR79" s="247">
        <v>256.20098998393883</v>
      </c>
      <c r="JS79" s="247">
        <v>255.26746388128444</v>
      </c>
      <c r="JT79" s="247">
        <v>254.32543733991852</v>
      </c>
      <c r="JU79" s="247">
        <v>253.38399520592313</v>
      </c>
      <c r="JV79" s="247">
        <v>252.44312920448243</v>
      </c>
      <c r="JW79" s="247">
        <v>251.50283131454725</v>
      </c>
      <c r="JX79" s="247">
        <v>250.56309340959996</v>
      </c>
      <c r="JY79" s="247">
        <v>249.62390746855209</v>
      </c>
      <c r="JZ79" s="247">
        <v>248.6852655046948</v>
      </c>
      <c r="KA79" s="247">
        <v>247.74715957553965</v>
      </c>
      <c r="KB79" s="247">
        <v>246.80958183710226</v>
      </c>
      <c r="KC79" s="247">
        <v>245.87252441786703</v>
      </c>
      <c r="KD79" s="247">
        <v>244.93597947992268</v>
      </c>
      <c r="KE79" s="247">
        <v>243.99993929971248</v>
      </c>
      <c r="KF79" s="247">
        <v>243.06508673024911</v>
      </c>
      <c r="KG79" s="247">
        <v>242.13074898806275</v>
      </c>
      <c r="KH79" s="247">
        <v>241.19695345946303</v>
      </c>
      <c r="KI79" s="247">
        <v>240.26372723494131</v>
      </c>
      <c r="KJ79" s="247">
        <v>239.33109745789679</v>
      </c>
      <c r="KK79" s="247">
        <v>238.39909096838909</v>
      </c>
      <c r="KL79" s="247">
        <v>237.46773457942209</v>
      </c>
      <c r="KM79" s="247">
        <v>236.53705501411466</v>
      </c>
      <c r="KN79" s="247">
        <v>235.60707881770946</v>
      </c>
      <c r="KO79" s="247">
        <v>234.67783250727555</v>
      </c>
      <c r="KP79" s="247">
        <v>233.74934242200479</v>
      </c>
      <c r="KQ79" s="247">
        <v>232.82163479979354</v>
      </c>
      <c r="KR79" s="247">
        <v>231.88524926988387</v>
      </c>
      <c r="KS79" s="247">
        <v>230.9495727223736</v>
      </c>
      <c r="KT79" s="247">
        <v>230.01458409877145</v>
      </c>
      <c r="KU79" s="247">
        <v>229.08026239047894</v>
      </c>
      <c r="KV79" s="247">
        <v>228.14658664718121</v>
      </c>
      <c r="KW79" s="247">
        <v>227.21353614893661</v>
      </c>
      <c r="KX79" s="247">
        <v>226.28109016959505</v>
      </c>
      <c r="KY79" s="247">
        <v>225.34922810806543</v>
      </c>
      <c r="KZ79" s="247">
        <v>224.41792947114979</v>
      </c>
      <c r="LA79" s="247">
        <v>223.48717395120229</v>
      </c>
      <c r="LB79" s="247">
        <v>222.55694123664725</v>
      </c>
      <c r="LC79" s="247">
        <v>221.62721114419691</v>
      </c>
      <c r="LD79" s="247">
        <v>220.69866716251298</v>
      </c>
      <c r="LE79" s="247">
        <v>219.77060731551589</v>
      </c>
      <c r="LF79" s="247">
        <v>218.84304301582637</v>
      </c>
      <c r="LG79" s="247">
        <v>217.91598563366804</v>
      </c>
      <c r="LH79" s="247">
        <v>216.98944650140245</v>
      </c>
      <c r="LI79" s="247">
        <v>216.06343684635488</v>
      </c>
      <c r="LJ79" s="247">
        <v>215.13796796167634</v>
      </c>
      <c r="LK79" s="247">
        <v>214.21305098607976</v>
      </c>
      <c r="LL79" s="247">
        <v>213.28869711167215</v>
      </c>
      <c r="LM79" s="247">
        <v>212.36491737327313</v>
      </c>
      <c r="LN79" s="247">
        <v>211.44172291352518</v>
      </c>
      <c r="LO79" s="247">
        <v>210.5191247683959</v>
      </c>
      <c r="LP79" s="247">
        <v>209.59785637074756</v>
      </c>
      <c r="LQ79" s="247">
        <v>208.67718877271994</v>
      </c>
      <c r="LR79" s="247">
        <v>207.75712521893962</v>
      </c>
      <c r="LS79" s="247">
        <v>206.83766903513961</v>
      </c>
      <c r="LT79" s="247">
        <v>205.91882352239432</v>
      </c>
      <c r="LU79" s="247">
        <v>205.00059189276885</v>
      </c>
      <c r="LV79" s="247">
        <v>204.08297748886125</v>
      </c>
      <c r="LW79" s="247">
        <v>203.16598357181823</v>
      </c>
      <c r="LX79" s="247">
        <v>202.24961341318146</v>
      </c>
      <c r="LY79" s="247">
        <v>201.33387030801381</v>
      </c>
      <c r="LZ79" s="247">
        <v>200.41875750844616</v>
      </c>
      <c r="MA79" s="247">
        <v>199.50427839164772</v>
      </c>
      <c r="MB79" s="247">
        <v>198.59118652968792</v>
      </c>
      <c r="MC79" s="247">
        <v>197.67872524385339</v>
      </c>
      <c r="MD79" s="247">
        <v>196.76689802274208</v>
      </c>
      <c r="ME79" s="247">
        <v>195.85570824628434</v>
      </c>
      <c r="MF79" s="247">
        <v>194.94515934564345</v>
      </c>
      <c r="MG79" s="247">
        <v>194.03525479052303</v>
      </c>
      <c r="MH79" s="247">
        <v>193.12599804140692</v>
      </c>
      <c r="MI79" s="247">
        <v>192.21739250095754</v>
      </c>
      <c r="MJ79" s="247">
        <v>191.30944170211981</v>
      </c>
      <c r="MK79" s="247">
        <v>190.40214906603651</v>
      </c>
      <c r="ML79" s="247">
        <v>189.49551809089536</v>
      </c>
      <c r="MM79" s="247">
        <v>188.58955226079664</v>
      </c>
      <c r="MN79" s="247">
        <v>187.68503296626483</v>
      </c>
      <c r="MO79" s="247">
        <v>186.7811745058834</v>
      </c>
      <c r="MP79" s="247">
        <v>185.87797870852322</v>
      </c>
      <c r="MQ79" s="247">
        <v>184.97544743579763</v>
      </c>
      <c r="MR79" s="247">
        <v>184.07358263523508</v>
      </c>
      <c r="MS79" s="247">
        <v>183.17238618072227</v>
      </c>
      <c r="MT79" s="247">
        <v>182.27186007055695</v>
      </c>
      <c r="MU79" s="247">
        <v>181.3720061857091</v>
      </c>
      <c r="MV79" s="247">
        <v>180.47282651815564</v>
      </c>
      <c r="MW79" s="247">
        <v>179.57432308238637</v>
      </c>
      <c r="MX79" s="247">
        <v>178.67649790326266</v>
      </c>
      <c r="MY79" s="247">
        <v>177.77935297731295</v>
      </c>
    </row>
    <row r="80" spans="1:363" ht="15.6" x14ac:dyDescent="0.3">
      <c r="A80" s="67" t="s">
        <v>6</v>
      </c>
      <c r="B80" s="72">
        <v>2090</v>
      </c>
      <c r="C80" s="247">
        <v>534.64892104139255</v>
      </c>
      <c r="D80" s="247">
        <v>533.6171463189537</v>
      </c>
      <c r="E80" s="247">
        <v>532.58543393344189</v>
      </c>
      <c r="F80" s="247">
        <v>531.55378287343433</v>
      </c>
      <c r="G80" s="247">
        <v>530.52219213054127</v>
      </c>
      <c r="H80" s="247">
        <v>529.49066071591835</v>
      </c>
      <c r="I80" s="247">
        <v>528.45918764217913</v>
      </c>
      <c r="J80" s="247">
        <v>527.42777198744716</v>
      </c>
      <c r="K80" s="247">
        <v>526.39641280682793</v>
      </c>
      <c r="L80" s="247">
        <v>525.36510918336501</v>
      </c>
      <c r="M80" s="247">
        <v>524.33386021064166</v>
      </c>
      <c r="N80" s="247">
        <v>523.30266506294174</v>
      </c>
      <c r="O80" s="247">
        <v>522.27152284579324</v>
      </c>
      <c r="P80" s="247">
        <v>521.2388118280013</v>
      </c>
      <c r="Q80" s="247">
        <v>520.20613818205106</v>
      </c>
      <c r="R80" s="247">
        <v>519.17350382945483</v>
      </c>
      <c r="S80" s="247">
        <v>518.14091073847396</v>
      </c>
      <c r="T80" s="247">
        <v>517.10836084994344</v>
      </c>
      <c r="U80" s="247">
        <v>516.07585609053285</v>
      </c>
      <c r="V80" s="247">
        <v>515.04339840103898</v>
      </c>
      <c r="W80" s="247">
        <v>514.01098971628346</v>
      </c>
      <c r="X80" s="247">
        <v>512.97863200947506</v>
      </c>
      <c r="Y80" s="247">
        <v>511.94632721929145</v>
      </c>
      <c r="Z80" s="247">
        <v>510.91407732706426</v>
      </c>
      <c r="AA80" s="247">
        <v>509.88188426667932</v>
      </c>
      <c r="AB80" s="247">
        <v>508.84821729295089</v>
      </c>
      <c r="AC80" s="247">
        <v>507.81459207852316</v>
      </c>
      <c r="AD80" s="247">
        <v>506.78100891095181</v>
      </c>
      <c r="AE80" s="247">
        <v>505.74746805087648</v>
      </c>
      <c r="AF80" s="247">
        <v>504.71396975750315</v>
      </c>
      <c r="AG80" s="247">
        <v>503.68051435297559</v>
      </c>
      <c r="AH80" s="247">
        <v>502.64710212928247</v>
      </c>
      <c r="AI80" s="247">
        <v>501.61373339687185</v>
      </c>
      <c r="AJ80" s="247">
        <v>500.58040845798723</v>
      </c>
      <c r="AK80" s="247">
        <v>499.54712769888511</v>
      </c>
      <c r="AL80" s="247">
        <v>498.5138914497926</v>
      </c>
      <c r="AM80" s="247">
        <v>497.48070009998452</v>
      </c>
      <c r="AN80" s="247">
        <v>496.44610770100115</v>
      </c>
      <c r="AO80" s="247">
        <v>495.41154709751413</v>
      </c>
      <c r="AP80" s="247">
        <v>494.37702097614044</v>
      </c>
      <c r="AQ80" s="247">
        <v>493.34253199699236</v>
      </c>
      <c r="AR80" s="247">
        <v>492.30808286337748</v>
      </c>
      <c r="AS80" s="247">
        <v>491.27367623916973</v>
      </c>
      <c r="AT80" s="247">
        <v>490.23931478172238</v>
      </c>
      <c r="AU80" s="247">
        <v>489.20500117495351</v>
      </c>
      <c r="AV80" s="247">
        <v>488.17073808035155</v>
      </c>
      <c r="AW80" s="247">
        <v>487.1365281754575</v>
      </c>
      <c r="AX80" s="247">
        <v>486.10237410751864</v>
      </c>
      <c r="AY80" s="247">
        <v>485.06827858696391</v>
      </c>
      <c r="AZ80" s="247">
        <v>484.0328712107912</v>
      </c>
      <c r="BA80" s="247">
        <v>482.99750289718008</v>
      </c>
      <c r="BB80" s="247">
        <v>481.96216915639462</v>
      </c>
      <c r="BC80" s="247">
        <v>480.92686549946865</v>
      </c>
      <c r="BD80" s="247">
        <v>479.89158752227331</v>
      </c>
      <c r="BE80" s="247">
        <v>478.85633082025527</v>
      </c>
      <c r="BF80" s="247">
        <v>477.82109103880805</v>
      </c>
      <c r="BG80" s="247">
        <v>476.78586389384793</v>
      </c>
      <c r="BH80" s="247">
        <v>475.75064508455159</v>
      </c>
      <c r="BI80" s="247">
        <v>474.7154304127443</v>
      </c>
      <c r="BJ80" s="247">
        <v>473.68021567751975</v>
      </c>
      <c r="BK80" s="247">
        <v>472.64499673052319</v>
      </c>
      <c r="BL80" s="247">
        <v>471.60850238272542</v>
      </c>
      <c r="BM80" s="247">
        <v>470.5720067129763</v>
      </c>
      <c r="BN80" s="247">
        <v>469.53552825884145</v>
      </c>
      <c r="BO80" s="247">
        <v>468.49908540106532</v>
      </c>
      <c r="BP80" s="247">
        <v>467.46269646774346</v>
      </c>
      <c r="BQ80" s="247">
        <v>466.42637966606907</v>
      </c>
      <c r="BR80" s="247">
        <v>465.39015309973604</v>
      </c>
      <c r="BS80" s="247">
        <v>464.35403480719458</v>
      </c>
      <c r="BT80" s="247">
        <v>463.3180427085473</v>
      </c>
      <c r="BU80" s="247">
        <v>462.28219462307266</v>
      </c>
      <c r="BV80" s="247">
        <v>461.24650830131566</v>
      </c>
      <c r="BW80" s="247">
        <v>460.21100139355218</v>
      </c>
      <c r="BX80" s="247">
        <v>459.17442033623024</v>
      </c>
      <c r="BY80" s="247">
        <v>458.13799460809525</v>
      </c>
      <c r="BZ80" s="247">
        <v>457.10171214519499</v>
      </c>
      <c r="CA80" s="247">
        <v>456.06556096632204</v>
      </c>
      <c r="CB80" s="247">
        <v>455.02952916812404</v>
      </c>
      <c r="CC80" s="247">
        <v>453.99360495419592</v>
      </c>
      <c r="CD80" s="247">
        <v>452.9577765845828</v>
      </c>
      <c r="CE80" s="247">
        <v>451.92203241192288</v>
      </c>
      <c r="CF80" s="247">
        <v>450.88636088109348</v>
      </c>
      <c r="CG80" s="247">
        <v>449.85075051400048</v>
      </c>
      <c r="CH80" s="247">
        <v>448.81518992118384</v>
      </c>
      <c r="CI80" s="247">
        <v>447.77966779933951</v>
      </c>
      <c r="CJ80" s="247">
        <v>446.7429227637387</v>
      </c>
      <c r="CK80" s="247">
        <v>445.70619565041193</v>
      </c>
      <c r="CL80" s="247">
        <v>444.66949182146982</v>
      </c>
      <c r="CM80" s="247">
        <v>443.63281658372387</v>
      </c>
      <c r="CN80" s="247">
        <v>442.59617524348636</v>
      </c>
      <c r="CO80" s="247">
        <v>441.55957308110345</v>
      </c>
      <c r="CP80" s="247">
        <v>440.52301537082366</v>
      </c>
      <c r="CQ80" s="247">
        <v>439.48650734147805</v>
      </c>
      <c r="CR80" s="247">
        <v>438.45005422557472</v>
      </c>
      <c r="CS80" s="247">
        <v>437.41366122521714</v>
      </c>
      <c r="CT80" s="247">
        <v>436.37733353575692</v>
      </c>
      <c r="CU80" s="247">
        <v>435.34107632308672</v>
      </c>
      <c r="CV80" s="247">
        <v>434.30515762518303</v>
      </c>
      <c r="CW80" s="247">
        <v>433.26930312171521</v>
      </c>
      <c r="CX80" s="247">
        <v>432.23351203496304</v>
      </c>
      <c r="CY80" s="247">
        <v>431.19778358817229</v>
      </c>
      <c r="CZ80" s="247">
        <v>430.16211703838212</v>
      </c>
      <c r="DA80" s="247">
        <v>429.12651166548642</v>
      </c>
      <c r="DB80" s="247">
        <v>428.0909667349473</v>
      </c>
      <c r="DC80" s="247">
        <v>427.05548156573332</v>
      </c>
      <c r="DD80" s="247">
        <v>426.02005546515835</v>
      </c>
      <c r="DE80" s="247">
        <v>424.98468776630659</v>
      </c>
      <c r="DF80" s="247">
        <v>423.94937783712385</v>
      </c>
      <c r="DG80" s="247">
        <v>422.91412505805835</v>
      </c>
      <c r="DH80" s="247">
        <v>421.87921113676703</v>
      </c>
      <c r="DI80" s="247">
        <v>420.84435020428555</v>
      </c>
      <c r="DJ80" s="247">
        <v>419.80954932645216</v>
      </c>
      <c r="DK80" s="247">
        <v>418.77481551183331</v>
      </c>
      <c r="DL80" s="247">
        <v>417.74015576508305</v>
      </c>
      <c r="DM80" s="247">
        <v>416.70557703447417</v>
      </c>
      <c r="DN80" s="247">
        <v>415.67108623705059</v>
      </c>
      <c r="DO80" s="247">
        <v>414.63669027769731</v>
      </c>
      <c r="DP80" s="247">
        <v>413.60239601180467</v>
      </c>
      <c r="DQ80" s="247">
        <v>412.56821026186969</v>
      </c>
      <c r="DR80" s="247">
        <v>411.53413982635351</v>
      </c>
      <c r="DS80" s="247">
        <v>410.50019147133452</v>
      </c>
      <c r="DT80" s="247">
        <v>409.46849844642782</v>
      </c>
      <c r="DU80" s="247">
        <v>408.43694762183918</v>
      </c>
      <c r="DV80" s="247">
        <v>407.40554890858425</v>
      </c>
      <c r="DW80" s="247">
        <v>406.37431216907817</v>
      </c>
      <c r="DX80" s="247">
        <v>405.34324720793188</v>
      </c>
      <c r="DY80" s="247">
        <v>404.3123637745644</v>
      </c>
      <c r="DZ80" s="247">
        <v>403.28167154630802</v>
      </c>
      <c r="EA80" s="247">
        <v>402.25118018491793</v>
      </c>
      <c r="EB80" s="247">
        <v>401.22089926802965</v>
      </c>
      <c r="EC80" s="247">
        <v>400.1908383277451</v>
      </c>
      <c r="ED80" s="247">
        <v>399.16100685377796</v>
      </c>
      <c r="EE80" s="247">
        <v>398.13141429786663</v>
      </c>
      <c r="EF80" s="247">
        <v>397.10464863155744</v>
      </c>
      <c r="EG80" s="247">
        <v>396.07813500728423</v>
      </c>
      <c r="EH80" s="247">
        <v>395.05186248912258</v>
      </c>
      <c r="EI80" s="247">
        <v>394.02582023526014</v>
      </c>
      <c r="EJ80" s="247">
        <v>392.99999747203344</v>
      </c>
      <c r="EK80" s="247">
        <v>391.97438349738144</v>
      </c>
      <c r="EL80" s="247">
        <v>390.94896769395086</v>
      </c>
      <c r="EM80" s="247">
        <v>389.92373951944853</v>
      </c>
      <c r="EN80" s="247">
        <v>388.89868851946221</v>
      </c>
      <c r="EO80" s="247">
        <v>387.87380430594385</v>
      </c>
      <c r="EP80" s="247">
        <v>386.84907658491704</v>
      </c>
      <c r="EQ80" s="247">
        <v>385.82449512978781</v>
      </c>
      <c r="ER80" s="247">
        <v>384.80312610024362</v>
      </c>
      <c r="ES80" s="247">
        <v>383.78190509660931</v>
      </c>
      <c r="ET80" s="247">
        <v>382.76084000998463</v>
      </c>
      <c r="EU80" s="247">
        <v>381.73993869635245</v>
      </c>
      <c r="EV80" s="247">
        <v>380.71920895634827</v>
      </c>
      <c r="EW80" s="247">
        <v>379.69865855575864</v>
      </c>
      <c r="EX80" s="247">
        <v>378.6782952229043</v>
      </c>
      <c r="EY80" s="247">
        <v>377.65812662895888</v>
      </c>
      <c r="EZ80" s="247">
        <v>376.63816041116559</v>
      </c>
      <c r="FA80" s="247">
        <v>375.61840416455453</v>
      </c>
      <c r="FB80" s="247">
        <v>374.59886545599824</v>
      </c>
      <c r="FC80" s="247">
        <v>373.57955180251088</v>
      </c>
      <c r="FD80" s="247">
        <v>372.56407208340994</v>
      </c>
      <c r="FE80" s="247">
        <v>371.5488399932845</v>
      </c>
      <c r="FF80" s="247">
        <v>370.53385744046517</v>
      </c>
      <c r="FG80" s="247">
        <v>369.51912639517587</v>
      </c>
      <c r="FH80" s="247">
        <v>368.50464874381021</v>
      </c>
      <c r="FI80" s="247">
        <v>367.49042644351829</v>
      </c>
      <c r="FJ80" s="247">
        <v>366.47646138770779</v>
      </c>
      <c r="FK80" s="247">
        <v>365.46275550671794</v>
      </c>
      <c r="FL80" s="247">
        <v>364.4493106717913</v>
      </c>
      <c r="FM80" s="247">
        <v>363.43612881565053</v>
      </c>
      <c r="FN80" s="247">
        <v>362.42321180946328</v>
      </c>
      <c r="FO80" s="247">
        <v>361.41056156010114</v>
      </c>
      <c r="FP80" s="247">
        <v>360.39861701234679</v>
      </c>
      <c r="FQ80" s="247">
        <v>359.38693732654434</v>
      </c>
      <c r="FR80" s="247">
        <v>358.37552872588407</v>
      </c>
      <c r="FS80" s="247">
        <v>357.36439743781904</v>
      </c>
      <c r="FT80" s="247">
        <v>356.35354962748636</v>
      </c>
      <c r="FU80" s="247">
        <v>355.34299144744335</v>
      </c>
      <c r="FV80" s="247">
        <v>354.33272899865131</v>
      </c>
      <c r="FW80" s="247">
        <v>353.32276836196939</v>
      </c>
      <c r="FX80" s="247">
        <v>352.31311556229366</v>
      </c>
      <c r="FY80" s="247">
        <v>351.30377662001627</v>
      </c>
      <c r="FZ80" s="247">
        <v>350.29475749701612</v>
      </c>
      <c r="GA80" s="247">
        <v>349.28606415872662</v>
      </c>
      <c r="GB80" s="247">
        <v>348.27815655789942</v>
      </c>
      <c r="GC80" s="247">
        <v>347.27057470602216</v>
      </c>
      <c r="GD80" s="247">
        <v>346.26332269034714</v>
      </c>
      <c r="GE80" s="247">
        <v>345.25640460573192</v>
      </c>
      <c r="GF80" s="247">
        <v>344.24982451390576</v>
      </c>
      <c r="GG80" s="247">
        <v>343.24358644311798</v>
      </c>
      <c r="GH80" s="247">
        <v>342.2376944151892</v>
      </c>
      <c r="GI80" s="247">
        <v>341.23215242772704</v>
      </c>
      <c r="GJ80" s="247">
        <v>340.22696445910765</v>
      </c>
      <c r="GK80" s="247">
        <v>339.22213444636407</v>
      </c>
      <c r="GL80" s="247">
        <v>338.21766635338179</v>
      </c>
      <c r="GM80" s="247">
        <v>337.21356409457758</v>
      </c>
      <c r="GN80" s="247">
        <v>336.21488768343357</v>
      </c>
      <c r="GO80" s="247">
        <v>335.21661120769187</v>
      </c>
      <c r="GP80" s="247">
        <v>334.21873927148772</v>
      </c>
      <c r="GQ80" s="247">
        <v>333.2212764526119</v>
      </c>
      <c r="GR80" s="247">
        <v>332.22422730235513</v>
      </c>
      <c r="GS80" s="247">
        <v>331.22759634506946</v>
      </c>
      <c r="GT80" s="247">
        <v>330.23138808998618</v>
      </c>
      <c r="GU80" s="247">
        <v>329.23560701128048</v>
      </c>
      <c r="GV80" s="247">
        <v>328.2402575460606</v>
      </c>
      <c r="GW80" s="247">
        <v>327.24534413787143</v>
      </c>
      <c r="GX80" s="247">
        <v>326.25087118224764</v>
      </c>
      <c r="GY80" s="247">
        <v>325.25684308065837</v>
      </c>
      <c r="GZ80" s="247">
        <v>324.26377639157351</v>
      </c>
      <c r="HA80" s="247">
        <v>323.27115865415544</v>
      </c>
      <c r="HB80" s="247">
        <v>322.27899947131812</v>
      </c>
      <c r="HC80" s="247">
        <v>321.28730838364982</v>
      </c>
      <c r="HD80" s="247">
        <v>320.29609485236546</v>
      </c>
      <c r="HE80" s="247">
        <v>319.3053683257225</v>
      </c>
      <c r="HF80" s="247">
        <v>318.31513814158393</v>
      </c>
      <c r="HG80" s="247">
        <v>317.32541362499273</v>
      </c>
      <c r="HH80" s="247">
        <v>316.33620401870411</v>
      </c>
      <c r="HI80" s="247">
        <v>315.34751854275436</v>
      </c>
      <c r="HJ80" s="247">
        <v>314.35936633243875</v>
      </c>
      <c r="HK80" s="247">
        <v>313.37175651585699</v>
      </c>
      <c r="HL80" s="247">
        <v>312.39130444934023</v>
      </c>
      <c r="HM80" s="247">
        <v>311.41143736370975</v>
      </c>
      <c r="HN80" s="247">
        <v>310.43214637177852</v>
      </c>
      <c r="HO80" s="247">
        <v>309.45342259968908</v>
      </c>
      <c r="HP80" s="247">
        <v>308.47525729275912</v>
      </c>
      <c r="HQ80" s="247">
        <v>307.4976417101941</v>
      </c>
      <c r="HR80" s="247">
        <v>306.52056719763181</v>
      </c>
      <c r="HS80" s="247">
        <v>305.54402512410445</v>
      </c>
      <c r="HT80" s="247">
        <v>304.56800694071092</v>
      </c>
      <c r="HU80" s="247">
        <v>303.59250416476243</v>
      </c>
      <c r="HV80" s="247">
        <v>302.61750834949027</v>
      </c>
      <c r="HW80" s="247">
        <v>301.64301110606425</v>
      </c>
      <c r="HX80" s="247">
        <v>300.6695762598037</v>
      </c>
      <c r="HY80" s="247">
        <v>299.69663009809983</v>
      </c>
      <c r="HZ80" s="247">
        <v>298.72418071471679</v>
      </c>
      <c r="IA80" s="247">
        <v>297.75223612506647</v>
      </c>
      <c r="IB80" s="247">
        <v>296.78080431802982</v>
      </c>
      <c r="IC80" s="247">
        <v>295.80989323788737</v>
      </c>
      <c r="ID80" s="247">
        <v>294.83951076954224</v>
      </c>
      <c r="IE80" s="247">
        <v>293.86966477005831</v>
      </c>
      <c r="IF80" s="247">
        <v>292.90036304877941</v>
      </c>
      <c r="IG80" s="247">
        <v>291.93161338571343</v>
      </c>
      <c r="IH80" s="247">
        <v>290.96342349267798</v>
      </c>
      <c r="II80" s="247">
        <v>289.99580107618243</v>
      </c>
      <c r="IJ80" s="247">
        <v>289.02934259354072</v>
      </c>
      <c r="IK80" s="247">
        <v>288.0634594585311</v>
      </c>
      <c r="IL80" s="247">
        <v>287.09816151513621</v>
      </c>
      <c r="IM80" s="247">
        <v>286.13345847494202</v>
      </c>
      <c r="IN80" s="247">
        <v>285.16936016360114</v>
      </c>
      <c r="IO80" s="247">
        <v>284.20587619252109</v>
      </c>
      <c r="IP80" s="247">
        <v>283.24301619691448</v>
      </c>
      <c r="IQ80" s="247">
        <v>282.28078976896415</v>
      </c>
      <c r="IR80" s="247">
        <v>281.31920643757638</v>
      </c>
      <c r="IS80" s="247">
        <v>280.35827568680719</v>
      </c>
      <c r="IT80" s="247">
        <v>279.39800702120783</v>
      </c>
      <c r="IU80" s="247">
        <v>278.43840981915571</v>
      </c>
      <c r="IV80" s="247">
        <v>277.48865564481639</v>
      </c>
      <c r="IW80" s="247">
        <v>276.5396240645133</v>
      </c>
      <c r="IX80" s="247">
        <v>275.59130222617853</v>
      </c>
      <c r="IY80" s="247">
        <v>274.64367744495064</v>
      </c>
      <c r="IZ80" s="247">
        <v>273.69673703577007</v>
      </c>
      <c r="JA80" s="247">
        <v>272.75046839452494</v>
      </c>
      <c r="JB80" s="247">
        <v>271.80485907998082</v>
      </c>
      <c r="JC80" s="247">
        <v>270.85989665776572</v>
      </c>
      <c r="JD80" s="247">
        <v>269.91556876600055</v>
      </c>
      <c r="JE80" s="247">
        <v>268.97186313444433</v>
      </c>
      <c r="JF80" s="247">
        <v>268.02876757157577</v>
      </c>
      <c r="JG80" s="247">
        <v>267.08626989297676</v>
      </c>
      <c r="JH80" s="247">
        <v>266.14500938598582</v>
      </c>
      <c r="JI80" s="247">
        <v>265.20433176052359</v>
      </c>
      <c r="JJ80" s="247">
        <v>264.2642435586605</v>
      </c>
      <c r="JK80" s="247">
        <v>263.32475112545217</v>
      </c>
      <c r="JL80" s="247">
        <v>262.38586094152788</v>
      </c>
      <c r="JM80" s="247">
        <v>261.44757928886111</v>
      </c>
      <c r="JN80" s="247">
        <v>260.50991257620933</v>
      </c>
      <c r="JO80" s="247">
        <v>259.57286710516445</v>
      </c>
      <c r="JP80" s="247">
        <v>258.63644921332104</v>
      </c>
      <c r="JQ80" s="247">
        <v>257.70066513058237</v>
      </c>
      <c r="JR80" s="247">
        <v>256.76552112723579</v>
      </c>
      <c r="JS80" s="247">
        <v>255.83102344301167</v>
      </c>
      <c r="JT80" s="247">
        <v>254.88800343829706</v>
      </c>
      <c r="JU80" s="247">
        <v>253.94556219604542</v>
      </c>
      <c r="JV80" s="247">
        <v>253.00369155440032</v>
      </c>
      <c r="JW80" s="247">
        <v>252.06238360239831</v>
      </c>
      <c r="JX80" s="247">
        <v>251.12163032505021</v>
      </c>
      <c r="JY80" s="247">
        <v>250.18142381164552</v>
      </c>
      <c r="JZ80" s="247">
        <v>249.24175618564905</v>
      </c>
      <c r="KA80" s="247">
        <v>248.30261961440144</v>
      </c>
      <c r="KB80" s="247">
        <v>247.36400636271063</v>
      </c>
      <c r="KC80" s="247">
        <v>246.42590866844088</v>
      </c>
      <c r="KD80" s="247">
        <v>245.48831880281827</v>
      </c>
      <c r="KE80" s="247">
        <v>244.55122915034991</v>
      </c>
      <c r="KF80" s="247">
        <v>243.61530408901206</v>
      </c>
      <c r="KG80" s="247">
        <v>242.67988910525034</v>
      </c>
      <c r="KH80" s="247">
        <v>241.74501127811484</v>
      </c>
      <c r="KI80" s="247">
        <v>240.81069739471778</v>
      </c>
      <c r="KJ80" s="247">
        <v>239.87697429493096</v>
      </c>
      <c r="KK80" s="247">
        <v>238.94386851920694</v>
      </c>
      <c r="KL80" s="247">
        <v>238.01140658171772</v>
      </c>
      <c r="KM80" s="247">
        <v>237.07961490823411</v>
      </c>
      <c r="KN80" s="247">
        <v>236.14851974910283</v>
      </c>
      <c r="KO80" s="247">
        <v>235.21814732731838</v>
      </c>
      <c r="KP80" s="247">
        <v>234.28852369046271</v>
      </c>
      <c r="KQ80" s="247">
        <v>233.35967478649175</v>
      </c>
      <c r="KR80" s="247">
        <v>232.42213138923401</v>
      </c>
      <c r="KS80" s="247">
        <v>231.48528931924338</v>
      </c>
      <c r="KT80" s="247">
        <v>230.54912780316309</v>
      </c>
      <c r="KU80" s="247">
        <v>229.61362611691138</v>
      </c>
      <c r="KV80" s="247">
        <v>228.67876359405759</v>
      </c>
      <c r="KW80" s="247">
        <v>227.74451979560615</v>
      </c>
      <c r="KX80" s="247">
        <v>226.81087427654876</v>
      </c>
      <c r="KY80" s="247">
        <v>225.87780671544559</v>
      </c>
      <c r="KZ80" s="247">
        <v>224.94529689741702</v>
      </c>
      <c r="LA80" s="247">
        <v>224.01332479097155</v>
      </c>
      <c r="LB80" s="247">
        <v>223.08187036081662</v>
      </c>
      <c r="LC80" s="247">
        <v>222.15091369853207</v>
      </c>
      <c r="LD80" s="247">
        <v>221.2211180497859</v>
      </c>
      <c r="LE80" s="247">
        <v>220.29180180925064</v>
      </c>
      <c r="LF80" s="247">
        <v>219.36297626163829</v>
      </c>
      <c r="LG80" s="247">
        <v>218.4346526500677</v>
      </c>
      <c r="LH80" s="247">
        <v>217.50684218062946</v>
      </c>
      <c r="LI80" s="247">
        <v>216.57955595593106</v>
      </c>
      <c r="LJ80" s="247">
        <v>215.65280514391657</v>
      </c>
      <c r="LK80" s="247">
        <v>214.72660076036451</v>
      </c>
      <c r="LL80" s="247">
        <v>213.80095387401829</v>
      </c>
      <c r="LM80" s="247">
        <v>212.87587539871834</v>
      </c>
      <c r="LN80" s="247">
        <v>211.95137635503951</v>
      </c>
      <c r="LO80" s="247">
        <v>211.02746765862773</v>
      </c>
      <c r="LP80" s="247">
        <v>210.1048617832783</v>
      </c>
      <c r="LQ80" s="247">
        <v>209.18285057516064</v>
      </c>
      <c r="LR80" s="247">
        <v>208.26143725492048</v>
      </c>
      <c r="LS80" s="247">
        <v>207.34062512348311</v>
      </c>
      <c r="LT80" s="247">
        <v>206.42041745771104</v>
      </c>
      <c r="LU80" s="247">
        <v>205.50081744673258</v>
      </c>
      <c r="LV80" s="247">
        <v>204.58182840884379</v>
      </c>
      <c r="LW80" s="247">
        <v>203.66345358216142</v>
      </c>
      <c r="LX80" s="247">
        <v>202.74569621525541</v>
      </c>
      <c r="LY80" s="247">
        <v>201.82855958024854</v>
      </c>
      <c r="LZ80" s="247">
        <v>200.91204690708699</v>
      </c>
      <c r="MA80" s="247">
        <v>199.99616154952</v>
      </c>
      <c r="MB80" s="247">
        <v>199.08163575924777</v>
      </c>
      <c r="MC80" s="247">
        <v>198.16773410547574</v>
      </c>
      <c r="MD80" s="247">
        <v>197.25446004975734</v>
      </c>
      <c r="ME80" s="247">
        <v>196.34181694652861</v>
      </c>
      <c r="MF80" s="247">
        <v>195.42980820107979</v>
      </c>
      <c r="MG80" s="247">
        <v>194.51843725690017</v>
      </c>
      <c r="MH80" s="247">
        <v>193.60770754863799</v>
      </c>
      <c r="MI80" s="247">
        <v>192.69762245407748</v>
      </c>
      <c r="MJ80" s="247">
        <v>191.788185479822</v>
      </c>
      <c r="MK80" s="247">
        <v>190.87940002238693</v>
      </c>
      <c r="ML80" s="247">
        <v>189.97126955456818</v>
      </c>
      <c r="MM80" s="247">
        <v>189.06379753556726</v>
      </c>
      <c r="MN80" s="247">
        <v>188.15774355057042</v>
      </c>
      <c r="MO80" s="247">
        <v>187.25234364169617</v>
      </c>
      <c r="MP80" s="247">
        <v>186.34759963130711</v>
      </c>
      <c r="MQ80" s="247">
        <v>185.44351337425599</v>
      </c>
      <c r="MR80" s="247">
        <v>184.5400868104791</v>
      </c>
      <c r="MS80" s="247">
        <v>183.6373218073139</v>
      </c>
      <c r="MT80" s="247">
        <v>182.73522035518792</v>
      </c>
      <c r="MU80" s="247">
        <v>181.83378432887986</v>
      </c>
      <c r="MV80" s="247">
        <v>180.93301571293586</v>
      </c>
      <c r="MW80" s="247">
        <v>180.03291651442279</v>
      </c>
      <c r="MX80" s="247">
        <v>179.13348875082613</v>
      </c>
      <c r="MY80" s="247">
        <v>178.23473441195</v>
      </c>
    </row>
    <row r="81" spans="1:363" ht="15.6" x14ac:dyDescent="0.3">
      <c r="A81" s="67" t="s">
        <v>6</v>
      </c>
      <c r="B81" s="72">
        <v>2091</v>
      </c>
      <c r="C81" s="247">
        <v>535.27066095141777</v>
      </c>
      <c r="D81" s="247">
        <v>534.23899981227453</v>
      </c>
      <c r="E81" s="247">
        <v>533.2074011725332</v>
      </c>
      <c r="F81" s="247">
        <v>532.1758640425353</v>
      </c>
      <c r="G81" s="247">
        <v>531.14438743576488</v>
      </c>
      <c r="H81" s="247">
        <v>530.11297038527164</v>
      </c>
      <c r="I81" s="247">
        <v>529.08161192567218</v>
      </c>
      <c r="J81" s="247">
        <v>528.05031115654629</v>
      </c>
      <c r="K81" s="247">
        <v>527.01906715494579</v>
      </c>
      <c r="L81" s="247">
        <v>525.98787902568927</v>
      </c>
      <c r="M81" s="247">
        <v>524.95674588429301</v>
      </c>
      <c r="N81" s="247">
        <v>523.92566692621938</v>
      </c>
      <c r="O81" s="247">
        <v>522.89464127927442</v>
      </c>
      <c r="P81" s="247">
        <v>521.86203500470072</v>
      </c>
      <c r="Q81" s="247">
        <v>520.82946649223345</v>
      </c>
      <c r="R81" s="247">
        <v>519.79693764921444</v>
      </c>
      <c r="S81" s="247">
        <v>518.76445042930936</v>
      </c>
      <c r="T81" s="247">
        <v>517.73200675939859</v>
      </c>
      <c r="U81" s="247">
        <v>516.6996085525268</v>
      </c>
      <c r="V81" s="247">
        <v>515.66725773595817</v>
      </c>
      <c r="W81" s="247">
        <v>514.63495623130484</v>
      </c>
      <c r="X81" s="247">
        <v>513.60270599825492</v>
      </c>
      <c r="Y81" s="247">
        <v>512.57050896274018</v>
      </c>
      <c r="Z81" s="247">
        <v>511.53836709302175</v>
      </c>
      <c r="AA81" s="247">
        <v>510.50628231085381</v>
      </c>
      <c r="AB81" s="247">
        <v>509.4727128899853</v>
      </c>
      <c r="AC81" s="247">
        <v>508.43918548871079</v>
      </c>
      <c r="AD81" s="247">
        <v>507.4057004019225</v>
      </c>
      <c r="AE81" s="247">
        <v>506.37225789814943</v>
      </c>
      <c r="AF81" s="247">
        <v>505.33885824477676</v>
      </c>
      <c r="AG81" s="247">
        <v>504.30550177142305</v>
      </c>
      <c r="AH81" s="247">
        <v>503.27218877821252</v>
      </c>
      <c r="AI81" s="247">
        <v>502.238919583739</v>
      </c>
      <c r="AJ81" s="247">
        <v>501.20569449867611</v>
      </c>
      <c r="AK81" s="247">
        <v>500.17251391687762</v>
      </c>
      <c r="AL81" s="247">
        <v>499.13937817715686</v>
      </c>
      <c r="AM81" s="247">
        <v>498.1062876769048</v>
      </c>
      <c r="AN81" s="247">
        <v>497.07178661029201</v>
      </c>
      <c r="AO81" s="247">
        <v>496.03731767163322</v>
      </c>
      <c r="AP81" s="247">
        <v>495.00288351996022</v>
      </c>
      <c r="AQ81" s="247">
        <v>493.96848678840576</v>
      </c>
      <c r="AR81" s="247">
        <v>492.93413015296227</v>
      </c>
      <c r="AS81" s="247">
        <v>491.89981625095731</v>
      </c>
      <c r="AT81" s="247">
        <v>490.86554771357123</v>
      </c>
      <c r="AU81" s="247">
        <v>489.83132719845588</v>
      </c>
      <c r="AV81" s="247">
        <v>488.79715734135823</v>
      </c>
      <c r="AW81" s="247">
        <v>487.7630407942051</v>
      </c>
      <c r="AX81" s="247">
        <v>486.72898017932351</v>
      </c>
      <c r="AY81" s="247">
        <v>485.69497818166224</v>
      </c>
      <c r="AZ81" s="247">
        <v>484.65965554456528</v>
      </c>
      <c r="BA81" s="247">
        <v>483.62437212196079</v>
      </c>
      <c r="BB81" s="247">
        <v>482.58912350766093</v>
      </c>
      <c r="BC81" s="247">
        <v>481.55390529639067</v>
      </c>
      <c r="BD81" s="247">
        <v>480.518713166628</v>
      </c>
      <c r="BE81" s="247">
        <v>479.48354279656661</v>
      </c>
      <c r="BF81" s="247">
        <v>478.44838991377912</v>
      </c>
      <c r="BG81" s="247">
        <v>477.41325031549991</v>
      </c>
      <c r="BH81" s="247">
        <v>476.37811978262278</v>
      </c>
      <c r="BI81" s="247">
        <v>475.34299419738778</v>
      </c>
      <c r="BJ81" s="247">
        <v>474.30786943954274</v>
      </c>
      <c r="BK81" s="247">
        <v>473.27274144087454</v>
      </c>
      <c r="BL81" s="247">
        <v>472.23633093454742</v>
      </c>
      <c r="BM81" s="247">
        <v>471.19991985699272</v>
      </c>
      <c r="BN81" s="247">
        <v>470.16352644986591</v>
      </c>
      <c r="BO81" s="247">
        <v>469.1271688010022</v>
      </c>
      <c r="BP81" s="247">
        <v>468.09086494693884</v>
      </c>
      <c r="BQ81" s="247">
        <v>467.0546328056829</v>
      </c>
      <c r="BR81" s="247">
        <v>466.01849019390897</v>
      </c>
      <c r="BS81" s="247">
        <v>464.98245486461707</v>
      </c>
      <c r="BT81" s="247">
        <v>463.94654445478142</v>
      </c>
      <c r="BU81" s="247">
        <v>462.91077650278373</v>
      </c>
      <c r="BV81" s="247">
        <v>461.87516847982835</v>
      </c>
      <c r="BW81" s="247">
        <v>460.83973775907828</v>
      </c>
      <c r="BX81" s="247">
        <v>459.80322366000064</v>
      </c>
      <c r="BY81" s="247">
        <v>458.76686284032155</v>
      </c>
      <c r="BZ81" s="247">
        <v>457.73064346462587</v>
      </c>
      <c r="CA81" s="247">
        <v>456.69455377887044</v>
      </c>
      <c r="CB81" s="247">
        <v>455.65858210569911</v>
      </c>
      <c r="CC81" s="247">
        <v>454.62271687287569</v>
      </c>
      <c r="CD81" s="247">
        <v>453.58694656378003</v>
      </c>
      <c r="CE81" s="247">
        <v>452.55125975295999</v>
      </c>
      <c r="CF81" s="247">
        <v>451.5156451056302</v>
      </c>
      <c r="CG81" s="247">
        <v>450.48009136295195</v>
      </c>
      <c r="CH81" s="247">
        <v>449.44458735328328</v>
      </c>
      <c r="CI81" s="247">
        <v>448.40912198990509</v>
      </c>
      <c r="CJ81" s="247">
        <v>447.37242823698881</v>
      </c>
      <c r="CK81" s="247">
        <v>446.33575273034609</v>
      </c>
      <c r="CL81" s="247">
        <v>445.29910074778809</v>
      </c>
      <c r="CM81" s="247">
        <v>444.26247751313878</v>
      </c>
      <c r="CN81" s="247">
        <v>443.22588825009882</v>
      </c>
      <c r="CO81" s="247">
        <v>442.1893381571328</v>
      </c>
      <c r="CP81" s="247">
        <v>441.15283242704868</v>
      </c>
      <c r="CQ81" s="247">
        <v>440.11637620847756</v>
      </c>
      <c r="CR81" s="247">
        <v>439.07997465388416</v>
      </c>
      <c r="CS81" s="247">
        <v>438.04363288635039</v>
      </c>
      <c r="CT81" s="247">
        <v>437.0073560226391</v>
      </c>
      <c r="CU81" s="247">
        <v>435.97114915106636</v>
      </c>
      <c r="CV81" s="247">
        <v>434.93526342176159</v>
      </c>
      <c r="CW81" s="247">
        <v>433.89944134931744</v>
      </c>
      <c r="CX81" s="247">
        <v>432.86368218636892</v>
      </c>
      <c r="CY81" s="247">
        <v>431.82798518670717</v>
      </c>
      <c r="CZ81" s="247">
        <v>430.79234963760479</v>
      </c>
      <c r="DA81" s="247">
        <v>429.75677484894095</v>
      </c>
      <c r="DB81" s="247">
        <v>428.72126011669457</v>
      </c>
      <c r="DC81" s="247">
        <v>427.68580478969466</v>
      </c>
      <c r="DD81" s="247">
        <v>426.65040820548722</v>
      </c>
      <c r="DE81" s="247">
        <v>425.6150697273136</v>
      </c>
      <c r="DF81" s="247">
        <v>424.57978875285949</v>
      </c>
      <c r="DG81" s="247">
        <v>423.54456469248913</v>
      </c>
      <c r="DH81" s="247">
        <v>422.50966221923863</v>
      </c>
      <c r="DI81" s="247">
        <v>421.47481240624364</v>
      </c>
      <c r="DJ81" s="247">
        <v>420.44002220431867</v>
      </c>
      <c r="DK81" s="247">
        <v>419.40529850836054</v>
      </c>
      <c r="DL81" s="247">
        <v>418.37064820981789</v>
      </c>
      <c r="DM81" s="247">
        <v>417.33607814507064</v>
      </c>
      <c r="DN81" s="247">
        <v>416.30159512019543</v>
      </c>
      <c r="DO81" s="247">
        <v>415.26720592974874</v>
      </c>
      <c r="DP81" s="247">
        <v>414.23291731995926</v>
      </c>
      <c r="DQ81" s="247">
        <v>413.19873600525358</v>
      </c>
      <c r="DR81" s="247">
        <v>412.16466867677906</v>
      </c>
      <c r="DS81" s="247">
        <v>411.13072199439853</v>
      </c>
      <c r="DT81" s="247">
        <v>410.09899913330798</v>
      </c>
      <c r="DU81" s="247">
        <v>409.0674166759382</v>
      </c>
      <c r="DV81" s="247">
        <v>408.03598437571929</v>
      </c>
      <c r="DW81" s="247">
        <v>407.00471193865377</v>
      </c>
      <c r="DX81" s="247">
        <v>405.97360901436866</v>
      </c>
      <c r="DY81" s="247">
        <v>404.94268519855768</v>
      </c>
      <c r="DZ81" s="247">
        <v>403.91195001646184</v>
      </c>
      <c r="EA81" s="247">
        <v>402.88141297845794</v>
      </c>
      <c r="EB81" s="247">
        <v>401.851083512542</v>
      </c>
      <c r="EC81" s="247">
        <v>400.82097100247722</v>
      </c>
      <c r="ED81" s="247">
        <v>399.79108479071931</v>
      </c>
      <c r="EE81" s="247">
        <v>398.76143418292429</v>
      </c>
      <c r="EF81" s="247">
        <v>397.73457644810861</v>
      </c>
      <c r="EG81" s="247">
        <v>396.70796734542313</v>
      </c>
      <c r="EH81" s="247">
        <v>395.6815961342042</v>
      </c>
      <c r="EI81" s="247">
        <v>394.65545216644927</v>
      </c>
      <c r="EJ81" s="247">
        <v>393.62952486135111</v>
      </c>
      <c r="EK81" s="247">
        <v>392.60380370859122</v>
      </c>
      <c r="EL81" s="247">
        <v>391.57827828130746</v>
      </c>
      <c r="EM81" s="247">
        <v>390.55293822665169</v>
      </c>
      <c r="EN81" s="247">
        <v>389.52777327826323</v>
      </c>
      <c r="EO81" s="247">
        <v>388.50277323531213</v>
      </c>
      <c r="EP81" s="247">
        <v>387.47792798960063</v>
      </c>
      <c r="EQ81" s="247">
        <v>386.45322749947917</v>
      </c>
      <c r="ER81" s="247">
        <v>385.43170758937947</v>
      </c>
      <c r="ES81" s="247">
        <v>384.41033420514611</v>
      </c>
      <c r="ET81" s="247">
        <v>383.38911513039784</v>
      </c>
      <c r="EU81" s="247">
        <v>382.36805811446453</v>
      </c>
      <c r="EV81" s="247">
        <v>381.34717085255318</v>
      </c>
      <c r="EW81" s="247">
        <v>380.32646100582127</v>
      </c>
      <c r="EX81" s="247">
        <v>379.30593619887929</v>
      </c>
      <c r="EY81" s="247">
        <v>378.2856040004479</v>
      </c>
      <c r="EZ81" s="247">
        <v>377.26547194609725</v>
      </c>
      <c r="FA81" s="247">
        <v>376.24554753027741</v>
      </c>
      <c r="FB81" s="247">
        <v>375.22583822002366</v>
      </c>
      <c r="FC81" s="247">
        <v>374.20635143373545</v>
      </c>
      <c r="FD81" s="247">
        <v>373.19066655005048</v>
      </c>
      <c r="FE81" s="247">
        <v>372.17522656996096</v>
      </c>
      <c r="FF81" s="247">
        <v>371.16003338827369</v>
      </c>
      <c r="FG81" s="247">
        <v>370.14508896101881</v>
      </c>
      <c r="FH81" s="247">
        <v>369.13039516189821</v>
      </c>
      <c r="FI81" s="247">
        <v>368.11595393454184</v>
      </c>
      <c r="FJ81" s="247">
        <v>367.10176716003321</v>
      </c>
      <c r="FK81" s="247">
        <v>366.08783675615086</v>
      </c>
      <c r="FL81" s="247">
        <v>365.07416458262043</v>
      </c>
      <c r="FM81" s="247">
        <v>364.06075256012554</v>
      </c>
      <c r="FN81" s="247">
        <v>363.04760254892165</v>
      </c>
      <c r="FO81" s="247">
        <v>362.03471644483136</v>
      </c>
      <c r="FP81" s="247">
        <v>361.02251596404386</v>
      </c>
      <c r="FQ81" s="247">
        <v>360.01057740524396</v>
      </c>
      <c r="FR81" s="247">
        <v>358.99890691683009</v>
      </c>
      <c r="FS81" s="247">
        <v>357.98751065167215</v>
      </c>
      <c r="FT81" s="247">
        <v>356.97639470156594</v>
      </c>
      <c r="FU81" s="247">
        <v>355.96556514614235</v>
      </c>
      <c r="FV81" s="247">
        <v>354.95502801450527</v>
      </c>
      <c r="FW81" s="247">
        <v>353.94478931628475</v>
      </c>
      <c r="FX81" s="247">
        <v>352.93485500619045</v>
      </c>
      <c r="FY81" s="247">
        <v>351.92523103490691</v>
      </c>
      <c r="FZ81" s="247">
        <v>350.91592329572768</v>
      </c>
      <c r="GA81" s="247">
        <v>349.90693768587249</v>
      </c>
      <c r="GB81" s="247">
        <v>348.89871668801419</v>
      </c>
      <c r="GC81" s="247">
        <v>347.8908176680701</v>
      </c>
      <c r="GD81" s="247">
        <v>346.88324466988269</v>
      </c>
      <c r="GE81" s="247">
        <v>345.87600174503211</v>
      </c>
      <c r="GF81" s="247">
        <v>344.86909291277425</v>
      </c>
      <c r="GG81" s="247">
        <v>343.86252215956995</v>
      </c>
      <c r="GH81" s="247">
        <v>342.85629346585017</v>
      </c>
      <c r="GI81" s="247">
        <v>341.85041078849503</v>
      </c>
      <c r="GJ81" s="247">
        <v>340.84487806564664</v>
      </c>
      <c r="GK81" s="247">
        <v>339.83969919508309</v>
      </c>
      <c r="GL81" s="247">
        <v>338.83487810131197</v>
      </c>
      <c r="GM81" s="247">
        <v>337.83041866048387</v>
      </c>
      <c r="GN81" s="247">
        <v>336.83135126935753</v>
      </c>
      <c r="GO81" s="247">
        <v>335.83267946386741</v>
      </c>
      <c r="GP81" s="247">
        <v>334.83440780180553</v>
      </c>
      <c r="GQ81" s="247">
        <v>333.83654081520899</v>
      </c>
      <c r="GR81" s="247">
        <v>332.83908301028964</v>
      </c>
      <c r="GS81" s="247">
        <v>331.84203886688954</v>
      </c>
      <c r="GT81" s="247">
        <v>330.84541285023613</v>
      </c>
      <c r="GU81" s="247">
        <v>329.84920939127448</v>
      </c>
      <c r="GV81" s="247">
        <v>328.85343288459563</v>
      </c>
      <c r="GW81" s="247">
        <v>327.85808773152417</v>
      </c>
      <c r="GX81" s="247">
        <v>326.86317828626693</v>
      </c>
      <c r="GY81" s="247">
        <v>325.86870890928236</v>
      </c>
      <c r="GZ81" s="247">
        <v>324.87517880091963</v>
      </c>
      <c r="HA81" s="247">
        <v>323.88209270394054</v>
      </c>
      <c r="HB81" s="247">
        <v>322.88946011000417</v>
      </c>
      <c r="HC81" s="247">
        <v>321.89729044956891</v>
      </c>
      <c r="HD81" s="247">
        <v>320.90559307513081</v>
      </c>
      <c r="HE81" s="247">
        <v>319.9143773266706</v>
      </c>
      <c r="HF81" s="247">
        <v>318.92365243558288</v>
      </c>
      <c r="HG81" s="247">
        <v>317.93342762096796</v>
      </c>
      <c r="HH81" s="247">
        <v>316.9437120209995</v>
      </c>
      <c r="HI81" s="247">
        <v>315.95451475185797</v>
      </c>
      <c r="HJ81" s="247">
        <v>314.96584484640385</v>
      </c>
      <c r="HK81" s="247">
        <v>313.97771133083683</v>
      </c>
      <c r="HL81" s="247">
        <v>312.99670289827264</v>
      </c>
      <c r="HM81" s="247">
        <v>312.01627339801092</v>
      </c>
      <c r="HN81" s="247">
        <v>311.03641406493517</v>
      </c>
      <c r="HO81" s="247">
        <v>310.05711614718786</v>
      </c>
      <c r="HP81" s="247">
        <v>309.07837101081202</v>
      </c>
      <c r="HQ81" s="247">
        <v>308.10017003563252</v>
      </c>
      <c r="HR81" s="247">
        <v>307.122504687027</v>
      </c>
      <c r="HS81" s="247">
        <v>306.14536645363194</v>
      </c>
      <c r="HT81" s="247">
        <v>305.16874690524912</v>
      </c>
      <c r="HU81" s="247">
        <v>304.19263767731792</v>
      </c>
      <c r="HV81" s="247">
        <v>303.21703044089048</v>
      </c>
      <c r="HW81" s="247">
        <v>302.24191692449432</v>
      </c>
      <c r="HX81" s="247">
        <v>301.26784403230306</v>
      </c>
      <c r="HY81" s="247">
        <v>300.294255006772</v>
      </c>
      <c r="HZ81" s="247">
        <v>299.32115785844979</v>
      </c>
      <c r="IA81" s="247">
        <v>298.34856052075548</v>
      </c>
      <c r="IB81" s="247">
        <v>297.37647090123909</v>
      </c>
      <c r="IC81" s="247">
        <v>296.40489686363492</v>
      </c>
      <c r="ID81" s="247">
        <v>295.43384621335048</v>
      </c>
      <c r="IE81" s="247">
        <v>294.46332672861251</v>
      </c>
      <c r="IF81" s="247">
        <v>293.49334614076469</v>
      </c>
      <c r="IG81" s="247">
        <v>292.52391215256097</v>
      </c>
      <c r="IH81" s="247">
        <v>291.55503239967646</v>
      </c>
      <c r="II81" s="247">
        <v>290.58671451294742</v>
      </c>
      <c r="IJ81" s="247">
        <v>289.61953765051345</v>
      </c>
      <c r="IK81" s="247">
        <v>288.65293034645083</v>
      </c>
      <c r="IL81" s="247">
        <v>287.6869023416441</v>
      </c>
      <c r="IM81" s="247">
        <v>286.72146324644581</v>
      </c>
      <c r="IN81" s="247">
        <v>285.75662278427086</v>
      </c>
      <c r="IO81" s="247">
        <v>284.79239046709802</v>
      </c>
      <c r="IP81" s="247">
        <v>283.82877583078164</v>
      </c>
      <c r="IQ81" s="247">
        <v>282.86578836897735</v>
      </c>
      <c r="IR81" s="247">
        <v>281.90343751310195</v>
      </c>
      <c r="IS81" s="247">
        <v>280.94173265064939</v>
      </c>
      <c r="IT81" s="247">
        <v>279.98068318965954</v>
      </c>
      <c r="IU81" s="247">
        <v>279.02029841391209</v>
      </c>
      <c r="IV81" s="247">
        <v>278.06972958313446</v>
      </c>
      <c r="IW81" s="247">
        <v>277.11987661447955</v>
      </c>
      <c r="IX81" s="247">
        <v>276.17072681071261</v>
      </c>
      <c r="IY81" s="247">
        <v>275.22226764003835</v>
      </c>
      <c r="IZ81" s="247">
        <v>274.27448657059972</v>
      </c>
      <c r="JA81" s="247">
        <v>273.32737115063424</v>
      </c>
      <c r="JB81" s="247">
        <v>272.3809090896176</v>
      </c>
      <c r="JC81" s="247">
        <v>271.43508810392257</v>
      </c>
      <c r="JD81" s="247">
        <v>270.48989598169942</v>
      </c>
      <c r="JE81" s="247">
        <v>269.54532060192776</v>
      </c>
      <c r="JF81" s="247">
        <v>268.60134992154934</v>
      </c>
      <c r="JG81" s="247">
        <v>267.6579719047358</v>
      </c>
      <c r="JH81" s="247">
        <v>266.71580932264402</v>
      </c>
      <c r="JI81" s="247">
        <v>265.77422449491399</v>
      </c>
      <c r="JJ81" s="247">
        <v>264.83322390614541</v>
      </c>
      <c r="JK81" s="247">
        <v>263.8928138463188</v>
      </c>
      <c r="JL81" s="247">
        <v>262.95300073982145</v>
      </c>
      <c r="JM81" s="247">
        <v>262.01379081475494</v>
      </c>
      <c r="JN81" s="247">
        <v>261.07519042494368</v>
      </c>
      <c r="JO81" s="247">
        <v>260.13720581848702</v>
      </c>
      <c r="JP81" s="247">
        <v>259.19984327933651</v>
      </c>
      <c r="JQ81" s="247">
        <v>258.26310898527578</v>
      </c>
      <c r="JR81" s="247">
        <v>257.32700915429359</v>
      </c>
      <c r="JS81" s="247">
        <v>256.39154997451453</v>
      </c>
      <c r="JT81" s="247">
        <v>255.44754815925106</v>
      </c>
      <c r="JU81" s="247">
        <v>254.50411951474319</v>
      </c>
      <c r="JV81" s="247">
        <v>253.56125599082031</v>
      </c>
      <c r="JW81" s="247">
        <v>252.61894978535642</v>
      </c>
      <c r="JX81" s="247">
        <v>251.67719299363932</v>
      </c>
      <c r="JY81" s="247">
        <v>250.73597781408947</v>
      </c>
      <c r="JZ81" s="247">
        <v>249.79529647910795</v>
      </c>
      <c r="KA81" s="247">
        <v>248.85514126462974</v>
      </c>
      <c r="KB81" s="247">
        <v>247.91550454303822</v>
      </c>
      <c r="KC81" s="247">
        <v>246.97637866034663</v>
      </c>
      <c r="KD81" s="247">
        <v>246.03775599570039</v>
      </c>
      <c r="KE81" s="247">
        <v>245.09962904046083</v>
      </c>
      <c r="KF81" s="247">
        <v>244.16264384804029</v>
      </c>
      <c r="KG81" s="247">
        <v>243.22616402639824</v>
      </c>
      <c r="KH81" s="247">
        <v>242.29021635042304</v>
      </c>
      <c r="KI81" s="247">
        <v>241.35482730690643</v>
      </c>
      <c r="KJ81" s="247">
        <v>240.420023435248</v>
      </c>
      <c r="KK81" s="247">
        <v>239.48583097931018</v>
      </c>
      <c r="KL81" s="247">
        <v>238.55227615744488</v>
      </c>
      <c r="KM81" s="247">
        <v>237.61938510106521</v>
      </c>
      <c r="KN81" s="247">
        <v>236.68718376859442</v>
      </c>
      <c r="KO81" s="247">
        <v>235.75569809191148</v>
      </c>
      <c r="KP81" s="247">
        <v>234.82495382992531</v>
      </c>
      <c r="KQ81" s="247">
        <v>233.89497664357376</v>
      </c>
      <c r="KR81" s="247">
        <v>232.95629005265414</v>
      </c>
      <c r="KS81" s="247">
        <v>232.01829721545769</v>
      </c>
      <c r="KT81" s="247">
        <v>231.08097764042662</v>
      </c>
      <c r="KU81" s="247">
        <v>230.14431088467333</v>
      </c>
      <c r="KV81" s="247">
        <v>229.20827656233615</v>
      </c>
      <c r="KW81" s="247">
        <v>228.27285451208832</v>
      </c>
      <c r="KX81" s="247">
        <v>227.33802456678751</v>
      </c>
      <c r="KY81" s="247">
        <v>226.40376668138305</v>
      </c>
      <c r="KZ81" s="247">
        <v>225.47006091607614</v>
      </c>
      <c r="LA81" s="247">
        <v>224.53688751231351</v>
      </c>
      <c r="LB81" s="247">
        <v>223.60422670787275</v>
      </c>
      <c r="LC81" s="247">
        <v>222.67205886600343</v>
      </c>
      <c r="LD81" s="247">
        <v>221.74102718494299</v>
      </c>
      <c r="LE81" s="247">
        <v>220.81047023334099</v>
      </c>
      <c r="LF81" s="247">
        <v>219.88039916938112</v>
      </c>
      <c r="LG81" s="247">
        <v>218.95082511045237</v>
      </c>
      <c r="LH81" s="247">
        <v>218.02175913773928</v>
      </c>
      <c r="LI81" s="247">
        <v>217.0932122304848</v>
      </c>
      <c r="LJ81" s="247">
        <v>216.16519543278565</v>
      </c>
      <c r="LK81" s="247">
        <v>215.23771963881782</v>
      </c>
      <c r="LL81" s="247">
        <v>214.3107957953091</v>
      </c>
      <c r="LM81" s="247">
        <v>213.38443469643499</v>
      </c>
      <c r="LN81" s="247">
        <v>212.45864724203901</v>
      </c>
      <c r="LO81" s="247">
        <v>211.53344422876054</v>
      </c>
      <c r="LP81" s="247">
        <v>210.6095173776441</v>
      </c>
      <c r="LQ81" s="247">
        <v>209.68617912481196</v>
      </c>
      <c r="LR81" s="247">
        <v>208.7634326671562</v>
      </c>
      <c r="LS81" s="247">
        <v>207.84128128103484</v>
      </c>
      <c r="LT81" s="247">
        <v>206.91972821933118</v>
      </c>
      <c r="LU81" s="247">
        <v>205.99877664846346</v>
      </c>
      <c r="LV81" s="247">
        <v>205.07842986266522</v>
      </c>
      <c r="LW81" s="247">
        <v>204.15869107725618</v>
      </c>
      <c r="LX81" s="247">
        <v>203.23956351806714</v>
      </c>
      <c r="LY81" s="247">
        <v>202.3210504345173</v>
      </c>
      <c r="LZ81" s="247">
        <v>201.40315503460013</v>
      </c>
      <c r="MA81" s="247">
        <v>200.48588064889367</v>
      </c>
      <c r="MB81" s="247">
        <v>199.56993842242204</v>
      </c>
      <c r="MC81" s="247">
        <v>198.6546139599657</v>
      </c>
      <c r="MD81" s="247">
        <v>197.73991069632734</v>
      </c>
      <c r="ME81" s="247">
        <v>196.82583196072943</v>
      </c>
      <c r="MF81" s="247">
        <v>195.91238113287957</v>
      </c>
      <c r="MG81" s="247">
        <v>194.99956163035165</v>
      </c>
      <c r="MH81" s="247">
        <v>194.08737686225339</v>
      </c>
      <c r="MI81" s="247">
        <v>193.17583018178246</v>
      </c>
      <c r="MJ81" s="247">
        <v>192.26492506951308</v>
      </c>
      <c r="MK81" s="247">
        <v>191.3546648976307</v>
      </c>
      <c r="ML81" s="247">
        <v>190.44505311384486</v>
      </c>
      <c r="MM81" s="247">
        <v>189.53609315277035</v>
      </c>
      <c r="MN81" s="247">
        <v>188.62852301752307</v>
      </c>
      <c r="MO81" s="247">
        <v>187.72160027192427</v>
      </c>
      <c r="MP81" s="247">
        <v>186.81532673193914</v>
      </c>
      <c r="MQ81" s="247">
        <v>185.90970424578464</v>
      </c>
      <c r="MR81" s="247">
        <v>185.00473474593807</v>
      </c>
      <c r="MS81" s="247">
        <v>184.1004200933144</v>
      </c>
      <c r="MT81" s="247">
        <v>183.19676227062095</v>
      </c>
      <c r="MU81" s="247">
        <v>182.29376314657856</v>
      </c>
      <c r="MV81" s="247">
        <v>181.39142469845748</v>
      </c>
      <c r="MW81" s="247">
        <v>180.4897489260585</v>
      </c>
      <c r="MX81" s="247">
        <v>179.58873783965751</v>
      </c>
      <c r="MY81" s="247">
        <v>178.68839342249606</v>
      </c>
    </row>
    <row r="82" spans="1:363" ht="15.6" x14ac:dyDescent="0.3">
      <c r="A82" s="67" t="s">
        <v>6</v>
      </c>
      <c r="B82" s="72">
        <v>2092</v>
      </c>
      <c r="C82" s="247">
        <v>535.88811596959329</v>
      </c>
      <c r="D82" s="247">
        <v>534.85656812687944</v>
      </c>
      <c r="E82" s="247">
        <v>533.82508294574791</v>
      </c>
      <c r="F82" s="247">
        <v>532.79365945802681</v>
      </c>
      <c r="G82" s="247">
        <v>531.76229669881593</v>
      </c>
      <c r="H82" s="247">
        <v>530.73099372278023</v>
      </c>
      <c r="I82" s="247">
        <v>529.69974958627574</v>
      </c>
      <c r="J82" s="247">
        <v>528.66856341008065</v>
      </c>
      <c r="K82" s="247">
        <v>527.63743429293334</v>
      </c>
      <c r="L82" s="247">
        <v>526.60636136116273</v>
      </c>
      <c r="M82" s="247">
        <v>525.57534375196201</v>
      </c>
      <c r="N82" s="247">
        <v>524.54438068171669</v>
      </c>
      <c r="O82" s="247">
        <v>523.51347130025181</v>
      </c>
      <c r="P82" s="247">
        <v>522.4809698423586</v>
      </c>
      <c r="Q82" s="247">
        <v>521.44850653485923</v>
      </c>
      <c r="R82" s="247">
        <v>520.41608327105882</v>
      </c>
      <c r="S82" s="247">
        <v>519.38370199018902</v>
      </c>
      <c r="T82" s="247">
        <v>518.35136460530987</v>
      </c>
      <c r="U82" s="247">
        <v>517.31907301599585</v>
      </c>
      <c r="V82" s="247">
        <v>516.28682913610521</v>
      </c>
      <c r="W82" s="247">
        <v>515.25463487418563</v>
      </c>
      <c r="X82" s="247">
        <v>514.22249217655235</v>
      </c>
      <c r="Y82" s="247">
        <v>513.19040295652462</v>
      </c>
      <c r="Z82" s="247">
        <v>512.15836916942783</v>
      </c>
      <c r="AA82" s="247">
        <v>511.12639272501985</v>
      </c>
      <c r="AB82" s="247">
        <v>510.09292128822648</v>
      </c>
      <c r="AC82" s="247">
        <v>509.05949213188836</v>
      </c>
      <c r="AD82" s="247">
        <v>508.02610555810298</v>
      </c>
      <c r="AE82" s="247">
        <v>506.99276184316051</v>
      </c>
      <c r="AF82" s="247">
        <v>505.95946126249567</v>
      </c>
      <c r="AG82" s="247">
        <v>504.92620415307675</v>
      </c>
      <c r="AH82" s="247">
        <v>503.89299082303899</v>
      </c>
      <c r="AI82" s="247">
        <v>502.8598215989868</v>
      </c>
      <c r="AJ82" s="247">
        <v>501.82669679990005</v>
      </c>
      <c r="AK82" s="247">
        <v>500.79361682710703</v>
      </c>
      <c r="AL82" s="247">
        <v>499.76058202788687</v>
      </c>
      <c r="AM82" s="247">
        <v>498.72759280761989</v>
      </c>
      <c r="AN82" s="247">
        <v>497.69318386411737</v>
      </c>
      <c r="AO82" s="247">
        <v>496.65880738154647</v>
      </c>
      <c r="AP82" s="247">
        <v>495.62446599171631</v>
      </c>
      <c r="AQ82" s="247">
        <v>494.59016230113059</v>
      </c>
      <c r="AR82" s="247">
        <v>493.55589895882895</v>
      </c>
      <c r="AS82" s="247">
        <v>492.52167857593827</v>
      </c>
      <c r="AT82" s="247">
        <v>491.48750375781134</v>
      </c>
      <c r="AU82" s="247">
        <v>490.45337713618056</v>
      </c>
      <c r="AV82" s="247">
        <v>489.41930132139379</v>
      </c>
      <c r="AW82" s="247">
        <v>488.38527894009911</v>
      </c>
      <c r="AX82" s="247">
        <v>487.3513125900364</v>
      </c>
      <c r="AY82" s="247">
        <v>486.31740493101586</v>
      </c>
      <c r="AZ82" s="247">
        <v>485.28216820207297</v>
      </c>
      <c r="BA82" s="247">
        <v>484.24697084369359</v>
      </c>
      <c r="BB82" s="247">
        <v>483.21180853194795</v>
      </c>
      <c r="BC82" s="247">
        <v>482.17667694396488</v>
      </c>
      <c r="BD82" s="247">
        <v>481.14157183955467</v>
      </c>
      <c r="BE82" s="247">
        <v>480.10648897838536</v>
      </c>
      <c r="BF82" s="247">
        <v>479.07142416895215</v>
      </c>
      <c r="BG82" s="247">
        <v>478.03637328856416</v>
      </c>
      <c r="BH82" s="247">
        <v>477.00133219858151</v>
      </c>
      <c r="BI82" s="247">
        <v>475.96629686043775</v>
      </c>
      <c r="BJ82" s="247">
        <v>474.9312632333021</v>
      </c>
      <c r="BK82" s="247">
        <v>473.89622732789832</v>
      </c>
      <c r="BL82" s="247">
        <v>472.85990213247487</v>
      </c>
      <c r="BM82" s="247">
        <v>471.82357711216071</v>
      </c>
      <c r="BN82" s="247">
        <v>470.78727021743498</v>
      </c>
      <c r="BO82" s="247">
        <v>469.75099924789521</v>
      </c>
      <c r="BP82" s="247">
        <v>468.71478195317684</v>
      </c>
      <c r="BQ82" s="247">
        <v>467.67863596670782</v>
      </c>
      <c r="BR82" s="247">
        <v>466.64257882271784</v>
      </c>
      <c r="BS82" s="247">
        <v>465.60662799330663</v>
      </c>
      <c r="BT82" s="247">
        <v>464.57080083682632</v>
      </c>
      <c r="BU82" s="247">
        <v>463.53511461522874</v>
      </c>
      <c r="BV82" s="247">
        <v>462.49958652482064</v>
      </c>
      <c r="BW82" s="247">
        <v>461.46423366605762</v>
      </c>
      <c r="BX82" s="247">
        <v>460.42778856968852</v>
      </c>
      <c r="BY82" s="247">
        <v>459.39149474672638</v>
      </c>
      <c r="BZ82" s="247">
        <v>458.35534058633635</v>
      </c>
      <c r="CA82" s="247">
        <v>457.31931455772059</v>
      </c>
      <c r="CB82" s="247">
        <v>456.2834052056092</v>
      </c>
      <c r="CC82" s="247">
        <v>455.24760117808114</v>
      </c>
      <c r="CD82" s="247">
        <v>454.21189117800049</v>
      </c>
      <c r="CE82" s="247">
        <v>453.17626399800469</v>
      </c>
      <c r="CF82" s="247">
        <v>452.14070851986503</v>
      </c>
      <c r="CG82" s="247">
        <v>451.10521370024054</v>
      </c>
      <c r="CH82" s="247">
        <v>450.0697685815677</v>
      </c>
      <c r="CI82" s="247">
        <v>449.0343622900121</v>
      </c>
      <c r="CJ82" s="247">
        <v>447.9977224502473</v>
      </c>
      <c r="CK82" s="247">
        <v>446.96110118487894</v>
      </c>
      <c r="CL82" s="247">
        <v>445.92450368890911</v>
      </c>
      <c r="CM82" s="247">
        <v>444.88793510462307</v>
      </c>
      <c r="CN82" s="247">
        <v>443.85140057457096</v>
      </c>
      <c r="CO82" s="247">
        <v>442.81490521677102</v>
      </c>
      <c r="CP82" s="247">
        <v>441.77845414402782</v>
      </c>
      <c r="CQ82" s="247">
        <v>440.74205242618217</v>
      </c>
      <c r="CR82" s="247">
        <v>439.70570513706269</v>
      </c>
      <c r="CS82" s="247">
        <v>438.66941732212985</v>
      </c>
      <c r="CT82" s="247">
        <v>437.63319402093316</v>
      </c>
      <c r="CU82" s="247">
        <v>436.59704024558505</v>
      </c>
      <c r="CV82" s="247">
        <v>435.56119045857048</v>
      </c>
      <c r="CW82" s="247">
        <v>434.52540381036204</v>
      </c>
      <c r="CX82" s="247">
        <v>433.48967958335362</v>
      </c>
      <c r="CY82" s="247">
        <v>432.45401706129394</v>
      </c>
      <c r="CZ82" s="247">
        <v>431.41841556109517</v>
      </c>
      <c r="DA82" s="247">
        <v>430.38287442204614</v>
      </c>
      <c r="DB82" s="247">
        <v>429.34739297005967</v>
      </c>
      <c r="DC82" s="247">
        <v>428.31197058324597</v>
      </c>
      <c r="DD82" s="247">
        <v>427.27660662881397</v>
      </c>
      <c r="DE82" s="247">
        <v>426.24130049958211</v>
      </c>
      <c r="DF82" s="247">
        <v>425.20605162241145</v>
      </c>
      <c r="DG82" s="247">
        <v>424.17085943702415</v>
      </c>
      <c r="DH82" s="247">
        <v>423.13597178303047</v>
      </c>
      <c r="DI82" s="247">
        <v>422.10113647634495</v>
      </c>
      <c r="DJ82" s="247">
        <v>421.06636035475987</v>
      </c>
      <c r="DK82" s="247">
        <v>420.03165020149049</v>
      </c>
      <c r="DL82" s="247">
        <v>418.9970127967664</v>
      </c>
      <c r="DM82" s="247">
        <v>417.9624548670231</v>
      </c>
      <c r="DN82" s="247">
        <v>416.92798310931198</v>
      </c>
      <c r="DO82" s="247">
        <v>415.89360420979483</v>
      </c>
      <c r="DP82" s="247">
        <v>414.85932480744356</v>
      </c>
      <c r="DQ82" s="247">
        <v>413.82515151049637</v>
      </c>
      <c r="DR82" s="247">
        <v>412.79109090466551</v>
      </c>
      <c r="DS82" s="247">
        <v>411.75714954545305</v>
      </c>
      <c r="DT82" s="247">
        <v>410.72540058297949</v>
      </c>
      <c r="DU82" s="247">
        <v>409.69379026609289</v>
      </c>
      <c r="DV82" s="247">
        <v>408.66232819321982</v>
      </c>
      <c r="DW82" s="247">
        <v>407.63102391651688</v>
      </c>
      <c r="DX82" s="247">
        <v>406.59988693316586</v>
      </c>
      <c r="DY82" s="247">
        <v>405.56892668765408</v>
      </c>
      <c r="DZ82" s="247">
        <v>404.53815255562375</v>
      </c>
      <c r="EA82" s="247">
        <v>403.50757389854323</v>
      </c>
      <c r="EB82" s="247">
        <v>402.47719999722347</v>
      </c>
      <c r="EC82" s="247">
        <v>401.44704008951078</v>
      </c>
      <c r="ED82" s="247">
        <v>400.41710337300628</v>
      </c>
      <c r="EE82" s="247">
        <v>399.38739900967056</v>
      </c>
      <c r="EF82" s="247">
        <v>398.36045353942484</v>
      </c>
      <c r="EG82" s="247">
        <v>397.33375335161259</v>
      </c>
      <c r="EH82" s="247">
        <v>396.30728789769779</v>
      </c>
      <c r="EI82" s="247">
        <v>395.28104672036915</v>
      </c>
      <c r="EJ82" s="247">
        <v>394.25501942858824</v>
      </c>
      <c r="EK82" s="247">
        <v>393.22919570070366</v>
      </c>
      <c r="EL82" s="247">
        <v>392.20356529730054</v>
      </c>
      <c r="EM82" s="247">
        <v>391.17811805194947</v>
      </c>
      <c r="EN82" s="247">
        <v>390.1528438833422</v>
      </c>
      <c r="EO82" s="247">
        <v>389.12773277488083</v>
      </c>
      <c r="EP82" s="247">
        <v>388.10277480119692</v>
      </c>
      <c r="EQ82" s="247">
        <v>387.07796010264354</v>
      </c>
      <c r="ER82" s="247">
        <v>386.05629405118623</v>
      </c>
      <c r="ES82" s="247">
        <v>385.03477305254728</v>
      </c>
      <c r="ET82" s="247">
        <v>384.01340478436805</v>
      </c>
      <c r="EU82" s="247">
        <v>382.99219689082321</v>
      </c>
      <c r="EV82" s="247">
        <v>381.97115696316865</v>
      </c>
      <c r="EW82" s="247">
        <v>380.95029255939562</v>
      </c>
      <c r="EX82" s="247">
        <v>379.92961120185828</v>
      </c>
      <c r="EY82" s="247">
        <v>378.90912035825664</v>
      </c>
      <c r="EZ82" s="247">
        <v>377.88882746390686</v>
      </c>
      <c r="FA82" s="247">
        <v>376.86873991408686</v>
      </c>
      <c r="FB82" s="247">
        <v>375.84886507738588</v>
      </c>
      <c r="FC82" s="247">
        <v>374.82921027496411</v>
      </c>
      <c r="FD82" s="247">
        <v>373.81332517379997</v>
      </c>
      <c r="FE82" s="247">
        <v>372.79768229101217</v>
      </c>
      <c r="FF82" s="247">
        <v>371.78228350798923</v>
      </c>
      <c r="FG82" s="247">
        <v>370.76713076669307</v>
      </c>
      <c r="FH82" s="247">
        <v>369.75222592822888</v>
      </c>
      <c r="FI82" s="247">
        <v>368.73757092282455</v>
      </c>
      <c r="FJ82" s="247">
        <v>367.72316761933604</v>
      </c>
      <c r="FK82" s="247">
        <v>366.70901792308069</v>
      </c>
      <c r="FL82" s="247">
        <v>365.69512368235371</v>
      </c>
      <c r="FM82" s="247">
        <v>364.68148680590036</v>
      </c>
      <c r="FN82" s="247">
        <v>363.66810914314703</v>
      </c>
      <c r="FO82" s="247">
        <v>362.65499257894896</v>
      </c>
      <c r="FP82" s="247">
        <v>361.64254176539919</v>
      </c>
      <c r="FQ82" s="247">
        <v>360.63034997618956</v>
      </c>
      <c r="FR82" s="247">
        <v>359.61842328584657</v>
      </c>
      <c r="FS82" s="247">
        <v>358.60676777357639</v>
      </c>
      <c r="FT82" s="247">
        <v>357.59538945873646</v>
      </c>
      <c r="FU82" s="247">
        <v>356.58429434892605</v>
      </c>
      <c r="FV82" s="247">
        <v>355.5734884022732</v>
      </c>
      <c r="FW82" s="247">
        <v>354.56297755805264</v>
      </c>
      <c r="FX82" s="247">
        <v>353.55276770164721</v>
      </c>
      <c r="FY82" s="247">
        <v>352.54286471488626</v>
      </c>
      <c r="FZ82" s="247">
        <v>351.53327442331408</v>
      </c>
      <c r="GA82" s="247">
        <v>350.52400265677494</v>
      </c>
      <c r="GB82" s="247">
        <v>349.51547459456822</v>
      </c>
      <c r="GC82" s="247">
        <v>348.50726479181071</v>
      </c>
      <c r="GD82" s="247">
        <v>347.49937724942032</v>
      </c>
      <c r="GE82" s="247">
        <v>346.49181597618878</v>
      </c>
      <c r="GF82" s="247">
        <v>345.48458494936926</v>
      </c>
      <c r="GG82" s="247">
        <v>344.47768811410242</v>
      </c>
      <c r="GH82" s="247">
        <v>343.47112940989018</v>
      </c>
      <c r="GI82" s="247">
        <v>342.46491275333904</v>
      </c>
      <c r="GJ82" s="247">
        <v>341.45904204280276</v>
      </c>
      <c r="GK82" s="247">
        <v>340.4535211372401</v>
      </c>
      <c r="GL82" s="247">
        <v>339.44835392222109</v>
      </c>
      <c r="GM82" s="247">
        <v>338.44354423604381</v>
      </c>
      <c r="GN82" s="247">
        <v>337.44409243043953</v>
      </c>
      <c r="GO82" s="247">
        <v>336.4450319141863</v>
      </c>
      <c r="GP82" s="247">
        <v>335.44636719919879</v>
      </c>
      <c r="GQ82" s="247">
        <v>334.44810277222012</v>
      </c>
      <c r="GR82" s="247">
        <v>333.45024309483483</v>
      </c>
      <c r="GS82" s="247">
        <v>332.45279260282024</v>
      </c>
      <c r="GT82" s="247">
        <v>331.45575571783843</v>
      </c>
      <c r="GU82" s="247">
        <v>330.45913682803331</v>
      </c>
      <c r="GV82" s="247">
        <v>329.46294028589944</v>
      </c>
      <c r="GW82" s="247">
        <v>328.46717045095852</v>
      </c>
      <c r="GX82" s="247">
        <v>327.47183163650072</v>
      </c>
      <c r="GY82" s="247">
        <v>326.47692816237588</v>
      </c>
      <c r="GZ82" s="247">
        <v>325.48294202281477</v>
      </c>
      <c r="HA82" s="247">
        <v>324.48939501389748</v>
      </c>
      <c r="HB82" s="247">
        <v>323.49629651726832</v>
      </c>
      <c r="HC82" s="247">
        <v>322.50365585447224</v>
      </c>
      <c r="HD82" s="247">
        <v>321.51148227049669</v>
      </c>
      <c r="HE82" s="247">
        <v>320.51978499824071</v>
      </c>
      <c r="HF82" s="247">
        <v>319.52857316380727</v>
      </c>
      <c r="HG82" s="247">
        <v>318.53785588152567</v>
      </c>
      <c r="HH82" s="247">
        <v>317.54764218613758</v>
      </c>
      <c r="HI82" s="247">
        <v>316.55794109110957</v>
      </c>
      <c r="HJ82" s="247">
        <v>315.56876152799748</v>
      </c>
      <c r="HK82" s="247">
        <v>314.58011242221863</v>
      </c>
      <c r="HL82" s="247">
        <v>313.59855513282514</v>
      </c>
      <c r="HM82" s="247">
        <v>312.61757079109009</v>
      </c>
      <c r="HN82" s="247">
        <v>311.63715075253009</v>
      </c>
      <c r="HO82" s="247">
        <v>310.65728638585392</v>
      </c>
      <c r="HP82" s="247">
        <v>309.67796917641289</v>
      </c>
      <c r="HQ82" s="247">
        <v>308.69919062323652</v>
      </c>
      <c r="HR82" s="247">
        <v>307.72094231003894</v>
      </c>
      <c r="HS82" s="247">
        <v>306.74321584366533</v>
      </c>
      <c r="HT82" s="247">
        <v>305.76600291123555</v>
      </c>
      <c r="HU82" s="247">
        <v>304.78929526494591</v>
      </c>
      <c r="HV82" s="247">
        <v>303.81308469229435</v>
      </c>
      <c r="HW82" s="247">
        <v>302.83736303780387</v>
      </c>
      <c r="HX82" s="247">
        <v>301.86266041709706</v>
      </c>
      <c r="HY82" s="247">
        <v>300.88843689452426</v>
      </c>
      <c r="HZ82" s="247">
        <v>299.91470039821706</v>
      </c>
      <c r="IA82" s="247">
        <v>298.94145878037892</v>
      </c>
      <c r="IB82" s="247">
        <v>297.96871986801472</v>
      </c>
      <c r="IC82" s="247">
        <v>296.99649144507168</v>
      </c>
      <c r="ID82" s="247">
        <v>296.02478123821913</v>
      </c>
      <c r="IE82" s="247">
        <v>295.05359694759431</v>
      </c>
      <c r="IF82" s="247">
        <v>294.08294622728192</v>
      </c>
      <c r="IG82" s="247">
        <v>293.11283670351196</v>
      </c>
      <c r="IH82" s="247">
        <v>292.14327593653616</v>
      </c>
      <c r="II82" s="247">
        <v>291.17427148222708</v>
      </c>
      <c r="IJ82" s="247">
        <v>290.20638533600066</v>
      </c>
      <c r="IK82" s="247">
        <v>289.23906301750162</v>
      </c>
      <c r="IL82" s="247">
        <v>288.27231416550836</v>
      </c>
      <c r="IM82" s="247">
        <v>287.30614829012177</v>
      </c>
      <c r="IN82" s="247">
        <v>286.34057501350276</v>
      </c>
      <c r="IO82" s="247">
        <v>285.3756037491583</v>
      </c>
      <c r="IP82" s="247">
        <v>284.41124393453225</v>
      </c>
      <c r="IQ82" s="247">
        <v>283.44750496571254</v>
      </c>
      <c r="IR82" s="247">
        <v>282.48439617755059</v>
      </c>
      <c r="IS82" s="247">
        <v>281.52192686190864</v>
      </c>
      <c r="IT82" s="247">
        <v>280.56010633124038</v>
      </c>
      <c r="IU82" s="247">
        <v>279.59894377563251</v>
      </c>
      <c r="IV82" s="247">
        <v>278.6475690990838</v>
      </c>
      <c r="IW82" s="247">
        <v>277.69690361150145</v>
      </c>
      <c r="IX82" s="247">
        <v>276.74693476890002</v>
      </c>
      <c r="IY82" s="247">
        <v>275.79765019099261</v>
      </c>
      <c r="IZ82" s="247">
        <v>274.84903749756222</v>
      </c>
      <c r="JA82" s="247">
        <v>273.90108438764321</v>
      </c>
      <c r="JB82" s="247">
        <v>272.95377871989541</v>
      </c>
      <c r="JC82" s="247">
        <v>272.00710835990935</v>
      </c>
      <c r="JD82" s="247">
        <v>271.06106124434592</v>
      </c>
      <c r="JE82" s="247">
        <v>270.11562539989308</v>
      </c>
      <c r="JF82" s="247">
        <v>269.17078893045993</v>
      </c>
      <c r="JG82" s="247">
        <v>268.22653994730945</v>
      </c>
      <c r="JH82" s="247">
        <v>267.28348481776345</v>
      </c>
      <c r="JI82" s="247">
        <v>266.34100235769967</v>
      </c>
      <c r="JJ82" s="247">
        <v>265.39909899469211</v>
      </c>
      <c r="JK82" s="247">
        <v>264.45778096406315</v>
      </c>
      <c r="JL82" s="247">
        <v>263.51705463439549</v>
      </c>
      <c r="JM82" s="247">
        <v>262.57692618032451</v>
      </c>
      <c r="JN82" s="247">
        <v>261.63740190116476</v>
      </c>
      <c r="JO82" s="247">
        <v>260.69848799192835</v>
      </c>
      <c r="JP82" s="247">
        <v>259.76019068333267</v>
      </c>
      <c r="JQ82" s="247">
        <v>258.82251610143737</v>
      </c>
      <c r="JR82" s="247">
        <v>257.88547041232903</v>
      </c>
      <c r="JS82" s="247">
        <v>256.94905975291601</v>
      </c>
      <c r="JT82" s="247">
        <v>256.00408768026921</v>
      </c>
      <c r="JU82" s="247">
        <v>255.05968323957484</v>
      </c>
      <c r="JV82" s="247">
        <v>254.11583849108447</v>
      </c>
      <c r="JW82" s="247">
        <v>253.17254574027746</v>
      </c>
      <c r="JX82" s="247">
        <v>252.22979719147031</v>
      </c>
      <c r="JY82" s="247">
        <v>251.28758515098357</v>
      </c>
      <c r="JZ82" s="247">
        <v>250.34590195892451</v>
      </c>
      <c r="KA82" s="247">
        <v>249.40473999859904</v>
      </c>
      <c r="KB82" s="247">
        <v>248.46409174875339</v>
      </c>
      <c r="KC82" s="247">
        <v>247.52394966233649</v>
      </c>
      <c r="KD82" s="247">
        <v>246.58430622520109</v>
      </c>
      <c r="KE82" s="247">
        <v>245.64515403436303</v>
      </c>
      <c r="KF82" s="247">
        <v>244.70712096918376</v>
      </c>
      <c r="KG82" s="247">
        <v>243.7695886106838</v>
      </c>
      <c r="KH82" s="247">
        <v>242.83258343266473</v>
      </c>
      <c r="KI82" s="247">
        <v>241.89613162463058</v>
      </c>
      <c r="KJ82" s="247">
        <v>240.96025942854777</v>
      </c>
      <c r="KK82" s="247">
        <v>240.02499279468304</v>
      </c>
      <c r="KL82" s="247">
        <v>239.09035764855574</v>
      </c>
      <c r="KM82" s="247">
        <v>238.15637983019417</v>
      </c>
      <c r="KN82" s="247">
        <v>237.22308500904475</v>
      </c>
      <c r="KO82" s="247">
        <v>236.29049882881148</v>
      </c>
      <c r="KP82" s="247">
        <v>235.35864676264754</v>
      </c>
      <c r="KQ82" s="247">
        <v>234.42755418737008</v>
      </c>
      <c r="KR82" s="247">
        <v>233.48773893514982</v>
      </c>
      <c r="KS82" s="247">
        <v>232.54860994405536</v>
      </c>
      <c r="KT82" s="247">
        <v>231.61014700102379</v>
      </c>
      <c r="KU82" s="247">
        <v>230.67232994106396</v>
      </c>
      <c r="KV82" s="247">
        <v>229.73513865559923</v>
      </c>
      <c r="KW82" s="247">
        <v>228.79855325772263</v>
      </c>
      <c r="KX82" s="247">
        <v>227.86255385490446</v>
      </c>
      <c r="KY82" s="247">
        <v>226.92712067525665</v>
      </c>
      <c r="KZ82" s="247">
        <v>225.99223405084589</v>
      </c>
      <c r="LA82" s="247">
        <v>225.05787449286984</v>
      </c>
      <c r="LB82" s="247">
        <v>224.12402250898819</v>
      </c>
      <c r="LC82" s="247">
        <v>223.19065873095164</v>
      </c>
      <c r="LD82" s="247">
        <v>222.25840650436385</v>
      </c>
      <c r="LE82" s="247">
        <v>221.32662437584548</v>
      </c>
      <c r="LF82" s="247">
        <v>220.39532337841965</v>
      </c>
      <c r="LG82" s="247">
        <v>219.46451450510736</v>
      </c>
      <c r="LH82" s="247">
        <v>218.53420871354203</v>
      </c>
      <c r="LI82" s="247">
        <v>217.60441686093964</v>
      </c>
      <c r="LJ82" s="247">
        <v>216.67514986889489</v>
      </c>
      <c r="LK82" s="247">
        <v>215.74641851130551</v>
      </c>
      <c r="LL82" s="247">
        <v>214.81823361421149</v>
      </c>
      <c r="LM82" s="247">
        <v>213.89060585343137</v>
      </c>
      <c r="LN82" s="247">
        <v>212.9635460093954</v>
      </c>
      <c r="LO82" s="247">
        <v>212.03706476104159</v>
      </c>
      <c r="LP82" s="247">
        <v>211.11183328203234</v>
      </c>
      <c r="LQ82" s="247">
        <v>210.18718439528101</v>
      </c>
      <c r="LR82" s="247">
        <v>209.26312127414846</v>
      </c>
      <c r="LS82" s="247">
        <v>208.3396471706595</v>
      </c>
      <c r="LT82" s="247">
        <v>207.41676531394916</v>
      </c>
      <c r="LU82" s="247">
        <v>206.49447884794549</v>
      </c>
      <c r="LV82" s="247">
        <v>205.57279104305718</v>
      </c>
      <c r="LW82" s="247">
        <v>204.65170509203199</v>
      </c>
      <c r="LX82" s="247">
        <v>203.73122419819194</v>
      </c>
      <c r="LY82" s="247">
        <v>202.81135158848167</v>
      </c>
      <c r="LZ82" s="247">
        <v>201.8920904491701</v>
      </c>
      <c r="MA82" s="247">
        <v>200.97344408790522</v>
      </c>
      <c r="MB82" s="247">
        <v>200.0561027556187</v>
      </c>
      <c r="MC82" s="247">
        <v>199.13937288140053</v>
      </c>
      <c r="MD82" s="247">
        <v>198.22325787359227</v>
      </c>
      <c r="ME82" s="247">
        <v>197.30776103647858</v>
      </c>
      <c r="MF82" s="247">
        <v>196.39288572446756</v>
      </c>
      <c r="MG82" s="247">
        <v>195.47863532950677</v>
      </c>
      <c r="MH82" s="247">
        <v>194.56501323545587</v>
      </c>
      <c r="MI82" s="247">
        <v>193.65202277120835</v>
      </c>
      <c r="MJ82" s="247">
        <v>192.73966739161216</v>
      </c>
      <c r="MK82" s="247">
        <v>191.82795044481222</v>
      </c>
      <c r="ML82" s="247">
        <v>190.91687535373569</v>
      </c>
      <c r="MM82" s="247">
        <v>190.00644552870895</v>
      </c>
      <c r="MN82" s="247">
        <v>189.09737761272171</v>
      </c>
      <c r="MO82" s="247">
        <v>188.18895047075057</v>
      </c>
      <c r="MP82" s="247">
        <v>187.28116591247331</v>
      </c>
      <c r="MQ82" s="247">
        <v>186.37402577957758</v>
      </c>
      <c r="MR82" s="247">
        <v>185.46753199721391</v>
      </c>
      <c r="MS82" s="247">
        <v>184.56168641999477</v>
      </c>
      <c r="MT82" s="247">
        <v>183.65649102304715</v>
      </c>
      <c r="MU82" s="247">
        <v>182.75194766915925</v>
      </c>
      <c r="MV82" s="247">
        <v>181.84805832847036</v>
      </c>
      <c r="MW82" s="247">
        <v>180.94482499366637</v>
      </c>
      <c r="MX82" s="247">
        <v>180.04224966796767</v>
      </c>
      <c r="MY82" s="247">
        <v>179.14033432820418</v>
      </c>
    </row>
    <row r="83" spans="1:363" ht="15.6" x14ac:dyDescent="0.3">
      <c r="A83" s="67" t="s">
        <v>6</v>
      </c>
      <c r="B83" s="72">
        <v>2093</v>
      </c>
      <c r="C83" s="247">
        <v>536.50132190549857</v>
      </c>
      <c r="D83" s="247">
        <v>535.46988706508341</v>
      </c>
      <c r="E83" s="247">
        <v>534.43851504806685</v>
      </c>
      <c r="F83" s="247">
        <v>533.40720490750789</v>
      </c>
      <c r="G83" s="247">
        <v>532.37595569984387</v>
      </c>
      <c r="H83" s="247">
        <v>531.34476650110605</v>
      </c>
      <c r="I83" s="247">
        <v>530.31363638911557</v>
      </c>
      <c r="J83" s="247">
        <v>529.28256450559513</v>
      </c>
      <c r="K83" s="247">
        <v>528.25154997070138</v>
      </c>
      <c r="L83" s="247">
        <v>527.22059193202733</v>
      </c>
      <c r="M83" s="247">
        <v>526.18968954817603</v>
      </c>
      <c r="N83" s="247">
        <v>525.15884205621205</v>
      </c>
      <c r="O83" s="247">
        <v>524.12804862771895</v>
      </c>
      <c r="P83" s="247">
        <v>523.09565204556907</v>
      </c>
      <c r="Q83" s="247">
        <v>522.0632940000603</v>
      </c>
      <c r="R83" s="247">
        <v>521.03097637060921</v>
      </c>
      <c r="S83" s="247">
        <v>519.9987010821651</v>
      </c>
      <c r="T83" s="247">
        <v>518.9664700341109</v>
      </c>
      <c r="U83" s="247">
        <v>517.93428511268075</v>
      </c>
      <c r="V83" s="247">
        <v>516.90214821847906</v>
      </c>
      <c r="W83" s="247">
        <v>515.8700612471215</v>
      </c>
      <c r="X83" s="247">
        <v>514.83802613169428</v>
      </c>
      <c r="Y83" s="247">
        <v>513.80604477303177</v>
      </c>
      <c r="Z83" s="247">
        <v>512.77411911367301</v>
      </c>
      <c r="AA83" s="247">
        <v>511.74225105150117</v>
      </c>
      <c r="AB83" s="247">
        <v>510.70887800777444</v>
      </c>
      <c r="AC83" s="247">
        <v>509.67554750583179</v>
      </c>
      <c r="AD83" s="247">
        <v>508.64225985486217</v>
      </c>
      <c r="AE83" s="247">
        <v>507.60901533878308</v>
      </c>
      <c r="AF83" s="247">
        <v>506.57581424094985</v>
      </c>
      <c r="AG83" s="247">
        <v>505.54265690555712</v>
      </c>
      <c r="AH83" s="247">
        <v>504.5095436486252</v>
      </c>
      <c r="AI83" s="247">
        <v>503.47647480464826</v>
      </c>
      <c r="AJ83" s="247">
        <v>502.4434507007748</v>
      </c>
      <c r="AK83" s="247">
        <v>501.41047174569809</v>
      </c>
      <c r="AL83" s="247">
        <v>500.37753829503185</v>
      </c>
      <c r="AM83" s="247">
        <v>499.34465076202645</v>
      </c>
      <c r="AN83" s="247">
        <v>498.31033470160622</v>
      </c>
      <c r="AO83" s="247">
        <v>497.27605143551693</v>
      </c>
      <c r="AP83" s="247">
        <v>496.24180356869903</v>
      </c>
      <c r="AQ83" s="247">
        <v>495.20759368137658</v>
      </c>
      <c r="AR83" s="247">
        <v>494.17342439598622</v>
      </c>
      <c r="AS83" s="247">
        <v>493.13929829780147</v>
      </c>
      <c r="AT83" s="247">
        <v>492.105217966689</v>
      </c>
      <c r="AU83" s="247">
        <v>491.07118600879875</v>
      </c>
      <c r="AV83" s="247">
        <v>490.03720500941859</v>
      </c>
      <c r="AW83" s="247">
        <v>489.00327757025576</v>
      </c>
      <c r="AX83" s="247">
        <v>487.96940626478749</v>
      </c>
      <c r="AY83" s="247">
        <v>486.93559372802355</v>
      </c>
      <c r="AZ83" s="247">
        <v>485.9004440360618</v>
      </c>
      <c r="BA83" s="247">
        <v>484.86533387471979</v>
      </c>
      <c r="BB83" s="247">
        <v>483.8302590010469</v>
      </c>
      <c r="BC83" s="247">
        <v>482.79521517329835</v>
      </c>
      <c r="BD83" s="247">
        <v>481.76019823137159</v>
      </c>
      <c r="BE83" s="247">
        <v>480.72520401515197</v>
      </c>
      <c r="BF83" s="247">
        <v>479.69022841281384</v>
      </c>
      <c r="BG83" s="247">
        <v>478.65526738051307</v>
      </c>
      <c r="BH83" s="247">
        <v>477.62031685884949</v>
      </c>
      <c r="BI83" s="247">
        <v>476.58537288724057</v>
      </c>
      <c r="BJ83" s="247">
        <v>475.55043150306943</v>
      </c>
      <c r="BK83" s="247">
        <v>474.51548879479498</v>
      </c>
      <c r="BL83" s="247">
        <v>473.47925033044731</v>
      </c>
      <c r="BM83" s="247">
        <v>472.44301278311514</v>
      </c>
      <c r="BN83" s="247">
        <v>471.40679381675091</v>
      </c>
      <c r="BO83" s="247">
        <v>470.37061094732684</v>
      </c>
      <c r="BP83" s="247">
        <v>469.33448164215497</v>
      </c>
      <c r="BQ83" s="247">
        <v>468.29842325463073</v>
      </c>
      <c r="BR83" s="247">
        <v>467.26245304104771</v>
      </c>
      <c r="BS83" s="247">
        <v>466.22658819707596</v>
      </c>
      <c r="BT83" s="247">
        <v>465.19084580689133</v>
      </c>
      <c r="BU83" s="247">
        <v>464.15524286041943</v>
      </c>
      <c r="BV83" s="247">
        <v>463.11979628344039</v>
      </c>
      <c r="BW83" s="247">
        <v>462.08452290804325</v>
      </c>
      <c r="BX83" s="247">
        <v>461.04814879563645</v>
      </c>
      <c r="BY83" s="247">
        <v>460.0119239936194</v>
      </c>
      <c r="BZ83" s="247">
        <v>458.97583711184069</v>
      </c>
      <c r="CA83" s="247">
        <v>457.93987683889191</v>
      </c>
      <c r="CB83" s="247">
        <v>456.90403193775359</v>
      </c>
      <c r="CC83" s="247">
        <v>455.86829127300791</v>
      </c>
      <c r="CD83" s="247">
        <v>454.83264376322882</v>
      </c>
      <c r="CE83" s="247">
        <v>453.79707841538942</v>
      </c>
      <c r="CF83" s="247">
        <v>452.76158432408994</v>
      </c>
      <c r="CG83" s="247">
        <v>451.72615065777956</v>
      </c>
      <c r="CH83" s="247">
        <v>450.690766669315</v>
      </c>
      <c r="CI83" s="247">
        <v>449.65542169409008</v>
      </c>
      <c r="CJ83" s="247">
        <v>448.61883831952196</v>
      </c>
      <c r="CK83" s="247">
        <v>447.58227385140196</v>
      </c>
      <c r="CL83" s="247">
        <v>446.54573340337311</v>
      </c>
      <c r="CM83" s="247">
        <v>445.50922203762718</v>
      </c>
      <c r="CN83" s="247">
        <v>444.4727448169827</v>
      </c>
      <c r="CO83" s="247">
        <v>443.43630678043405</v>
      </c>
      <c r="CP83" s="247">
        <v>442.39991296219006</v>
      </c>
      <c r="CQ83" s="247">
        <v>441.36356835468649</v>
      </c>
      <c r="CR83" s="247">
        <v>440.32727795450643</v>
      </c>
      <c r="CS83" s="247">
        <v>439.29104673085175</v>
      </c>
      <c r="CT83" s="247">
        <v>438.25487964742456</v>
      </c>
      <c r="CU83" s="247">
        <v>437.21878164147478</v>
      </c>
      <c r="CV83" s="247">
        <v>436.18297068634598</v>
      </c>
      <c r="CW83" s="247">
        <v>435.14722237103132</v>
      </c>
      <c r="CX83" s="247">
        <v>434.11153600710526</v>
      </c>
      <c r="CY83" s="247">
        <v>433.07591090768403</v>
      </c>
      <c r="CZ83" s="247">
        <v>432.04034641875069</v>
      </c>
      <c r="DA83" s="247">
        <v>431.00484190842923</v>
      </c>
      <c r="DB83" s="247">
        <v>429.96939673199216</v>
      </c>
      <c r="DC83" s="247">
        <v>428.93401029626943</v>
      </c>
      <c r="DD83" s="247">
        <v>427.89868199756074</v>
      </c>
      <c r="DE83" s="247">
        <v>426.86341125770599</v>
      </c>
      <c r="DF83" s="247">
        <v>425.82819753218502</v>
      </c>
      <c r="DG83" s="247">
        <v>424.79304028952151</v>
      </c>
      <c r="DH83" s="247">
        <v>423.75817073540628</v>
      </c>
      <c r="DI83" s="247">
        <v>422.72335323086014</v>
      </c>
      <c r="DJ83" s="247">
        <v>421.68859450264432</v>
      </c>
      <c r="DK83" s="247">
        <v>420.65390122424441</v>
      </c>
      <c r="DL83" s="247">
        <v>419.61928006660935</v>
      </c>
      <c r="DM83" s="247">
        <v>418.58473764816603</v>
      </c>
      <c r="DN83" s="247">
        <v>417.55028055884287</v>
      </c>
      <c r="DO83" s="247">
        <v>416.51591537830075</v>
      </c>
      <c r="DP83" s="247">
        <v>415.48164864013063</v>
      </c>
      <c r="DQ83" s="247">
        <v>414.44748684824384</v>
      </c>
      <c r="DR83" s="247">
        <v>413.41343648476169</v>
      </c>
      <c r="DS83" s="247">
        <v>412.37950400264509</v>
      </c>
      <c r="DT83" s="247">
        <v>411.34773258416436</v>
      </c>
      <c r="DU83" s="247">
        <v>410.31609809089161</v>
      </c>
      <c r="DV83" s="247">
        <v>409.28460996879784</v>
      </c>
      <c r="DW83" s="247">
        <v>408.25327761871591</v>
      </c>
      <c r="DX83" s="247">
        <v>407.22211038788731</v>
      </c>
      <c r="DY83" s="247">
        <v>406.19111757206792</v>
      </c>
      <c r="DZ83" s="247">
        <v>405.1603083997577</v>
      </c>
      <c r="EA83" s="247">
        <v>404.12969208595598</v>
      </c>
      <c r="EB83" s="247">
        <v>403.09927776669485</v>
      </c>
      <c r="EC83" s="247">
        <v>402.06907453629304</v>
      </c>
      <c r="ED83" s="247">
        <v>401.03909144987091</v>
      </c>
      <c r="EE83" s="247">
        <v>400.00933752803553</v>
      </c>
      <c r="EF83" s="247">
        <v>398.98230856482962</v>
      </c>
      <c r="EG83" s="247">
        <v>397.95552159362256</v>
      </c>
      <c r="EH83" s="247">
        <v>396.92896625490903</v>
      </c>
      <c r="EI83" s="247">
        <v>395.90263227900545</v>
      </c>
      <c r="EJ83" s="247">
        <v>394.876509461593</v>
      </c>
      <c r="EK83" s="247">
        <v>393.85058766666316</v>
      </c>
      <c r="EL83" s="247">
        <v>392.82485683924722</v>
      </c>
      <c r="EM83" s="247">
        <v>391.79930699634747</v>
      </c>
      <c r="EN83" s="247">
        <v>390.77392823875459</v>
      </c>
      <c r="EO83" s="247">
        <v>389.74871073116913</v>
      </c>
      <c r="EP83" s="247">
        <v>388.72364472813467</v>
      </c>
      <c r="EQ83" s="247">
        <v>387.69872054911383</v>
      </c>
      <c r="ER83" s="247">
        <v>386.67691300796611</v>
      </c>
      <c r="ES83" s="247">
        <v>385.65524907316006</v>
      </c>
      <c r="ET83" s="247">
        <v>384.63373631784992</v>
      </c>
      <c r="EU83" s="247">
        <v>383.61238228252967</v>
      </c>
      <c r="EV83" s="247">
        <v>382.5911944559661</v>
      </c>
      <c r="EW83" s="247">
        <v>381.57018029442941</v>
      </c>
      <c r="EX83" s="247">
        <v>380.5493472194517</v>
      </c>
      <c r="EY83" s="247">
        <v>379.52870259912527</v>
      </c>
      <c r="EZ83" s="247">
        <v>378.50825376991963</v>
      </c>
      <c r="FA83" s="247">
        <v>377.48800802932158</v>
      </c>
      <c r="FB83" s="247">
        <v>376.46797264885703</v>
      </c>
      <c r="FC83" s="247">
        <v>375.44815485380258</v>
      </c>
      <c r="FD83" s="247">
        <v>374.43207440152247</v>
      </c>
      <c r="FE83" s="247">
        <v>373.41623352203862</v>
      </c>
      <c r="FF83" s="247">
        <v>372.40063408343366</v>
      </c>
      <c r="FG83" s="247">
        <v>371.3852780137139</v>
      </c>
      <c r="FH83" s="247">
        <v>370.3701671614985</v>
      </c>
      <c r="FI83" s="247">
        <v>369.35530344371841</v>
      </c>
      <c r="FJ83" s="247">
        <v>368.34068871709894</v>
      </c>
      <c r="FK83" s="247">
        <v>367.32632487460205</v>
      </c>
      <c r="FL83" s="247">
        <v>366.31221375317801</v>
      </c>
      <c r="FM83" s="247">
        <v>365.298357249736</v>
      </c>
      <c r="FN83" s="247">
        <v>364.28475720294608</v>
      </c>
      <c r="FO83" s="247">
        <v>363.27141548678856</v>
      </c>
      <c r="FP83" s="247">
        <v>362.25871985323676</v>
      </c>
      <c r="FQ83" s="247">
        <v>361.246280388164</v>
      </c>
      <c r="FR83" s="247">
        <v>360.23410309313618</v>
      </c>
      <c r="FS83" s="247">
        <v>359.22219397460987</v>
      </c>
      <c r="FT83" s="247">
        <v>358.21055898038964</v>
      </c>
      <c r="FU83" s="247">
        <v>357.19920404693511</v>
      </c>
      <c r="FV83" s="247">
        <v>356.18813506227099</v>
      </c>
      <c r="FW83" s="247">
        <v>355.1773578961799</v>
      </c>
      <c r="FX83" s="247">
        <v>354.16687836556895</v>
      </c>
      <c r="FY83" s="247">
        <v>353.15670228425518</v>
      </c>
      <c r="FZ83" s="247">
        <v>352.1468354108685</v>
      </c>
      <c r="GA83" s="247">
        <v>351.13728350869485</v>
      </c>
      <c r="GB83" s="247">
        <v>350.12845461984097</v>
      </c>
      <c r="GC83" s="247">
        <v>349.11994032391334</v>
      </c>
      <c r="GD83" s="247">
        <v>348.1117445793866</v>
      </c>
      <c r="GE83" s="247">
        <v>347.10387135274607</v>
      </c>
      <c r="GF83" s="247">
        <v>346.0963245797135</v>
      </c>
      <c r="GG83" s="247">
        <v>345.08910816457052</v>
      </c>
      <c r="GH83" s="247">
        <v>344.08222600634821</v>
      </c>
      <c r="GI83" s="247">
        <v>343.07568198182742</v>
      </c>
      <c r="GJ83" s="247">
        <v>342.06947995001957</v>
      </c>
      <c r="GK83" s="247">
        <v>341.06362373149165</v>
      </c>
      <c r="GL83" s="247">
        <v>340.05811717330999</v>
      </c>
      <c r="GM83" s="247">
        <v>339.05296407634256</v>
      </c>
      <c r="GN83" s="247">
        <v>338.05313433643613</v>
      </c>
      <c r="GO83" s="247">
        <v>337.05369164253943</v>
      </c>
      <c r="GP83" s="247">
        <v>336.05464046114787</v>
      </c>
      <c r="GQ83" s="247">
        <v>335.05598523417058</v>
      </c>
      <c r="GR83" s="247">
        <v>334.05773037901315</v>
      </c>
      <c r="GS83" s="247">
        <v>333.05988028782656</v>
      </c>
      <c r="GT83" s="247">
        <v>332.06243933914629</v>
      </c>
      <c r="GU83" s="247">
        <v>331.06541187874228</v>
      </c>
      <c r="GV83" s="247">
        <v>330.06880221743006</v>
      </c>
      <c r="GW83" s="247">
        <v>329.07261467334718</v>
      </c>
      <c r="GX83" s="247">
        <v>328.07685351926744</v>
      </c>
      <c r="GY83" s="247">
        <v>327.08152303483388</v>
      </c>
      <c r="GZ83" s="247">
        <v>326.08708815998989</v>
      </c>
      <c r="HA83" s="247">
        <v>325.0930875940179</v>
      </c>
      <c r="HB83" s="247">
        <v>324.09953060977017</v>
      </c>
      <c r="HC83" s="247">
        <v>323.10642642109354</v>
      </c>
      <c r="HD83" s="247">
        <v>322.11378416665769</v>
      </c>
      <c r="HE83" s="247">
        <v>321.12161297347086</v>
      </c>
      <c r="HF83" s="247">
        <v>320.12992186351107</v>
      </c>
      <c r="HG83" s="247">
        <v>319.13871984749301</v>
      </c>
      <c r="HH83" s="247">
        <v>318.14801585787296</v>
      </c>
      <c r="HI83" s="247">
        <v>317.157818806536</v>
      </c>
      <c r="HJ83" s="247">
        <v>316.16813752484939</v>
      </c>
      <c r="HK83" s="247">
        <v>315.17898083855539</v>
      </c>
      <c r="HL83" s="247">
        <v>314.19688212289958</v>
      </c>
      <c r="HM83" s="247">
        <v>313.21535043370454</v>
      </c>
      <c r="HN83" s="247">
        <v>312.2343772456976</v>
      </c>
      <c r="HO83" s="247">
        <v>311.25395404672713</v>
      </c>
      <c r="HP83" s="247">
        <v>310.27407244005406</v>
      </c>
      <c r="HQ83" s="247">
        <v>309.29472404250913</v>
      </c>
      <c r="HR83" s="247">
        <v>308.31590055475965</v>
      </c>
      <c r="HS83" s="247">
        <v>307.33759370047079</v>
      </c>
      <c r="HT83" s="247">
        <v>306.35979528271145</v>
      </c>
      <c r="HU83" s="247">
        <v>305.38249716906802</v>
      </c>
      <c r="HV83" s="247">
        <v>304.40569126213251</v>
      </c>
      <c r="HW83" s="247">
        <v>303.42936952107294</v>
      </c>
      <c r="HX83" s="247">
        <v>302.4540454057647</v>
      </c>
      <c r="HY83" s="247">
        <v>301.47919566908234</v>
      </c>
      <c r="HZ83" s="247">
        <v>300.5048281575352</v>
      </c>
      <c r="IA83" s="247">
        <v>299.53095064289136</v>
      </c>
      <c r="IB83" s="247">
        <v>298.55757087237555</v>
      </c>
      <c r="IC83" s="247">
        <v>297.58469655091477</v>
      </c>
      <c r="ID83" s="247">
        <v>296.61233532719092</v>
      </c>
      <c r="IE83" s="247">
        <v>295.6404948239956</v>
      </c>
      <c r="IF83" s="247">
        <v>294.66918261888713</v>
      </c>
      <c r="IG83" s="247">
        <v>293.69840626229927</v>
      </c>
      <c r="IH83" s="247">
        <v>292.72817323977466</v>
      </c>
      <c r="II83" s="247">
        <v>291.75849103293109</v>
      </c>
      <c r="IJ83" s="247">
        <v>290.78990461109009</v>
      </c>
      <c r="IK83" s="247">
        <v>289.82187634454596</v>
      </c>
      <c r="IL83" s="247">
        <v>288.85441577096083</v>
      </c>
      <c r="IM83" s="247">
        <v>287.88753230115259</v>
      </c>
      <c r="IN83" s="247">
        <v>286.92123545700844</v>
      </c>
      <c r="IO83" s="247">
        <v>285.95553455451426</v>
      </c>
      <c r="IP83" s="247">
        <v>284.99043893365575</v>
      </c>
      <c r="IQ83" s="247">
        <v>284.02595789388766</v>
      </c>
      <c r="IR83" s="247">
        <v>283.06210067443044</v>
      </c>
      <c r="IS83" s="247">
        <v>282.09887647243079</v>
      </c>
      <c r="IT83" s="247">
        <v>281.13629450567532</v>
      </c>
      <c r="IU83" s="247">
        <v>280.17436387145864</v>
      </c>
      <c r="IV83" s="247">
        <v>279.22219209296134</v>
      </c>
      <c r="IW83" s="247">
        <v>278.27072288875877</v>
      </c>
      <c r="IX83" s="247">
        <v>277.31994386655481</v>
      </c>
      <c r="IY83" s="247">
        <v>276.36984279601245</v>
      </c>
      <c r="IZ83" s="247">
        <v>275.42040744701171</v>
      </c>
      <c r="JA83" s="247">
        <v>274.47162566784743</v>
      </c>
      <c r="JB83" s="247">
        <v>273.52348546484069</v>
      </c>
      <c r="JC83" s="247">
        <v>272.57597485128201</v>
      </c>
      <c r="JD83" s="247">
        <v>271.62908191083613</v>
      </c>
      <c r="JE83" s="247">
        <v>270.68279481640519</v>
      </c>
      <c r="JF83" s="247">
        <v>269.73710181737181</v>
      </c>
      <c r="JG83" s="247">
        <v>268.79199117060915</v>
      </c>
      <c r="JH83" s="247">
        <v>267.84805295252926</v>
      </c>
      <c r="JI83" s="247">
        <v>266.90468236119483</v>
      </c>
      <c r="JJ83" s="247">
        <v>265.96188576760164</v>
      </c>
      <c r="JK83" s="247">
        <v>265.01966935283485</v>
      </c>
      <c r="JL83" s="247">
        <v>264.07803943009941</v>
      </c>
      <c r="JM83" s="247">
        <v>263.13700212098081</v>
      </c>
      <c r="JN83" s="247">
        <v>262.19656367069547</v>
      </c>
      <c r="JO83" s="247">
        <v>261.25673022157639</v>
      </c>
      <c r="JP83" s="247">
        <v>260.31750795152033</v>
      </c>
      <c r="JQ83" s="247">
        <v>259.37890293524913</v>
      </c>
      <c r="JR83" s="247">
        <v>258.44092128734513</v>
      </c>
      <c r="JS83" s="247">
        <v>257.50356909389455</v>
      </c>
      <c r="JT83" s="247">
        <v>256.5576382174836</v>
      </c>
      <c r="JU83" s="247">
        <v>255.61226948683233</v>
      </c>
      <c r="JV83" s="247">
        <v>254.66745507135627</v>
      </c>
      <c r="JW83" s="247">
        <v>253.72318738291816</v>
      </c>
      <c r="JX83" s="247">
        <v>252.77945873362702</v>
      </c>
      <c r="JY83" s="247">
        <v>251.83626153648095</v>
      </c>
      <c r="JZ83" s="247">
        <v>250.89358823807376</v>
      </c>
      <c r="KA83" s="247">
        <v>249.9514313278693</v>
      </c>
      <c r="KB83" s="247">
        <v>249.00978338977717</v>
      </c>
      <c r="KC83" s="247">
        <v>248.06863698247435</v>
      </c>
      <c r="KD83" s="247">
        <v>247.12798469731979</v>
      </c>
      <c r="KE83" s="247">
        <v>246.18781923579573</v>
      </c>
      <c r="KF83" s="247">
        <v>245.24875045372664</v>
      </c>
      <c r="KG83" s="247">
        <v>244.31017775672501</v>
      </c>
      <c r="KH83" s="247">
        <v>243.37212732055903</v>
      </c>
      <c r="KI83" s="247">
        <v>242.43462504045979</v>
      </c>
      <c r="KJ83" s="247">
        <v>241.49769686397272</v>
      </c>
      <c r="KK83" s="247">
        <v>240.56136845074371</v>
      </c>
      <c r="KL83" s="247">
        <v>239.62566543642572</v>
      </c>
      <c r="KM83" s="247">
        <v>238.69061337261354</v>
      </c>
      <c r="KN83" s="247">
        <v>237.75623764270287</v>
      </c>
      <c r="KO83" s="247">
        <v>236.82256360514171</v>
      </c>
      <c r="KP83" s="247">
        <v>235.88961645022104</v>
      </c>
      <c r="KQ83" s="247">
        <v>234.95742127351696</v>
      </c>
      <c r="KR83" s="247">
        <v>234.01649175146369</v>
      </c>
      <c r="KS83" s="247">
        <v>233.07624107824591</v>
      </c>
      <c r="KT83" s="247">
        <v>232.13664931601681</v>
      </c>
      <c r="KU83" s="247">
        <v>231.19769657441674</v>
      </c>
      <c r="KV83" s="247">
        <v>230.25936301889581</v>
      </c>
      <c r="KW83" s="247">
        <v>229.32162903374373</v>
      </c>
      <c r="KX83" s="247">
        <v>228.38447499782208</v>
      </c>
      <c r="KY83" s="247">
        <v>227.44788140920343</v>
      </c>
      <c r="KZ83" s="247">
        <v>226.51182886863296</v>
      </c>
      <c r="LA83" s="247">
        <v>225.57629815389907</v>
      </c>
      <c r="LB83" s="247">
        <v>224.64127003938586</v>
      </c>
      <c r="LC83" s="247">
        <v>223.70672542220106</v>
      </c>
      <c r="LD83" s="247">
        <v>222.77326798931668</v>
      </c>
      <c r="LE83" s="247">
        <v>221.84027607011654</v>
      </c>
      <c r="LF83" s="247">
        <v>220.90776057381996</v>
      </c>
      <c r="LG83" s="247">
        <v>219.97573237042931</v>
      </c>
      <c r="LH83" s="247">
        <v>219.04420229536686</v>
      </c>
      <c r="LI83" s="247">
        <v>218.11318108514641</v>
      </c>
      <c r="LJ83" s="247">
        <v>217.18267954019504</v>
      </c>
      <c r="LK83" s="247">
        <v>216.25270831544228</v>
      </c>
      <c r="LL83" s="247">
        <v>215.32327811755704</v>
      </c>
      <c r="LM83" s="247">
        <v>214.3943995052926</v>
      </c>
      <c r="LN83" s="247">
        <v>213.46608314097381</v>
      </c>
      <c r="LO83" s="247">
        <v>212.53833958712693</v>
      </c>
      <c r="LP83" s="247">
        <v>211.61181967443639</v>
      </c>
      <c r="LQ83" s="247">
        <v>210.6858764103784</v>
      </c>
      <c r="LR83" s="247">
        <v>209.76051294500135</v>
      </c>
      <c r="LS83" s="247">
        <v>208.83573250622842</v>
      </c>
      <c r="LT83" s="247">
        <v>207.91153829967277</v>
      </c>
      <c r="LU83" s="247">
        <v>206.98793344698618</v>
      </c>
      <c r="LV83" s="247">
        <v>206.06492119498475</v>
      </c>
      <c r="LW83" s="247">
        <v>205.14250471406734</v>
      </c>
      <c r="LX83" s="247">
        <v>204.22068718527035</v>
      </c>
      <c r="LY83" s="247">
        <v>203.29947181329075</v>
      </c>
      <c r="LZ83" s="247">
        <v>202.37886176289234</v>
      </c>
      <c r="MA83" s="247">
        <v>201.45886031903134</v>
      </c>
      <c r="MB83" s="247">
        <v>200.54013704999747</v>
      </c>
      <c r="MC83" s="247">
        <v>199.6220189990286</v>
      </c>
      <c r="MD83" s="247">
        <v>198.70450954828934</v>
      </c>
      <c r="ME83" s="247">
        <v>197.78761197739308</v>
      </c>
      <c r="MF83" s="247">
        <v>196.87132961572627</v>
      </c>
      <c r="MG83" s="247">
        <v>195.95566582989383</v>
      </c>
      <c r="MH83" s="247">
        <v>195.04062397879142</v>
      </c>
      <c r="MI83" s="247">
        <v>194.12620736728311</v>
      </c>
      <c r="MJ83" s="247">
        <v>193.2124194247896</v>
      </c>
      <c r="MK83" s="247">
        <v>192.29926347569454</v>
      </c>
      <c r="ML83" s="247">
        <v>191.38674291843793</v>
      </c>
      <c r="MM83" s="247">
        <v>190.47486113934951</v>
      </c>
      <c r="MN83" s="247">
        <v>189.56431364189928</v>
      </c>
      <c r="MO83" s="247">
        <v>188.65440037297503</v>
      </c>
      <c r="MP83" s="247">
        <v>187.74512313606061</v>
      </c>
      <c r="MQ83" s="247">
        <v>186.83648376642779</v>
      </c>
      <c r="MR83" s="247">
        <v>185.92848418201575</v>
      </c>
      <c r="MS83" s="247">
        <v>185.02112623124887</v>
      </c>
      <c r="MT83" s="247">
        <v>184.11441188180447</v>
      </c>
      <c r="MU83" s="247">
        <v>183.20834299065848</v>
      </c>
      <c r="MV83" s="247">
        <v>182.30292152095456</v>
      </c>
      <c r="MW83" s="247">
        <v>181.39814945840581</v>
      </c>
      <c r="MX83" s="247">
        <v>180.49402879931992</v>
      </c>
      <c r="MY83" s="247">
        <v>179.59056151426381</v>
      </c>
    </row>
    <row r="84" spans="1:363" ht="15.6" x14ac:dyDescent="0.3">
      <c r="A84" s="67" t="s">
        <v>6</v>
      </c>
      <c r="B84" s="72">
        <v>2094</v>
      </c>
      <c r="C84" s="247">
        <v>537.11031435140262</v>
      </c>
      <c r="D84" s="247">
        <v>536.07899221216155</v>
      </c>
      <c r="E84" s="247">
        <v>535.04773305772733</v>
      </c>
      <c r="F84" s="247">
        <v>534.01653596211679</v>
      </c>
      <c r="G84" s="247">
        <v>532.98540000284549</v>
      </c>
      <c r="H84" s="247">
        <v>531.95432427704031</v>
      </c>
      <c r="I84" s="247">
        <v>530.9233078837392</v>
      </c>
      <c r="J84" s="247">
        <v>529.89234998534539</v>
      </c>
      <c r="K84" s="247">
        <v>528.86144972318061</v>
      </c>
      <c r="L84" s="247">
        <v>527.83060626584245</v>
      </c>
      <c r="M84" s="247">
        <v>526.79981879308855</v>
      </c>
      <c r="N84" s="247">
        <v>525.76908656242063</v>
      </c>
      <c r="O84" s="247">
        <v>524.73840876692145</v>
      </c>
      <c r="P84" s="247">
        <v>523.70611710555352</v>
      </c>
      <c r="Q84" s="247">
        <v>522.67386436498987</v>
      </c>
      <c r="R84" s="247">
        <v>521.64165241090291</v>
      </c>
      <c r="S84" s="247">
        <v>520.60948315409701</v>
      </c>
      <c r="T84" s="247">
        <v>519.57735848042614</v>
      </c>
      <c r="U84" s="247">
        <v>518.54528026292553</v>
      </c>
      <c r="V84" s="247">
        <v>517.51325038908453</v>
      </c>
      <c r="W84" s="247">
        <v>516.48127074171441</v>
      </c>
      <c r="X84" s="247">
        <v>515.44934324081851</v>
      </c>
      <c r="Y84" s="247">
        <v>514.41746977487855</v>
      </c>
      <c r="Z84" s="247">
        <v>513.38565227378274</v>
      </c>
      <c r="AA84" s="247">
        <v>512.35389262366675</v>
      </c>
      <c r="AB84" s="247">
        <v>511.32061836028311</v>
      </c>
      <c r="AC84" s="247">
        <v>510.28738690039859</v>
      </c>
      <c r="AD84" s="247">
        <v>509.25419856016583</v>
      </c>
      <c r="AE84" s="247">
        <v>508.22105363100746</v>
      </c>
      <c r="AF84" s="247">
        <v>507.1879524040682</v>
      </c>
      <c r="AG84" s="247">
        <v>506.15489523065145</v>
      </c>
      <c r="AH84" s="247">
        <v>505.12188243453431</v>
      </c>
      <c r="AI84" s="247">
        <v>504.08891435797943</v>
      </c>
      <c r="AJ84" s="247">
        <v>503.05599133617631</v>
      </c>
      <c r="AK84" s="247">
        <v>502.02311378506846</v>
      </c>
      <c r="AL84" s="247">
        <v>500.99028206847686</v>
      </c>
      <c r="AM84" s="247">
        <v>499.95749660740358</v>
      </c>
      <c r="AN84" s="247">
        <v>498.92327415993822</v>
      </c>
      <c r="AO84" s="247">
        <v>497.88908484052592</v>
      </c>
      <c r="AP84" s="247">
        <v>496.85493122758533</v>
      </c>
      <c r="AQ84" s="247">
        <v>495.82081587540711</v>
      </c>
      <c r="AR84" s="247">
        <v>494.78674138017425</v>
      </c>
      <c r="AS84" s="247">
        <v>493.75271030164527</v>
      </c>
      <c r="AT84" s="247">
        <v>492.71872519453473</v>
      </c>
      <c r="AU84" s="247">
        <v>491.68478863975707</v>
      </c>
      <c r="AV84" s="247">
        <v>490.65090319786009</v>
      </c>
      <c r="AW84" s="247">
        <v>489.61707144594862</v>
      </c>
      <c r="AX84" s="247">
        <v>488.58329593355688</v>
      </c>
      <c r="AY84" s="247">
        <v>487.54957927122695</v>
      </c>
      <c r="AZ84" s="247">
        <v>486.51451770567917</v>
      </c>
      <c r="BA84" s="247">
        <v>485.47949583462298</v>
      </c>
      <c r="BB84" s="247">
        <v>484.44450949483507</v>
      </c>
      <c r="BC84" s="247">
        <v>483.40955452444672</v>
      </c>
      <c r="BD84" s="247">
        <v>482.37462684219986</v>
      </c>
      <c r="BE84" s="247">
        <v>481.3397223669661</v>
      </c>
      <c r="BF84" s="247">
        <v>480.3048370653695</v>
      </c>
      <c r="BG84" s="247">
        <v>479.26996697120671</v>
      </c>
      <c r="BH84" s="247">
        <v>478.23510810310313</v>
      </c>
      <c r="BI84" s="247">
        <v>477.2002565772674</v>
      </c>
      <c r="BJ84" s="247">
        <v>476.16540850810503</v>
      </c>
      <c r="BK84" s="247">
        <v>475.13056006062823</v>
      </c>
      <c r="BL84" s="247">
        <v>474.09440969930392</v>
      </c>
      <c r="BM84" s="247">
        <v>473.05826099242142</v>
      </c>
      <c r="BN84" s="247">
        <v>472.02213132199131</v>
      </c>
      <c r="BO84" s="247">
        <v>470.98603792489831</v>
      </c>
      <c r="BP84" s="247">
        <v>469.94999799064772</v>
      </c>
      <c r="BQ84" s="247">
        <v>468.91402859707381</v>
      </c>
      <c r="BR84" s="247">
        <v>467.87814672697135</v>
      </c>
      <c r="BS84" s="247">
        <v>466.84236930399982</v>
      </c>
      <c r="BT84" s="247">
        <v>465.80671314252788</v>
      </c>
      <c r="BU84" s="247">
        <v>464.77119496479338</v>
      </c>
      <c r="BV84" s="247">
        <v>463.73583143035916</v>
      </c>
      <c r="BW84" s="247">
        <v>462.70063910722132</v>
      </c>
      <c r="BX84" s="247">
        <v>461.66433789813919</v>
      </c>
      <c r="BY84" s="247">
        <v>460.62818407858481</v>
      </c>
      <c r="BZ84" s="247">
        <v>459.59216647527285</v>
      </c>
      <c r="CA84" s="247">
        <v>458.5562739923763</v>
      </c>
      <c r="CB84" s="247">
        <v>457.52049560735639</v>
      </c>
      <c r="CC84" s="247">
        <v>456.48482039756055</v>
      </c>
      <c r="CD84" s="247">
        <v>455.44923749354285</v>
      </c>
      <c r="CE84" s="247">
        <v>454.41373611291993</v>
      </c>
      <c r="CF84" s="247">
        <v>453.37830555945692</v>
      </c>
      <c r="CG84" s="247">
        <v>452.34293520976161</v>
      </c>
      <c r="CH84" s="247">
        <v>451.30761452348105</v>
      </c>
      <c r="CI84" s="247">
        <v>450.27233304165878</v>
      </c>
      <c r="CJ84" s="247">
        <v>449.23580860755578</v>
      </c>
      <c r="CK84" s="247">
        <v>448.1993034156809</v>
      </c>
      <c r="CL84" s="247">
        <v>447.1628224997558</v>
      </c>
      <c r="CM84" s="247">
        <v>446.12637084328514</v>
      </c>
      <c r="CN84" s="247">
        <v>445.08995343076413</v>
      </c>
      <c r="CO84" s="247">
        <v>444.0535752235553</v>
      </c>
      <c r="CP84" s="247">
        <v>443.01724117865149</v>
      </c>
      <c r="CQ84" s="247">
        <v>441.98095621245727</v>
      </c>
      <c r="CR84" s="247">
        <v>440.94472524566362</v>
      </c>
      <c r="CS84" s="247">
        <v>439.90855317256614</v>
      </c>
      <c r="CT84" s="247">
        <v>438.87244488235319</v>
      </c>
      <c r="CU84" s="247">
        <v>437.8364052387368</v>
      </c>
      <c r="CV84" s="247">
        <v>436.80063592271438</v>
      </c>
      <c r="CW84" s="247">
        <v>435.7649287661261</v>
      </c>
      <c r="CX84" s="247">
        <v>434.72928310915705</v>
      </c>
      <c r="CY84" s="247">
        <v>433.69369829372181</v>
      </c>
      <c r="CZ84" s="247">
        <v>432.65817369430511</v>
      </c>
      <c r="DA84" s="247">
        <v>431.62270870731049</v>
      </c>
      <c r="DB84" s="247">
        <v>430.58730271680184</v>
      </c>
      <c r="DC84" s="247">
        <v>429.55195515777643</v>
      </c>
      <c r="DD84" s="247">
        <v>428.51666545506731</v>
      </c>
      <c r="DE84" s="247">
        <v>427.48143305898225</v>
      </c>
      <c r="DF84" s="247">
        <v>426.4462574530782</v>
      </c>
      <c r="DG84" s="247">
        <v>425.41113813413307</v>
      </c>
      <c r="DH84" s="247">
        <v>424.37628987171632</v>
      </c>
      <c r="DI84" s="247">
        <v>423.34149337597142</v>
      </c>
      <c r="DJ84" s="247">
        <v>422.30675526456918</v>
      </c>
      <c r="DK84" s="247">
        <v>421.27208210319208</v>
      </c>
      <c r="DL84" s="247">
        <v>420.23748045542419</v>
      </c>
      <c r="DM84" s="247">
        <v>419.20295683356858</v>
      </c>
      <c r="DN84" s="247">
        <v>418.16851772231246</v>
      </c>
      <c r="DO84" s="247">
        <v>417.13416959668007</v>
      </c>
      <c r="DP84" s="247">
        <v>416.09991888672499</v>
      </c>
      <c r="DQ84" s="247">
        <v>415.06577199385879</v>
      </c>
      <c r="DR84" s="247">
        <v>414.03173529842201</v>
      </c>
      <c r="DS84" s="247">
        <v>412.99781515263425</v>
      </c>
      <c r="DT84" s="247">
        <v>411.96602483573639</v>
      </c>
      <c r="DU84" s="247">
        <v>410.93436976072644</v>
      </c>
      <c r="DV84" s="247">
        <v>409.90285922362654</v>
      </c>
      <c r="DW84" s="247">
        <v>408.87150247643564</v>
      </c>
      <c r="DX84" s="247">
        <v>407.8403087189165</v>
      </c>
      <c r="DY84" s="247">
        <v>406.80928710053541</v>
      </c>
      <c r="DZ84" s="247">
        <v>405.77844670506312</v>
      </c>
      <c r="EA84" s="247">
        <v>404.7477966034325</v>
      </c>
      <c r="EB84" s="247">
        <v>403.71734578927305</v>
      </c>
      <c r="EC84" s="247">
        <v>402.68710321572439</v>
      </c>
      <c r="ED84" s="247">
        <v>401.65707779775812</v>
      </c>
      <c r="EE84" s="247">
        <v>400.62727841694647</v>
      </c>
      <c r="EF84" s="247">
        <v>399.60017011414709</v>
      </c>
      <c r="EG84" s="247">
        <v>398.57330057123005</v>
      </c>
      <c r="EH84" s="247">
        <v>397.54665961467697</v>
      </c>
      <c r="EI84" s="247">
        <v>396.52023715940828</v>
      </c>
      <c r="EJ84" s="247">
        <v>395.49402318482441</v>
      </c>
      <c r="EK84" s="247">
        <v>394.46800773757667</v>
      </c>
      <c r="EL84" s="247">
        <v>393.44218094418386</v>
      </c>
      <c r="EM84" s="247">
        <v>392.41653300214591</v>
      </c>
      <c r="EN84" s="247">
        <v>391.3910541914392</v>
      </c>
      <c r="EO84" s="247">
        <v>390.36573485516266</v>
      </c>
      <c r="EP84" s="247">
        <v>389.34056542490578</v>
      </c>
      <c r="EQ84" s="247">
        <v>388.31553639639026</v>
      </c>
      <c r="ER84" s="247">
        <v>387.29359193098099</v>
      </c>
      <c r="ES84" s="247">
        <v>386.27178965159419</v>
      </c>
      <c r="ET84" s="247">
        <v>385.25013702836367</v>
      </c>
      <c r="EU84" s="247">
        <v>384.22864149956592</v>
      </c>
      <c r="EV84" s="247">
        <v>383.20731045291689</v>
      </c>
      <c r="EW84" s="247">
        <v>382.18615124439162</v>
      </c>
      <c r="EX84" s="247">
        <v>381.16517119611945</v>
      </c>
      <c r="EY84" s="247">
        <v>380.14437757798044</v>
      </c>
      <c r="EZ84" s="247">
        <v>379.12377762898222</v>
      </c>
      <c r="FA84" s="247">
        <v>378.10337855019441</v>
      </c>
      <c r="FB84" s="247">
        <v>377.08318751743417</v>
      </c>
      <c r="FC84" s="247">
        <v>376.06321166143823</v>
      </c>
      <c r="FD84" s="247">
        <v>375.04694064471721</v>
      </c>
      <c r="FE84" s="247">
        <v>374.03090659433559</v>
      </c>
      <c r="FF84" s="247">
        <v>373.01511136518081</v>
      </c>
      <c r="FG84" s="247">
        <v>371.99955687142426</v>
      </c>
      <c r="FH84" s="247">
        <v>370.98424494929372</v>
      </c>
      <c r="FI84" s="247">
        <v>369.96917750254084</v>
      </c>
      <c r="FJ84" s="247">
        <v>368.954356375857</v>
      </c>
      <c r="FK84" s="247">
        <v>367.93978344994912</v>
      </c>
      <c r="FL84" s="247">
        <v>366.92546055051429</v>
      </c>
      <c r="FM84" s="247">
        <v>365.9113895627118</v>
      </c>
      <c r="FN84" s="247">
        <v>364.89757231455104</v>
      </c>
      <c r="FO84" s="247">
        <v>363.88401066921472</v>
      </c>
      <c r="FP84" s="247">
        <v>362.87107564199067</v>
      </c>
      <c r="FQ84" s="247">
        <v>361.85839396864515</v>
      </c>
      <c r="FR84" s="247">
        <v>360.84597157869149</v>
      </c>
      <c r="FS84" s="247">
        <v>359.83381440673094</v>
      </c>
      <c r="FT84" s="247">
        <v>358.82192832990131</v>
      </c>
      <c r="FU84" s="247">
        <v>357.81031921440069</v>
      </c>
      <c r="FV84" s="247">
        <v>356.79899287901264</v>
      </c>
      <c r="FW84" s="247">
        <v>355.78795512488477</v>
      </c>
      <c r="FX84" s="247">
        <v>354.77721170128888</v>
      </c>
      <c r="FY84" s="247">
        <v>353.7667683548687</v>
      </c>
      <c r="FZ84" s="247">
        <v>352.75663077815557</v>
      </c>
      <c r="GA84" s="247">
        <v>351.7468046686987</v>
      </c>
      <c r="GB84" s="247">
        <v>350.73768109703087</v>
      </c>
      <c r="GC84" s="247">
        <v>349.72886850308248</v>
      </c>
      <c r="GD84" s="247">
        <v>348.72037080336332</v>
      </c>
      <c r="GE84" s="247">
        <v>347.71219192253113</v>
      </c>
      <c r="GF84" s="247">
        <v>346.70433575524004</v>
      </c>
      <c r="GG84" s="247">
        <v>345.6968061653742</v>
      </c>
      <c r="GH84" s="247">
        <v>344.68960701194482</v>
      </c>
      <c r="GI84" s="247">
        <v>343.68274213235503</v>
      </c>
      <c r="GJ84" s="247">
        <v>342.67621534671275</v>
      </c>
      <c r="GK84" s="247">
        <v>341.67003043761963</v>
      </c>
      <c r="GL84" s="247">
        <v>340.66419121406898</v>
      </c>
      <c r="GM84" s="247">
        <v>339.6587014399143</v>
      </c>
      <c r="GN84" s="247">
        <v>338.6585001613667</v>
      </c>
      <c r="GO84" s="247">
        <v>337.65868173789028</v>
      </c>
      <c r="GP84" s="247">
        <v>336.65925059102341</v>
      </c>
      <c r="GQ84" s="247">
        <v>335.66021111829332</v>
      </c>
      <c r="GR84" s="247">
        <v>334.66156769337198</v>
      </c>
      <c r="GS84" s="247">
        <v>333.663324665223</v>
      </c>
      <c r="GT84" s="247">
        <v>332.66548636969179</v>
      </c>
      <c r="GU84" s="247">
        <v>331.66805711059055</v>
      </c>
      <c r="GV84" s="247">
        <v>330.67104115748043</v>
      </c>
      <c r="GW84" s="247">
        <v>329.67444278751827</v>
      </c>
      <c r="GX84" s="247">
        <v>328.67826623337368</v>
      </c>
      <c r="GY84" s="247">
        <v>327.68251573487834</v>
      </c>
      <c r="GZ84" s="247">
        <v>326.68763932930955</v>
      </c>
      <c r="HA84" s="247">
        <v>325.69319246923027</v>
      </c>
      <c r="HB84" s="247">
        <v>324.6991843199196</v>
      </c>
      <c r="HC84" s="247">
        <v>323.70562398872391</v>
      </c>
      <c r="HD84" s="247">
        <v>322.71252050918361</v>
      </c>
      <c r="HE84" s="247">
        <v>321.71988290358968</v>
      </c>
      <c r="HF84" s="247">
        <v>320.72772009095405</v>
      </c>
      <c r="HG84" s="247">
        <v>319.73604097952642</v>
      </c>
      <c r="HH84" s="247">
        <v>318.74485440060909</v>
      </c>
      <c r="HI84" s="247">
        <v>317.75416916563239</v>
      </c>
      <c r="HJ84" s="247">
        <v>316.76399400687893</v>
      </c>
      <c r="HK84" s="247">
        <v>315.77433765151994</v>
      </c>
      <c r="HL84" s="247">
        <v>314.79170486198126</v>
      </c>
      <c r="HM84" s="247">
        <v>313.80963324065732</v>
      </c>
      <c r="HN84" s="247">
        <v>312.82811438007013</v>
      </c>
      <c r="HO84" s="247">
        <v>311.84713988581012</v>
      </c>
      <c r="HP84" s="247">
        <v>310.86670147764977</v>
      </c>
      <c r="HQ84" s="247">
        <v>309.88679088883708</v>
      </c>
      <c r="HR84" s="247">
        <v>308.90739993561573</v>
      </c>
      <c r="HS84" s="247">
        <v>307.92852045710265</v>
      </c>
      <c r="HT84" s="247">
        <v>306.95014437095614</v>
      </c>
      <c r="HU84" s="247">
        <v>305.97226365880408</v>
      </c>
      <c r="HV84" s="247">
        <v>304.99487033698585</v>
      </c>
      <c r="HW84" s="247">
        <v>304.017956477979</v>
      </c>
      <c r="HX84" s="247">
        <v>303.04201901889132</v>
      </c>
      <c r="HY84" s="247">
        <v>302.06655126759068</v>
      </c>
      <c r="HZ84" s="247">
        <v>301.09156098974751</v>
      </c>
      <c r="IA84" s="247">
        <v>300.11705587747304</v>
      </c>
      <c r="IB84" s="247">
        <v>299.14304359897727</v>
      </c>
      <c r="IC84" s="247">
        <v>298.16953178092263</v>
      </c>
      <c r="ID84" s="247">
        <v>297.19652799475023</v>
      </c>
      <c r="IE84" s="247">
        <v>296.22403978664789</v>
      </c>
      <c r="IF84" s="247">
        <v>295.25207465837428</v>
      </c>
      <c r="IG84" s="247">
        <v>294.28064008529105</v>
      </c>
      <c r="IH84" s="247">
        <v>293.30974347894175</v>
      </c>
      <c r="II84" s="247">
        <v>292.33939224739402</v>
      </c>
      <c r="IJ84" s="247">
        <v>291.37011447064629</v>
      </c>
      <c r="IK84" s="247">
        <v>290.40138923457329</v>
      </c>
      <c r="IL84" s="247">
        <v>289.43322597670738</v>
      </c>
      <c r="IM84" s="247">
        <v>288.46563400954199</v>
      </c>
      <c r="IN84" s="247">
        <v>287.49862275566772</v>
      </c>
      <c r="IO84" s="247">
        <v>286.5322014344938</v>
      </c>
      <c r="IP84" s="247">
        <v>285.56637928949107</v>
      </c>
      <c r="IQ84" s="247">
        <v>284.60116552441093</v>
      </c>
      <c r="IR84" s="247">
        <v>283.63656928377031</v>
      </c>
      <c r="IS84" s="247">
        <v>282.67259967091331</v>
      </c>
      <c r="IT84" s="247">
        <v>281.70926580987367</v>
      </c>
      <c r="IU84" s="247">
        <v>280.74657670604347</v>
      </c>
      <c r="IV84" s="247">
        <v>279.79361650251928</v>
      </c>
      <c r="IW84" s="247">
        <v>278.84135231683786</v>
      </c>
      <c r="IX84" s="247">
        <v>277.88977190683249</v>
      </c>
      <c r="IY84" s="247">
        <v>276.93886319058112</v>
      </c>
      <c r="IZ84" s="247">
        <v>275.98861408651896</v>
      </c>
      <c r="JA84" s="247">
        <v>275.039012590678</v>
      </c>
      <c r="JB84" s="247">
        <v>274.09004685553134</v>
      </c>
      <c r="JC84" s="247">
        <v>273.14170504056551</v>
      </c>
      <c r="JD84" s="247">
        <v>272.19397537495036</v>
      </c>
      <c r="JE84" s="247">
        <v>271.2468461763134</v>
      </c>
      <c r="JF84" s="247">
        <v>270.30030583803938</v>
      </c>
      <c r="JG84" s="247">
        <v>269.35434276113057</v>
      </c>
      <c r="JH84" s="247">
        <v>268.40953084455094</v>
      </c>
      <c r="JI84" s="247">
        <v>267.46528155398437</v>
      </c>
      <c r="JJ84" s="247">
        <v>266.52160120428522</v>
      </c>
      <c r="JK84" s="247">
        <v>265.57849592272322</v>
      </c>
      <c r="JL84" s="247">
        <v>264.63597196755507</v>
      </c>
      <c r="JM84" s="247">
        <v>263.69403540772214</v>
      </c>
      <c r="JN84" s="247">
        <v>262.75269243476481</v>
      </c>
      <c r="JO84" s="247">
        <v>261.81194913874242</v>
      </c>
      <c r="JP84" s="247">
        <v>260.87181164513248</v>
      </c>
      <c r="JQ84" s="247">
        <v>259.93228597771628</v>
      </c>
      <c r="JR84" s="247">
        <v>258.99337819996907</v>
      </c>
      <c r="JS84" s="247">
        <v>258.05509434753588</v>
      </c>
      <c r="JT84" s="247">
        <v>257.10821602155448</v>
      </c>
      <c r="JU84" s="247">
        <v>256.16189440744239</v>
      </c>
      <c r="JV84" s="247">
        <v>255.21612178254125</v>
      </c>
      <c r="JW84" s="247">
        <v>254.27089066388322</v>
      </c>
      <c r="JX84" s="247">
        <v>253.32619347013974</v>
      </c>
      <c r="JY84" s="247">
        <v>252.38202271977786</v>
      </c>
      <c r="JZ84" s="247">
        <v>251.43837096466979</v>
      </c>
      <c r="KA84" s="247">
        <v>250.4952307992321</v>
      </c>
      <c r="KB84" s="247">
        <v>249.5525949113453</v>
      </c>
      <c r="KC84" s="247">
        <v>248.61045596422142</v>
      </c>
      <c r="KD84" s="247">
        <v>247.66880665353253</v>
      </c>
      <c r="KE84" s="247">
        <v>246.72763978404808</v>
      </c>
      <c r="KF84" s="247">
        <v>245.78754733854205</v>
      </c>
      <c r="KG84" s="247">
        <v>244.84794639876364</v>
      </c>
      <c r="KH84" s="247">
        <v>243.9088628454812</v>
      </c>
      <c r="KI84" s="247">
        <v>242.97032228264314</v>
      </c>
      <c r="KJ84" s="247">
        <v>242.03235036636838</v>
      </c>
      <c r="KK84" s="247">
        <v>241.09497246863364</v>
      </c>
      <c r="KL84" s="247">
        <v>240.15821393816799</v>
      </c>
      <c r="KM84" s="247">
        <v>239.22210004106472</v>
      </c>
      <c r="KN84" s="247">
        <v>238.28665587757462</v>
      </c>
      <c r="KO84" s="247">
        <v>237.35190652378461</v>
      </c>
      <c r="KP84" s="247">
        <v>236.41787688999699</v>
      </c>
      <c r="KQ84" s="247">
        <v>235.48459179340475</v>
      </c>
      <c r="KR84" s="247">
        <v>234.54256225255062</v>
      </c>
      <c r="KS84" s="247">
        <v>233.60120422790595</v>
      </c>
      <c r="KT84" s="247">
        <v>232.6604980535956</v>
      </c>
      <c r="KU84" s="247">
        <v>231.72042411064896</v>
      </c>
      <c r="KV84" s="247">
        <v>230.78096283531443</v>
      </c>
      <c r="KW84" s="247">
        <v>229.84209487988448</v>
      </c>
      <c r="KX84" s="247">
        <v>228.90380089141988</v>
      </c>
      <c r="KY84" s="247">
        <v>227.966061634775</v>
      </c>
      <c r="KZ84" s="247">
        <v>227.02885797621778</v>
      </c>
      <c r="LA84" s="247">
        <v>226.09217095699248</v>
      </c>
      <c r="LB84" s="247">
        <v>225.15598161507771</v>
      </c>
      <c r="LC84" s="247">
        <v>224.22027110982239</v>
      </c>
      <c r="LD84" s="247">
        <v>223.28562366275094</v>
      </c>
      <c r="LE84" s="247">
        <v>222.35143719162394</v>
      </c>
      <c r="LF84" s="247">
        <v>221.41772248320098</v>
      </c>
      <c r="LG84" s="247">
        <v>220.48449028580143</v>
      </c>
      <c r="LH84" s="247">
        <v>219.55175131396439</v>
      </c>
      <c r="LI84" s="247">
        <v>218.61951618481692</v>
      </c>
      <c r="LJ84" s="247">
        <v>217.68779557893734</v>
      </c>
      <c r="LK84" s="247">
        <v>216.75660003358274</v>
      </c>
      <c r="LL84" s="247">
        <v>215.82594013735627</v>
      </c>
      <c r="LM84" s="247">
        <v>214.89582633322664</v>
      </c>
      <c r="LN84" s="247">
        <v>213.96626916670627</v>
      </c>
      <c r="LO84" s="247">
        <v>213.03727908518704</v>
      </c>
      <c r="LP84" s="247">
        <v>212.10948677978737</v>
      </c>
      <c r="LQ84" s="247">
        <v>211.18226524127959</v>
      </c>
      <c r="LR84" s="247">
        <v>210.25561759661619</v>
      </c>
      <c r="LS84" s="247">
        <v>209.32954704984229</v>
      </c>
      <c r="LT84" s="247">
        <v>208.40405678327218</v>
      </c>
      <c r="LU84" s="247">
        <v>207.47914989649198</v>
      </c>
      <c r="LV84" s="247">
        <v>206.55482961295505</v>
      </c>
      <c r="LW84" s="247">
        <v>205.63109908092639</v>
      </c>
      <c r="LX84" s="247">
        <v>204.70796145937587</v>
      </c>
      <c r="LY84" s="247">
        <v>203.78541993097508</v>
      </c>
      <c r="LZ84" s="247">
        <v>202.86347763919844</v>
      </c>
      <c r="MA84" s="247">
        <v>201.94213784654434</v>
      </c>
      <c r="MB84" s="247">
        <v>201.02204964895691</v>
      </c>
      <c r="MC84" s="247">
        <v>200.10256049478664</v>
      </c>
      <c r="MD84" s="247">
        <v>199.18367374029435</v>
      </c>
      <c r="ME84" s="247">
        <v>198.26539264068776</v>
      </c>
      <c r="MF84" s="247">
        <v>197.34772050060013</v>
      </c>
      <c r="MG84" s="247">
        <v>196.43066066157235</v>
      </c>
      <c r="MH84" s="247">
        <v>195.51421645780994</v>
      </c>
      <c r="MI84" s="247">
        <v>194.59839117042119</v>
      </c>
      <c r="MJ84" s="247">
        <v>193.6831882036866</v>
      </c>
      <c r="MK84" s="247">
        <v>192.76861085850416</v>
      </c>
      <c r="ML84" s="247">
        <v>191.85466250911239</v>
      </c>
      <c r="MM84" s="247">
        <v>190.94134651813067</v>
      </c>
      <c r="MN84" s="247">
        <v>190.0293374687628</v>
      </c>
      <c r="MO84" s="247">
        <v>189.11795617187497</v>
      </c>
      <c r="MP84" s="247">
        <v>188.20720442485415</v>
      </c>
      <c r="MQ84" s="247">
        <v>187.29708405665221</v>
      </c>
      <c r="MR84" s="247">
        <v>186.38759697811096</v>
      </c>
      <c r="MS84" s="247">
        <v>185.47874503157294</v>
      </c>
      <c r="MT84" s="247">
        <v>184.57053017738986</v>
      </c>
      <c r="MU84" s="247">
        <v>183.66295426683521</v>
      </c>
      <c r="MV84" s="247">
        <v>182.75601925618633</v>
      </c>
      <c r="MW84" s="247">
        <v>181.84972712431608</v>
      </c>
      <c r="MX84" s="247">
        <v>180.94407986075905</v>
      </c>
      <c r="MY84" s="247">
        <v>180.03907942994985</v>
      </c>
    </row>
    <row r="85" spans="1:363" ht="15.6" x14ac:dyDescent="0.3">
      <c r="A85" s="67" t="s">
        <v>6</v>
      </c>
      <c r="B85" s="72">
        <v>2095</v>
      </c>
      <c r="C85" s="247">
        <v>537.7151286804251</v>
      </c>
      <c r="D85" s="247">
        <v>536.68391893453395</v>
      </c>
      <c r="E85" s="247">
        <v>535.65277233438076</v>
      </c>
      <c r="F85" s="247">
        <v>534.6216879746878</v>
      </c>
      <c r="G85" s="247">
        <v>533.59066495378841</v>
      </c>
      <c r="H85" s="247">
        <v>532.55970238964721</v>
      </c>
      <c r="I85" s="247">
        <v>531.52879940225</v>
      </c>
      <c r="J85" s="247">
        <v>530.49795517443602</v>
      </c>
      <c r="K85" s="247">
        <v>529.46716886843626</v>
      </c>
      <c r="L85" s="247">
        <v>528.43643967359526</v>
      </c>
      <c r="M85" s="247">
        <v>527.40576679057972</v>
      </c>
      <c r="N85" s="247">
        <v>526.37514949707463</v>
      </c>
      <c r="O85" s="247">
        <v>525.34458700741527</v>
      </c>
      <c r="P85" s="247">
        <v>524.31240029823459</v>
      </c>
      <c r="Q85" s="247">
        <v>523.28025289188702</v>
      </c>
      <c r="R85" s="247">
        <v>522.24814664043913</v>
      </c>
      <c r="S85" s="247">
        <v>521.21608344069853</v>
      </c>
      <c r="T85" s="247">
        <v>520.18406516513312</v>
      </c>
      <c r="U85" s="247">
        <v>519.15209367371676</v>
      </c>
      <c r="V85" s="247">
        <v>518.12017084094862</v>
      </c>
      <c r="W85" s="247">
        <v>517.08829853698876</v>
      </c>
      <c r="X85" s="247">
        <v>516.05647866888307</v>
      </c>
      <c r="Y85" s="247">
        <v>515.02471311289548</v>
      </c>
      <c r="Z85" s="247">
        <v>513.99300378640123</v>
      </c>
      <c r="AA85" s="247">
        <v>512.96135256391244</v>
      </c>
      <c r="AB85" s="247">
        <v>511.92817744693861</v>
      </c>
      <c r="AC85" s="247">
        <v>510.89504539547386</v>
      </c>
      <c r="AD85" s="247">
        <v>509.86195673252053</v>
      </c>
      <c r="AE85" s="247">
        <v>508.8289117568778</v>
      </c>
      <c r="AF85" s="247">
        <v>507.7959107673509</v>
      </c>
      <c r="AG85" s="247">
        <v>506.76295412223692</v>
      </c>
      <c r="AH85" s="247">
        <v>505.73004215294338</v>
      </c>
      <c r="AI85" s="247">
        <v>504.69717520937547</v>
      </c>
      <c r="AJ85" s="247">
        <v>503.6643536346416</v>
      </c>
      <c r="AK85" s="247">
        <v>502.63157785182085</v>
      </c>
      <c r="AL85" s="247">
        <v>501.59884823282073</v>
      </c>
      <c r="AM85" s="247">
        <v>500.56616520627074</v>
      </c>
      <c r="AN85" s="247">
        <v>499.5320370721891</v>
      </c>
      <c r="AO85" s="247">
        <v>498.49794240010146</v>
      </c>
      <c r="AP85" s="247">
        <v>497.46388374226041</v>
      </c>
      <c r="AQ85" s="247">
        <v>496.42986362735667</v>
      </c>
      <c r="AR85" s="247">
        <v>495.39588462566701</v>
      </c>
      <c r="AS85" s="247">
        <v>494.36194927176859</v>
      </c>
      <c r="AT85" s="247">
        <v>493.32806009555884</v>
      </c>
      <c r="AU85" s="247">
        <v>492.29421965304249</v>
      </c>
      <c r="AV85" s="247">
        <v>491.26043048036576</v>
      </c>
      <c r="AW85" s="247">
        <v>490.22669513034816</v>
      </c>
      <c r="AX85" s="247">
        <v>489.19301612890752</v>
      </c>
      <c r="AY85" s="247">
        <v>488.1593960624391</v>
      </c>
      <c r="AZ85" s="247">
        <v>487.12442367416372</v>
      </c>
      <c r="BA85" s="247">
        <v>486.08949114791454</v>
      </c>
      <c r="BB85" s="247">
        <v>485.05459439896202</v>
      </c>
      <c r="BC85" s="247">
        <v>484.01972934406967</v>
      </c>
      <c r="BD85" s="247">
        <v>482.98489197961123</v>
      </c>
      <c r="BE85" s="247">
        <v>481.95007830222011</v>
      </c>
      <c r="BF85" s="247">
        <v>480.91528435576885</v>
      </c>
      <c r="BG85" s="247">
        <v>479.88050625049817</v>
      </c>
      <c r="BH85" s="247">
        <v>478.84574008186121</v>
      </c>
      <c r="BI85" s="247">
        <v>477.81098204168381</v>
      </c>
      <c r="BJ85" s="247">
        <v>476.77622832022189</v>
      </c>
      <c r="BK85" s="247">
        <v>475.7414751578703</v>
      </c>
      <c r="BL85" s="247">
        <v>474.70541422431336</v>
      </c>
      <c r="BM85" s="247">
        <v>473.66935567809509</v>
      </c>
      <c r="BN85" s="247">
        <v>472.63331662380682</v>
      </c>
      <c r="BO85" s="247">
        <v>471.5973140237142</v>
      </c>
      <c r="BP85" s="247">
        <v>470.56136479395917</v>
      </c>
      <c r="BQ85" s="247">
        <v>469.52548574122704</v>
      </c>
      <c r="BR85" s="247">
        <v>468.48969357918469</v>
      </c>
      <c r="BS85" s="247">
        <v>467.45400496382496</v>
      </c>
      <c r="BT85" s="247">
        <v>466.41843644401945</v>
      </c>
      <c r="BU85" s="247">
        <v>465.38300447859012</v>
      </c>
      <c r="BV85" s="247">
        <v>464.34772546513068</v>
      </c>
      <c r="BW85" s="247">
        <v>463.31261571175475</v>
      </c>
      <c r="BX85" s="247">
        <v>462.27638926475811</v>
      </c>
      <c r="BY85" s="247">
        <v>461.2403083277884</v>
      </c>
      <c r="BZ85" s="247">
        <v>460.20436194065934</v>
      </c>
      <c r="CA85" s="247">
        <v>459.16853921939315</v>
      </c>
      <c r="CB85" s="247">
        <v>458.13282935221372</v>
      </c>
      <c r="CC85" s="247">
        <v>457.097221625553</v>
      </c>
      <c r="CD85" s="247">
        <v>456.06170537828706</v>
      </c>
      <c r="CE85" s="247">
        <v>455.02627003504028</v>
      </c>
      <c r="CF85" s="247">
        <v>453.99090510513872</v>
      </c>
      <c r="CG85" s="247">
        <v>452.95560016975884</v>
      </c>
      <c r="CH85" s="247">
        <v>451.92034489179514</v>
      </c>
      <c r="CI85" s="247">
        <v>450.8851290144014</v>
      </c>
      <c r="CJ85" s="247">
        <v>449.84866592086354</v>
      </c>
      <c r="CK85" s="247">
        <v>448.81222240887655</v>
      </c>
      <c r="CL85" s="247">
        <v>447.77580343364832</v>
      </c>
      <c r="CM85" s="247">
        <v>446.73941390138106</v>
      </c>
      <c r="CN85" s="247">
        <v>445.70305871962813</v>
      </c>
      <c r="CO85" s="247">
        <v>444.66674277348721</v>
      </c>
      <c r="CP85" s="247">
        <v>443.63047094410291</v>
      </c>
      <c r="CQ85" s="247">
        <v>442.59424807318277</v>
      </c>
      <c r="CR85" s="247">
        <v>441.55807900687199</v>
      </c>
      <c r="CS85" s="247">
        <v>440.52196856587454</v>
      </c>
      <c r="CT85" s="247">
        <v>439.48592156618651</v>
      </c>
      <c r="CU85" s="247">
        <v>438.44994279927994</v>
      </c>
      <c r="CV85" s="247">
        <v>437.41421784889314</v>
      </c>
      <c r="CW85" s="247">
        <v>436.37855459573927</v>
      </c>
      <c r="CX85" s="247">
        <v>435.34295240804806</v>
      </c>
      <c r="CY85" s="247">
        <v>434.30741065596879</v>
      </c>
      <c r="CZ85" s="247">
        <v>433.27192874193554</v>
      </c>
      <c r="DA85" s="247">
        <v>432.23650609007916</v>
      </c>
      <c r="DB85" s="247">
        <v>431.20114211270231</v>
      </c>
      <c r="DC85" s="247">
        <v>430.16583627242477</v>
      </c>
      <c r="DD85" s="247">
        <v>429.13058802207081</v>
      </c>
      <c r="DE85" s="247">
        <v>428.09539683986287</v>
      </c>
      <c r="DF85" s="247">
        <v>427.0602622369085</v>
      </c>
      <c r="DG85" s="247">
        <v>426.02518373770096</v>
      </c>
      <c r="DH85" s="247">
        <v>424.99035987178161</v>
      </c>
      <c r="DI85" s="247">
        <v>423.95558750410714</v>
      </c>
      <c r="DJ85" s="247">
        <v>422.92087314517158</v>
      </c>
      <c r="DK85" s="247">
        <v>421.88622325474239</v>
      </c>
      <c r="DL85" s="247">
        <v>420.85164429092498</v>
      </c>
      <c r="DM85" s="247">
        <v>419.81714266175817</v>
      </c>
      <c r="DN85" s="247">
        <v>418.78272474853014</v>
      </c>
      <c r="DO85" s="247">
        <v>417.74839692346177</v>
      </c>
      <c r="DP85" s="247">
        <v>416.71416551488812</v>
      </c>
      <c r="DQ85" s="247">
        <v>415.68003682351286</v>
      </c>
      <c r="DR85" s="247">
        <v>414.64601712968005</v>
      </c>
      <c r="DS85" s="247">
        <v>413.61211268663345</v>
      </c>
      <c r="DT85" s="247">
        <v>412.58030694274117</v>
      </c>
      <c r="DU85" s="247">
        <v>411.54863479378923</v>
      </c>
      <c r="DV85" s="247">
        <v>410.51710538832145</v>
      </c>
      <c r="DW85" s="247">
        <v>409.48572783195243</v>
      </c>
      <c r="DX85" s="247">
        <v>408.45451117939012</v>
      </c>
      <c r="DY85" s="247">
        <v>407.42346443621756</v>
      </c>
      <c r="DZ85" s="247">
        <v>406.39259654385285</v>
      </c>
      <c r="EA85" s="247">
        <v>405.36191643152841</v>
      </c>
      <c r="EB85" s="247">
        <v>404.33143295280473</v>
      </c>
      <c r="EC85" s="247">
        <v>403.30115492196319</v>
      </c>
      <c r="ED85" s="247">
        <v>402.27109111612202</v>
      </c>
      <c r="EE85" s="247">
        <v>401.24125028009564</v>
      </c>
      <c r="EF85" s="247">
        <v>400.21406670344368</v>
      </c>
      <c r="EG85" s="247">
        <v>399.18711871195171</v>
      </c>
      <c r="EH85" s="247">
        <v>398.16039631508318</v>
      </c>
      <c r="EI85" s="247">
        <v>397.13388960938806</v>
      </c>
      <c r="EJ85" s="247">
        <v>396.10758875502495</v>
      </c>
      <c r="EK85" s="247">
        <v>395.08148397837095</v>
      </c>
      <c r="EL85" s="247">
        <v>394.05556558451605</v>
      </c>
      <c r="EM85" s="247">
        <v>393.02982394856446</v>
      </c>
      <c r="EN85" s="247">
        <v>392.00424952680868</v>
      </c>
      <c r="EO85" s="247">
        <v>390.97883283789281</v>
      </c>
      <c r="EP85" s="247">
        <v>389.95356448762618</v>
      </c>
      <c r="EQ85" s="247">
        <v>388.92843514517341</v>
      </c>
      <c r="ER85" s="247">
        <v>387.90635823597972</v>
      </c>
      <c r="ES85" s="247">
        <v>386.88442211823156</v>
      </c>
      <c r="ET85" s="247">
        <v>385.86263416050139</v>
      </c>
      <c r="EU85" s="247">
        <v>384.84100170028177</v>
      </c>
      <c r="EV85" s="247">
        <v>383.8195320256587</v>
      </c>
      <c r="EW85" s="247">
        <v>382.79823239373076</v>
      </c>
      <c r="EX85" s="247">
        <v>381.77711002861389</v>
      </c>
      <c r="EY85" s="247">
        <v>380.75617210336173</v>
      </c>
      <c r="EZ85" s="247">
        <v>379.73542576088533</v>
      </c>
      <c r="FA85" s="247">
        <v>378.71487810718963</v>
      </c>
      <c r="FB85" s="247">
        <v>377.69453622372686</v>
      </c>
      <c r="FC85" s="247">
        <v>376.67440714801859</v>
      </c>
      <c r="FD85" s="247">
        <v>375.65795027489105</v>
      </c>
      <c r="FE85" s="247">
        <v>374.64172780025785</v>
      </c>
      <c r="FF85" s="247">
        <v>373.62574156591961</v>
      </c>
      <c r="FG85" s="247">
        <v>372.60999347233462</v>
      </c>
      <c r="FH85" s="247">
        <v>371.59448534344068</v>
      </c>
      <c r="FI85" s="247">
        <v>370.57921906991947</v>
      </c>
      <c r="FJ85" s="247">
        <v>369.56419648452521</v>
      </c>
      <c r="FK85" s="247">
        <v>368.54941945581425</v>
      </c>
      <c r="FL85" s="247">
        <v>367.53488979831417</v>
      </c>
      <c r="FM85" s="247">
        <v>366.52060938553677</v>
      </c>
      <c r="FN85" s="247">
        <v>365.50658003490719</v>
      </c>
      <c r="FO85" s="247">
        <v>364.49280359890099</v>
      </c>
      <c r="FP85" s="247">
        <v>363.4796345189784</v>
      </c>
      <c r="FQ85" s="247">
        <v>362.46671601907877</v>
      </c>
      <c r="FR85" s="247">
        <v>361.45405395755068</v>
      </c>
      <c r="FS85" s="247">
        <v>360.44165419803284</v>
      </c>
      <c r="FT85" s="247">
        <v>359.42952254787605</v>
      </c>
      <c r="FU85" s="247">
        <v>358.41766480387759</v>
      </c>
      <c r="FV85" s="247">
        <v>357.40608671643753</v>
      </c>
      <c r="FW85" s="247">
        <v>356.39479401891623</v>
      </c>
      <c r="FX85" s="247">
        <v>355.38379239378452</v>
      </c>
      <c r="FY85" s="247">
        <v>354.37308752133828</v>
      </c>
      <c r="FZ85" s="247">
        <v>353.36268502882405</v>
      </c>
      <c r="GA85" s="247">
        <v>352.35259054885881</v>
      </c>
      <c r="GB85" s="247">
        <v>351.34317834544572</v>
      </c>
      <c r="GC85" s="247">
        <v>350.33407355524213</v>
      </c>
      <c r="GD85" s="247">
        <v>349.32528005326606</v>
      </c>
      <c r="GE85" s="247">
        <v>348.31680172282103</v>
      </c>
      <c r="GF85" s="247">
        <v>347.30864241795945</v>
      </c>
      <c r="GG85" s="247">
        <v>346.30080596261632</v>
      </c>
      <c r="GH85" s="247">
        <v>345.29329617623858</v>
      </c>
      <c r="GI85" s="247">
        <v>344.28611685729334</v>
      </c>
      <c r="GJ85" s="247">
        <v>343.27927178741743</v>
      </c>
      <c r="GK85" s="247">
        <v>342.27276471167414</v>
      </c>
      <c r="GL85" s="247">
        <v>341.26659940140684</v>
      </c>
      <c r="GM85" s="247">
        <v>340.26077958386787</v>
      </c>
      <c r="GN85" s="247">
        <v>339.26021307863493</v>
      </c>
      <c r="GO85" s="247">
        <v>338.26002528940199</v>
      </c>
      <c r="GP85" s="247">
        <v>337.26022059320945</v>
      </c>
      <c r="GQ85" s="247">
        <v>336.26080334365423</v>
      </c>
      <c r="GR85" s="247">
        <v>335.26177787111317</v>
      </c>
      <c r="GS85" s="247">
        <v>334.26314848180215</v>
      </c>
      <c r="GT85" s="247">
        <v>333.26491946930184</v>
      </c>
      <c r="GU85" s="247">
        <v>332.26709509589568</v>
      </c>
      <c r="GV85" s="247">
        <v>331.26967959029457</v>
      </c>
      <c r="GW85" s="247">
        <v>330.27267718909417</v>
      </c>
      <c r="GX85" s="247">
        <v>329.27609208525098</v>
      </c>
      <c r="GY85" s="247">
        <v>328.27992847918756</v>
      </c>
      <c r="GZ85" s="247">
        <v>327.28461765690128</v>
      </c>
      <c r="HA85" s="247">
        <v>326.28973167454103</v>
      </c>
      <c r="HB85" s="247">
        <v>325.29527959101165</v>
      </c>
      <c r="HC85" s="247">
        <v>324.30127040835418</v>
      </c>
      <c r="HD85" s="247">
        <v>323.30771305615229</v>
      </c>
      <c r="HE85" s="247">
        <v>322.31461645315073</v>
      </c>
      <c r="HF85" s="247">
        <v>321.32198941653957</v>
      </c>
      <c r="HG85" s="247">
        <v>320.3298407532447</v>
      </c>
      <c r="HH85" s="247">
        <v>319.33817919453611</v>
      </c>
      <c r="HI85" s="247">
        <v>318.34701345250465</v>
      </c>
      <c r="HJ85" s="247">
        <v>317.35635216144766</v>
      </c>
      <c r="HK85" s="247">
        <v>316.36620395105456</v>
      </c>
      <c r="HL85" s="247">
        <v>315.38304436229123</v>
      </c>
      <c r="HM85" s="247">
        <v>314.40044014595065</v>
      </c>
      <c r="HN85" s="247">
        <v>313.41838301095703</v>
      </c>
      <c r="HO85" s="247">
        <v>312.43686467924334</v>
      </c>
      <c r="HP85" s="247">
        <v>311.45587698571751</v>
      </c>
      <c r="HQ85" s="247">
        <v>310.47541177867424</v>
      </c>
      <c r="HR85" s="247">
        <v>309.49546098856928</v>
      </c>
      <c r="HS85" s="247">
        <v>308.51601656861334</v>
      </c>
      <c r="HT85" s="247">
        <v>307.53707054971039</v>
      </c>
      <c r="HU85" s="247">
        <v>306.55861502619001</v>
      </c>
      <c r="HV85" s="247">
        <v>305.58064212680949</v>
      </c>
      <c r="HW85" s="247">
        <v>304.60314403603394</v>
      </c>
      <c r="HX85" s="247">
        <v>303.62660130131962</v>
      </c>
      <c r="HY85" s="247">
        <v>302.6505236518671</v>
      </c>
      <c r="HZ85" s="247">
        <v>301.67491877329223</v>
      </c>
      <c r="IA85" s="247">
        <v>300.69979427881685</v>
      </c>
      <c r="IB85" s="247">
        <v>299.72515775839804</v>
      </c>
      <c r="IC85" s="247">
        <v>298.75101676118828</v>
      </c>
      <c r="ID85" s="247">
        <v>297.77737878213162</v>
      </c>
      <c r="IE85" s="247">
        <v>296.80425129153969</v>
      </c>
      <c r="IF85" s="247">
        <v>295.83164171610508</v>
      </c>
      <c r="IG85" s="247">
        <v>294.85955745682941</v>
      </c>
      <c r="IH85" s="247">
        <v>293.88800585196384</v>
      </c>
      <c r="II85" s="247">
        <v>292.91699423672839</v>
      </c>
      <c r="IJ85" s="247">
        <v>291.94703393867735</v>
      </c>
      <c r="IK85" s="247">
        <v>290.97762062408037</v>
      </c>
      <c r="IL85" s="247">
        <v>290.008763631318</v>
      </c>
      <c r="IM85" s="247">
        <v>289.04047217552034</v>
      </c>
      <c r="IN85" s="247">
        <v>288.07275558094341</v>
      </c>
      <c r="IO85" s="247">
        <v>287.10562297135897</v>
      </c>
      <c r="IP85" s="247">
        <v>286.13908349465953</v>
      </c>
      <c r="IQ85" s="247">
        <v>285.17314625982664</v>
      </c>
      <c r="IR85" s="247">
        <v>284.20782031758597</v>
      </c>
      <c r="IS85" s="247">
        <v>283.24311467838675</v>
      </c>
      <c r="IT85" s="247">
        <v>282.27903837341933</v>
      </c>
      <c r="IU85" s="247">
        <v>281.3156003170605</v>
      </c>
      <c r="IV85" s="247">
        <v>280.36186029849836</v>
      </c>
      <c r="IW85" s="247">
        <v>279.40880979927431</v>
      </c>
      <c r="IX85" s="247">
        <v>278.45643672579638</v>
      </c>
      <c r="IY85" s="247">
        <v>277.50472914303577</v>
      </c>
      <c r="IZ85" s="247">
        <v>276.55367511645721</v>
      </c>
      <c r="JA85" s="247">
        <v>275.6032627883115</v>
      </c>
      <c r="JB85" s="247">
        <v>274.65348045573012</v>
      </c>
      <c r="JC85" s="247">
        <v>273.70431642289799</v>
      </c>
      <c r="JD85" s="247">
        <v>272.75575906300588</v>
      </c>
      <c r="JE85" s="247">
        <v>271.80779683693362</v>
      </c>
      <c r="JF85" s="247">
        <v>270.86041828059518</v>
      </c>
      <c r="JG85" s="247">
        <v>269.91361193765971</v>
      </c>
      <c r="JH85" s="247">
        <v>268.96793564360365</v>
      </c>
      <c r="JI85" s="247">
        <v>268.02281701667732</v>
      </c>
      <c r="JJ85" s="247">
        <v>267.07826231603872</v>
      </c>
      <c r="JK85" s="247">
        <v>266.13427761555556</v>
      </c>
      <c r="JL85" s="247">
        <v>265.1908691189671</v>
      </c>
      <c r="JM85" s="247">
        <v>264.2480428429788</v>
      </c>
      <c r="JN85" s="247">
        <v>263.30580492587075</v>
      </c>
      <c r="JO85" s="247">
        <v>262.36416140583202</v>
      </c>
      <c r="JP85" s="247">
        <v>261.42311835632717</v>
      </c>
      <c r="JQ85" s="247">
        <v>260.48268175059212</v>
      </c>
      <c r="JR85" s="247">
        <v>259.54285760138191</v>
      </c>
      <c r="JS85" s="247">
        <v>258.60365189429643</v>
      </c>
      <c r="JT85" s="247">
        <v>257.65583737364017</v>
      </c>
      <c r="JU85" s="247">
        <v>256.70857418296941</v>
      </c>
      <c r="JV85" s="247">
        <v>255.76185470631145</v>
      </c>
      <c r="JW85" s="247">
        <v>254.81567156466548</v>
      </c>
      <c r="JX85" s="247">
        <v>253.87001728205445</v>
      </c>
      <c r="JY85" s="247">
        <v>252.92488448120662</v>
      </c>
      <c r="JZ85" s="247">
        <v>251.98026581807554</v>
      </c>
      <c r="KA85" s="247">
        <v>251.03615399083952</v>
      </c>
      <c r="KB85" s="247">
        <v>250.09254179016642</v>
      </c>
      <c r="KC85" s="247">
        <v>249.14942198261784</v>
      </c>
      <c r="KD85" s="247">
        <v>248.20678736699759</v>
      </c>
      <c r="KE85" s="247">
        <v>247.26463085019321</v>
      </c>
      <c r="KF85" s="247">
        <v>246.32352669234518</v>
      </c>
      <c r="KG85" s="247">
        <v>245.38290950294302</v>
      </c>
      <c r="KH85" s="247">
        <v>244.44280487076202</v>
      </c>
      <c r="KI85" s="247">
        <v>243.50323811143934</v>
      </c>
      <c r="KJ85" s="247">
        <v>242.56423459263652</v>
      </c>
      <c r="KK85" s="247">
        <v>241.62581940159305</v>
      </c>
      <c r="KL85" s="247">
        <v>240.68801760303913</v>
      </c>
      <c r="KM85" s="247">
        <v>239.75085418047007</v>
      </c>
      <c r="KN85" s="247">
        <v>238.814353953877</v>
      </c>
      <c r="KO85" s="247">
        <v>237.87854171986325</v>
      </c>
      <c r="KP85" s="247">
        <v>236.94344211159424</v>
      </c>
      <c r="KQ85" s="247">
        <v>236.00907967071348</v>
      </c>
      <c r="KR85" s="247">
        <v>235.06596422213619</v>
      </c>
      <c r="KS85" s="247">
        <v>234.1235130361693</v>
      </c>
      <c r="KT85" s="247">
        <v>233.18170671568612</v>
      </c>
      <c r="KU85" s="247">
        <v>232.2405259098968</v>
      </c>
      <c r="KV85" s="247">
        <v>231.29995132264673</v>
      </c>
      <c r="KW85" s="247">
        <v>230.35996387106479</v>
      </c>
      <c r="KX85" s="247">
        <v>229.42054446724396</v>
      </c>
      <c r="KY85" s="247">
        <v>228.48167413967394</v>
      </c>
      <c r="KZ85" s="247">
        <v>227.54333401701342</v>
      </c>
      <c r="LA85" s="247">
        <v>226.60550540085995</v>
      </c>
      <c r="LB85" s="247">
        <v>225.6681695896788</v>
      </c>
      <c r="LC85" s="247">
        <v>224.73130800197401</v>
      </c>
      <c r="LD85" s="247">
        <v>223.79548558616355</v>
      </c>
      <c r="LE85" s="247">
        <v>222.86011965484667</v>
      </c>
      <c r="LF85" s="247">
        <v>221.92522087365319</v>
      </c>
      <c r="LG85" s="247">
        <v>220.99079987054259</v>
      </c>
      <c r="LH85" s="247">
        <v>220.05686724048732</v>
      </c>
      <c r="LI85" s="247">
        <v>219.12343348252787</v>
      </c>
      <c r="LJ85" s="247">
        <v>218.19050915870136</v>
      </c>
      <c r="LK85" s="247">
        <v>217.25810468987888</v>
      </c>
      <c r="LL85" s="247">
        <v>216.32623054788732</v>
      </c>
      <c r="LM85" s="247">
        <v>215.39489706117627</v>
      </c>
      <c r="LN85" s="247">
        <v>214.46411465972983</v>
      </c>
      <c r="LO85" s="247">
        <v>213.53389367706833</v>
      </c>
      <c r="LP85" s="247">
        <v>212.60484486714856</v>
      </c>
      <c r="LQ85" s="247">
        <v>211.67636100375111</v>
      </c>
      <c r="LR85" s="247">
        <v>210.74844519094006</v>
      </c>
      <c r="LS85" s="247">
        <v>209.82110060910856</v>
      </c>
      <c r="LT85" s="247">
        <v>208.89433041748944</v>
      </c>
      <c r="LU85" s="247">
        <v>207.96813769380884</v>
      </c>
      <c r="LV85" s="247">
        <v>207.04252563838105</v>
      </c>
      <c r="LW85" s="247">
        <v>206.11749737755068</v>
      </c>
      <c r="LX85" s="247">
        <v>205.19305604843598</v>
      </c>
      <c r="LY85" s="247">
        <v>204.26920481189813</v>
      </c>
      <c r="LZ85" s="247">
        <v>203.34594679033597</v>
      </c>
      <c r="MA85" s="247">
        <v>202.4232852240136</v>
      </c>
      <c r="MB85" s="247">
        <v>201.50184894566939</v>
      </c>
      <c r="MC85" s="247">
        <v>200.58100560086007</v>
      </c>
      <c r="MD85" s="247">
        <v>199.6607585202166</v>
      </c>
      <c r="ME85" s="247">
        <v>198.74111093479627</v>
      </c>
      <c r="MF85" s="247">
        <v>197.82206612474414</v>
      </c>
      <c r="MG85" s="247">
        <v>196.90362740680786</v>
      </c>
      <c r="MH85" s="247">
        <v>195.98579809077344</v>
      </c>
      <c r="MI85" s="247">
        <v>195.06858143425649</v>
      </c>
      <c r="MJ85" s="247">
        <v>194.15198081668029</v>
      </c>
      <c r="MK85" s="247">
        <v>193.23599951572371</v>
      </c>
      <c r="ML85" s="247">
        <v>192.32064088170472</v>
      </c>
      <c r="MM85" s="247">
        <v>191.40590825380809</v>
      </c>
      <c r="MN85" s="247">
        <v>190.49245551286467</v>
      </c>
      <c r="MO85" s="247">
        <v>189.57962411711577</v>
      </c>
      <c r="MP85" s="247">
        <v>188.66741585793596</v>
      </c>
      <c r="MQ85" s="247">
        <v>187.75583255805179</v>
      </c>
      <c r="MR85" s="247">
        <v>186.84487612131431</v>
      </c>
      <c r="MS85" s="247">
        <v>185.93454838408175</v>
      </c>
      <c r="MT85" s="247">
        <v>185.02485129949838</v>
      </c>
      <c r="MU85" s="247">
        <v>184.11578671323753</v>
      </c>
      <c r="MV85" s="247">
        <v>183.20735657483337</v>
      </c>
      <c r="MW85" s="247">
        <v>182.29956285644118</v>
      </c>
      <c r="MX85" s="247">
        <v>181.39240754095255</v>
      </c>
      <c r="MY85" s="247">
        <v>180.48589258679743</v>
      </c>
    </row>
    <row r="86" spans="1:363" ht="15.6" x14ac:dyDescent="0.3">
      <c r="A86" s="67" t="s">
        <v>6</v>
      </c>
      <c r="B86" s="72">
        <v>2096</v>
      </c>
      <c r="C86" s="247">
        <v>538.31580004482987</v>
      </c>
      <c r="D86" s="247">
        <v>537.28470237802014</v>
      </c>
      <c r="E86" s="247">
        <v>536.25366801736084</v>
      </c>
      <c r="F86" s="247">
        <v>535.222696078014</v>
      </c>
      <c r="G86" s="247">
        <v>534.19178567887752</v>
      </c>
      <c r="H86" s="247">
        <v>533.16093595849463</v>
      </c>
      <c r="I86" s="247">
        <v>532.13014605754256</v>
      </c>
      <c r="J86" s="247">
        <v>531.09941517904952</v>
      </c>
      <c r="K86" s="247">
        <v>530.0687425058934</v>
      </c>
      <c r="L86" s="247">
        <v>529.03812724792419</v>
      </c>
      <c r="M86" s="247">
        <v>528.00756862646097</v>
      </c>
      <c r="N86" s="247">
        <v>526.97706593913676</v>
      </c>
      <c r="O86" s="247">
        <v>525.94661842128028</v>
      </c>
      <c r="P86" s="247">
        <v>524.914536682424</v>
      </c>
      <c r="Q86" s="247">
        <v>523.88249462624651</v>
      </c>
      <c r="R86" s="247">
        <v>522.85049409135218</v>
      </c>
      <c r="S86" s="247">
        <v>521.81853696070129</v>
      </c>
      <c r="T86" s="247">
        <v>520.78662509350215</v>
      </c>
      <c r="U86" s="247">
        <v>519.75476033680707</v>
      </c>
      <c r="V86" s="247">
        <v>518.72294455227018</v>
      </c>
      <c r="W86" s="247">
        <v>517.69117959751554</v>
      </c>
      <c r="X86" s="247">
        <v>516.65946736678382</v>
      </c>
      <c r="Y86" s="247">
        <v>515.62780972424548</v>
      </c>
      <c r="Z86" s="247">
        <v>514.59620857489438</v>
      </c>
      <c r="AA86" s="247">
        <v>513.56466578174411</v>
      </c>
      <c r="AB86" s="247">
        <v>512.53159015653796</v>
      </c>
      <c r="AC86" s="247">
        <v>511.49855785906198</v>
      </c>
      <c r="AD86" s="247">
        <v>510.46556921905182</v>
      </c>
      <c r="AE86" s="247">
        <v>509.4326245425562</v>
      </c>
      <c r="AF86" s="247">
        <v>508.39972413591954</v>
      </c>
      <c r="AG86" s="247">
        <v>507.36686836431556</v>
      </c>
      <c r="AH86" s="247">
        <v>506.33405756665917</v>
      </c>
      <c r="AI86" s="247">
        <v>505.30129210037387</v>
      </c>
      <c r="AJ86" s="247">
        <v>504.26857231636831</v>
      </c>
      <c r="AK86" s="247">
        <v>503.2358986447411</v>
      </c>
      <c r="AL86" s="247">
        <v>502.20327146535908</v>
      </c>
      <c r="AM86" s="247">
        <v>501.17069121437225</v>
      </c>
      <c r="AN86" s="247">
        <v>500.13665806529383</v>
      </c>
      <c r="AO86" s="247">
        <v>499.10265871228364</v>
      </c>
      <c r="AP86" s="247">
        <v>498.06869568176455</v>
      </c>
      <c r="AQ86" s="247">
        <v>497.03477147716575</v>
      </c>
      <c r="AR86" s="247">
        <v>496.00088864319702</v>
      </c>
      <c r="AS86" s="247">
        <v>494.96704968958727</v>
      </c>
      <c r="AT86" s="247">
        <v>493.93325712173942</v>
      </c>
      <c r="AU86" s="247">
        <v>492.89951347108234</v>
      </c>
      <c r="AV86" s="247">
        <v>491.86582124968095</v>
      </c>
      <c r="AW86" s="247">
        <v>490.83218298639486</v>
      </c>
      <c r="AX86" s="247">
        <v>489.79860118383766</v>
      </c>
      <c r="AY86" s="247">
        <v>488.76507840458095</v>
      </c>
      <c r="AZ86" s="247">
        <v>487.73019620668043</v>
      </c>
      <c r="BA86" s="247">
        <v>486.69535404185274</v>
      </c>
      <c r="BB86" s="247">
        <v>485.66054790263757</v>
      </c>
      <c r="BC86" s="247">
        <v>484.62577378321652</v>
      </c>
      <c r="BD86" s="247">
        <v>483.59102775639275</v>
      </c>
      <c r="BE86" s="247">
        <v>482.55630589535866</v>
      </c>
      <c r="BF86" s="247">
        <v>481.52160432004246</v>
      </c>
      <c r="BG86" s="247">
        <v>480.48691921595372</v>
      </c>
      <c r="BH86" s="247">
        <v>479.45224675419576</v>
      </c>
      <c r="BI86" s="247">
        <v>478.41758320105419</v>
      </c>
      <c r="BJ86" s="247">
        <v>477.38292482146915</v>
      </c>
      <c r="BK86" s="247">
        <v>476.34826793007596</v>
      </c>
      <c r="BL86" s="247">
        <v>475.31229770282329</v>
      </c>
      <c r="BM86" s="247">
        <v>474.27633059123912</v>
      </c>
      <c r="BN86" s="247">
        <v>473.24038342694439</v>
      </c>
      <c r="BO86" s="247">
        <v>472.20447290198416</v>
      </c>
      <c r="BP86" s="247">
        <v>471.16861566351872</v>
      </c>
      <c r="BQ86" s="247">
        <v>470.13282825142488</v>
      </c>
      <c r="BR86" s="247">
        <v>469.09712711454989</v>
      </c>
      <c r="BS86" s="247">
        <v>468.06152864550171</v>
      </c>
      <c r="BT86" s="247">
        <v>467.02604913189924</v>
      </c>
      <c r="BU86" s="247">
        <v>465.99070477335323</v>
      </c>
      <c r="BV86" s="247">
        <v>464.95551170967656</v>
      </c>
      <c r="BW86" s="247">
        <v>463.92048599324039</v>
      </c>
      <c r="BX86" s="247">
        <v>462.88433610776201</v>
      </c>
      <c r="BY86" s="247">
        <v>461.84832989338497</v>
      </c>
      <c r="BZ86" s="247">
        <v>460.81245659932034</v>
      </c>
      <c r="CA86" s="247">
        <v>459.77670554975799</v>
      </c>
      <c r="CB86" s="247">
        <v>458.74106614003637</v>
      </c>
      <c r="CC86" s="247">
        <v>457.70552786204945</v>
      </c>
      <c r="CD86" s="247">
        <v>456.67008025939322</v>
      </c>
      <c r="CE86" s="247">
        <v>455.63471296012301</v>
      </c>
      <c r="CF86" s="247">
        <v>454.59941567558064</v>
      </c>
      <c r="CG86" s="247">
        <v>453.56417818798661</v>
      </c>
      <c r="CH86" s="247">
        <v>452.52899035998246</v>
      </c>
      <c r="CI86" s="247">
        <v>451.4938421333589</v>
      </c>
      <c r="CJ86" s="247">
        <v>450.45744270691489</v>
      </c>
      <c r="CK86" s="247">
        <v>449.42106320469549</v>
      </c>
      <c r="CL86" s="247">
        <v>448.38470850478188</v>
      </c>
      <c r="CM86" s="247">
        <v>447.34838343743883</v>
      </c>
      <c r="CN86" s="247">
        <v>446.31209283463556</v>
      </c>
      <c r="CO86" s="247">
        <v>445.27584150654741</v>
      </c>
      <c r="CP86" s="247">
        <v>444.23963425981225</v>
      </c>
      <c r="CQ86" s="247">
        <v>443.2034758627575</v>
      </c>
      <c r="CR86" s="247">
        <v>442.16737108829892</v>
      </c>
      <c r="CS86" s="247">
        <v>441.13132468485099</v>
      </c>
      <c r="CT86" s="247">
        <v>440.09534139651282</v>
      </c>
      <c r="CU86" s="247">
        <v>439.05942594379007</v>
      </c>
      <c r="CV86" s="247">
        <v>438.02374800654582</v>
      </c>
      <c r="CW86" s="247">
        <v>436.9881313220759</v>
      </c>
      <c r="CX86" s="247">
        <v>435.95257528610279</v>
      </c>
      <c r="CY86" s="247">
        <v>434.9170792964627</v>
      </c>
      <c r="CZ86" s="247">
        <v>433.88164278298632</v>
      </c>
      <c r="DA86" s="247">
        <v>432.8462651969985</v>
      </c>
      <c r="DB86" s="247">
        <v>431.81094597848858</v>
      </c>
      <c r="DC86" s="247">
        <v>430.77568461717266</v>
      </c>
      <c r="DD86" s="247">
        <v>429.7404805933208</v>
      </c>
      <c r="DE86" s="247">
        <v>428.7053334125456</v>
      </c>
      <c r="DF86" s="247">
        <v>427.67024261297121</v>
      </c>
      <c r="DG86" s="247">
        <v>426.63520774628449</v>
      </c>
      <c r="DH86" s="247">
        <v>425.60041129638927</v>
      </c>
      <c r="DI86" s="247">
        <v>424.56566609041926</v>
      </c>
      <c r="DJ86" s="247">
        <v>423.53097853357457</v>
      </c>
      <c r="DK86" s="247">
        <v>422.49635498156351</v>
      </c>
      <c r="DL86" s="247">
        <v>421.46180178886499</v>
      </c>
      <c r="DM86" s="247">
        <v>420.42732526108153</v>
      </c>
      <c r="DN86" s="247">
        <v>419.39293167792113</v>
      </c>
      <c r="DO86" s="247">
        <v>418.35862731060098</v>
      </c>
      <c r="DP86" s="247">
        <v>417.32441838751907</v>
      </c>
      <c r="DQ86" s="247">
        <v>416.29031111044247</v>
      </c>
      <c r="DR86" s="247">
        <v>415.25631166146951</v>
      </c>
      <c r="DS86" s="247">
        <v>414.22242619660449</v>
      </c>
      <c r="DT86" s="247">
        <v>413.19060841256118</v>
      </c>
      <c r="DU86" s="247">
        <v>412.15892261221319</v>
      </c>
      <c r="DV86" s="247">
        <v>411.12737779905751</v>
      </c>
      <c r="DW86" s="247">
        <v>410.09598293472891</v>
      </c>
      <c r="DX86" s="247">
        <v>409.06474693127211</v>
      </c>
      <c r="DY86" s="247">
        <v>408.03367865275362</v>
      </c>
      <c r="DZ86" s="247">
        <v>407.00278690058116</v>
      </c>
      <c r="EA86" s="247">
        <v>405.97208046461384</v>
      </c>
      <c r="EB86" s="247">
        <v>404.94156806064757</v>
      </c>
      <c r="EC86" s="247">
        <v>403.91125836638014</v>
      </c>
      <c r="ED86" s="247">
        <v>402.88116002334459</v>
      </c>
      <c r="EE86" s="247">
        <v>401.85128164183999</v>
      </c>
      <c r="EF86" s="247">
        <v>400.82402677091778</v>
      </c>
      <c r="EG86" s="247">
        <v>399.79700436690672</v>
      </c>
      <c r="EH86" s="247">
        <v>398.77020461929749</v>
      </c>
      <c r="EI86" s="247">
        <v>397.74361780333578</v>
      </c>
      <c r="EJ86" s="247">
        <v>396.7172342570268</v>
      </c>
      <c r="EK86" s="247">
        <v>395.6910443835788</v>
      </c>
      <c r="EL86" s="247">
        <v>394.66503866378076</v>
      </c>
      <c r="EM86" s="247">
        <v>393.63920764749179</v>
      </c>
      <c r="EN86" s="247">
        <v>392.61354196448957</v>
      </c>
      <c r="EO86" s="247">
        <v>391.58803230615399</v>
      </c>
      <c r="EP86" s="247">
        <v>390.56266944972862</v>
      </c>
      <c r="EQ86" s="247">
        <v>389.53744423505401</v>
      </c>
      <c r="ER86" s="247">
        <v>388.51523927886836</v>
      </c>
      <c r="ES86" s="247">
        <v>387.49317374489056</v>
      </c>
      <c r="ET86" s="247">
        <v>386.47125490156139</v>
      </c>
      <c r="EU86" s="247">
        <v>385.44948998701597</v>
      </c>
      <c r="EV86" s="247">
        <v>384.42788619111786</v>
      </c>
      <c r="EW86" s="247">
        <v>383.40645067347259</v>
      </c>
      <c r="EX86" s="247">
        <v>382.38519056157054</v>
      </c>
      <c r="EY86" s="247">
        <v>381.36411293299585</v>
      </c>
      <c r="EZ86" s="247">
        <v>380.34322483591802</v>
      </c>
      <c r="FA86" s="247">
        <v>379.32253328261248</v>
      </c>
      <c r="FB86" s="247">
        <v>378.302045261491</v>
      </c>
      <c r="FC86" s="247">
        <v>377.28176771816942</v>
      </c>
      <c r="FD86" s="247">
        <v>376.26512961906064</v>
      </c>
      <c r="FE86" s="247">
        <v>375.24872338871012</v>
      </c>
      <c r="FF86" s="247">
        <v>374.23255085593723</v>
      </c>
      <c r="FG86" s="247">
        <v>373.21661390761034</v>
      </c>
      <c r="FH86" s="247">
        <v>372.20091435547272</v>
      </c>
      <c r="FI86" s="247">
        <v>371.18545407724559</v>
      </c>
      <c r="FJ86" s="247">
        <v>370.17023489385241</v>
      </c>
      <c r="FK86" s="247">
        <v>369.15525866178871</v>
      </c>
      <c r="FL86" s="247">
        <v>368.14052718451006</v>
      </c>
      <c r="FM86" s="247">
        <v>367.12604232397388</v>
      </c>
      <c r="FN86" s="247">
        <v>366.11180588710226</v>
      </c>
      <c r="FO86" s="247">
        <v>365.09781971574779</v>
      </c>
      <c r="FP86" s="247">
        <v>364.08442183981492</v>
      </c>
      <c r="FQ86" s="247">
        <v>363.07127181027425</v>
      </c>
      <c r="FR86" s="247">
        <v>362.05837541519764</v>
      </c>
      <c r="FS86" s="247">
        <v>361.04573844814121</v>
      </c>
      <c r="FT86" s="247">
        <v>360.03336664752658</v>
      </c>
      <c r="FU86" s="247">
        <v>359.02126574162037</v>
      </c>
      <c r="FV86" s="247">
        <v>358.00944141328267</v>
      </c>
      <c r="FW86" s="247">
        <v>356.99789932892071</v>
      </c>
      <c r="FX86" s="247">
        <v>355.98664510503289</v>
      </c>
      <c r="FY86" s="247">
        <v>354.97568435638243</v>
      </c>
      <c r="FZ86" s="247">
        <v>353.96502264573928</v>
      </c>
      <c r="GA86" s="247">
        <v>352.9546655415906</v>
      </c>
      <c r="GB86" s="247">
        <v>351.94497066583142</v>
      </c>
      <c r="GC86" s="247">
        <v>350.93557968885426</v>
      </c>
      <c r="GD86" s="247">
        <v>349.92649644465763</v>
      </c>
      <c r="GE86" s="247">
        <v>348.9177247756561</v>
      </c>
      <c r="GF86" s="247">
        <v>347.90926849575823</v>
      </c>
      <c r="GG86" s="247">
        <v>346.90113138940478</v>
      </c>
      <c r="GH86" s="247">
        <v>345.89331723692226</v>
      </c>
      <c r="GI86" s="247">
        <v>344.88582979827532</v>
      </c>
      <c r="GJ86" s="247">
        <v>343.87867281706679</v>
      </c>
      <c r="GK86" s="247">
        <v>342.871850001241</v>
      </c>
      <c r="GL86" s="247">
        <v>341.86536508491474</v>
      </c>
      <c r="GM86" s="247">
        <v>340.85922175914476</v>
      </c>
      <c r="GN86" s="247">
        <v>339.8582962562877</v>
      </c>
      <c r="GO86" s="247">
        <v>338.85774538169613</v>
      </c>
      <c r="GP86" s="247">
        <v>337.85757346836641</v>
      </c>
      <c r="GQ86" s="247">
        <v>336.85778482640893</v>
      </c>
      <c r="GR86" s="247">
        <v>335.85838374334941</v>
      </c>
      <c r="GS86" s="247">
        <v>334.85937448308692</v>
      </c>
      <c r="GT86" s="247">
        <v>333.86076129736523</v>
      </c>
      <c r="GU86" s="247">
        <v>332.86254840735558</v>
      </c>
      <c r="GV86" s="247">
        <v>331.86474000133376</v>
      </c>
      <c r="GW86" s="247">
        <v>330.86734027573641</v>
      </c>
      <c r="GX86" s="247">
        <v>329.87035338420924</v>
      </c>
      <c r="GY86" s="247">
        <v>328.87378348815332</v>
      </c>
      <c r="GZ86" s="247">
        <v>327.87804527341393</v>
      </c>
      <c r="HA86" s="247">
        <v>326.88272725027878</v>
      </c>
      <c r="HB86" s="247">
        <v>325.88783837247962</v>
      </c>
      <c r="HC86" s="247">
        <v>324.89338753792941</v>
      </c>
      <c r="HD86" s="247">
        <v>323.89938357341754</v>
      </c>
      <c r="HE86" s="247">
        <v>322.90583529530215</v>
      </c>
      <c r="HF86" s="247">
        <v>321.91275142008703</v>
      </c>
      <c r="HG86" s="247">
        <v>320.92014065450462</v>
      </c>
      <c r="HH86" s="247">
        <v>319.92801163090814</v>
      </c>
      <c r="HI86" s="247">
        <v>318.93637296315131</v>
      </c>
      <c r="HJ86" s="247">
        <v>317.94523318863497</v>
      </c>
      <c r="HK86" s="247">
        <v>316.95460084065036</v>
      </c>
      <c r="HL86" s="247">
        <v>315.97092165007768</v>
      </c>
      <c r="HM86" s="247">
        <v>314.98779209809351</v>
      </c>
      <c r="HN86" s="247">
        <v>314.00520400863962</v>
      </c>
      <c r="HO86" s="247">
        <v>313.02314921861176</v>
      </c>
      <c r="HP86" s="247">
        <v>312.04161967669472</v>
      </c>
      <c r="HQ86" s="247">
        <v>311.06060734486391</v>
      </c>
      <c r="HR86" s="247">
        <v>310.0801042664396</v>
      </c>
      <c r="HS86" s="247">
        <v>309.10010250738344</v>
      </c>
      <c r="HT86" s="247">
        <v>308.12059421051055</v>
      </c>
      <c r="HU86" s="247">
        <v>307.14157158152835</v>
      </c>
      <c r="HV86" s="247">
        <v>306.16302686029616</v>
      </c>
      <c r="HW86" s="247">
        <v>305.18495234194631</v>
      </c>
      <c r="HX86" s="247">
        <v>304.20781231751562</v>
      </c>
      <c r="HY86" s="247">
        <v>303.2311328037834</v>
      </c>
      <c r="HZ86" s="247">
        <v>302.25492140708803</v>
      </c>
      <c r="IA86" s="247">
        <v>301.27918566252202</v>
      </c>
      <c r="IB86" s="247">
        <v>300.30393308255032</v>
      </c>
      <c r="IC86" s="247">
        <v>299.32917113956358</v>
      </c>
      <c r="ID86" s="247">
        <v>298.35490725274195</v>
      </c>
      <c r="IE86" s="247">
        <v>297.38114881725653</v>
      </c>
      <c r="IF86" s="247">
        <v>296.40790318545044</v>
      </c>
      <c r="IG86" s="247">
        <v>295.43517768468206</v>
      </c>
      <c r="IH86" s="247">
        <v>294.46297958061012</v>
      </c>
      <c r="II86" s="247">
        <v>293.4913161363026</v>
      </c>
      <c r="IJ86" s="247">
        <v>292.52068206382205</v>
      </c>
      <c r="IK86" s="247">
        <v>291.55058947457275</v>
      </c>
      <c r="IL86" s="247">
        <v>290.58104760874926</v>
      </c>
      <c r="IM86" s="247">
        <v>289.6120655850678</v>
      </c>
      <c r="IN86" s="247">
        <v>288.64365263041674</v>
      </c>
      <c r="IO86" s="247">
        <v>287.67581777386044</v>
      </c>
      <c r="IP86" s="247">
        <v>286.7085700686419</v>
      </c>
      <c r="IQ86" s="247">
        <v>285.74191852989372</v>
      </c>
      <c r="IR86" s="247">
        <v>284.77587211546586</v>
      </c>
      <c r="IS86" s="247">
        <v>283.81043974381294</v>
      </c>
      <c r="IT86" s="247">
        <v>282.84563035418228</v>
      </c>
      <c r="IU86" s="247">
        <v>281.88145277081924</v>
      </c>
      <c r="IV86" s="247">
        <v>280.92694148026186</v>
      </c>
      <c r="IW86" s="247">
        <v>279.97311326819863</v>
      </c>
      <c r="IX86" s="247">
        <v>279.01995618808121</v>
      </c>
      <c r="IY86" s="247">
        <v>278.06745845025517</v>
      </c>
      <c r="IZ86" s="247">
        <v>277.11560826570167</v>
      </c>
      <c r="JA86" s="247">
        <v>276.16439392138915</v>
      </c>
      <c r="JB86" s="247">
        <v>275.2138038576179</v>
      </c>
      <c r="JC86" s="247">
        <v>274.26382652178847</v>
      </c>
      <c r="JD86" s="247">
        <v>273.31445042963719</v>
      </c>
      <c r="JE86" s="247">
        <v>272.36566418382859</v>
      </c>
      <c r="JF86" s="247">
        <v>271.41745646135837</v>
      </c>
      <c r="JG86" s="247">
        <v>270.46981594710138</v>
      </c>
      <c r="JH86" s="247">
        <v>269.5232845274644</v>
      </c>
      <c r="JI86" s="247">
        <v>268.57730585777256</v>
      </c>
      <c r="JJ86" s="247">
        <v>267.63188614192029</v>
      </c>
      <c r="JK86" s="247">
        <v>266.68703140079316</v>
      </c>
      <c r="JL86" s="247">
        <v>265.74274778404316</v>
      </c>
      <c r="JM86" s="247">
        <v>264.79904125654167</v>
      </c>
      <c r="JN86" s="247">
        <v>263.85591790372763</v>
      </c>
      <c r="JO86" s="247">
        <v>262.91338371232132</v>
      </c>
      <c r="JP86" s="247">
        <v>261.97144470418118</v>
      </c>
      <c r="JQ86" s="247">
        <v>261.03010680238481</v>
      </c>
      <c r="JR86" s="247">
        <v>260.08937596936477</v>
      </c>
      <c r="JS86" s="247">
        <v>259.1492581410559</v>
      </c>
      <c r="JT86" s="247">
        <v>258.20051858149026</v>
      </c>
      <c r="JU86" s="247">
        <v>257.25232502171764</v>
      </c>
      <c r="JV86" s="247">
        <v>256.30466995122907</v>
      </c>
      <c r="JW86" s="247">
        <v>255.35754609379961</v>
      </c>
      <c r="JX86" s="247">
        <v>254.41094607759803</v>
      </c>
      <c r="JY86" s="247">
        <v>253.4648626284218</v>
      </c>
      <c r="JZ86" s="247">
        <v>252.51928850511786</v>
      </c>
      <c r="KA86" s="247">
        <v>251.5742165084408</v>
      </c>
      <c r="KB86" s="247">
        <v>250.6296395306772</v>
      </c>
      <c r="KC86" s="247">
        <v>249.68555044056015</v>
      </c>
      <c r="KD86" s="247">
        <v>248.74194213885474</v>
      </c>
      <c r="KE86" s="247">
        <v>247.79880763340532</v>
      </c>
      <c r="KF86" s="247">
        <v>246.85670361204217</v>
      </c>
      <c r="KG86" s="247">
        <v>245.91508206367746</v>
      </c>
      <c r="KH86" s="247">
        <v>244.97396828808283</v>
      </c>
      <c r="KI86" s="247">
        <v>244.03338731553208</v>
      </c>
      <c r="KJ86" s="247">
        <v>243.09336422817714</v>
      </c>
      <c r="KK86" s="247">
        <v>242.15392383143148</v>
      </c>
      <c r="KL86" s="247">
        <v>241.21509090892491</v>
      </c>
      <c r="KM86" s="247">
        <v>240.27689016444452</v>
      </c>
      <c r="KN86" s="247">
        <v>239.33934614058165</v>
      </c>
      <c r="KO86" s="247">
        <v>238.4024833573103</v>
      </c>
      <c r="KP86" s="247">
        <v>237.46632617348979</v>
      </c>
      <c r="KQ86" s="247">
        <v>236.53089885802905</v>
      </c>
      <c r="KR86" s="247">
        <v>235.5867114733598</v>
      </c>
      <c r="KS86" s="247">
        <v>234.64318117608801</v>
      </c>
      <c r="KT86" s="247">
        <v>233.70028883464303</v>
      </c>
      <c r="KU86" s="247">
        <v>232.75801536323374</v>
      </c>
      <c r="KV86" s="247">
        <v>231.81634173012762</v>
      </c>
      <c r="KW86" s="247">
        <v>230.87524911415377</v>
      </c>
      <c r="KX86" s="247">
        <v>229.9347186892991</v>
      </c>
      <c r="KY86" s="247">
        <v>228.99473174456909</v>
      </c>
      <c r="KZ86" s="247">
        <v>228.05526966791032</v>
      </c>
      <c r="LA86" s="247">
        <v>227.11631401819474</v>
      </c>
      <c r="LB86" s="247">
        <v>226.17784635129783</v>
      </c>
      <c r="LC86" s="247">
        <v>225.23984834181692</v>
      </c>
      <c r="LD86" s="247">
        <v>224.30286585654272</v>
      </c>
      <c r="LE86" s="247">
        <v>223.36633541024131</v>
      </c>
      <c r="LF86" s="247">
        <v>222.43026754873253</v>
      </c>
      <c r="LG86" s="247">
        <v>221.49467278092573</v>
      </c>
      <c r="LH86" s="247">
        <v>220.5595615835326</v>
      </c>
      <c r="LI86" s="247">
        <v>219.62494433879223</v>
      </c>
      <c r="LJ86" s="247">
        <v>218.69083149149745</v>
      </c>
      <c r="LK86" s="247">
        <v>217.75723334740383</v>
      </c>
      <c r="LL86" s="247">
        <v>216.82416026284142</v>
      </c>
      <c r="LM86" s="247">
        <v>215.89162245299701</v>
      </c>
      <c r="LN86" s="247">
        <v>214.95963023359207</v>
      </c>
      <c r="LO86" s="247">
        <v>214.02819382552752</v>
      </c>
      <c r="LP86" s="247">
        <v>213.09790424697249</v>
      </c>
      <c r="LQ86" s="247">
        <v>212.16817385542726</v>
      </c>
      <c r="LR86" s="247">
        <v>211.23900573227854</v>
      </c>
      <c r="LS86" s="247">
        <v>210.31040303448162</v>
      </c>
      <c r="LT86" s="247">
        <v>209.3823688984024</v>
      </c>
      <c r="LU86" s="247">
        <v>208.45490638011111</v>
      </c>
      <c r="LV86" s="247">
        <v>207.52801865700218</v>
      </c>
      <c r="LW86" s="247">
        <v>206.60170883370799</v>
      </c>
      <c r="LX86" s="247">
        <v>205.67598002570469</v>
      </c>
      <c r="LY86" s="247">
        <v>204.7508353722574</v>
      </c>
      <c r="LZ86" s="247">
        <v>203.82627797489351</v>
      </c>
      <c r="MA86" s="247">
        <v>202.90231105186871</v>
      </c>
      <c r="MB86" s="247">
        <v>201.97954338066307</v>
      </c>
      <c r="MC86" s="247">
        <v>201.05736259729764</v>
      </c>
      <c r="MD86" s="247">
        <v>200.13577200703691</v>
      </c>
      <c r="ME86" s="247">
        <v>199.21477481704082</v>
      </c>
      <c r="MF86" s="247">
        <v>198.29437428322115</v>
      </c>
      <c r="MG86" s="247">
        <v>197.37457369780029</v>
      </c>
      <c r="MH86" s="247">
        <v>196.45537634640826</v>
      </c>
      <c r="MI86" s="247">
        <v>195.53678546342405</v>
      </c>
      <c r="MJ86" s="247">
        <v>194.61880440368989</v>
      </c>
      <c r="MK86" s="247">
        <v>193.70143642192747</v>
      </c>
      <c r="ML86" s="247">
        <v>192.7846848448057</v>
      </c>
      <c r="MM86" s="247">
        <v>191.86855298834706</v>
      </c>
      <c r="MN86" s="247">
        <v>190.95367424752297</v>
      </c>
      <c r="MO86" s="247">
        <v>190.0394105126887</v>
      </c>
      <c r="MP86" s="247">
        <v>189.12576356928841</v>
      </c>
      <c r="MQ86" s="247">
        <v>188.2127352339092</v>
      </c>
      <c r="MR86" s="247">
        <v>187.3003274035112</v>
      </c>
      <c r="MS86" s="247">
        <v>186.38854190855881</v>
      </c>
      <c r="MT86" s="247">
        <v>185.47738069510223</v>
      </c>
      <c r="MU86" s="247">
        <v>184.5668456033101</v>
      </c>
      <c r="MV86" s="247">
        <v>183.65693857608434</v>
      </c>
      <c r="MW86" s="247">
        <v>182.74766157898318</v>
      </c>
      <c r="MX86" s="247">
        <v>181.83901658837667</v>
      </c>
      <c r="MY86" s="247">
        <v>180.93100555680681</v>
      </c>
    </row>
    <row r="87" spans="1:363" ht="15.6" x14ac:dyDescent="0.3">
      <c r="A87" s="67" t="s">
        <v>6</v>
      </c>
      <c r="B87" s="72">
        <v>2097</v>
      </c>
      <c r="C87" s="247">
        <v>538.91236337442092</v>
      </c>
      <c r="D87" s="247">
        <v>537.88137746625193</v>
      </c>
      <c r="E87" s="247">
        <v>536.85045502407183</v>
      </c>
      <c r="F87" s="247">
        <v>535.81959518322674</v>
      </c>
      <c r="G87" s="247">
        <v>534.78879708292368</v>
      </c>
      <c r="H87" s="247">
        <v>533.75805988203047</v>
      </c>
      <c r="I87" s="247">
        <v>532.72738274166045</v>
      </c>
      <c r="J87" s="247">
        <v>531.69676488478126</v>
      </c>
      <c r="K87" s="247">
        <v>530.66620551467497</v>
      </c>
      <c r="L87" s="247">
        <v>529.63570386143908</v>
      </c>
      <c r="M87" s="247">
        <v>528.60525916680047</v>
      </c>
      <c r="N87" s="247">
        <v>527.57487074810274</v>
      </c>
      <c r="O87" s="247">
        <v>526.5445378614138</v>
      </c>
      <c r="P87" s="247">
        <v>525.51256109811675</v>
      </c>
      <c r="Q87" s="247">
        <v>524.48062439512364</v>
      </c>
      <c r="R87" s="247">
        <v>523.44872957770815</v>
      </c>
      <c r="S87" s="247">
        <v>522.41687851512552</v>
      </c>
      <c r="T87" s="247">
        <v>521.38507305346866</v>
      </c>
      <c r="U87" s="247">
        <v>520.3533150269966</v>
      </c>
      <c r="V87" s="247">
        <v>519.32160628465351</v>
      </c>
      <c r="W87" s="247">
        <v>518.28994867166523</v>
      </c>
      <c r="X87" s="247">
        <v>517.25834406959234</v>
      </c>
      <c r="Y87" s="247">
        <v>516.22679433064684</v>
      </c>
      <c r="Z87" s="247">
        <v>515.19530134757224</v>
      </c>
      <c r="AA87" s="247">
        <v>514.16386697200892</v>
      </c>
      <c r="AB87" s="247">
        <v>513.13089116369395</v>
      </c>
      <c r="AC87" s="247">
        <v>512.09795894546744</v>
      </c>
      <c r="AD87" s="247">
        <v>511.06507065367066</v>
      </c>
      <c r="AE87" s="247">
        <v>510.03222660149044</v>
      </c>
      <c r="AF87" s="247">
        <v>508.99942710267965</v>
      </c>
      <c r="AG87" s="247">
        <v>507.96667252917143</v>
      </c>
      <c r="AH87" s="247">
        <v>506.93396322727108</v>
      </c>
      <c r="AI87" s="247">
        <v>505.90129956180158</v>
      </c>
      <c r="AJ87" s="247">
        <v>504.8686818913431</v>
      </c>
      <c r="AK87" s="247">
        <v>503.83611065290557</v>
      </c>
      <c r="AL87" s="247">
        <v>502.80358623419517</v>
      </c>
      <c r="AM87" s="247">
        <v>501.77110907876596</v>
      </c>
      <c r="AN87" s="247">
        <v>500.73717155813682</v>
      </c>
      <c r="AO87" s="247">
        <v>499.70326816768994</v>
      </c>
      <c r="AP87" s="247">
        <v>498.66940140835283</v>
      </c>
      <c r="AQ87" s="247">
        <v>497.63557375862825</v>
      </c>
      <c r="AR87" s="247">
        <v>496.60178773799134</v>
      </c>
      <c r="AS87" s="247">
        <v>495.5680458316512</v>
      </c>
      <c r="AT87" s="247">
        <v>494.53435052084103</v>
      </c>
      <c r="AU87" s="247">
        <v>493.50070431273525</v>
      </c>
      <c r="AV87" s="247">
        <v>492.46710969563884</v>
      </c>
      <c r="AW87" s="247">
        <v>491.43356917477092</v>
      </c>
      <c r="AX87" s="247">
        <v>490.40008522974847</v>
      </c>
      <c r="AY87" s="247">
        <v>489.36666039963995</v>
      </c>
      <c r="AZ87" s="247">
        <v>488.33186936826218</v>
      </c>
      <c r="BA87" s="247">
        <v>487.29711854436613</v>
      </c>
      <c r="BB87" s="247">
        <v>486.26240399655688</v>
      </c>
      <c r="BC87" s="247">
        <v>485.22772179523616</v>
      </c>
      <c r="BD87" s="247">
        <v>484.19306808844266</v>
      </c>
      <c r="BE87" s="247">
        <v>483.15843902474978</v>
      </c>
      <c r="BF87" s="247">
        <v>482.12383079896682</v>
      </c>
      <c r="BG87" s="247">
        <v>481.08923967071246</v>
      </c>
      <c r="BH87" s="247">
        <v>480.05466188557494</v>
      </c>
      <c r="BI87" s="247">
        <v>479.02009378315694</v>
      </c>
      <c r="BJ87" s="247">
        <v>477.98553170194202</v>
      </c>
      <c r="BK87" s="247">
        <v>476.95097202966861</v>
      </c>
      <c r="BL87" s="247">
        <v>475.91509374204099</v>
      </c>
      <c r="BM87" s="247">
        <v>474.8792192938007</v>
      </c>
      <c r="BN87" s="247">
        <v>473.84336524797862</v>
      </c>
      <c r="BO87" s="247">
        <v>472.80754803073972</v>
      </c>
      <c r="BP87" s="247">
        <v>471.77178402457582</v>
      </c>
      <c r="BQ87" s="247">
        <v>470.73608950682927</v>
      </c>
      <c r="BR87" s="247">
        <v>469.70048066577209</v>
      </c>
      <c r="BS87" s="247">
        <v>468.66497363484046</v>
      </c>
      <c r="BT87" s="247">
        <v>467.62958444458269</v>
      </c>
      <c r="BU87" s="247">
        <v>466.59432903954536</v>
      </c>
      <c r="BV87" s="247">
        <v>465.55922330587873</v>
      </c>
      <c r="BW87" s="247">
        <v>464.52428304430026</v>
      </c>
      <c r="BX87" s="247">
        <v>463.48821146169882</v>
      </c>
      <c r="BY87" s="247">
        <v>462.45228175107241</v>
      </c>
      <c r="BZ87" s="247">
        <v>461.416483367387</v>
      </c>
      <c r="CA87" s="247">
        <v>460.38080583938967</v>
      </c>
      <c r="CB87" s="247">
        <v>459.34523876593272</v>
      </c>
      <c r="CC87" s="247">
        <v>458.30977184081513</v>
      </c>
      <c r="CD87" s="247">
        <v>457.27439480880849</v>
      </c>
      <c r="CE87" s="247">
        <v>456.23909749787896</v>
      </c>
      <c r="CF87" s="247">
        <v>455.20386981789585</v>
      </c>
      <c r="CG87" s="247">
        <v>454.1687017486567</v>
      </c>
      <c r="CH87" s="247">
        <v>453.13358334910606</v>
      </c>
      <c r="CI87" s="247">
        <v>452.09850475626166</v>
      </c>
      <c r="CJ87" s="247">
        <v>451.06217125141853</v>
      </c>
      <c r="CK87" s="247">
        <v>450.02585801665055</v>
      </c>
      <c r="CL87" s="247">
        <v>448.98956985426884</v>
      </c>
      <c r="CM87" s="247">
        <v>447.95331151993832</v>
      </c>
      <c r="CN87" s="247">
        <v>446.91708777138075</v>
      </c>
      <c r="CO87" s="247">
        <v>445.88090334517193</v>
      </c>
      <c r="CP87" s="247">
        <v>444.84476297476016</v>
      </c>
      <c r="CQ87" s="247">
        <v>443.80867135638539</v>
      </c>
      <c r="CR87" s="247">
        <v>442.77263319103093</v>
      </c>
      <c r="CS87" s="247">
        <v>441.73665315610191</v>
      </c>
      <c r="CT87" s="247">
        <v>440.70073592506787</v>
      </c>
      <c r="CU87" s="247">
        <v>439.6648861487256</v>
      </c>
      <c r="CV87" s="247">
        <v>438.62925779474295</v>
      </c>
      <c r="CW87" s="247">
        <v>437.59369026639388</v>
      </c>
      <c r="CX87" s="247">
        <v>436.55818298635472</v>
      </c>
      <c r="CY87" s="247">
        <v>435.52273537959957</v>
      </c>
      <c r="CZ87" s="247">
        <v>434.48734690283123</v>
      </c>
      <c r="DA87" s="247">
        <v>433.4520170340291</v>
      </c>
      <c r="DB87" s="247">
        <v>432.41674524033988</v>
      </c>
      <c r="DC87" s="247">
        <v>431.38153103804456</v>
      </c>
      <c r="DD87" s="247">
        <v>430.34637393433582</v>
      </c>
      <c r="DE87" s="247">
        <v>429.31127346168876</v>
      </c>
      <c r="DF87" s="247">
        <v>428.27622918473321</v>
      </c>
      <c r="DG87" s="247">
        <v>427.24124068183056</v>
      </c>
      <c r="DH87" s="247">
        <v>426.20647458393302</v>
      </c>
      <c r="DI87" s="247">
        <v>425.17175948939376</v>
      </c>
      <c r="DJ87" s="247">
        <v>424.13710169996477</v>
      </c>
      <c r="DK87" s="247">
        <v>423.10250746912965</v>
      </c>
      <c r="DL87" s="247">
        <v>422.06798304955299</v>
      </c>
      <c r="DM87" s="247">
        <v>421.03353464620426</v>
      </c>
      <c r="DN87" s="247">
        <v>419.99916843899337</v>
      </c>
      <c r="DO87" s="247">
        <v>418.96489059990745</v>
      </c>
      <c r="DP87" s="247">
        <v>417.93070725916294</v>
      </c>
      <c r="DQ87" s="247">
        <v>416.89662452132387</v>
      </c>
      <c r="DR87" s="247">
        <v>415.8626484719718</v>
      </c>
      <c r="DS87" s="247">
        <v>414.82878517157303</v>
      </c>
      <c r="DT87" s="247">
        <v>413.79695865122306</v>
      </c>
      <c r="DU87" s="247">
        <v>412.7652625383601</v>
      </c>
      <c r="DV87" s="247">
        <v>411.73370569382064</v>
      </c>
      <c r="DW87" s="247">
        <v>410.70229693764463</v>
      </c>
      <c r="DX87" s="247">
        <v>409.67104504155725</v>
      </c>
      <c r="DY87" s="247">
        <v>408.63995873044189</v>
      </c>
      <c r="DZ87" s="247">
        <v>407.60904666799865</v>
      </c>
      <c r="EA87" s="247">
        <v>406.57831750701183</v>
      </c>
      <c r="EB87" s="247">
        <v>405.54777982777409</v>
      </c>
      <c r="EC87" s="247">
        <v>404.51744217364956</v>
      </c>
      <c r="ED87" s="247">
        <v>403.48731305280762</v>
      </c>
      <c r="EE87" s="247">
        <v>402.45740094324776</v>
      </c>
      <c r="EF87" s="247">
        <v>401.43007867291578</v>
      </c>
      <c r="EG87" s="247">
        <v>400.40298580682025</v>
      </c>
      <c r="EH87" s="247">
        <v>399.37611271156175</v>
      </c>
      <c r="EI87" s="247">
        <v>398.34944983819719</v>
      </c>
      <c r="EJ87" s="247">
        <v>397.32298769970384</v>
      </c>
      <c r="EK87" s="247">
        <v>396.29671687327243</v>
      </c>
      <c r="EL87" s="247">
        <v>395.27062801256244</v>
      </c>
      <c r="EM87" s="247">
        <v>394.2447118393759</v>
      </c>
      <c r="EN87" s="247">
        <v>393.21895915419037</v>
      </c>
      <c r="EO87" s="247">
        <v>392.19336081835627</v>
      </c>
      <c r="EP87" s="247">
        <v>391.16790777780227</v>
      </c>
      <c r="EQ87" s="247">
        <v>390.14259104031606</v>
      </c>
      <c r="ER87" s="247">
        <v>389.12026235150182</v>
      </c>
      <c r="ES87" s="247">
        <v>388.09807174059574</v>
      </c>
      <c r="ET87" s="247">
        <v>387.07602637732572</v>
      </c>
      <c r="EU87" s="247">
        <v>386.05413340186584</v>
      </c>
      <c r="EV87" s="247">
        <v>385.03239990724444</v>
      </c>
      <c r="EW87" s="247">
        <v>384.01083295695543</v>
      </c>
      <c r="EX87" s="247">
        <v>382.98943958322252</v>
      </c>
      <c r="EY87" s="247">
        <v>381.96822676950592</v>
      </c>
      <c r="EZ87" s="247">
        <v>380.94720147056609</v>
      </c>
      <c r="FA87" s="247">
        <v>379.92637060626998</v>
      </c>
      <c r="FB87" s="247">
        <v>378.90574107329655</v>
      </c>
      <c r="FC87" s="247">
        <v>377.88531972664811</v>
      </c>
      <c r="FD87" s="247">
        <v>376.86850495540921</v>
      </c>
      <c r="FE87" s="247">
        <v>375.85191956079473</v>
      </c>
      <c r="FF87" s="247">
        <v>374.83556535875937</v>
      </c>
      <c r="FG87" s="247">
        <v>373.81944422269044</v>
      </c>
      <c r="FH87" s="247">
        <v>372.80355795224187</v>
      </c>
      <c r="FI87" s="247">
        <v>371.78790841228999</v>
      </c>
      <c r="FJ87" s="247">
        <v>370.77249741201507</v>
      </c>
      <c r="FK87" s="247">
        <v>369.75732679595842</v>
      </c>
      <c r="FL87" s="247">
        <v>368.74239835659074</v>
      </c>
      <c r="FM87" s="247">
        <v>367.72771394440991</v>
      </c>
      <c r="FN87" s="247">
        <v>366.7132753559203</v>
      </c>
      <c r="FO87" s="247">
        <v>365.69908442243366</v>
      </c>
      <c r="FP87" s="247">
        <v>364.68546292395189</v>
      </c>
      <c r="FQ87" s="247">
        <v>363.67208657794629</v>
      </c>
      <c r="FR87" s="247">
        <v>362.65896110308648</v>
      </c>
      <c r="FS87" s="247">
        <v>361.64609222371666</v>
      </c>
      <c r="FT87" s="247">
        <v>360.63348561019154</v>
      </c>
      <c r="FU87" s="247">
        <v>359.62114692309183</v>
      </c>
      <c r="FV87" s="247">
        <v>358.60908177857516</v>
      </c>
      <c r="FW87" s="247">
        <v>357.59729577692946</v>
      </c>
      <c r="FX87" s="247">
        <v>356.58579446949136</v>
      </c>
      <c r="FY87" s="247">
        <v>355.57458340630825</v>
      </c>
      <c r="FZ87" s="247">
        <v>354.56366808646305</v>
      </c>
      <c r="GA87" s="247">
        <v>353.55305401510441</v>
      </c>
      <c r="GB87" s="247">
        <v>352.54308233582958</v>
      </c>
      <c r="GC87" s="247">
        <v>351.5334110903791</v>
      </c>
      <c r="GD87" s="247">
        <v>350.52404407219825</v>
      </c>
      <c r="GE87" s="247">
        <v>349.51498508327853</v>
      </c>
      <c r="GF87" s="247">
        <v>348.50623789784066</v>
      </c>
      <c r="GG87" s="247">
        <v>347.49780626127637</v>
      </c>
      <c r="GH87" s="247">
        <v>346.48969391523366</v>
      </c>
      <c r="GI87" s="247">
        <v>345.48190458161065</v>
      </c>
      <c r="GJ87" s="247">
        <v>344.4744419664039</v>
      </c>
      <c r="GK87" s="247">
        <v>343.46730974085358</v>
      </c>
      <c r="GL87" s="247">
        <v>342.46051160226909</v>
      </c>
      <c r="GM87" s="247">
        <v>341.45405120592142</v>
      </c>
      <c r="GN87" s="247">
        <v>340.45277285241463</v>
      </c>
      <c r="GO87" s="247">
        <v>339.45186509024461</v>
      </c>
      <c r="GP87" s="247">
        <v>338.45133220881553</v>
      </c>
      <c r="GQ87" s="247">
        <v>337.45117847519538</v>
      </c>
      <c r="GR87" s="247">
        <v>336.45140813449399</v>
      </c>
      <c r="GS87" s="247">
        <v>335.45202540872225</v>
      </c>
      <c r="GT87" s="247">
        <v>334.4530345082141</v>
      </c>
      <c r="GU87" s="247">
        <v>333.45443961344233</v>
      </c>
      <c r="GV87" s="247">
        <v>332.45624487265803</v>
      </c>
      <c r="GW87" s="247">
        <v>331.45845444253956</v>
      </c>
      <c r="GX87" s="247">
        <v>330.4610724378183</v>
      </c>
      <c r="GY87" s="247">
        <v>329.46410298126824</v>
      </c>
      <c r="GZ87" s="247">
        <v>328.46794430940491</v>
      </c>
      <c r="HA87" s="247">
        <v>327.47220123749952</v>
      </c>
      <c r="HB87" s="247">
        <v>326.47688261529288</v>
      </c>
      <c r="HC87" s="247">
        <v>325.481997237744</v>
      </c>
      <c r="HD87" s="247">
        <v>324.48755382999747</v>
      </c>
      <c r="HE87" s="247">
        <v>323.49356110717548</v>
      </c>
      <c r="HF87" s="247">
        <v>322.50002768622068</v>
      </c>
      <c r="HG87" s="247">
        <v>321.50696217479287</v>
      </c>
      <c r="HH87" s="247">
        <v>320.5143731074333</v>
      </c>
      <c r="HI87" s="247">
        <v>319.5222690008535</v>
      </c>
      <c r="HJ87" s="247">
        <v>318.53065829663939</v>
      </c>
      <c r="HK87" s="247">
        <v>317.53954943274908</v>
      </c>
      <c r="HL87" s="247">
        <v>316.55535776101851</v>
      </c>
      <c r="HM87" s="247">
        <v>315.57171005550117</v>
      </c>
      <c r="HN87" s="247">
        <v>314.58859825378806</v>
      </c>
      <c r="HO87" s="247">
        <v>313.60601430637581</v>
      </c>
      <c r="HP87" s="247">
        <v>312.62395027436634</v>
      </c>
      <c r="HQ87" s="247">
        <v>311.64239823207538</v>
      </c>
      <c r="HR87" s="247">
        <v>310.66135033435285</v>
      </c>
      <c r="HS87" s="247">
        <v>309.68079875857546</v>
      </c>
      <c r="HT87" s="247">
        <v>308.70073575815087</v>
      </c>
      <c r="HU87" s="247">
        <v>307.7211536488544</v>
      </c>
      <c r="HV87" s="247">
        <v>306.74204478033647</v>
      </c>
      <c r="HW87" s="247">
        <v>305.76340155710653</v>
      </c>
      <c r="HX87" s="247">
        <v>304.78567214706698</v>
      </c>
      <c r="HY87" s="247">
        <v>303.80839872076751</v>
      </c>
      <c r="HZ87" s="247">
        <v>302.83158880603975</v>
      </c>
      <c r="IA87" s="247">
        <v>301.85524986060904</v>
      </c>
      <c r="IB87" s="247">
        <v>300.87938932019887</v>
      </c>
      <c r="IC87" s="247">
        <v>299.90401458117987</v>
      </c>
      <c r="ID87" s="247">
        <v>298.92913298770458</v>
      </c>
      <c r="IE87" s="247">
        <v>297.95475186052647</v>
      </c>
      <c r="IF87" s="247">
        <v>296.98087847835535</v>
      </c>
      <c r="IG87" s="247">
        <v>296.00752009561495</v>
      </c>
      <c r="IH87" s="247">
        <v>295.03468390607003</v>
      </c>
      <c r="II87" s="247">
        <v>294.06237710132837</v>
      </c>
      <c r="IJ87" s="247">
        <v>293.09107791495336</v>
      </c>
      <c r="IK87" s="247">
        <v>292.12031476816856</v>
      </c>
      <c r="IL87" s="247">
        <v>291.15009680395002</v>
      </c>
      <c r="IM87" s="247">
        <v>290.18043304554828</v>
      </c>
      <c r="IN87" s="247">
        <v>289.2113326234329</v>
      </c>
      <c r="IO87" s="247">
        <v>288.24280447288572</v>
      </c>
      <c r="IP87" s="247">
        <v>287.27485755343139</v>
      </c>
      <c r="IQ87" s="247">
        <v>286.30750078726555</v>
      </c>
      <c r="IR87" s="247">
        <v>285.34074304026637</v>
      </c>
      <c r="IS87" s="247">
        <v>284.37459313979235</v>
      </c>
      <c r="IT87" s="247">
        <v>283.40905993404266</v>
      </c>
      <c r="IU87" s="247">
        <v>282.44415215800541</v>
      </c>
      <c r="IV87" s="247">
        <v>281.48887807154517</v>
      </c>
      <c r="IW87" s="247">
        <v>280.53428068011033</v>
      </c>
      <c r="IX87" s="247">
        <v>279.58034818267623</v>
      </c>
      <c r="IY87" s="247">
        <v>278.62706893345705</v>
      </c>
      <c r="IZ87" s="247">
        <v>277.67443128744929</v>
      </c>
      <c r="JA87" s="247">
        <v>276.72242367484188</v>
      </c>
      <c r="JB87" s="247">
        <v>275.77103467763533</v>
      </c>
      <c r="JC87" s="247">
        <v>274.82025288496902</v>
      </c>
      <c r="JD87" s="247">
        <v>273.87006695366341</v>
      </c>
      <c r="JE87" s="247">
        <v>272.92046562671345</v>
      </c>
      <c r="JF87" s="247">
        <v>271.97143772074668</v>
      </c>
      <c r="JG87" s="247">
        <v>271.02297206040481</v>
      </c>
      <c r="JH87" s="247">
        <v>270.07559469786304</v>
      </c>
      <c r="JI87" s="247">
        <v>269.1287652096143</v>
      </c>
      <c r="JJ87" s="247">
        <v>268.18248974473386</v>
      </c>
      <c r="JK87" s="247">
        <v>267.23677427153723</v>
      </c>
      <c r="JL87" s="247">
        <v>266.29162488601418</v>
      </c>
      <c r="JM87" s="247">
        <v>265.34704750160972</v>
      </c>
      <c r="JN87" s="247">
        <v>264.40304815133516</v>
      </c>
      <c r="JO87" s="247">
        <v>263.45963277084508</v>
      </c>
      <c r="JP87" s="247">
        <v>262.5168073307924</v>
      </c>
      <c r="JQ87" s="247">
        <v>261.57457770448781</v>
      </c>
      <c r="JR87" s="247">
        <v>260.63294980443317</v>
      </c>
      <c r="JS87" s="247">
        <v>259.69192951728502</v>
      </c>
      <c r="JT87" s="247">
        <v>258.74227597561543</v>
      </c>
      <c r="JU87" s="247">
        <v>257.79316315492844</v>
      </c>
      <c r="JV87" s="247">
        <v>256.84458364896693</v>
      </c>
      <c r="JW87" s="247">
        <v>255.89653028309903</v>
      </c>
      <c r="JX87" s="247">
        <v>254.94899578844289</v>
      </c>
      <c r="JY87" s="247">
        <v>254.00197299268649</v>
      </c>
      <c r="JZ87" s="247">
        <v>253.05545475638837</v>
      </c>
      <c r="KA87" s="247">
        <v>252.10943398170875</v>
      </c>
      <c r="KB87" s="247">
        <v>251.1639036613893</v>
      </c>
      <c r="KC87" s="247">
        <v>250.21885676517093</v>
      </c>
      <c r="KD87" s="247">
        <v>249.27428629461704</v>
      </c>
      <c r="KE87" s="247">
        <v>248.33018535737844</v>
      </c>
      <c r="KF87" s="247">
        <v>247.38709321916409</v>
      </c>
      <c r="KG87" s="247">
        <v>246.44447910011343</v>
      </c>
      <c r="KH87" s="247">
        <v>245.50236801396079</v>
      </c>
      <c r="KI87" s="247">
        <v>244.56078470853998</v>
      </c>
      <c r="KJ87" s="247">
        <v>243.61975398342273</v>
      </c>
      <c r="KK87" s="247">
        <v>242.67930036508051</v>
      </c>
      <c r="KL87" s="247">
        <v>241.73944835892658</v>
      </c>
      <c r="KM87" s="247">
        <v>240.80022239190234</v>
      </c>
      <c r="KN87" s="247">
        <v>239.86164673204053</v>
      </c>
      <c r="KO87" s="247">
        <v>238.92374562551893</v>
      </c>
      <c r="KP87" s="247">
        <v>237.98654315969839</v>
      </c>
      <c r="KQ87" s="247">
        <v>237.05006333354717</v>
      </c>
      <c r="KR87" s="247">
        <v>236.10481784550163</v>
      </c>
      <c r="KS87" s="247">
        <v>235.16022234738489</v>
      </c>
      <c r="KT87" s="247">
        <v>234.21625797001971</v>
      </c>
      <c r="KU87" s="247">
        <v>233.27290588946022</v>
      </c>
      <c r="KV87" s="247">
        <v>232.3301473352528</v>
      </c>
      <c r="KW87" s="247">
        <v>231.38796374481464</v>
      </c>
      <c r="KX87" s="247">
        <v>230.44633655091695</v>
      </c>
      <c r="KY87" s="247">
        <v>229.50524729998889</v>
      </c>
      <c r="KZ87" s="247">
        <v>228.56467763618861</v>
      </c>
      <c r="LA87" s="247">
        <v>227.62460937261315</v>
      </c>
      <c r="LB87" s="247">
        <v>226.68502431949807</v>
      </c>
      <c r="LC87" s="247">
        <v>225.74590440450083</v>
      </c>
      <c r="LD87" s="247">
        <v>224.80777660337671</v>
      </c>
      <c r="LE87" s="247">
        <v>223.8700964412786</v>
      </c>
      <c r="LF87" s="247">
        <v>222.93287434552212</v>
      </c>
      <c r="LG87" s="247">
        <v>221.99612070726832</v>
      </c>
      <c r="LH87" s="247">
        <v>221.05984588625341</v>
      </c>
      <c r="LI87" s="247">
        <v>220.12406014919648</v>
      </c>
      <c r="LJ87" s="247">
        <v>219.18877382492508</v>
      </c>
      <c r="LK87" s="247">
        <v>218.2539971053408</v>
      </c>
      <c r="LL87" s="247">
        <v>217.31974023254261</v>
      </c>
      <c r="LM87" s="247">
        <v>216.38601330969377</v>
      </c>
      <c r="LN87" s="247">
        <v>215.45282653951298</v>
      </c>
      <c r="LO87" s="247">
        <v>214.52019003151966</v>
      </c>
      <c r="LP87" s="247">
        <v>213.58867526841846</v>
      </c>
      <c r="LQ87" s="247">
        <v>212.65771399316421</v>
      </c>
      <c r="LR87" s="247">
        <v>211.72730926466571</v>
      </c>
      <c r="LS87" s="247">
        <v>210.7974642166586</v>
      </c>
      <c r="LT87" s="247">
        <v>209.86818196285105</v>
      </c>
      <c r="LU87" s="247">
        <v>208.9394655378554</v>
      </c>
      <c r="LV87" s="247">
        <v>208.011318096362</v>
      </c>
      <c r="LW87" s="247">
        <v>207.08374272149601</v>
      </c>
      <c r="LX87" s="247">
        <v>206.15674250729657</v>
      </c>
      <c r="LY87" s="247">
        <v>205.23032057164073</v>
      </c>
      <c r="LZ87" s="247">
        <v>204.30447999538774</v>
      </c>
      <c r="MA87" s="247">
        <v>203.37922397500296</v>
      </c>
      <c r="MB87" s="247">
        <v>202.45514143946062</v>
      </c>
      <c r="MC87" s="247">
        <v>201.53163980967395</v>
      </c>
      <c r="MD87" s="247">
        <v>200.60872236579985</v>
      </c>
      <c r="ME87" s="247">
        <v>199.68639229134536</v>
      </c>
      <c r="MF87" s="247">
        <v>198.76465281824423</v>
      </c>
      <c r="MG87" s="247">
        <v>197.84350721445051</v>
      </c>
      <c r="MH87" s="247">
        <v>196.92295874169849</v>
      </c>
      <c r="MI87" s="247">
        <v>196.00301061137833</v>
      </c>
      <c r="MJ87" s="247">
        <v>195.08366615402457</v>
      </c>
      <c r="MK87" s="247">
        <v>194.16492860165332</v>
      </c>
      <c r="ML87" s="247">
        <v>193.24680125755199</v>
      </c>
      <c r="MM87" s="247">
        <v>192.32928741484423</v>
      </c>
      <c r="MN87" s="247">
        <v>191.41300019777236</v>
      </c>
      <c r="MO87" s="247">
        <v>190.49732171489498</v>
      </c>
      <c r="MP87" s="247">
        <v>189.58225374580195</v>
      </c>
      <c r="MQ87" s="247">
        <v>188.66779810102099</v>
      </c>
      <c r="MR87" s="247">
        <v>187.75395667071521</v>
      </c>
      <c r="MS87" s="247">
        <v>186.8407312795436</v>
      </c>
      <c r="MT87" s="247">
        <v>185.92812386656132</v>
      </c>
      <c r="MU87" s="247">
        <v>185.01613626652482</v>
      </c>
      <c r="MV87" s="247">
        <v>184.10477041581032</v>
      </c>
      <c r="MW87" s="247">
        <v>183.19402827348915</v>
      </c>
      <c r="MX87" s="247">
        <v>182.28391180952269</v>
      </c>
      <c r="MY87" s="247">
        <v>181.37442297067781</v>
      </c>
    </row>
    <row r="88" spans="1:363" ht="15.6" x14ac:dyDescent="0.3">
      <c r="A88" s="67" t="s">
        <v>6</v>
      </c>
      <c r="B88" s="72">
        <v>2098</v>
      </c>
      <c r="C88" s="247">
        <v>539.50485337503835</v>
      </c>
      <c r="D88" s="247">
        <v>538.47397889915055</v>
      </c>
      <c r="E88" s="247">
        <v>537.44316804846756</v>
      </c>
      <c r="F88" s="247">
        <v>536.41241997826739</v>
      </c>
      <c r="G88" s="247">
        <v>535.38173384781112</v>
      </c>
      <c r="H88" s="247">
        <v>534.35110883603841</v>
      </c>
      <c r="I88" s="247">
        <v>533.32054412425305</v>
      </c>
      <c r="J88" s="247">
        <v>532.29003895511039</v>
      </c>
      <c r="K88" s="247">
        <v>531.25959255204839</v>
      </c>
      <c r="L88" s="247">
        <v>530.22920416517081</v>
      </c>
      <c r="M88" s="247">
        <v>529.19887305636212</v>
      </c>
      <c r="N88" s="247">
        <v>528.16859856243479</v>
      </c>
      <c r="O88" s="247">
        <v>527.13837995996221</v>
      </c>
      <c r="P88" s="247">
        <v>526.10650816491375</v>
      </c>
      <c r="Q88" s="247">
        <v>525.07467680552566</v>
      </c>
      <c r="R88" s="247">
        <v>524.04288769388097</v>
      </c>
      <c r="S88" s="247">
        <v>523.01114268567119</v>
      </c>
      <c r="T88" s="247">
        <v>521.97944361400823</v>
      </c>
      <c r="U88" s="247">
        <v>520.94779230049187</v>
      </c>
      <c r="V88" s="247">
        <v>519.91619058148581</v>
      </c>
      <c r="W88" s="247">
        <v>518.88464028994838</v>
      </c>
      <c r="X88" s="247">
        <v>517.85314329489665</v>
      </c>
      <c r="Y88" s="247">
        <v>516.82170143671271</v>
      </c>
      <c r="Z88" s="247">
        <v>515.79031659601378</v>
      </c>
      <c r="AA88" s="247">
        <v>514.75899061319058</v>
      </c>
      <c r="AB88" s="247">
        <v>513.72611492714486</v>
      </c>
      <c r="AC88" s="247">
        <v>512.69328309359344</v>
      </c>
      <c r="AD88" s="247">
        <v>511.66049545537908</v>
      </c>
      <c r="AE88" s="247">
        <v>510.62775233269673</v>
      </c>
      <c r="AF88" s="247">
        <v>509.59505404658648</v>
      </c>
      <c r="AG88" s="247">
        <v>508.56240097563148</v>
      </c>
      <c r="AH88" s="247">
        <v>507.52979347340488</v>
      </c>
      <c r="AI88" s="247">
        <v>506.49723191200707</v>
      </c>
      <c r="AJ88" s="247">
        <v>505.46471665757264</v>
      </c>
      <c r="AK88" s="247">
        <v>504.43224815391306</v>
      </c>
      <c r="AL88" s="247">
        <v>503.39982679645158</v>
      </c>
      <c r="AM88" s="247">
        <v>502.36745303603146</v>
      </c>
      <c r="AN88" s="247">
        <v>501.3336117597442</v>
      </c>
      <c r="AO88" s="247">
        <v>500.2998049476999</v>
      </c>
      <c r="AP88" s="247">
        <v>499.26603507567165</v>
      </c>
      <c r="AQ88" s="247">
        <v>498.23230459755547</v>
      </c>
      <c r="AR88" s="247">
        <v>497.19861600792649</v>
      </c>
      <c r="AS88" s="247">
        <v>496.16497176779541</v>
      </c>
      <c r="AT88" s="247">
        <v>495.13137433454369</v>
      </c>
      <c r="AU88" s="247">
        <v>494.09782619141708</v>
      </c>
      <c r="AV88" s="247">
        <v>493.06432980327139</v>
      </c>
      <c r="AW88" s="247">
        <v>492.03088765199772</v>
      </c>
      <c r="AX88" s="247">
        <v>490.99750219452739</v>
      </c>
      <c r="AY88" s="247">
        <v>489.96417594674034</v>
      </c>
      <c r="AZ88" s="247">
        <v>488.92947702186876</v>
      </c>
      <c r="BA88" s="247">
        <v>487.89481848210255</v>
      </c>
      <c r="BB88" s="247">
        <v>486.8601964709303</v>
      </c>
      <c r="BC88" s="247">
        <v>485.82560713378228</v>
      </c>
      <c r="BD88" s="247">
        <v>484.79104669276956</v>
      </c>
      <c r="BE88" s="247">
        <v>483.75651137067888</v>
      </c>
      <c r="BF88" s="247">
        <v>482.72199743604119</v>
      </c>
      <c r="BG88" s="247">
        <v>481.68750122143877</v>
      </c>
      <c r="BH88" s="247">
        <v>480.65301904580178</v>
      </c>
      <c r="BI88" s="247">
        <v>479.61854732092002</v>
      </c>
      <c r="BJ88" s="247">
        <v>478.58408245769692</v>
      </c>
      <c r="BK88" s="247">
        <v>477.54962091585122</v>
      </c>
      <c r="BL88" s="247">
        <v>476.51383575691654</v>
      </c>
      <c r="BM88" s="247">
        <v>475.47805515644137</v>
      </c>
      <c r="BN88" s="247">
        <v>474.44229541317975</v>
      </c>
      <c r="BO88" s="247">
        <v>473.40657269168787</v>
      </c>
      <c r="BP88" s="247">
        <v>472.37090311403603</v>
      </c>
      <c r="BQ88" s="247">
        <v>471.33530269924336</v>
      </c>
      <c r="BR88" s="247">
        <v>470.29978737918634</v>
      </c>
      <c r="BS88" s="247">
        <v>469.2643730322846</v>
      </c>
      <c r="BT88" s="247">
        <v>468.2290754361303</v>
      </c>
      <c r="BU88" s="247">
        <v>467.19391028429106</v>
      </c>
      <c r="BV88" s="247">
        <v>466.15889321331156</v>
      </c>
      <c r="BW88" s="247">
        <v>465.12403977628003</v>
      </c>
      <c r="BX88" s="247">
        <v>464.08804818106643</v>
      </c>
      <c r="BY88" s="247">
        <v>463.0521966977426</v>
      </c>
      <c r="BZ88" s="247">
        <v>462.01647498344619</v>
      </c>
      <c r="CA88" s="247">
        <v>460.98087276792432</v>
      </c>
      <c r="CB88" s="247">
        <v>459.94537985000733</v>
      </c>
      <c r="CC88" s="247">
        <v>458.90998612189696</v>
      </c>
      <c r="CD88" s="247">
        <v>457.8746815260501</v>
      </c>
      <c r="CE88" s="247">
        <v>456.83945608688913</v>
      </c>
      <c r="CF88" s="247">
        <v>455.80429990937535</v>
      </c>
      <c r="CG88" s="247">
        <v>454.7692031674693</v>
      </c>
      <c r="CH88" s="247">
        <v>453.73415611304125</v>
      </c>
      <c r="CI88" s="247">
        <v>452.69914907495905</v>
      </c>
      <c r="CJ88" s="247">
        <v>451.66288367574964</v>
      </c>
      <c r="CK88" s="247">
        <v>450.62663889545894</v>
      </c>
      <c r="CL88" s="247">
        <v>449.59041946196379</v>
      </c>
      <c r="CM88" s="247">
        <v>448.55423005765385</v>
      </c>
      <c r="CN88" s="247">
        <v>447.51807536730814</v>
      </c>
      <c r="CO88" s="247">
        <v>446.48196005520589</v>
      </c>
      <c r="CP88" s="247">
        <v>445.44588878289716</v>
      </c>
      <c r="CQ88" s="247">
        <v>444.40986617581399</v>
      </c>
      <c r="CR88" s="247">
        <v>443.3738968642769</v>
      </c>
      <c r="CS88" s="247">
        <v>442.33798545593561</v>
      </c>
      <c r="CT88" s="247">
        <v>441.30213655488035</v>
      </c>
      <c r="CU88" s="247">
        <v>440.26635474343925</v>
      </c>
      <c r="CV88" s="247">
        <v>439.23077846705849</v>
      </c>
      <c r="CW88" s="247">
        <v>438.19526260607006</v>
      </c>
      <c r="CX88" s="247">
        <v>437.15980660957774</v>
      </c>
      <c r="CY88" s="247">
        <v>436.1244099291593</v>
      </c>
      <c r="CZ88" s="247">
        <v>435.08907204785766</v>
      </c>
      <c r="DA88" s="247">
        <v>434.05379246979589</v>
      </c>
      <c r="DB88" s="247">
        <v>433.01857068874273</v>
      </c>
      <c r="DC88" s="247">
        <v>431.98340624703519</v>
      </c>
      <c r="DD88" s="247">
        <v>430.94829867827116</v>
      </c>
      <c r="DE88" s="247">
        <v>429.91324754126799</v>
      </c>
      <c r="DF88" s="247">
        <v>428.87825242665326</v>
      </c>
      <c r="DG88" s="247">
        <v>427.84331293895883</v>
      </c>
      <c r="DH88" s="247">
        <v>426.80858004717703</v>
      </c>
      <c r="DI88" s="247">
        <v>425.77389793158449</v>
      </c>
      <c r="DJ88" s="247">
        <v>424.7392727923089</v>
      </c>
      <c r="DK88" s="247">
        <v>423.70471078240143</v>
      </c>
      <c r="DL88" s="247">
        <v>422.67021805450798</v>
      </c>
      <c r="DM88" s="247">
        <v>421.63580071473052</v>
      </c>
      <c r="DN88" s="247">
        <v>420.60146484493447</v>
      </c>
      <c r="DO88" s="247">
        <v>419.56721651961931</v>
      </c>
      <c r="DP88" s="247">
        <v>418.53306177254871</v>
      </c>
      <c r="DQ88" s="247">
        <v>417.49900661278895</v>
      </c>
      <c r="DR88" s="247">
        <v>416.46505703109978</v>
      </c>
      <c r="DS88" s="247">
        <v>415.43121899408874</v>
      </c>
      <c r="DT88" s="247">
        <v>414.39938695982102</v>
      </c>
      <c r="DU88" s="247">
        <v>413.36768379121077</v>
      </c>
      <c r="DV88" s="247">
        <v>412.33611820879742</v>
      </c>
      <c r="DW88" s="247">
        <v>411.30469889335473</v>
      </c>
      <c r="DX88" s="247">
        <v>410.27343447860835</v>
      </c>
      <c r="DY88" s="247">
        <v>409.24233355255313</v>
      </c>
      <c r="DZ88" s="247">
        <v>408.21140464345251</v>
      </c>
      <c r="EA88" s="247">
        <v>407.1806562692671</v>
      </c>
      <c r="EB88" s="247">
        <v>406.15009687702349</v>
      </c>
      <c r="EC88" s="247">
        <v>405.11973487796132</v>
      </c>
      <c r="ED88" s="247">
        <v>404.08957864908353</v>
      </c>
      <c r="EE88" s="247">
        <v>403.05963653825842</v>
      </c>
      <c r="EF88" s="247">
        <v>402.03225068008959</v>
      </c>
      <c r="EG88" s="247">
        <v>401.00509121815844</v>
      </c>
      <c r="EH88" s="247">
        <v>399.97814869331086</v>
      </c>
      <c r="EI88" s="247">
        <v>398.95141372956635</v>
      </c>
      <c r="EJ88" s="247">
        <v>397.92487701205124</v>
      </c>
      <c r="EK88" s="247">
        <v>396.89852928912245</v>
      </c>
      <c r="EL88" s="247">
        <v>395.87236138453039</v>
      </c>
      <c r="EM88" s="247">
        <v>394.84636418924674</v>
      </c>
      <c r="EN88" s="247">
        <v>393.82052867171183</v>
      </c>
      <c r="EO88" s="247">
        <v>392.79484586051086</v>
      </c>
      <c r="EP88" s="247">
        <v>391.7693068675552</v>
      </c>
      <c r="EQ88" s="247">
        <v>390.74390286589255</v>
      </c>
      <c r="ER88" s="247">
        <v>389.72145467762903</v>
      </c>
      <c r="ES88" s="247">
        <v>388.69914324751534</v>
      </c>
      <c r="ET88" s="247">
        <v>387.67697564796134</v>
      </c>
      <c r="EU88" s="247">
        <v>386.65495892257212</v>
      </c>
      <c r="EV88" s="247">
        <v>385.63310006890458</v>
      </c>
      <c r="EW88" s="247">
        <v>384.61140605570114</v>
      </c>
      <c r="EX88" s="247">
        <v>383.58988382125881</v>
      </c>
      <c r="EY88" s="247">
        <v>382.56854025624796</v>
      </c>
      <c r="EZ88" s="247">
        <v>381.54738222333503</v>
      </c>
      <c r="FA88" s="247">
        <v>380.52641655127928</v>
      </c>
      <c r="FB88" s="247">
        <v>379.50565004632239</v>
      </c>
      <c r="FC88" s="247">
        <v>378.4850894741283</v>
      </c>
      <c r="FD88" s="247">
        <v>377.46810250905401</v>
      </c>
      <c r="FE88" s="247">
        <v>376.4513424655795</v>
      </c>
      <c r="FF88" s="247">
        <v>375.43481114689831</v>
      </c>
      <c r="FG88" s="247">
        <v>374.41851041304062</v>
      </c>
      <c r="FH88" s="247">
        <v>373.40244205166988</v>
      </c>
      <c r="FI88" s="247">
        <v>372.386607914926</v>
      </c>
      <c r="FJ88" s="247">
        <v>371.37100980034597</v>
      </c>
      <c r="FK88" s="247">
        <v>370.35564954061721</v>
      </c>
      <c r="FL88" s="247">
        <v>369.34052891731062</v>
      </c>
      <c r="FM88" s="247">
        <v>368.32564976956229</v>
      </c>
      <c r="FN88" s="247">
        <v>367.31101388354131</v>
      </c>
      <c r="FO88" s="247">
        <v>366.29662308010433</v>
      </c>
      <c r="FP88" s="247">
        <v>365.28278305035985</v>
      </c>
      <c r="FQ88" s="247">
        <v>364.26918551838446</v>
      </c>
      <c r="FR88" s="247">
        <v>363.25583613430837</v>
      </c>
      <c r="FS88" s="247">
        <v>362.2427405541294</v>
      </c>
      <c r="FT88" s="247">
        <v>361.22990438098117</v>
      </c>
      <c r="FU88" s="247">
        <v>360.21733320859965</v>
      </c>
      <c r="FV88" s="247">
        <v>359.20503258727172</v>
      </c>
      <c r="FW88" s="247">
        <v>358.19300805198338</v>
      </c>
      <c r="FX88" s="247">
        <v>357.18126508972085</v>
      </c>
      <c r="FY88" s="247">
        <v>356.16980918661199</v>
      </c>
      <c r="FZ88" s="247">
        <v>355.15864577884531</v>
      </c>
      <c r="GA88" s="247">
        <v>354.1477803090159</v>
      </c>
      <c r="GB88" s="247">
        <v>353.13753760556381</v>
      </c>
      <c r="GC88" s="247">
        <v>352.12759191984753</v>
      </c>
      <c r="GD88" s="247">
        <v>351.11794700521813</v>
      </c>
      <c r="GE88" s="247">
        <v>350.10860662370163</v>
      </c>
      <c r="GF88" s="247">
        <v>349.09957451028606</v>
      </c>
      <c r="GG88" s="247">
        <v>348.09085437175509</v>
      </c>
      <c r="GH88" s="247">
        <v>347.08244991151753</v>
      </c>
      <c r="GI88" s="247">
        <v>346.07436481383189</v>
      </c>
      <c r="GJ88" s="247">
        <v>345.06660274751624</v>
      </c>
      <c r="GK88" s="247">
        <v>344.05916734752083</v>
      </c>
      <c r="GL88" s="247">
        <v>343.052062274761</v>
      </c>
      <c r="GM88" s="247">
        <v>342.04529114912128</v>
      </c>
      <c r="GN88" s="247">
        <v>341.04366601066306</v>
      </c>
      <c r="GO88" s="247">
        <v>340.04240747689175</v>
      </c>
      <c r="GP88" s="247">
        <v>339.04151979406498</v>
      </c>
      <c r="GQ88" s="247">
        <v>338.0410071866504</v>
      </c>
      <c r="GR88" s="247">
        <v>337.04087385777547</v>
      </c>
      <c r="GS88" s="247">
        <v>336.04112398799163</v>
      </c>
      <c r="GT88" s="247">
        <v>335.04176174664059</v>
      </c>
      <c r="GU88" s="247">
        <v>334.04279127391408</v>
      </c>
      <c r="GV88" s="247">
        <v>333.04421667843781</v>
      </c>
      <c r="GW88" s="247">
        <v>332.04604207754022</v>
      </c>
      <c r="GX88" s="247">
        <v>331.04827154742696</v>
      </c>
      <c r="GY88" s="247">
        <v>330.05090917263362</v>
      </c>
      <c r="GZ88" s="247">
        <v>329.05433689085021</v>
      </c>
      <c r="HA88" s="247">
        <v>328.05817567348674</v>
      </c>
      <c r="HB88" s="247">
        <v>327.0624342674646</v>
      </c>
      <c r="HC88" s="247">
        <v>326.06712136594939</v>
      </c>
      <c r="HD88" s="247">
        <v>325.0722455935886</v>
      </c>
      <c r="HE88" s="247">
        <v>324.07781556540175</v>
      </c>
      <c r="HF88" s="247">
        <v>323.08383979988906</v>
      </c>
      <c r="HG88" s="247">
        <v>322.09032680674687</v>
      </c>
      <c r="HH88" s="247">
        <v>321.0972850237996</v>
      </c>
      <c r="HI88" s="247">
        <v>320.10472287170393</v>
      </c>
      <c r="HJ88" s="247">
        <v>319.11264869729507</v>
      </c>
      <c r="HK88" s="247">
        <v>318.12107084427151</v>
      </c>
      <c r="HL88" s="247">
        <v>317.13637373575341</v>
      </c>
      <c r="HM88" s="247">
        <v>316.15221498203857</v>
      </c>
      <c r="HN88" s="247">
        <v>315.1685866330111</v>
      </c>
      <c r="HO88" s="247">
        <v>314.18548075140939</v>
      </c>
      <c r="HP88" s="247">
        <v>313.20288950942302</v>
      </c>
      <c r="HQ88" s="247">
        <v>312.22080509236866</v>
      </c>
      <c r="HR88" s="247">
        <v>311.23921976530488</v>
      </c>
      <c r="HS88" s="247">
        <v>310.25812581570432</v>
      </c>
      <c r="HT88" s="247">
        <v>309.27751560626109</v>
      </c>
      <c r="HU88" s="247">
        <v>308.29738156151808</v>
      </c>
      <c r="HV88" s="247">
        <v>307.31771613962547</v>
      </c>
      <c r="HW88" s="247">
        <v>306.3385118531786</v>
      </c>
      <c r="HX88" s="247">
        <v>305.36020088028135</v>
      </c>
      <c r="HY88" s="247">
        <v>304.38234141141203</v>
      </c>
      <c r="HZ88" s="247">
        <v>303.4049408966664</v>
      </c>
      <c r="IA88" s="247">
        <v>302.42800671715537</v>
      </c>
      <c r="IB88" s="247">
        <v>301.45154623260578</v>
      </c>
      <c r="IC88" s="247">
        <v>300.47556676411074</v>
      </c>
      <c r="ID88" s="247">
        <v>299.50007558151998</v>
      </c>
      <c r="IE88" s="247">
        <v>298.52507993189181</v>
      </c>
      <c r="IF88" s="247">
        <v>297.55058702101405</v>
      </c>
      <c r="IG88" s="247">
        <v>296.57660403108036</v>
      </c>
      <c r="IH88" s="247">
        <v>295.60313808465338</v>
      </c>
      <c r="II88" s="247">
        <v>294.63019630256946</v>
      </c>
      <c r="IJ88" s="247">
        <v>293.65824057688894</v>
      </c>
      <c r="IK88" s="247">
        <v>292.68681550333321</v>
      </c>
      <c r="IL88" s="247">
        <v>291.71593012861678</v>
      </c>
      <c r="IM88" s="247">
        <v>290.74559338145741</v>
      </c>
      <c r="IN88" s="247">
        <v>289.77581429685921</v>
      </c>
      <c r="IO88" s="247">
        <v>288.80660171724173</v>
      </c>
      <c r="IP88" s="247">
        <v>287.83796450932545</v>
      </c>
      <c r="IQ88" s="247">
        <v>286.86991150328078</v>
      </c>
      <c r="IR88" s="247">
        <v>285.90245147391596</v>
      </c>
      <c r="IS88" s="247">
        <v>284.9355931583803</v>
      </c>
      <c r="IT88" s="247">
        <v>283.96934531471487</v>
      </c>
      <c r="IU88" s="247">
        <v>283.00371658952042</v>
      </c>
      <c r="IV88" s="247">
        <v>282.04768811631027</v>
      </c>
      <c r="IW88" s="247">
        <v>281.09233001174624</v>
      </c>
      <c r="IX88" s="247">
        <v>280.13763061881093</v>
      </c>
      <c r="IY88" s="247">
        <v>279.18357843409882</v>
      </c>
      <c r="IZ88" s="247">
        <v>278.23016195512633</v>
      </c>
      <c r="JA88" s="247">
        <v>277.27736975382942</v>
      </c>
      <c r="JB88" s="247">
        <v>276.32519055243512</v>
      </c>
      <c r="JC88" s="247">
        <v>275.3736130803677</v>
      </c>
      <c r="JD88" s="247">
        <v>274.4226261340757</v>
      </c>
      <c r="JE88" s="247">
        <v>273.4722185954414</v>
      </c>
      <c r="JF88" s="247">
        <v>272.52237941929087</v>
      </c>
      <c r="JG88" s="247">
        <v>271.57309756859769</v>
      </c>
      <c r="JH88" s="247">
        <v>270.62488337652684</v>
      </c>
      <c r="JI88" s="247">
        <v>269.6772122244704</v>
      </c>
      <c r="JJ88" s="247">
        <v>268.73009020711612</v>
      </c>
      <c r="JK88" s="247">
        <v>267.78352324062803</v>
      </c>
      <c r="JL88" s="247">
        <v>266.83751736775713</v>
      </c>
      <c r="JM88" s="247">
        <v>265.89207845092636</v>
      </c>
      <c r="JN88" s="247">
        <v>264.94721247113222</v>
      </c>
      <c r="JO88" s="247">
        <v>264.00292531336413</v>
      </c>
      <c r="JP88" s="247">
        <v>263.05922289747207</v>
      </c>
      <c r="JQ88" s="247">
        <v>262.11611104739029</v>
      </c>
      <c r="JR88" s="247">
        <v>261.17359562607885</v>
      </c>
      <c r="JS88" s="247">
        <v>260.23168247129837</v>
      </c>
      <c r="JT88" s="247">
        <v>259.28112590557021</v>
      </c>
      <c r="JU88" s="247">
        <v>258.33110483308161</v>
      </c>
      <c r="JV88" s="247">
        <v>257.38161195062634</v>
      </c>
      <c r="JW88" s="247">
        <v>256.43264018399321</v>
      </c>
      <c r="JX88" s="247">
        <v>255.48418236606497</v>
      </c>
      <c r="JY88" s="247">
        <v>254.53623142524737</v>
      </c>
      <c r="JZ88" s="247">
        <v>253.58878032264539</v>
      </c>
      <c r="KA88" s="247">
        <v>252.64182206065828</v>
      </c>
      <c r="KB88" s="247">
        <v>251.69534973133383</v>
      </c>
      <c r="KC88" s="247">
        <v>250.74935640426179</v>
      </c>
      <c r="KD88" s="247">
        <v>249.80383518065443</v>
      </c>
      <c r="KE88" s="247">
        <v>248.85877926682787</v>
      </c>
      <c r="KF88" s="247">
        <v>247.91471065639681</v>
      </c>
      <c r="KG88" s="247">
        <v>246.97111565268193</v>
      </c>
      <c r="KH88" s="247">
        <v>246.0280189863193</v>
      </c>
      <c r="KI88" s="247">
        <v>245.0854451256115</v>
      </c>
      <c r="KJ88" s="247">
        <v>244.14341859045192</v>
      </c>
      <c r="KK88" s="247">
        <v>243.20196363123873</v>
      </c>
      <c r="KL88" s="247">
        <v>242.26110447802336</v>
      </c>
      <c r="KM88" s="247">
        <v>241.32086528374566</v>
      </c>
      <c r="KN88" s="247">
        <v>240.38127004470056</v>
      </c>
      <c r="KO88" s="247">
        <v>239.44234273607987</v>
      </c>
      <c r="KP88" s="247">
        <v>238.50410717653355</v>
      </c>
      <c r="KQ88" s="247">
        <v>237.56658709786055</v>
      </c>
      <c r="KR88" s="247">
        <v>236.62029720078834</v>
      </c>
      <c r="KS88" s="247">
        <v>235.67465027328188</v>
      </c>
      <c r="KT88" s="247">
        <v>234.72962770542335</v>
      </c>
      <c r="KU88" s="247">
        <v>233.78521093198506</v>
      </c>
      <c r="KV88" s="247">
        <v>232.84138144067842</v>
      </c>
      <c r="KW88" s="247">
        <v>231.89812092442412</v>
      </c>
      <c r="KX88" s="247">
        <v>230.95541107169598</v>
      </c>
      <c r="KY88" s="247">
        <v>230.01323368328272</v>
      </c>
      <c r="KZ88" s="247">
        <v>229.07157065650716</v>
      </c>
      <c r="LA88" s="247">
        <v>228.13040405566736</v>
      </c>
      <c r="LB88" s="247">
        <v>227.18971594233619</v>
      </c>
      <c r="LC88" s="247">
        <v>226.24948849422555</v>
      </c>
      <c r="LD88" s="247">
        <v>225.31022998573928</v>
      </c>
      <c r="LE88" s="247">
        <v>224.37141476155162</v>
      </c>
      <c r="LF88" s="247">
        <v>223.43305313176734</v>
      </c>
      <c r="LG88" s="247">
        <v>222.49515537108275</v>
      </c>
      <c r="LH88" s="247">
        <v>221.55773172354336</v>
      </c>
      <c r="LI88" s="247">
        <v>220.62079234160595</v>
      </c>
      <c r="LJ88" s="247">
        <v>219.68434743940617</v>
      </c>
      <c r="LK88" s="247">
        <v>218.74840709623766</v>
      </c>
      <c r="LL88" s="247">
        <v>217.81298144122073</v>
      </c>
      <c r="LM88" s="247">
        <v>216.87808046672953</v>
      </c>
      <c r="LN88" s="247">
        <v>215.9437142637174</v>
      </c>
      <c r="LO88" s="247">
        <v>215.00989283155121</v>
      </c>
      <c r="LP88" s="247">
        <v>214.07716831673039</v>
      </c>
      <c r="LQ88" s="247">
        <v>213.14499165043401</v>
      </c>
      <c r="LR88" s="247">
        <v>212.21336586929323</v>
      </c>
      <c r="LS88" s="247">
        <v>211.28229408403396</v>
      </c>
      <c r="LT88" s="247">
        <v>210.35177938591326</v>
      </c>
      <c r="LU88" s="247">
        <v>209.42182478828141</v>
      </c>
      <c r="LV88" s="247">
        <v>208.49243342333594</v>
      </c>
      <c r="LW88" s="247">
        <v>207.56360835289459</v>
      </c>
      <c r="LX88" s="247">
        <v>206.63535264976275</v>
      </c>
      <c r="LY88" s="247">
        <v>205.70766941063286</v>
      </c>
      <c r="LZ88" s="247">
        <v>204.78056169589323</v>
      </c>
      <c r="MA88" s="247">
        <v>203.85403268043248</v>
      </c>
      <c r="MB88" s="247">
        <v>202.92865165026245</v>
      </c>
      <c r="MC88" s="247">
        <v>202.00384560679865</v>
      </c>
      <c r="MD88" s="247">
        <v>201.07961780534674</v>
      </c>
      <c r="ME88" s="247">
        <v>200.15597140600104</v>
      </c>
      <c r="MF88" s="247">
        <v>199.23290961696503</v>
      </c>
      <c r="MG88" s="247">
        <v>198.31043568217677</v>
      </c>
      <c r="MH88" s="247">
        <v>197.3885528397264</v>
      </c>
      <c r="MI88" s="247">
        <v>196.46726427826366</v>
      </c>
      <c r="MJ88" s="247">
        <v>195.54657330427474</v>
      </c>
      <c r="MK88" s="247">
        <v>194.62648312732125</v>
      </c>
      <c r="ML88" s="247">
        <v>193.7069970275688</v>
      </c>
      <c r="MM88" s="247">
        <v>192.78811827549782</v>
      </c>
      <c r="MN88" s="247">
        <v>191.87043993835496</v>
      </c>
      <c r="MO88" s="247">
        <v>190.95336413036003</v>
      </c>
      <c r="MP88" s="247">
        <v>190.03689262531506</v>
      </c>
      <c r="MQ88" s="247">
        <v>189.12102722776496</v>
      </c>
      <c r="MR88" s="247">
        <v>188.2057698211635</v>
      </c>
      <c r="MS88" s="247">
        <v>187.29112222444297</v>
      </c>
      <c r="MT88" s="247">
        <v>186.37708636976336</v>
      </c>
      <c r="MU88" s="247">
        <v>185.46366408654868</v>
      </c>
      <c r="MV88" s="247">
        <v>184.55085730475238</v>
      </c>
      <c r="MW88" s="247">
        <v>183.63866797706217</v>
      </c>
      <c r="MX88" s="247">
        <v>182.72709806713652</v>
      </c>
      <c r="MY88" s="247">
        <v>181.8161495160717</v>
      </c>
    </row>
    <row r="89" spans="1:363" ht="15.6" x14ac:dyDescent="0.3">
      <c r="A89" s="67" t="s">
        <v>6</v>
      </c>
      <c r="B89" s="72">
        <v>2099</v>
      </c>
      <c r="C89" s="247">
        <v>540.09330452717018</v>
      </c>
      <c r="D89" s="247">
        <v>539.06254115153695</v>
      </c>
      <c r="E89" s="247">
        <v>538.03184155965243</v>
      </c>
      <c r="F89" s="247">
        <v>537.00120492648159</v>
      </c>
      <c r="G89" s="247">
        <v>535.9706304310838</v>
      </c>
      <c r="H89" s="247">
        <v>534.94011727222528</v>
      </c>
      <c r="I89" s="247">
        <v>533.9096646511432</v>
      </c>
      <c r="J89" s="247">
        <v>532.87927182994554</v>
      </c>
      <c r="K89" s="247">
        <v>531.84893805198101</v>
      </c>
      <c r="L89" s="247">
        <v>530.81866258710807</v>
      </c>
      <c r="M89" s="247">
        <v>529.78844471712898</v>
      </c>
      <c r="N89" s="247">
        <v>528.75828379809457</v>
      </c>
      <c r="O89" s="247">
        <v>527.72817912682888</v>
      </c>
      <c r="P89" s="247">
        <v>526.69641228052274</v>
      </c>
      <c r="Q89" s="247">
        <v>525.66468624292622</v>
      </c>
      <c r="R89" s="247">
        <v>524.63300281306829</v>
      </c>
      <c r="S89" s="247">
        <v>523.6013638332131</v>
      </c>
      <c r="T89" s="247">
        <v>522.56977112362767</v>
      </c>
      <c r="U89" s="247">
        <v>521.53822649338645</v>
      </c>
      <c r="V89" s="247">
        <v>520.50673176640009</v>
      </c>
      <c r="W89" s="247">
        <v>519.47528876349122</v>
      </c>
      <c r="X89" s="247">
        <v>518.44389934126525</v>
      </c>
      <c r="Y89" s="247">
        <v>517.412565328391</v>
      </c>
      <c r="Z89" s="247">
        <v>516.38128859350149</v>
      </c>
      <c r="AA89" s="247">
        <v>515.35007096585628</v>
      </c>
      <c r="AB89" s="247">
        <v>514.31729568817286</v>
      </c>
      <c r="AC89" s="247">
        <v>513.28456452536886</v>
      </c>
      <c r="AD89" s="247">
        <v>512.25187782666569</v>
      </c>
      <c r="AE89" s="247">
        <v>511.2192359191551</v>
      </c>
      <c r="AF89" s="247">
        <v>510.18663913104132</v>
      </c>
      <c r="AG89" s="247">
        <v>509.15408784744358</v>
      </c>
      <c r="AH89" s="247">
        <v>508.12158242908237</v>
      </c>
      <c r="AI89" s="247">
        <v>507.08912325522584</v>
      </c>
      <c r="AJ89" s="247">
        <v>506.05671069943583</v>
      </c>
      <c r="AK89" s="247">
        <v>505.02434521221943</v>
      </c>
      <c r="AL89" s="247">
        <v>503.99202719659712</v>
      </c>
      <c r="AM89" s="247">
        <v>502.95975711059128</v>
      </c>
      <c r="AN89" s="247">
        <v>501.92601266759033</v>
      </c>
      <c r="AO89" s="247">
        <v>500.89230302275956</v>
      </c>
      <c r="AP89" s="247">
        <v>499.85863062703902</v>
      </c>
      <c r="AQ89" s="247">
        <v>498.82499791004693</v>
      </c>
      <c r="AR89" s="247">
        <v>497.79140734178384</v>
      </c>
      <c r="AS89" s="247">
        <v>496.75786135938051</v>
      </c>
      <c r="AT89" s="247">
        <v>495.72436239668571</v>
      </c>
      <c r="AU89" s="247">
        <v>494.69091291332472</v>
      </c>
      <c r="AV89" s="247">
        <v>493.65751535101799</v>
      </c>
      <c r="AW89" s="247">
        <v>492.62417216864537</v>
      </c>
      <c r="AX89" s="247">
        <v>491.59088580074626</v>
      </c>
      <c r="AY89" s="247">
        <v>490.5576587403263</v>
      </c>
      <c r="AZ89" s="247">
        <v>489.5230528265534</v>
      </c>
      <c r="BA89" s="247">
        <v>488.48848747858523</v>
      </c>
      <c r="BB89" s="247">
        <v>487.45395891361954</v>
      </c>
      <c r="BC89" s="247">
        <v>486.41946335095224</v>
      </c>
      <c r="BD89" s="247">
        <v>485.38499708561403</v>
      </c>
      <c r="BE89" s="247">
        <v>484.35055641344957</v>
      </c>
      <c r="BF89" s="247">
        <v>483.31613767557252</v>
      </c>
      <c r="BG89" s="247">
        <v>482.28173727640404</v>
      </c>
      <c r="BH89" s="247">
        <v>481.24735160708059</v>
      </c>
      <c r="BI89" s="247">
        <v>480.21297715047234</v>
      </c>
      <c r="BJ89" s="247">
        <v>479.17861038878516</v>
      </c>
      <c r="BK89" s="247">
        <v>478.14424785262139</v>
      </c>
      <c r="BL89" s="247">
        <v>477.10855696815304</v>
      </c>
      <c r="BM89" s="247">
        <v>476.07287135652598</v>
      </c>
      <c r="BN89" s="247">
        <v>475.0372070564768</v>
      </c>
      <c r="BO89" s="247">
        <v>474.00157997515066</v>
      </c>
      <c r="BP89" s="247">
        <v>472.96600597838494</v>
      </c>
      <c r="BQ89" s="247">
        <v>471.93050083102605</v>
      </c>
      <c r="BR89" s="247">
        <v>470.89508021266454</v>
      </c>
      <c r="BS89" s="247">
        <v>469.85975975079549</v>
      </c>
      <c r="BT89" s="247">
        <v>468.82455497411485</v>
      </c>
      <c r="BU89" s="247">
        <v>467.78948132922795</v>
      </c>
      <c r="BV89" s="247">
        <v>466.754554207073</v>
      </c>
      <c r="BW89" s="247">
        <v>465.71978891707391</v>
      </c>
      <c r="BX89" s="247">
        <v>464.68387893812388</v>
      </c>
      <c r="BY89" s="247">
        <v>463.64810734926732</v>
      </c>
      <c r="BZ89" s="247">
        <v>462.61246400629682</v>
      </c>
      <c r="CA89" s="247">
        <v>461.57693883645049</v>
      </c>
      <c r="CB89" s="247">
        <v>460.54152183507148</v>
      </c>
      <c r="CC89" s="247">
        <v>459.50620308930917</v>
      </c>
      <c r="CD89" s="247">
        <v>458.47097273588219</v>
      </c>
      <c r="CE89" s="247">
        <v>457.43582099225785</v>
      </c>
      <c r="CF89" s="247">
        <v>456.4007381551167</v>
      </c>
      <c r="CG89" s="247">
        <v>455.36571458922867</v>
      </c>
      <c r="CH89" s="247">
        <v>454.33074073605098</v>
      </c>
      <c r="CI89" s="247">
        <v>453.29580711300429</v>
      </c>
      <c r="CJ89" s="247">
        <v>452.25961193448506</v>
      </c>
      <c r="CK89" s="247">
        <v>451.22343772654841</v>
      </c>
      <c r="CL89" s="247">
        <v>450.18728914395552</v>
      </c>
      <c r="CM89" s="247">
        <v>449.15117079710791</v>
      </c>
      <c r="CN89" s="247">
        <v>448.1150872991368</v>
      </c>
      <c r="CO89" s="247">
        <v>447.07904324330099</v>
      </c>
      <c r="CP89" s="247">
        <v>446.04304322052616</v>
      </c>
      <c r="CQ89" s="247">
        <v>445.0070917866837</v>
      </c>
      <c r="CR89" s="247">
        <v>443.97119350268537</v>
      </c>
      <c r="CS89" s="247">
        <v>442.93535290766022</v>
      </c>
      <c r="CT89" s="247">
        <v>441.89957453755204</v>
      </c>
      <c r="CU89" s="247">
        <v>440.86386290742672</v>
      </c>
      <c r="CV89" s="247">
        <v>439.82834112878697</v>
      </c>
      <c r="CW89" s="247">
        <v>438.79287937179629</v>
      </c>
      <c r="CX89" s="247">
        <v>437.7574771114563</v>
      </c>
      <c r="CY89" s="247">
        <v>436.72213382542873</v>
      </c>
      <c r="CZ89" s="247">
        <v>435.68684902258212</v>
      </c>
      <c r="DA89" s="247">
        <v>434.65162223266657</v>
      </c>
      <c r="DB89" s="247">
        <v>433.61645297555958</v>
      </c>
      <c r="DC89" s="247">
        <v>432.58134081914739</v>
      </c>
      <c r="DD89" s="247">
        <v>431.5462853229202</v>
      </c>
      <c r="DE89" s="247">
        <v>430.51128607153811</v>
      </c>
      <c r="DF89" s="247">
        <v>429.47634268112603</v>
      </c>
      <c r="DG89" s="247">
        <v>428.44145478188483</v>
      </c>
      <c r="DH89" s="247">
        <v>427.40675787013851</v>
      </c>
      <c r="DI89" s="247">
        <v>426.3721115204732</v>
      </c>
      <c r="DJ89" s="247">
        <v>425.33752183317716</v>
      </c>
      <c r="DK89" s="247">
        <v>424.30299486263561</v>
      </c>
      <c r="DL89" s="247">
        <v>423.26853666323751</v>
      </c>
      <c r="DM89" s="247">
        <v>422.23415324395563</v>
      </c>
      <c r="DN89" s="247">
        <v>421.19985059033218</v>
      </c>
      <c r="DO89" s="247">
        <v>420.16563468110013</v>
      </c>
      <c r="DP89" s="247">
        <v>419.13151145525688</v>
      </c>
      <c r="DQ89" s="247">
        <v>418.09748682805809</v>
      </c>
      <c r="DR89" s="247">
        <v>417.0635666971059</v>
      </c>
      <c r="DS89" s="247">
        <v>416.02975693680179</v>
      </c>
      <c r="DT89" s="247">
        <v>414.99792253107444</v>
      </c>
      <c r="DU89" s="247">
        <v>413.96621548291569</v>
      </c>
      <c r="DV89" s="247">
        <v>412.93464437488058</v>
      </c>
      <c r="DW89" s="247">
        <v>411.90321775078382</v>
      </c>
      <c r="DX89" s="247">
        <v>410.87194410862855</v>
      </c>
      <c r="DY89" s="247">
        <v>409.84083190177859</v>
      </c>
      <c r="DZ89" s="247">
        <v>408.80988952529526</v>
      </c>
      <c r="EA89" s="247">
        <v>407.77912536454062</v>
      </c>
      <c r="EB89" s="247">
        <v>406.74854773547321</v>
      </c>
      <c r="EC89" s="247">
        <v>405.7181649193796</v>
      </c>
      <c r="ED89" s="247">
        <v>404.6879851642617</v>
      </c>
      <c r="EE89" s="247">
        <v>403.6580166899995</v>
      </c>
      <c r="EF89" s="247">
        <v>402.630570973678</v>
      </c>
      <c r="EG89" s="247">
        <v>401.6033486993976</v>
      </c>
      <c r="EH89" s="247">
        <v>400.5763405794163</v>
      </c>
      <c r="EI89" s="247">
        <v>399.5495374079178</v>
      </c>
      <c r="EJ89" s="247">
        <v>398.52293003938809</v>
      </c>
      <c r="EK89" s="247">
        <v>397.49650939058955</v>
      </c>
      <c r="EL89" s="247">
        <v>396.47026645261263</v>
      </c>
      <c r="EM89" s="247">
        <v>395.4441922828791</v>
      </c>
      <c r="EN89" s="247">
        <v>394.4182780150777</v>
      </c>
      <c r="EO89" s="247">
        <v>393.39251484234728</v>
      </c>
      <c r="EP89" s="247">
        <v>392.36689403991636</v>
      </c>
      <c r="EQ89" s="247">
        <v>391.34140694344148</v>
      </c>
      <c r="ER89" s="247">
        <v>390.31884340895346</v>
      </c>
      <c r="ES89" s="247">
        <v>389.29641533700573</v>
      </c>
      <c r="ET89" s="247">
        <v>388.2741297040717</v>
      </c>
      <c r="EU89" s="247">
        <v>387.25199345855293</v>
      </c>
      <c r="EV89" s="247">
        <v>386.2300135038891</v>
      </c>
      <c r="EW89" s="247">
        <v>385.20819671540664</v>
      </c>
      <c r="EX89" s="247">
        <v>384.18654993881125</v>
      </c>
      <c r="EY89" s="247">
        <v>383.1650799732875</v>
      </c>
      <c r="EZ89" s="247">
        <v>382.14379359071353</v>
      </c>
      <c r="FA89" s="247">
        <v>381.12269753002374</v>
      </c>
      <c r="FB89" s="247">
        <v>380.10179850830139</v>
      </c>
      <c r="FC89" s="247">
        <v>379.08110320312579</v>
      </c>
      <c r="FD89" s="247">
        <v>378.06394844796159</v>
      </c>
      <c r="FE89" s="247">
        <v>377.04701819598955</v>
      </c>
      <c r="FF89" s="247">
        <v>376.03031423775377</v>
      </c>
      <c r="FG89" s="247">
        <v>375.01383842003736</v>
      </c>
      <c r="FH89" s="247">
        <v>373.99759251861741</v>
      </c>
      <c r="FI89" s="247">
        <v>372.98157837300681</v>
      </c>
      <c r="FJ89" s="247">
        <v>371.96579776919475</v>
      </c>
      <c r="FK89" s="247">
        <v>370.95025252811587</v>
      </c>
      <c r="FL89" s="247">
        <v>369.93494442053066</v>
      </c>
      <c r="FM89" s="247">
        <v>368.91987527430831</v>
      </c>
      <c r="FN89" s="247">
        <v>367.90504686536241</v>
      </c>
      <c r="FO89" s="247">
        <v>366.89046100418352</v>
      </c>
      <c r="FP89" s="247">
        <v>365.87640745333294</v>
      </c>
      <c r="FQ89" s="247">
        <v>364.86259378424927</v>
      </c>
      <c r="FR89" s="247">
        <v>363.84902557938187</v>
      </c>
      <c r="FS89" s="247">
        <v>362.83570842723464</v>
      </c>
      <c r="FT89" s="247">
        <v>361.82264786455619</v>
      </c>
      <c r="FU89" s="247">
        <v>360.80984941907138</v>
      </c>
      <c r="FV89" s="247">
        <v>359.79731857602127</v>
      </c>
      <c r="FW89" s="247">
        <v>358.78506080589352</v>
      </c>
      <c r="FX89" s="247">
        <v>357.77308153212812</v>
      </c>
      <c r="FY89" s="247">
        <v>356.76138617772688</v>
      </c>
      <c r="FZ89" s="247">
        <v>355.74998011676712</v>
      </c>
      <c r="GA89" s="247">
        <v>354.73886873005728</v>
      </c>
      <c r="GB89" s="247">
        <v>353.72836069336284</v>
      </c>
      <c r="GC89" s="247">
        <v>352.71814630657747</v>
      </c>
      <c r="GD89" s="247">
        <v>351.7082292834192</v>
      </c>
      <c r="GE89" s="247">
        <v>350.6986133464091</v>
      </c>
      <c r="GF89" s="247">
        <v>349.68930219174325</v>
      </c>
      <c r="GG89" s="247">
        <v>348.68029948803803</v>
      </c>
      <c r="GH89" s="247">
        <v>347.67160890089525</v>
      </c>
      <c r="GI89" s="247">
        <v>346.66323407736803</v>
      </c>
      <c r="GJ89" s="247">
        <v>345.65517864950885</v>
      </c>
      <c r="GK89" s="247">
        <v>344.64744621638954</v>
      </c>
      <c r="GL89" s="247">
        <v>343.64004040294549</v>
      </c>
      <c r="GM89" s="247">
        <v>342.63296479407103</v>
      </c>
      <c r="GN89" s="247">
        <v>341.63099885588639</v>
      </c>
      <c r="GO89" s="247">
        <v>340.629395585493</v>
      </c>
      <c r="GP89" s="247">
        <v>339.62815918644463</v>
      </c>
      <c r="GQ89" s="247">
        <v>338.62729384104932</v>
      </c>
      <c r="GR89" s="247">
        <v>337.62680371087924</v>
      </c>
      <c r="GS89" s="247">
        <v>336.62669293545201</v>
      </c>
      <c r="GT89" s="247">
        <v>335.6269656435357</v>
      </c>
      <c r="GU89" s="247">
        <v>334.62762593544926</v>
      </c>
      <c r="GV89" s="247">
        <v>333.62867788059754</v>
      </c>
      <c r="GW89" s="247">
        <v>332.63012555735554</v>
      </c>
      <c r="GX89" s="247">
        <v>331.63197300379477</v>
      </c>
      <c r="GY89" s="247">
        <v>330.63422426659781</v>
      </c>
      <c r="GZ89" s="247">
        <v>329.63724513478127</v>
      </c>
      <c r="HA89" s="247">
        <v>328.64067258739112</v>
      </c>
      <c r="HB89" s="247">
        <v>327.64451526969202</v>
      </c>
      <c r="HC89" s="247">
        <v>326.64878177420292</v>
      </c>
      <c r="HD89" s="247">
        <v>325.65348062620859</v>
      </c>
      <c r="HE89" s="247">
        <v>324.65862034175291</v>
      </c>
      <c r="HF89" s="247">
        <v>323.6642093420034</v>
      </c>
      <c r="HG89" s="247">
        <v>322.67025603979357</v>
      </c>
      <c r="HH89" s="247">
        <v>321.67676877731299</v>
      </c>
      <c r="HI89" s="247">
        <v>320.68375588024247</v>
      </c>
      <c r="HJ89" s="247">
        <v>319.69122560172758</v>
      </c>
      <c r="HK89" s="247">
        <v>318.69918619225541</v>
      </c>
      <c r="HL89" s="247">
        <v>317.71399061553535</v>
      </c>
      <c r="HM89" s="247">
        <v>316.72932784267596</v>
      </c>
      <c r="HN89" s="247">
        <v>315.74519003450717</v>
      </c>
      <c r="HO89" s="247">
        <v>314.76156936467521</v>
      </c>
      <c r="HP89" s="247">
        <v>313.77845811512958</v>
      </c>
      <c r="HQ89" s="247">
        <v>312.7958485808694</v>
      </c>
      <c r="HR89" s="247">
        <v>311.81373313584652</v>
      </c>
      <c r="HS89" s="247">
        <v>310.8321041763316</v>
      </c>
      <c r="HT89" s="247">
        <v>309.85095417300641</v>
      </c>
      <c r="HU89" s="247">
        <v>308.87027565789339</v>
      </c>
      <c r="HV89" s="247">
        <v>307.89006119636321</v>
      </c>
      <c r="HW89" s="247">
        <v>306.91030340782356</v>
      </c>
      <c r="HX89" s="247">
        <v>305.9314186139149</v>
      </c>
      <c r="HY89" s="247">
        <v>304.95298089121366</v>
      </c>
      <c r="HZ89" s="247">
        <v>303.97499761283865</v>
      </c>
      <c r="IA89" s="247">
        <v>302.99747608403828</v>
      </c>
      <c r="IB89" s="247">
        <v>302.02042358928412</v>
      </c>
      <c r="IC89" s="247">
        <v>301.04384737512686</v>
      </c>
      <c r="ID89" s="247">
        <v>300.06775463783447</v>
      </c>
      <c r="IE89" s="247">
        <v>299.09215255148678</v>
      </c>
      <c r="IF89" s="247">
        <v>298.11704824965818</v>
      </c>
      <c r="IG89" s="247">
        <v>297.142448843012</v>
      </c>
      <c r="IH89" s="247">
        <v>296.16836138359645</v>
      </c>
      <c r="II89" s="247">
        <v>295.19479292215567</v>
      </c>
      <c r="IJ89" s="247">
        <v>294.2221891462267</v>
      </c>
      <c r="IK89" s="247">
        <v>293.25011069071587</v>
      </c>
      <c r="IL89" s="247">
        <v>292.27856650702819</v>
      </c>
      <c r="IM89" s="247">
        <v>291.3075654302832</v>
      </c>
      <c r="IN89" s="247">
        <v>290.33711640095896</v>
      </c>
      <c r="IO89" s="247">
        <v>289.36722816952613</v>
      </c>
      <c r="IP89" s="247">
        <v>288.39790951081409</v>
      </c>
      <c r="IQ89" s="247">
        <v>287.42916916387202</v>
      </c>
      <c r="IR89" s="247">
        <v>286.46101581332931</v>
      </c>
      <c r="IS89" s="247">
        <v>285.49345810701328</v>
      </c>
      <c r="IT89" s="247">
        <v>284.52650471368668</v>
      </c>
      <c r="IU89" s="247">
        <v>283.56016419242951</v>
      </c>
      <c r="IV89" s="247">
        <v>282.60338967471216</v>
      </c>
      <c r="IW89" s="247">
        <v>281.64727925605183</v>
      </c>
      <c r="IX89" s="247">
        <v>280.6918214219462</v>
      </c>
      <c r="IY89" s="247">
        <v>279.73700480988276</v>
      </c>
      <c r="IZ89" s="247">
        <v>278.78281805842016</v>
      </c>
      <c r="JA89" s="247">
        <v>277.82924987976997</v>
      </c>
      <c r="JB89" s="247">
        <v>276.87628913493728</v>
      </c>
      <c r="JC89" s="247">
        <v>275.92392469217486</v>
      </c>
      <c r="JD89" s="247">
        <v>274.97214548612129</v>
      </c>
      <c r="JE89" s="247">
        <v>274.02094053611262</v>
      </c>
      <c r="JF89" s="247">
        <v>273.07029893374994</v>
      </c>
      <c r="JG89" s="247">
        <v>272.1202097789166</v>
      </c>
      <c r="JH89" s="247">
        <v>271.17116780133455</v>
      </c>
      <c r="JI89" s="247">
        <v>270.22266407069122</v>
      </c>
      <c r="JJ89" s="247">
        <v>269.2747046277222</v>
      </c>
      <c r="JK89" s="247">
        <v>268.32729533685324</v>
      </c>
      <c r="JL89" s="247">
        <v>267.38044218801781</v>
      </c>
      <c r="JM89" s="247">
        <v>266.43415099302393</v>
      </c>
      <c r="JN89" s="247">
        <v>265.48842768126019</v>
      </c>
      <c r="JO89" s="247">
        <v>264.54327808745336</v>
      </c>
      <c r="JP89" s="247">
        <v>263.59870808105245</v>
      </c>
      <c r="JQ89" s="247">
        <v>262.65472343699889</v>
      </c>
      <c r="JR89" s="247">
        <v>261.71132996910166</v>
      </c>
      <c r="JS89" s="247">
        <v>260.76853346661261</v>
      </c>
      <c r="JT89" s="247">
        <v>259.81708473632568</v>
      </c>
      <c r="JU89" s="247">
        <v>258.86616632228726</v>
      </c>
      <c r="JV89" s="247">
        <v>257.91577102314989</v>
      </c>
      <c r="JW89" s="247">
        <v>256.96589186396147</v>
      </c>
      <c r="JX89" s="247">
        <v>256.016521778195</v>
      </c>
      <c r="JY89" s="247">
        <v>255.06765379381204</v>
      </c>
      <c r="JZ89" s="247">
        <v>254.11928097130428</v>
      </c>
      <c r="KA89" s="247">
        <v>253.17139641215931</v>
      </c>
      <c r="KB89" s="247">
        <v>252.22399330658848</v>
      </c>
      <c r="KC89" s="247">
        <v>251.27706482288573</v>
      </c>
      <c r="KD89" s="247">
        <v>250.33060416076739</v>
      </c>
      <c r="KE89" s="247">
        <v>249.38460462408659</v>
      </c>
      <c r="KF89" s="247">
        <v>248.43957108419579</v>
      </c>
      <c r="KG89" s="247">
        <v>247.49500677972898</v>
      </c>
      <c r="KH89" s="247">
        <v>246.55093616114902</v>
      </c>
      <c r="KI89" s="247">
        <v>245.60738342010433</v>
      </c>
      <c r="KJ89" s="247">
        <v>244.66437279969702</v>
      </c>
      <c r="KK89" s="247">
        <v>243.7219282770935</v>
      </c>
      <c r="KL89" s="247">
        <v>242.78007380981964</v>
      </c>
      <c r="KM89" s="247">
        <v>241.83883327963702</v>
      </c>
      <c r="KN89" s="247">
        <v>240.898230413899</v>
      </c>
      <c r="KO89" s="247">
        <v>239.95828891959911</v>
      </c>
      <c r="KP89" s="247">
        <v>239.01903234944652</v>
      </c>
      <c r="KQ89" s="247">
        <v>238.08048417081946</v>
      </c>
      <c r="KR89" s="247">
        <v>237.13316342127848</v>
      </c>
      <c r="KS89" s="247">
        <v>236.18647869740789</v>
      </c>
      <c r="KT89" s="247">
        <v>235.24041164544164</v>
      </c>
      <c r="KU89" s="247">
        <v>234.29494395577476</v>
      </c>
      <c r="KV89" s="247">
        <v>233.35005737119218</v>
      </c>
      <c r="KW89" s="247">
        <v>232.40573383706743</v>
      </c>
      <c r="KX89" s="247">
        <v>231.46195529452143</v>
      </c>
      <c r="KY89" s="247">
        <v>230.51870379566594</v>
      </c>
      <c r="KZ89" s="247">
        <v>229.57596148796722</v>
      </c>
      <c r="LA89" s="247">
        <v>228.63371068392794</v>
      </c>
      <c r="LB89" s="247">
        <v>227.69193369346581</v>
      </c>
      <c r="LC89" s="247">
        <v>226.75061294136702</v>
      </c>
      <c r="LD89" s="247">
        <v>225.81023818944303</v>
      </c>
      <c r="LE89" s="247">
        <v>224.87030241195271</v>
      </c>
      <c r="LF89" s="247">
        <v>223.93081580307265</v>
      </c>
      <c r="LG89" s="247">
        <v>222.99178852230907</v>
      </c>
      <c r="LH89" s="247">
        <v>222.05323069928079</v>
      </c>
      <c r="LI89" s="247">
        <v>221.11515237343673</v>
      </c>
      <c r="LJ89" s="247">
        <v>220.17756364547759</v>
      </c>
      <c r="LK89" s="247">
        <v>219.24047448332331</v>
      </c>
      <c r="LL89" s="247">
        <v>218.30389490435937</v>
      </c>
      <c r="LM89" s="247">
        <v>217.3678347913839</v>
      </c>
      <c r="LN89" s="247">
        <v>216.43230412482012</v>
      </c>
      <c r="LO89" s="247">
        <v>215.49731279509274</v>
      </c>
      <c r="LP89" s="247">
        <v>214.56339381067525</v>
      </c>
      <c r="LQ89" s="247">
        <v>213.63001709479187</v>
      </c>
      <c r="LR89" s="247">
        <v>212.69718566199541</v>
      </c>
      <c r="LS89" s="247">
        <v>211.76490260020981</v>
      </c>
      <c r="LT89" s="247">
        <v>210.83317097844275</v>
      </c>
      <c r="LU89" s="247">
        <v>209.90199378897435</v>
      </c>
      <c r="LV89" s="247">
        <v>208.97137414171794</v>
      </c>
      <c r="LW89" s="247">
        <v>208.04131507737958</v>
      </c>
      <c r="LX89" s="247">
        <v>207.11181964772882</v>
      </c>
      <c r="LY89" s="247">
        <v>206.1828909284728</v>
      </c>
      <c r="LZ89" s="247">
        <v>205.2545319597244</v>
      </c>
      <c r="MA89" s="247">
        <v>204.32674589500385</v>
      </c>
      <c r="MB89" s="247">
        <v>203.40008258167566</v>
      </c>
      <c r="MC89" s="247">
        <v>202.4739883984733</v>
      </c>
      <c r="MD89" s="247">
        <v>201.54846657609943</v>
      </c>
      <c r="ME89" s="247">
        <v>200.62352025147149</v>
      </c>
      <c r="MF89" s="247">
        <v>199.69915260930381</v>
      </c>
      <c r="MG89" s="247">
        <v>198.77536686976774</v>
      </c>
      <c r="MH89" s="247">
        <v>197.85216624755554</v>
      </c>
      <c r="MI89" s="247">
        <v>196.92955390881465</v>
      </c>
      <c r="MJ89" s="247">
        <v>196.00753313624244</v>
      </c>
      <c r="MK89" s="247">
        <v>195.08610711718839</v>
      </c>
      <c r="ML89" s="247">
        <v>194.16527910894678</v>
      </c>
      <c r="MM89" s="247">
        <v>193.24505235960947</v>
      </c>
      <c r="MN89" s="247">
        <v>192.32600009175354</v>
      </c>
      <c r="MO89" s="247">
        <v>191.40754421408789</v>
      </c>
      <c r="MP89" s="247">
        <v>190.48968649469424</v>
      </c>
      <c r="MQ89" s="247">
        <v>189.57242873220389</v>
      </c>
      <c r="MR89" s="247">
        <v>188.65577280344093</v>
      </c>
      <c r="MS89" s="247">
        <v>187.73972052168779</v>
      </c>
      <c r="MT89" s="247">
        <v>186.82427381229837</v>
      </c>
      <c r="MU89" s="247">
        <v>185.90943449944479</v>
      </c>
      <c r="MV89" s="247">
        <v>184.99520450674842</v>
      </c>
      <c r="MW89" s="247">
        <v>184.08158578060929</v>
      </c>
      <c r="MX89" s="247">
        <v>183.16858027848573</v>
      </c>
      <c r="MY89" s="247">
        <v>182.25618993589976</v>
      </c>
    </row>
    <row r="90" spans="1:363" ht="16.2" thickBot="1" x14ac:dyDescent="0.35">
      <c r="A90" s="67" t="s">
        <v>6</v>
      </c>
      <c r="B90" s="68">
        <v>2100</v>
      </c>
      <c r="C90" s="247">
        <v>540.67775108466253</v>
      </c>
      <c r="D90" s="247">
        <v>539.64709847183087</v>
      </c>
      <c r="E90" s="247">
        <v>538.61650980058016</v>
      </c>
      <c r="F90" s="247">
        <v>537.58598426530773</v>
      </c>
      <c r="G90" s="247">
        <v>536.55552106462778</v>
      </c>
      <c r="H90" s="247">
        <v>535.52511941688181</v>
      </c>
      <c r="I90" s="247">
        <v>534.49477854300164</v>
      </c>
      <c r="J90" s="247">
        <v>533.46449772430435</v>
      </c>
      <c r="K90" s="247">
        <v>532.43427622379056</v>
      </c>
      <c r="L90" s="247">
        <v>531.4041133308524</v>
      </c>
      <c r="M90" s="247">
        <v>530.37400834695904</v>
      </c>
      <c r="N90" s="247">
        <v>529.34396064716975</v>
      </c>
      <c r="O90" s="247">
        <v>528.31396954831303</v>
      </c>
      <c r="P90" s="247">
        <v>527.28230761938414</v>
      </c>
      <c r="Q90" s="247">
        <v>526.25068686987493</v>
      </c>
      <c r="R90" s="247">
        <v>525.21910908588063</v>
      </c>
      <c r="S90" s="247">
        <v>524.1875760963884</v>
      </c>
      <c r="T90" s="247">
        <v>523.15608970894857</v>
      </c>
      <c r="U90" s="247">
        <v>522.12465172023531</v>
      </c>
      <c r="V90" s="247">
        <v>521.09326394184677</v>
      </c>
      <c r="W90" s="247">
        <v>520.06192818258694</v>
      </c>
      <c r="X90" s="247">
        <v>519.03064628678442</v>
      </c>
      <c r="Y90" s="247">
        <v>517.99942007152413</v>
      </c>
      <c r="Z90" s="247">
        <v>516.96825139357691</v>
      </c>
      <c r="AA90" s="247">
        <v>515.93714207118614</v>
      </c>
      <c r="AB90" s="247">
        <v>514.9044674691329</v>
      </c>
      <c r="AC90" s="247">
        <v>513.87183724424506</v>
      </c>
      <c r="AD90" s="247">
        <v>512.8392517520133</v>
      </c>
      <c r="AE90" s="247">
        <v>511.80671132630414</v>
      </c>
      <c r="AF90" s="247">
        <v>510.77421630236938</v>
      </c>
      <c r="AG90" s="247">
        <v>509.74176707175042</v>
      </c>
      <c r="AH90" s="247">
        <v>508.70936400220245</v>
      </c>
      <c r="AI90" s="247">
        <v>507.67700748003932</v>
      </c>
      <c r="AJ90" s="247">
        <v>506.64469788613394</v>
      </c>
      <c r="AK90" s="247">
        <v>505.61243567758237</v>
      </c>
      <c r="AL90" s="247">
        <v>504.58022126488572</v>
      </c>
      <c r="AM90" s="247">
        <v>503.54805511313288</v>
      </c>
      <c r="AN90" s="247">
        <v>502.51440806601522</v>
      </c>
      <c r="AO90" s="247">
        <v>501.48079615077091</v>
      </c>
      <c r="AP90" s="247">
        <v>500.44722179384047</v>
      </c>
      <c r="AQ90" s="247">
        <v>499.41368740087569</v>
      </c>
      <c r="AR90" s="247">
        <v>498.38019541762833</v>
      </c>
      <c r="AS90" s="247">
        <v>497.34674825766388</v>
      </c>
      <c r="AT90" s="247">
        <v>496.31334833160429</v>
      </c>
      <c r="AU90" s="247">
        <v>495.27999807577214</v>
      </c>
      <c r="AV90" s="247">
        <v>494.24669990906153</v>
      </c>
      <c r="AW90" s="247">
        <v>493.213456267639</v>
      </c>
      <c r="AX90" s="247">
        <v>492.18026956395835</v>
      </c>
      <c r="AY90" s="247">
        <v>491.14714226845183</v>
      </c>
      <c r="AZ90" s="247">
        <v>490.11263023574628</v>
      </c>
      <c r="BA90" s="247">
        <v>489.07815895247325</v>
      </c>
      <c r="BB90" s="247">
        <v>488.04372470839763</v>
      </c>
      <c r="BC90" s="247">
        <v>487.00932379552137</v>
      </c>
      <c r="BD90" s="247">
        <v>485.97495258066266</v>
      </c>
      <c r="BE90" s="247">
        <v>484.94060743159116</v>
      </c>
      <c r="BF90" s="247">
        <v>483.90628476087653</v>
      </c>
      <c r="BG90" s="247">
        <v>482.87198104366468</v>
      </c>
      <c r="BH90" s="247">
        <v>481.83769274218452</v>
      </c>
      <c r="BI90" s="247">
        <v>480.80341640929282</v>
      </c>
      <c r="BJ90" s="247">
        <v>479.76914859740242</v>
      </c>
      <c r="BK90" s="247">
        <v>478.73488590690607</v>
      </c>
      <c r="BL90" s="247">
        <v>477.6992904003119</v>
      </c>
      <c r="BM90" s="247">
        <v>476.66370087622204</v>
      </c>
      <c r="BN90" s="247">
        <v>475.62813311753854</v>
      </c>
      <c r="BO90" s="247">
        <v>474.59260277813985</v>
      </c>
      <c r="BP90" s="247">
        <v>473.55712547175006</v>
      </c>
      <c r="BQ90" s="247">
        <v>472.52171671312612</v>
      </c>
      <c r="BR90" s="247">
        <v>471.48639193362925</v>
      </c>
      <c r="BS90" s="247">
        <v>470.45116651385752</v>
      </c>
      <c r="BT90" s="247">
        <v>469.41605573760103</v>
      </c>
      <c r="BU90" s="247">
        <v>468.3810748084706</v>
      </c>
      <c r="BV90" s="247">
        <v>467.34623887573213</v>
      </c>
      <c r="BW90" s="247">
        <v>466.31156300904814</v>
      </c>
      <c r="BX90" s="247">
        <v>465.27573622078944</v>
      </c>
      <c r="BY90" s="247">
        <v>464.24004613838611</v>
      </c>
      <c r="BZ90" s="247">
        <v>463.20448281281278</v>
      </c>
      <c r="CA90" s="247">
        <v>462.16903636536722</v>
      </c>
      <c r="CB90" s="247">
        <v>461.13369698447565</v>
      </c>
      <c r="CC90" s="247">
        <v>460.09845494884894</v>
      </c>
      <c r="CD90" s="247">
        <v>459.06330058609387</v>
      </c>
      <c r="CE90" s="247">
        <v>458.02822430337358</v>
      </c>
      <c r="CF90" s="247">
        <v>456.9932165857673</v>
      </c>
      <c r="CG90" s="247">
        <v>455.95826798555191</v>
      </c>
      <c r="CH90" s="247">
        <v>454.92336913049462</v>
      </c>
      <c r="CI90" s="247">
        <v>453.88851072331073</v>
      </c>
      <c r="CJ90" s="247">
        <v>452.85238781305185</v>
      </c>
      <c r="CK90" s="247">
        <v>451.81628622769006</v>
      </c>
      <c r="CL90" s="247">
        <v>450.78021055016058</v>
      </c>
      <c r="CM90" s="247">
        <v>449.74416532015448</v>
      </c>
      <c r="CN90" s="247">
        <v>448.70815508041682</v>
      </c>
      <c r="CO90" s="247">
        <v>447.67218435444738</v>
      </c>
      <c r="CP90" s="247">
        <v>446.63625766379249</v>
      </c>
      <c r="CQ90" s="247">
        <v>445.60037949599808</v>
      </c>
      <c r="CR90" s="247">
        <v>444.56455434379643</v>
      </c>
      <c r="CS90" s="247">
        <v>443.52878667900728</v>
      </c>
      <c r="CT90" s="247">
        <v>442.4930809706363</v>
      </c>
      <c r="CU90" s="247">
        <v>441.45744166768111</v>
      </c>
      <c r="CV90" s="247">
        <v>440.42197673428279</v>
      </c>
      <c r="CW90" s="247">
        <v>439.38657144487985</v>
      </c>
      <c r="CX90" s="247">
        <v>438.35122529986381</v>
      </c>
      <c r="CY90" s="247">
        <v>437.31593780246425</v>
      </c>
      <c r="CZ90" s="247">
        <v>436.28070848686821</v>
      </c>
      <c r="DA90" s="247">
        <v>435.24553690794977</v>
      </c>
      <c r="DB90" s="247">
        <v>434.21042261119021</v>
      </c>
      <c r="DC90" s="247">
        <v>433.17536518952465</v>
      </c>
      <c r="DD90" s="247">
        <v>432.14036422783863</v>
      </c>
      <c r="DE90" s="247">
        <v>431.10541933613382</v>
      </c>
      <c r="DF90" s="247">
        <v>430.07053015554555</v>
      </c>
      <c r="DG90" s="247">
        <v>429.03569634145373</v>
      </c>
      <c r="DH90" s="247">
        <v>428.00103810510825</v>
      </c>
      <c r="DI90" s="247">
        <v>426.96643022945727</v>
      </c>
      <c r="DJ90" s="247">
        <v>425.93187871670733</v>
      </c>
      <c r="DK90" s="247">
        <v>424.89738952431765</v>
      </c>
      <c r="DL90" s="247">
        <v>423.86296861014296</v>
      </c>
      <c r="DM90" s="247">
        <v>422.8286218877397</v>
      </c>
      <c r="DN90" s="247">
        <v>421.79435524802636</v>
      </c>
      <c r="DO90" s="247">
        <v>420.76017457564808</v>
      </c>
      <c r="DP90" s="247">
        <v>419.72608571651307</v>
      </c>
      <c r="DQ90" s="247">
        <v>418.69209449370908</v>
      </c>
      <c r="DR90" s="247">
        <v>417.65820671332398</v>
      </c>
      <c r="DS90" s="247">
        <v>416.62442815917268</v>
      </c>
      <c r="DT90" s="247">
        <v>415.59259444602048</v>
      </c>
      <c r="DU90" s="247">
        <v>414.56088661544999</v>
      </c>
      <c r="DV90" s="247">
        <v>413.52931311431951</v>
      </c>
      <c r="DW90" s="247">
        <v>412.49788235174418</v>
      </c>
      <c r="DX90" s="247">
        <v>411.46660269225055</v>
      </c>
      <c r="DY90" s="247">
        <v>410.43548245679574</v>
      </c>
      <c r="DZ90" s="247">
        <v>409.40452990943874</v>
      </c>
      <c r="EA90" s="247">
        <v>408.37375330513783</v>
      </c>
      <c r="EB90" s="247">
        <v>407.34316083093654</v>
      </c>
      <c r="EC90" s="247">
        <v>406.31276064031965</v>
      </c>
      <c r="ED90" s="247">
        <v>405.2825608544087</v>
      </c>
      <c r="EE90" s="247">
        <v>404.25256956720642</v>
      </c>
      <c r="EF90" s="247">
        <v>403.22506764192309</v>
      </c>
      <c r="EG90" s="247">
        <v>402.19778625741316</v>
      </c>
      <c r="EH90" s="247">
        <v>401.17071629456586</v>
      </c>
      <c r="EI90" s="247">
        <v>400.14384871496452</v>
      </c>
      <c r="EJ90" s="247">
        <v>399.11717453971141</v>
      </c>
      <c r="EK90" s="247">
        <v>398.09068485125022</v>
      </c>
      <c r="EL90" s="247">
        <v>397.06437080530941</v>
      </c>
      <c r="EM90" s="247">
        <v>396.03822362306556</v>
      </c>
      <c r="EN90" s="247">
        <v>395.01223460080467</v>
      </c>
      <c r="EO90" s="247">
        <v>393.98639509356281</v>
      </c>
      <c r="EP90" s="247">
        <v>392.96069653726306</v>
      </c>
      <c r="EQ90" s="247">
        <v>391.93513042756138</v>
      </c>
      <c r="ER90" s="247">
        <v>390.91245562133207</v>
      </c>
      <c r="ES90" s="247">
        <v>389.88991500580096</v>
      </c>
      <c r="ET90" s="247">
        <v>388.86751546285819</v>
      </c>
      <c r="EU90" s="247">
        <v>387.8452638470585</v>
      </c>
      <c r="EV90" s="247">
        <v>386.8231669690548</v>
      </c>
      <c r="EW90" s="247">
        <v>385.80123161208286</v>
      </c>
      <c r="EX90" s="247">
        <v>384.77946453056791</v>
      </c>
      <c r="EY90" s="247">
        <v>383.7578724335018</v>
      </c>
      <c r="EZ90" s="247">
        <v>382.73646200325709</v>
      </c>
      <c r="FA90" s="247">
        <v>381.71523989021773</v>
      </c>
      <c r="FB90" s="247">
        <v>380.69421272356249</v>
      </c>
      <c r="FC90" s="247">
        <v>379.673387094036</v>
      </c>
      <c r="FD90" s="247">
        <v>378.65606887898684</v>
      </c>
      <c r="FE90" s="247">
        <v>377.63897278485103</v>
      </c>
      <c r="FF90" s="247">
        <v>376.62210058962836</v>
      </c>
      <c r="FG90" s="247">
        <v>375.60545412698002</v>
      </c>
      <c r="FH90" s="247">
        <v>374.58903516088918</v>
      </c>
      <c r="FI90" s="247">
        <v>373.57284551835198</v>
      </c>
      <c r="FJ90" s="247">
        <v>372.55688697391003</v>
      </c>
      <c r="FK90" s="247">
        <v>371.54116133684272</v>
      </c>
      <c r="FL90" s="247">
        <v>370.52567036718773</v>
      </c>
      <c r="FM90" s="247">
        <v>369.51041588164321</v>
      </c>
      <c r="FN90" s="247">
        <v>368.49539964595203</v>
      </c>
      <c r="FO90" s="247">
        <v>367.48062346031674</v>
      </c>
      <c r="FP90" s="247">
        <v>366.46636131842547</v>
      </c>
      <c r="FQ90" s="247">
        <v>365.45233648050601</v>
      </c>
      <c r="FR90" s="247">
        <v>364.43855446217225</v>
      </c>
      <c r="FS90" s="247">
        <v>363.42502078528133</v>
      </c>
      <c r="FT90" s="247">
        <v>362.41174092102784</v>
      </c>
      <c r="FU90" s="247">
        <v>361.39872033195002</v>
      </c>
      <c r="FV90" s="247">
        <v>360.38596443904299</v>
      </c>
      <c r="FW90" s="247">
        <v>359.37347864911601</v>
      </c>
      <c r="FX90" s="247">
        <v>358.36126832284447</v>
      </c>
      <c r="FY90" s="247">
        <v>357.34933882089166</v>
      </c>
      <c r="FZ90" s="247">
        <v>356.33769545599102</v>
      </c>
      <c r="GA90" s="247">
        <v>355.32634354793589</v>
      </c>
      <c r="GB90" s="247">
        <v>354.31557578159709</v>
      </c>
      <c r="GC90" s="247">
        <v>353.30509834501146</v>
      </c>
      <c r="GD90" s="247">
        <v>352.29491491271597</v>
      </c>
      <c r="GE90" s="247">
        <v>351.28502916817808</v>
      </c>
      <c r="GF90" s="247">
        <v>350.27544476924675</v>
      </c>
      <c r="GG90" s="247">
        <v>349.26616534680545</v>
      </c>
      <c r="GH90" s="247">
        <v>348.25719452908152</v>
      </c>
      <c r="GI90" s="247">
        <v>347.24853592633877</v>
      </c>
      <c r="GJ90" s="247">
        <v>346.24019313429062</v>
      </c>
      <c r="GK90" s="247">
        <v>345.2321697165292</v>
      </c>
      <c r="GL90" s="247">
        <v>344.22446926241992</v>
      </c>
      <c r="GM90" s="247">
        <v>343.21709532226316</v>
      </c>
      <c r="GN90" s="247">
        <v>342.21479448991084</v>
      </c>
      <c r="GO90" s="247">
        <v>341.21285243768608</v>
      </c>
      <c r="GP90" s="247">
        <v>340.21127332688172</v>
      </c>
      <c r="GQ90" s="247">
        <v>339.21006129807381</v>
      </c>
      <c r="GR90" s="247">
        <v>338.20922047171314</v>
      </c>
      <c r="GS90" s="247">
        <v>337.20875494670054</v>
      </c>
      <c r="GT90" s="247">
        <v>336.20866881164966</v>
      </c>
      <c r="GU90" s="247">
        <v>335.20896612740972</v>
      </c>
      <c r="GV90" s="247">
        <v>334.2096509245664</v>
      </c>
      <c r="GW90" s="247">
        <v>333.21072724293884</v>
      </c>
      <c r="GX90" s="247">
        <v>332.21219908284871</v>
      </c>
      <c r="GY90" s="247">
        <v>331.21407045350992</v>
      </c>
      <c r="GZ90" s="247">
        <v>330.21669114504306</v>
      </c>
      <c r="HA90" s="247">
        <v>329.21971399598868</v>
      </c>
      <c r="HB90" s="247">
        <v>328.22314755110654</v>
      </c>
      <c r="HC90" s="247">
        <v>327.22700030341053</v>
      </c>
      <c r="HD90" s="247">
        <v>326.23128067994611</v>
      </c>
      <c r="HE90" s="247">
        <v>325.23599709889913</v>
      </c>
      <c r="HF90" s="247">
        <v>324.24115788519964</v>
      </c>
      <c r="HG90" s="247">
        <v>323.24677135591003</v>
      </c>
      <c r="HH90" s="247">
        <v>322.25284575866141</v>
      </c>
      <c r="HI90" s="247">
        <v>321.25938932522286</v>
      </c>
      <c r="HJ90" s="247">
        <v>320.2664102161043</v>
      </c>
      <c r="HK90" s="247">
        <v>319.27391658962591</v>
      </c>
      <c r="HL90" s="247">
        <v>318.28822943800083</v>
      </c>
      <c r="HM90" s="247">
        <v>317.30306959925861</v>
      </c>
      <c r="HN90" s="247">
        <v>316.31842934385338</v>
      </c>
      <c r="HO90" s="247">
        <v>315.33430095500694</v>
      </c>
      <c r="HP90" s="247">
        <v>314.35067682311927</v>
      </c>
      <c r="HQ90" s="247">
        <v>313.36754935156165</v>
      </c>
      <c r="HR90" s="247">
        <v>312.38491102188931</v>
      </c>
      <c r="HS90" s="247">
        <v>311.40275433787082</v>
      </c>
      <c r="HT90" s="247">
        <v>310.42107187689481</v>
      </c>
      <c r="HU90" s="247">
        <v>309.43985627719314</v>
      </c>
      <c r="HV90" s="247">
        <v>308.45910021008524</v>
      </c>
      <c r="HW90" s="247">
        <v>307.47879640052861</v>
      </c>
      <c r="HX90" s="247">
        <v>306.49934544701256</v>
      </c>
      <c r="HY90" s="247">
        <v>305.52033717841311</v>
      </c>
      <c r="HZ90" s="247">
        <v>304.5417788916331</v>
      </c>
      <c r="IA90" s="247">
        <v>303.56367781679882</v>
      </c>
      <c r="IB90" s="247">
        <v>302.58604116386903</v>
      </c>
      <c r="IC90" s="247">
        <v>301.60887610557671</v>
      </c>
      <c r="ID90" s="247">
        <v>300.63218976532892</v>
      </c>
      <c r="IE90" s="247">
        <v>299.65598924493548</v>
      </c>
      <c r="IF90" s="247">
        <v>298.68028160646321</v>
      </c>
      <c r="IG90" s="247">
        <v>297.70507388973624</v>
      </c>
      <c r="IH90" s="247">
        <v>296.73037307697302</v>
      </c>
      <c r="II90" s="247">
        <v>295.75618614951037</v>
      </c>
      <c r="IJ90" s="247">
        <v>294.78294272727072</v>
      </c>
      <c r="IK90" s="247">
        <v>293.81021934908972</v>
      </c>
      <c r="IL90" s="247">
        <v>292.83802487200575</v>
      </c>
      <c r="IM90" s="247">
        <v>291.86636803846784</v>
      </c>
      <c r="IN90" s="247">
        <v>290.89525769536249</v>
      </c>
      <c r="IO90" s="247">
        <v>289.92470250211761</v>
      </c>
      <c r="IP90" s="247">
        <v>288.95471114257771</v>
      </c>
      <c r="IQ90" s="247">
        <v>287.98529226556894</v>
      </c>
      <c r="IR90" s="247">
        <v>287.01645446642914</v>
      </c>
      <c r="IS90" s="247">
        <v>286.04820630453787</v>
      </c>
      <c r="IT90" s="247">
        <v>285.08055636026165</v>
      </c>
      <c r="IU90" s="247">
        <v>284.1135131060156</v>
      </c>
      <c r="IV90" s="247">
        <v>283.15600081916352</v>
      </c>
      <c r="IW90" s="247">
        <v>282.19914641827683</v>
      </c>
      <c r="IX90" s="247">
        <v>281.2429385298737</v>
      </c>
      <c r="IY90" s="247">
        <v>280.28736593087052</v>
      </c>
      <c r="IZ90" s="247">
        <v>279.3324173993999</v>
      </c>
      <c r="JA90" s="247">
        <v>278.37808178648834</v>
      </c>
      <c r="JB90" s="247">
        <v>277.42434809047796</v>
      </c>
      <c r="JC90" s="247">
        <v>276.47120531701353</v>
      </c>
      <c r="JD90" s="247">
        <v>275.51864253748869</v>
      </c>
      <c r="JE90" s="247">
        <v>274.56664890727302</v>
      </c>
      <c r="JF90" s="247">
        <v>273.61521365333107</v>
      </c>
      <c r="JG90" s="247">
        <v>272.66432601104464</v>
      </c>
      <c r="JH90" s="247">
        <v>271.71446522256934</v>
      </c>
      <c r="JI90" s="247">
        <v>270.76513792898635</v>
      </c>
      <c r="JJ90" s="247">
        <v>269.81635011751433</v>
      </c>
      <c r="JK90" s="247">
        <v>268.86810760124939</v>
      </c>
      <c r="JL90" s="247">
        <v>267.9204163177352</v>
      </c>
      <c r="JM90" s="247">
        <v>266.97328202855829</v>
      </c>
      <c r="JN90" s="247">
        <v>266.02671061191734</v>
      </c>
      <c r="JO90" s="247">
        <v>265.08070785267211</v>
      </c>
      <c r="JP90" s="247">
        <v>264.13527957026872</v>
      </c>
      <c r="JQ90" s="247">
        <v>263.19043149104391</v>
      </c>
      <c r="JR90" s="247">
        <v>262.24616938004215</v>
      </c>
      <c r="JS90" s="247">
        <v>261.30249897838854</v>
      </c>
      <c r="JT90" s="247">
        <v>260.35016884473396</v>
      </c>
      <c r="JU90" s="247">
        <v>259.39836390077045</v>
      </c>
      <c r="JV90" s="247">
        <v>258.44707704582646</v>
      </c>
      <c r="JW90" s="247">
        <v>257.49630140305601</v>
      </c>
      <c r="JX90" s="247">
        <v>256.54603000536014</v>
      </c>
      <c r="JY90" s="247">
        <v>255.5962559791042</v>
      </c>
      <c r="JZ90" s="247">
        <v>254.64697248302045</v>
      </c>
      <c r="KA90" s="247">
        <v>253.69817271653946</v>
      </c>
      <c r="KB90" s="247">
        <v>252.74984996690421</v>
      </c>
      <c r="KC90" s="247">
        <v>251.80199749997769</v>
      </c>
      <c r="KD90" s="247">
        <v>250.85460861284761</v>
      </c>
      <c r="KE90" s="247">
        <v>249.9076767057841</v>
      </c>
      <c r="KF90" s="247">
        <v>248.9616896774873</v>
      </c>
      <c r="KG90" s="247">
        <v>248.01616755424791</v>
      </c>
      <c r="KH90" s="247">
        <v>247.07113450925186</v>
      </c>
      <c r="KI90" s="247">
        <v>246.12661446035702</v>
      </c>
      <c r="KJ90" s="247">
        <v>245.18263137673074</v>
      </c>
      <c r="KK90" s="247">
        <v>244.23920896513346</v>
      </c>
      <c r="KL90" s="247">
        <v>243.29637091338034</v>
      </c>
      <c r="KM90" s="247">
        <v>242.35414083485168</v>
      </c>
      <c r="KN90" s="247">
        <v>241.41254219073588</v>
      </c>
      <c r="KO90" s="247">
        <v>240.47159842259924</v>
      </c>
      <c r="KP90" s="247">
        <v>239.53133281995179</v>
      </c>
      <c r="KQ90" s="247">
        <v>238.59176858847997</v>
      </c>
      <c r="KR90" s="247">
        <v>237.64343040583199</v>
      </c>
      <c r="KS90" s="247">
        <v>236.69572138078638</v>
      </c>
      <c r="KT90" s="247">
        <v>235.74862341265381</v>
      </c>
      <c r="KU90" s="247">
        <v>234.80211844438023</v>
      </c>
      <c r="KV90" s="247">
        <v>233.85618847076663</v>
      </c>
      <c r="KW90" s="247">
        <v>232.9108156866119</v>
      </c>
      <c r="KX90" s="247">
        <v>231.96598228265731</v>
      </c>
      <c r="KY90" s="247">
        <v>231.02167055932952</v>
      </c>
      <c r="KZ90" s="247">
        <v>230.07786291124515</v>
      </c>
      <c r="LA90" s="247">
        <v>229.13454189614524</v>
      </c>
      <c r="LB90" s="247">
        <v>228.19169006932026</v>
      </c>
      <c r="LC90" s="247">
        <v>227.24929009968199</v>
      </c>
      <c r="LD90" s="247">
        <v>226.30781342425956</v>
      </c>
      <c r="LE90" s="247">
        <v>225.36677145791657</v>
      </c>
      <c r="LF90" s="247">
        <v>224.42617428016842</v>
      </c>
      <c r="LG90" s="247">
        <v>223.48603193659494</v>
      </c>
      <c r="LH90" s="247">
        <v>222.5463544436424</v>
      </c>
      <c r="LI90" s="247">
        <v>221.60715172898983</v>
      </c>
      <c r="LJ90" s="247">
        <v>220.66843378114925</v>
      </c>
      <c r="LK90" s="247">
        <v>219.73021045789031</v>
      </c>
      <c r="LL90" s="247">
        <v>218.7924916660925</v>
      </c>
      <c r="LM90" s="247">
        <v>217.85528718018327</v>
      </c>
      <c r="LN90" s="247">
        <v>216.91860687127422</v>
      </c>
      <c r="LO90" s="247">
        <v>215.98246052205064</v>
      </c>
      <c r="LP90" s="247">
        <v>215.04736220003343</v>
      </c>
      <c r="LQ90" s="247">
        <v>214.11280062539205</v>
      </c>
      <c r="LR90" s="247">
        <v>213.17877879079342</v>
      </c>
      <c r="LS90" s="247">
        <v>212.24529976156256</v>
      </c>
      <c r="LT90" s="247">
        <v>211.31236658465883</v>
      </c>
      <c r="LU90" s="247">
        <v>210.37998223147986</v>
      </c>
      <c r="LV90" s="247">
        <v>209.44814978985804</v>
      </c>
      <c r="LW90" s="247">
        <v>208.51687227958064</v>
      </c>
      <c r="LX90" s="247">
        <v>207.5861527315773</v>
      </c>
      <c r="LY90" s="247">
        <v>206.65599420076461</v>
      </c>
      <c r="LZ90" s="247">
        <v>205.72639970717015</v>
      </c>
      <c r="MA90" s="247">
        <v>204.79737238314985</v>
      </c>
      <c r="MB90" s="247">
        <v>203.86944284049841</v>
      </c>
      <c r="MC90" s="247">
        <v>202.94207663329689</v>
      </c>
      <c r="MD90" s="247">
        <v>202.01527696788884</v>
      </c>
      <c r="ME90" s="247">
        <v>201.08904695824563</v>
      </c>
      <c r="MF90" s="247">
        <v>200.16338976582898</v>
      </c>
      <c r="MG90" s="247">
        <v>199.23830858728573</v>
      </c>
      <c r="MH90" s="247">
        <v>198.31380661415287</v>
      </c>
      <c r="MI90" s="247">
        <v>197.38988699030912</v>
      </c>
      <c r="MJ90" s="247">
        <v>196.46655297491489</v>
      </c>
      <c r="MK90" s="247">
        <v>195.54380773334273</v>
      </c>
      <c r="ML90" s="247">
        <v>194.62165450026538</v>
      </c>
      <c r="MM90" s="247">
        <v>193.70009650162854</v>
      </c>
      <c r="MN90" s="247">
        <v>192.77968732625359</v>
      </c>
      <c r="MO90" s="247">
        <v>191.85986846755472</v>
      </c>
      <c r="MP90" s="247">
        <v>190.94064168794844</v>
      </c>
      <c r="MQ90" s="247">
        <v>190.02200878022074</v>
      </c>
      <c r="MR90" s="247">
        <v>189.10397161464277</v>
      </c>
      <c r="MS90" s="247">
        <v>188.18653199891304</v>
      </c>
      <c r="MT90" s="247">
        <v>187.2696918516676</v>
      </c>
      <c r="MU90" s="247">
        <v>186.35345299189675</v>
      </c>
      <c r="MV90" s="247">
        <v>185.43781733697753</v>
      </c>
      <c r="MW90" s="247">
        <v>184.52278682711386</v>
      </c>
      <c r="MX90" s="247">
        <v>183.60836341365598</v>
      </c>
      <c r="MY90" s="247">
        <v>182.69454902664219</v>
      </c>
    </row>
  </sheetData>
  <mergeCells count="1">
    <mergeCell ref="B1:B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Premissas"/>
  <dimension ref="B2:U117"/>
  <sheetViews>
    <sheetView topLeftCell="A85" workbookViewId="0">
      <selection activeCell="K61" sqref="K61:M61"/>
    </sheetView>
  </sheetViews>
  <sheetFormatPr defaultRowHeight="14.4" x14ac:dyDescent="0.3"/>
  <cols>
    <col min="2" max="2" width="32.44140625" customWidth="1"/>
    <col min="3" max="3" width="16.109375" customWidth="1"/>
    <col min="4" max="5" width="12.33203125" customWidth="1"/>
    <col min="6" max="6" width="2" customWidth="1"/>
    <col min="7" max="7" width="26.5546875" bestFit="1" customWidth="1"/>
    <col min="8" max="9" width="16.88671875" bestFit="1" customWidth="1"/>
    <col min="10" max="10" width="13.33203125" bestFit="1" customWidth="1"/>
    <col min="11" max="11" width="16.33203125" bestFit="1" customWidth="1"/>
    <col min="12" max="12" width="16.88671875" bestFit="1" customWidth="1"/>
    <col min="13" max="13" width="16.33203125" bestFit="1" customWidth="1"/>
    <col min="14" max="14" width="20.5546875" bestFit="1" customWidth="1"/>
    <col min="21" max="21" width="17.6640625" bestFit="1" customWidth="1"/>
  </cols>
  <sheetData>
    <row r="2" spans="2:21" x14ac:dyDescent="0.3">
      <c r="B2" s="6" t="s">
        <v>24</v>
      </c>
      <c r="C2" s="6"/>
      <c r="D2" s="6"/>
      <c r="E2" s="6"/>
      <c r="U2" s="10" t="s">
        <v>6</v>
      </c>
    </row>
    <row r="3" spans="2:21" x14ac:dyDescent="0.3">
      <c r="B3" s="1" t="s">
        <v>4</v>
      </c>
      <c r="C3" s="2">
        <f ca="1">RESULTADOS!C3</f>
        <v>44889</v>
      </c>
      <c r="D3" s="6"/>
      <c r="E3" s="6"/>
      <c r="U3" s="11" t="s">
        <v>7</v>
      </c>
    </row>
    <row r="5" spans="2:21" x14ac:dyDescent="0.3">
      <c r="B5" s="6" t="s">
        <v>22</v>
      </c>
      <c r="C5" s="6"/>
      <c r="D5" s="6"/>
      <c r="E5" s="6"/>
      <c r="U5" s="10" t="s">
        <v>18</v>
      </c>
    </row>
    <row r="6" spans="2:21" x14ac:dyDescent="0.3">
      <c r="B6" s="9" t="s">
        <v>80</v>
      </c>
      <c r="C6" s="30" t="s">
        <v>81</v>
      </c>
      <c r="D6" s="30" t="s">
        <v>82</v>
      </c>
      <c r="E6" s="6"/>
      <c r="U6" s="11" t="s">
        <v>19</v>
      </c>
    </row>
    <row r="7" spans="2:21" x14ac:dyDescent="0.3">
      <c r="B7" s="1" t="s">
        <v>85</v>
      </c>
      <c r="C7" s="36"/>
      <c r="D7" s="2">
        <v>34546</v>
      </c>
      <c r="E7" s="6"/>
    </row>
    <row r="8" spans="2:21" x14ac:dyDescent="0.3">
      <c r="B8" s="1" t="s">
        <v>58</v>
      </c>
      <c r="C8" s="2">
        <v>36145</v>
      </c>
      <c r="D8" s="2">
        <v>36145</v>
      </c>
      <c r="E8" s="6"/>
      <c r="U8" s="58">
        <v>7.4999999999999997E-2</v>
      </c>
    </row>
    <row r="9" spans="2:21" x14ac:dyDescent="0.3">
      <c r="B9" s="1" t="s">
        <v>11</v>
      </c>
      <c r="C9" s="2">
        <v>37974</v>
      </c>
      <c r="D9" s="2">
        <v>37987</v>
      </c>
      <c r="E9" s="6"/>
      <c r="U9" s="58">
        <v>0.08</v>
      </c>
    </row>
    <row r="10" spans="2:21" x14ac:dyDescent="0.3">
      <c r="B10" s="339" t="s">
        <v>106</v>
      </c>
      <c r="C10" s="341">
        <v>41401</v>
      </c>
      <c r="D10" s="341">
        <v>41401</v>
      </c>
      <c r="E10" s="6"/>
      <c r="U10" s="58">
        <v>8.5000000000000006E-2</v>
      </c>
    </row>
    <row r="11" spans="2:21" x14ac:dyDescent="0.3">
      <c r="B11" s="1" t="s">
        <v>271</v>
      </c>
      <c r="C11" s="2">
        <v>43782</v>
      </c>
      <c r="D11" s="2">
        <v>43782</v>
      </c>
      <c r="E11" s="6"/>
    </row>
    <row r="12" spans="2:21" x14ac:dyDescent="0.3">
      <c r="U12" s="1" t="s">
        <v>146</v>
      </c>
    </row>
    <row r="13" spans="2:21" x14ac:dyDescent="0.3">
      <c r="B13" s="6" t="s">
        <v>23</v>
      </c>
      <c r="C13" s="6"/>
      <c r="D13" s="6"/>
      <c r="E13" s="6"/>
      <c r="U13" s="1" t="s">
        <v>147</v>
      </c>
    </row>
    <row r="14" spans="2:21" x14ac:dyDescent="0.3">
      <c r="B14" s="1" t="s">
        <v>13</v>
      </c>
      <c r="C14" s="4">
        <v>7087.22</v>
      </c>
      <c r="D14" s="6"/>
      <c r="E14" s="6"/>
    </row>
    <row r="15" spans="2:21" x14ac:dyDescent="0.3">
      <c r="B15" s="1" t="s">
        <v>14</v>
      </c>
      <c r="C15" s="4">
        <v>1212</v>
      </c>
      <c r="D15" s="6"/>
      <c r="E15" s="6"/>
      <c r="U15" s="110" t="s">
        <v>202</v>
      </c>
    </row>
    <row r="16" spans="2:21" x14ac:dyDescent="0.3">
      <c r="B16" s="138" t="s">
        <v>139</v>
      </c>
      <c r="C16" s="139">
        <v>0.04</v>
      </c>
      <c r="D16" s="6" t="s">
        <v>213</v>
      </c>
      <c r="E16" s="6"/>
      <c r="U16" s="110" t="s">
        <v>203</v>
      </c>
    </row>
    <row r="17" spans="2:21" x14ac:dyDescent="0.3">
      <c r="B17" s="138" t="s">
        <v>138</v>
      </c>
      <c r="C17" s="139">
        <f>(1+C16)^(1/12)-1</f>
        <v>3.2737397821989145E-3</v>
      </c>
      <c r="D17" s="6" t="s">
        <v>213</v>
      </c>
      <c r="E17" s="6"/>
      <c r="U17" s="122"/>
    </row>
    <row r="18" spans="2:21" x14ac:dyDescent="0.3">
      <c r="B18" s="1" t="s">
        <v>139</v>
      </c>
      <c r="C18" s="78">
        <v>0.04</v>
      </c>
      <c r="D18" s="6" t="s">
        <v>214</v>
      </c>
      <c r="E18" s="6"/>
      <c r="U18" s="122"/>
    </row>
    <row r="19" spans="2:21" x14ac:dyDescent="0.3">
      <c r="B19" s="1" t="s">
        <v>138</v>
      </c>
      <c r="C19" s="78">
        <f>(1+C18)^(1/12)-1</f>
        <v>3.2737397821989145E-3</v>
      </c>
      <c r="D19" s="6" t="s">
        <v>214</v>
      </c>
      <c r="E19" s="6"/>
    </row>
    <row r="21" spans="2:21" x14ac:dyDescent="0.3">
      <c r="B21" s="6" t="s">
        <v>25</v>
      </c>
      <c r="C21" s="7"/>
      <c r="D21" s="7"/>
      <c r="E21" s="7"/>
    </row>
    <row r="22" spans="2:21" x14ac:dyDescent="0.3">
      <c r="B22" s="7" t="s">
        <v>58</v>
      </c>
      <c r="C22" s="7"/>
      <c r="D22" s="7"/>
      <c r="E22" s="7"/>
      <c r="G22" s="7" t="s">
        <v>11</v>
      </c>
      <c r="H22" s="7"/>
      <c r="I22" s="7"/>
    </row>
    <row r="23" spans="2:21" x14ac:dyDescent="0.3">
      <c r="B23" s="356" t="s">
        <v>9</v>
      </c>
      <c r="C23" s="356"/>
      <c r="D23" s="356"/>
      <c r="E23" s="356"/>
      <c r="G23" s="356" t="s">
        <v>9</v>
      </c>
      <c r="H23" s="356"/>
      <c r="I23" s="356"/>
    </row>
    <row r="24" spans="2:21" x14ac:dyDescent="0.3">
      <c r="B24" s="7"/>
      <c r="C24" s="3" t="s">
        <v>6</v>
      </c>
      <c r="D24" s="3" t="s">
        <v>7</v>
      </c>
      <c r="E24" s="6"/>
      <c r="G24" s="7"/>
      <c r="H24" s="3" t="s">
        <v>6</v>
      </c>
      <c r="I24" s="3" t="s">
        <v>7</v>
      </c>
    </row>
    <row r="25" spans="2:21" x14ac:dyDescent="0.3">
      <c r="B25" s="1" t="s">
        <v>5</v>
      </c>
      <c r="C25" s="3">
        <v>60</v>
      </c>
      <c r="D25" s="3">
        <v>55</v>
      </c>
      <c r="E25" s="6"/>
      <c r="G25" s="1" t="s">
        <v>5</v>
      </c>
      <c r="H25" s="3">
        <v>60</v>
      </c>
      <c r="I25" s="3">
        <v>55</v>
      </c>
    </row>
    <row r="26" spans="2:21" x14ac:dyDescent="0.3">
      <c r="B26" s="1" t="s">
        <v>8</v>
      </c>
      <c r="C26" s="3">
        <v>35</v>
      </c>
      <c r="D26" s="3">
        <v>30</v>
      </c>
      <c r="E26" s="6"/>
      <c r="G26" s="1" t="s">
        <v>8</v>
      </c>
      <c r="H26" s="3">
        <v>35</v>
      </c>
      <c r="I26" s="3">
        <v>30</v>
      </c>
    </row>
    <row r="27" spans="2:21" x14ac:dyDescent="0.3">
      <c r="B27" s="6"/>
      <c r="C27" s="6"/>
      <c r="D27" s="6"/>
      <c r="E27" s="6"/>
      <c r="G27" s="1" t="s">
        <v>103</v>
      </c>
      <c r="H27" s="3">
        <v>10</v>
      </c>
      <c r="I27" s="3">
        <v>10</v>
      </c>
    </row>
    <row r="28" spans="2:21" x14ac:dyDescent="0.3">
      <c r="B28" s="6"/>
      <c r="C28" s="6"/>
      <c r="D28" s="6"/>
      <c r="E28" s="6"/>
      <c r="G28" s="1" t="s">
        <v>104</v>
      </c>
      <c r="H28" s="3">
        <v>5</v>
      </c>
      <c r="I28" s="3">
        <v>5</v>
      </c>
    </row>
    <row r="29" spans="2:21" x14ac:dyDescent="0.3">
      <c r="B29" s="7"/>
      <c r="C29" s="8"/>
      <c r="D29" s="8"/>
      <c r="E29" s="6"/>
      <c r="G29" s="7"/>
      <c r="H29" s="8"/>
      <c r="I29" s="8"/>
    </row>
    <row r="30" spans="2:21" x14ac:dyDescent="0.3">
      <c r="B30" s="356" t="s">
        <v>10</v>
      </c>
      <c r="C30" s="356"/>
      <c r="D30" s="356"/>
      <c r="E30" s="356"/>
      <c r="G30" s="356" t="s">
        <v>10</v>
      </c>
      <c r="H30" s="356"/>
      <c r="I30" s="356"/>
    </row>
    <row r="31" spans="2:21" x14ac:dyDescent="0.3">
      <c r="B31" s="7"/>
      <c r="C31" s="3" t="s">
        <v>6</v>
      </c>
      <c r="D31" s="3" t="s">
        <v>7</v>
      </c>
      <c r="E31" s="6"/>
      <c r="G31" s="7"/>
      <c r="H31" s="3" t="s">
        <v>6</v>
      </c>
      <c r="I31" s="3" t="s">
        <v>7</v>
      </c>
    </row>
    <row r="32" spans="2:21" x14ac:dyDescent="0.3">
      <c r="B32" s="1" t="s">
        <v>5</v>
      </c>
      <c r="C32" s="3">
        <v>65</v>
      </c>
      <c r="D32" s="3">
        <v>60</v>
      </c>
      <c r="E32" s="6"/>
      <c r="G32" s="1" t="s">
        <v>5</v>
      </c>
      <c r="H32" s="3">
        <v>65</v>
      </c>
      <c r="I32" s="3">
        <v>60</v>
      </c>
    </row>
    <row r="33" spans="2:9" x14ac:dyDescent="0.3">
      <c r="B33" s="6"/>
      <c r="C33" s="6"/>
      <c r="D33" s="6"/>
      <c r="E33" s="6"/>
      <c r="G33" s="1" t="s">
        <v>103</v>
      </c>
      <c r="H33" s="3">
        <v>10</v>
      </c>
      <c r="I33" s="3">
        <v>10</v>
      </c>
    </row>
    <row r="34" spans="2:9" x14ac:dyDescent="0.3">
      <c r="B34" s="6"/>
      <c r="C34" s="6"/>
      <c r="D34" s="6"/>
      <c r="E34" s="6"/>
      <c r="G34" s="1" t="s">
        <v>104</v>
      </c>
      <c r="H34" s="3">
        <v>5</v>
      </c>
      <c r="I34" s="3">
        <v>5</v>
      </c>
    </row>
    <row r="36" spans="2:9" x14ac:dyDescent="0.3">
      <c r="B36" s="6" t="s">
        <v>160</v>
      </c>
      <c r="C36" s="7"/>
      <c r="D36" s="7"/>
      <c r="E36" s="7"/>
    </row>
    <row r="37" spans="2:9" x14ac:dyDescent="0.3">
      <c r="B37" s="356" t="s">
        <v>9</v>
      </c>
      <c r="C37" s="356"/>
      <c r="D37" s="356"/>
      <c r="E37" s="356"/>
    </row>
    <row r="38" spans="2:9" x14ac:dyDescent="0.3">
      <c r="B38" s="1" t="s">
        <v>8</v>
      </c>
      <c r="C38" s="3">
        <v>0</v>
      </c>
      <c r="D38" s="6"/>
      <c r="E38" s="6"/>
    </row>
    <row r="39" spans="2:9" x14ac:dyDescent="0.3">
      <c r="B39" s="339" t="s">
        <v>163</v>
      </c>
      <c r="C39" s="340">
        <v>165.64</v>
      </c>
      <c r="D39" s="6"/>
      <c r="E39" s="6"/>
    </row>
    <row r="40" spans="2:9" x14ac:dyDescent="0.3">
      <c r="B40" s="6" t="s">
        <v>26</v>
      </c>
      <c r="C40" s="6"/>
      <c r="D40" s="6"/>
      <c r="E40" s="6"/>
    </row>
    <row r="41" spans="2:9" x14ac:dyDescent="0.3">
      <c r="B41" s="356" t="s">
        <v>28</v>
      </c>
      <c r="C41" s="356"/>
      <c r="D41" s="356"/>
      <c r="E41" s="356"/>
    </row>
    <row r="42" spans="2:9" ht="43.2" x14ac:dyDescent="0.3">
      <c r="B42" s="17" t="s">
        <v>29</v>
      </c>
      <c r="C42" s="17" t="s">
        <v>30</v>
      </c>
      <c r="D42" s="17" t="s">
        <v>31</v>
      </c>
      <c r="E42" s="17" t="s">
        <v>55</v>
      </c>
    </row>
    <row r="43" spans="2:9" x14ac:dyDescent="0.3">
      <c r="B43" s="12">
        <v>22847.759999999998</v>
      </c>
      <c r="C43" s="13">
        <f>B43/12</f>
        <v>1903.9799999999998</v>
      </c>
      <c r="D43" s="16">
        <v>0</v>
      </c>
      <c r="E43" s="13">
        <v>0</v>
      </c>
    </row>
    <row r="44" spans="2:9" x14ac:dyDescent="0.3">
      <c r="B44" s="12">
        <v>33919.800000000003</v>
      </c>
      <c r="C44" s="13">
        <f>B44/12</f>
        <v>2826.65</v>
      </c>
      <c r="D44" s="16">
        <v>7.4999999999999997E-2</v>
      </c>
      <c r="E44" s="13">
        <v>142.80000000000001</v>
      </c>
    </row>
    <row r="45" spans="2:9" x14ac:dyDescent="0.3">
      <c r="B45" s="12">
        <v>45012.6</v>
      </c>
      <c r="C45" s="13">
        <f>B45/12</f>
        <v>3751.0499999999997</v>
      </c>
      <c r="D45" s="16">
        <v>0.15</v>
      </c>
      <c r="E45" s="13">
        <v>354.8</v>
      </c>
    </row>
    <row r="46" spans="2:9" x14ac:dyDescent="0.3">
      <c r="B46" s="14">
        <v>55976.160000000003</v>
      </c>
      <c r="C46" s="13">
        <f>B46/12</f>
        <v>4664.68</v>
      </c>
      <c r="D46" s="16">
        <v>0.22500000000000001</v>
      </c>
      <c r="E46" s="13">
        <v>636.13</v>
      </c>
    </row>
    <row r="47" spans="2:9" x14ac:dyDescent="0.3">
      <c r="B47" s="15" t="s">
        <v>32</v>
      </c>
      <c r="C47" s="15" t="s">
        <v>33</v>
      </c>
      <c r="D47" s="16">
        <v>0.27500000000000002</v>
      </c>
      <c r="E47" s="13">
        <v>869.36</v>
      </c>
    </row>
    <row r="48" spans="2:9" x14ac:dyDescent="0.3">
      <c r="B48" s="7"/>
      <c r="C48" s="8"/>
      <c r="D48" s="8"/>
      <c r="E48" s="8"/>
    </row>
    <row r="49" spans="2:5" x14ac:dyDescent="0.3">
      <c r="B49" s="356" t="s">
        <v>27</v>
      </c>
      <c r="C49" s="356"/>
      <c r="D49" s="356"/>
      <c r="E49" s="356"/>
    </row>
    <row r="50" spans="2:5" x14ac:dyDescent="0.3">
      <c r="B50" s="17" t="s">
        <v>34</v>
      </c>
      <c r="C50" s="17" t="s">
        <v>31</v>
      </c>
      <c r="D50" s="8"/>
      <c r="E50" s="8"/>
    </row>
    <row r="51" spans="2:5" x14ac:dyDescent="0.3">
      <c r="B51" s="18">
        <v>2</v>
      </c>
      <c r="C51" s="16">
        <v>0.35</v>
      </c>
      <c r="D51" s="8"/>
      <c r="E51" s="8"/>
    </row>
    <row r="52" spans="2:5" x14ac:dyDescent="0.3">
      <c r="B52" s="18">
        <v>4</v>
      </c>
      <c r="C52" s="16">
        <v>0.3</v>
      </c>
      <c r="D52" s="8"/>
      <c r="E52" s="8"/>
    </row>
    <row r="53" spans="2:5" x14ac:dyDescent="0.3">
      <c r="B53" s="18">
        <v>6</v>
      </c>
      <c r="C53" s="16">
        <v>0.25</v>
      </c>
      <c r="D53" s="8"/>
      <c r="E53" s="8"/>
    </row>
    <row r="54" spans="2:5" x14ac:dyDescent="0.3">
      <c r="B54" s="19">
        <v>8</v>
      </c>
      <c r="C54" s="16">
        <v>0.2</v>
      </c>
      <c r="D54" s="8"/>
      <c r="E54" s="8"/>
    </row>
    <row r="55" spans="2:5" x14ac:dyDescent="0.3">
      <c r="B55" s="20">
        <v>10</v>
      </c>
      <c r="C55" s="16">
        <v>0.15</v>
      </c>
      <c r="D55" s="8"/>
      <c r="E55" s="8"/>
    </row>
    <row r="56" spans="2:5" x14ac:dyDescent="0.3">
      <c r="B56" s="20" t="s">
        <v>175</v>
      </c>
      <c r="C56" s="16">
        <v>0.1</v>
      </c>
      <c r="D56" s="8"/>
      <c r="E56" s="8"/>
    </row>
    <row r="57" spans="2:5" x14ac:dyDescent="0.3">
      <c r="B57" s="6" t="s">
        <v>35</v>
      </c>
      <c r="C57" s="6"/>
      <c r="D57" s="6"/>
      <c r="E57" s="6"/>
    </row>
    <row r="58" spans="2:5" x14ac:dyDescent="0.3">
      <c r="B58" s="18" t="s">
        <v>36</v>
      </c>
      <c r="C58" s="16">
        <v>0</v>
      </c>
      <c r="D58" s="6"/>
      <c r="E58" s="6"/>
    </row>
    <row r="60" spans="2:5" x14ac:dyDescent="0.3">
      <c r="B60" s="6" t="s">
        <v>159</v>
      </c>
      <c r="C60" s="6"/>
      <c r="D60" s="6"/>
      <c r="E60" s="6"/>
    </row>
    <row r="61" spans="2:5" x14ac:dyDescent="0.3">
      <c r="B61" s="357" t="s">
        <v>151</v>
      </c>
      <c r="C61" s="358"/>
      <c r="D61" s="43" t="s">
        <v>123</v>
      </c>
      <c r="E61" s="43"/>
    </row>
    <row r="62" spans="2:5" x14ac:dyDescent="0.3">
      <c r="B62" s="193">
        <v>0</v>
      </c>
      <c r="C62" s="194">
        <v>7.0000000000000007E-2</v>
      </c>
      <c r="D62" s="43"/>
      <c r="E62" s="43"/>
    </row>
    <row r="63" spans="2:5" x14ac:dyDescent="0.3">
      <c r="B63" s="193">
        <v>1</v>
      </c>
      <c r="C63" s="194">
        <v>6.25E-2</v>
      </c>
      <c r="D63" s="43"/>
      <c r="E63" s="43"/>
    </row>
    <row r="64" spans="2:5" x14ac:dyDescent="0.3">
      <c r="B64" s="193">
        <v>2</v>
      </c>
      <c r="C64" s="194">
        <v>0.06</v>
      </c>
      <c r="D64" s="43"/>
      <c r="E64" s="43"/>
    </row>
    <row r="65" spans="2:14" x14ac:dyDescent="0.3">
      <c r="B65" s="193">
        <v>3</v>
      </c>
      <c r="C65" s="194">
        <v>5.7500000000000002E-2</v>
      </c>
      <c r="D65" s="43"/>
      <c r="E65" s="43"/>
    </row>
    <row r="66" spans="2:14" x14ac:dyDescent="0.3">
      <c r="B66" s="193">
        <v>4</v>
      </c>
      <c r="C66" s="194">
        <v>5.5E-2</v>
      </c>
      <c r="D66" s="43"/>
      <c r="E66" s="43"/>
    </row>
    <row r="67" spans="2:14" x14ac:dyDescent="0.3">
      <c r="B67" s="193">
        <v>5</v>
      </c>
      <c r="C67" s="194">
        <v>5.2499999999999998E-2</v>
      </c>
      <c r="D67" s="43"/>
      <c r="E67" s="43"/>
    </row>
    <row r="68" spans="2:14" x14ac:dyDescent="0.3">
      <c r="B68" s="193">
        <v>6</v>
      </c>
      <c r="C68" s="194">
        <v>0.03</v>
      </c>
      <c r="D68" s="43"/>
      <c r="E68" s="43"/>
    </row>
    <row r="69" spans="2:14" x14ac:dyDescent="0.3">
      <c r="B69" s="193">
        <v>7</v>
      </c>
      <c r="C69" s="194">
        <v>2.5000000000000001E-2</v>
      </c>
      <c r="D69" s="43"/>
      <c r="E69" s="43"/>
    </row>
    <row r="70" spans="2:14" x14ac:dyDescent="0.3">
      <c r="B70" s="62" t="s">
        <v>152</v>
      </c>
      <c r="C70" s="16">
        <v>0</v>
      </c>
      <c r="D70" s="43" t="s">
        <v>161</v>
      </c>
      <c r="E70" s="43"/>
    </row>
    <row r="71" spans="2:14" x14ac:dyDescent="0.3">
      <c r="B71" s="337" t="s">
        <v>122</v>
      </c>
      <c r="C71" s="338">
        <v>0.03</v>
      </c>
      <c r="D71" s="43" t="s">
        <v>124</v>
      </c>
      <c r="E71" s="43"/>
      <c r="G71" s="113"/>
    </row>
    <row r="73" spans="2:14" x14ac:dyDescent="0.3">
      <c r="B73" s="6" t="s">
        <v>158</v>
      </c>
      <c r="C73" s="6"/>
      <c r="D73" s="6"/>
      <c r="E73" s="6"/>
      <c r="F73" s="6"/>
      <c r="G73" s="6" t="s">
        <v>274</v>
      </c>
      <c r="H73" s="6"/>
      <c r="J73" s="6" t="s">
        <v>274</v>
      </c>
      <c r="K73" s="6" t="s">
        <v>283</v>
      </c>
      <c r="L73" s="6" t="s">
        <v>284</v>
      </c>
      <c r="M73" s="6" t="s">
        <v>285</v>
      </c>
      <c r="N73" s="6" t="s">
        <v>286</v>
      </c>
    </row>
    <row r="74" spans="2:14" x14ac:dyDescent="0.3">
      <c r="B74" s="195" t="s">
        <v>226</v>
      </c>
      <c r="C74" s="354" t="s">
        <v>227</v>
      </c>
      <c r="D74" s="355"/>
      <c r="G74" s="224">
        <f ca="1">RESULTADOS!C32</f>
        <v>0</v>
      </c>
      <c r="H74" s="110" t="s">
        <v>281</v>
      </c>
      <c r="J74" s="224">
        <f ca="1">PREMISSAS!H117</f>
        <v>0</v>
      </c>
      <c r="K74" s="110" t="s">
        <v>282</v>
      </c>
      <c r="L74" s="110" t="s">
        <v>282</v>
      </c>
    </row>
    <row r="75" spans="2:14" x14ac:dyDescent="0.3">
      <c r="B75" s="196">
        <v>7.4999999999999997E-2</v>
      </c>
      <c r="C75" s="197">
        <v>0</v>
      </c>
      <c r="D75" s="197">
        <v>1212</v>
      </c>
      <c r="G75" s="198">
        <f t="shared" ref="G75:G80" ca="1" si="0">IF($G$74&gt;D75,(D75-D74),MAX(($G$74-D74),0))</f>
        <v>0</v>
      </c>
      <c r="H75" s="111">
        <v>0</v>
      </c>
      <c r="J75" s="198">
        <f ca="1">IF($J$74&gt;D75,(D75-D74),MAX(($J$74-D74),0))</f>
        <v>0</v>
      </c>
      <c r="K75" s="111">
        <f ca="1">J75*B75</f>
        <v>0</v>
      </c>
      <c r="L75" s="111">
        <f ca="1">K75</f>
        <v>0</v>
      </c>
    </row>
    <row r="76" spans="2:14" x14ac:dyDescent="0.3">
      <c r="B76" s="196">
        <v>0.09</v>
      </c>
      <c r="C76" s="197">
        <v>1212.01</v>
      </c>
      <c r="D76" s="197">
        <v>2427.35</v>
      </c>
      <c r="G76" s="198">
        <f t="shared" ca="1" si="0"/>
        <v>0</v>
      </c>
      <c r="H76" s="111">
        <v>0</v>
      </c>
      <c r="J76" s="198">
        <f ca="1">IF($J$74&gt;D76,(D76-D75),MAX(($J$74-D75),0))</f>
        <v>0</v>
      </c>
      <c r="K76" s="111">
        <f t="shared" ref="K76:K80" ca="1" si="1">J76*B76</f>
        <v>0</v>
      </c>
      <c r="L76" s="111">
        <f t="shared" ref="L76:L78" ca="1" si="2">K76</f>
        <v>0</v>
      </c>
    </row>
    <row r="77" spans="2:14" x14ac:dyDescent="0.3">
      <c r="B77" s="196">
        <v>0.12</v>
      </c>
      <c r="C77" s="197">
        <v>2427.36</v>
      </c>
      <c r="D77" s="197">
        <v>3641.03</v>
      </c>
      <c r="G77" s="198">
        <f t="shared" ca="1" si="0"/>
        <v>0</v>
      </c>
      <c r="H77" s="111">
        <v>0</v>
      </c>
      <c r="J77" s="198">
        <f ca="1">IF($J$74&gt;D77,(D77-D76),MAX(($J$74-D76),0))</f>
        <v>0</v>
      </c>
      <c r="K77" s="111">
        <f t="shared" ca="1" si="1"/>
        <v>0</v>
      </c>
      <c r="L77" s="111">
        <f t="shared" ca="1" si="2"/>
        <v>0</v>
      </c>
    </row>
    <row r="78" spans="2:14" x14ac:dyDescent="0.3">
      <c r="B78" s="196">
        <v>0.14000000000000001</v>
      </c>
      <c r="C78" s="197">
        <v>3641.0400000000004</v>
      </c>
      <c r="D78" s="197">
        <v>7087.22</v>
      </c>
      <c r="G78" s="198">
        <f t="shared" ca="1" si="0"/>
        <v>0</v>
      </c>
      <c r="H78" s="111">
        <v>0</v>
      </c>
      <c r="J78" s="198">
        <f t="shared" ref="J78:J81" ca="1" si="3">IF($J$74&gt;D78,(D78-D77),MAX(($J$74-D77),0))</f>
        <v>0</v>
      </c>
      <c r="K78" s="111">
        <f t="shared" ca="1" si="1"/>
        <v>0</v>
      </c>
      <c r="L78" s="111">
        <f t="shared" ca="1" si="2"/>
        <v>0</v>
      </c>
    </row>
    <row r="79" spans="2:14" x14ac:dyDescent="0.3">
      <c r="B79" s="196">
        <v>0.14499999999999999</v>
      </c>
      <c r="C79" s="197">
        <v>7087.2300000000005</v>
      </c>
      <c r="D79" s="197">
        <v>12136.79</v>
      </c>
      <c r="G79" s="198">
        <f t="shared" ca="1" si="0"/>
        <v>0</v>
      </c>
      <c r="H79" s="111">
        <f ca="1">G79*B79</f>
        <v>0</v>
      </c>
      <c r="J79" s="198">
        <f t="shared" ca="1" si="3"/>
        <v>0</v>
      </c>
      <c r="K79" s="111">
        <f t="shared" ca="1" si="1"/>
        <v>0</v>
      </c>
      <c r="L79" s="111">
        <v>0</v>
      </c>
    </row>
    <row r="80" spans="2:14" x14ac:dyDescent="0.3">
      <c r="B80" s="196">
        <v>0.16500000000000001</v>
      </c>
      <c r="C80" s="197">
        <v>12136.800000000001</v>
      </c>
      <c r="D80" s="197">
        <v>24273.57</v>
      </c>
      <c r="G80" s="198">
        <f t="shared" ca="1" si="0"/>
        <v>0</v>
      </c>
      <c r="H80" s="111">
        <f ca="1">G80*B80</f>
        <v>0</v>
      </c>
      <c r="J80" s="198">
        <f t="shared" ca="1" si="3"/>
        <v>0</v>
      </c>
      <c r="K80" s="111">
        <f t="shared" ca="1" si="1"/>
        <v>0</v>
      </c>
      <c r="L80" s="111">
        <v>0</v>
      </c>
    </row>
    <row r="81" spans="2:14" x14ac:dyDescent="0.3">
      <c r="B81" s="196">
        <v>0.19</v>
      </c>
      <c r="C81" s="197">
        <v>24273.579999999998</v>
      </c>
      <c r="D81" s="197">
        <v>47333.46</v>
      </c>
      <c r="G81" s="198">
        <f ca="1">IF($G$74&gt;D81,(D81-D80),MAX(($G$74-D80),0))</f>
        <v>0</v>
      </c>
      <c r="H81" s="111">
        <f ca="1">G81*B81</f>
        <v>0</v>
      </c>
      <c r="J81" s="198">
        <f t="shared" ca="1" si="3"/>
        <v>0</v>
      </c>
      <c r="K81" s="111">
        <f ca="1">J81*B81</f>
        <v>0</v>
      </c>
      <c r="L81" s="111">
        <v>0</v>
      </c>
    </row>
    <row r="82" spans="2:14" x14ac:dyDescent="0.3">
      <c r="B82" s="196">
        <v>0.22</v>
      </c>
      <c r="C82" s="197">
        <v>47333.47</v>
      </c>
      <c r="D82" s="197"/>
      <c r="G82" s="198">
        <f ca="1">IF($G$74&gt;C82,($G$74-D81),0)</f>
        <v>0</v>
      </c>
      <c r="H82" s="111">
        <f ca="1">G82*B82</f>
        <v>0</v>
      </c>
      <c r="J82" s="198">
        <f ca="1">IF($J$74&gt;C82,($J$74-D81),0)</f>
        <v>0</v>
      </c>
      <c r="K82" s="111">
        <f ca="1">J82*B82</f>
        <v>0</v>
      </c>
      <c r="L82" s="111">
        <v>0</v>
      </c>
    </row>
    <row r="83" spans="2:14" x14ac:dyDescent="0.3">
      <c r="G83" s="199">
        <f ca="1">SUM(G75:G82)</f>
        <v>0</v>
      </c>
      <c r="H83" s="225">
        <f ca="1">SUM(H75:H82)</f>
        <v>0</v>
      </c>
      <c r="J83" s="199">
        <f ca="1">SUM(J75:J82)</f>
        <v>0</v>
      </c>
      <c r="K83" s="225">
        <f ca="1">SUM(K75:K82)</f>
        <v>0</v>
      </c>
      <c r="L83" s="225">
        <f ca="1">SUM(L75:L82)</f>
        <v>0</v>
      </c>
      <c r="M83" s="225">
        <f ca="1">'CÁLCULO FUNPRESP'!E5</f>
        <v>0</v>
      </c>
      <c r="N83" s="225">
        <f ca="1">MAX(K83-L83-M83,0)</f>
        <v>0</v>
      </c>
    </row>
    <row r="85" spans="2:14" x14ac:dyDescent="0.3">
      <c r="G85" s="5" t="s">
        <v>308</v>
      </c>
    </row>
    <row r="86" spans="2:14" x14ac:dyDescent="0.3">
      <c r="G86" s="266" t="s">
        <v>283</v>
      </c>
      <c r="J86" s="266" t="s">
        <v>283</v>
      </c>
      <c r="K86" s="266" t="s">
        <v>316</v>
      </c>
      <c r="L86" s="266" t="s">
        <v>317</v>
      </c>
      <c r="M86" s="266" t="s">
        <v>284</v>
      </c>
      <c r="N86" s="266" t="s">
        <v>318</v>
      </c>
    </row>
    <row r="87" spans="2:14" x14ac:dyDescent="0.3">
      <c r="G87" s="224">
        <f ca="1">VLOOKUP(EOMONTH($C$3,-1),'CÁLCULO RPPS'!$Q$5:$S$842,3,FALSE)
*(60%+MAX(MIN(ELEGIBILIDADE!C4-20,20),0)*2%)</f>
        <v>0</v>
      </c>
      <c r="H87" s="110" t="s">
        <v>281</v>
      </c>
      <c r="J87" s="224">
        <f ca="1">MIN(VLOOKUP(EOMONTH($C$3,-1),'CÁLCULO RPPS'!$Q$5:$S$842,3,FALSE),PREMISSA_TETO)
*(60%+MAX(MIN(ELEGIBILIDADE!C4-20,20),0)*2%)</f>
        <v>0</v>
      </c>
      <c r="K87" s="224">
        <f ca="1">IFERROR(IF(Preencher_Dados!$I$39&gt;0,Preencher_Dados!$I$39,RESULTADOS!I32),"")</f>
        <v>0</v>
      </c>
      <c r="L87" s="224">
        <f ca="1">SUM(J87:K87)</f>
        <v>0</v>
      </c>
      <c r="M87" s="224">
        <f ca="1">MAX((PREMISSAS!$H$117-PREMISSA_TETO-K87)*80%,2*PREMISSA_URP)</f>
        <v>331.28</v>
      </c>
      <c r="N87" s="224">
        <f ca="1">SUM(L87:M87)</f>
        <v>331.28</v>
      </c>
    </row>
    <row r="88" spans="2:14" x14ac:dyDescent="0.3">
      <c r="G88" s="198">
        <f ca="1">IF($G$87&gt;D75,(D75-D74),MAX(($G$87-D74),0))</f>
        <v>0</v>
      </c>
      <c r="H88" s="111">
        <v>0</v>
      </c>
      <c r="L88" s="225">
        <f t="shared" ref="L88" ca="1" si="4">IF(L87&lt;$C$43,0,
IF(L87&lt;$C$44,$D$44*L87-$E$44,
IF(L87&lt;$C$45,$D$45*L87-$E$45,
IF(L87&lt;$C$46,$D$46*L87-$E$46,
$D$47*L87-$E$47))))</f>
        <v>0</v>
      </c>
      <c r="M88" s="225">
        <f ca="1">IF(M87&lt;$C$43,0,
IF(M87&lt;$C$44,$D$44*M87-$E$44,
IF(M87&lt;$C$45,$D$45*M87-$E$45,
IF(M87&lt;$C$46,$D$46*M87-$E$46,
$D$47*M87-$E$47))))</f>
        <v>0</v>
      </c>
      <c r="N88" s="225">
        <f t="shared" ref="N88" ca="1" si="5">IF(N87&lt;$C$43,0,
IF(N87&lt;$C$44,$D$44*N87-$E$44,
IF(N87&lt;$C$45,$D$45*N87-$E$45,
IF(N87&lt;$C$46,$D$46*N87-$E$46,
$D$47*N87-$E$47))))</f>
        <v>0</v>
      </c>
    </row>
    <row r="89" spans="2:14" x14ac:dyDescent="0.3">
      <c r="G89" s="198">
        <f t="shared" ref="G89:G94" ca="1" si="6">IF($G$87&gt;D76,(D76-D75),MAX(($G$87-D75),0))</f>
        <v>0</v>
      </c>
      <c r="H89" s="111">
        <v>0</v>
      </c>
      <c r="L89" s="224">
        <f ca="1">L87-L88</f>
        <v>0</v>
      </c>
      <c r="N89" s="224">
        <f ca="1">N87-N88</f>
        <v>331.28</v>
      </c>
    </row>
    <row r="90" spans="2:14" x14ac:dyDescent="0.3">
      <c r="G90" s="198">
        <f t="shared" ca="1" si="6"/>
        <v>0</v>
      </c>
      <c r="H90" s="111">
        <v>0</v>
      </c>
    </row>
    <row r="91" spans="2:14" x14ac:dyDescent="0.3">
      <c r="G91" s="198">
        <f t="shared" ca="1" si="6"/>
        <v>0</v>
      </c>
      <c r="H91" s="111">
        <v>0</v>
      </c>
    </row>
    <row r="92" spans="2:14" x14ac:dyDescent="0.3">
      <c r="G92" s="198">
        <f t="shared" ca="1" si="6"/>
        <v>0</v>
      </c>
      <c r="H92" s="111">
        <f ca="1">G92*B79</f>
        <v>0</v>
      </c>
    </row>
    <row r="93" spans="2:14" x14ac:dyDescent="0.3">
      <c r="G93" s="198">
        <f t="shared" ca="1" si="6"/>
        <v>0</v>
      </c>
      <c r="H93" s="111">
        <f ca="1">G93*B80</f>
        <v>0</v>
      </c>
    </row>
    <row r="94" spans="2:14" x14ac:dyDescent="0.3">
      <c r="G94" s="198">
        <f t="shared" ca="1" si="6"/>
        <v>0</v>
      </c>
      <c r="H94" s="111">
        <f ca="1">G94*B81</f>
        <v>0</v>
      </c>
    </row>
    <row r="95" spans="2:14" x14ac:dyDescent="0.3">
      <c r="G95" s="198">
        <f ca="1">IF($G$87&gt;C82,($G$87-D81),0)</f>
        <v>0</v>
      </c>
      <c r="H95" s="111">
        <f ca="1">G95*B82</f>
        <v>0</v>
      </c>
      <c r="J95" t="s">
        <v>314</v>
      </c>
    </row>
    <row r="96" spans="2:14" x14ac:dyDescent="0.3">
      <c r="G96" s="199">
        <f ca="1">SUM(G88:G95)</f>
        <v>0</v>
      </c>
      <c r="H96" s="225">
        <f ca="1">SUM(H88:H95)</f>
        <v>0</v>
      </c>
      <c r="I96" s="199">
        <f ca="1">G96-H96</f>
        <v>0</v>
      </c>
      <c r="J96" s="225">
        <f ca="1">IF(I96&lt;$C$43,0,
IF(I96&lt;$C$44,$D$44*I96-$E$44,
IF(I96&lt;$C$45,$D$45*I96-$E$45,
IF(I96&lt;$C$46,$D$46*I96-$E$46,
$D$47*I96-$E$47))))</f>
        <v>0</v>
      </c>
    </row>
    <row r="98" spans="4:14" x14ac:dyDescent="0.3">
      <c r="G98" s="5" t="s">
        <v>309</v>
      </c>
    </row>
    <row r="99" spans="4:14" x14ac:dyDescent="0.3">
      <c r="G99" s="266" t="s">
        <v>283</v>
      </c>
      <c r="J99" s="266" t="s">
        <v>283</v>
      </c>
      <c r="K99" s="266" t="s">
        <v>316</v>
      </c>
      <c r="L99" s="266" t="s">
        <v>317</v>
      </c>
      <c r="M99" s="266" t="s">
        <v>284</v>
      </c>
      <c r="N99" s="266" t="s">
        <v>318</v>
      </c>
    </row>
    <row r="100" spans="4:14" x14ac:dyDescent="0.3">
      <c r="D100" s="263">
        <v>1</v>
      </c>
      <c r="E100" s="265">
        <v>0.1</v>
      </c>
      <c r="G100" s="224">
        <f ca="1">G87*(50%+VLOOKUP(Preencher_Dados!$I$25,$D$100:$E$104,2,FALSE))</f>
        <v>0</v>
      </c>
      <c r="H100" s="110" t="s">
        <v>281</v>
      </c>
      <c r="J100" s="224">
        <f ca="1">J87*(50%+VLOOKUP(Preencher_Dados!$I$25,$D$100:$E$104,2,FALSE))</f>
        <v>0</v>
      </c>
      <c r="K100" s="224">
        <f ca="1">K87</f>
        <v>0</v>
      </c>
      <c r="L100" s="224">
        <f ca="1">SUM(J100:K100)</f>
        <v>0</v>
      </c>
      <c r="M100" s="224">
        <f ca="1">MAX((PREMISSAS!$H$117-PREMISSA_TETO-K100)*70%,2*PREMISSA_URP)</f>
        <v>331.28</v>
      </c>
      <c r="N100" s="224">
        <f ca="1">SUM(L100:M100)</f>
        <v>331.28</v>
      </c>
    </row>
    <row r="101" spans="4:14" x14ac:dyDescent="0.3">
      <c r="D101" s="263">
        <v>2</v>
      </c>
      <c r="E101" s="265">
        <v>0.2</v>
      </c>
      <c r="G101" s="198">
        <f t="shared" ref="G101:G107" ca="1" si="7">IF($G$100&gt;D75,(D75-D74),MAX(($G$100-D74),0))</f>
        <v>0</v>
      </c>
      <c r="H101" s="111">
        <v>0</v>
      </c>
      <c r="L101" s="225">
        <f t="shared" ref="L101" ca="1" si="8">IF(L100&lt;$C$43,0,
IF(L100&lt;$C$44,$D$44*L100-$E$44,
IF(L100&lt;$C$45,$D$45*L100-$E$45,
IF(L100&lt;$C$46,$D$46*L100-$E$46,
$D$47*L100-$E$47))))</f>
        <v>0</v>
      </c>
      <c r="N101" s="225">
        <f t="shared" ref="N101" ca="1" si="9">IF(N100&lt;$C$43,0,
IF(N100&lt;$C$44,$D$44*N100-$E$44,
IF(N100&lt;$C$45,$D$45*N100-$E$45,
IF(N100&lt;$C$46,$D$46*N100-$E$46,
$D$47*N100-$E$47))))</f>
        <v>0</v>
      </c>
    </row>
    <row r="102" spans="4:14" x14ac:dyDescent="0.3">
      <c r="D102" s="263">
        <v>3</v>
      </c>
      <c r="E102" s="265">
        <v>0.3</v>
      </c>
      <c r="G102" s="198">
        <f t="shared" ca="1" si="7"/>
        <v>0</v>
      </c>
      <c r="H102" s="111">
        <v>0</v>
      </c>
      <c r="L102" s="224">
        <f ca="1">L100-L101</f>
        <v>0</v>
      </c>
      <c r="N102" s="224">
        <f ca="1">N100-N101</f>
        <v>331.28</v>
      </c>
    </row>
    <row r="103" spans="4:14" x14ac:dyDescent="0.3">
      <c r="D103" s="263">
        <v>4</v>
      </c>
      <c r="E103" s="265">
        <v>0.4</v>
      </c>
      <c r="G103" s="198">
        <f t="shared" ca="1" si="7"/>
        <v>0</v>
      </c>
      <c r="H103" s="111">
        <v>0</v>
      </c>
    </row>
    <row r="104" spans="4:14" x14ac:dyDescent="0.3">
      <c r="D104" s="263" t="s">
        <v>310</v>
      </c>
      <c r="E104" s="265">
        <v>0.5</v>
      </c>
      <c r="G104" s="198">
        <f t="shared" ca="1" si="7"/>
        <v>0</v>
      </c>
      <c r="H104" s="111">
        <v>0</v>
      </c>
    </row>
    <row r="105" spans="4:14" x14ac:dyDescent="0.3">
      <c r="G105" s="198">
        <f t="shared" ca="1" si="7"/>
        <v>0</v>
      </c>
      <c r="H105" s="111">
        <f ca="1">G105*B79</f>
        <v>0</v>
      </c>
    </row>
    <row r="106" spans="4:14" x14ac:dyDescent="0.3">
      <c r="G106" s="198">
        <f t="shared" ca="1" si="7"/>
        <v>0</v>
      </c>
      <c r="H106" s="111">
        <f ca="1">G106*B80</f>
        <v>0</v>
      </c>
    </row>
    <row r="107" spans="4:14" x14ac:dyDescent="0.3">
      <c r="G107" s="198">
        <f t="shared" ca="1" si="7"/>
        <v>0</v>
      </c>
      <c r="H107" s="111">
        <f ca="1">G107*B81</f>
        <v>0</v>
      </c>
    </row>
    <row r="108" spans="4:14" x14ac:dyDescent="0.3">
      <c r="G108" s="198">
        <f ca="1">IF($G$100&gt;C82,($G$100-D81),0)</f>
        <v>0</v>
      </c>
      <c r="H108" s="111">
        <f ca="1">G108*B82</f>
        <v>0</v>
      </c>
      <c r="J108" t="s">
        <v>314</v>
      </c>
    </row>
    <row r="109" spans="4:14" x14ac:dyDescent="0.3">
      <c r="G109" s="199">
        <f ca="1">SUM(G101:G108)</f>
        <v>0</v>
      </c>
      <c r="H109" s="225">
        <f ca="1">SUM(H101:H108)</f>
        <v>0</v>
      </c>
      <c r="I109" s="199">
        <f ca="1">G109-H109</f>
        <v>0</v>
      </c>
      <c r="J109" s="225">
        <f ca="1">IF(I109&lt;$C$43,0,
IF(I109&lt;$C$44,$D$44*I109-$E$44,
IF(I109&lt;$C$45,$D$45*I109-$E$45,
IF(I109&lt;$C$46,$D$46*I109-$E$46,
$D$47*I109-$E$47))))</f>
        <v>0</v>
      </c>
    </row>
    <row r="113" spans="7:10" x14ac:dyDescent="0.3">
      <c r="G113" s="143" t="s">
        <v>340</v>
      </c>
      <c r="H113" s="145" t="str">
        <f ca="1">IF(PREMISSAS!H117=0,"",CONCATENATE("Participante Ativo ",RESULTADOS!C17))</f>
        <v/>
      </c>
    </row>
    <row r="115" spans="7:10" x14ac:dyDescent="0.3">
      <c r="G115" t="s">
        <v>330</v>
      </c>
    </row>
    <row r="117" spans="7:10" ht="15.6" x14ac:dyDescent="0.3">
      <c r="G117" s="143" t="s">
        <v>180</v>
      </c>
      <c r="H117" s="144">
        <f ca="1">IFERROR(VLOOKUP(EOMONTH(Preencher_Dados!$N$54,-1),Preencher_Salários!$D$7:$E$545,2,FALSE),"")</f>
        <v>0</v>
      </c>
      <c r="I117" s="143"/>
      <c r="J117" s="142"/>
    </row>
  </sheetData>
  <mergeCells count="9">
    <mergeCell ref="C74:D74"/>
    <mergeCell ref="B41:E41"/>
    <mergeCell ref="B49:E49"/>
    <mergeCell ref="G23:I23"/>
    <mergeCell ref="G30:I30"/>
    <mergeCell ref="B23:E23"/>
    <mergeCell ref="B30:E30"/>
    <mergeCell ref="B37:E37"/>
    <mergeCell ref="B61:C61"/>
  </mergeCells>
  <conditionalFormatting sqref="K31:L31">
    <cfRule type="expression" priority="2">
      <formula>"RESULTADOS!$C$15=PREMISSAS!$U$12"</formula>
    </cfRule>
  </conditionalFormatting>
  <conditionalFormatting sqref="H113">
    <cfRule type="expression" dxfId="176" priority="1">
      <formula>#REF!="Não"</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
  <dimension ref="B2:O35"/>
  <sheetViews>
    <sheetView topLeftCell="G3" workbookViewId="0">
      <selection activeCell="K61" sqref="K61:M61"/>
    </sheetView>
  </sheetViews>
  <sheetFormatPr defaultRowHeight="14.4" x14ac:dyDescent="0.3"/>
  <cols>
    <col min="1" max="1" width="3.5546875" customWidth="1"/>
    <col min="2" max="2" width="44.33203125" bestFit="1" customWidth="1"/>
    <col min="3" max="4" width="17.6640625" customWidth="1"/>
    <col min="5" max="5" width="21.109375" bestFit="1" customWidth="1"/>
    <col min="6" max="6" width="10.88671875" bestFit="1" customWidth="1"/>
    <col min="7" max="8" width="2.88671875" customWidth="1"/>
    <col min="9" max="9" width="37.33203125" customWidth="1"/>
    <col min="10" max="10" width="15" customWidth="1"/>
    <col min="11" max="11" width="11.5546875" customWidth="1"/>
  </cols>
  <sheetData>
    <row r="2" spans="2:15" x14ac:dyDescent="0.3">
      <c r="B2" s="209" t="s">
        <v>360</v>
      </c>
      <c r="C2" s="211" t="s">
        <v>253</v>
      </c>
      <c r="D2" s="211" t="s">
        <v>177</v>
      </c>
      <c r="E2" s="226" t="s">
        <v>275</v>
      </c>
      <c r="F2" s="343" t="s">
        <v>368</v>
      </c>
      <c r="H2" s="228"/>
      <c r="I2" s="362" t="s">
        <v>279</v>
      </c>
      <c r="J2" s="362"/>
    </row>
    <row r="3" spans="2:15" x14ac:dyDescent="0.3">
      <c r="B3" s="210" t="s">
        <v>47</v>
      </c>
      <c r="C3" s="212">
        <f ca="1">D3/12</f>
        <v>44.916666666666664</v>
      </c>
      <c r="D3" s="193">
        <f ca="1">INT(YEARFRAC(RESULTADOS!C5,PREMISSAS!$C$3,1)*12)</f>
        <v>539</v>
      </c>
      <c r="E3" s="226">
        <f ca="1">MIN(75*12,IF(RESULTADOS!L15="SIM",RESULTADOS!$L$16*12,E13))</f>
        <v>780</v>
      </c>
      <c r="F3" s="343">
        <f ca="1">E3/12</f>
        <v>65</v>
      </c>
      <c r="H3" s="228"/>
      <c r="I3" s="110" t="s">
        <v>109</v>
      </c>
      <c r="J3" s="111">
        <f ca="1">IF(C9="SIM",
        IF(C11&lt;PREMISSAS!$D$11,
              VLOOKUP(EOMONTH($E$5,0),'CÁLCULO RPPS'!$J$5:$K$842,2,FALSE),
              VLOOKUP(EOMONTH($E$5,0),'CÁLCULO RPPS'!$Q$5:$S$842,3,FALSE)*(60%+2%*MIN(20,MAX(0,(E3-D3+D4)/12-20)))),
        IF(C11&lt;PREMISSAS!$D$9,
              VLOOKUP(EOMONTH($E$5,0),'CÁLCULO RPPS'!$J$5:$K$842,2,FALSE),
              VLOOKUP(EOMONTH($E$5,0),'CÁLCULO RPPS'!$Q$5:$S$842,3,FALSE)*(60%+2%*MIN(20,MAX(0,(E3-D3+D4)/12-20)))))</f>
        <v>0</v>
      </c>
    </row>
    <row r="4" spans="2:15" x14ac:dyDescent="0.3">
      <c r="B4" s="210" t="s">
        <v>260</v>
      </c>
      <c r="C4" s="212">
        <f ca="1">D4/12</f>
        <v>19.833333333333332</v>
      </c>
      <c r="D4" s="193">
        <f ca="1">INT(YEARFRAC(RESULTADOS!C9,PREMISSAS!$C$3,1)*12)+IF(RESULTADOS!C13="SIM",RESULTADOS!C14*12+RESULTADOS!C15,0)</f>
        <v>238</v>
      </c>
      <c r="E4" s="226" t="s">
        <v>276</v>
      </c>
      <c r="K4" s="109"/>
    </row>
    <row r="5" spans="2:15" x14ac:dyDescent="0.3">
      <c r="B5" s="210" t="s">
        <v>103</v>
      </c>
      <c r="C5" s="212">
        <f ca="1">D5/12</f>
        <v>19.833333333333332</v>
      </c>
      <c r="D5" s="193">
        <f ca="1">INT(YEARFRAC(RESULTADOS!C9,PREMISSAS!$C$3,1)*12)</f>
        <v>238</v>
      </c>
      <c r="E5" s="227">
        <f ca="1">MAX(EDATE(RESULTADOS!C5,E3),PREMISSAS!$C$3)</f>
        <v>52195</v>
      </c>
    </row>
    <row r="6" spans="2:15" x14ac:dyDescent="0.3">
      <c r="B6" s="210" t="s">
        <v>261</v>
      </c>
      <c r="C6" s="212">
        <f ca="1">D6/12</f>
        <v>19.916666666666668</v>
      </c>
      <c r="D6" s="193">
        <f ca="1">INT(YEARFRAC(RESULTADOS!C10,PREMISSAS!$C$3,1)*12)</f>
        <v>239</v>
      </c>
    </row>
    <row r="7" spans="2:15" x14ac:dyDescent="0.3">
      <c r="B7" s="210" t="s">
        <v>266</v>
      </c>
      <c r="C7" s="212">
        <f ca="1">C3+C4</f>
        <v>64.75</v>
      </c>
      <c r="D7" s="193">
        <f ca="1">D3+D4</f>
        <v>777</v>
      </c>
      <c r="H7" s="229"/>
      <c r="I7" s="361" t="s">
        <v>280</v>
      </c>
      <c r="J7" s="361"/>
      <c r="K7" s="109"/>
    </row>
    <row r="8" spans="2:15" x14ac:dyDescent="0.3">
      <c r="H8" s="229"/>
      <c r="I8" s="110" t="s">
        <v>109</v>
      </c>
      <c r="J8" s="346">
        <f ca="1">VLOOKUP(EOMONTH($E$5,0),'CÁLCULO RPPS'!$U$5:$V$842,2,FALSE)*(60%+2%*MIN(20,MAX(0,(E3-D3+D4)/12-20)))</f>
        <v>0</v>
      </c>
      <c r="K8" s="347" t="s">
        <v>369</v>
      </c>
    </row>
    <row r="9" spans="2:15" x14ac:dyDescent="0.3">
      <c r="B9" s="210" t="s">
        <v>263</v>
      </c>
      <c r="C9" s="193" t="str">
        <f>Preencher_Dados!I17</f>
        <v>NÃO</v>
      </c>
      <c r="H9" s="229"/>
      <c r="K9" s="135"/>
    </row>
    <row r="10" spans="2:15" x14ac:dyDescent="0.3">
      <c r="B10" s="210" t="s">
        <v>267</v>
      </c>
      <c r="C10" s="193" t="str">
        <f>Preencher_Dados!I19</f>
        <v>NÃO</v>
      </c>
      <c r="H10" s="229"/>
      <c r="I10" s="361" t="s">
        <v>277</v>
      </c>
      <c r="J10" s="361"/>
      <c r="L10" s="44"/>
    </row>
    <row r="11" spans="2:15" x14ac:dyDescent="0.3">
      <c r="B11" s="210" t="s">
        <v>268</v>
      </c>
      <c r="C11" s="214">
        <f>RESULTADOS!C9</f>
        <v>37621</v>
      </c>
      <c r="H11" s="229"/>
      <c r="I11" s="110" t="s">
        <v>109</v>
      </c>
      <c r="J11" s="111">
        <f ca="1">MAX((VLOOKUP(EOMONTH(PREMISSAS!$C$3,-1),'CÁLCULO RPPS ESPECIAL'!$C$5:$G$654,4,FALSE)-PREMISSAS!$C$14)*MIN(COUNTIF('CÁLCULO RPPS ESPECIAL'!$D$5:$D$654,"&gt;"&amp;0)/(IF(Preencher_Dados!I11="M",455,390)-IF(OR(Preencher_Dados!I17="SIM",Preencher_Dados!I19="SIM"),65,0)),1),0)</f>
        <v>0</v>
      </c>
      <c r="K11" s="5" t="s">
        <v>370</v>
      </c>
      <c r="L11" s="44"/>
      <c r="N11" s="44"/>
      <c r="O11" s="45"/>
    </row>
    <row r="12" spans="2:15" x14ac:dyDescent="0.3">
      <c r="B12" s="210" t="s">
        <v>269</v>
      </c>
      <c r="C12" s="193" t="str">
        <f>RESULTADOS!C6</f>
        <v>M</v>
      </c>
      <c r="E12" s="343" t="s">
        <v>367</v>
      </c>
      <c r="F12" s="343" t="s">
        <v>368</v>
      </c>
      <c r="H12" s="229"/>
      <c r="O12" s="45"/>
    </row>
    <row r="13" spans="2:15" x14ac:dyDescent="0.3">
      <c r="E13" s="343">
        <f ca="1">MIN(75*12,D3+IF($C$11&lt;PREMISSAS!$D$11,MIN(E19,E27,E35),E19))</f>
        <v>780</v>
      </c>
      <c r="F13" s="343">
        <f ca="1">E13/12</f>
        <v>65</v>
      </c>
      <c r="H13" s="229"/>
      <c r="I13" s="361" t="s">
        <v>110</v>
      </c>
      <c r="J13" s="361"/>
    </row>
    <row r="14" spans="2:15" x14ac:dyDescent="0.3">
      <c r="B14" s="359" t="s">
        <v>372</v>
      </c>
      <c r="C14" s="360"/>
      <c r="D14" s="211" t="s">
        <v>270</v>
      </c>
      <c r="E14" s="211" t="s">
        <v>273</v>
      </c>
      <c r="H14" s="229"/>
      <c r="I14" s="110" t="s">
        <v>130</v>
      </c>
      <c r="J14" s="111">
        <f ca="1">VLOOKUP(EOMONTH(E5,0),'CÁLCULO FUNPRESP'!$B$5:$L$700,10,FALSE)</f>
        <v>0</v>
      </c>
    </row>
    <row r="15" spans="2:15" x14ac:dyDescent="0.3">
      <c r="B15" s="210" t="s">
        <v>47</v>
      </c>
      <c r="C15" s="193">
        <f>IF($C$9="SIM",
        IF($C$12="M",55,55),
        IF($C$10="SIM",
              IF($C$12="M",60,57),
              IF($C$12="M",65,62)))</f>
        <v>65</v>
      </c>
      <c r="D15" s="212">
        <f ca="1">MAX(C15-C3,0)</f>
        <v>20.083333333333336</v>
      </c>
      <c r="E15" s="193">
        <f ca="1">INT(D15*12)</f>
        <v>241</v>
      </c>
      <c r="H15" s="229"/>
      <c r="I15" s="110" t="s">
        <v>131</v>
      </c>
      <c r="J15" s="111">
        <f ca="1">VLOOKUP(EOMONTH(E5,0),'CÁLCULO FUNPRESP'!$B$5:$L$700,11,FALSE)</f>
        <v>0</v>
      </c>
    </row>
    <row r="16" spans="2:15" x14ac:dyDescent="0.3">
      <c r="B16" s="210" t="s">
        <v>260</v>
      </c>
      <c r="C16" s="193">
        <f>IF($C$9="SIM",30,25)</f>
        <v>25</v>
      </c>
      <c r="D16" s="212">
        <f ca="1">MAX(C16-C4,0)</f>
        <v>5.1666666666666679</v>
      </c>
      <c r="E16" s="193">
        <f t="shared" ref="E16:E18" ca="1" si="0">INT(D16*12)</f>
        <v>62</v>
      </c>
      <c r="H16" s="229"/>
      <c r="I16" s="110" t="s">
        <v>134</v>
      </c>
      <c r="J16" s="111">
        <f ca="1">VLOOKUP(YEAR(E5),IF(RESULTADOS!$C$6="M",'Tabua(masc)'!$B$3:$MY$90,'Tabua(fem)'!$B$3:$MY$90),E3-540+2,FALSE)</f>
        <v>257.32</v>
      </c>
    </row>
    <row r="17" spans="2:11" x14ac:dyDescent="0.3">
      <c r="B17" s="210" t="s">
        <v>103</v>
      </c>
      <c r="C17" s="193">
        <f>IF($C$9="SIM",25,10)</f>
        <v>10</v>
      </c>
      <c r="D17" s="212">
        <f t="shared" ref="D17:D18" ca="1" si="1">MAX(C17-C5,0)</f>
        <v>0</v>
      </c>
      <c r="E17" s="193">
        <f t="shared" ca="1" si="0"/>
        <v>0</v>
      </c>
      <c r="H17" s="229"/>
      <c r="I17" s="110" t="s">
        <v>135</v>
      </c>
      <c r="J17" s="111">
        <f ca="1">((1-(1+PREMISSAS!$C$17)^(-INT(J16)))/PREMISSAS!$C$17)*(13/12)</f>
        <v>188.05286582090801</v>
      </c>
    </row>
    <row r="18" spans="2:11" x14ac:dyDescent="0.3">
      <c r="B18" s="210" t="s">
        <v>261</v>
      </c>
      <c r="C18" s="193">
        <f>IF($C$9="SIM",25,5)</f>
        <v>5</v>
      </c>
      <c r="D18" s="212">
        <f t="shared" ca="1" si="1"/>
        <v>0</v>
      </c>
      <c r="E18" s="193">
        <f t="shared" ca="1" si="0"/>
        <v>0</v>
      </c>
      <c r="H18" s="229"/>
      <c r="I18" s="110" t="s">
        <v>136</v>
      </c>
      <c r="J18" s="111">
        <f ca="1">IF(J15&gt;0,J17,0)</f>
        <v>0</v>
      </c>
    </row>
    <row r="19" spans="2:11" x14ac:dyDescent="0.3">
      <c r="E19" s="221">
        <f ca="1">MAX(E15:E18)</f>
        <v>241</v>
      </c>
      <c r="H19" s="229"/>
      <c r="I19" s="230" t="s">
        <v>114</v>
      </c>
      <c r="J19" s="231">
        <f ca="1">J14/J17</f>
        <v>0</v>
      </c>
    </row>
    <row r="20" spans="2:11" x14ac:dyDescent="0.3">
      <c r="H20" s="229"/>
      <c r="I20" s="230" t="s">
        <v>129</v>
      </c>
      <c r="J20" s="232">
        <f ca="1">IF(J15=0,0,J15/J18)</f>
        <v>0</v>
      </c>
      <c r="K20" s="130"/>
    </row>
    <row r="21" spans="2:11" x14ac:dyDescent="0.3">
      <c r="B21" s="359" t="s">
        <v>373</v>
      </c>
      <c r="C21" s="360"/>
      <c r="D21" s="211" t="s">
        <v>270</v>
      </c>
      <c r="E21" s="211" t="s">
        <v>273</v>
      </c>
    </row>
    <row r="22" spans="2:11" x14ac:dyDescent="0.3">
      <c r="B22" s="210" t="s">
        <v>47</v>
      </c>
      <c r="C22" s="193">
        <f>IF($C$9="SIM",
        IF($C$12="M",55,55),
        IF($C$10="SIM",
              IF($C$12="M",57,52),
              IF($C$12="M",62,57)))</f>
        <v>62</v>
      </c>
      <c r="D22" s="212">
        <f ca="1">MAX(C22-C3,0)</f>
        <v>17.083333333333336</v>
      </c>
      <c r="E22" s="193">
        <f ca="1">INT(D22*12)</f>
        <v>205</v>
      </c>
    </row>
    <row r="23" spans="2:11" x14ac:dyDescent="0.3">
      <c r="B23" s="210" t="s">
        <v>260</v>
      </c>
      <c r="C23" s="193">
        <f>IF($C$12="M",35,30)+IF(OR($C$9="SIM",$C$10="SIM"),-5,0)</f>
        <v>35</v>
      </c>
      <c r="D23" s="212">
        <f t="shared" ref="D23:D25" ca="1" si="2">MAX(C23-C4,0)</f>
        <v>15.166666666666668</v>
      </c>
      <c r="E23" s="193">
        <f t="shared" ref="E23:E25" ca="1" si="3">INT(D23*12)</f>
        <v>182</v>
      </c>
    </row>
    <row r="24" spans="2:11" x14ac:dyDescent="0.3">
      <c r="B24" s="210" t="s">
        <v>103</v>
      </c>
      <c r="C24" s="193">
        <f>IF($C$9="SIM",
        IF($C$12="M",20,15),
        20)</f>
        <v>20</v>
      </c>
      <c r="D24" s="212">
        <f t="shared" ca="1" si="2"/>
        <v>0.16666666666666785</v>
      </c>
      <c r="E24" s="193">
        <f t="shared" ca="1" si="3"/>
        <v>2</v>
      </c>
    </row>
    <row r="25" spans="2:11" x14ac:dyDescent="0.3">
      <c r="B25" s="210" t="s">
        <v>261</v>
      </c>
      <c r="C25" s="193">
        <f>IF($C$9="SIM",
        IF($C$12="M",20,15),
        5)</f>
        <v>5</v>
      </c>
      <c r="D25" s="212">
        <f t="shared" ca="1" si="2"/>
        <v>0</v>
      </c>
      <c r="E25" s="193">
        <f t="shared" ca="1" si="3"/>
        <v>0</v>
      </c>
    </row>
    <row r="26" spans="2:11" x14ac:dyDescent="0.3">
      <c r="B26" s="210" t="s">
        <v>266</v>
      </c>
      <c r="C26" s="193" t="s">
        <v>272</v>
      </c>
      <c r="D26" s="212">
        <f ca="1">IF(OR(C9="SIM",C11&gt;=PREMISSAS!$C$11),
        0,
        IF(C10="SIM",
              IF(C12="M",
                    IF(C7&lt;TabelaPontuação!$C$27,MIN((TabelaPontuação!$B$33-TabelaPontuação!$B$27)+(TabelaPontuação!$C$33-(C7+(TabelaPontuação!$B$33-TabelaPontuação!$B$27)*2))/2,TabelaPontuação!$C$27-C7),0),
                    IF(C7&lt;TabelaPontuação!$D$27,MIN((TabelaPontuação!$B$35-TabelaPontuação!$B$27)+(TabelaPontuação!$D$35-(C7+(TabelaPontuação!$B$35-TabelaPontuação!$B$27)*2))/2,TabelaPontuação!$D$27-C7),0)),
              IF(C12="M",
                    IF(C7&lt;TabelaPontuação!$C$7,MIN((TabelaPontuação!$B$13-TabelaPontuação!$B$7)+(TabelaPontuação!$C$13-(C7+(TabelaPontuação!$B$13-TabelaPontuação!$B$7)*2))/2,TabelaPontuação!$C$7-C7),0),
                    IF(C7&lt;TabelaPontuação!$D$7,MIN((TabelaPontuação!$B$18-TabelaPontuação!$B$7)+(TabelaPontuação!$D$18-(C7+(TabelaPontuação!$B$18-TabelaPontuação!$B$7)*2))/2,TabelaPontuação!$D$7-C7),0))))</f>
        <v>20.125</v>
      </c>
      <c r="E26" s="193">
        <f ca="1">INT(D26*12)</f>
        <v>241</v>
      </c>
    </row>
    <row r="27" spans="2:11" x14ac:dyDescent="0.3">
      <c r="E27" s="221">
        <f ca="1">MAX(E22:E26)</f>
        <v>241</v>
      </c>
    </row>
    <row r="29" spans="2:11" x14ac:dyDescent="0.3">
      <c r="B29" s="359" t="s">
        <v>374</v>
      </c>
      <c r="C29" s="360"/>
      <c r="D29" s="211" t="s">
        <v>270</v>
      </c>
      <c r="E29" s="211" t="s">
        <v>273</v>
      </c>
    </row>
    <row r="30" spans="2:11" x14ac:dyDescent="0.3">
      <c r="B30" s="210" t="s">
        <v>47</v>
      </c>
      <c r="C30" s="193">
        <f>IF($C$9="SIM",
        IF($C$12="M",53,52),
        IF($C$10="SIM",
              IF($C$12="M",55,52),
              IF($C$12="M",60,57)))</f>
        <v>60</v>
      </c>
      <c r="D30" s="212">
        <f ca="1">MAX(C30-C3,0)</f>
        <v>15.083333333333336</v>
      </c>
      <c r="E30" s="193">
        <f ca="1">INT(D30*12)</f>
        <v>181</v>
      </c>
    </row>
    <row r="31" spans="2:11" x14ac:dyDescent="0.3">
      <c r="B31" s="210" t="s">
        <v>365</v>
      </c>
      <c r="C31" s="212">
        <f>D31/12</f>
        <v>16.833333333333332</v>
      </c>
      <c r="D31" s="193">
        <f>INT(YEARFRAC(RESULTADOS!C9,PREMISSAS!$C$11,1)*12)+IF(RESULTADOS!C13="SIM",RESULTADOS!C14*12+RESULTADOS!C15,0)</f>
        <v>202</v>
      </c>
    </row>
    <row r="32" spans="2:11" x14ac:dyDescent="0.3">
      <c r="B32" s="210" t="s">
        <v>366</v>
      </c>
      <c r="C32" s="344">
        <f>C23+MAX(C23-C31,0)</f>
        <v>53.166666666666671</v>
      </c>
      <c r="D32" s="212">
        <f ca="1">MAX(C32-C4,0)</f>
        <v>33.333333333333343</v>
      </c>
      <c r="E32" s="193">
        <f ca="1">INT(D32*12)</f>
        <v>400</v>
      </c>
    </row>
    <row r="33" spans="2:5" x14ac:dyDescent="0.3">
      <c r="B33" s="210" t="s">
        <v>103</v>
      </c>
      <c r="C33" s="193">
        <f>IF($C$9="SIM",
        IF($C$12="M",20,15),20)</f>
        <v>20</v>
      </c>
      <c r="D33" s="212">
        <f ca="1">MAX(C33-C5,0)</f>
        <v>0.16666666666666785</v>
      </c>
      <c r="E33" s="193">
        <f t="shared" ref="E33:E34" ca="1" si="4">INT(D33*12)</f>
        <v>2</v>
      </c>
    </row>
    <row r="34" spans="2:5" x14ac:dyDescent="0.3">
      <c r="B34" s="210" t="s">
        <v>261</v>
      </c>
      <c r="C34" s="193">
        <f>IF($C$9="SIM",
        IF($C$12="M",20,15),5)</f>
        <v>5</v>
      </c>
      <c r="D34" s="212">
        <f ca="1">MAX(C34-C6,0)</f>
        <v>0</v>
      </c>
      <c r="E34" s="193">
        <f t="shared" ca="1" si="4"/>
        <v>0</v>
      </c>
    </row>
    <row r="35" spans="2:5" x14ac:dyDescent="0.3">
      <c r="E35" s="221">
        <f ca="1">MAX(E30:E34)</f>
        <v>400</v>
      </c>
    </row>
  </sheetData>
  <mergeCells count="7">
    <mergeCell ref="B29:C29"/>
    <mergeCell ref="I10:J10"/>
    <mergeCell ref="I13:J13"/>
    <mergeCell ref="I2:J2"/>
    <mergeCell ref="B14:C14"/>
    <mergeCell ref="I7:J7"/>
    <mergeCell ref="B21:C21"/>
  </mergeCells>
  <pageMargins left="0.511811024" right="0.511811024" top="0.78740157499999996" bottom="0.78740157499999996" header="0.31496062000000002" footer="0.31496062000000002"/>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6"/>
  <dimension ref="B1:P654"/>
  <sheetViews>
    <sheetView topLeftCell="A19" workbookViewId="0">
      <selection activeCell="K61" sqref="K61:M61"/>
    </sheetView>
  </sheetViews>
  <sheetFormatPr defaultRowHeight="14.4" x14ac:dyDescent="0.3"/>
  <cols>
    <col min="1" max="1" width="3.44140625" customWidth="1"/>
    <col min="2" max="2" width="45.88671875" customWidth="1"/>
    <col min="3" max="3" width="13.33203125" bestFit="1" customWidth="1"/>
    <col min="4" max="4" width="7.109375" customWidth="1"/>
    <col min="5" max="5" width="43.88671875" bestFit="1" customWidth="1"/>
    <col min="6" max="6" width="11.5546875" bestFit="1" customWidth="1"/>
    <col min="7" max="7" width="6.88671875" bestFit="1" customWidth="1"/>
    <col min="8" max="8" width="35.5546875" customWidth="1"/>
    <col min="9" max="9" width="11" customWidth="1"/>
    <col min="10" max="10" width="2.88671875" customWidth="1"/>
    <col min="11" max="11" width="47" customWidth="1"/>
    <col min="12" max="13" width="15.44140625" customWidth="1"/>
    <col min="14" max="14" width="7.109375" customWidth="1"/>
    <col min="15" max="15" width="10.6640625" bestFit="1" customWidth="1"/>
    <col min="16" max="16" width="16.5546875" customWidth="1"/>
  </cols>
  <sheetData>
    <row r="1" spans="2:16" ht="15" thickBot="1" x14ac:dyDescent="0.35"/>
    <row r="2" spans="2:16" ht="15" thickBot="1" x14ac:dyDescent="0.35">
      <c r="B2" s="370" t="s">
        <v>20</v>
      </c>
      <c r="C2" s="371"/>
      <c r="O2" s="364" t="s">
        <v>144</v>
      </c>
      <c r="P2" s="364"/>
    </row>
    <row r="3" spans="2:16" x14ac:dyDescent="0.3">
      <c r="B3" s="59" t="s">
        <v>4</v>
      </c>
      <c r="C3" s="123">
        <f ca="1">TODAY()</f>
        <v>44889</v>
      </c>
      <c r="O3" s="364"/>
      <c r="P3" s="364"/>
    </row>
    <row r="4" spans="2:16" x14ac:dyDescent="0.3">
      <c r="B4" s="59" t="s">
        <v>0</v>
      </c>
      <c r="C4" s="124"/>
      <c r="F4" s="211" t="s">
        <v>253</v>
      </c>
      <c r="G4" s="211" t="s">
        <v>177</v>
      </c>
      <c r="O4" s="9" t="s">
        <v>21</v>
      </c>
      <c r="P4" s="9" t="s">
        <v>3</v>
      </c>
    </row>
    <row r="5" spans="2:16" x14ac:dyDescent="0.3">
      <c r="B5" s="60" t="s">
        <v>1</v>
      </c>
      <c r="C5" s="123">
        <f>Preencher_Dados!I9</f>
        <v>28454</v>
      </c>
      <c r="E5" s="110" t="s">
        <v>156</v>
      </c>
      <c r="F5" s="111">
        <f ca="1">YEARFRAC(C5,$C$3,1)</f>
        <v>44.997916790667219</v>
      </c>
      <c r="G5" s="213">
        <f ca="1">INT(F5*12)</f>
        <v>539</v>
      </c>
      <c r="O5" s="21">
        <f>EOMONTH(C11,0)</f>
        <v>37621</v>
      </c>
      <c r="P5" s="4">
        <f ca="1">Preencher_Salários!J7</f>
        <v>0</v>
      </c>
    </row>
    <row r="6" spans="2:16" x14ac:dyDescent="0.3">
      <c r="B6" s="60" t="s">
        <v>2</v>
      </c>
      <c r="C6" s="125" t="str">
        <f>Preencher_Dados!I11</f>
        <v>M</v>
      </c>
      <c r="O6" s="21">
        <f ca="1">IFERROR(IF(LEFT(O5,2)="13",DATE(RIGHT(O5,4),12,31),IF(EOMONTH(O5,1)&gt;PREMISSAS!$C$3,"",IF(MONTH(O5)=11,"13º "&amp;YEAR(O5),EOMONTH(O5,1)))),"")</f>
        <v>37652</v>
      </c>
      <c r="P6" s="4">
        <f ca="1">Preencher_Salários!J8</f>
        <v>0</v>
      </c>
    </row>
    <row r="7" spans="2:16" x14ac:dyDescent="0.3">
      <c r="B7" s="60" t="s">
        <v>45</v>
      </c>
      <c r="C7" s="126">
        <f ca="1">PREMISSAS!H117</f>
        <v>0</v>
      </c>
      <c r="O7" s="21">
        <f ca="1">IFERROR(IF(LEFT(O6,2)="13",DATE(RIGHT(O6,4),12,31),IF(EOMONTH(O6,1)&gt;PREMISSAS!$C$3,"",IF(MONTH(O6)=11,"13º "&amp;YEAR(O6),EOMONTH(O6,1)))),"")</f>
        <v>37680</v>
      </c>
      <c r="P7" s="4">
        <f ca="1">Preencher_Salários!J9</f>
        <v>0</v>
      </c>
    </row>
    <row r="8" spans="2:16" x14ac:dyDescent="0.3">
      <c r="B8" s="60" t="s">
        <v>198</v>
      </c>
      <c r="C8" s="123">
        <f>Preencher_Dados!I13</f>
        <v>37592</v>
      </c>
      <c r="E8" s="110" t="s">
        <v>199</v>
      </c>
      <c r="F8" s="111">
        <f ca="1">YEARFRAC(C8,$C$3,1)</f>
        <v>19.978748370273795</v>
      </c>
      <c r="G8" s="213">
        <f t="shared" ref="G8:G10" ca="1" si="0">INT(F8*12)</f>
        <v>239</v>
      </c>
      <c r="O8" s="21">
        <f ca="1">IFERROR(IF(LEFT(O7,2)="13",DATE(RIGHT(O7,4),12,31),IF(EOMONTH(O7,1)&gt;PREMISSAS!$C$3,"",IF(MONTH(O7)=11,"13º "&amp;YEAR(O7),EOMONTH(O7,1)))),"")</f>
        <v>37711</v>
      </c>
      <c r="P8" s="4">
        <f ca="1">Preencher_Salários!J10</f>
        <v>0</v>
      </c>
    </row>
    <row r="9" spans="2:16" x14ac:dyDescent="0.3">
      <c r="B9" s="60" t="s">
        <v>108</v>
      </c>
      <c r="C9" s="123">
        <f>EOMONTH(C8,IF(Preencher_Dados!I21="NÃO",0,-(Preencher_Dados!K21*12+Preencher_Dados!M21)))</f>
        <v>37621</v>
      </c>
      <c r="E9" s="110" t="s">
        <v>157</v>
      </c>
      <c r="F9" s="111">
        <f ca="1">YEARFRAC(C9,$C$3,1)</f>
        <v>19.8993481095176</v>
      </c>
      <c r="G9" s="213">
        <f t="shared" ca="1" si="0"/>
        <v>238</v>
      </c>
      <c r="O9" s="21">
        <f ca="1">IFERROR(IF(LEFT(O8,2)="13",DATE(RIGHT(O8,4),12,31),IF(EOMONTH(O8,1)&gt;PREMISSAS!$C$3,"",IF(MONTH(O8)=11,"13º "&amp;YEAR(O8),EOMONTH(O8,1)))),"")</f>
        <v>37741</v>
      </c>
      <c r="P9" s="4">
        <f ca="1">Preencher_Salários!J11</f>
        <v>0</v>
      </c>
    </row>
    <row r="10" spans="2:16" x14ac:dyDescent="0.3">
      <c r="B10" s="60" t="s">
        <v>107</v>
      </c>
      <c r="C10" s="123">
        <f>Preencher_Dados!I15</f>
        <v>37592</v>
      </c>
      <c r="E10" s="110" t="s">
        <v>200</v>
      </c>
      <c r="F10" s="111">
        <f ca="1">YEARFRAC(C10,$C$3,1)</f>
        <v>19.978748370273795</v>
      </c>
      <c r="G10" s="213">
        <f t="shared" ca="1" si="0"/>
        <v>239</v>
      </c>
      <c r="O10" s="21">
        <f ca="1">IFERROR(IF(LEFT(O9,2)="13",DATE(RIGHT(O9,4),12,31),IF(EOMONTH(O9,1)&gt;PREMISSAS!$C$3,"",IF(MONTH(O9)=11,"13º "&amp;YEAR(O9),EOMONTH(O9,1)))),"")</f>
        <v>37772</v>
      </c>
      <c r="P10" s="4">
        <f ca="1">Preencher_Salários!J12</f>
        <v>0</v>
      </c>
    </row>
    <row r="11" spans="2:16" x14ac:dyDescent="0.3">
      <c r="B11" s="60" t="s">
        <v>221</v>
      </c>
      <c r="C11" s="123">
        <f>EOMONTH(C9,IF(Preencher_Dados!I23="NÃO",0,-(Preencher_Dados!K23*12+Preencher_Dados!M23)))</f>
        <v>37621</v>
      </c>
      <c r="E11" s="122"/>
      <c r="F11" s="54"/>
      <c r="O11" s="21">
        <f ca="1">IFERROR(IF(LEFT(O10,2)="13",DATE(RIGHT(O10,4),12,31),IF(EOMONTH(O10,1)&gt;PREMISSAS!$C$3,"",IF(MONTH(O10)=11,"13º "&amp;YEAR(O10),EOMONTH(O10,1)))),"")</f>
        <v>37802</v>
      </c>
      <c r="P11" s="4">
        <f ca="1">Preencher_Salários!J13</f>
        <v>0</v>
      </c>
    </row>
    <row r="12" spans="2:16" x14ac:dyDescent="0.3">
      <c r="B12" s="60" t="s">
        <v>12</v>
      </c>
      <c r="C12" s="125" t="str">
        <f>Preencher_Dados!I19</f>
        <v>NÃO</v>
      </c>
      <c r="O12" s="21">
        <f ca="1">IFERROR(IF(LEFT(O11,2)="13",DATE(RIGHT(O11,4),12,31),IF(EOMONTH(O11,1)&gt;PREMISSAS!$C$3,"",IF(MONTH(O11)=11,"13º "&amp;YEAR(O11),EOMONTH(O11,1)))),"")</f>
        <v>37833</v>
      </c>
      <c r="P12" s="4">
        <f ca="1">Preencher_Salários!J14</f>
        <v>0</v>
      </c>
    </row>
    <row r="13" spans="2:16" x14ac:dyDescent="0.3">
      <c r="B13" s="60" t="s">
        <v>15</v>
      </c>
      <c r="C13" s="125" t="str">
        <f>Preencher_Dados!I23</f>
        <v>NÃO</v>
      </c>
      <c r="O13" s="21">
        <f ca="1">IFERROR(IF(LEFT(O12,2)="13",DATE(RIGHT(O12,4),12,31),IF(EOMONTH(O12,1)&gt;PREMISSAS!$C$3,"",IF(MONTH(O12)=11,"13º "&amp;YEAR(O12),EOMONTH(O12,1)))),"")</f>
        <v>37864</v>
      </c>
      <c r="P13" s="4">
        <f ca="1">Preencher_Salários!J15</f>
        <v>0</v>
      </c>
    </row>
    <row r="14" spans="2:16" ht="15" thickBot="1" x14ac:dyDescent="0.35">
      <c r="B14" s="60" t="s">
        <v>16</v>
      </c>
      <c r="C14" s="125">
        <f>Preencher_Dados!K23</f>
        <v>2</v>
      </c>
      <c r="O14" s="21">
        <f ca="1">IFERROR(IF(LEFT(O13,2)="13",DATE(RIGHT(O13,4),12,31),IF(EOMONTH(O13,1)&gt;PREMISSAS!$C$3,"",IF(MONTH(O13)=11,"13º "&amp;YEAR(O13),EOMONTH(O13,1)))),"")</f>
        <v>37894</v>
      </c>
      <c r="P14" s="4">
        <f ca="1">Preencher_Salários!J16</f>
        <v>0</v>
      </c>
    </row>
    <row r="15" spans="2:16" x14ac:dyDescent="0.3">
      <c r="B15" s="60" t="s">
        <v>17</v>
      </c>
      <c r="C15" s="125">
        <f>Preencher_Dados!M23</f>
        <v>0</v>
      </c>
      <c r="K15" s="64" t="s">
        <v>166</v>
      </c>
      <c r="L15" s="128" t="str">
        <f>Preencher_Dados!I33</f>
        <v>NÃO</v>
      </c>
      <c r="O15" s="21">
        <f ca="1">IFERROR(IF(LEFT(O14,2)="13",DATE(RIGHT(O14,4),12,31),IF(EOMONTH(O14,1)&gt;PREMISSAS!$C$3,"",IF(MONTH(O14)=11,"13º "&amp;YEAR(O14),EOMONTH(O14,1)))),"")</f>
        <v>37925</v>
      </c>
      <c r="P15" s="4">
        <f ca="1">Preencher_Salários!J17</f>
        <v>0</v>
      </c>
    </row>
    <row r="16" spans="2:16" ht="15" thickBot="1" x14ac:dyDescent="0.35">
      <c r="B16" s="60" t="s">
        <v>116</v>
      </c>
      <c r="C16" s="127">
        <v>8.5000000000000006E-2</v>
      </c>
      <c r="E16" s="109"/>
      <c r="K16" s="186" t="s">
        <v>165</v>
      </c>
      <c r="L16" s="187">
        <f>Preencher_Dados!I35</f>
        <v>75</v>
      </c>
      <c r="O16" s="21">
        <f ca="1">IFERROR(IF(LEFT(O15,2)="13",DATE(RIGHT(O15,4),12,31),IF(EOMONTH(O15,1)&gt;PREMISSAS!$C$3,"",IF(MONTH(O15)=11,"13º "&amp;YEAR(O15),EOMONTH(O15,1)))),"")</f>
        <v>37955</v>
      </c>
      <c r="P16" s="4">
        <f ca="1">Preencher_Salários!J18</f>
        <v>0</v>
      </c>
    </row>
    <row r="17" spans="2:16" ht="15" thickBot="1" x14ac:dyDescent="0.35">
      <c r="B17" s="86" t="s">
        <v>145</v>
      </c>
      <c r="C17" s="125" t="str">
        <f ca="1">IF(C7&gt;PREMISSAS!$C$14,PREMISSAS!$U$12,PREMISSAS!$U$13)</f>
        <v>Alternativo</v>
      </c>
      <c r="D17" s="117" t="s">
        <v>164</v>
      </c>
      <c r="E17" s="117" t="s">
        <v>115</v>
      </c>
      <c r="F17" s="118">
        <f ca="1">IF(C17=PREMISSAS!U13,1683.3,0)</f>
        <v>1683.3</v>
      </c>
      <c r="O17" s="21" t="str">
        <f ca="1">IFERROR(IF(LEFT(O16,2)="13",DATE(RIGHT(O16,4),12,31),IF(EOMONTH(O16,1)&gt;PREMISSAS!$C$3,"",IF(MONTH(O16)=11,"13º "&amp;YEAR(O16),EOMONTH(O16,1)))),"")</f>
        <v>13º 2003</v>
      </c>
      <c r="P17" s="4">
        <f ca="1">Preencher_Salários!J19</f>
        <v>0</v>
      </c>
    </row>
    <row r="18" spans="2:16" x14ac:dyDescent="0.3">
      <c r="B18" s="60" t="s">
        <v>117</v>
      </c>
      <c r="C18" s="127">
        <v>2.5000000000000001E-2</v>
      </c>
      <c r="O18" s="21">
        <f ca="1">IFERROR(IF(LEFT(O17,2)="13",DATE(RIGHT(O17,4),12,31),IF(EOMONTH(O17,1)&gt;PREMISSAS!$C$3,"",IF(MONTH(O17)=11,"13º "&amp;YEAR(O17),EOMONTH(O17,1)))),"")</f>
        <v>37986</v>
      </c>
      <c r="P18" s="4">
        <f ca="1">Preencher_Salários!J20</f>
        <v>0</v>
      </c>
    </row>
    <row r="19" spans="2:16" ht="15" thickBot="1" x14ac:dyDescent="0.35">
      <c r="B19" s="61" t="s">
        <v>137</v>
      </c>
      <c r="C19" s="90">
        <f ca="1">INT(ELEGIBILIDADE!J16/12)</f>
        <v>21</v>
      </c>
      <c r="E19" s="109"/>
      <c r="O19" s="21">
        <f ca="1">IFERROR(IF(LEFT(O18,2)="13",DATE(RIGHT(O18,4),12,31),IF(EOMONTH(O18,1)&gt;PREMISSAS!$C$3,"",IF(MONTH(O18)=11,"13º "&amp;YEAR(O18),EOMONTH(O18,1)))),"")</f>
        <v>38017</v>
      </c>
      <c r="P19" s="4">
        <f ca="1">Preencher_Salários!J21</f>
        <v>0</v>
      </c>
    </row>
    <row r="20" spans="2:16" x14ac:dyDescent="0.3">
      <c r="O20" s="21">
        <f ca="1">IFERROR(IF(LEFT(O19,2)="13",DATE(RIGHT(O19,4),12,31),IF(EOMONTH(O19,1)&gt;PREMISSAS!$C$3,"",IF(MONTH(O19)=11,"13º "&amp;YEAR(O19),EOMONTH(O19,1)))),"")</f>
        <v>38046</v>
      </c>
      <c r="P20" s="4">
        <f ca="1">Preencher_Salários!J22</f>
        <v>0</v>
      </c>
    </row>
    <row r="21" spans="2:16" x14ac:dyDescent="0.3">
      <c r="O21" s="21">
        <f ca="1">IFERROR(IF(LEFT(O20,2)="13",DATE(RIGHT(O20,4),12,31),IF(EOMONTH(O20,1)&gt;PREMISSAS!$C$3,"",IF(MONTH(O20)=11,"13º "&amp;YEAR(O20),EOMONTH(O20,1)))),"")</f>
        <v>38077</v>
      </c>
      <c r="P21" s="4">
        <f ca="1">Preencher_Salários!J23</f>
        <v>0</v>
      </c>
    </row>
    <row r="22" spans="2:16" ht="18" x14ac:dyDescent="0.35">
      <c r="B22" s="372" t="s">
        <v>49</v>
      </c>
      <c r="C22" s="373"/>
      <c r="D22" s="373"/>
      <c r="E22" s="373"/>
      <c r="F22" s="373"/>
      <c r="G22" s="373"/>
      <c r="H22" s="373"/>
      <c r="I22" s="373"/>
      <c r="J22" s="373"/>
      <c r="K22" s="373"/>
      <c r="L22" s="373"/>
      <c r="M22" s="374"/>
      <c r="O22" s="21">
        <f ca="1">IFERROR(IF(LEFT(O21,2)="13",DATE(RIGHT(O21,4),12,31),IF(EOMONTH(O21,1)&gt;PREMISSAS!$C$3,"",IF(MONTH(O21)=11,"13º "&amp;YEAR(O21),EOMONTH(O21,1)))),"")</f>
        <v>38107</v>
      </c>
      <c r="P22" s="4">
        <f ca="1">Preencher_Salários!J24</f>
        <v>0</v>
      </c>
    </row>
    <row r="23" spans="2:16" ht="15" thickBot="1" x14ac:dyDescent="0.35">
      <c r="O23" s="21">
        <f ca="1">IFERROR(IF(LEFT(O22,2)="13",DATE(RIGHT(O22,4),12,31),IF(EOMONTH(O22,1)&gt;PREMISSAS!$C$3,"",IF(MONTH(O22)=11,"13º "&amp;YEAR(O22),EOMONTH(O22,1)))),"")</f>
        <v>38138</v>
      </c>
      <c r="P23" s="4">
        <f ca="1">Preencher_Salários!J25</f>
        <v>0</v>
      </c>
    </row>
    <row r="24" spans="2:16" x14ac:dyDescent="0.3">
      <c r="B24" s="365" t="s">
        <v>149</v>
      </c>
      <c r="C24" s="366"/>
      <c r="K24" s="365" t="s">
        <v>150</v>
      </c>
      <c r="L24" s="366"/>
      <c r="O24" s="21">
        <f ca="1">IFERROR(IF(LEFT(O23,2)="13",DATE(RIGHT(O23,4),12,31),IF(EOMONTH(O23,1)&gt;PREMISSAS!$C$3,"",IF(MONTH(O23)=11,"13º "&amp;YEAR(O23),EOMONTH(O23,1)))),"")</f>
        <v>38168</v>
      </c>
      <c r="P24" s="4">
        <f ca="1">Preencher_Salários!J26</f>
        <v>0</v>
      </c>
    </row>
    <row r="25" spans="2:16" x14ac:dyDescent="0.3">
      <c r="B25" s="46" t="s">
        <v>48</v>
      </c>
      <c r="C25" s="88">
        <f ca="1">ELEGIBILIDADE!E3/12</f>
        <v>65</v>
      </c>
      <c r="K25" s="46" t="s">
        <v>48</v>
      </c>
      <c r="L25" s="88">
        <f ca="1">C25</f>
        <v>65</v>
      </c>
      <c r="O25" s="21">
        <f ca="1">IFERROR(IF(LEFT(O24,2)="13",DATE(RIGHT(O24,4),12,31),IF(EOMONTH(O24,1)&gt;PREMISSAS!$C$3,"",IF(MONTH(O24)=11,"13º "&amp;YEAR(O24),EOMONTH(O24,1)))),"")</f>
        <v>38199</v>
      </c>
      <c r="P25" s="4">
        <f ca="1">Preencher_Salários!J27</f>
        <v>0</v>
      </c>
    </row>
    <row r="26" spans="2:16" x14ac:dyDescent="0.3">
      <c r="B26" s="46" t="s">
        <v>113</v>
      </c>
      <c r="C26" s="89">
        <f ca="1">ELEGIBILIDADE!E5</f>
        <v>52195</v>
      </c>
      <c r="K26" s="46" t="s">
        <v>113</v>
      </c>
      <c r="L26" s="89">
        <f ca="1">C26</f>
        <v>52195</v>
      </c>
      <c r="O26" s="21">
        <f ca="1">IFERROR(IF(LEFT(O25,2)="13",DATE(RIGHT(O25,4),12,31),IF(EOMONTH(O25,1)&gt;PREMISSAS!$C$3,"",IF(MONTH(O25)=11,"13º "&amp;YEAR(O25),EOMONTH(O25,1)))),"")</f>
        <v>38230</v>
      </c>
      <c r="P26" s="4">
        <f ca="1">Preencher_Salários!J28</f>
        <v>0</v>
      </c>
    </row>
    <row r="27" spans="2:16" ht="15" thickBot="1" x14ac:dyDescent="0.35">
      <c r="B27" s="47" t="s">
        <v>46</v>
      </c>
      <c r="C27" s="48">
        <f ca="1">VLOOKUP(EOMONTH('CÁLCULO RPPS'!$F$1,0),'CÁLCULO RPPS'!$B$5:$C$842,2,FALSE)</f>
        <v>0</v>
      </c>
      <c r="K27" s="47" t="s">
        <v>46</v>
      </c>
      <c r="L27" s="48">
        <f ca="1">VLOOKUP(EOMONTH(L26,0),'CÁLCULO FUNPRESP'!$B$5:$C$700,2,FALSE)</f>
        <v>0</v>
      </c>
      <c r="O27" s="21">
        <f ca="1">IFERROR(IF(LEFT(O26,2)="13",DATE(RIGHT(O26,4),12,31),IF(EOMONTH(O26,1)&gt;PREMISSAS!$C$3,"",IF(MONTH(O26)=11,"13º "&amp;YEAR(O26),EOMONTH(O26,1)))),"")</f>
        <v>38260</v>
      </c>
      <c r="P27" s="4">
        <f ca="1">Preencher_Salários!J29</f>
        <v>0</v>
      </c>
    </row>
    <row r="28" spans="2:16" x14ac:dyDescent="0.3">
      <c r="O28" s="21">
        <f ca="1">IFERROR(IF(LEFT(O27,2)="13",DATE(RIGHT(O27,4),12,31),IF(EOMONTH(O27,1)&gt;PREMISSAS!$C$3,"",IF(MONTH(O27)=11,"13º "&amp;YEAR(O27),EOMONTH(O27,1)))),"")</f>
        <v>38291</v>
      </c>
      <c r="P28" s="4">
        <f ca="1">Preencher_Salários!J30</f>
        <v>0</v>
      </c>
    </row>
    <row r="29" spans="2:16" ht="15.6" x14ac:dyDescent="0.3">
      <c r="B29" s="375" t="s">
        <v>44</v>
      </c>
      <c r="C29" s="375"/>
      <c r="E29" s="369" t="s">
        <v>112</v>
      </c>
      <c r="F29" s="369"/>
      <c r="G29" s="369"/>
      <c r="H29" s="369"/>
      <c r="I29" s="369"/>
      <c r="J29" s="369"/>
      <c r="K29" s="369"/>
      <c r="L29" s="369"/>
      <c r="M29" s="369"/>
      <c r="O29" s="21">
        <f ca="1">IFERROR(IF(LEFT(O28,2)="13",DATE(RIGHT(O28,4),12,31),IF(EOMONTH(O28,1)&gt;PREMISSAS!$C$3,"",IF(MONTH(O28)=11,"13º "&amp;YEAR(O28),EOMONTH(O28,1)))),"")</f>
        <v>38321</v>
      </c>
      <c r="P29" s="4">
        <f ca="1">Preencher_Salários!J31</f>
        <v>0</v>
      </c>
    </row>
    <row r="30" spans="2:16" ht="15" thickBot="1" x14ac:dyDescent="0.35">
      <c r="O30" s="21" t="str">
        <f ca="1">IFERROR(IF(LEFT(O29,2)="13",DATE(RIGHT(O29,4),12,31),IF(EOMONTH(O29,1)&gt;PREMISSAS!$C$3,"",IF(MONTH(O29)=11,"13º "&amp;YEAR(O29),EOMONTH(O29,1)))),"")</f>
        <v>13º 2004</v>
      </c>
      <c r="P30" s="4">
        <f ca="1">Preencher_Salários!J32</f>
        <v>0</v>
      </c>
    </row>
    <row r="31" spans="2:16" ht="15" thickBot="1" x14ac:dyDescent="0.35">
      <c r="B31" s="376" t="s">
        <v>109</v>
      </c>
      <c r="C31" s="377"/>
      <c r="E31" s="378" t="s">
        <v>109</v>
      </c>
      <c r="F31" s="379"/>
      <c r="H31" s="378" t="s">
        <v>111</v>
      </c>
      <c r="I31" s="379"/>
      <c r="K31" s="114" t="s">
        <v>110</v>
      </c>
      <c r="L31" s="115" t="str">
        <f ca="1">"Até "&amp;TEXT(EOMONTH(L26,C19*12),"DD/MM/AA")</f>
        <v>Até 30/11/63</v>
      </c>
      <c r="M31" s="116" t="str">
        <f ca="1">"Após "&amp;TEXT(EOMONTH(L26,C19*12),"DD/MM/AA")</f>
        <v>Após 30/11/63</v>
      </c>
      <c r="O31" s="21">
        <f ca="1">IFERROR(IF(LEFT(O30,2)="13",DATE(RIGHT(O30,4),12,31),IF(EOMONTH(O30,1)&gt;PREMISSAS!$C$3,"",IF(MONTH(O30)=11,"13º "&amp;YEAR(O30),EOMONTH(O30,1)))),"")</f>
        <v>38352</v>
      </c>
      <c r="P31" s="4">
        <f ca="1">Preencher_Salários!J33</f>
        <v>0</v>
      </c>
    </row>
    <row r="32" spans="2:16" x14ac:dyDescent="0.3">
      <c r="B32" s="100" t="s">
        <v>50</v>
      </c>
      <c r="C32" s="101">
        <f ca="1">ELEGIBILIDADE!J3</f>
        <v>0</v>
      </c>
      <c r="E32" s="105" t="s">
        <v>50</v>
      </c>
      <c r="F32" s="106">
        <f ca="1">ELEGIBILIDADE!J8</f>
        <v>0</v>
      </c>
      <c r="H32" s="100" t="s">
        <v>50</v>
      </c>
      <c r="I32" s="101">
        <f ca="1">IFERROR(IF(Preencher_Dados!$I$39&gt;0,Preencher_Dados!$I$39,ELEGIBILIDADE!$J$11),"")</f>
        <v>0</v>
      </c>
      <c r="K32" s="102" t="s">
        <v>132</v>
      </c>
      <c r="L32" s="103">
        <f ca="1">ELEGIBILIDADE!J19</f>
        <v>0</v>
      </c>
      <c r="M32" s="104">
        <f ca="1">L32</f>
        <v>0</v>
      </c>
      <c r="O32" s="21">
        <f ca="1">IFERROR(IF(LEFT(O31,2)="13",DATE(RIGHT(O31,4),12,31),IF(EOMONTH(O31,1)&gt;PREMISSAS!$C$3,"",IF(MONTH(O31)=11,"13º "&amp;YEAR(O31),EOMONTH(O31,1)))),"")</f>
        <v>38383</v>
      </c>
      <c r="P32" s="4">
        <f ca="1">Preencher_Salários!J34</f>
        <v>0</v>
      </c>
    </row>
    <row r="33" spans="2:16" x14ac:dyDescent="0.3">
      <c r="B33" s="46" t="s">
        <v>228</v>
      </c>
      <c r="C33" s="200">
        <f ca="1">-C34/(C32-PREMISSA_TETO)</f>
        <v>0</v>
      </c>
      <c r="E33" s="46" t="s">
        <v>53</v>
      </c>
      <c r="F33" s="51">
        <v>0</v>
      </c>
      <c r="H33" s="46" t="s">
        <v>53</v>
      </c>
      <c r="I33" s="51">
        <v>0</v>
      </c>
      <c r="J33" s="55"/>
      <c r="K33" s="91" t="s">
        <v>153</v>
      </c>
      <c r="L33" s="93">
        <f ca="1">-L32*PREMISSAS!$C$70</f>
        <v>0</v>
      </c>
      <c r="M33" s="92">
        <f ca="1">-M32*PREMISSAS!$C$70</f>
        <v>0</v>
      </c>
      <c r="O33" s="21">
        <f ca="1">IFERROR(IF(LEFT(O32,2)="13",DATE(RIGHT(O32,4),12,31),IF(EOMONTH(O32,1)&gt;PREMISSAS!$C$3,"",IF(MONTH(O32)=11,"13º "&amp;YEAR(O32),EOMONTH(O32,1)))),"")</f>
        <v>38411</v>
      </c>
      <c r="P33" s="4">
        <f ca="1">Preencher_Salários!J35</f>
        <v>0</v>
      </c>
    </row>
    <row r="34" spans="2:16" ht="15" thickBot="1" x14ac:dyDescent="0.35">
      <c r="B34" s="46" t="s">
        <v>52</v>
      </c>
      <c r="C34" s="52">
        <f ca="1">-PREMISSAS!H83</f>
        <v>0</v>
      </c>
      <c r="E34" s="46" t="s">
        <v>52</v>
      </c>
      <c r="F34" s="52">
        <f ca="1">-F32*F33</f>
        <v>0</v>
      </c>
      <c r="H34" s="46" t="s">
        <v>52</v>
      </c>
      <c r="I34" s="52">
        <f ca="1">-I32*I33</f>
        <v>0</v>
      </c>
      <c r="J34" s="56"/>
      <c r="K34" s="94" t="s">
        <v>154</v>
      </c>
      <c r="L34" s="95">
        <f ca="1">SUM(L32:L33)</f>
        <v>0</v>
      </c>
      <c r="M34" s="96">
        <f ca="1">SUM(M32:M33)</f>
        <v>0</v>
      </c>
      <c r="O34" s="21">
        <f ca="1">IFERROR(IF(LEFT(O33,2)="13",DATE(RIGHT(O33,4),12,31),IF(EOMONTH(O33,1)&gt;PREMISSAS!$C$3,"",IF(MONTH(O33)=11,"13º "&amp;YEAR(O33),EOMONTH(O33,1)))),"")</f>
        <v>38442</v>
      </c>
      <c r="P34" s="4">
        <f ca="1">Preencher_Salários!J36</f>
        <v>0</v>
      </c>
    </row>
    <row r="35" spans="2:16" ht="15" thickBot="1" x14ac:dyDescent="0.35">
      <c r="B35" s="60" t="s">
        <v>56</v>
      </c>
      <c r="C35" s="99">
        <f ca="1">C32+C34</f>
        <v>0</v>
      </c>
      <c r="E35" s="97" t="s">
        <v>56</v>
      </c>
      <c r="F35" s="98">
        <f ca="1">F32+F34</f>
        <v>0</v>
      </c>
      <c r="H35" s="97" t="s">
        <v>56</v>
      </c>
      <c r="I35" s="98">
        <f ca="1">I32+I34</f>
        <v>0</v>
      </c>
      <c r="J35" s="56"/>
      <c r="K35" s="102" t="s">
        <v>129</v>
      </c>
      <c r="L35" s="103">
        <f ca="1">ELEGIBILIDADE!J20</f>
        <v>0</v>
      </c>
      <c r="O35" s="21">
        <f ca="1">IFERROR(IF(LEFT(O34,2)="13",DATE(RIGHT(O34,4),12,31),IF(EOMONTH(O34,1)&gt;PREMISSAS!$C$3,"",IF(MONTH(O34)=11,"13º "&amp;YEAR(O34),EOMONTH(O34,1)))),"")</f>
        <v>38472</v>
      </c>
      <c r="P35" s="4">
        <f ca="1">Preencher_Salários!J37</f>
        <v>0</v>
      </c>
    </row>
    <row r="36" spans="2:16" ht="15" thickBot="1" x14ac:dyDescent="0.35">
      <c r="B36" s="46" t="s">
        <v>54</v>
      </c>
      <c r="C36" s="53">
        <f ca="1">-IF(C35&lt;PREMISSAS!$C$43,0,IF(C35&lt;PREMISSAS!$C$44,PREMISSAS!$D$44*C35-PREMISSAS!$E$44,IF(C35&lt;PREMISSAS!$C$45,PREMISSAS!$D$45*C35-PREMISSAS!$E$45,IF(C35&lt;PREMISSAS!$C$46,PREMISSAS!$D$46*C35-PREMISSAS!$E$46,PREMISSAS!$D$47*C35-PREMISSAS!$E$47))))</f>
        <v>0</v>
      </c>
      <c r="K36" s="91" t="s">
        <v>153</v>
      </c>
      <c r="L36" s="93">
        <f ca="1">-L35*PREMISSAS!$C$70</f>
        <v>0</v>
      </c>
      <c r="O36" s="21">
        <f ca="1">IFERROR(IF(LEFT(O35,2)="13",DATE(RIGHT(O35,4),12,31),IF(EOMONTH(O35,1)&gt;PREMISSAS!$C$3,"",IF(MONTH(O35)=11,"13º "&amp;YEAR(O35),EOMONTH(O35,1)))),"")</f>
        <v>38503</v>
      </c>
      <c r="P36" s="4">
        <f ca="1">Preencher_Salários!J38</f>
        <v>0</v>
      </c>
    </row>
    <row r="37" spans="2:16" ht="15" thickBot="1" x14ac:dyDescent="0.35">
      <c r="B37" s="82" t="s">
        <v>57</v>
      </c>
      <c r="C37" s="83">
        <f ca="1">SUM(C35:C36)</f>
        <v>0</v>
      </c>
      <c r="E37" s="107" t="s">
        <v>141</v>
      </c>
      <c r="F37" s="108">
        <f ca="1">F35+I35</f>
        <v>0</v>
      </c>
      <c r="K37" s="94" t="s">
        <v>155</v>
      </c>
      <c r="L37" s="95">
        <f ca="1">SUM(L35:L36)</f>
        <v>0</v>
      </c>
      <c r="O37" s="21">
        <f ca="1">IFERROR(IF(LEFT(O36,2)="13",DATE(RIGHT(O36,4),12,31),IF(EOMONTH(O36,1)&gt;PREMISSAS!$C$3,"",IF(MONTH(O36)=11,"13º "&amp;YEAR(O36),EOMONTH(O36,1)))),"")</f>
        <v>38533</v>
      </c>
      <c r="P37" s="4">
        <f ca="1">Preencher_Salários!J39</f>
        <v>0</v>
      </c>
    </row>
    <row r="38" spans="2:16" ht="15" thickBot="1" x14ac:dyDescent="0.35">
      <c r="E38" s="49" t="s">
        <v>54</v>
      </c>
      <c r="F38" s="50">
        <f ca="1">-IF(F37&lt;PREMISSAS!$C$43,0,IF(F37&lt;PREMISSAS!$C$44,PREMISSAS!$D$44*F37-PREMISSAS!$E$44,IF(F37&lt;PREMISSAS!$C$45,PREMISSAS!$D$45*F37-PREMISSAS!$E$45,IF(F37&lt;PREMISSAS!$C$46,PREMISSAS!$D$46*F37-PREMISSAS!$E$46,PREMISSAS!$D$47*F37-PREMISSAS!$E$47))))</f>
        <v>0</v>
      </c>
      <c r="O38" s="21">
        <f ca="1">IFERROR(IF(LEFT(O37,2)="13",DATE(RIGHT(O37,4),12,31),IF(EOMONTH(O37,1)&gt;PREMISSAS!$C$3,"",IF(MONTH(O37)=11,"13º "&amp;YEAR(O37),EOMONTH(O37,1)))),"")</f>
        <v>38564</v>
      </c>
      <c r="P38" s="4">
        <f ca="1">Preencher_Salários!J40</f>
        <v>0</v>
      </c>
    </row>
    <row r="39" spans="2:16" ht="15" thickBot="1" x14ac:dyDescent="0.35">
      <c r="E39" s="82" t="s">
        <v>142</v>
      </c>
      <c r="F39" s="83">
        <f ca="1">SUM(F37:F38)</f>
        <v>0</v>
      </c>
      <c r="L39" s="367" t="s">
        <v>28</v>
      </c>
      <c r="M39" s="380" t="s">
        <v>28</v>
      </c>
      <c r="O39" s="21">
        <f ca="1">IFERROR(IF(LEFT(O38,2)="13",DATE(RIGHT(O38,4),12,31),IF(EOMONTH(O38,1)&gt;PREMISSAS!$C$3,"",IF(MONTH(O38)=11,"13º "&amp;YEAR(O38),EOMONTH(O38,1)))),"")</f>
        <v>38595</v>
      </c>
      <c r="P39" s="4">
        <f ca="1">Preencher_Salários!J41</f>
        <v>0</v>
      </c>
    </row>
    <row r="40" spans="2:16" ht="15" thickBot="1" x14ac:dyDescent="0.35">
      <c r="L40" s="368"/>
      <c r="M40" s="381"/>
      <c r="O40" s="21">
        <f ca="1">IFERROR(IF(LEFT(O39,2)="13",DATE(RIGHT(O39,4),12,31),IF(EOMONTH(O39,1)&gt;PREMISSAS!$C$3,"",IF(MONTH(O39)=11,"13º "&amp;YEAR(O39),EOMONTH(O39,1)))),"")</f>
        <v>38625</v>
      </c>
      <c r="P40" s="4">
        <f ca="1">Preencher_Salários!J42</f>
        <v>0</v>
      </c>
    </row>
    <row r="41" spans="2:16" x14ac:dyDescent="0.3">
      <c r="F41" s="137">
        <f ca="1">IFERROR(F39*F35/F37,0)</f>
        <v>0</v>
      </c>
      <c r="I41" s="137">
        <f ca="1">IFERROR(F39*I35/F37,0)</f>
        <v>0</v>
      </c>
      <c r="K41" s="64" t="s">
        <v>140</v>
      </c>
      <c r="L41" s="79">
        <f ca="1">L34+L37</f>
        <v>0</v>
      </c>
      <c r="M41" s="79">
        <f ca="1">SUM(M34)</f>
        <v>0</v>
      </c>
      <c r="O41" s="21">
        <f ca="1">IFERROR(IF(LEFT(O40,2)="13",DATE(RIGHT(O40,4),12,31),IF(EOMONTH(O40,1)&gt;PREMISSAS!$C$3,"",IF(MONTH(O40)=11,"13º "&amp;YEAR(O40),EOMONTH(O40,1)))),"")</f>
        <v>38656</v>
      </c>
      <c r="P41" s="4">
        <f ca="1">Preencher_Salários!J43</f>
        <v>0</v>
      </c>
    </row>
    <row r="42" spans="2:16" x14ac:dyDescent="0.3">
      <c r="J42" s="54"/>
      <c r="K42" s="84" t="s">
        <v>143</v>
      </c>
      <c r="L42" s="85">
        <f ca="1">-IF(L41&lt;PREMISSAS!$C$43,0,IF(L41&lt;PREMISSAS!$C$44,PREMISSAS!$D$44*L41-PREMISSAS!$E$44,IF(L41&lt;PREMISSAS!$C$45,PREMISSAS!$D$45*L41-PREMISSAS!$E$45,IF(L41&lt;PREMISSAS!$C$46,PREMISSAS!$D$46*L41-PREMISSAS!$E$46,PREMISSAS!$D$47*L41-PREMISSAS!$E$47))))</f>
        <v>0</v>
      </c>
      <c r="M42" s="85">
        <f ca="1">-IF(M41&lt;PREMISSAS!$C$43,0,IF(M41&lt;PREMISSAS!$C$44,PREMISSAS!$D$44*M41-PREMISSAS!$E$44,IF(M41&lt;PREMISSAS!$C$45,PREMISSAS!$D$45*M41-PREMISSAS!$E$45,IF(M41&lt;PREMISSAS!$C$46,PREMISSAS!$D$46*M41-PREMISSAS!$E$46,PREMISSAS!$D$47*M41-PREMISSAS!$E$47))))</f>
        <v>0</v>
      </c>
      <c r="O42" s="21">
        <f ca="1">IFERROR(IF(LEFT(O41,2)="13",DATE(RIGHT(O41,4),12,31),IF(EOMONTH(O41,1)&gt;PREMISSAS!$C$3,"",IF(MONTH(O41)=11,"13º "&amp;YEAR(O41),EOMONTH(O41,1)))),"")</f>
        <v>38686</v>
      </c>
      <c r="P42" s="4">
        <f ca="1">Preencher_Salários!J44</f>
        <v>0</v>
      </c>
    </row>
    <row r="43" spans="2:16" ht="15" thickBot="1" x14ac:dyDescent="0.35">
      <c r="J43" s="57"/>
      <c r="K43" s="80" t="s">
        <v>57</v>
      </c>
      <c r="L43" s="81">
        <f ca="1">SUM(L41:L42)</f>
        <v>0</v>
      </c>
      <c r="M43" s="81">
        <f ca="1">SUM(M41:M42)</f>
        <v>0</v>
      </c>
      <c r="O43" s="21" t="str">
        <f ca="1">IFERROR(IF(LEFT(O42,2)="13",DATE(RIGHT(O42,4),12,31),IF(EOMONTH(O42,1)&gt;PREMISSAS!$C$3,"",IF(MONTH(O42)=11,"13º "&amp;YEAR(O42),EOMONTH(O42,1)))),"")</f>
        <v>13º 2005</v>
      </c>
      <c r="P43" s="4">
        <f ca="1">Preencher_Salários!J45</f>
        <v>0</v>
      </c>
    </row>
    <row r="44" spans="2:16" x14ac:dyDescent="0.3">
      <c r="O44" s="21">
        <f ca="1">IFERROR(IF(LEFT(O43,2)="13",DATE(RIGHT(O43,4),12,31),IF(EOMONTH(O43,1)&gt;PREMISSAS!$C$3,"",IF(MONTH(O43)=11,"13º "&amp;YEAR(O43),EOMONTH(O43,1)))),"")</f>
        <v>38717</v>
      </c>
      <c r="P44" s="4">
        <f ca="1">Preencher_Salários!J46</f>
        <v>0</v>
      </c>
    </row>
    <row r="45" spans="2:16" x14ac:dyDescent="0.3">
      <c r="K45" s="307" t="s">
        <v>324</v>
      </c>
      <c r="L45" s="308" t="e">
        <f ca="1">L$42*L$32/L$41</f>
        <v>#DIV/0!</v>
      </c>
      <c r="M45" s="308" t="e">
        <f ca="1">M$42*M$32/M$41</f>
        <v>#DIV/0!</v>
      </c>
      <c r="O45" s="21">
        <f ca="1">IFERROR(IF(LEFT(O44,2)="13",DATE(RIGHT(O44,4),12,31),IF(EOMONTH(O44,1)&gt;PREMISSAS!$C$3,"",IF(MONTH(O44)=11,"13º "&amp;YEAR(O44),EOMONTH(O44,1)))),"")</f>
        <v>38748</v>
      </c>
      <c r="P45" s="4">
        <f ca="1">Preencher_Salários!J47</f>
        <v>0</v>
      </c>
    </row>
    <row r="46" spans="2:16" x14ac:dyDescent="0.3">
      <c r="K46" s="307" t="s">
        <v>325</v>
      </c>
      <c r="L46" s="308" t="e">
        <f ca="1">L$42*L$35/L$41</f>
        <v>#DIV/0!</v>
      </c>
      <c r="M46" s="308" t="e">
        <f ca="1">M$42*M$35/M$41</f>
        <v>#DIV/0!</v>
      </c>
      <c r="O46" s="21">
        <f ca="1">IFERROR(IF(LEFT(O45,2)="13",DATE(RIGHT(O45,4),12,31),IF(EOMONTH(O45,1)&gt;PREMISSAS!$C$3,"",IF(MONTH(O45)=11,"13º "&amp;YEAR(O45),EOMONTH(O45,1)))),"")</f>
        <v>38776</v>
      </c>
      <c r="P46" s="4">
        <f ca="1">Preencher_Salários!J48</f>
        <v>0</v>
      </c>
    </row>
    <row r="47" spans="2:16" ht="15" thickBot="1" x14ac:dyDescent="0.35">
      <c r="O47" s="21">
        <f ca="1">IFERROR(IF(LEFT(O46,2)="13",DATE(RIGHT(O46,4),12,31),IF(EOMONTH(O46,1)&gt;PREMISSAS!$C$3,"",IF(MONTH(O46)=11,"13º "&amp;YEAR(O46),EOMONTH(O46,1)))),"")</f>
        <v>38807</v>
      </c>
      <c r="P47" s="4">
        <f ca="1">Preencher_Salários!J49</f>
        <v>0</v>
      </c>
    </row>
    <row r="48" spans="2:16" x14ac:dyDescent="0.3">
      <c r="K48" t="s">
        <v>225</v>
      </c>
      <c r="L48" s="367" t="s">
        <v>27</v>
      </c>
      <c r="M48" s="380" t="s">
        <v>27</v>
      </c>
      <c r="O48" s="21">
        <f ca="1">IFERROR(IF(LEFT(O47,2)="13",DATE(RIGHT(O47,4),12,31),IF(EOMONTH(O47,1)&gt;PREMISSAS!$C$3,"",IF(MONTH(O47)=11,"13º "&amp;YEAR(O47),EOMONTH(O47,1)))),"")</f>
        <v>38837</v>
      </c>
      <c r="P48" s="4">
        <f ca="1">Preencher_Salários!J50</f>
        <v>0</v>
      </c>
    </row>
    <row r="49" spans="2:16" ht="15" thickBot="1" x14ac:dyDescent="0.35">
      <c r="K49" s="184">
        <f ca="1">COUNT('CÁLCULO FUNPRESP'!P5:P700)/12</f>
        <v>20.083333333333332</v>
      </c>
      <c r="L49" s="368"/>
      <c r="M49" s="381"/>
      <c r="O49" s="21">
        <f ca="1">IFERROR(IF(LEFT(O48,2)="13",DATE(RIGHT(O48,4),12,31),IF(EOMONTH(O48,1)&gt;PREMISSAS!$C$3,"",IF(MONTH(O48)=11,"13º "&amp;YEAR(O48),EOMONTH(O48,1)))),"")</f>
        <v>38868</v>
      </c>
      <c r="P49" s="4">
        <f ca="1">Preencher_Salários!J51</f>
        <v>0</v>
      </c>
    </row>
    <row r="50" spans="2:16" x14ac:dyDescent="0.3">
      <c r="K50" s="64" t="s">
        <v>140</v>
      </c>
      <c r="L50" s="79">
        <f ca="1">L41</f>
        <v>0</v>
      </c>
      <c r="M50" s="79">
        <f ca="1">M41</f>
        <v>0</v>
      </c>
      <c r="O50" s="21">
        <f ca="1">IFERROR(IF(LEFT(O49,2)="13",DATE(RIGHT(O49,4),12,31),IF(EOMONTH(O49,1)&gt;PREMISSAS!$C$3,"",IF(MONTH(O49)=11,"13º "&amp;YEAR(O49),EOMONTH(O49,1)))),"")</f>
        <v>38898</v>
      </c>
      <c r="P50" s="4">
        <f ca="1">Preencher_Salários!J52</f>
        <v>0</v>
      </c>
    </row>
    <row r="51" spans="2:16" x14ac:dyDescent="0.3">
      <c r="K51" s="84" t="s">
        <v>143</v>
      </c>
      <c r="L51" s="85">
        <f ca="1">-L50*IF(K49&lt;PREMISSAS!B51,PREMISSAS!C51,IF(K49&lt;PREMISSAS!B52,PREMISSAS!C52,IF(K49&lt;PREMISSAS!B53,PREMISSAS!C53,IF(K49&lt;PREMISSAS!B54,PREMISSAS!C54,IF(K49&lt;PREMISSAS!B55,PREMISSAS!C55,PREMISSAS!C56)))))</f>
        <v>0</v>
      </c>
      <c r="M51" s="85">
        <f ca="1">-M50*IF(K49&lt;PREMISSAS!B51,PREMISSAS!C51,IF(K49&lt;PREMISSAS!B52,PREMISSAS!C52,IF(K49&lt;PREMISSAS!B53,PREMISSAS!C53,IF(K49&lt;PREMISSAS!B54,PREMISSAS!C54,IF(K49&lt;PREMISSAS!B55,PREMISSAS!C55,PREMISSAS!C56)))))</f>
        <v>0</v>
      </c>
      <c r="O51" s="21">
        <f ca="1">IFERROR(IF(LEFT(O50,2)="13",DATE(RIGHT(O50,4),12,31),IF(EOMONTH(O50,1)&gt;PREMISSAS!$C$3,"",IF(MONTH(O50)=11,"13º "&amp;YEAR(O50),EOMONTH(O50,1)))),"")</f>
        <v>38929</v>
      </c>
      <c r="P51" s="4">
        <f ca="1">Preencher_Salários!J53</f>
        <v>0</v>
      </c>
    </row>
    <row r="52" spans="2:16" ht="15" thickBot="1" x14ac:dyDescent="0.35">
      <c r="K52" s="80" t="s">
        <v>57</v>
      </c>
      <c r="L52" s="81">
        <f ca="1">SUM(L50:L51)</f>
        <v>0</v>
      </c>
      <c r="M52" s="81">
        <f ca="1">SUM(M50:M51)</f>
        <v>0</v>
      </c>
      <c r="O52" s="21">
        <f ca="1">IFERROR(IF(LEFT(O51,2)="13",DATE(RIGHT(O51,4),12,31),IF(EOMONTH(O51,1)&gt;PREMISSAS!$C$3,"",IF(MONTH(O51)=11,"13º "&amp;YEAR(O51),EOMONTH(O51,1)))),"")</f>
        <v>38960</v>
      </c>
      <c r="P52" s="4">
        <f ca="1">Preencher_Salários!J54</f>
        <v>0</v>
      </c>
    </row>
    <row r="53" spans="2:16" x14ac:dyDescent="0.3">
      <c r="O53" s="21">
        <f ca="1">IFERROR(IF(LEFT(O52,2)="13",DATE(RIGHT(O52,4),12,31),IF(EOMONTH(O52,1)&gt;PREMISSAS!$C$3,"",IF(MONTH(O52)=11,"13º "&amp;YEAR(O52),EOMONTH(O52,1)))),"")</f>
        <v>38990</v>
      </c>
      <c r="P53" s="4">
        <f ca="1">Preencher_Salários!J55</f>
        <v>0</v>
      </c>
    </row>
    <row r="54" spans="2:16" x14ac:dyDescent="0.3">
      <c r="K54" s="307" t="s">
        <v>324</v>
      </c>
      <c r="L54" s="308" t="e">
        <f ca="1">L$51*L$32/L$50</f>
        <v>#DIV/0!</v>
      </c>
      <c r="M54" s="308" t="e">
        <f ca="1">M$51*M$32/M$50</f>
        <v>#DIV/0!</v>
      </c>
      <c r="O54" s="21">
        <f ca="1">IFERROR(IF(LEFT(O53,2)="13",DATE(RIGHT(O53,4),12,31),IF(EOMONTH(O53,1)&gt;PREMISSAS!$C$3,"",IF(MONTH(O53)=11,"13º "&amp;YEAR(O53),EOMONTH(O53,1)))),"")</f>
        <v>39021</v>
      </c>
      <c r="P54" s="4">
        <f ca="1">Preencher_Salários!J56</f>
        <v>0</v>
      </c>
    </row>
    <row r="55" spans="2:16" x14ac:dyDescent="0.3">
      <c r="K55" s="307" t="s">
        <v>325</v>
      </c>
      <c r="L55" s="308" t="e">
        <f ca="1">L$51*L$35/L$50</f>
        <v>#DIV/0!</v>
      </c>
      <c r="M55" s="308" t="e">
        <f ca="1">M$51*M$35/M$50</f>
        <v>#DIV/0!</v>
      </c>
      <c r="O55" s="21">
        <f ca="1">IFERROR(IF(LEFT(O54,2)="13",DATE(RIGHT(O54,4),12,31),IF(EOMONTH(O54,1)&gt;PREMISSAS!$C$3,"",IF(MONTH(O54)=11,"13º "&amp;YEAR(O54),EOMONTH(O54,1)))),"")</f>
        <v>39051</v>
      </c>
      <c r="P55" s="4">
        <f ca="1">Preencher_Salários!J57</f>
        <v>0</v>
      </c>
    </row>
    <row r="56" spans="2:16" ht="15" thickBot="1" x14ac:dyDescent="0.35">
      <c r="B56" s="121"/>
      <c r="C56" s="121"/>
      <c r="D56" s="121"/>
      <c r="E56" s="121"/>
      <c r="F56" s="121"/>
      <c r="G56" s="121"/>
      <c r="H56" s="121"/>
      <c r="I56" s="121"/>
      <c r="J56" s="121"/>
      <c r="K56" s="121"/>
      <c r="L56" s="121"/>
      <c r="M56" s="121"/>
      <c r="O56" s="21" t="str">
        <f ca="1">IFERROR(IF(LEFT(O55,2)="13",DATE(RIGHT(O55,4),12,31),IF(EOMONTH(O55,1)&gt;PREMISSAS!$C$3,"",IF(MONTH(O55)=11,"13º "&amp;YEAR(O55),EOMONTH(O55,1)))),"")</f>
        <v>13º 2006</v>
      </c>
      <c r="P56" s="4">
        <f ca="1">Preencher_Salários!J58</f>
        <v>0</v>
      </c>
    </row>
    <row r="57" spans="2:16" x14ac:dyDescent="0.3">
      <c r="O57" s="21">
        <f ca="1">IFERROR(IF(LEFT(O56,2)="13",DATE(RIGHT(O56,4),12,31),IF(EOMONTH(O56,1)&gt;PREMISSAS!$C$3,"",IF(MONTH(O56)=11,"13º "&amp;YEAR(O56),EOMONTH(O56,1)))),"")</f>
        <v>39082</v>
      </c>
      <c r="P57" s="4">
        <f ca="1">Preencher_Salários!J59</f>
        <v>0</v>
      </c>
    </row>
    <row r="58" spans="2:16" ht="16.2" thickBot="1" x14ac:dyDescent="0.35">
      <c r="B58" s="363" t="s">
        <v>170</v>
      </c>
      <c r="C58" s="363"/>
      <c r="E58" s="363" t="s">
        <v>171</v>
      </c>
      <c r="F58" s="363"/>
      <c r="L58" s="137" t="e">
        <f ca="1">L32+IF(Preencher_Dados!$I$27=PREMISSAS!$U$15,$L$54,$L$45)</f>
        <v>#DIV/0!</v>
      </c>
      <c r="O58" s="21">
        <f ca="1">IFERROR(IF(LEFT(O57,2)="13",DATE(RIGHT(O57,4),12,31),IF(EOMONTH(O57,1)&gt;PREMISSAS!$C$3,"",IF(MONTH(O57)=11,"13º "&amp;YEAR(O57),EOMONTH(O57,1)))),"")</f>
        <v>39113</v>
      </c>
      <c r="P58" s="4">
        <f ca="1">Preencher_Salários!J60</f>
        <v>0</v>
      </c>
    </row>
    <row r="59" spans="2:16" x14ac:dyDescent="0.3">
      <c r="L59" s="137" t="e">
        <f ca="1">L35+IF(Preencher_Dados!$I$27=PREMISSAS!$U$15,$L$55,$L$46)</f>
        <v>#DIV/0!</v>
      </c>
      <c r="O59" s="21">
        <f ca="1">IFERROR(IF(LEFT(O58,2)="13",DATE(RIGHT(O58,4),12,31),IF(EOMONTH(O58,1)&gt;PREMISSAS!$C$3,"",IF(MONTH(O58)=11,"13º "&amp;YEAR(O58),EOMONTH(O58,1)))),"")</f>
        <v>39141</v>
      </c>
      <c r="P59" s="4">
        <f ca="1">Preencher_Salários!J61</f>
        <v>0</v>
      </c>
    </row>
    <row r="60" spans="2:16" x14ac:dyDescent="0.3">
      <c r="B60" s="119" t="s">
        <v>167</v>
      </c>
      <c r="C60" s="120">
        <f ca="1">C37</f>
        <v>0</v>
      </c>
      <c r="E60" s="119" t="s">
        <v>168</v>
      </c>
      <c r="F60" s="120">
        <f ca="1">F39+L43</f>
        <v>0</v>
      </c>
      <c r="O60" s="21">
        <f ca="1">IFERROR(IF(LEFT(O59,2)="13",DATE(RIGHT(O59,4),12,31),IF(EOMONTH(O59,1)&gt;PREMISSAS!$C$3,"",IF(MONTH(O59)=11,"13º "&amp;YEAR(O59),EOMONTH(O59,1)))),"")</f>
        <v>39172</v>
      </c>
      <c r="P60" s="4">
        <f ca="1">Preencher_Salários!J62</f>
        <v>0</v>
      </c>
    </row>
    <row r="61" spans="2:16" x14ac:dyDescent="0.3">
      <c r="O61" s="21">
        <f ca="1">IFERROR(IF(LEFT(O60,2)="13",DATE(RIGHT(O60,4),12,31),IF(EOMONTH(O60,1)&gt;PREMISSAS!$C$3,"",IF(MONTH(O60)=11,"13º "&amp;YEAR(O60),EOMONTH(O60,1)))),"")</f>
        <v>39202</v>
      </c>
      <c r="P61" s="4">
        <f ca="1">Preencher_Salários!J63</f>
        <v>0</v>
      </c>
    </row>
    <row r="62" spans="2:16" x14ac:dyDescent="0.3">
      <c r="E62" s="119" t="s">
        <v>169</v>
      </c>
      <c r="F62" s="120">
        <f ca="1">F39+L52</f>
        <v>0</v>
      </c>
      <c r="O62" s="21">
        <f ca="1">IFERROR(IF(LEFT(O61,2)="13",DATE(RIGHT(O61,4),12,31),IF(EOMONTH(O61,1)&gt;PREMISSAS!$C$3,"",IF(MONTH(O61)=11,"13º "&amp;YEAR(O61),EOMONTH(O61,1)))),"")</f>
        <v>39233</v>
      </c>
      <c r="P62" s="4">
        <f ca="1">Preencher_Salários!J64</f>
        <v>0</v>
      </c>
    </row>
    <row r="63" spans="2:16" x14ac:dyDescent="0.3">
      <c r="O63" s="21">
        <f ca="1">IFERROR(IF(LEFT(O62,2)="13",DATE(RIGHT(O62,4),12,31),IF(EOMONTH(O62,1)&gt;PREMISSAS!$C$3,"",IF(MONTH(O62)=11,"13º "&amp;YEAR(O62),EOMONTH(O62,1)))),"")</f>
        <v>39263</v>
      </c>
      <c r="P63" s="4">
        <f ca="1">Preencher_Salários!J65</f>
        <v>0</v>
      </c>
    </row>
    <row r="64" spans="2:16" x14ac:dyDescent="0.3">
      <c r="O64" s="21">
        <f ca="1">IFERROR(IF(LEFT(O63,2)="13",DATE(RIGHT(O63,4),12,31),IF(EOMONTH(O63,1)&gt;PREMISSAS!$C$3,"",IF(MONTH(O63)=11,"13º "&amp;YEAR(O63),EOMONTH(O63,1)))),"")</f>
        <v>39294</v>
      </c>
      <c r="P64" s="4">
        <f ca="1">Preencher_Salários!J66</f>
        <v>0</v>
      </c>
    </row>
    <row r="65" spans="15:16" x14ac:dyDescent="0.3">
      <c r="O65" s="21">
        <f ca="1">IFERROR(IF(LEFT(O64,2)="13",DATE(RIGHT(O64,4),12,31),IF(EOMONTH(O64,1)&gt;PREMISSAS!$C$3,"",IF(MONTH(O64)=11,"13º "&amp;YEAR(O64),EOMONTH(O64,1)))),"")</f>
        <v>39325</v>
      </c>
      <c r="P65" s="4">
        <f ca="1">Preencher_Salários!J67</f>
        <v>0</v>
      </c>
    </row>
    <row r="66" spans="15:16" x14ac:dyDescent="0.3">
      <c r="O66" s="21">
        <f ca="1">IFERROR(IF(LEFT(O65,2)="13",DATE(RIGHT(O65,4),12,31),IF(EOMONTH(O65,1)&gt;PREMISSAS!$C$3,"",IF(MONTH(O65)=11,"13º "&amp;YEAR(O65),EOMONTH(O65,1)))),"")</f>
        <v>39355</v>
      </c>
      <c r="P66" s="4">
        <f ca="1">Preencher_Salários!J68</f>
        <v>0</v>
      </c>
    </row>
    <row r="67" spans="15:16" x14ac:dyDescent="0.3">
      <c r="O67" s="21">
        <f ca="1">IFERROR(IF(LEFT(O66,2)="13",DATE(RIGHT(O66,4),12,31),IF(EOMONTH(O66,1)&gt;PREMISSAS!$C$3,"",IF(MONTH(O66)=11,"13º "&amp;YEAR(O66),EOMONTH(O66,1)))),"")</f>
        <v>39386</v>
      </c>
      <c r="P67" s="4">
        <f ca="1">Preencher_Salários!J69</f>
        <v>0</v>
      </c>
    </row>
    <row r="68" spans="15:16" x14ac:dyDescent="0.3">
      <c r="O68" s="21">
        <f ca="1">IFERROR(IF(LEFT(O67,2)="13",DATE(RIGHT(O67,4),12,31),IF(EOMONTH(O67,1)&gt;PREMISSAS!$C$3,"",IF(MONTH(O67)=11,"13º "&amp;YEAR(O67),EOMONTH(O67,1)))),"")</f>
        <v>39416</v>
      </c>
      <c r="P68" s="4">
        <f ca="1">Preencher_Salários!J70</f>
        <v>0</v>
      </c>
    </row>
    <row r="69" spans="15:16" x14ac:dyDescent="0.3">
      <c r="O69" s="21" t="str">
        <f ca="1">IFERROR(IF(LEFT(O68,2)="13",DATE(RIGHT(O68,4),12,31),IF(EOMONTH(O68,1)&gt;PREMISSAS!$C$3,"",IF(MONTH(O68)=11,"13º "&amp;YEAR(O68),EOMONTH(O68,1)))),"")</f>
        <v>13º 2007</v>
      </c>
      <c r="P69" s="4">
        <f ca="1">Preencher_Salários!J71</f>
        <v>0</v>
      </c>
    </row>
    <row r="70" spans="15:16" x14ac:dyDescent="0.3">
      <c r="O70" s="21">
        <f ca="1">IFERROR(IF(LEFT(O69,2)="13",DATE(RIGHT(O69,4),12,31),IF(EOMONTH(O69,1)&gt;PREMISSAS!$C$3,"",IF(MONTH(O69)=11,"13º "&amp;YEAR(O69),EOMONTH(O69,1)))),"")</f>
        <v>39447</v>
      </c>
      <c r="P70" s="4">
        <f ca="1">Preencher_Salários!J72</f>
        <v>0</v>
      </c>
    </row>
    <row r="71" spans="15:16" x14ac:dyDescent="0.3">
      <c r="O71" s="21">
        <f ca="1">IFERROR(IF(LEFT(O70,2)="13",DATE(RIGHT(O70,4),12,31),IF(EOMONTH(O70,1)&gt;PREMISSAS!$C$3,"",IF(MONTH(O70)=11,"13º "&amp;YEAR(O70),EOMONTH(O70,1)))),"")</f>
        <v>39478</v>
      </c>
      <c r="P71" s="4">
        <f ca="1">Preencher_Salários!J73</f>
        <v>0</v>
      </c>
    </row>
    <row r="72" spans="15:16" x14ac:dyDescent="0.3">
      <c r="O72" s="21">
        <f ca="1">IFERROR(IF(LEFT(O71,2)="13",DATE(RIGHT(O71,4),12,31),IF(EOMONTH(O71,1)&gt;PREMISSAS!$C$3,"",IF(MONTH(O71)=11,"13º "&amp;YEAR(O71),EOMONTH(O71,1)))),"")</f>
        <v>39507</v>
      </c>
      <c r="P72" s="4">
        <f ca="1">Preencher_Salários!J74</f>
        <v>0</v>
      </c>
    </row>
    <row r="73" spans="15:16" x14ac:dyDescent="0.3">
      <c r="O73" s="21">
        <f ca="1">IFERROR(IF(LEFT(O72,2)="13",DATE(RIGHT(O72,4),12,31),IF(EOMONTH(O72,1)&gt;PREMISSAS!$C$3,"",IF(MONTH(O72)=11,"13º "&amp;YEAR(O72),EOMONTH(O72,1)))),"")</f>
        <v>39538</v>
      </c>
      <c r="P73" s="4">
        <f ca="1">Preencher_Salários!J75</f>
        <v>0</v>
      </c>
    </row>
    <row r="74" spans="15:16" x14ac:dyDescent="0.3">
      <c r="O74" s="21">
        <f ca="1">IFERROR(IF(LEFT(O73,2)="13",DATE(RIGHT(O73,4),12,31),IF(EOMONTH(O73,1)&gt;PREMISSAS!$C$3,"",IF(MONTH(O73)=11,"13º "&amp;YEAR(O73),EOMONTH(O73,1)))),"")</f>
        <v>39568</v>
      </c>
      <c r="P74" s="4">
        <f ca="1">Preencher_Salários!J76</f>
        <v>0</v>
      </c>
    </row>
    <row r="75" spans="15:16" x14ac:dyDescent="0.3">
      <c r="O75" s="21">
        <f ca="1">IFERROR(IF(LEFT(O74,2)="13",DATE(RIGHT(O74,4),12,31),IF(EOMONTH(O74,1)&gt;PREMISSAS!$C$3,"",IF(MONTH(O74)=11,"13º "&amp;YEAR(O74),EOMONTH(O74,1)))),"")</f>
        <v>39599</v>
      </c>
      <c r="P75" s="4">
        <f ca="1">Preencher_Salários!J77</f>
        <v>0</v>
      </c>
    </row>
    <row r="76" spans="15:16" x14ac:dyDescent="0.3">
      <c r="O76" s="21">
        <f ca="1">IFERROR(IF(LEFT(O75,2)="13",DATE(RIGHT(O75,4),12,31),IF(EOMONTH(O75,1)&gt;PREMISSAS!$C$3,"",IF(MONTH(O75)=11,"13º "&amp;YEAR(O75),EOMONTH(O75,1)))),"")</f>
        <v>39629</v>
      </c>
      <c r="P76" s="4">
        <f ca="1">Preencher_Salários!J78</f>
        <v>0</v>
      </c>
    </row>
    <row r="77" spans="15:16" x14ac:dyDescent="0.3">
      <c r="O77" s="21">
        <f ca="1">IFERROR(IF(LEFT(O76,2)="13",DATE(RIGHT(O76,4),12,31),IF(EOMONTH(O76,1)&gt;PREMISSAS!$C$3,"",IF(MONTH(O76)=11,"13º "&amp;YEAR(O76),EOMONTH(O76,1)))),"")</f>
        <v>39660</v>
      </c>
      <c r="P77" s="4">
        <f ca="1">Preencher_Salários!J79</f>
        <v>0</v>
      </c>
    </row>
    <row r="78" spans="15:16" x14ac:dyDescent="0.3">
      <c r="O78" s="21">
        <f ca="1">IFERROR(IF(LEFT(O77,2)="13",DATE(RIGHT(O77,4),12,31),IF(EOMONTH(O77,1)&gt;PREMISSAS!$C$3,"",IF(MONTH(O77)=11,"13º "&amp;YEAR(O77),EOMONTH(O77,1)))),"")</f>
        <v>39691</v>
      </c>
      <c r="P78" s="4">
        <f ca="1">Preencher_Salários!J80</f>
        <v>0</v>
      </c>
    </row>
    <row r="79" spans="15:16" x14ac:dyDescent="0.3">
      <c r="O79" s="21">
        <f ca="1">IFERROR(IF(LEFT(O78,2)="13",DATE(RIGHT(O78,4),12,31),IF(EOMONTH(O78,1)&gt;PREMISSAS!$C$3,"",IF(MONTH(O78)=11,"13º "&amp;YEAR(O78),EOMONTH(O78,1)))),"")</f>
        <v>39721</v>
      </c>
      <c r="P79" s="4">
        <f ca="1">Preencher_Salários!J81</f>
        <v>0</v>
      </c>
    </row>
    <row r="80" spans="15:16" x14ac:dyDescent="0.3">
      <c r="O80" s="21">
        <f ca="1">IFERROR(IF(LEFT(O79,2)="13",DATE(RIGHT(O79,4),12,31),IF(EOMONTH(O79,1)&gt;PREMISSAS!$C$3,"",IF(MONTH(O79)=11,"13º "&amp;YEAR(O79),EOMONTH(O79,1)))),"")</f>
        <v>39752</v>
      </c>
      <c r="P80" s="4">
        <f ca="1">Preencher_Salários!J82</f>
        <v>0</v>
      </c>
    </row>
    <row r="81" spans="15:16" x14ac:dyDescent="0.3">
      <c r="O81" s="21">
        <f ca="1">IFERROR(IF(LEFT(O80,2)="13",DATE(RIGHT(O80,4),12,31),IF(EOMONTH(O80,1)&gt;PREMISSAS!$C$3,"",IF(MONTH(O80)=11,"13º "&amp;YEAR(O80),EOMONTH(O80,1)))),"")</f>
        <v>39782</v>
      </c>
      <c r="P81" s="4">
        <f ca="1">Preencher_Salários!J83</f>
        <v>0</v>
      </c>
    </row>
    <row r="82" spans="15:16" x14ac:dyDescent="0.3">
      <c r="O82" s="21" t="str">
        <f ca="1">IFERROR(IF(LEFT(O81,2)="13",DATE(RIGHT(O81,4),12,31),IF(EOMONTH(O81,1)&gt;PREMISSAS!$C$3,"",IF(MONTH(O81)=11,"13º "&amp;YEAR(O81),EOMONTH(O81,1)))),"")</f>
        <v>13º 2008</v>
      </c>
      <c r="P82" s="4">
        <f ca="1">Preencher_Salários!J84</f>
        <v>0</v>
      </c>
    </row>
    <row r="83" spans="15:16" x14ac:dyDescent="0.3">
      <c r="O83" s="21">
        <f ca="1">IFERROR(IF(LEFT(O82,2)="13",DATE(RIGHT(O82,4),12,31),IF(EOMONTH(O82,1)&gt;PREMISSAS!$C$3,"",IF(MONTH(O82)=11,"13º "&amp;YEAR(O82),EOMONTH(O82,1)))),"")</f>
        <v>39813</v>
      </c>
      <c r="P83" s="4">
        <f ca="1">Preencher_Salários!J85</f>
        <v>0</v>
      </c>
    </row>
    <row r="84" spans="15:16" x14ac:dyDescent="0.3">
      <c r="O84" s="21">
        <f ca="1">IFERROR(IF(LEFT(O83,2)="13",DATE(RIGHT(O83,4),12,31),IF(EOMONTH(O83,1)&gt;PREMISSAS!$C$3,"",IF(MONTH(O83)=11,"13º "&amp;YEAR(O83),EOMONTH(O83,1)))),"")</f>
        <v>39844</v>
      </c>
      <c r="P84" s="4">
        <f ca="1">Preencher_Salários!J86</f>
        <v>0</v>
      </c>
    </row>
    <row r="85" spans="15:16" x14ac:dyDescent="0.3">
      <c r="O85" s="21">
        <f ca="1">IFERROR(IF(LEFT(O84,2)="13",DATE(RIGHT(O84,4),12,31),IF(EOMONTH(O84,1)&gt;PREMISSAS!$C$3,"",IF(MONTH(O84)=11,"13º "&amp;YEAR(O84),EOMONTH(O84,1)))),"")</f>
        <v>39872</v>
      </c>
      <c r="P85" s="4">
        <f ca="1">Preencher_Salários!J87</f>
        <v>0</v>
      </c>
    </row>
    <row r="86" spans="15:16" x14ac:dyDescent="0.3">
      <c r="O86" s="21">
        <f ca="1">IFERROR(IF(LEFT(O85,2)="13",DATE(RIGHT(O85,4),12,31),IF(EOMONTH(O85,1)&gt;PREMISSAS!$C$3,"",IF(MONTH(O85)=11,"13º "&amp;YEAR(O85),EOMONTH(O85,1)))),"")</f>
        <v>39903</v>
      </c>
      <c r="P86" s="4">
        <f ca="1">Preencher_Salários!J88</f>
        <v>0</v>
      </c>
    </row>
    <row r="87" spans="15:16" x14ac:dyDescent="0.3">
      <c r="O87" s="21">
        <f ca="1">IFERROR(IF(LEFT(O86,2)="13",DATE(RIGHT(O86,4),12,31),IF(EOMONTH(O86,1)&gt;PREMISSAS!$C$3,"",IF(MONTH(O86)=11,"13º "&amp;YEAR(O86),EOMONTH(O86,1)))),"")</f>
        <v>39933</v>
      </c>
      <c r="P87" s="4">
        <f ca="1">Preencher_Salários!J89</f>
        <v>0</v>
      </c>
    </row>
    <row r="88" spans="15:16" x14ac:dyDescent="0.3">
      <c r="O88" s="21">
        <f ca="1">IFERROR(IF(LEFT(O87,2)="13",DATE(RIGHT(O87,4),12,31),IF(EOMONTH(O87,1)&gt;PREMISSAS!$C$3,"",IF(MONTH(O87)=11,"13º "&amp;YEAR(O87),EOMONTH(O87,1)))),"")</f>
        <v>39964</v>
      </c>
      <c r="P88" s="4">
        <f ca="1">Preencher_Salários!J90</f>
        <v>0</v>
      </c>
    </row>
    <row r="89" spans="15:16" x14ac:dyDescent="0.3">
      <c r="O89" s="21">
        <f ca="1">IFERROR(IF(LEFT(O88,2)="13",DATE(RIGHT(O88,4),12,31),IF(EOMONTH(O88,1)&gt;PREMISSAS!$C$3,"",IF(MONTH(O88)=11,"13º "&amp;YEAR(O88),EOMONTH(O88,1)))),"")</f>
        <v>39994</v>
      </c>
      <c r="P89" s="4">
        <f ca="1">Preencher_Salários!J91</f>
        <v>0</v>
      </c>
    </row>
    <row r="90" spans="15:16" x14ac:dyDescent="0.3">
      <c r="O90" s="21">
        <f ca="1">IFERROR(IF(LEFT(O89,2)="13",DATE(RIGHT(O89,4),12,31),IF(EOMONTH(O89,1)&gt;PREMISSAS!$C$3,"",IF(MONTH(O89)=11,"13º "&amp;YEAR(O89),EOMONTH(O89,1)))),"")</f>
        <v>40025</v>
      </c>
      <c r="P90" s="4">
        <f ca="1">Preencher_Salários!J92</f>
        <v>0</v>
      </c>
    </row>
    <row r="91" spans="15:16" x14ac:dyDescent="0.3">
      <c r="O91" s="21">
        <f ca="1">IFERROR(IF(LEFT(O90,2)="13",DATE(RIGHT(O90,4),12,31),IF(EOMONTH(O90,1)&gt;PREMISSAS!$C$3,"",IF(MONTH(O90)=11,"13º "&amp;YEAR(O90),EOMONTH(O90,1)))),"")</f>
        <v>40056</v>
      </c>
      <c r="P91" s="4">
        <f ca="1">Preencher_Salários!J93</f>
        <v>0</v>
      </c>
    </row>
    <row r="92" spans="15:16" x14ac:dyDescent="0.3">
      <c r="O92" s="21">
        <f ca="1">IFERROR(IF(LEFT(O91,2)="13",DATE(RIGHT(O91,4),12,31),IF(EOMONTH(O91,1)&gt;PREMISSAS!$C$3,"",IF(MONTH(O91)=11,"13º "&amp;YEAR(O91),EOMONTH(O91,1)))),"")</f>
        <v>40086</v>
      </c>
      <c r="P92" s="4">
        <f ca="1">Preencher_Salários!J94</f>
        <v>0</v>
      </c>
    </row>
    <row r="93" spans="15:16" x14ac:dyDescent="0.3">
      <c r="O93" s="21">
        <f ca="1">IFERROR(IF(LEFT(O92,2)="13",DATE(RIGHT(O92,4),12,31),IF(EOMONTH(O92,1)&gt;PREMISSAS!$C$3,"",IF(MONTH(O92)=11,"13º "&amp;YEAR(O92),EOMONTH(O92,1)))),"")</f>
        <v>40117</v>
      </c>
      <c r="P93" s="4">
        <f ca="1">Preencher_Salários!J95</f>
        <v>0</v>
      </c>
    </row>
    <row r="94" spans="15:16" x14ac:dyDescent="0.3">
      <c r="O94" s="21">
        <f ca="1">IFERROR(IF(LEFT(O93,2)="13",DATE(RIGHT(O93,4),12,31),IF(EOMONTH(O93,1)&gt;PREMISSAS!$C$3,"",IF(MONTH(O93)=11,"13º "&amp;YEAR(O93),EOMONTH(O93,1)))),"")</f>
        <v>40147</v>
      </c>
      <c r="P94" s="4">
        <f ca="1">Preencher_Salários!J96</f>
        <v>0</v>
      </c>
    </row>
    <row r="95" spans="15:16" x14ac:dyDescent="0.3">
      <c r="O95" s="21" t="str">
        <f ca="1">IFERROR(IF(LEFT(O94,2)="13",DATE(RIGHT(O94,4),12,31),IF(EOMONTH(O94,1)&gt;PREMISSAS!$C$3,"",IF(MONTH(O94)=11,"13º "&amp;YEAR(O94),EOMONTH(O94,1)))),"")</f>
        <v>13º 2009</v>
      </c>
      <c r="P95" s="4">
        <f ca="1">Preencher_Salários!J97</f>
        <v>0</v>
      </c>
    </row>
    <row r="96" spans="15:16" x14ac:dyDescent="0.3">
      <c r="O96" s="21">
        <f ca="1">IFERROR(IF(LEFT(O95,2)="13",DATE(RIGHT(O95,4),12,31),IF(EOMONTH(O95,1)&gt;PREMISSAS!$C$3,"",IF(MONTH(O95)=11,"13º "&amp;YEAR(O95),EOMONTH(O95,1)))),"")</f>
        <v>40178</v>
      </c>
      <c r="P96" s="4">
        <f ca="1">Preencher_Salários!J98</f>
        <v>0</v>
      </c>
    </row>
    <row r="97" spans="15:16" x14ac:dyDescent="0.3">
      <c r="O97" s="21">
        <f ca="1">IFERROR(IF(LEFT(O96,2)="13",DATE(RIGHT(O96,4),12,31),IF(EOMONTH(O96,1)&gt;PREMISSAS!$C$3,"",IF(MONTH(O96)=11,"13º "&amp;YEAR(O96),EOMONTH(O96,1)))),"")</f>
        <v>40209</v>
      </c>
      <c r="P97" s="4">
        <f ca="1">Preencher_Salários!J99</f>
        <v>0</v>
      </c>
    </row>
    <row r="98" spans="15:16" x14ac:dyDescent="0.3">
      <c r="O98" s="21">
        <f ca="1">IFERROR(IF(LEFT(O97,2)="13",DATE(RIGHT(O97,4),12,31),IF(EOMONTH(O97,1)&gt;PREMISSAS!$C$3,"",IF(MONTH(O97)=11,"13º "&amp;YEAR(O97),EOMONTH(O97,1)))),"")</f>
        <v>40237</v>
      </c>
      <c r="P98" s="4">
        <f ca="1">Preencher_Salários!J100</f>
        <v>0</v>
      </c>
    </row>
    <row r="99" spans="15:16" x14ac:dyDescent="0.3">
      <c r="O99" s="21">
        <f ca="1">IFERROR(IF(LEFT(O98,2)="13",DATE(RIGHT(O98,4),12,31),IF(EOMONTH(O98,1)&gt;PREMISSAS!$C$3,"",IF(MONTH(O98)=11,"13º "&amp;YEAR(O98),EOMONTH(O98,1)))),"")</f>
        <v>40268</v>
      </c>
      <c r="P99" s="4">
        <f ca="1">Preencher_Salários!J101</f>
        <v>0</v>
      </c>
    </row>
    <row r="100" spans="15:16" x14ac:dyDescent="0.3">
      <c r="O100" s="21">
        <f ca="1">IFERROR(IF(LEFT(O99,2)="13",DATE(RIGHT(O99,4),12,31),IF(EOMONTH(O99,1)&gt;PREMISSAS!$C$3,"",IF(MONTH(O99)=11,"13º "&amp;YEAR(O99),EOMONTH(O99,1)))),"")</f>
        <v>40298</v>
      </c>
      <c r="P100" s="4">
        <f ca="1">Preencher_Salários!J102</f>
        <v>0</v>
      </c>
    </row>
    <row r="101" spans="15:16" x14ac:dyDescent="0.3">
      <c r="O101" s="21">
        <f ca="1">IFERROR(IF(LEFT(O100,2)="13",DATE(RIGHT(O100,4),12,31),IF(EOMONTH(O100,1)&gt;PREMISSAS!$C$3,"",IF(MONTH(O100)=11,"13º "&amp;YEAR(O100),EOMONTH(O100,1)))),"")</f>
        <v>40329</v>
      </c>
      <c r="P101" s="4">
        <f ca="1">Preencher_Salários!J103</f>
        <v>0</v>
      </c>
    </row>
    <row r="102" spans="15:16" x14ac:dyDescent="0.3">
      <c r="O102" s="21">
        <f ca="1">IFERROR(IF(LEFT(O101,2)="13",DATE(RIGHT(O101,4),12,31),IF(EOMONTH(O101,1)&gt;PREMISSAS!$C$3,"",IF(MONTH(O101)=11,"13º "&amp;YEAR(O101),EOMONTH(O101,1)))),"")</f>
        <v>40359</v>
      </c>
      <c r="P102" s="4">
        <f ca="1">Preencher_Salários!J104</f>
        <v>0</v>
      </c>
    </row>
    <row r="103" spans="15:16" x14ac:dyDescent="0.3">
      <c r="O103" s="21">
        <f ca="1">IFERROR(IF(LEFT(O102,2)="13",DATE(RIGHT(O102,4),12,31),IF(EOMONTH(O102,1)&gt;PREMISSAS!$C$3,"",IF(MONTH(O102)=11,"13º "&amp;YEAR(O102),EOMONTH(O102,1)))),"")</f>
        <v>40390</v>
      </c>
      <c r="P103" s="4">
        <f ca="1">Preencher_Salários!J105</f>
        <v>0</v>
      </c>
    </row>
    <row r="104" spans="15:16" x14ac:dyDescent="0.3">
      <c r="O104" s="21">
        <f ca="1">IFERROR(IF(LEFT(O103,2)="13",DATE(RIGHT(O103,4),12,31),IF(EOMONTH(O103,1)&gt;PREMISSAS!$C$3,"",IF(MONTH(O103)=11,"13º "&amp;YEAR(O103),EOMONTH(O103,1)))),"")</f>
        <v>40421</v>
      </c>
      <c r="P104" s="4">
        <f ca="1">Preencher_Salários!J106</f>
        <v>0</v>
      </c>
    </row>
    <row r="105" spans="15:16" x14ac:dyDescent="0.3">
      <c r="O105" s="21">
        <f ca="1">IFERROR(IF(LEFT(O104,2)="13",DATE(RIGHT(O104,4),12,31),IF(EOMONTH(O104,1)&gt;PREMISSAS!$C$3,"",IF(MONTH(O104)=11,"13º "&amp;YEAR(O104),EOMONTH(O104,1)))),"")</f>
        <v>40451</v>
      </c>
      <c r="P105" s="4">
        <f ca="1">Preencher_Salários!J107</f>
        <v>0</v>
      </c>
    </row>
    <row r="106" spans="15:16" x14ac:dyDescent="0.3">
      <c r="O106" s="21">
        <f ca="1">IFERROR(IF(LEFT(O105,2)="13",DATE(RIGHT(O105,4),12,31),IF(EOMONTH(O105,1)&gt;PREMISSAS!$C$3,"",IF(MONTH(O105)=11,"13º "&amp;YEAR(O105),EOMONTH(O105,1)))),"")</f>
        <v>40482</v>
      </c>
      <c r="P106" s="4">
        <f ca="1">Preencher_Salários!J108</f>
        <v>0</v>
      </c>
    </row>
    <row r="107" spans="15:16" x14ac:dyDescent="0.3">
      <c r="O107" s="21">
        <f ca="1">IFERROR(IF(LEFT(O106,2)="13",DATE(RIGHT(O106,4),12,31),IF(EOMONTH(O106,1)&gt;PREMISSAS!$C$3,"",IF(MONTH(O106)=11,"13º "&amp;YEAR(O106),EOMONTH(O106,1)))),"")</f>
        <v>40512</v>
      </c>
      <c r="P107" s="4">
        <f ca="1">Preencher_Salários!J109</f>
        <v>0</v>
      </c>
    </row>
    <row r="108" spans="15:16" x14ac:dyDescent="0.3">
      <c r="O108" s="21" t="str">
        <f ca="1">IFERROR(IF(LEFT(O107,2)="13",DATE(RIGHT(O107,4),12,31),IF(EOMONTH(O107,1)&gt;PREMISSAS!$C$3,"",IF(MONTH(O107)=11,"13º "&amp;YEAR(O107),EOMONTH(O107,1)))),"")</f>
        <v>13º 2010</v>
      </c>
      <c r="P108" s="4">
        <f ca="1">Preencher_Salários!J110</f>
        <v>0</v>
      </c>
    </row>
    <row r="109" spans="15:16" x14ac:dyDescent="0.3">
      <c r="O109" s="21">
        <f ca="1">IFERROR(IF(LEFT(O108,2)="13",DATE(RIGHT(O108,4),12,31),IF(EOMONTH(O108,1)&gt;PREMISSAS!$C$3,"",IF(MONTH(O108)=11,"13º "&amp;YEAR(O108),EOMONTH(O108,1)))),"")</f>
        <v>40543</v>
      </c>
      <c r="P109" s="4">
        <f ca="1">Preencher_Salários!J111</f>
        <v>0</v>
      </c>
    </row>
    <row r="110" spans="15:16" x14ac:dyDescent="0.3">
      <c r="O110" s="21">
        <f ca="1">IFERROR(IF(LEFT(O109,2)="13",DATE(RIGHT(O109,4),12,31),IF(EOMONTH(O109,1)&gt;PREMISSAS!$C$3,"",IF(MONTH(O109)=11,"13º "&amp;YEAR(O109),EOMONTH(O109,1)))),"")</f>
        <v>40574</v>
      </c>
      <c r="P110" s="4">
        <f ca="1">Preencher_Salários!J112</f>
        <v>0</v>
      </c>
    </row>
    <row r="111" spans="15:16" x14ac:dyDescent="0.3">
      <c r="O111" s="21">
        <f ca="1">IFERROR(IF(LEFT(O110,2)="13",DATE(RIGHT(O110,4),12,31),IF(EOMONTH(O110,1)&gt;PREMISSAS!$C$3,"",IF(MONTH(O110)=11,"13º "&amp;YEAR(O110),EOMONTH(O110,1)))),"")</f>
        <v>40602</v>
      </c>
      <c r="P111" s="4">
        <f ca="1">Preencher_Salários!J113</f>
        <v>0</v>
      </c>
    </row>
    <row r="112" spans="15:16" x14ac:dyDescent="0.3">
      <c r="O112" s="21">
        <f ca="1">IFERROR(IF(LEFT(O111,2)="13",DATE(RIGHT(O111,4),12,31),IF(EOMONTH(O111,1)&gt;PREMISSAS!$C$3,"",IF(MONTH(O111)=11,"13º "&amp;YEAR(O111),EOMONTH(O111,1)))),"")</f>
        <v>40633</v>
      </c>
      <c r="P112" s="4">
        <f ca="1">Preencher_Salários!J114</f>
        <v>0</v>
      </c>
    </row>
    <row r="113" spans="15:16" x14ac:dyDescent="0.3">
      <c r="O113" s="21">
        <f ca="1">IFERROR(IF(LEFT(O112,2)="13",DATE(RIGHT(O112,4),12,31),IF(EOMONTH(O112,1)&gt;PREMISSAS!$C$3,"",IF(MONTH(O112)=11,"13º "&amp;YEAR(O112),EOMONTH(O112,1)))),"")</f>
        <v>40663</v>
      </c>
      <c r="P113" s="4">
        <f ca="1">Preencher_Salários!J115</f>
        <v>0</v>
      </c>
    </row>
    <row r="114" spans="15:16" x14ac:dyDescent="0.3">
      <c r="O114" s="21">
        <f ca="1">IFERROR(IF(LEFT(O113,2)="13",DATE(RIGHT(O113,4),12,31),IF(EOMONTH(O113,1)&gt;PREMISSAS!$C$3,"",IF(MONTH(O113)=11,"13º "&amp;YEAR(O113),EOMONTH(O113,1)))),"")</f>
        <v>40694</v>
      </c>
      <c r="P114" s="4">
        <f ca="1">Preencher_Salários!J116</f>
        <v>0</v>
      </c>
    </row>
    <row r="115" spans="15:16" x14ac:dyDescent="0.3">
      <c r="O115" s="21">
        <f ca="1">IFERROR(IF(LEFT(O114,2)="13",DATE(RIGHT(O114,4),12,31),IF(EOMONTH(O114,1)&gt;PREMISSAS!$C$3,"",IF(MONTH(O114)=11,"13º "&amp;YEAR(O114),EOMONTH(O114,1)))),"")</f>
        <v>40724</v>
      </c>
      <c r="P115" s="4">
        <f ca="1">Preencher_Salários!J117</f>
        <v>0</v>
      </c>
    </row>
    <row r="116" spans="15:16" x14ac:dyDescent="0.3">
      <c r="O116" s="21">
        <f ca="1">IFERROR(IF(LEFT(O115,2)="13",DATE(RIGHT(O115,4),12,31),IF(EOMONTH(O115,1)&gt;PREMISSAS!$C$3,"",IF(MONTH(O115)=11,"13º "&amp;YEAR(O115),EOMONTH(O115,1)))),"")</f>
        <v>40755</v>
      </c>
      <c r="P116" s="4">
        <f ca="1">Preencher_Salários!J118</f>
        <v>0</v>
      </c>
    </row>
    <row r="117" spans="15:16" x14ac:dyDescent="0.3">
      <c r="O117" s="21">
        <f ca="1">IFERROR(IF(LEFT(O116,2)="13",DATE(RIGHT(O116,4),12,31),IF(EOMONTH(O116,1)&gt;PREMISSAS!$C$3,"",IF(MONTH(O116)=11,"13º "&amp;YEAR(O116),EOMONTH(O116,1)))),"")</f>
        <v>40786</v>
      </c>
      <c r="P117" s="4">
        <f ca="1">Preencher_Salários!J119</f>
        <v>0</v>
      </c>
    </row>
    <row r="118" spans="15:16" x14ac:dyDescent="0.3">
      <c r="O118" s="21">
        <f ca="1">IFERROR(IF(LEFT(O117,2)="13",DATE(RIGHT(O117,4),12,31),IF(EOMONTH(O117,1)&gt;PREMISSAS!$C$3,"",IF(MONTH(O117)=11,"13º "&amp;YEAR(O117),EOMONTH(O117,1)))),"")</f>
        <v>40816</v>
      </c>
      <c r="P118" s="4">
        <f ca="1">Preencher_Salários!J120</f>
        <v>0</v>
      </c>
    </row>
    <row r="119" spans="15:16" x14ac:dyDescent="0.3">
      <c r="O119" s="21">
        <f ca="1">IFERROR(IF(LEFT(O118,2)="13",DATE(RIGHT(O118,4),12,31),IF(EOMONTH(O118,1)&gt;PREMISSAS!$C$3,"",IF(MONTH(O118)=11,"13º "&amp;YEAR(O118),EOMONTH(O118,1)))),"")</f>
        <v>40847</v>
      </c>
      <c r="P119" s="4">
        <f ca="1">Preencher_Salários!J121</f>
        <v>0</v>
      </c>
    </row>
    <row r="120" spans="15:16" x14ac:dyDescent="0.3">
      <c r="O120" s="21">
        <f ca="1">IFERROR(IF(LEFT(O119,2)="13",DATE(RIGHT(O119,4),12,31),IF(EOMONTH(O119,1)&gt;PREMISSAS!$C$3,"",IF(MONTH(O119)=11,"13º "&amp;YEAR(O119),EOMONTH(O119,1)))),"")</f>
        <v>40877</v>
      </c>
      <c r="P120" s="4">
        <f ca="1">Preencher_Salários!J122</f>
        <v>0</v>
      </c>
    </row>
    <row r="121" spans="15:16" x14ac:dyDescent="0.3">
      <c r="O121" s="21" t="str">
        <f ca="1">IFERROR(IF(LEFT(O120,2)="13",DATE(RIGHT(O120,4),12,31),IF(EOMONTH(O120,1)&gt;PREMISSAS!$C$3,"",IF(MONTH(O120)=11,"13º "&amp;YEAR(O120),EOMONTH(O120,1)))),"")</f>
        <v>13º 2011</v>
      </c>
      <c r="P121" s="4">
        <f ca="1">Preencher_Salários!J123</f>
        <v>0</v>
      </c>
    </row>
    <row r="122" spans="15:16" x14ac:dyDescent="0.3">
      <c r="O122" s="21">
        <f ca="1">IFERROR(IF(LEFT(O121,2)="13",DATE(RIGHT(O121,4),12,31),IF(EOMONTH(O121,1)&gt;PREMISSAS!$C$3,"",IF(MONTH(O121)=11,"13º "&amp;YEAR(O121),EOMONTH(O121,1)))),"")</f>
        <v>40908</v>
      </c>
      <c r="P122" s="4">
        <f ca="1">Preencher_Salários!J124</f>
        <v>0</v>
      </c>
    </row>
    <row r="123" spans="15:16" x14ac:dyDescent="0.3">
      <c r="O123" s="21">
        <f ca="1">IFERROR(IF(LEFT(O122,2)="13",DATE(RIGHT(O122,4),12,31),IF(EOMONTH(O122,1)&gt;PREMISSAS!$C$3,"",IF(MONTH(O122)=11,"13º "&amp;YEAR(O122),EOMONTH(O122,1)))),"")</f>
        <v>40939</v>
      </c>
      <c r="P123" s="4">
        <f ca="1">Preencher_Salários!J125</f>
        <v>0</v>
      </c>
    </row>
    <row r="124" spans="15:16" x14ac:dyDescent="0.3">
      <c r="O124" s="21">
        <f ca="1">IFERROR(IF(LEFT(O123,2)="13",DATE(RIGHT(O123,4),12,31),IF(EOMONTH(O123,1)&gt;PREMISSAS!$C$3,"",IF(MONTH(O123)=11,"13º "&amp;YEAR(O123),EOMONTH(O123,1)))),"")</f>
        <v>40968</v>
      </c>
      <c r="P124" s="4">
        <f ca="1">Preencher_Salários!J126</f>
        <v>0</v>
      </c>
    </row>
    <row r="125" spans="15:16" x14ac:dyDescent="0.3">
      <c r="O125" s="21">
        <f ca="1">IFERROR(IF(LEFT(O124,2)="13",DATE(RIGHT(O124,4),12,31),IF(EOMONTH(O124,1)&gt;PREMISSAS!$C$3,"",IF(MONTH(O124)=11,"13º "&amp;YEAR(O124),EOMONTH(O124,1)))),"")</f>
        <v>40999</v>
      </c>
      <c r="P125" s="4">
        <f ca="1">Preencher_Salários!J127</f>
        <v>0</v>
      </c>
    </row>
    <row r="126" spans="15:16" x14ac:dyDescent="0.3">
      <c r="O126" s="21">
        <f ca="1">IFERROR(IF(LEFT(O125,2)="13",DATE(RIGHT(O125,4),12,31),IF(EOMONTH(O125,1)&gt;PREMISSAS!$C$3,"",IF(MONTH(O125)=11,"13º "&amp;YEAR(O125),EOMONTH(O125,1)))),"")</f>
        <v>41029</v>
      </c>
      <c r="P126" s="4">
        <f ca="1">Preencher_Salários!J128</f>
        <v>0</v>
      </c>
    </row>
    <row r="127" spans="15:16" x14ac:dyDescent="0.3">
      <c r="O127" s="21">
        <f ca="1">IFERROR(IF(LEFT(O126,2)="13",DATE(RIGHT(O126,4),12,31),IF(EOMONTH(O126,1)&gt;PREMISSAS!$C$3,"",IF(MONTH(O126)=11,"13º "&amp;YEAR(O126),EOMONTH(O126,1)))),"")</f>
        <v>41060</v>
      </c>
      <c r="P127" s="4">
        <f ca="1">Preencher_Salários!J129</f>
        <v>0</v>
      </c>
    </row>
    <row r="128" spans="15:16" x14ac:dyDescent="0.3">
      <c r="O128" s="21">
        <f ca="1">IFERROR(IF(LEFT(O127,2)="13",DATE(RIGHT(O127,4),12,31),IF(EOMONTH(O127,1)&gt;PREMISSAS!$C$3,"",IF(MONTH(O127)=11,"13º "&amp;YEAR(O127),EOMONTH(O127,1)))),"")</f>
        <v>41090</v>
      </c>
      <c r="P128" s="4">
        <f ca="1">Preencher_Salários!J130</f>
        <v>0</v>
      </c>
    </row>
    <row r="129" spans="15:16" x14ac:dyDescent="0.3">
      <c r="O129" s="21">
        <f ca="1">IFERROR(IF(LEFT(O128,2)="13",DATE(RIGHT(O128,4),12,31),IF(EOMONTH(O128,1)&gt;PREMISSAS!$C$3,"",IF(MONTH(O128)=11,"13º "&amp;YEAR(O128),EOMONTH(O128,1)))),"")</f>
        <v>41121</v>
      </c>
      <c r="P129" s="4">
        <f ca="1">Preencher_Salários!J131</f>
        <v>0</v>
      </c>
    </row>
    <row r="130" spans="15:16" x14ac:dyDescent="0.3">
      <c r="O130" s="21">
        <f ca="1">IFERROR(IF(LEFT(O129,2)="13",DATE(RIGHT(O129,4),12,31),IF(EOMONTH(O129,1)&gt;PREMISSAS!$C$3,"",IF(MONTH(O129)=11,"13º "&amp;YEAR(O129),EOMONTH(O129,1)))),"")</f>
        <v>41152</v>
      </c>
      <c r="P130" s="4">
        <f ca="1">Preencher_Salários!J132</f>
        <v>0</v>
      </c>
    </row>
    <row r="131" spans="15:16" x14ac:dyDescent="0.3">
      <c r="O131" s="21">
        <f ca="1">IFERROR(IF(LEFT(O130,2)="13",DATE(RIGHT(O130,4),12,31),IF(EOMONTH(O130,1)&gt;PREMISSAS!$C$3,"",IF(MONTH(O130)=11,"13º "&amp;YEAR(O130),EOMONTH(O130,1)))),"")</f>
        <v>41182</v>
      </c>
      <c r="P131" s="4">
        <f ca="1">Preencher_Salários!J133</f>
        <v>0</v>
      </c>
    </row>
    <row r="132" spans="15:16" x14ac:dyDescent="0.3">
      <c r="O132" s="21">
        <f ca="1">IFERROR(IF(LEFT(O131,2)="13",DATE(RIGHT(O131,4),12,31),IF(EOMONTH(O131,1)&gt;PREMISSAS!$C$3,"",IF(MONTH(O131)=11,"13º "&amp;YEAR(O131),EOMONTH(O131,1)))),"")</f>
        <v>41213</v>
      </c>
      <c r="P132" s="4">
        <f ca="1">Preencher_Salários!J134</f>
        <v>0</v>
      </c>
    </row>
    <row r="133" spans="15:16" x14ac:dyDescent="0.3">
      <c r="O133" s="21">
        <f ca="1">IFERROR(IF(LEFT(O132,2)="13",DATE(RIGHT(O132,4),12,31),IF(EOMONTH(O132,1)&gt;PREMISSAS!$C$3,"",IF(MONTH(O132)=11,"13º "&amp;YEAR(O132),EOMONTH(O132,1)))),"")</f>
        <v>41243</v>
      </c>
      <c r="P133" s="4">
        <f ca="1">Preencher_Salários!J135</f>
        <v>0</v>
      </c>
    </row>
    <row r="134" spans="15:16" x14ac:dyDescent="0.3">
      <c r="O134" s="21" t="str">
        <f ca="1">IFERROR(IF(LEFT(O133,2)="13",DATE(RIGHT(O133,4),12,31),IF(EOMONTH(O133,1)&gt;PREMISSAS!$C$3,"",IF(MONTH(O133)=11,"13º "&amp;YEAR(O133),EOMONTH(O133,1)))),"")</f>
        <v>13º 2012</v>
      </c>
      <c r="P134" s="4">
        <f ca="1">Preencher_Salários!J136</f>
        <v>0</v>
      </c>
    </row>
    <row r="135" spans="15:16" x14ac:dyDescent="0.3">
      <c r="O135" s="21">
        <f ca="1">IFERROR(IF(LEFT(O134,2)="13",DATE(RIGHT(O134,4),12,31),IF(EOMONTH(O134,1)&gt;PREMISSAS!$C$3,"",IF(MONTH(O134)=11,"13º "&amp;YEAR(O134),EOMONTH(O134,1)))),"")</f>
        <v>41274</v>
      </c>
      <c r="P135" s="4">
        <f ca="1">Preencher_Salários!J137</f>
        <v>0</v>
      </c>
    </row>
    <row r="136" spans="15:16" x14ac:dyDescent="0.3">
      <c r="O136" s="21">
        <f ca="1">IFERROR(IF(LEFT(O135,2)="13",DATE(RIGHT(O135,4),12,31),IF(EOMONTH(O135,1)&gt;PREMISSAS!$C$3,"",IF(MONTH(O135)=11,"13º "&amp;YEAR(O135),EOMONTH(O135,1)))),"")</f>
        <v>41305</v>
      </c>
      <c r="P136" s="4">
        <f ca="1">Preencher_Salários!J138</f>
        <v>0</v>
      </c>
    </row>
    <row r="137" spans="15:16" x14ac:dyDescent="0.3">
      <c r="O137" s="21">
        <f ca="1">IFERROR(IF(LEFT(O136,2)="13",DATE(RIGHT(O136,4),12,31),IF(EOMONTH(O136,1)&gt;PREMISSAS!$C$3,"",IF(MONTH(O136)=11,"13º "&amp;YEAR(O136),EOMONTH(O136,1)))),"")</f>
        <v>41333</v>
      </c>
      <c r="P137" s="4">
        <f ca="1">Preencher_Salários!J139</f>
        <v>0</v>
      </c>
    </row>
    <row r="138" spans="15:16" x14ac:dyDescent="0.3">
      <c r="O138" s="21">
        <f ca="1">IFERROR(IF(LEFT(O137,2)="13",DATE(RIGHT(O137,4),12,31),IF(EOMONTH(O137,1)&gt;PREMISSAS!$C$3,"",IF(MONTH(O137)=11,"13º "&amp;YEAR(O137),EOMONTH(O137,1)))),"")</f>
        <v>41364</v>
      </c>
      <c r="P138" s="4">
        <f ca="1">Preencher_Salários!J140</f>
        <v>0</v>
      </c>
    </row>
    <row r="139" spans="15:16" x14ac:dyDescent="0.3">
      <c r="O139" s="21">
        <f ca="1">IFERROR(IF(LEFT(O138,2)="13",DATE(RIGHT(O138,4),12,31),IF(EOMONTH(O138,1)&gt;PREMISSAS!$C$3,"",IF(MONTH(O138)=11,"13º "&amp;YEAR(O138),EOMONTH(O138,1)))),"")</f>
        <v>41394</v>
      </c>
      <c r="P139" s="4">
        <f ca="1">Preencher_Salários!J141</f>
        <v>0</v>
      </c>
    </row>
    <row r="140" spans="15:16" x14ac:dyDescent="0.3">
      <c r="O140" s="21">
        <f ca="1">IFERROR(IF(LEFT(O139,2)="13",DATE(RIGHT(O139,4),12,31),IF(EOMONTH(O139,1)&gt;PREMISSAS!$C$3,"",IF(MONTH(O139)=11,"13º "&amp;YEAR(O139),EOMONTH(O139,1)))),"")</f>
        <v>41425</v>
      </c>
      <c r="P140" s="4">
        <f ca="1">Preencher_Salários!J142</f>
        <v>0</v>
      </c>
    </row>
    <row r="141" spans="15:16" x14ac:dyDescent="0.3">
      <c r="O141" s="21">
        <f ca="1">IFERROR(IF(LEFT(O140,2)="13",DATE(RIGHT(O140,4),12,31),IF(EOMONTH(O140,1)&gt;PREMISSAS!$C$3,"",IF(MONTH(O140)=11,"13º "&amp;YEAR(O140),EOMONTH(O140,1)))),"")</f>
        <v>41455</v>
      </c>
      <c r="P141" s="4">
        <f ca="1">Preencher_Salários!J143</f>
        <v>0</v>
      </c>
    </row>
    <row r="142" spans="15:16" x14ac:dyDescent="0.3">
      <c r="O142" s="21">
        <f ca="1">IFERROR(IF(LEFT(O141,2)="13",DATE(RIGHT(O141,4),12,31),IF(EOMONTH(O141,1)&gt;PREMISSAS!$C$3,"",IF(MONTH(O141)=11,"13º "&amp;YEAR(O141),EOMONTH(O141,1)))),"")</f>
        <v>41486</v>
      </c>
      <c r="P142" s="4">
        <f ca="1">Preencher_Salários!J144</f>
        <v>0</v>
      </c>
    </row>
    <row r="143" spans="15:16" x14ac:dyDescent="0.3">
      <c r="O143" s="21">
        <f ca="1">IFERROR(IF(LEFT(O142,2)="13",DATE(RIGHT(O142,4),12,31),IF(EOMONTH(O142,1)&gt;PREMISSAS!$C$3,"",IF(MONTH(O142)=11,"13º "&amp;YEAR(O142),EOMONTH(O142,1)))),"")</f>
        <v>41517</v>
      </c>
      <c r="P143" s="4">
        <f ca="1">Preencher_Salários!J145</f>
        <v>0</v>
      </c>
    </row>
    <row r="144" spans="15:16" x14ac:dyDescent="0.3">
      <c r="O144" s="21">
        <f ca="1">IFERROR(IF(LEFT(O143,2)="13",DATE(RIGHT(O143,4),12,31),IF(EOMONTH(O143,1)&gt;PREMISSAS!$C$3,"",IF(MONTH(O143)=11,"13º "&amp;YEAR(O143),EOMONTH(O143,1)))),"")</f>
        <v>41547</v>
      </c>
      <c r="P144" s="4">
        <f ca="1">Preencher_Salários!J146</f>
        <v>0</v>
      </c>
    </row>
    <row r="145" spans="15:16" x14ac:dyDescent="0.3">
      <c r="O145" s="21">
        <f ca="1">IFERROR(IF(LEFT(O144,2)="13",DATE(RIGHT(O144,4),12,31),IF(EOMONTH(O144,1)&gt;PREMISSAS!$C$3,"",IF(MONTH(O144)=11,"13º "&amp;YEAR(O144),EOMONTH(O144,1)))),"")</f>
        <v>41578</v>
      </c>
      <c r="P145" s="4">
        <f ca="1">Preencher_Salários!J147</f>
        <v>0</v>
      </c>
    </row>
    <row r="146" spans="15:16" x14ac:dyDescent="0.3">
      <c r="O146" s="21">
        <f ca="1">IFERROR(IF(LEFT(O145,2)="13",DATE(RIGHT(O145,4),12,31),IF(EOMONTH(O145,1)&gt;PREMISSAS!$C$3,"",IF(MONTH(O145)=11,"13º "&amp;YEAR(O145),EOMONTH(O145,1)))),"")</f>
        <v>41608</v>
      </c>
      <c r="P146" s="4">
        <f ca="1">Preencher_Salários!J148</f>
        <v>0</v>
      </c>
    </row>
    <row r="147" spans="15:16" x14ac:dyDescent="0.3">
      <c r="O147" s="21" t="str">
        <f ca="1">IFERROR(IF(LEFT(O146,2)="13",DATE(RIGHT(O146,4),12,31),IF(EOMONTH(O146,1)&gt;PREMISSAS!$C$3,"",IF(MONTH(O146)=11,"13º "&amp;YEAR(O146),EOMONTH(O146,1)))),"")</f>
        <v>13º 2013</v>
      </c>
      <c r="P147" s="4">
        <f ca="1">Preencher_Salários!J149</f>
        <v>0</v>
      </c>
    </row>
    <row r="148" spans="15:16" x14ac:dyDescent="0.3">
      <c r="O148" s="21">
        <f ca="1">IFERROR(IF(LEFT(O147,2)="13",DATE(RIGHT(O147,4),12,31),IF(EOMONTH(O147,1)&gt;PREMISSAS!$C$3,"",IF(MONTH(O147)=11,"13º "&amp;YEAR(O147),EOMONTH(O147,1)))),"")</f>
        <v>41639</v>
      </c>
      <c r="P148" s="4">
        <f ca="1">Preencher_Salários!J150</f>
        <v>0</v>
      </c>
    </row>
    <row r="149" spans="15:16" x14ac:dyDescent="0.3">
      <c r="O149" s="21">
        <f ca="1">IFERROR(IF(LEFT(O148,2)="13",DATE(RIGHT(O148,4),12,31),IF(EOMONTH(O148,1)&gt;PREMISSAS!$C$3,"",IF(MONTH(O148)=11,"13º "&amp;YEAR(O148),EOMONTH(O148,1)))),"")</f>
        <v>41670</v>
      </c>
      <c r="P149" s="4">
        <f ca="1">Preencher_Salários!J151</f>
        <v>0</v>
      </c>
    </row>
    <row r="150" spans="15:16" x14ac:dyDescent="0.3">
      <c r="O150" s="21">
        <f ca="1">IFERROR(IF(LEFT(O149,2)="13",DATE(RIGHT(O149,4),12,31),IF(EOMONTH(O149,1)&gt;PREMISSAS!$C$3,"",IF(MONTH(O149)=11,"13º "&amp;YEAR(O149),EOMONTH(O149,1)))),"")</f>
        <v>41698</v>
      </c>
      <c r="P150" s="4">
        <f ca="1">Preencher_Salários!J152</f>
        <v>0</v>
      </c>
    </row>
    <row r="151" spans="15:16" x14ac:dyDescent="0.3">
      <c r="O151" s="21">
        <f ca="1">IFERROR(IF(LEFT(O150,2)="13",DATE(RIGHT(O150,4),12,31),IF(EOMONTH(O150,1)&gt;PREMISSAS!$C$3,"",IF(MONTH(O150)=11,"13º "&amp;YEAR(O150),EOMONTH(O150,1)))),"")</f>
        <v>41729</v>
      </c>
      <c r="P151" s="4">
        <f ca="1">Preencher_Salários!J153</f>
        <v>0</v>
      </c>
    </row>
    <row r="152" spans="15:16" x14ac:dyDescent="0.3">
      <c r="O152" s="21">
        <f ca="1">IFERROR(IF(LEFT(O151,2)="13",DATE(RIGHT(O151,4),12,31),IF(EOMONTH(O151,1)&gt;PREMISSAS!$C$3,"",IF(MONTH(O151)=11,"13º "&amp;YEAR(O151),EOMONTH(O151,1)))),"")</f>
        <v>41759</v>
      </c>
      <c r="P152" s="4">
        <f ca="1">Preencher_Salários!J154</f>
        <v>0</v>
      </c>
    </row>
    <row r="153" spans="15:16" x14ac:dyDescent="0.3">
      <c r="O153" s="21">
        <f ca="1">IFERROR(IF(LEFT(O152,2)="13",DATE(RIGHT(O152,4),12,31),IF(EOMONTH(O152,1)&gt;PREMISSAS!$C$3,"",IF(MONTH(O152)=11,"13º "&amp;YEAR(O152),EOMONTH(O152,1)))),"")</f>
        <v>41790</v>
      </c>
      <c r="P153" s="4">
        <f ca="1">Preencher_Salários!J155</f>
        <v>0</v>
      </c>
    </row>
    <row r="154" spans="15:16" x14ac:dyDescent="0.3">
      <c r="O154" s="21">
        <f ca="1">IFERROR(IF(LEFT(O153,2)="13",DATE(RIGHT(O153,4),12,31),IF(EOMONTH(O153,1)&gt;PREMISSAS!$C$3,"",IF(MONTH(O153)=11,"13º "&amp;YEAR(O153),EOMONTH(O153,1)))),"")</f>
        <v>41820</v>
      </c>
      <c r="P154" s="4">
        <f ca="1">Preencher_Salários!J156</f>
        <v>0</v>
      </c>
    </row>
    <row r="155" spans="15:16" x14ac:dyDescent="0.3">
      <c r="O155" s="21">
        <f ca="1">IFERROR(IF(LEFT(O154,2)="13",DATE(RIGHT(O154,4),12,31),IF(EOMONTH(O154,1)&gt;PREMISSAS!$C$3,"",IF(MONTH(O154)=11,"13º "&amp;YEAR(O154),EOMONTH(O154,1)))),"")</f>
        <v>41851</v>
      </c>
      <c r="P155" s="4">
        <f ca="1">Preencher_Salários!J157</f>
        <v>0</v>
      </c>
    </row>
    <row r="156" spans="15:16" x14ac:dyDescent="0.3">
      <c r="O156" s="21">
        <f ca="1">IFERROR(IF(LEFT(O155,2)="13",DATE(RIGHT(O155,4),12,31),IF(EOMONTH(O155,1)&gt;PREMISSAS!$C$3,"",IF(MONTH(O155)=11,"13º "&amp;YEAR(O155),EOMONTH(O155,1)))),"")</f>
        <v>41882</v>
      </c>
      <c r="P156" s="4">
        <f ca="1">Preencher_Salários!J158</f>
        <v>0</v>
      </c>
    </row>
    <row r="157" spans="15:16" x14ac:dyDescent="0.3">
      <c r="O157" s="21">
        <f ca="1">IFERROR(IF(LEFT(O156,2)="13",DATE(RIGHT(O156,4),12,31),IF(EOMONTH(O156,1)&gt;PREMISSAS!$C$3,"",IF(MONTH(O156)=11,"13º "&amp;YEAR(O156),EOMONTH(O156,1)))),"")</f>
        <v>41912</v>
      </c>
      <c r="P157" s="4">
        <f ca="1">Preencher_Salários!J159</f>
        <v>0</v>
      </c>
    </row>
    <row r="158" spans="15:16" x14ac:dyDescent="0.3">
      <c r="O158" s="21">
        <f ca="1">IFERROR(IF(LEFT(O157,2)="13",DATE(RIGHT(O157,4),12,31),IF(EOMONTH(O157,1)&gt;PREMISSAS!$C$3,"",IF(MONTH(O157)=11,"13º "&amp;YEAR(O157),EOMONTH(O157,1)))),"")</f>
        <v>41943</v>
      </c>
      <c r="P158" s="4">
        <f ca="1">Preencher_Salários!J160</f>
        <v>0</v>
      </c>
    </row>
    <row r="159" spans="15:16" x14ac:dyDescent="0.3">
      <c r="O159" s="21">
        <f ca="1">IFERROR(IF(LEFT(O158,2)="13",DATE(RIGHT(O158,4),12,31),IF(EOMONTH(O158,1)&gt;PREMISSAS!$C$3,"",IF(MONTH(O158)=11,"13º "&amp;YEAR(O158),EOMONTH(O158,1)))),"")</f>
        <v>41973</v>
      </c>
      <c r="P159" s="4">
        <f ca="1">Preencher_Salários!J161</f>
        <v>0</v>
      </c>
    </row>
    <row r="160" spans="15:16" x14ac:dyDescent="0.3">
      <c r="O160" s="21" t="str">
        <f ca="1">IFERROR(IF(LEFT(O159,2)="13",DATE(RIGHT(O159,4),12,31),IF(EOMONTH(O159,1)&gt;PREMISSAS!$C$3,"",IF(MONTH(O159)=11,"13º "&amp;YEAR(O159),EOMONTH(O159,1)))),"")</f>
        <v>13º 2014</v>
      </c>
      <c r="P160" s="4">
        <f ca="1">Preencher_Salários!J162</f>
        <v>0</v>
      </c>
    </row>
    <row r="161" spans="15:16" x14ac:dyDescent="0.3">
      <c r="O161" s="21">
        <f ca="1">IFERROR(IF(LEFT(O160,2)="13",DATE(RIGHT(O160,4),12,31),IF(EOMONTH(O160,1)&gt;PREMISSAS!$C$3,"",IF(MONTH(O160)=11,"13º "&amp;YEAR(O160),EOMONTH(O160,1)))),"")</f>
        <v>42004</v>
      </c>
      <c r="P161" s="4">
        <f ca="1">Preencher_Salários!J163</f>
        <v>0</v>
      </c>
    </row>
    <row r="162" spans="15:16" x14ac:dyDescent="0.3">
      <c r="O162" s="21">
        <f ca="1">IFERROR(IF(LEFT(O161,2)="13",DATE(RIGHT(O161,4),12,31),IF(EOMONTH(O161,1)&gt;PREMISSAS!$C$3,"",IF(MONTH(O161)=11,"13º "&amp;YEAR(O161),EOMONTH(O161,1)))),"")</f>
        <v>42035</v>
      </c>
      <c r="P162" s="4">
        <f ca="1">Preencher_Salários!J164</f>
        <v>0</v>
      </c>
    </row>
    <row r="163" spans="15:16" x14ac:dyDescent="0.3">
      <c r="O163" s="21">
        <f ca="1">IFERROR(IF(LEFT(O162,2)="13",DATE(RIGHT(O162,4),12,31),IF(EOMONTH(O162,1)&gt;PREMISSAS!$C$3,"",IF(MONTH(O162)=11,"13º "&amp;YEAR(O162),EOMONTH(O162,1)))),"")</f>
        <v>42063</v>
      </c>
      <c r="P163" s="4">
        <f ca="1">Preencher_Salários!J165</f>
        <v>0</v>
      </c>
    </row>
    <row r="164" spans="15:16" x14ac:dyDescent="0.3">
      <c r="O164" s="21">
        <f ca="1">IFERROR(IF(LEFT(O163,2)="13",DATE(RIGHT(O163,4),12,31),IF(EOMONTH(O163,1)&gt;PREMISSAS!$C$3,"",IF(MONTH(O163)=11,"13º "&amp;YEAR(O163),EOMONTH(O163,1)))),"")</f>
        <v>42094</v>
      </c>
      <c r="P164" s="4">
        <f ca="1">Preencher_Salários!J166</f>
        <v>0</v>
      </c>
    </row>
    <row r="165" spans="15:16" x14ac:dyDescent="0.3">
      <c r="O165" s="21">
        <f ca="1">IFERROR(IF(LEFT(O164,2)="13",DATE(RIGHT(O164,4),12,31),IF(EOMONTH(O164,1)&gt;PREMISSAS!$C$3,"",IF(MONTH(O164)=11,"13º "&amp;YEAR(O164),EOMONTH(O164,1)))),"")</f>
        <v>42124</v>
      </c>
      <c r="P165" s="4">
        <f ca="1">Preencher_Salários!J167</f>
        <v>0</v>
      </c>
    </row>
    <row r="166" spans="15:16" x14ac:dyDescent="0.3">
      <c r="O166" s="21">
        <f ca="1">IFERROR(IF(LEFT(O165,2)="13",DATE(RIGHT(O165,4),12,31),IF(EOMONTH(O165,1)&gt;PREMISSAS!$C$3,"",IF(MONTH(O165)=11,"13º "&amp;YEAR(O165),EOMONTH(O165,1)))),"")</f>
        <v>42155</v>
      </c>
      <c r="P166" s="4">
        <f ca="1">Preencher_Salários!J168</f>
        <v>0</v>
      </c>
    </row>
    <row r="167" spans="15:16" x14ac:dyDescent="0.3">
      <c r="O167" s="21">
        <f ca="1">IFERROR(IF(LEFT(O166,2)="13",DATE(RIGHT(O166,4),12,31),IF(EOMONTH(O166,1)&gt;PREMISSAS!$C$3,"",IF(MONTH(O166)=11,"13º "&amp;YEAR(O166),EOMONTH(O166,1)))),"")</f>
        <v>42185</v>
      </c>
      <c r="P167" s="4">
        <f ca="1">Preencher_Salários!J169</f>
        <v>0</v>
      </c>
    </row>
    <row r="168" spans="15:16" x14ac:dyDescent="0.3">
      <c r="O168" s="21">
        <f ca="1">IFERROR(IF(LEFT(O167,2)="13",DATE(RIGHT(O167,4),12,31),IF(EOMONTH(O167,1)&gt;PREMISSAS!$C$3,"",IF(MONTH(O167)=11,"13º "&amp;YEAR(O167),EOMONTH(O167,1)))),"")</f>
        <v>42216</v>
      </c>
      <c r="P168" s="4">
        <f ca="1">Preencher_Salários!J170</f>
        <v>0</v>
      </c>
    </row>
    <row r="169" spans="15:16" x14ac:dyDescent="0.3">
      <c r="O169" s="21">
        <f ca="1">IFERROR(IF(LEFT(O168,2)="13",DATE(RIGHT(O168,4),12,31),IF(EOMONTH(O168,1)&gt;PREMISSAS!$C$3,"",IF(MONTH(O168)=11,"13º "&amp;YEAR(O168),EOMONTH(O168,1)))),"")</f>
        <v>42247</v>
      </c>
      <c r="P169" s="4">
        <f ca="1">Preencher_Salários!J171</f>
        <v>0</v>
      </c>
    </row>
    <row r="170" spans="15:16" x14ac:dyDescent="0.3">
      <c r="O170" s="21">
        <f ca="1">IFERROR(IF(LEFT(O169,2)="13",DATE(RIGHT(O169,4),12,31),IF(EOMONTH(O169,1)&gt;PREMISSAS!$C$3,"",IF(MONTH(O169)=11,"13º "&amp;YEAR(O169),EOMONTH(O169,1)))),"")</f>
        <v>42277</v>
      </c>
      <c r="P170" s="4">
        <f ca="1">Preencher_Salários!J172</f>
        <v>0</v>
      </c>
    </row>
    <row r="171" spans="15:16" x14ac:dyDescent="0.3">
      <c r="O171" s="21">
        <f ca="1">IFERROR(IF(LEFT(O170,2)="13",DATE(RIGHT(O170,4),12,31),IF(EOMONTH(O170,1)&gt;PREMISSAS!$C$3,"",IF(MONTH(O170)=11,"13º "&amp;YEAR(O170),EOMONTH(O170,1)))),"")</f>
        <v>42308</v>
      </c>
      <c r="P171" s="4">
        <f ca="1">Preencher_Salários!J173</f>
        <v>0</v>
      </c>
    </row>
    <row r="172" spans="15:16" x14ac:dyDescent="0.3">
      <c r="O172" s="21">
        <f ca="1">IFERROR(IF(LEFT(O171,2)="13",DATE(RIGHT(O171,4),12,31),IF(EOMONTH(O171,1)&gt;PREMISSAS!$C$3,"",IF(MONTH(O171)=11,"13º "&amp;YEAR(O171),EOMONTH(O171,1)))),"")</f>
        <v>42338</v>
      </c>
      <c r="P172" s="4">
        <f ca="1">Preencher_Salários!J174</f>
        <v>0</v>
      </c>
    </row>
    <row r="173" spans="15:16" x14ac:dyDescent="0.3">
      <c r="O173" s="21" t="str">
        <f ca="1">IFERROR(IF(LEFT(O172,2)="13",DATE(RIGHT(O172,4),12,31),IF(EOMONTH(O172,1)&gt;PREMISSAS!$C$3,"",IF(MONTH(O172)=11,"13º "&amp;YEAR(O172),EOMONTH(O172,1)))),"")</f>
        <v>13º 2015</v>
      </c>
      <c r="P173" s="4">
        <f ca="1">Preencher_Salários!J175</f>
        <v>0</v>
      </c>
    </row>
    <row r="174" spans="15:16" x14ac:dyDescent="0.3">
      <c r="O174" s="21">
        <f ca="1">IFERROR(IF(LEFT(O173,2)="13",DATE(RIGHT(O173,4),12,31),IF(EOMONTH(O173,1)&gt;PREMISSAS!$C$3,"",IF(MONTH(O173)=11,"13º "&amp;YEAR(O173),EOMONTH(O173,1)))),"")</f>
        <v>42369</v>
      </c>
      <c r="P174" s="4">
        <f ca="1">Preencher_Salários!J176</f>
        <v>0</v>
      </c>
    </row>
    <row r="175" spans="15:16" x14ac:dyDescent="0.3">
      <c r="O175" s="21">
        <f ca="1">IFERROR(IF(LEFT(O174,2)="13",DATE(RIGHT(O174,4),12,31),IF(EOMONTH(O174,1)&gt;PREMISSAS!$C$3,"",IF(MONTH(O174)=11,"13º "&amp;YEAR(O174),EOMONTH(O174,1)))),"")</f>
        <v>42400</v>
      </c>
      <c r="P175" s="4">
        <f ca="1">Preencher_Salários!J177</f>
        <v>0</v>
      </c>
    </row>
    <row r="176" spans="15:16" x14ac:dyDescent="0.3">
      <c r="O176" s="21">
        <f ca="1">IFERROR(IF(LEFT(O175,2)="13",DATE(RIGHT(O175,4),12,31),IF(EOMONTH(O175,1)&gt;PREMISSAS!$C$3,"",IF(MONTH(O175)=11,"13º "&amp;YEAR(O175),EOMONTH(O175,1)))),"")</f>
        <v>42429</v>
      </c>
      <c r="P176" s="4">
        <f ca="1">Preencher_Salários!J178</f>
        <v>0</v>
      </c>
    </row>
    <row r="177" spans="15:16" x14ac:dyDescent="0.3">
      <c r="O177" s="21">
        <f ca="1">IFERROR(IF(LEFT(O176,2)="13",DATE(RIGHT(O176,4),12,31),IF(EOMONTH(O176,1)&gt;PREMISSAS!$C$3,"",IF(MONTH(O176)=11,"13º "&amp;YEAR(O176),EOMONTH(O176,1)))),"")</f>
        <v>42460</v>
      </c>
      <c r="P177" s="4">
        <f ca="1">Preencher_Salários!J179</f>
        <v>0</v>
      </c>
    </row>
    <row r="178" spans="15:16" x14ac:dyDescent="0.3">
      <c r="O178" s="21">
        <f ca="1">IFERROR(IF(LEFT(O177,2)="13",DATE(RIGHT(O177,4),12,31),IF(EOMONTH(O177,1)&gt;PREMISSAS!$C$3,"",IF(MONTH(O177)=11,"13º "&amp;YEAR(O177),EOMONTH(O177,1)))),"")</f>
        <v>42490</v>
      </c>
      <c r="P178" s="4">
        <f ca="1">Preencher_Salários!J180</f>
        <v>0</v>
      </c>
    </row>
    <row r="179" spans="15:16" x14ac:dyDescent="0.3">
      <c r="O179" s="21">
        <f ca="1">IFERROR(IF(LEFT(O178,2)="13",DATE(RIGHT(O178,4),12,31),IF(EOMONTH(O178,1)&gt;PREMISSAS!$C$3,"",IF(MONTH(O178)=11,"13º "&amp;YEAR(O178),EOMONTH(O178,1)))),"")</f>
        <v>42521</v>
      </c>
      <c r="P179" s="4">
        <f ca="1">Preencher_Salários!J181</f>
        <v>0</v>
      </c>
    </row>
    <row r="180" spans="15:16" x14ac:dyDescent="0.3">
      <c r="O180" s="21">
        <f ca="1">IFERROR(IF(LEFT(O179,2)="13",DATE(RIGHT(O179,4),12,31),IF(EOMONTH(O179,1)&gt;PREMISSAS!$C$3,"",IF(MONTH(O179)=11,"13º "&amp;YEAR(O179),EOMONTH(O179,1)))),"")</f>
        <v>42551</v>
      </c>
      <c r="P180" s="4">
        <f ca="1">Preencher_Salários!J182</f>
        <v>0</v>
      </c>
    </row>
    <row r="181" spans="15:16" x14ac:dyDescent="0.3">
      <c r="O181" s="21">
        <f ca="1">IFERROR(IF(LEFT(O180,2)="13",DATE(RIGHT(O180,4),12,31),IF(EOMONTH(O180,1)&gt;PREMISSAS!$C$3,"",IF(MONTH(O180)=11,"13º "&amp;YEAR(O180),EOMONTH(O180,1)))),"")</f>
        <v>42582</v>
      </c>
      <c r="P181" s="4">
        <f ca="1">Preencher_Salários!J183</f>
        <v>0</v>
      </c>
    </row>
    <row r="182" spans="15:16" x14ac:dyDescent="0.3">
      <c r="O182" s="21">
        <f ca="1">IFERROR(IF(LEFT(O181,2)="13",DATE(RIGHT(O181,4),12,31),IF(EOMONTH(O181,1)&gt;PREMISSAS!$C$3,"",IF(MONTH(O181)=11,"13º "&amp;YEAR(O181),EOMONTH(O181,1)))),"")</f>
        <v>42613</v>
      </c>
      <c r="P182" s="4">
        <f ca="1">Preencher_Salários!J184</f>
        <v>0</v>
      </c>
    </row>
    <row r="183" spans="15:16" x14ac:dyDescent="0.3">
      <c r="O183" s="21">
        <f ca="1">IFERROR(IF(LEFT(O182,2)="13",DATE(RIGHT(O182,4),12,31),IF(EOMONTH(O182,1)&gt;PREMISSAS!$C$3,"",IF(MONTH(O182)=11,"13º "&amp;YEAR(O182),EOMONTH(O182,1)))),"")</f>
        <v>42643</v>
      </c>
      <c r="P183" s="4">
        <f ca="1">Preencher_Salários!J185</f>
        <v>0</v>
      </c>
    </row>
    <row r="184" spans="15:16" x14ac:dyDescent="0.3">
      <c r="O184" s="21">
        <f ca="1">IFERROR(IF(LEFT(O183,2)="13",DATE(RIGHT(O183,4),12,31),IF(EOMONTH(O183,1)&gt;PREMISSAS!$C$3,"",IF(MONTH(O183)=11,"13º "&amp;YEAR(O183),EOMONTH(O183,1)))),"")</f>
        <v>42674</v>
      </c>
      <c r="P184" s="4">
        <f ca="1">Preencher_Salários!J186</f>
        <v>0</v>
      </c>
    </row>
    <row r="185" spans="15:16" x14ac:dyDescent="0.3">
      <c r="O185" s="21">
        <f ca="1">IFERROR(IF(LEFT(O184,2)="13",DATE(RIGHT(O184,4),12,31),IF(EOMONTH(O184,1)&gt;PREMISSAS!$C$3,"",IF(MONTH(O184)=11,"13º "&amp;YEAR(O184),EOMONTH(O184,1)))),"")</f>
        <v>42704</v>
      </c>
      <c r="P185" s="4">
        <f ca="1">Preencher_Salários!J187</f>
        <v>0</v>
      </c>
    </row>
    <row r="186" spans="15:16" x14ac:dyDescent="0.3">
      <c r="O186" s="21" t="str">
        <f ca="1">IFERROR(IF(LEFT(O185,2)="13",DATE(RIGHT(O185,4),12,31),IF(EOMONTH(O185,1)&gt;PREMISSAS!$C$3,"",IF(MONTH(O185)=11,"13º "&amp;YEAR(O185),EOMONTH(O185,1)))),"")</f>
        <v>13º 2016</v>
      </c>
      <c r="P186" s="4">
        <f ca="1">Preencher_Salários!J188</f>
        <v>0</v>
      </c>
    </row>
    <row r="187" spans="15:16" x14ac:dyDescent="0.3">
      <c r="O187" s="21">
        <f ca="1">IFERROR(IF(LEFT(O186,2)="13",DATE(RIGHT(O186,4),12,31),IF(EOMONTH(O186,1)&gt;PREMISSAS!$C$3,"",IF(MONTH(O186)=11,"13º "&amp;YEAR(O186),EOMONTH(O186,1)))),"")</f>
        <v>42735</v>
      </c>
      <c r="P187" s="4">
        <f ca="1">Preencher_Salários!J189</f>
        <v>0</v>
      </c>
    </row>
    <row r="188" spans="15:16" x14ac:dyDescent="0.3">
      <c r="O188" s="21">
        <f ca="1">IFERROR(IF(LEFT(O187,2)="13",DATE(RIGHT(O187,4),12,31),IF(EOMONTH(O187,1)&gt;PREMISSAS!$C$3,"",IF(MONTH(O187)=11,"13º "&amp;YEAR(O187),EOMONTH(O187,1)))),"")</f>
        <v>42766</v>
      </c>
      <c r="P188" s="4">
        <f ca="1">Preencher_Salários!J190</f>
        <v>0</v>
      </c>
    </row>
    <row r="189" spans="15:16" x14ac:dyDescent="0.3">
      <c r="O189" s="21">
        <f ca="1">IFERROR(IF(LEFT(O188,2)="13",DATE(RIGHT(O188,4),12,31),IF(EOMONTH(O188,1)&gt;PREMISSAS!$C$3,"",IF(MONTH(O188)=11,"13º "&amp;YEAR(O188),EOMONTH(O188,1)))),"")</f>
        <v>42794</v>
      </c>
      <c r="P189" s="4">
        <f ca="1">Preencher_Salários!J191</f>
        <v>0</v>
      </c>
    </row>
    <row r="190" spans="15:16" x14ac:dyDescent="0.3">
      <c r="O190" s="21">
        <f ca="1">IFERROR(IF(LEFT(O189,2)="13",DATE(RIGHT(O189,4),12,31),IF(EOMONTH(O189,1)&gt;PREMISSAS!$C$3,"",IF(MONTH(O189)=11,"13º "&amp;YEAR(O189),EOMONTH(O189,1)))),"")</f>
        <v>42825</v>
      </c>
      <c r="P190" s="4">
        <f ca="1">Preencher_Salários!J192</f>
        <v>0</v>
      </c>
    </row>
    <row r="191" spans="15:16" x14ac:dyDescent="0.3">
      <c r="O191" s="21">
        <f ca="1">IFERROR(IF(LEFT(O190,2)="13",DATE(RIGHT(O190,4),12,31),IF(EOMONTH(O190,1)&gt;PREMISSAS!$C$3,"",IF(MONTH(O190)=11,"13º "&amp;YEAR(O190),EOMONTH(O190,1)))),"")</f>
        <v>42855</v>
      </c>
      <c r="P191" s="4">
        <f ca="1">Preencher_Salários!J193</f>
        <v>0</v>
      </c>
    </row>
    <row r="192" spans="15:16" x14ac:dyDescent="0.3">
      <c r="O192" s="21">
        <f ca="1">IFERROR(IF(LEFT(O191,2)="13",DATE(RIGHT(O191,4),12,31),IF(EOMONTH(O191,1)&gt;PREMISSAS!$C$3,"",IF(MONTH(O191)=11,"13º "&amp;YEAR(O191),EOMONTH(O191,1)))),"")</f>
        <v>42886</v>
      </c>
      <c r="P192" s="4">
        <f ca="1">Preencher_Salários!J194</f>
        <v>0</v>
      </c>
    </row>
    <row r="193" spans="15:16" x14ac:dyDescent="0.3">
      <c r="O193" s="21">
        <f ca="1">IFERROR(IF(LEFT(O192,2)="13",DATE(RIGHT(O192,4),12,31),IF(EOMONTH(O192,1)&gt;PREMISSAS!$C$3,"",IF(MONTH(O192)=11,"13º "&amp;YEAR(O192),EOMONTH(O192,1)))),"")</f>
        <v>42916</v>
      </c>
      <c r="P193" s="4">
        <f ca="1">Preencher_Salários!J195</f>
        <v>0</v>
      </c>
    </row>
    <row r="194" spans="15:16" x14ac:dyDescent="0.3">
      <c r="O194" s="21">
        <f ca="1">IFERROR(IF(LEFT(O193,2)="13",DATE(RIGHT(O193,4),12,31),IF(EOMONTH(O193,1)&gt;PREMISSAS!$C$3,"",IF(MONTH(O193)=11,"13º "&amp;YEAR(O193),EOMONTH(O193,1)))),"")</f>
        <v>42947</v>
      </c>
      <c r="P194" s="4">
        <f ca="1">Preencher_Salários!J196</f>
        <v>0</v>
      </c>
    </row>
    <row r="195" spans="15:16" x14ac:dyDescent="0.3">
      <c r="O195" s="21">
        <f ca="1">IFERROR(IF(LEFT(O194,2)="13",DATE(RIGHT(O194,4),12,31),IF(EOMONTH(O194,1)&gt;PREMISSAS!$C$3,"",IF(MONTH(O194)=11,"13º "&amp;YEAR(O194),EOMONTH(O194,1)))),"")</f>
        <v>42978</v>
      </c>
      <c r="P195" s="4">
        <f ca="1">Preencher_Salários!J197</f>
        <v>0</v>
      </c>
    </row>
    <row r="196" spans="15:16" x14ac:dyDescent="0.3">
      <c r="O196" s="21">
        <f ca="1">IFERROR(IF(LEFT(O195,2)="13",DATE(RIGHT(O195,4),12,31),IF(EOMONTH(O195,1)&gt;PREMISSAS!$C$3,"",IF(MONTH(O195)=11,"13º "&amp;YEAR(O195),EOMONTH(O195,1)))),"")</f>
        <v>43008</v>
      </c>
      <c r="P196" s="4">
        <f ca="1">Preencher_Salários!J198</f>
        <v>0</v>
      </c>
    </row>
    <row r="197" spans="15:16" x14ac:dyDescent="0.3">
      <c r="O197" s="21">
        <f ca="1">IFERROR(IF(LEFT(O196,2)="13",DATE(RIGHT(O196,4),12,31),IF(EOMONTH(O196,1)&gt;PREMISSAS!$C$3,"",IF(MONTH(O196)=11,"13º "&amp;YEAR(O196),EOMONTH(O196,1)))),"")</f>
        <v>43039</v>
      </c>
      <c r="P197" s="4">
        <f ca="1">Preencher_Salários!J199</f>
        <v>0</v>
      </c>
    </row>
    <row r="198" spans="15:16" x14ac:dyDescent="0.3">
      <c r="O198" s="21">
        <f ca="1">IFERROR(IF(LEFT(O197,2)="13",DATE(RIGHT(O197,4),12,31),IF(EOMONTH(O197,1)&gt;PREMISSAS!$C$3,"",IF(MONTH(O197)=11,"13º "&amp;YEAR(O197),EOMONTH(O197,1)))),"")</f>
        <v>43069</v>
      </c>
      <c r="P198" s="4">
        <f ca="1">Preencher_Salários!J200</f>
        <v>0</v>
      </c>
    </row>
    <row r="199" spans="15:16" x14ac:dyDescent="0.3">
      <c r="O199" s="21" t="str">
        <f ca="1">IFERROR(IF(LEFT(O198,2)="13",DATE(RIGHT(O198,4),12,31),IF(EOMONTH(O198,1)&gt;PREMISSAS!$C$3,"",IF(MONTH(O198)=11,"13º "&amp;YEAR(O198),EOMONTH(O198,1)))),"")</f>
        <v>13º 2017</v>
      </c>
      <c r="P199" s="4">
        <f ca="1">Preencher_Salários!J201</f>
        <v>0</v>
      </c>
    </row>
    <row r="200" spans="15:16" x14ac:dyDescent="0.3">
      <c r="O200" s="21">
        <f ca="1">IFERROR(IF(LEFT(O199,2)="13",DATE(RIGHT(O199,4),12,31),IF(EOMONTH(O199,1)&gt;PREMISSAS!$C$3,"",IF(MONTH(O199)=11,"13º "&amp;YEAR(O199),EOMONTH(O199,1)))),"")</f>
        <v>43100</v>
      </c>
      <c r="P200" s="4">
        <f ca="1">Preencher_Salários!J202</f>
        <v>0</v>
      </c>
    </row>
    <row r="201" spans="15:16" x14ac:dyDescent="0.3">
      <c r="O201" s="21">
        <f ca="1">IFERROR(IF(LEFT(O200,2)="13",DATE(RIGHT(O200,4),12,31),IF(EOMONTH(O200,1)&gt;PREMISSAS!$C$3,"",IF(MONTH(O200)=11,"13º "&amp;YEAR(O200),EOMONTH(O200,1)))),"")</f>
        <v>43131</v>
      </c>
      <c r="P201" s="4">
        <f ca="1">Preencher_Salários!J203</f>
        <v>0</v>
      </c>
    </row>
    <row r="202" spans="15:16" x14ac:dyDescent="0.3">
      <c r="O202" s="21">
        <f ca="1">IFERROR(IF(LEFT(O201,2)="13",DATE(RIGHT(O201,4),12,31),IF(EOMONTH(O201,1)&gt;PREMISSAS!$C$3,"",IF(MONTH(O201)=11,"13º "&amp;YEAR(O201),EOMONTH(O201,1)))),"")</f>
        <v>43159</v>
      </c>
      <c r="P202" s="4">
        <f ca="1">Preencher_Salários!J204</f>
        <v>0</v>
      </c>
    </row>
    <row r="203" spans="15:16" x14ac:dyDescent="0.3">
      <c r="O203" s="21">
        <f ca="1">IFERROR(IF(LEFT(O202,2)="13",DATE(RIGHT(O202,4),12,31),IF(EOMONTH(O202,1)&gt;PREMISSAS!$C$3,"",IF(MONTH(O202)=11,"13º "&amp;YEAR(O202),EOMONTH(O202,1)))),"")</f>
        <v>43190</v>
      </c>
      <c r="P203" s="4">
        <f ca="1">Preencher_Salários!J205</f>
        <v>0</v>
      </c>
    </row>
    <row r="204" spans="15:16" x14ac:dyDescent="0.3">
      <c r="O204" s="21">
        <f ca="1">IFERROR(IF(LEFT(O203,2)="13",DATE(RIGHT(O203,4),12,31),IF(EOMONTH(O203,1)&gt;PREMISSAS!$C$3,"",IF(MONTH(O203)=11,"13º "&amp;YEAR(O203),EOMONTH(O203,1)))),"")</f>
        <v>43220</v>
      </c>
      <c r="P204" s="4">
        <f ca="1">Preencher_Salários!J206</f>
        <v>0</v>
      </c>
    </row>
    <row r="205" spans="15:16" x14ac:dyDescent="0.3">
      <c r="O205" s="21">
        <f ca="1">IFERROR(IF(LEFT(O204,2)="13",DATE(RIGHT(O204,4),12,31),IF(EOMONTH(O204,1)&gt;PREMISSAS!$C$3,"",IF(MONTH(O204)=11,"13º "&amp;YEAR(O204),EOMONTH(O204,1)))),"")</f>
        <v>43251</v>
      </c>
      <c r="P205" s="4">
        <f ca="1">Preencher_Salários!J207</f>
        <v>0</v>
      </c>
    </row>
    <row r="206" spans="15:16" x14ac:dyDescent="0.3">
      <c r="O206" s="21">
        <f ca="1">IFERROR(IF(LEFT(O205,2)="13",DATE(RIGHT(O205,4),12,31),IF(EOMONTH(O205,1)&gt;PREMISSAS!$C$3,"",IF(MONTH(O205)=11,"13º "&amp;YEAR(O205),EOMONTH(O205,1)))),"")</f>
        <v>43281</v>
      </c>
      <c r="P206" s="4">
        <f ca="1">Preencher_Salários!J208</f>
        <v>0</v>
      </c>
    </row>
    <row r="207" spans="15:16" x14ac:dyDescent="0.3">
      <c r="O207" s="21">
        <f ca="1">IFERROR(IF(LEFT(O206,2)="13",DATE(RIGHT(O206,4),12,31),IF(EOMONTH(O206,1)&gt;PREMISSAS!$C$3,"",IF(MONTH(O206)=11,"13º "&amp;YEAR(O206),EOMONTH(O206,1)))),"")</f>
        <v>43312</v>
      </c>
      <c r="P207" s="4">
        <f ca="1">Preencher_Salários!J209</f>
        <v>0</v>
      </c>
    </row>
    <row r="208" spans="15:16" x14ac:dyDescent="0.3">
      <c r="O208" s="21">
        <f ca="1">IFERROR(IF(LEFT(O207,2)="13",DATE(RIGHT(O207,4),12,31),IF(EOMONTH(O207,1)&gt;PREMISSAS!$C$3,"",IF(MONTH(O207)=11,"13º "&amp;YEAR(O207),EOMONTH(O207,1)))),"")</f>
        <v>43343</v>
      </c>
      <c r="P208" s="4">
        <f ca="1">Preencher_Salários!J210</f>
        <v>0</v>
      </c>
    </row>
    <row r="209" spans="15:16" x14ac:dyDescent="0.3">
      <c r="O209" s="21">
        <f ca="1">IFERROR(IF(LEFT(O208,2)="13",DATE(RIGHT(O208,4),12,31),IF(EOMONTH(O208,1)&gt;PREMISSAS!$C$3,"",IF(MONTH(O208)=11,"13º "&amp;YEAR(O208),EOMONTH(O208,1)))),"")</f>
        <v>43373</v>
      </c>
      <c r="P209" s="4">
        <f ca="1">Preencher_Salários!J211</f>
        <v>0</v>
      </c>
    </row>
    <row r="210" spans="15:16" x14ac:dyDescent="0.3">
      <c r="O210" s="21">
        <f ca="1">IFERROR(IF(LEFT(O209,2)="13",DATE(RIGHT(O209,4),12,31),IF(EOMONTH(O209,1)&gt;PREMISSAS!$C$3,"",IF(MONTH(O209)=11,"13º "&amp;YEAR(O209),EOMONTH(O209,1)))),"")</f>
        <v>43404</v>
      </c>
      <c r="P210" s="4">
        <f ca="1">Preencher_Salários!J212</f>
        <v>0</v>
      </c>
    </row>
    <row r="211" spans="15:16" x14ac:dyDescent="0.3">
      <c r="O211" s="21">
        <f ca="1">IFERROR(IF(LEFT(O210,2)="13",DATE(RIGHT(O210,4),12,31),IF(EOMONTH(O210,1)&gt;PREMISSAS!$C$3,"",IF(MONTH(O210)=11,"13º "&amp;YEAR(O210),EOMONTH(O210,1)))),"")</f>
        <v>43434</v>
      </c>
      <c r="P211" s="4">
        <f ca="1">Preencher_Salários!J213</f>
        <v>0</v>
      </c>
    </row>
    <row r="212" spans="15:16" x14ac:dyDescent="0.3">
      <c r="O212" s="21" t="str">
        <f ca="1">IFERROR(IF(LEFT(O211,2)="13",DATE(RIGHT(O211,4),12,31),IF(EOMONTH(O211,1)&gt;PREMISSAS!$C$3,"",IF(MONTH(O211)=11,"13º "&amp;YEAR(O211),EOMONTH(O211,1)))),"")</f>
        <v>13º 2018</v>
      </c>
      <c r="P212" s="4">
        <f ca="1">Preencher_Salários!J214</f>
        <v>0</v>
      </c>
    </row>
    <row r="213" spans="15:16" x14ac:dyDescent="0.3">
      <c r="O213" s="21">
        <f ca="1">IFERROR(IF(LEFT(O212,2)="13",DATE(RIGHT(O212,4),12,31),IF(EOMONTH(O212,1)&gt;PREMISSAS!$C$3,"",IF(MONTH(O212)=11,"13º "&amp;YEAR(O212),EOMONTH(O212,1)))),"")</f>
        <v>43465</v>
      </c>
      <c r="P213" s="4">
        <f ca="1">Preencher_Salários!J215</f>
        <v>0</v>
      </c>
    </row>
    <row r="214" spans="15:16" x14ac:dyDescent="0.3">
      <c r="O214" s="21">
        <f ca="1">IFERROR(IF(LEFT(O213,2)="13",DATE(RIGHT(O213,4),12,31),IF(EOMONTH(O213,1)&gt;PREMISSAS!$C$3,"",IF(MONTH(O213)=11,"13º "&amp;YEAR(O213),EOMONTH(O213,1)))),"")</f>
        <v>43496</v>
      </c>
      <c r="P214" s="4">
        <f ca="1">Preencher_Salários!J216</f>
        <v>0</v>
      </c>
    </row>
    <row r="215" spans="15:16" x14ac:dyDescent="0.3">
      <c r="O215" s="21">
        <f ca="1">IFERROR(IF(LEFT(O214,2)="13",DATE(RIGHT(O214,4),12,31),IF(EOMONTH(O214,1)&gt;PREMISSAS!$C$3,"",IF(MONTH(O214)=11,"13º "&amp;YEAR(O214),EOMONTH(O214,1)))),"")</f>
        <v>43524</v>
      </c>
      <c r="P215" s="4">
        <f ca="1">Preencher_Salários!J217</f>
        <v>0</v>
      </c>
    </row>
    <row r="216" spans="15:16" x14ac:dyDescent="0.3">
      <c r="O216" s="21">
        <f ca="1">IFERROR(IF(LEFT(O215,2)="13",DATE(RIGHT(O215,4),12,31),IF(EOMONTH(O215,1)&gt;PREMISSAS!$C$3,"",IF(MONTH(O215)=11,"13º "&amp;YEAR(O215),EOMONTH(O215,1)))),"")</f>
        <v>43555</v>
      </c>
      <c r="P216" s="4">
        <f ca="1">Preencher_Salários!J218</f>
        <v>0</v>
      </c>
    </row>
    <row r="217" spans="15:16" x14ac:dyDescent="0.3">
      <c r="O217" s="21">
        <f ca="1">IFERROR(IF(LEFT(O216,2)="13",DATE(RIGHT(O216,4),12,31),IF(EOMONTH(O216,1)&gt;PREMISSAS!$C$3,"",IF(MONTH(O216)=11,"13º "&amp;YEAR(O216),EOMONTH(O216,1)))),"")</f>
        <v>43585</v>
      </c>
      <c r="P217" s="4">
        <f ca="1">Preencher_Salários!J219</f>
        <v>0</v>
      </c>
    </row>
    <row r="218" spans="15:16" x14ac:dyDescent="0.3">
      <c r="O218" s="21">
        <f ca="1">IFERROR(IF(LEFT(O217,2)="13",DATE(RIGHT(O217,4),12,31),IF(EOMONTH(O217,1)&gt;PREMISSAS!$C$3,"",IF(MONTH(O217)=11,"13º "&amp;YEAR(O217),EOMONTH(O217,1)))),"")</f>
        <v>43616</v>
      </c>
      <c r="P218" s="4">
        <f ca="1">Preencher_Salários!J220</f>
        <v>0</v>
      </c>
    </row>
    <row r="219" spans="15:16" x14ac:dyDescent="0.3">
      <c r="O219" s="21">
        <f ca="1">IFERROR(IF(LEFT(O218,2)="13",DATE(RIGHT(O218,4),12,31),IF(EOMONTH(O218,1)&gt;PREMISSAS!$C$3,"",IF(MONTH(O218)=11,"13º "&amp;YEAR(O218),EOMONTH(O218,1)))),"")</f>
        <v>43646</v>
      </c>
      <c r="P219" s="4">
        <f ca="1">Preencher_Salários!J221</f>
        <v>0</v>
      </c>
    </row>
    <row r="220" spans="15:16" x14ac:dyDescent="0.3">
      <c r="O220" s="21">
        <f ca="1">IFERROR(IF(LEFT(O219,2)="13",DATE(RIGHT(O219,4),12,31),IF(EOMONTH(O219,1)&gt;PREMISSAS!$C$3,"",IF(MONTH(O219)=11,"13º "&amp;YEAR(O219),EOMONTH(O219,1)))),"")</f>
        <v>43677</v>
      </c>
      <c r="P220" s="4">
        <f ca="1">Preencher_Salários!J222</f>
        <v>0</v>
      </c>
    </row>
    <row r="221" spans="15:16" x14ac:dyDescent="0.3">
      <c r="O221" s="21">
        <f ca="1">IFERROR(IF(LEFT(O220,2)="13",DATE(RIGHT(O220,4),12,31),IF(EOMONTH(O220,1)&gt;PREMISSAS!$C$3,"",IF(MONTH(O220)=11,"13º "&amp;YEAR(O220),EOMONTH(O220,1)))),"")</f>
        <v>43708</v>
      </c>
      <c r="P221" s="4">
        <f ca="1">Preencher_Salários!J223</f>
        <v>0</v>
      </c>
    </row>
    <row r="222" spans="15:16" x14ac:dyDescent="0.3">
      <c r="O222" s="21">
        <f ca="1">IFERROR(IF(LEFT(O221,2)="13",DATE(RIGHT(O221,4),12,31),IF(EOMONTH(O221,1)&gt;PREMISSAS!$C$3,"",IF(MONTH(O221)=11,"13º "&amp;YEAR(O221),EOMONTH(O221,1)))),"")</f>
        <v>43738</v>
      </c>
      <c r="P222" s="4">
        <f ca="1">Preencher_Salários!J224</f>
        <v>0</v>
      </c>
    </row>
    <row r="223" spans="15:16" x14ac:dyDescent="0.3">
      <c r="O223" s="21">
        <f ca="1">IFERROR(IF(LEFT(O222,2)="13",DATE(RIGHT(O222,4),12,31),IF(EOMONTH(O222,1)&gt;PREMISSAS!$C$3,"",IF(MONTH(O222)=11,"13º "&amp;YEAR(O222),EOMONTH(O222,1)))),"")</f>
        <v>43769</v>
      </c>
      <c r="P223" s="4">
        <f ca="1">Preencher_Salários!J225</f>
        <v>0</v>
      </c>
    </row>
    <row r="224" spans="15:16" x14ac:dyDescent="0.3">
      <c r="O224" s="21">
        <f ca="1">IFERROR(IF(LEFT(O223,2)="13",DATE(RIGHT(O223,4),12,31),IF(EOMONTH(O223,1)&gt;PREMISSAS!$C$3,"",IF(MONTH(O223)=11,"13º "&amp;YEAR(O223),EOMONTH(O223,1)))),"")</f>
        <v>43799</v>
      </c>
      <c r="P224" s="4">
        <f ca="1">Preencher_Salários!J226</f>
        <v>0</v>
      </c>
    </row>
    <row r="225" spans="15:16" x14ac:dyDescent="0.3">
      <c r="O225" s="21" t="str">
        <f ca="1">IFERROR(IF(LEFT(O224,2)="13",DATE(RIGHT(O224,4),12,31),IF(EOMONTH(O224,1)&gt;PREMISSAS!$C$3,"",IF(MONTH(O224)=11,"13º "&amp;YEAR(O224),EOMONTH(O224,1)))),"")</f>
        <v>13º 2019</v>
      </c>
      <c r="P225" s="4">
        <f ca="1">Preencher_Salários!J227</f>
        <v>0</v>
      </c>
    </row>
    <row r="226" spans="15:16" x14ac:dyDescent="0.3">
      <c r="O226" s="21">
        <f ca="1">IFERROR(IF(LEFT(O225,2)="13",DATE(RIGHT(O225,4),12,31),IF(EOMONTH(O225,1)&gt;PREMISSAS!$C$3,"",IF(MONTH(O225)=11,"13º "&amp;YEAR(O225),EOMONTH(O225,1)))),"")</f>
        <v>43830</v>
      </c>
      <c r="P226" s="4">
        <f ca="1">Preencher_Salários!J228</f>
        <v>0</v>
      </c>
    </row>
    <row r="227" spans="15:16" x14ac:dyDescent="0.3">
      <c r="O227" s="21">
        <f ca="1">IFERROR(IF(LEFT(O226,2)="13",DATE(RIGHT(O226,4),12,31),IF(EOMONTH(O226,1)&gt;PREMISSAS!$C$3,"",IF(MONTH(O226)=11,"13º "&amp;YEAR(O226),EOMONTH(O226,1)))),"")</f>
        <v>43861</v>
      </c>
      <c r="P227" s="4">
        <f ca="1">Preencher_Salários!J229</f>
        <v>0</v>
      </c>
    </row>
    <row r="228" spans="15:16" x14ac:dyDescent="0.3">
      <c r="O228" s="21">
        <f ca="1">IFERROR(IF(LEFT(O227,2)="13",DATE(RIGHT(O227,4),12,31),IF(EOMONTH(O227,1)&gt;PREMISSAS!$C$3,"",IF(MONTH(O227)=11,"13º "&amp;YEAR(O227),EOMONTH(O227,1)))),"")</f>
        <v>43890</v>
      </c>
      <c r="P228" s="4">
        <f ca="1">Preencher_Salários!J230</f>
        <v>0</v>
      </c>
    </row>
    <row r="229" spans="15:16" x14ac:dyDescent="0.3">
      <c r="O229" s="21">
        <f ca="1">IFERROR(IF(LEFT(O228,2)="13",DATE(RIGHT(O228,4),12,31),IF(EOMONTH(O228,1)&gt;PREMISSAS!$C$3,"",IF(MONTH(O228)=11,"13º "&amp;YEAR(O228),EOMONTH(O228,1)))),"")</f>
        <v>43921</v>
      </c>
      <c r="P229" s="4">
        <f ca="1">Preencher_Salários!J231</f>
        <v>0</v>
      </c>
    </row>
    <row r="230" spans="15:16" x14ac:dyDescent="0.3">
      <c r="O230" s="21">
        <f ca="1">IFERROR(IF(LEFT(O229,2)="13",DATE(RIGHT(O229,4),12,31),IF(EOMONTH(O229,1)&gt;PREMISSAS!$C$3,"",IF(MONTH(O229)=11,"13º "&amp;YEAR(O229),EOMONTH(O229,1)))),"")</f>
        <v>43951</v>
      </c>
      <c r="P230" s="4">
        <f ca="1">Preencher_Salários!J232</f>
        <v>0</v>
      </c>
    </row>
    <row r="231" spans="15:16" x14ac:dyDescent="0.3">
      <c r="O231" s="21">
        <f ca="1">IFERROR(IF(LEFT(O230,2)="13",DATE(RIGHT(O230,4),12,31),IF(EOMONTH(O230,1)&gt;PREMISSAS!$C$3,"",IF(MONTH(O230)=11,"13º "&amp;YEAR(O230),EOMONTH(O230,1)))),"")</f>
        <v>43982</v>
      </c>
      <c r="P231" s="4">
        <f ca="1">Preencher_Salários!J233</f>
        <v>0</v>
      </c>
    </row>
    <row r="232" spans="15:16" x14ac:dyDescent="0.3">
      <c r="O232" s="21">
        <f ca="1">IFERROR(IF(LEFT(O231,2)="13",DATE(RIGHT(O231,4),12,31),IF(EOMONTH(O231,1)&gt;PREMISSAS!$C$3,"",IF(MONTH(O231)=11,"13º "&amp;YEAR(O231),EOMONTH(O231,1)))),"")</f>
        <v>44012</v>
      </c>
      <c r="P232" s="4">
        <f ca="1">Preencher_Salários!J234</f>
        <v>0</v>
      </c>
    </row>
    <row r="233" spans="15:16" x14ac:dyDescent="0.3">
      <c r="O233" s="21">
        <f ca="1">IFERROR(IF(LEFT(O232,2)="13",DATE(RIGHT(O232,4),12,31),IF(EOMONTH(O232,1)&gt;PREMISSAS!$C$3,"",IF(MONTH(O232)=11,"13º "&amp;YEAR(O232),EOMONTH(O232,1)))),"")</f>
        <v>44043</v>
      </c>
      <c r="P233" s="4">
        <f ca="1">Preencher_Salários!J235</f>
        <v>0</v>
      </c>
    </row>
    <row r="234" spans="15:16" x14ac:dyDescent="0.3">
      <c r="O234" s="21">
        <f ca="1">IFERROR(IF(LEFT(O233,2)="13",DATE(RIGHT(O233,4),12,31),IF(EOMONTH(O233,1)&gt;PREMISSAS!$C$3,"",IF(MONTH(O233)=11,"13º "&amp;YEAR(O233),EOMONTH(O233,1)))),"")</f>
        <v>44074</v>
      </c>
      <c r="P234" s="4">
        <f ca="1">Preencher_Salários!J236</f>
        <v>0</v>
      </c>
    </row>
    <row r="235" spans="15:16" x14ac:dyDescent="0.3">
      <c r="O235" s="21">
        <f ca="1">IFERROR(IF(LEFT(O234,2)="13",DATE(RIGHT(O234,4),12,31),IF(EOMONTH(O234,1)&gt;PREMISSAS!$C$3,"",IF(MONTH(O234)=11,"13º "&amp;YEAR(O234),EOMONTH(O234,1)))),"")</f>
        <v>44104</v>
      </c>
      <c r="P235" s="4">
        <f ca="1">Preencher_Salários!J237</f>
        <v>0</v>
      </c>
    </row>
    <row r="236" spans="15:16" x14ac:dyDescent="0.3">
      <c r="O236" s="21">
        <f ca="1">IFERROR(IF(LEFT(O235,2)="13",DATE(RIGHT(O235,4),12,31),IF(EOMONTH(O235,1)&gt;PREMISSAS!$C$3,"",IF(MONTH(O235)=11,"13º "&amp;YEAR(O235),EOMONTH(O235,1)))),"")</f>
        <v>44135</v>
      </c>
      <c r="P236" s="4">
        <f ca="1">Preencher_Salários!J238</f>
        <v>0</v>
      </c>
    </row>
    <row r="237" spans="15:16" x14ac:dyDescent="0.3">
      <c r="O237" s="21">
        <f ca="1">IFERROR(IF(LEFT(O236,2)="13",DATE(RIGHT(O236,4),12,31),IF(EOMONTH(O236,1)&gt;PREMISSAS!$C$3,"",IF(MONTH(O236)=11,"13º "&amp;YEAR(O236),EOMONTH(O236,1)))),"")</f>
        <v>44165</v>
      </c>
      <c r="P237" s="4">
        <f ca="1">Preencher_Salários!J239</f>
        <v>0</v>
      </c>
    </row>
    <row r="238" spans="15:16" x14ac:dyDescent="0.3">
      <c r="O238" s="21" t="str">
        <f ca="1">IFERROR(IF(LEFT(O237,2)="13",DATE(RIGHT(O237,4),12,31),IF(EOMONTH(O237,1)&gt;PREMISSAS!$C$3,"",IF(MONTH(O237)=11,"13º "&amp;YEAR(O237),EOMONTH(O237,1)))),"")</f>
        <v>13º 2020</v>
      </c>
      <c r="P238" s="4">
        <f ca="1">Preencher_Salários!J240</f>
        <v>0</v>
      </c>
    </row>
    <row r="239" spans="15:16" x14ac:dyDescent="0.3">
      <c r="O239" s="21">
        <f ca="1">IFERROR(IF(LEFT(O238,2)="13",DATE(RIGHT(O238,4),12,31),IF(EOMONTH(O238,1)&gt;PREMISSAS!$C$3,"",IF(MONTH(O238)=11,"13º "&amp;YEAR(O238),EOMONTH(O238,1)))),"")</f>
        <v>44196</v>
      </c>
      <c r="P239" s="4">
        <f ca="1">Preencher_Salários!J241</f>
        <v>0</v>
      </c>
    </row>
    <row r="240" spans="15:16" x14ac:dyDescent="0.3">
      <c r="O240" s="21">
        <f ca="1">IFERROR(IF(LEFT(O239,2)="13",DATE(RIGHT(O239,4),12,31),IF(EOMONTH(O239,1)&gt;PREMISSAS!$C$3,"",IF(MONTH(O239)=11,"13º "&amp;YEAR(O239),EOMONTH(O239,1)))),"")</f>
        <v>44227</v>
      </c>
      <c r="P240" s="4">
        <f ca="1">Preencher_Salários!J242</f>
        <v>0</v>
      </c>
    </row>
    <row r="241" spans="15:16" x14ac:dyDescent="0.3">
      <c r="O241" s="21">
        <f ca="1">IFERROR(IF(LEFT(O240,2)="13",DATE(RIGHT(O240,4),12,31),IF(EOMONTH(O240,1)&gt;PREMISSAS!$C$3,"",IF(MONTH(O240)=11,"13º "&amp;YEAR(O240),EOMONTH(O240,1)))),"")</f>
        <v>44255</v>
      </c>
      <c r="P241" s="4">
        <f ca="1">Preencher_Salários!J243</f>
        <v>0</v>
      </c>
    </row>
    <row r="242" spans="15:16" x14ac:dyDescent="0.3">
      <c r="O242" s="21">
        <f ca="1">IFERROR(IF(LEFT(O241,2)="13",DATE(RIGHT(O241,4),12,31),IF(EOMONTH(O241,1)&gt;PREMISSAS!$C$3,"",IF(MONTH(O241)=11,"13º "&amp;YEAR(O241),EOMONTH(O241,1)))),"")</f>
        <v>44286</v>
      </c>
      <c r="P242" s="4">
        <f ca="1">Preencher_Salários!J244</f>
        <v>0</v>
      </c>
    </row>
    <row r="243" spans="15:16" x14ac:dyDescent="0.3">
      <c r="O243" s="21">
        <f ca="1">IFERROR(IF(LEFT(O242,2)="13",DATE(RIGHT(O242,4),12,31),IF(EOMONTH(O242,1)&gt;PREMISSAS!$C$3,"",IF(MONTH(O242)=11,"13º "&amp;YEAR(O242),EOMONTH(O242,1)))),"")</f>
        <v>44316</v>
      </c>
      <c r="P243" s="4">
        <f ca="1">Preencher_Salários!J245</f>
        <v>0</v>
      </c>
    </row>
    <row r="244" spans="15:16" x14ac:dyDescent="0.3">
      <c r="O244" s="21">
        <f ca="1">IFERROR(IF(LEFT(O243,2)="13",DATE(RIGHT(O243,4),12,31),IF(EOMONTH(O243,1)&gt;PREMISSAS!$C$3,"",IF(MONTH(O243)=11,"13º "&amp;YEAR(O243),EOMONTH(O243,1)))),"")</f>
        <v>44347</v>
      </c>
      <c r="P244" s="4">
        <f ca="1">Preencher_Salários!J246</f>
        <v>0</v>
      </c>
    </row>
    <row r="245" spans="15:16" x14ac:dyDescent="0.3">
      <c r="O245" s="21">
        <f ca="1">IFERROR(IF(LEFT(O244,2)="13",DATE(RIGHT(O244,4),12,31),IF(EOMONTH(O244,1)&gt;PREMISSAS!$C$3,"",IF(MONTH(O244)=11,"13º "&amp;YEAR(O244),EOMONTH(O244,1)))),"")</f>
        <v>44377</v>
      </c>
      <c r="P245" s="4">
        <f ca="1">Preencher_Salários!J247</f>
        <v>0</v>
      </c>
    </row>
    <row r="246" spans="15:16" x14ac:dyDescent="0.3">
      <c r="O246" s="21">
        <f ca="1">IFERROR(IF(LEFT(O245,2)="13",DATE(RIGHT(O245,4),12,31),IF(EOMONTH(O245,1)&gt;PREMISSAS!$C$3,"",IF(MONTH(O245)=11,"13º "&amp;YEAR(O245),EOMONTH(O245,1)))),"")</f>
        <v>44408</v>
      </c>
      <c r="P246" s="4">
        <f ca="1">Preencher_Salários!J248</f>
        <v>0</v>
      </c>
    </row>
    <row r="247" spans="15:16" x14ac:dyDescent="0.3">
      <c r="O247" s="21">
        <f ca="1">IFERROR(IF(LEFT(O246,2)="13",DATE(RIGHT(O246,4),12,31),IF(EOMONTH(O246,1)&gt;PREMISSAS!$C$3,"",IF(MONTH(O246)=11,"13º "&amp;YEAR(O246),EOMONTH(O246,1)))),"")</f>
        <v>44439</v>
      </c>
      <c r="P247" s="4">
        <f ca="1">Preencher_Salários!J249</f>
        <v>0</v>
      </c>
    </row>
    <row r="248" spans="15:16" x14ac:dyDescent="0.3">
      <c r="O248" s="21">
        <f ca="1">IFERROR(IF(LEFT(O247,2)="13",DATE(RIGHT(O247,4),12,31),IF(EOMONTH(O247,1)&gt;PREMISSAS!$C$3,"",IF(MONTH(O247)=11,"13º "&amp;YEAR(O247),EOMONTH(O247,1)))),"")</f>
        <v>44469</v>
      </c>
      <c r="P248" s="4">
        <f ca="1">Preencher_Salários!J250</f>
        <v>0</v>
      </c>
    </row>
    <row r="249" spans="15:16" x14ac:dyDescent="0.3">
      <c r="O249" s="21">
        <f ca="1">IFERROR(IF(LEFT(O248,2)="13",DATE(RIGHT(O248,4),12,31),IF(EOMONTH(O248,1)&gt;PREMISSAS!$C$3,"",IF(MONTH(O248)=11,"13º "&amp;YEAR(O248),EOMONTH(O248,1)))),"")</f>
        <v>44500</v>
      </c>
      <c r="P249" s="4">
        <f ca="1">Preencher_Salários!J251</f>
        <v>0</v>
      </c>
    </row>
    <row r="250" spans="15:16" x14ac:dyDescent="0.3">
      <c r="O250" s="21">
        <f ca="1">IFERROR(IF(LEFT(O249,2)="13",DATE(RIGHT(O249,4),12,31),IF(EOMONTH(O249,1)&gt;PREMISSAS!$C$3,"",IF(MONTH(O249)=11,"13º "&amp;YEAR(O249),EOMONTH(O249,1)))),"")</f>
        <v>44530</v>
      </c>
      <c r="P250" s="4">
        <f ca="1">Preencher_Salários!J252</f>
        <v>0</v>
      </c>
    </row>
    <row r="251" spans="15:16" x14ac:dyDescent="0.3">
      <c r="O251" s="21" t="str">
        <f ca="1">IFERROR(IF(LEFT(O250,2)="13",DATE(RIGHT(O250,4),12,31),IF(EOMONTH(O250,1)&gt;PREMISSAS!$C$3,"",IF(MONTH(O250)=11,"13º "&amp;YEAR(O250),EOMONTH(O250,1)))),"")</f>
        <v>13º 2021</v>
      </c>
      <c r="P251" s="4">
        <f ca="1">Preencher_Salários!J253</f>
        <v>0</v>
      </c>
    </row>
    <row r="252" spans="15:16" x14ac:dyDescent="0.3">
      <c r="O252" s="21">
        <f ca="1">IFERROR(IF(LEFT(O251,2)="13",DATE(RIGHT(O251,4),12,31),IF(EOMONTH(O251,1)&gt;PREMISSAS!$C$3,"",IF(MONTH(O251)=11,"13º "&amp;YEAR(O251),EOMONTH(O251,1)))),"")</f>
        <v>44561</v>
      </c>
      <c r="P252" s="4">
        <f ca="1">Preencher_Salários!J254</f>
        <v>0</v>
      </c>
    </row>
    <row r="253" spans="15:16" x14ac:dyDescent="0.3">
      <c r="O253" s="21">
        <f ca="1">IFERROR(IF(LEFT(O252,2)="13",DATE(RIGHT(O252,4),12,31),IF(EOMONTH(O252,1)&gt;PREMISSAS!$C$3,"",IF(MONTH(O252)=11,"13º "&amp;YEAR(O252),EOMONTH(O252,1)))),"")</f>
        <v>44592</v>
      </c>
      <c r="P253" s="4">
        <f ca="1">Preencher_Salários!J255</f>
        <v>0</v>
      </c>
    </row>
    <row r="254" spans="15:16" x14ac:dyDescent="0.3">
      <c r="O254" s="21">
        <f ca="1">IFERROR(IF(LEFT(O253,2)="13",DATE(RIGHT(O253,4),12,31),IF(EOMONTH(O253,1)&gt;PREMISSAS!$C$3,"",IF(MONTH(O253)=11,"13º "&amp;YEAR(O253),EOMONTH(O253,1)))),"")</f>
        <v>44620</v>
      </c>
      <c r="P254" s="4">
        <f ca="1">Preencher_Salários!J256</f>
        <v>0</v>
      </c>
    </row>
    <row r="255" spans="15:16" x14ac:dyDescent="0.3">
      <c r="O255" s="21">
        <f ca="1">IFERROR(IF(LEFT(O254,2)="13",DATE(RIGHT(O254,4),12,31),IF(EOMONTH(O254,1)&gt;PREMISSAS!$C$3,"",IF(MONTH(O254)=11,"13º "&amp;YEAR(O254),EOMONTH(O254,1)))),"")</f>
        <v>44651</v>
      </c>
      <c r="P255" s="4">
        <f ca="1">Preencher_Salários!J257</f>
        <v>0</v>
      </c>
    </row>
    <row r="256" spans="15:16" x14ac:dyDescent="0.3">
      <c r="O256" s="21">
        <f ca="1">IFERROR(IF(LEFT(O255,2)="13",DATE(RIGHT(O255,4),12,31),IF(EOMONTH(O255,1)&gt;PREMISSAS!$C$3,"",IF(MONTH(O255)=11,"13º "&amp;YEAR(O255),EOMONTH(O255,1)))),"")</f>
        <v>44681</v>
      </c>
      <c r="P256" s="4">
        <f ca="1">Preencher_Salários!J258</f>
        <v>0</v>
      </c>
    </row>
    <row r="257" spans="15:16" x14ac:dyDescent="0.3">
      <c r="O257" s="21">
        <f ca="1">IFERROR(IF(LEFT(O256,2)="13",DATE(RIGHT(O256,4),12,31),IF(EOMONTH(O256,1)&gt;PREMISSAS!$C$3,"",IF(MONTH(O256)=11,"13º "&amp;YEAR(O256),EOMONTH(O256,1)))),"")</f>
        <v>44712</v>
      </c>
      <c r="P257" s="4">
        <f ca="1">Preencher_Salários!J259</f>
        <v>0</v>
      </c>
    </row>
    <row r="258" spans="15:16" x14ac:dyDescent="0.3">
      <c r="O258" s="21">
        <f ca="1">IFERROR(IF(LEFT(O257,2)="13",DATE(RIGHT(O257,4),12,31),IF(EOMONTH(O257,1)&gt;PREMISSAS!$C$3,"",IF(MONTH(O257)=11,"13º "&amp;YEAR(O257),EOMONTH(O257,1)))),"")</f>
        <v>44742</v>
      </c>
      <c r="P258" s="4">
        <f ca="1">Preencher_Salários!J260</f>
        <v>0</v>
      </c>
    </row>
    <row r="259" spans="15:16" x14ac:dyDescent="0.3">
      <c r="O259" s="21">
        <f ca="1">IFERROR(IF(LEFT(O258,2)="13",DATE(RIGHT(O258,4),12,31),IF(EOMONTH(O258,1)&gt;PREMISSAS!$C$3,"",IF(MONTH(O258)=11,"13º "&amp;YEAR(O258),EOMONTH(O258,1)))),"")</f>
        <v>44773</v>
      </c>
      <c r="P259" s="4">
        <f ca="1">Preencher_Salários!J261</f>
        <v>0</v>
      </c>
    </row>
    <row r="260" spans="15:16" x14ac:dyDescent="0.3">
      <c r="O260" s="21">
        <f ca="1">IFERROR(IF(LEFT(O259,2)="13",DATE(RIGHT(O259,4),12,31),IF(EOMONTH(O259,1)&gt;PREMISSAS!$C$3,"",IF(MONTH(O259)=11,"13º "&amp;YEAR(O259),EOMONTH(O259,1)))),"")</f>
        <v>44804</v>
      </c>
      <c r="P260" s="4">
        <f ca="1">Preencher_Salários!J262</f>
        <v>0</v>
      </c>
    </row>
    <row r="261" spans="15:16" x14ac:dyDescent="0.3">
      <c r="O261" s="21">
        <f ca="1">IFERROR(IF(LEFT(O260,2)="13",DATE(RIGHT(O260,4),12,31),IF(EOMONTH(O260,1)&gt;PREMISSAS!$C$3,"",IF(MONTH(O260)=11,"13º "&amp;YEAR(O260),EOMONTH(O260,1)))),"")</f>
        <v>44834</v>
      </c>
      <c r="P261" s="4">
        <f ca="1">Preencher_Salários!J263</f>
        <v>0</v>
      </c>
    </row>
    <row r="262" spans="15:16" x14ac:dyDescent="0.3">
      <c r="O262" s="21">
        <f ca="1">IFERROR(IF(LEFT(O261,2)="13",DATE(RIGHT(O261,4),12,31),IF(EOMONTH(O261,1)&gt;PREMISSAS!$C$3,"",IF(MONTH(O261)=11,"13º "&amp;YEAR(O261),EOMONTH(O261,1)))),"")</f>
        <v>44865</v>
      </c>
      <c r="P262" s="4">
        <f ca="1">Preencher_Salários!J264</f>
        <v>0</v>
      </c>
    </row>
    <row r="263" spans="15:16" x14ac:dyDescent="0.3">
      <c r="O263" s="21" t="str">
        <f ca="1">IFERROR(IF(LEFT(O262,2)="13",DATE(RIGHT(O262,4),12,31),IF(EOMONTH(O262,1)&gt;PREMISSAS!$C$3,"",IF(MONTH(O262)=11,"13º "&amp;YEAR(O262),EOMONTH(O262,1)))),"")</f>
        <v/>
      </c>
      <c r="P263" s="4" t="str">
        <f ca="1">Preencher_Salários!J265</f>
        <v/>
      </c>
    </row>
    <row r="264" spans="15:16" x14ac:dyDescent="0.3">
      <c r="O264" s="21" t="str">
        <f ca="1">IFERROR(IF(LEFT(O263,2)="13",DATE(RIGHT(O263,4),12,31),IF(EOMONTH(O263,1)&gt;PREMISSAS!$C$3,"",IF(MONTH(O263)=11,"13º "&amp;YEAR(O263),EOMONTH(O263,1)))),"")</f>
        <v/>
      </c>
      <c r="P264" s="4" t="str">
        <f ca="1">Preencher_Salários!J266</f>
        <v/>
      </c>
    </row>
    <row r="265" spans="15:16" x14ac:dyDescent="0.3">
      <c r="O265" s="21" t="str">
        <f ca="1">IFERROR(IF(LEFT(O264,2)="13",DATE(RIGHT(O264,4),12,31),IF(EOMONTH(O264,1)&gt;PREMISSAS!$C$3,"",IF(MONTH(O264)=11,"13º "&amp;YEAR(O264),EOMONTH(O264,1)))),"")</f>
        <v/>
      </c>
      <c r="P265" s="4" t="str">
        <f ca="1">Preencher_Salários!J267</f>
        <v/>
      </c>
    </row>
    <row r="266" spans="15:16" x14ac:dyDescent="0.3">
      <c r="O266" s="21" t="str">
        <f ca="1">IFERROR(IF(LEFT(O265,2)="13",DATE(RIGHT(O265,4),12,31),IF(EOMONTH(O265,1)&gt;PREMISSAS!$C$3,"",IF(MONTH(O265)=11,"13º "&amp;YEAR(O265),EOMONTH(O265,1)))),"")</f>
        <v/>
      </c>
      <c r="P266" s="4" t="str">
        <f ca="1">Preencher_Salários!J268</f>
        <v/>
      </c>
    </row>
    <row r="267" spans="15:16" x14ac:dyDescent="0.3">
      <c r="O267" s="21" t="str">
        <f ca="1">IFERROR(IF(LEFT(O266,2)="13",DATE(RIGHT(O266,4),12,31),IF(EOMONTH(O266,1)&gt;PREMISSAS!$C$3,"",IF(MONTH(O266)=11,"13º "&amp;YEAR(O266),EOMONTH(O266,1)))),"")</f>
        <v/>
      </c>
      <c r="P267" s="4" t="str">
        <f ca="1">Preencher_Salários!J269</f>
        <v/>
      </c>
    </row>
    <row r="268" spans="15:16" x14ac:dyDescent="0.3">
      <c r="O268" s="21" t="str">
        <f ca="1">IFERROR(IF(LEFT(O267,2)="13",DATE(RIGHT(O267,4),12,31),IF(EOMONTH(O267,1)&gt;PREMISSAS!$C$3,"",IF(MONTH(O267)=11,"13º "&amp;YEAR(O267),EOMONTH(O267,1)))),"")</f>
        <v/>
      </c>
      <c r="P268" s="4" t="str">
        <f ca="1">Preencher_Salários!J270</f>
        <v/>
      </c>
    </row>
    <row r="269" spans="15:16" x14ac:dyDescent="0.3">
      <c r="O269" s="21" t="str">
        <f ca="1">IFERROR(IF(LEFT(O268,2)="13",DATE(RIGHT(O268,4),12,31),IF(EOMONTH(O268,1)&gt;PREMISSAS!$C$3,"",IF(MONTH(O268)=11,"13º "&amp;YEAR(O268),EOMONTH(O268,1)))),"")</f>
        <v/>
      </c>
      <c r="P269" s="4" t="str">
        <f ca="1">Preencher_Salários!J271</f>
        <v/>
      </c>
    </row>
    <row r="270" spans="15:16" x14ac:dyDescent="0.3">
      <c r="O270" s="21" t="str">
        <f ca="1">IFERROR(IF(LEFT(O269,2)="13",DATE(RIGHT(O269,4),12,31),IF(EOMONTH(O269,1)&gt;PREMISSAS!$C$3,"",IF(MONTH(O269)=11,"13º "&amp;YEAR(O269),EOMONTH(O269,1)))),"")</f>
        <v/>
      </c>
      <c r="P270" s="4" t="str">
        <f ca="1">Preencher_Salários!J272</f>
        <v/>
      </c>
    </row>
    <row r="271" spans="15:16" x14ac:dyDescent="0.3">
      <c r="O271" s="21" t="str">
        <f ca="1">IFERROR(IF(LEFT(O270,2)="13",DATE(RIGHT(O270,4),12,31),IF(EOMONTH(O270,1)&gt;PREMISSAS!$C$3,"",IF(MONTH(O270)=11,"13º "&amp;YEAR(O270),EOMONTH(O270,1)))),"")</f>
        <v/>
      </c>
      <c r="P271" s="4" t="str">
        <f ca="1">Preencher_Salários!J273</f>
        <v/>
      </c>
    </row>
    <row r="272" spans="15:16" x14ac:dyDescent="0.3">
      <c r="O272" s="21" t="str">
        <f ca="1">IFERROR(IF(LEFT(O271,2)="13",DATE(RIGHT(O271,4),12,31),IF(EOMONTH(O271,1)&gt;PREMISSAS!$C$3,"",IF(MONTH(O271)=11,"13º "&amp;YEAR(O271),EOMONTH(O271,1)))),"")</f>
        <v/>
      </c>
      <c r="P272" s="4" t="str">
        <f ca="1">Preencher_Salários!J274</f>
        <v/>
      </c>
    </row>
    <row r="273" spans="15:16" x14ac:dyDescent="0.3">
      <c r="O273" s="21" t="str">
        <f ca="1">IFERROR(IF(LEFT(O272,2)="13",DATE(RIGHT(O272,4),12,31),IF(EOMONTH(O272,1)&gt;PREMISSAS!$C$3,"",IF(MONTH(O272)=11,"13º "&amp;YEAR(O272),EOMONTH(O272,1)))),"")</f>
        <v/>
      </c>
      <c r="P273" s="4" t="str">
        <f ca="1">Preencher_Salários!J275</f>
        <v/>
      </c>
    </row>
    <row r="274" spans="15:16" x14ac:dyDescent="0.3">
      <c r="O274" s="21" t="str">
        <f ca="1">IFERROR(IF(LEFT(O273,2)="13",DATE(RIGHT(O273,4),12,31),IF(EOMONTH(O273,1)&gt;PREMISSAS!$C$3,"",IF(MONTH(O273)=11,"13º "&amp;YEAR(O273),EOMONTH(O273,1)))),"")</f>
        <v/>
      </c>
      <c r="P274" s="4" t="str">
        <f ca="1">Preencher_Salários!J276</f>
        <v/>
      </c>
    </row>
    <row r="275" spans="15:16" x14ac:dyDescent="0.3">
      <c r="O275" s="21" t="str">
        <f ca="1">IFERROR(IF(LEFT(O274,2)="13",DATE(RIGHT(O274,4),12,31),IF(EOMONTH(O274,1)&gt;PREMISSAS!$C$3,"",IF(MONTH(O274)=11,"13º "&amp;YEAR(O274),EOMONTH(O274,1)))),"")</f>
        <v/>
      </c>
      <c r="P275" s="4" t="str">
        <f ca="1">Preencher_Salários!J277</f>
        <v/>
      </c>
    </row>
    <row r="276" spans="15:16" x14ac:dyDescent="0.3">
      <c r="O276" s="21" t="str">
        <f ca="1">IFERROR(IF(LEFT(O275,2)="13",DATE(RIGHT(O275,4),12,31),IF(EOMONTH(O275,1)&gt;PREMISSAS!$C$3,"",IF(MONTH(O275)=11,"13º "&amp;YEAR(O275),EOMONTH(O275,1)))),"")</f>
        <v/>
      </c>
      <c r="P276" s="4" t="str">
        <f ca="1">Preencher_Salários!J278</f>
        <v/>
      </c>
    </row>
    <row r="277" spans="15:16" x14ac:dyDescent="0.3">
      <c r="O277" s="21" t="str">
        <f ca="1">IFERROR(IF(LEFT(O276,2)="13",DATE(RIGHT(O276,4),12,31),IF(EOMONTH(O276,1)&gt;PREMISSAS!$C$3,"",IF(MONTH(O276)=11,"13º "&amp;YEAR(O276),EOMONTH(O276,1)))),"")</f>
        <v/>
      </c>
      <c r="P277" s="4" t="str">
        <f ca="1">Preencher_Salários!J279</f>
        <v/>
      </c>
    </row>
    <row r="278" spans="15:16" x14ac:dyDescent="0.3">
      <c r="O278" s="21" t="str">
        <f ca="1">IFERROR(IF(LEFT(O277,2)="13",DATE(RIGHT(O277,4),12,31),IF(EOMONTH(O277,1)&gt;PREMISSAS!$C$3,"",IF(MONTH(O277)=11,"13º "&amp;YEAR(O277),EOMONTH(O277,1)))),"")</f>
        <v/>
      </c>
      <c r="P278" s="4" t="str">
        <f ca="1">Preencher_Salários!J280</f>
        <v/>
      </c>
    </row>
    <row r="279" spans="15:16" x14ac:dyDescent="0.3">
      <c r="O279" s="21" t="str">
        <f ca="1">IFERROR(IF(LEFT(O278,2)="13",DATE(RIGHT(O278,4),12,31),IF(EOMONTH(O278,1)&gt;PREMISSAS!$C$3,"",IF(MONTH(O278)=11,"13º "&amp;YEAR(O278),EOMONTH(O278,1)))),"")</f>
        <v/>
      </c>
      <c r="P279" s="4" t="str">
        <f ca="1">Preencher_Salários!J281</f>
        <v/>
      </c>
    </row>
    <row r="280" spans="15:16" x14ac:dyDescent="0.3">
      <c r="O280" s="21" t="str">
        <f ca="1">IFERROR(IF(LEFT(O279,2)="13",DATE(RIGHT(O279,4),12,31),IF(EOMONTH(O279,1)&gt;PREMISSAS!$C$3,"",IF(MONTH(O279)=11,"13º "&amp;YEAR(O279),EOMONTH(O279,1)))),"")</f>
        <v/>
      </c>
      <c r="P280" s="4" t="str">
        <f ca="1">Preencher_Salários!J282</f>
        <v/>
      </c>
    </row>
    <row r="281" spans="15:16" x14ac:dyDescent="0.3">
      <c r="O281" s="21" t="str">
        <f ca="1">IFERROR(IF(LEFT(O280,2)="13",DATE(RIGHT(O280,4),12,31),IF(EOMONTH(O280,1)&gt;PREMISSAS!$C$3,"",IF(MONTH(O280)=11,"13º "&amp;YEAR(O280),EOMONTH(O280,1)))),"")</f>
        <v/>
      </c>
      <c r="P281" s="4" t="str">
        <f ca="1">Preencher_Salários!J283</f>
        <v/>
      </c>
    </row>
    <row r="282" spans="15:16" x14ac:dyDescent="0.3">
      <c r="O282" s="21" t="str">
        <f ca="1">IFERROR(IF(LEFT(O281,2)="13",DATE(RIGHT(O281,4),12,31),IF(EOMONTH(O281,1)&gt;PREMISSAS!$C$3,"",IF(MONTH(O281)=11,"13º "&amp;YEAR(O281),EOMONTH(O281,1)))),"")</f>
        <v/>
      </c>
      <c r="P282" s="4" t="str">
        <f ca="1">Preencher_Salários!J284</f>
        <v/>
      </c>
    </row>
    <row r="283" spans="15:16" x14ac:dyDescent="0.3">
      <c r="O283" s="21" t="str">
        <f ca="1">IFERROR(IF(LEFT(O282,2)="13",DATE(RIGHT(O282,4),12,31),IF(EOMONTH(O282,1)&gt;PREMISSAS!$C$3,"",IF(MONTH(O282)=11,"13º "&amp;YEAR(O282),EOMONTH(O282,1)))),"")</f>
        <v/>
      </c>
      <c r="P283" s="4" t="str">
        <f ca="1">Preencher_Salários!J285</f>
        <v/>
      </c>
    </row>
    <row r="284" spans="15:16" x14ac:dyDescent="0.3">
      <c r="O284" s="21" t="str">
        <f ca="1">IFERROR(IF(LEFT(O283,2)="13",DATE(RIGHT(O283,4),12,31),IF(EOMONTH(O283,1)&gt;PREMISSAS!$C$3,"",IF(MONTH(O283)=11,"13º "&amp;YEAR(O283),EOMONTH(O283,1)))),"")</f>
        <v/>
      </c>
      <c r="P284" s="4" t="str">
        <f ca="1">Preencher_Salários!J286</f>
        <v/>
      </c>
    </row>
    <row r="285" spans="15:16" x14ac:dyDescent="0.3">
      <c r="O285" s="21" t="str">
        <f ca="1">IFERROR(IF(LEFT(O284,2)="13",DATE(RIGHT(O284,4),12,31),IF(EOMONTH(O284,1)&gt;PREMISSAS!$C$3,"",IF(MONTH(O284)=11,"13º "&amp;YEAR(O284),EOMONTH(O284,1)))),"")</f>
        <v/>
      </c>
      <c r="P285" s="4" t="str">
        <f ca="1">Preencher_Salários!J287</f>
        <v/>
      </c>
    </row>
    <row r="286" spans="15:16" x14ac:dyDescent="0.3">
      <c r="O286" s="21" t="str">
        <f ca="1">IFERROR(IF(LEFT(O285,2)="13",DATE(RIGHT(O285,4),12,31),IF(EOMONTH(O285,1)&gt;PREMISSAS!$C$3,"",IF(MONTH(O285)=11,"13º "&amp;YEAR(O285),EOMONTH(O285,1)))),"")</f>
        <v/>
      </c>
      <c r="P286" s="4" t="str">
        <f ca="1">Preencher_Salários!J288</f>
        <v/>
      </c>
    </row>
    <row r="287" spans="15:16" x14ac:dyDescent="0.3">
      <c r="O287" s="21" t="str">
        <f ca="1">IFERROR(IF(LEFT(O286,2)="13",DATE(RIGHT(O286,4),12,31),IF(EOMONTH(O286,1)&gt;PREMISSAS!$C$3,"",IF(MONTH(O286)=11,"13º "&amp;YEAR(O286),EOMONTH(O286,1)))),"")</f>
        <v/>
      </c>
      <c r="P287" s="4" t="str">
        <f ca="1">Preencher_Salários!J289</f>
        <v/>
      </c>
    </row>
    <row r="288" spans="15:16" x14ac:dyDescent="0.3">
      <c r="O288" s="21" t="str">
        <f ca="1">IFERROR(IF(LEFT(O287,2)="13",DATE(RIGHT(O287,4),12,31),IF(EOMONTH(O287,1)&gt;PREMISSAS!$C$3,"",IF(MONTH(O287)=11,"13º "&amp;YEAR(O287),EOMONTH(O287,1)))),"")</f>
        <v/>
      </c>
      <c r="P288" s="4" t="str">
        <f ca="1">Preencher_Salários!J290</f>
        <v/>
      </c>
    </row>
    <row r="289" spans="15:16" x14ac:dyDescent="0.3">
      <c r="O289" s="21" t="str">
        <f ca="1">IFERROR(IF(LEFT(O288,2)="13",DATE(RIGHT(O288,4),12,31),IF(EOMONTH(O288,1)&gt;PREMISSAS!$C$3,"",IF(MONTH(O288)=11,"13º "&amp;YEAR(O288),EOMONTH(O288,1)))),"")</f>
        <v/>
      </c>
      <c r="P289" s="4" t="str">
        <f ca="1">Preencher_Salários!J291</f>
        <v/>
      </c>
    </row>
    <row r="290" spans="15:16" x14ac:dyDescent="0.3">
      <c r="O290" s="21" t="str">
        <f ca="1">IFERROR(IF(LEFT(O289,2)="13",DATE(RIGHT(O289,4),12,31),IF(EOMONTH(O289,1)&gt;PREMISSAS!$C$3,"",IF(MONTH(O289)=11,"13º "&amp;YEAR(O289),EOMONTH(O289,1)))),"")</f>
        <v/>
      </c>
      <c r="P290" s="4" t="str">
        <f ca="1">Preencher_Salários!J292</f>
        <v/>
      </c>
    </row>
    <row r="291" spans="15:16" x14ac:dyDescent="0.3">
      <c r="O291" s="21" t="str">
        <f ca="1">IFERROR(IF(LEFT(O290,2)="13",DATE(RIGHT(O290,4),12,31),IF(EOMONTH(O290,1)&gt;PREMISSAS!$C$3,"",IF(MONTH(O290)=11,"13º "&amp;YEAR(O290),EOMONTH(O290,1)))),"")</f>
        <v/>
      </c>
      <c r="P291" s="4" t="str">
        <f ca="1">Preencher_Salários!J293</f>
        <v/>
      </c>
    </row>
    <row r="292" spans="15:16" x14ac:dyDescent="0.3">
      <c r="O292" s="21" t="str">
        <f ca="1">IFERROR(IF(LEFT(O291,2)="13",DATE(RIGHT(O291,4),12,31),IF(EOMONTH(O291,1)&gt;PREMISSAS!$C$3,"",IF(MONTH(O291)=11,"13º "&amp;YEAR(O291),EOMONTH(O291,1)))),"")</f>
        <v/>
      </c>
      <c r="P292" s="4" t="str">
        <f ca="1">Preencher_Salários!J294</f>
        <v/>
      </c>
    </row>
    <row r="293" spans="15:16" x14ac:dyDescent="0.3">
      <c r="O293" s="21" t="str">
        <f ca="1">IFERROR(IF(LEFT(O292,2)="13",DATE(RIGHT(O292,4),12,31),IF(EOMONTH(O292,1)&gt;PREMISSAS!$C$3,"",IF(MONTH(O292)=11,"13º "&amp;YEAR(O292),EOMONTH(O292,1)))),"")</f>
        <v/>
      </c>
      <c r="P293" s="4" t="str">
        <f ca="1">Preencher_Salários!J295</f>
        <v/>
      </c>
    </row>
    <row r="294" spans="15:16" x14ac:dyDescent="0.3">
      <c r="O294" s="21" t="str">
        <f ca="1">IFERROR(IF(LEFT(O293,2)="13",DATE(RIGHT(O293,4),12,31),IF(EOMONTH(O293,1)&gt;PREMISSAS!$C$3,"",IF(MONTH(O293)=11,"13º "&amp;YEAR(O293),EOMONTH(O293,1)))),"")</f>
        <v/>
      </c>
      <c r="P294" s="4" t="str">
        <f ca="1">Preencher_Salários!J296</f>
        <v/>
      </c>
    </row>
    <row r="295" spans="15:16" x14ac:dyDescent="0.3">
      <c r="O295" s="21" t="str">
        <f ca="1">IFERROR(IF(LEFT(O294,2)="13",DATE(RIGHT(O294,4),12,31),IF(EOMONTH(O294,1)&gt;PREMISSAS!$C$3,"",IF(MONTH(O294)=11,"13º "&amp;YEAR(O294),EOMONTH(O294,1)))),"")</f>
        <v/>
      </c>
      <c r="P295" s="4" t="str">
        <f ca="1">Preencher_Salários!J297</f>
        <v/>
      </c>
    </row>
    <row r="296" spans="15:16" x14ac:dyDescent="0.3">
      <c r="O296" s="21" t="str">
        <f ca="1">IFERROR(IF(LEFT(O295,2)="13",DATE(RIGHT(O295,4),12,31),IF(EOMONTH(O295,1)&gt;PREMISSAS!$C$3,"",IF(MONTH(O295)=11,"13º "&amp;YEAR(O295),EOMONTH(O295,1)))),"")</f>
        <v/>
      </c>
      <c r="P296" s="4" t="str">
        <f ca="1">Preencher_Salários!J298</f>
        <v/>
      </c>
    </row>
    <row r="297" spans="15:16" x14ac:dyDescent="0.3">
      <c r="O297" s="21" t="str">
        <f ca="1">IFERROR(IF(LEFT(O296,2)="13",DATE(RIGHT(O296,4),12,31),IF(EOMONTH(O296,1)&gt;PREMISSAS!$C$3,"",IF(MONTH(O296)=11,"13º "&amp;YEAR(O296),EOMONTH(O296,1)))),"")</f>
        <v/>
      </c>
      <c r="P297" s="4" t="str">
        <f ca="1">Preencher_Salários!J299</f>
        <v/>
      </c>
    </row>
    <row r="298" spans="15:16" x14ac:dyDescent="0.3">
      <c r="O298" s="21" t="str">
        <f ca="1">IFERROR(IF(LEFT(O297,2)="13",DATE(RIGHT(O297,4),12,31),IF(EOMONTH(O297,1)&gt;PREMISSAS!$C$3,"",IF(MONTH(O297)=11,"13º "&amp;YEAR(O297),EOMONTH(O297,1)))),"")</f>
        <v/>
      </c>
      <c r="P298" s="4" t="str">
        <f ca="1">Preencher_Salários!J300</f>
        <v/>
      </c>
    </row>
    <row r="299" spans="15:16" x14ac:dyDescent="0.3">
      <c r="O299" s="21" t="str">
        <f ca="1">IFERROR(IF(LEFT(O298,2)="13",DATE(RIGHT(O298,4),12,31),IF(EOMONTH(O298,1)&gt;PREMISSAS!$C$3,"",IF(MONTH(O298)=11,"13º "&amp;YEAR(O298),EOMONTH(O298,1)))),"")</f>
        <v/>
      </c>
      <c r="P299" s="4" t="str">
        <f ca="1">Preencher_Salários!J301</f>
        <v/>
      </c>
    </row>
    <row r="300" spans="15:16" x14ac:dyDescent="0.3">
      <c r="O300" s="21" t="str">
        <f ca="1">IFERROR(IF(LEFT(O299,2)="13",DATE(RIGHT(O299,4),12,31),IF(EOMONTH(O299,1)&gt;PREMISSAS!$C$3,"",IF(MONTH(O299)=11,"13º "&amp;YEAR(O299),EOMONTH(O299,1)))),"")</f>
        <v/>
      </c>
      <c r="P300" s="4" t="str">
        <f ca="1">Preencher_Salários!J302</f>
        <v/>
      </c>
    </row>
    <row r="301" spans="15:16" x14ac:dyDescent="0.3">
      <c r="O301" s="21" t="str">
        <f ca="1">IFERROR(IF(LEFT(O300,2)="13",DATE(RIGHT(O300,4),12,31),IF(EOMONTH(O300,1)&gt;PREMISSAS!$C$3,"",IF(MONTH(O300)=11,"13º "&amp;YEAR(O300),EOMONTH(O300,1)))),"")</f>
        <v/>
      </c>
      <c r="P301" s="4" t="str">
        <f ca="1">Preencher_Salários!J303</f>
        <v/>
      </c>
    </row>
    <row r="302" spans="15:16" x14ac:dyDescent="0.3">
      <c r="O302" s="21" t="str">
        <f ca="1">IFERROR(IF(LEFT(O301,2)="13",DATE(RIGHT(O301,4),12,31),IF(EOMONTH(O301,1)&gt;PREMISSAS!$C$3,"",IF(MONTH(O301)=11,"13º "&amp;YEAR(O301),EOMONTH(O301,1)))),"")</f>
        <v/>
      </c>
      <c r="P302" s="4" t="str">
        <f ca="1">Preencher_Salários!J304</f>
        <v/>
      </c>
    </row>
    <row r="303" spans="15:16" x14ac:dyDescent="0.3">
      <c r="O303" s="21" t="str">
        <f ca="1">IFERROR(IF(LEFT(O302,2)="13",DATE(RIGHT(O302,4),12,31),IF(EOMONTH(O302,1)&gt;PREMISSAS!$C$3,"",IF(MONTH(O302)=11,"13º "&amp;YEAR(O302),EOMONTH(O302,1)))),"")</f>
        <v/>
      </c>
      <c r="P303" s="4" t="str">
        <f ca="1">Preencher_Salários!J305</f>
        <v/>
      </c>
    </row>
    <row r="304" spans="15:16" x14ac:dyDescent="0.3">
      <c r="O304" s="21" t="str">
        <f ca="1">IFERROR(IF(LEFT(O303,2)="13",DATE(RIGHT(O303,4),12,31),IF(EOMONTH(O303,1)&gt;PREMISSAS!$C$3,"",IF(MONTH(O303)=11,"13º "&amp;YEAR(O303),EOMONTH(O303,1)))),"")</f>
        <v/>
      </c>
      <c r="P304" s="4" t="str">
        <f ca="1">Preencher_Salários!J306</f>
        <v/>
      </c>
    </row>
    <row r="305" spans="15:16" x14ac:dyDescent="0.3">
      <c r="O305" s="21" t="str">
        <f ca="1">IFERROR(IF(LEFT(O304,2)="13",DATE(RIGHT(O304,4),12,31),IF(EOMONTH(O304,1)&gt;PREMISSAS!$C$3,"",IF(MONTH(O304)=11,"13º "&amp;YEAR(O304),EOMONTH(O304,1)))),"")</f>
        <v/>
      </c>
      <c r="P305" s="4" t="str">
        <f ca="1">Preencher_Salários!J307</f>
        <v/>
      </c>
    </row>
    <row r="306" spans="15:16" x14ac:dyDescent="0.3">
      <c r="O306" s="21" t="str">
        <f ca="1">IFERROR(IF(LEFT(O305,2)="13",DATE(RIGHT(O305,4),12,31),IF(EOMONTH(O305,1)&gt;PREMISSAS!$C$3,"",IF(MONTH(O305)=11,"13º "&amp;YEAR(O305),EOMONTH(O305,1)))),"")</f>
        <v/>
      </c>
      <c r="P306" s="4" t="str">
        <f ca="1">Preencher_Salários!J308</f>
        <v/>
      </c>
    </row>
    <row r="307" spans="15:16" x14ac:dyDescent="0.3">
      <c r="O307" s="21" t="str">
        <f ca="1">IFERROR(IF(LEFT(O306,2)="13",DATE(RIGHT(O306,4),12,31),IF(EOMONTH(O306,1)&gt;PREMISSAS!$C$3,"",IF(MONTH(O306)=11,"13º "&amp;YEAR(O306),EOMONTH(O306,1)))),"")</f>
        <v/>
      </c>
      <c r="P307" s="4" t="str">
        <f ca="1">Preencher_Salários!J309</f>
        <v/>
      </c>
    </row>
    <row r="308" spans="15:16" x14ac:dyDescent="0.3">
      <c r="O308" s="21" t="str">
        <f ca="1">IFERROR(IF(LEFT(O307,2)="13",DATE(RIGHT(O307,4),12,31),IF(EOMONTH(O307,1)&gt;PREMISSAS!$C$3,"",IF(MONTH(O307)=11,"13º "&amp;YEAR(O307),EOMONTH(O307,1)))),"")</f>
        <v/>
      </c>
      <c r="P308" s="4" t="str">
        <f ca="1">Preencher_Salários!J310</f>
        <v/>
      </c>
    </row>
    <row r="309" spans="15:16" x14ac:dyDescent="0.3">
      <c r="O309" s="21" t="str">
        <f ca="1">IFERROR(IF(LEFT(O308,2)="13",DATE(RIGHT(O308,4),12,31),IF(EOMONTH(O308,1)&gt;PREMISSAS!$C$3,"",IF(MONTH(O308)=11,"13º "&amp;YEAR(O308),EOMONTH(O308,1)))),"")</f>
        <v/>
      </c>
      <c r="P309" s="4" t="str">
        <f ca="1">Preencher_Salários!J311</f>
        <v/>
      </c>
    </row>
    <row r="310" spans="15:16" x14ac:dyDescent="0.3">
      <c r="O310" s="21" t="str">
        <f ca="1">IFERROR(IF(LEFT(O309,2)="13",DATE(RIGHT(O309,4),12,31),IF(EOMONTH(O309,1)&gt;PREMISSAS!$C$3,"",IF(MONTH(O309)=11,"13º "&amp;YEAR(O309),EOMONTH(O309,1)))),"")</f>
        <v/>
      </c>
      <c r="P310" s="4" t="str">
        <f ca="1">Preencher_Salários!J312</f>
        <v/>
      </c>
    </row>
    <row r="311" spans="15:16" x14ac:dyDescent="0.3">
      <c r="O311" s="21" t="str">
        <f ca="1">IFERROR(IF(LEFT(O310,2)="13",DATE(RIGHT(O310,4),12,31),IF(EOMONTH(O310,1)&gt;PREMISSAS!$C$3,"",IF(MONTH(O310)=11,"13º "&amp;YEAR(O310),EOMONTH(O310,1)))),"")</f>
        <v/>
      </c>
      <c r="P311" s="4" t="str">
        <f ca="1">Preencher_Salários!J313</f>
        <v/>
      </c>
    </row>
    <row r="312" spans="15:16" x14ac:dyDescent="0.3">
      <c r="O312" s="21" t="str">
        <f ca="1">IFERROR(IF(LEFT(O311,2)="13",DATE(RIGHT(O311,4),12,31),IF(EOMONTH(O311,1)&gt;PREMISSAS!$C$3,"",IF(MONTH(O311)=11,"13º "&amp;YEAR(O311),EOMONTH(O311,1)))),"")</f>
        <v/>
      </c>
      <c r="P312" s="4" t="str">
        <f ca="1">Preencher_Salários!J314</f>
        <v/>
      </c>
    </row>
    <row r="313" spans="15:16" x14ac:dyDescent="0.3">
      <c r="O313" s="21" t="str">
        <f ca="1">IFERROR(IF(LEFT(O312,2)="13",DATE(RIGHT(O312,4),12,31),IF(EOMONTH(O312,1)&gt;PREMISSAS!$C$3,"",IF(MONTH(O312)=11,"13º "&amp;YEAR(O312),EOMONTH(O312,1)))),"")</f>
        <v/>
      </c>
      <c r="P313" s="4" t="str">
        <f ca="1">Preencher_Salários!J315</f>
        <v/>
      </c>
    </row>
    <row r="314" spans="15:16" x14ac:dyDescent="0.3">
      <c r="O314" s="21" t="str">
        <f ca="1">IFERROR(IF(LEFT(O313,2)="13",DATE(RIGHT(O313,4),12,31),IF(EOMONTH(O313,1)&gt;PREMISSAS!$C$3,"",IF(MONTH(O313)=11,"13º "&amp;YEAR(O313),EOMONTH(O313,1)))),"")</f>
        <v/>
      </c>
      <c r="P314" s="4" t="str">
        <f ca="1">Preencher_Salários!J316</f>
        <v/>
      </c>
    </row>
    <row r="315" spans="15:16" x14ac:dyDescent="0.3">
      <c r="O315" s="21" t="str">
        <f ca="1">IFERROR(IF(LEFT(O314,2)="13",DATE(RIGHT(O314,4),12,31),IF(EOMONTH(O314,1)&gt;PREMISSAS!$C$3,"",IF(MONTH(O314)=11,"13º "&amp;YEAR(O314),EOMONTH(O314,1)))),"")</f>
        <v/>
      </c>
      <c r="P315" s="4" t="str">
        <f ca="1">Preencher_Salários!J317</f>
        <v/>
      </c>
    </row>
    <row r="316" spans="15:16" x14ac:dyDescent="0.3">
      <c r="O316" s="21" t="str">
        <f ca="1">IFERROR(IF(LEFT(O315,2)="13",DATE(RIGHT(O315,4),12,31),IF(EOMONTH(O315,1)&gt;PREMISSAS!$C$3,"",IF(MONTH(O315)=11,"13º "&amp;YEAR(O315),EOMONTH(O315,1)))),"")</f>
        <v/>
      </c>
      <c r="P316" s="4" t="str">
        <f ca="1">Preencher_Salários!J318</f>
        <v/>
      </c>
    </row>
    <row r="317" spans="15:16" x14ac:dyDescent="0.3">
      <c r="O317" s="21" t="str">
        <f ca="1">IFERROR(IF(LEFT(O316,2)="13",DATE(RIGHT(O316,4),12,31),IF(EOMONTH(O316,1)&gt;PREMISSAS!$C$3,"",IF(MONTH(O316)=11,"13º "&amp;YEAR(O316),EOMONTH(O316,1)))),"")</f>
        <v/>
      </c>
      <c r="P317" s="4" t="str">
        <f ca="1">Preencher_Salários!J319</f>
        <v/>
      </c>
    </row>
    <row r="318" spans="15:16" x14ac:dyDescent="0.3">
      <c r="O318" s="21" t="str">
        <f ca="1">IFERROR(IF(LEFT(O317,2)="13",DATE(RIGHT(O317,4),12,31),IF(EOMONTH(O317,1)&gt;PREMISSAS!$C$3,"",IF(MONTH(O317)=11,"13º "&amp;YEAR(O317),EOMONTH(O317,1)))),"")</f>
        <v/>
      </c>
      <c r="P318" s="4" t="str">
        <f ca="1">Preencher_Salários!J320</f>
        <v/>
      </c>
    </row>
    <row r="319" spans="15:16" x14ac:dyDescent="0.3">
      <c r="O319" s="21" t="str">
        <f ca="1">IFERROR(IF(LEFT(O318,2)="13",DATE(RIGHT(O318,4),12,31),IF(EOMONTH(O318,1)&gt;PREMISSAS!$C$3,"",IF(MONTH(O318)=11,"13º "&amp;YEAR(O318),EOMONTH(O318,1)))),"")</f>
        <v/>
      </c>
      <c r="P319" s="4" t="str">
        <f ca="1">Preencher_Salários!J321</f>
        <v/>
      </c>
    </row>
    <row r="320" spans="15:16" x14ac:dyDescent="0.3">
      <c r="O320" s="21" t="str">
        <f ca="1">IFERROR(IF(LEFT(O319,2)="13",DATE(RIGHT(O319,4),12,31),IF(EOMONTH(O319,1)&gt;PREMISSAS!$C$3,"",IF(MONTH(O319)=11,"13º "&amp;YEAR(O319),EOMONTH(O319,1)))),"")</f>
        <v/>
      </c>
      <c r="P320" s="4" t="str">
        <f ca="1">Preencher_Salários!J322</f>
        <v/>
      </c>
    </row>
    <row r="321" spans="15:16" x14ac:dyDescent="0.3">
      <c r="O321" s="21" t="str">
        <f ca="1">IFERROR(IF(LEFT(O320,2)="13",DATE(RIGHT(O320,4),12,31),IF(EOMONTH(O320,1)&gt;PREMISSAS!$C$3,"",IF(MONTH(O320)=11,"13º "&amp;YEAR(O320),EOMONTH(O320,1)))),"")</f>
        <v/>
      </c>
      <c r="P321" s="4" t="str">
        <f ca="1">Preencher_Salários!J323</f>
        <v/>
      </c>
    </row>
    <row r="322" spans="15:16" x14ac:dyDescent="0.3">
      <c r="O322" s="21" t="str">
        <f ca="1">IFERROR(IF(LEFT(O321,2)="13",DATE(RIGHT(O321,4),12,31),IF(EOMONTH(O321,1)&gt;PREMISSAS!$C$3,"",IF(MONTH(O321)=11,"13º "&amp;YEAR(O321),EOMONTH(O321,1)))),"")</f>
        <v/>
      </c>
      <c r="P322" s="4" t="str">
        <f ca="1">Preencher_Salários!J324</f>
        <v/>
      </c>
    </row>
    <row r="323" spans="15:16" x14ac:dyDescent="0.3">
      <c r="O323" s="21" t="str">
        <f ca="1">IFERROR(IF(LEFT(O322,2)="13",DATE(RIGHT(O322,4),12,31),IF(EOMONTH(O322,1)&gt;PREMISSAS!$C$3,"",IF(MONTH(O322)=11,"13º "&amp;YEAR(O322),EOMONTH(O322,1)))),"")</f>
        <v/>
      </c>
      <c r="P323" s="4" t="str">
        <f ca="1">Preencher_Salários!J325</f>
        <v/>
      </c>
    </row>
    <row r="324" spans="15:16" x14ac:dyDescent="0.3">
      <c r="O324" s="21" t="str">
        <f ca="1">IFERROR(IF(LEFT(O323,2)="13",DATE(RIGHT(O323,4),12,31),IF(EOMONTH(O323,1)&gt;PREMISSAS!$C$3,"",IF(MONTH(O323)=11,"13º "&amp;YEAR(O323),EOMONTH(O323,1)))),"")</f>
        <v/>
      </c>
      <c r="P324" s="4" t="str">
        <f ca="1">Preencher_Salários!J326</f>
        <v/>
      </c>
    </row>
    <row r="325" spans="15:16" x14ac:dyDescent="0.3">
      <c r="O325" s="21" t="str">
        <f ca="1">IFERROR(IF(LEFT(O324,2)="13",DATE(RIGHT(O324,4),12,31),IF(EOMONTH(O324,1)&gt;PREMISSAS!$C$3,"",IF(MONTH(O324)=11,"13º "&amp;YEAR(O324),EOMONTH(O324,1)))),"")</f>
        <v/>
      </c>
      <c r="P325" s="4" t="str">
        <f ca="1">Preencher_Salários!J327</f>
        <v/>
      </c>
    </row>
    <row r="326" spans="15:16" x14ac:dyDescent="0.3">
      <c r="O326" s="21" t="str">
        <f ca="1">IFERROR(IF(LEFT(O325,2)="13",DATE(RIGHT(O325,4),12,31),IF(EOMONTH(O325,1)&gt;PREMISSAS!$C$3,"",IF(MONTH(O325)=11,"13º "&amp;YEAR(O325),EOMONTH(O325,1)))),"")</f>
        <v/>
      </c>
      <c r="P326" s="4" t="str">
        <f ca="1">Preencher_Salários!J328</f>
        <v/>
      </c>
    </row>
    <row r="327" spans="15:16" x14ac:dyDescent="0.3">
      <c r="O327" s="21" t="str">
        <f ca="1">IFERROR(IF(LEFT(O326,2)="13",DATE(RIGHT(O326,4),12,31),IF(EOMONTH(O326,1)&gt;PREMISSAS!$C$3,"",IF(MONTH(O326)=11,"13º "&amp;YEAR(O326),EOMONTH(O326,1)))),"")</f>
        <v/>
      </c>
      <c r="P327" s="4" t="str">
        <f ca="1">Preencher_Salários!J329</f>
        <v/>
      </c>
    </row>
    <row r="328" spans="15:16" x14ac:dyDescent="0.3">
      <c r="O328" s="21" t="str">
        <f ca="1">IFERROR(IF(LEFT(O327,2)="13",DATE(RIGHT(O327,4),12,31),IF(EOMONTH(O327,1)&gt;PREMISSAS!$C$3,"",IF(MONTH(O327)=11,"13º "&amp;YEAR(O327),EOMONTH(O327,1)))),"")</f>
        <v/>
      </c>
      <c r="P328" s="4" t="str">
        <f ca="1">Preencher_Salários!J330</f>
        <v/>
      </c>
    </row>
    <row r="329" spans="15:16" x14ac:dyDescent="0.3">
      <c r="O329" s="21" t="str">
        <f ca="1">IFERROR(IF(LEFT(O328,2)="13",DATE(RIGHT(O328,4),12,31),IF(EOMONTH(O328,1)&gt;PREMISSAS!$C$3,"",IF(MONTH(O328)=11,"13º "&amp;YEAR(O328),EOMONTH(O328,1)))),"")</f>
        <v/>
      </c>
      <c r="P329" s="4" t="str">
        <f ca="1">Preencher_Salários!J331</f>
        <v/>
      </c>
    </row>
    <row r="330" spans="15:16" x14ac:dyDescent="0.3">
      <c r="O330" s="21" t="str">
        <f ca="1">IFERROR(IF(LEFT(O329,2)="13",DATE(RIGHT(O329,4),12,31),IF(EOMONTH(O329,1)&gt;PREMISSAS!$C$3,"",IF(MONTH(O329)=11,"13º "&amp;YEAR(O329),EOMONTH(O329,1)))),"")</f>
        <v/>
      </c>
      <c r="P330" s="4" t="str">
        <f ca="1">Preencher_Salários!J332</f>
        <v/>
      </c>
    </row>
    <row r="331" spans="15:16" x14ac:dyDescent="0.3">
      <c r="O331" s="21" t="str">
        <f ca="1">IFERROR(IF(LEFT(O330,2)="13",DATE(RIGHT(O330,4),12,31),IF(EOMONTH(O330,1)&gt;PREMISSAS!$C$3,"",IF(MONTH(O330)=11,"13º "&amp;YEAR(O330),EOMONTH(O330,1)))),"")</f>
        <v/>
      </c>
      <c r="P331" s="4" t="str">
        <f ca="1">Preencher_Salários!J333</f>
        <v/>
      </c>
    </row>
    <row r="332" spans="15:16" x14ac:dyDescent="0.3">
      <c r="O332" s="21" t="str">
        <f ca="1">IFERROR(IF(LEFT(O331,2)="13",DATE(RIGHT(O331,4),12,31),IF(EOMONTH(O331,1)&gt;PREMISSAS!$C$3,"",IF(MONTH(O331)=11,"13º "&amp;YEAR(O331),EOMONTH(O331,1)))),"")</f>
        <v/>
      </c>
      <c r="P332" s="4" t="str">
        <f ca="1">Preencher_Salários!J334</f>
        <v/>
      </c>
    </row>
    <row r="333" spans="15:16" x14ac:dyDescent="0.3">
      <c r="O333" s="21" t="str">
        <f ca="1">IFERROR(IF(LEFT(O332,2)="13",DATE(RIGHT(O332,4),12,31),IF(EOMONTH(O332,1)&gt;PREMISSAS!$C$3,"",IF(MONTH(O332)=11,"13º "&amp;YEAR(O332),EOMONTH(O332,1)))),"")</f>
        <v/>
      </c>
      <c r="P333" s="4" t="str">
        <f ca="1">Preencher_Salários!J335</f>
        <v/>
      </c>
    </row>
    <row r="334" spans="15:16" x14ac:dyDescent="0.3">
      <c r="O334" s="21" t="str">
        <f ca="1">IFERROR(IF(LEFT(O333,2)="13",DATE(RIGHT(O333,4),12,31),IF(EOMONTH(O333,1)&gt;PREMISSAS!$C$3,"",IF(MONTH(O333)=11,"13º "&amp;YEAR(O333),EOMONTH(O333,1)))),"")</f>
        <v/>
      </c>
      <c r="P334" s="4" t="str">
        <f ca="1">Preencher_Salários!J336</f>
        <v/>
      </c>
    </row>
    <row r="335" spans="15:16" x14ac:dyDescent="0.3">
      <c r="O335" s="21" t="str">
        <f ca="1">IFERROR(IF(LEFT(O334,2)="13",DATE(RIGHT(O334,4),12,31),IF(EOMONTH(O334,1)&gt;PREMISSAS!$C$3,"",IF(MONTH(O334)=11,"13º "&amp;YEAR(O334),EOMONTH(O334,1)))),"")</f>
        <v/>
      </c>
      <c r="P335" s="4" t="str">
        <f ca="1">Preencher_Salários!J337</f>
        <v/>
      </c>
    </row>
    <row r="336" spans="15:16" x14ac:dyDescent="0.3">
      <c r="O336" s="21" t="str">
        <f ca="1">IFERROR(IF(LEFT(O335,2)="13",DATE(RIGHT(O335,4),12,31),IF(EOMONTH(O335,1)&gt;PREMISSAS!$C$3,"",IF(MONTH(O335)=11,"13º "&amp;YEAR(O335),EOMONTH(O335,1)))),"")</f>
        <v/>
      </c>
      <c r="P336" s="4" t="str">
        <f ca="1">Preencher_Salários!J338</f>
        <v/>
      </c>
    </row>
    <row r="337" spans="15:16" x14ac:dyDescent="0.3">
      <c r="O337" s="21" t="str">
        <f ca="1">IFERROR(IF(LEFT(O336,2)="13",DATE(RIGHT(O336,4),12,31),IF(EOMONTH(O336,1)&gt;PREMISSAS!$C$3,"",IF(MONTH(O336)=11,"13º "&amp;YEAR(O336),EOMONTH(O336,1)))),"")</f>
        <v/>
      </c>
      <c r="P337" s="4" t="str">
        <f ca="1">Preencher_Salários!J339</f>
        <v/>
      </c>
    </row>
    <row r="338" spans="15:16" x14ac:dyDescent="0.3">
      <c r="O338" s="21" t="str">
        <f ca="1">IFERROR(IF(LEFT(O337,2)="13",DATE(RIGHT(O337,4),12,31),IF(EOMONTH(O337,1)&gt;PREMISSAS!$C$3,"",IF(MONTH(O337)=11,"13º "&amp;YEAR(O337),EOMONTH(O337,1)))),"")</f>
        <v/>
      </c>
      <c r="P338" s="4" t="str">
        <f ca="1">Preencher_Salários!J340</f>
        <v/>
      </c>
    </row>
    <row r="339" spans="15:16" x14ac:dyDescent="0.3">
      <c r="O339" s="21" t="str">
        <f ca="1">IFERROR(IF(LEFT(O338,2)="13",DATE(RIGHT(O338,4),12,31),IF(EOMONTH(O338,1)&gt;PREMISSAS!$C$3,"",IF(MONTH(O338)=11,"13º "&amp;YEAR(O338),EOMONTH(O338,1)))),"")</f>
        <v/>
      </c>
      <c r="P339" s="4" t="str">
        <f ca="1">Preencher_Salários!J341</f>
        <v/>
      </c>
    </row>
    <row r="340" spans="15:16" x14ac:dyDescent="0.3">
      <c r="O340" s="21" t="str">
        <f ca="1">IFERROR(IF(LEFT(O339,2)="13",DATE(RIGHT(O339,4),12,31),IF(EOMONTH(O339,1)&gt;PREMISSAS!$C$3,"",IF(MONTH(O339)=11,"13º "&amp;YEAR(O339),EOMONTH(O339,1)))),"")</f>
        <v/>
      </c>
      <c r="P340" s="4" t="str">
        <f ca="1">Preencher_Salários!J342</f>
        <v/>
      </c>
    </row>
    <row r="341" spans="15:16" x14ac:dyDescent="0.3">
      <c r="O341" s="21" t="str">
        <f ca="1">IFERROR(IF(LEFT(O340,2)="13",DATE(RIGHT(O340,4),12,31),IF(EOMONTH(O340,1)&gt;PREMISSAS!$C$3,"",IF(MONTH(O340)=11,"13º "&amp;YEAR(O340),EOMONTH(O340,1)))),"")</f>
        <v/>
      </c>
      <c r="P341" s="4" t="str">
        <f ca="1">Preencher_Salários!J343</f>
        <v/>
      </c>
    </row>
    <row r="342" spans="15:16" x14ac:dyDescent="0.3">
      <c r="O342" s="21" t="str">
        <f ca="1">IFERROR(IF(LEFT(O341,2)="13",DATE(RIGHT(O341,4),12,31),IF(EOMONTH(O341,1)&gt;PREMISSAS!$C$3,"",IF(MONTH(O341)=11,"13º "&amp;YEAR(O341),EOMONTH(O341,1)))),"")</f>
        <v/>
      </c>
      <c r="P342" s="4" t="str">
        <f ca="1">Preencher_Salários!J344</f>
        <v/>
      </c>
    </row>
    <row r="343" spans="15:16" x14ac:dyDescent="0.3">
      <c r="O343" s="21" t="str">
        <f ca="1">IFERROR(IF(LEFT(O342,2)="13",DATE(RIGHT(O342,4),12,31),IF(EOMONTH(O342,1)&gt;PREMISSAS!$C$3,"",IF(MONTH(O342)=11,"13º "&amp;YEAR(O342),EOMONTH(O342,1)))),"")</f>
        <v/>
      </c>
      <c r="P343" s="4" t="str">
        <f ca="1">Preencher_Salários!J345</f>
        <v/>
      </c>
    </row>
    <row r="344" spans="15:16" x14ac:dyDescent="0.3">
      <c r="O344" s="21" t="str">
        <f ca="1">IFERROR(IF(LEFT(O343,2)="13",DATE(RIGHT(O343,4),12,31),IF(EOMONTH(O343,1)&gt;PREMISSAS!$C$3,"",IF(MONTH(O343)=11,"13º "&amp;YEAR(O343),EOMONTH(O343,1)))),"")</f>
        <v/>
      </c>
      <c r="P344" s="4" t="str">
        <f ca="1">Preencher_Salários!J346</f>
        <v/>
      </c>
    </row>
    <row r="345" spans="15:16" x14ac:dyDescent="0.3">
      <c r="O345" s="21" t="str">
        <f ca="1">IFERROR(IF(LEFT(O344,2)="13",DATE(RIGHT(O344,4),12,31),IF(EOMONTH(O344,1)&gt;PREMISSAS!$C$3,"",IF(MONTH(O344)=11,"13º "&amp;YEAR(O344),EOMONTH(O344,1)))),"")</f>
        <v/>
      </c>
      <c r="P345" s="4" t="str">
        <f ca="1">Preencher_Salários!J347</f>
        <v/>
      </c>
    </row>
    <row r="346" spans="15:16" x14ac:dyDescent="0.3">
      <c r="O346" s="21" t="str">
        <f ca="1">IFERROR(IF(LEFT(O345,2)="13",DATE(RIGHT(O345,4),12,31),IF(EOMONTH(O345,1)&gt;PREMISSAS!$C$3,"",IF(MONTH(O345)=11,"13º "&amp;YEAR(O345),EOMONTH(O345,1)))),"")</f>
        <v/>
      </c>
      <c r="P346" s="4" t="str">
        <f ca="1">Preencher_Salários!J348</f>
        <v/>
      </c>
    </row>
    <row r="347" spans="15:16" x14ac:dyDescent="0.3">
      <c r="O347" s="21" t="str">
        <f ca="1">IFERROR(IF(LEFT(O346,2)="13",DATE(RIGHT(O346,4),12,31),IF(EOMONTH(O346,1)&gt;PREMISSAS!$C$3,"",IF(MONTH(O346)=11,"13º "&amp;YEAR(O346),EOMONTH(O346,1)))),"")</f>
        <v/>
      </c>
      <c r="P347" s="4" t="str">
        <f ca="1">Preencher_Salários!J349</f>
        <v/>
      </c>
    </row>
    <row r="348" spans="15:16" x14ac:dyDescent="0.3">
      <c r="O348" s="21" t="str">
        <f ca="1">IFERROR(IF(LEFT(O347,2)="13",DATE(RIGHT(O347,4),12,31),IF(EOMONTH(O347,1)&gt;PREMISSAS!$C$3,"",IF(MONTH(O347)=11,"13º "&amp;YEAR(O347),EOMONTH(O347,1)))),"")</f>
        <v/>
      </c>
      <c r="P348" s="4" t="str">
        <f ca="1">Preencher_Salários!J350</f>
        <v/>
      </c>
    </row>
    <row r="349" spans="15:16" x14ac:dyDescent="0.3">
      <c r="O349" s="21" t="str">
        <f ca="1">IFERROR(IF(LEFT(O348,2)="13",DATE(RIGHT(O348,4),12,31),IF(EOMONTH(O348,1)&gt;PREMISSAS!$C$3,"",IF(MONTH(O348)=11,"13º "&amp;YEAR(O348),EOMONTH(O348,1)))),"")</f>
        <v/>
      </c>
      <c r="P349" s="4" t="str">
        <f ca="1">Preencher_Salários!J351</f>
        <v/>
      </c>
    </row>
    <row r="350" spans="15:16" x14ac:dyDescent="0.3">
      <c r="O350" s="21" t="str">
        <f ca="1">IFERROR(IF(LEFT(O349,2)="13",DATE(RIGHT(O349,4),12,31),IF(EOMONTH(O349,1)&gt;PREMISSAS!$C$3,"",IF(MONTH(O349)=11,"13º "&amp;YEAR(O349),EOMONTH(O349,1)))),"")</f>
        <v/>
      </c>
      <c r="P350" s="4" t="str">
        <f ca="1">Preencher_Salários!J352</f>
        <v/>
      </c>
    </row>
    <row r="351" spans="15:16" x14ac:dyDescent="0.3">
      <c r="O351" s="21" t="str">
        <f ca="1">IFERROR(IF(LEFT(O350,2)="13",DATE(RIGHT(O350,4),12,31),IF(EOMONTH(O350,1)&gt;PREMISSAS!$C$3,"",IF(MONTH(O350)=11,"13º "&amp;YEAR(O350),EOMONTH(O350,1)))),"")</f>
        <v/>
      </c>
      <c r="P351" s="4" t="str">
        <f ca="1">Preencher_Salários!J353</f>
        <v/>
      </c>
    </row>
    <row r="352" spans="15:16" x14ac:dyDescent="0.3">
      <c r="O352" s="21" t="str">
        <f ca="1">IFERROR(IF(LEFT(O351,2)="13",DATE(RIGHT(O351,4),12,31),IF(EOMONTH(O351,1)&gt;PREMISSAS!$C$3,"",IF(MONTH(O351)=11,"13º "&amp;YEAR(O351),EOMONTH(O351,1)))),"")</f>
        <v/>
      </c>
      <c r="P352" s="4" t="str">
        <f ca="1">Preencher_Salários!J354</f>
        <v/>
      </c>
    </row>
    <row r="353" spans="15:16" x14ac:dyDescent="0.3">
      <c r="O353" s="21" t="str">
        <f ca="1">IFERROR(IF(LEFT(O352,2)="13",DATE(RIGHT(O352,4),12,31),IF(EOMONTH(O352,1)&gt;PREMISSAS!$C$3,"",IF(MONTH(O352)=11,"13º "&amp;YEAR(O352),EOMONTH(O352,1)))),"")</f>
        <v/>
      </c>
      <c r="P353" s="4" t="str">
        <f ca="1">Preencher_Salários!J355</f>
        <v/>
      </c>
    </row>
    <row r="354" spans="15:16" x14ac:dyDescent="0.3">
      <c r="O354" s="21" t="str">
        <f ca="1">IFERROR(IF(LEFT(O353,2)="13",DATE(RIGHT(O353,4),12,31),IF(EOMONTH(O353,1)&gt;PREMISSAS!$C$3,"",IF(MONTH(O353)=11,"13º "&amp;YEAR(O353),EOMONTH(O353,1)))),"")</f>
        <v/>
      </c>
      <c r="P354" s="4" t="str">
        <f ca="1">Preencher_Salários!J356</f>
        <v/>
      </c>
    </row>
    <row r="355" spans="15:16" x14ac:dyDescent="0.3">
      <c r="O355" s="21" t="str">
        <f ca="1">IFERROR(IF(LEFT(O354,2)="13",DATE(RIGHT(O354,4),12,31),IF(EOMONTH(O354,1)&gt;PREMISSAS!$C$3,"",IF(MONTH(O354)=11,"13º "&amp;YEAR(O354),EOMONTH(O354,1)))),"")</f>
        <v/>
      </c>
      <c r="P355" s="4" t="str">
        <f ca="1">Preencher_Salários!J357</f>
        <v/>
      </c>
    </row>
    <row r="356" spans="15:16" x14ac:dyDescent="0.3">
      <c r="O356" s="21" t="str">
        <f ca="1">IFERROR(IF(LEFT(O355,2)="13",DATE(RIGHT(O355,4),12,31),IF(EOMONTH(O355,1)&gt;PREMISSAS!$C$3,"",IF(MONTH(O355)=11,"13º "&amp;YEAR(O355),EOMONTH(O355,1)))),"")</f>
        <v/>
      </c>
      <c r="P356" s="4" t="str">
        <f ca="1">Preencher_Salários!J358</f>
        <v/>
      </c>
    </row>
    <row r="357" spans="15:16" x14ac:dyDescent="0.3">
      <c r="O357" s="21" t="str">
        <f ca="1">IFERROR(IF(LEFT(O356,2)="13",DATE(RIGHT(O356,4),12,31),IF(EOMONTH(O356,1)&gt;PREMISSAS!$C$3,"",IF(MONTH(O356)=11,"13º "&amp;YEAR(O356),EOMONTH(O356,1)))),"")</f>
        <v/>
      </c>
      <c r="P357" s="4" t="str">
        <f ca="1">Preencher_Salários!J359</f>
        <v/>
      </c>
    </row>
    <row r="358" spans="15:16" x14ac:dyDescent="0.3">
      <c r="O358" s="21" t="str">
        <f ca="1">IFERROR(IF(LEFT(O357,2)="13",DATE(RIGHT(O357,4),12,31),IF(EOMONTH(O357,1)&gt;PREMISSAS!$C$3,"",IF(MONTH(O357)=11,"13º "&amp;YEAR(O357),EOMONTH(O357,1)))),"")</f>
        <v/>
      </c>
      <c r="P358" s="4" t="str">
        <f ca="1">Preencher_Salários!J360</f>
        <v/>
      </c>
    </row>
    <row r="359" spans="15:16" x14ac:dyDescent="0.3">
      <c r="O359" s="21" t="str">
        <f ca="1">IFERROR(IF(LEFT(O358,2)="13",DATE(RIGHT(O358,4),12,31),IF(EOMONTH(O358,1)&gt;PREMISSAS!$C$3,"",IF(MONTH(O358)=11,"13º "&amp;YEAR(O358),EOMONTH(O358,1)))),"")</f>
        <v/>
      </c>
      <c r="P359" s="4" t="str">
        <f ca="1">Preencher_Salários!J361</f>
        <v/>
      </c>
    </row>
    <row r="360" spans="15:16" x14ac:dyDescent="0.3">
      <c r="O360" s="21" t="str">
        <f ca="1">IFERROR(IF(LEFT(O359,2)="13",DATE(RIGHT(O359,4),12,31),IF(EOMONTH(O359,1)&gt;PREMISSAS!$C$3,"",IF(MONTH(O359)=11,"13º "&amp;YEAR(O359),EOMONTH(O359,1)))),"")</f>
        <v/>
      </c>
      <c r="P360" s="4" t="str">
        <f ca="1">Preencher_Salários!J362</f>
        <v/>
      </c>
    </row>
    <row r="361" spans="15:16" x14ac:dyDescent="0.3">
      <c r="O361" s="21" t="str">
        <f ca="1">IFERROR(IF(LEFT(O360,2)="13",DATE(RIGHT(O360,4),12,31),IF(EOMONTH(O360,1)&gt;PREMISSAS!$C$3,"",IF(MONTH(O360)=11,"13º "&amp;YEAR(O360),EOMONTH(O360,1)))),"")</f>
        <v/>
      </c>
      <c r="P361" s="4" t="str">
        <f ca="1">Preencher_Salários!J363</f>
        <v/>
      </c>
    </row>
    <row r="362" spans="15:16" x14ac:dyDescent="0.3">
      <c r="O362" s="21" t="str">
        <f ca="1">IFERROR(IF(LEFT(O361,2)="13",DATE(RIGHT(O361,4),12,31),IF(EOMONTH(O361,1)&gt;PREMISSAS!$C$3,"",IF(MONTH(O361)=11,"13º "&amp;YEAR(O361),EOMONTH(O361,1)))),"")</f>
        <v/>
      </c>
      <c r="P362" s="4" t="str">
        <f ca="1">Preencher_Salários!J364</f>
        <v/>
      </c>
    </row>
    <row r="363" spans="15:16" x14ac:dyDescent="0.3">
      <c r="O363" s="21" t="str">
        <f ca="1">IFERROR(IF(LEFT(O362,2)="13",DATE(RIGHT(O362,4),12,31),IF(EOMONTH(O362,1)&gt;PREMISSAS!$C$3,"",IF(MONTH(O362)=11,"13º "&amp;YEAR(O362),EOMONTH(O362,1)))),"")</f>
        <v/>
      </c>
      <c r="P363" s="4" t="str">
        <f ca="1">Preencher_Salários!J365</f>
        <v/>
      </c>
    </row>
    <row r="364" spans="15:16" x14ac:dyDescent="0.3">
      <c r="O364" s="21" t="str">
        <f ca="1">IFERROR(IF(LEFT(O363,2)="13",DATE(RIGHT(O363,4),12,31),IF(EOMONTH(O363,1)&gt;PREMISSAS!$C$3,"",IF(MONTH(O363)=11,"13º "&amp;YEAR(O363),EOMONTH(O363,1)))),"")</f>
        <v/>
      </c>
      <c r="P364" s="4" t="str">
        <f ca="1">Preencher_Salários!J366</f>
        <v/>
      </c>
    </row>
    <row r="365" spans="15:16" x14ac:dyDescent="0.3">
      <c r="O365" s="21" t="str">
        <f ca="1">IFERROR(IF(LEFT(O364,2)="13",DATE(RIGHT(O364,4),12,31),IF(EOMONTH(O364,1)&gt;PREMISSAS!$C$3,"",IF(MONTH(O364)=11,"13º "&amp;YEAR(O364),EOMONTH(O364,1)))),"")</f>
        <v/>
      </c>
      <c r="P365" s="4" t="str">
        <f ca="1">Preencher_Salários!J367</f>
        <v/>
      </c>
    </row>
    <row r="366" spans="15:16" x14ac:dyDescent="0.3">
      <c r="O366" s="21" t="str">
        <f ca="1">IFERROR(IF(LEFT(O365,2)="13",DATE(RIGHT(O365,4),12,31),IF(EOMONTH(O365,1)&gt;PREMISSAS!$C$3,"",IF(MONTH(O365)=11,"13º "&amp;YEAR(O365),EOMONTH(O365,1)))),"")</f>
        <v/>
      </c>
      <c r="P366" s="4" t="str">
        <f ca="1">Preencher_Salários!J368</f>
        <v/>
      </c>
    </row>
    <row r="367" spans="15:16" x14ac:dyDescent="0.3">
      <c r="O367" s="21" t="str">
        <f ca="1">IFERROR(IF(LEFT(O366,2)="13",DATE(RIGHT(O366,4),12,31),IF(EOMONTH(O366,1)&gt;PREMISSAS!$C$3,"",IF(MONTH(O366)=11,"13º "&amp;YEAR(O366),EOMONTH(O366,1)))),"")</f>
        <v/>
      </c>
      <c r="P367" s="4" t="str">
        <f ca="1">Preencher_Salários!J369</f>
        <v/>
      </c>
    </row>
    <row r="368" spans="15:16" x14ac:dyDescent="0.3">
      <c r="O368" s="21" t="str">
        <f ca="1">IFERROR(IF(LEFT(O367,2)="13",DATE(RIGHT(O367,4),12,31),IF(EOMONTH(O367,1)&gt;PREMISSAS!$C$3,"",IF(MONTH(O367)=11,"13º "&amp;YEAR(O367),EOMONTH(O367,1)))),"")</f>
        <v/>
      </c>
      <c r="P368" s="4" t="str">
        <f ca="1">Preencher_Salários!J370</f>
        <v/>
      </c>
    </row>
    <row r="369" spans="15:16" x14ac:dyDescent="0.3">
      <c r="O369" s="21" t="str">
        <f ca="1">IFERROR(IF(LEFT(O368,2)="13",DATE(RIGHT(O368,4),12,31),IF(EOMONTH(O368,1)&gt;PREMISSAS!$C$3,"",IF(MONTH(O368)=11,"13º "&amp;YEAR(O368),EOMONTH(O368,1)))),"")</f>
        <v/>
      </c>
      <c r="P369" s="4" t="str">
        <f ca="1">Preencher_Salários!J371</f>
        <v/>
      </c>
    </row>
    <row r="370" spans="15:16" x14ac:dyDescent="0.3">
      <c r="O370" s="21" t="str">
        <f ca="1">IFERROR(IF(LEFT(O369,2)="13",DATE(RIGHT(O369,4),12,31),IF(EOMONTH(O369,1)&gt;PREMISSAS!$C$3,"",IF(MONTH(O369)=11,"13º "&amp;YEAR(O369),EOMONTH(O369,1)))),"")</f>
        <v/>
      </c>
      <c r="P370" s="4" t="str">
        <f ca="1">Preencher_Salários!J372</f>
        <v/>
      </c>
    </row>
    <row r="371" spans="15:16" x14ac:dyDescent="0.3">
      <c r="O371" s="21" t="str">
        <f ca="1">IFERROR(IF(LEFT(O370,2)="13",DATE(RIGHT(O370,4),12,31),IF(EOMONTH(O370,1)&gt;PREMISSAS!$C$3,"",IF(MONTH(O370)=11,"13º "&amp;YEAR(O370),EOMONTH(O370,1)))),"")</f>
        <v/>
      </c>
      <c r="P371" s="4" t="str">
        <f ca="1">Preencher_Salários!J373</f>
        <v/>
      </c>
    </row>
    <row r="372" spans="15:16" x14ac:dyDescent="0.3">
      <c r="O372" s="21" t="str">
        <f ca="1">IFERROR(IF(LEFT(O371,2)="13",DATE(RIGHT(O371,4),12,31),IF(EOMONTH(O371,1)&gt;PREMISSAS!$C$3,"",IF(MONTH(O371)=11,"13º "&amp;YEAR(O371),EOMONTH(O371,1)))),"")</f>
        <v/>
      </c>
      <c r="P372" s="4" t="str">
        <f ca="1">Preencher_Salários!J374</f>
        <v/>
      </c>
    </row>
    <row r="373" spans="15:16" x14ac:dyDescent="0.3">
      <c r="O373" s="21" t="str">
        <f ca="1">IFERROR(IF(LEFT(O372,2)="13",DATE(RIGHT(O372,4),12,31),IF(EOMONTH(O372,1)&gt;PREMISSAS!$C$3,"",IF(MONTH(O372)=11,"13º "&amp;YEAR(O372),EOMONTH(O372,1)))),"")</f>
        <v/>
      </c>
      <c r="P373" s="4" t="str">
        <f ca="1">Preencher_Salários!J375</f>
        <v/>
      </c>
    </row>
    <row r="374" spans="15:16" x14ac:dyDescent="0.3">
      <c r="O374" s="21" t="str">
        <f ca="1">IFERROR(IF(LEFT(O373,2)="13",DATE(RIGHT(O373,4),12,31),IF(EOMONTH(O373,1)&gt;PREMISSAS!$C$3,"",IF(MONTH(O373)=11,"13º "&amp;YEAR(O373),EOMONTH(O373,1)))),"")</f>
        <v/>
      </c>
      <c r="P374" s="4" t="str">
        <f ca="1">Preencher_Salários!J376</f>
        <v/>
      </c>
    </row>
    <row r="375" spans="15:16" x14ac:dyDescent="0.3">
      <c r="O375" s="21" t="str">
        <f ca="1">IFERROR(IF(LEFT(O374,2)="13",DATE(RIGHT(O374,4),12,31),IF(EOMONTH(O374,1)&gt;PREMISSAS!$C$3,"",IF(MONTH(O374)=11,"13º "&amp;YEAR(O374),EOMONTH(O374,1)))),"")</f>
        <v/>
      </c>
      <c r="P375" s="4" t="str">
        <f ca="1">Preencher_Salários!J377</f>
        <v/>
      </c>
    </row>
    <row r="376" spans="15:16" x14ac:dyDescent="0.3">
      <c r="O376" s="21" t="str">
        <f ca="1">IFERROR(IF(LEFT(O375,2)="13",DATE(RIGHT(O375,4),12,31),IF(EOMONTH(O375,1)&gt;PREMISSAS!$C$3,"",IF(MONTH(O375)=11,"13º "&amp;YEAR(O375),EOMONTH(O375,1)))),"")</f>
        <v/>
      </c>
      <c r="P376" s="4" t="str">
        <f ca="1">Preencher_Salários!J378</f>
        <v/>
      </c>
    </row>
    <row r="377" spans="15:16" x14ac:dyDescent="0.3">
      <c r="O377" s="21" t="str">
        <f ca="1">IFERROR(IF(LEFT(O376,2)="13",DATE(RIGHT(O376,4),12,31),IF(EOMONTH(O376,1)&gt;PREMISSAS!$C$3,"",IF(MONTH(O376)=11,"13º "&amp;YEAR(O376),EOMONTH(O376,1)))),"")</f>
        <v/>
      </c>
      <c r="P377" s="4" t="str">
        <f ca="1">Preencher_Salários!J379</f>
        <v/>
      </c>
    </row>
    <row r="378" spans="15:16" x14ac:dyDescent="0.3">
      <c r="O378" s="21" t="str">
        <f ca="1">IFERROR(IF(LEFT(O377,2)="13",DATE(RIGHT(O377,4),12,31),IF(EOMONTH(O377,1)&gt;PREMISSAS!$C$3,"",IF(MONTH(O377)=11,"13º "&amp;YEAR(O377),EOMONTH(O377,1)))),"")</f>
        <v/>
      </c>
      <c r="P378" s="4" t="str">
        <f ca="1">Preencher_Salários!J380</f>
        <v/>
      </c>
    </row>
    <row r="379" spans="15:16" x14ac:dyDescent="0.3">
      <c r="O379" s="21" t="str">
        <f ca="1">IFERROR(IF(LEFT(O378,2)="13",DATE(RIGHT(O378,4),12,31),IF(EOMONTH(O378,1)&gt;PREMISSAS!$C$3,"",IF(MONTH(O378)=11,"13º "&amp;YEAR(O378),EOMONTH(O378,1)))),"")</f>
        <v/>
      </c>
      <c r="P379" s="4" t="str">
        <f ca="1">Preencher_Salários!J381</f>
        <v/>
      </c>
    </row>
    <row r="380" spans="15:16" x14ac:dyDescent="0.3">
      <c r="O380" s="21" t="str">
        <f ca="1">IFERROR(IF(LEFT(O379,2)="13",DATE(RIGHT(O379,4),12,31),IF(EOMONTH(O379,1)&gt;PREMISSAS!$C$3,"",IF(MONTH(O379)=11,"13º "&amp;YEAR(O379),EOMONTH(O379,1)))),"")</f>
        <v/>
      </c>
      <c r="P380" s="4" t="str">
        <f ca="1">Preencher_Salários!J382</f>
        <v/>
      </c>
    </row>
    <row r="381" spans="15:16" x14ac:dyDescent="0.3">
      <c r="O381" s="21" t="str">
        <f ca="1">IFERROR(IF(LEFT(O380,2)="13",DATE(RIGHT(O380,4),12,31),IF(EOMONTH(O380,1)&gt;PREMISSAS!$C$3,"",IF(MONTH(O380)=11,"13º "&amp;YEAR(O380),EOMONTH(O380,1)))),"")</f>
        <v/>
      </c>
      <c r="P381" s="4" t="str">
        <f ca="1">Preencher_Salários!J383</f>
        <v/>
      </c>
    </row>
    <row r="382" spans="15:16" x14ac:dyDescent="0.3">
      <c r="O382" s="21" t="str">
        <f ca="1">IFERROR(IF(LEFT(O381,2)="13",DATE(RIGHT(O381,4),12,31),IF(EOMONTH(O381,1)&gt;PREMISSAS!$C$3,"",IF(MONTH(O381)=11,"13º "&amp;YEAR(O381),EOMONTH(O381,1)))),"")</f>
        <v/>
      </c>
      <c r="P382" s="4" t="str">
        <f ca="1">Preencher_Salários!J384</f>
        <v/>
      </c>
    </row>
    <row r="383" spans="15:16" x14ac:dyDescent="0.3">
      <c r="O383" s="21" t="str">
        <f ca="1">IFERROR(IF(LEFT(O382,2)="13",DATE(RIGHT(O382,4),12,31),IF(EOMONTH(O382,1)&gt;PREMISSAS!$C$3,"",IF(MONTH(O382)=11,"13º "&amp;YEAR(O382),EOMONTH(O382,1)))),"")</f>
        <v/>
      </c>
      <c r="P383" s="4" t="str">
        <f ca="1">Preencher_Salários!J385</f>
        <v/>
      </c>
    </row>
    <row r="384" spans="15:16" x14ac:dyDescent="0.3">
      <c r="O384" s="21" t="str">
        <f ca="1">IFERROR(IF(LEFT(O383,2)="13",DATE(RIGHT(O383,4),12,31),IF(EOMONTH(O383,1)&gt;PREMISSAS!$C$3,"",IF(MONTH(O383)=11,"13º "&amp;YEAR(O383),EOMONTH(O383,1)))),"")</f>
        <v/>
      </c>
      <c r="P384" s="4" t="str">
        <f ca="1">Preencher_Salários!J386</f>
        <v/>
      </c>
    </row>
    <row r="385" spans="15:16" x14ac:dyDescent="0.3">
      <c r="O385" s="21" t="str">
        <f ca="1">IFERROR(IF(LEFT(O384,2)="13",DATE(RIGHT(O384,4),12,31),IF(EOMONTH(O384,1)&gt;PREMISSAS!$C$3,"",IF(MONTH(O384)=11,"13º "&amp;YEAR(O384),EOMONTH(O384,1)))),"")</f>
        <v/>
      </c>
      <c r="P385" s="4" t="str">
        <f ca="1">Preencher_Salários!J387</f>
        <v/>
      </c>
    </row>
    <row r="386" spans="15:16" x14ac:dyDescent="0.3">
      <c r="O386" s="21" t="str">
        <f ca="1">IFERROR(IF(LEFT(O385,2)="13",DATE(RIGHT(O385,4),12,31),IF(EOMONTH(O385,1)&gt;PREMISSAS!$C$3,"",IF(MONTH(O385)=11,"13º "&amp;YEAR(O385),EOMONTH(O385,1)))),"")</f>
        <v/>
      </c>
      <c r="P386" s="4" t="str">
        <f ca="1">Preencher_Salários!J388</f>
        <v/>
      </c>
    </row>
    <row r="387" spans="15:16" x14ac:dyDescent="0.3">
      <c r="O387" s="21" t="str">
        <f ca="1">IFERROR(IF(LEFT(O386,2)="13",DATE(RIGHT(O386,4),12,31),IF(EOMONTH(O386,1)&gt;PREMISSAS!$C$3,"",IF(MONTH(O386)=11,"13º "&amp;YEAR(O386),EOMONTH(O386,1)))),"")</f>
        <v/>
      </c>
      <c r="P387" s="4" t="str">
        <f ca="1">Preencher_Salários!J389</f>
        <v/>
      </c>
    </row>
    <row r="388" spans="15:16" x14ac:dyDescent="0.3">
      <c r="O388" s="21" t="str">
        <f ca="1">IFERROR(IF(LEFT(O387,2)="13",DATE(RIGHT(O387,4),12,31),IF(EOMONTH(O387,1)&gt;PREMISSAS!$C$3,"",IF(MONTH(O387)=11,"13º "&amp;YEAR(O387),EOMONTH(O387,1)))),"")</f>
        <v/>
      </c>
      <c r="P388" s="4" t="str">
        <f ca="1">Preencher_Salários!J390</f>
        <v/>
      </c>
    </row>
    <row r="389" spans="15:16" x14ac:dyDescent="0.3">
      <c r="O389" s="21" t="str">
        <f ca="1">IFERROR(IF(LEFT(O388,2)="13",DATE(RIGHT(O388,4),12,31),IF(EOMONTH(O388,1)&gt;PREMISSAS!$C$3,"",IF(MONTH(O388)=11,"13º "&amp;YEAR(O388),EOMONTH(O388,1)))),"")</f>
        <v/>
      </c>
      <c r="P389" s="4" t="str">
        <f ca="1">Preencher_Salários!J391</f>
        <v/>
      </c>
    </row>
    <row r="390" spans="15:16" x14ac:dyDescent="0.3">
      <c r="O390" s="21" t="str">
        <f ca="1">IFERROR(IF(LEFT(O389,2)="13",DATE(RIGHT(O389,4),12,31),IF(EOMONTH(O389,1)&gt;PREMISSAS!$C$3,"",IF(MONTH(O389)=11,"13º "&amp;YEAR(O389),EOMONTH(O389,1)))),"")</f>
        <v/>
      </c>
      <c r="P390" s="4" t="str">
        <f ca="1">Preencher_Salários!J392</f>
        <v/>
      </c>
    </row>
    <row r="391" spans="15:16" x14ac:dyDescent="0.3">
      <c r="O391" s="21" t="str">
        <f ca="1">IFERROR(IF(LEFT(O390,2)="13",DATE(RIGHT(O390,4),12,31),IF(EOMONTH(O390,1)&gt;PREMISSAS!$C$3,"",IF(MONTH(O390)=11,"13º "&amp;YEAR(O390),EOMONTH(O390,1)))),"")</f>
        <v/>
      </c>
      <c r="P391" s="4" t="str">
        <f ca="1">Preencher_Salários!J393</f>
        <v/>
      </c>
    </row>
    <row r="392" spans="15:16" x14ac:dyDescent="0.3">
      <c r="O392" s="21" t="str">
        <f ca="1">IFERROR(IF(LEFT(O391,2)="13",DATE(RIGHT(O391,4),12,31),IF(EOMONTH(O391,1)&gt;PREMISSAS!$C$3,"",IF(MONTH(O391)=11,"13º "&amp;YEAR(O391),EOMONTH(O391,1)))),"")</f>
        <v/>
      </c>
      <c r="P392" s="4" t="str">
        <f ca="1">Preencher_Salários!J394</f>
        <v/>
      </c>
    </row>
    <row r="393" spans="15:16" x14ac:dyDescent="0.3">
      <c r="O393" s="21" t="str">
        <f ca="1">IFERROR(IF(LEFT(O392,2)="13",DATE(RIGHT(O392,4),12,31),IF(EOMONTH(O392,1)&gt;PREMISSAS!$C$3,"",IF(MONTH(O392)=11,"13º "&amp;YEAR(O392),EOMONTH(O392,1)))),"")</f>
        <v/>
      </c>
      <c r="P393" s="4" t="str">
        <f ca="1">Preencher_Salários!J395</f>
        <v/>
      </c>
    </row>
    <row r="394" spans="15:16" x14ac:dyDescent="0.3">
      <c r="O394" s="21" t="str">
        <f ca="1">IFERROR(IF(LEFT(O393,2)="13",DATE(RIGHT(O393,4),12,31),IF(EOMONTH(O393,1)&gt;PREMISSAS!$C$3,"",IF(MONTH(O393)=11,"13º "&amp;YEAR(O393),EOMONTH(O393,1)))),"")</f>
        <v/>
      </c>
      <c r="P394" s="4" t="str">
        <f ca="1">Preencher_Salários!J396</f>
        <v/>
      </c>
    </row>
    <row r="395" spans="15:16" x14ac:dyDescent="0.3">
      <c r="O395" s="21" t="str">
        <f ca="1">IFERROR(IF(LEFT(O394,2)="13",DATE(RIGHT(O394,4),12,31),IF(EOMONTH(O394,1)&gt;PREMISSAS!$C$3,"",IF(MONTH(O394)=11,"13º "&amp;YEAR(O394),EOMONTH(O394,1)))),"")</f>
        <v/>
      </c>
      <c r="P395" s="4" t="str">
        <f ca="1">Preencher_Salários!J397</f>
        <v/>
      </c>
    </row>
    <row r="396" spans="15:16" x14ac:dyDescent="0.3">
      <c r="O396" s="21" t="str">
        <f ca="1">IFERROR(IF(LEFT(O395,2)="13",DATE(RIGHT(O395,4),12,31),IF(EOMONTH(O395,1)&gt;PREMISSAS!$C$3,"",IF(MONTH(O395)=11,"13º "&amp;YEAR(O395),EOMONTH(O395,1)))),"")</f>
        <v/>
      </c>
      <c r="P396" s="4" t="str">
        <f ca="1">Preencher_Salários!J398</f>
        <v/>
      </c>
    </row>
    <row r="397" spans="15:16" x14ac:dyDescent="0.3">
      <c r="O397" s="21" t="str">
        <f ca="1">IFERROR(IF(LEFT(O396,2)="13",DATE(RIGHT(O396,4),12,31),IF(EOMONTH(O396,1)&gt;PREMISSAS!$C$3,"",IF(MONTH(O396)=11,"13º "&amp;YEAR(O396),EOMONTH(O396,1)))),"")</f>
        <v/>
      </c>
      <c r="P397" s="4" t="str">
        <f ca="1">Preencher_Salários!J399</f>
        <v/>
      </c>
    </row>
    <row r="398" spans="15:16" x14ac:dyDescent="0.3">
      <c r="O398" s="21" t="str">
        <f ca="1">IFERROR(IF(LEFT(O397,2)="13",DATE(RIGHT(O397,4),12,31),IF(EOMONTH(O397,1)&gt;PREMISSAS!$C$3,"",IF(MONTH(O397)=11,"13º "&amp;YEAR(O397),EOMONTH(O397,1)))),"")</f>
        <v/>
      </c>
      <c r="P398" s="4" t="str">
        <f ca="1">Preencher_Salários!J400</f>
        <v/>
      </c>
    </row>
    <row r="399" spans="15:16" x14ac:dyDescent="0.3">
      <c r="O399" s="21" t="str">
        <f ca="1">IFERROR(IF(LEFT(O398,2)="13",DATE(RIGHT(O398,4),12,31),IF(EOMONTH(O398,1)&gt;PREMISSAS!$C$3,"",IF(MONTH(O398)=11,"13º "&amp;YEAR(O398),EOMONTH(O398,1)))),"")</f>
        <v/>
      </c>
      <c r="P399" s="4" t="str">
        <f ca="1">Preencher_Salários!J401</f>
        <v/>
      </c>
    </row>
    <row r="400" spans="15:16" x14ac:dyDescent="0.3">
      <c r="O400" s="21" t="str">
        <f ca="1">IFERROR(IF(LEFT(O399,2)="13",DATE(RIGHT(O399,4),12,31),IF(EOMONTH(O399,1)&gt;PREMISSAS!$C$3,"",IF(MONTH(O399)=11,"13º "&amp;YEAR(O399),EOMONTH(O399,1)))),"")</f>
        <v/>
      </c>
      <c r="P400" s="4" t="str">
        <f ca="1">Preencher_Salários!J402</f>
        <v/>
      </c>
    </row>
    <row r="401" spans="15:16" x14ac:dyDescent="0.3">
      <c r="O401" s="21" t="str">
        <f ca="1">IFERROR(IF(LEFT(O400,2)="13",DATE(RIGHT(O400,4),12,31),IF(EOMONTH(O400,1)&gt;PREMISSAS!$C$3,"",IF(MONTH(O400)=11,"13º "&amp;YEAR(O400),EOMONTH(O400,1)))),"")</f>
        <v/>
      </c>
      <c r="P401" s="4" t="str">
        <f ca="1">Preencher_Salários!J403</f>
        <v/>
      </c>
    </row>
    <row r="402" spans="15:16" x14ac:dyDescent="0.3">
      <c r="O402" s="21" t="str">
        <f ca="1">IFERROR(IF(LEFT(O401,2)="13",DATE(RIGHT(O401,4),12,31),IF(EOMONTH(O401,1)&gt;PREMISSAS!$C$3,"",IF(MONTH(O401)=11,"13º "&amp;YEAR(O401),EOMONTH(O401,1)))),"")</f>
        <v/>
      </c>
      <c r="P402" s="4" t="str">
        <f ca="1">Preencher_Salários!J404</f>
        <v/>
      </c>
    </row>
    <row r="403" spans="15:16" x14ac:dyDescent="0.3">
      <c r="O403" s="21" t="str">
        <f ca="1">IFERROR(IF(LEFT(O402,2)="13",DATE(RIGHT(O402,4),12,31),IF(EOMONTH(O402,1)&gt;PREMISSAS!$C$3,"",IF(MONTH(O402)=11,"13º "&amp;YEAR(O402),EOMONTH(O402,1)))),"")</f>
        <v/>
      </c>
      <c r="P403" s="4" t="str">
        <f ca="1">Preencher_Salários!J405</f>
        <v/>
      </c>
    </row>
    <row r="404" spans="15:16" x14ac:dyDescent="0.3">
      <c r="O404" s="21" t="str">
        <f ca="1">IFERROR(IF(LEFT(O403,2)="13",DATE(RIGHT(O403,4),12,31),IF(EOMONTH(O403,1)&gt;PREMISSAS!$C$3,"",IF(MONTH(O403)=11,"13º "&amp;YEAR(O403),EOMONTH(O403,1)))),"")</f>
        <v/>
      </c>
      <c r="P404" s="4" t="str">
        <f ca="1">Preencher_Salários!J406</f>
        <v/>
      </c>
    </row>
    <row r="405" spans="15:16" x14ac:dyDescent="0.3">
      <c r="O405" s="21" t="str">
        <f ca="1">IFERROR(IF(LEFT(O404,2)="13",DATE(RIGHT(O404,4),12,31),IF(EOMONTH(O404,1)&gt;PREMISSAS!$C$3,"",IF(MONTH(O404)=11,"13º "&amp;YEAR(O404),EOMONTH(O404,1)))),"")</f>
        <v/>
      </c>
      <c r="P405" s="4" t="str">
        <f ca="1">Preencher_Salários!J407</f>
        <v/>
      </c>
    </row>
    <row r="406" spans="15:16" x14ac:dyDescent="0.3">
      <c r="O406" s="21" t="str">
        <f ca="1">IFERROR(IF(LEFT(O405,2)="13",DATE(RIGHT(O405,4),12,31),IF(EOMONTH(O405,1)&gt;PREMISSAS!$C$3,"",IF(MONTH(O405)=11,"13º "&amp;YEAR(O405),EOMONTH(O405,1)))),"")</f>
        <v/>
      </c>
      <c r="P406" s="4" t="str">
        <f ca="1">Preencher_Salários!J408</f>
        <v/>
      </c>
    </row>
    <row r="407" spans="15:16" x14ac:dyDescent="0.3">
      <c r="O407" s="21" t="str">
        <f ca="1">IFERROR(IF(LEFT(O406,2)="13",DATE(RIGHT(O406,4),12,31),IF(EOMONTH(O406,1)&gt;PREMISSAS!$C$3,"",IF(MONTH(O406)=11,"13º "&amp;YEAR(O406),EOMONTH(O406,1)))),"")</f>
        <v/>
      </c>
      <c r="P407" s="4" t="str">
        <f ca="1">Preencher_Salários!J409</f>
        <v/>
      </c>
    </row>
    <row r="408" spans="15:16" x14ac:dyDescent="0.3">
      <c r="O408" s="21" t="str">
        <f ca="1">IFERROR(IF(LEFT(O407,2)="13",DATE(RIGHT(O407,4),12,31),IF(EOMONTH(O407,1)&gt;PREMISSAS!$C$3,"",IF(MONTH(O407)=11,"13º "&amp;YEAR(O407),EOMONTH(O407,1)))),"")</f>
        <v/>
      </c>
      <c r="P408" s="4" t="str">
        <f ca="1">Preencher_Salários!J410</f>
        <v/>
      </c>
    </row>
    <row r="409" spans="15:16" x14ac:dyDescent="0.3">
      <c r="O409" s="21" t="str">
        <f ca="1">IFERROR(IF(LEFT(O408,2)="13",DATE(RIGHT(O408,4),12,31),IF(EOMONTH(O408,1)&gt;PREMISSAS!$C$3,"",IF(MONTH(O408)=11,"13º "&amp;YEAR(O408),EOMONTH(O408,1)))),"")</f>
        <v/>
      </c>
      <c r="P409" s="4" t="str">
        <f ca="1">Preencher_Salários!J411</f>
        <v/>
      </c>
    </row>
    <row r="410" spans="15:16" x14ac:dyDescent="0.3">
      <c r="O410" s="21" t="str">
        <f ca="1">IFERROR(IF(LEFT(O409,2)="13",DATE(RIGHT(O409,4),12,31),IF(EOMONTH(O409,1)&gt;PREMISSAS!$C$3,"",IF(MONTH(O409)=11,"13º "&amp;YEAR(O409),EOMONTH(O409,1)))),"")</f>
        <v/>
      </c>
      <c r="P410" s="4" t="str">
        <f ca="1">Preencher_Salários!J412</f>
        <v/>
      </c>
    </row>
    <row r="411" spans="15:16" x14ac:dyDescent="0.3">
      <c r="O411" s="21" t="str">
        <f ca="1">IFERROR(IF(LEFT(O410,2)="13",DATE(RIGHT(O410,4),12,31),IF(EOMONTH(O410,1)&gt;PREMISSAS!$C$3,"",IF(MONTH(O410)=11,"13º "&amp;YEAR(O410),EOMONTH(O410,1)))),"")</f>
        <v/>
      </c>
      <c r="P411" s="4" t="str">
        <f ca="1">Preencher_Salários!J413</f>
        <v/>
      </c>
    </row>
    <row r="412" spans="15:16" x14ac:dyDescent="0.3">
      <c r="O412" s="21" t="str">
        <f ca="1">IFERROR(IF(LEFT(O411,2)="13",DATE(RIGHT(O411,4),12,31),IF(EOMONTH(O411,1)&gt;PREMISSAS!$C$3,"",IF(MONTH(O411)=11,"13º "&amp;YEAR(O411),EOMONTH(O411,1)))),"")</f>
        <v/>
      </c>
      <c r="P412" s="4" t="str">
        <f ca="1">Preencher_Salários!J414</f>
        <v/>
      </c>
    </row>
    <row r="413" spans="15:16" x14ac:dyDescent="0.3">
      <c r="O413" s="21" t="str">
        <f ca="1">IFERROR(IF(LEFT(O412,2)="13",DATE(RIGHT(O412,4),12,31),IF(EOMONTH(O412,1)&gt;PREMISSAS!$C$3,"",IF(MONTH(O412)=11,"13º "&amp;YEAR(O412),EOMONTH(O412,1)))),"")</f>
        <v/>
      </c>
      <c r="P413" s="4" t="str">
        <f ca="1">Preencher_Salários!J415</f>
        <v/>
      </c>
    </row>
    <row r="414" spans="15:16" x14ac:dyDescent="0.3">
      <c r="O414" s="21" t="str">
        <f ca="1">IFERROR(IF(LEFT(O413,2)="13",DATE(RIGHT(O413,4),12,31),IF(EOMONTH(O413,1)&gt;PREMISSAS!$C$3,"",IF(MONTH(O413)=11,"13º "&amp;YEAR(O413),EOMONTH(O413,1)))),"")</f>
        <v/>
      </c>
      <c r="P414" s="4" t="str">
        <f ca="1">Preencher_Salários!J416</f>
        <v/>
      </c>
    </row>
    <row r="415" spans="15:16" x14ac:dyDescent="0.3">
      <c r="O415" s="21" t="str">
        <f ca="1">IFERROR(IF(LEFT(O414,2)="13",DATE(RIGHT(O414,4),12,31),IF(EOMONTH(O414,1)&gt;PREMISSAS!$C$3,"",IF(MONTH(O414)=11,"13º "&amp;YEAR(O414),EOMONTH(O414,1)))),"")</f>
        <v/>
      </c>
      <c r="P415" s="4" t="str">
        <f ca="1">Preencher_Salários!J417</f>
        <v/>
      </c>
    </row>
    <row r="416" spans="15:16" x14ac:dyDescent="0.3">
      <c r="O416" s="21" t="str">
        <f ca="1">IFERROR(IF(LEFT(O415,2)="13",DATE(RIGHT(O415,4),12,31),IF(EOMONTH(O415,1)&gt;PREMISSAS!$C$3,"",IF(MONTH(O415)=11,"13º "&amp;YEAR(O415),EOMONTH(O415,1)))),"")</f>
        <v/>
      </c>
      <c r="P416" s="4" t="str">
        <f ca="1">Preencher_Salários!J418</f>
        <v/>
      </c>
    </row>
    <row r="417" spans="15:16" x14ac:dyDescent="0.3">
      <c r="O417" s="21" t="str">
        <f ca="1">IFERROR(IF(LEFT(O416,2)="13",DATE(RIGHT(O416,4),12,31),IF(EOMONTH(O416,1)&gt;PREMISSAS!$C$3,"",IF(MONTH(O416)=11,"13º "&amp;YEAR(O416),EOMONTH(O416,1)))),"")</f>
        <v/>
      </c>
      <c r="P417" s="4" t="str">
        <f ca="1">Preencher_Salários!J419</f>
        <v/>
      </c>
    </row>
    <row r="418" spans="15:16" x14ac:dyDescent="0.3">
      <c r="O418" s="21" t="str">
        <f ca="1">IFERROR(IF(LEFT(O417,2)="13",DATE(RIGHT(O417,4),12,31),IF(EOMONTH(O417,1)&gt;PREMISSAS!$C$3,"",IF(MONTH(O417)=11,"13º "&amp;YEAR(O417),EOMONTH(O417,1)))),"")</f>
        <v/>
      </c>
      <c r="P418" s="4" t="str">
        <f ca="1">Preencher_Salários!J420</f>
        <v/>
      </c>
    </row>
    <row r="419" spans="15:16" x14ac:dyDescent="0.3">
      <c r="O419" s="21" t="str">
        <f ca="1">IFERROR(IF(LEFT(O418,2)="13",DATE(RIGHT(O418,4),12,31),IF(EOMONTH(O418,1)&gt;PREMISSAS!$C$3,"",IF(MONTH(O418)=11,"13º "&amp;YEAR(O418),EOMONTH(O418,1)))),"")</f>
        <v/>
      </c>
      <c r="P419" s="4" t="str">
        <f ca="1">Preencher_Salários!J421</f>
        <v/>
      </c>
    </row>
    <row r="420" spans="15:16" x14ac:dyDescent="0.3">
      <c r="O420" s="21" t="str">
        <f ca="1">IFERROR(IF(LEFT(O419,2)="13",DATE(RIGHT(O419,4),12,31),IF(EOMONTH(O419,1)&gt;PREMISSAS!$C$3,"",IF(MONTH(O419)=11,"13º "&amp;YEAR(O419),EOMONTH(O419,1)))),"")</f>
        <v/>
      </c>
      <c r="P420" s="4" t="str">
        <f ca="1">Preencher_Salários!J422</f>
        <v/>
      </c>
    </row>
    <row r="421" spans="15:16" x14ac:dyDescent="0.3">
      <c r="O421" s="21" t="str">
        <f ca="1">IFERROR(IF(LEFT(O420,2)="13",DATE(RIGHT(O420,4),12,31),IF(EOMONTH(O420,1)&gt;PREMISSAS!$C$3,"",IF(MONTH(O420)=11,"13º "&amp;YEAR(O420),EOMONTH(O420,1)))),"")</f>
        <v/>
      </c>
      <c r="P421" s="4" t="str">
        <f ca="1">Preencher_Salários!J423</f>
        <v/>
      </c>
    </row>
    <row r="422" spans="15:16" x14ac:dyDescent="0.3">
      <c r="O422" s="21" t="str">
        <f ca="1">IFERROR(IF(LEFT(O421,2)="13",DATE(RIGHT(O421,4),12,31),IF(EOMONTH(O421,1)&gt;PREMISSAS!$C$3,"",IF(MONTH(O421)=11,"13º "&amp;YEAR(O421),EOMONTH(O421,1)))),"")</f>
        <v/>
      </c>
      <c r="P422" s="4" t="str">
        <f ca="1">Preencher_Salários!J424</f>
        <v/>
      </c>
    </row>
    <row r="423" spans="15:16" x14ac:dyDescent="0.3">
      <c r="O423" s="21" t="str">
        <f ca="1">IFERROR(IF(LEFT(O422,2)="13",DATE(RIGHT(O422,4),12,31),IF(EOMONTH(O422,1)&gt;PREMISSAS!$C$3,"",IF(MONTH(O422)=11,"13º "&amp;YEAR(O422),EOMONTH(O422,1)))),"")</f>
        <v/>
      </c>
      <c r="P423" s="4" t="str">
        <f ca="1">Preencher_Salários!J425</f>
        <v/>
      </c>
    </row>
    <row r="424" spans="15:16" x14ac:dyDescent="0.3">
      <c r="O424" s="21" t="str">
        <f ca="1">IFERROR(IF(LEFT(O423,2)="13",DATE(RIGHT(O423,4),12,31),IF(EOMONTH(O423,1)&gt;PREMISSAS!$C$3,"",IF(MONTH(O423)=11,"13º "&amp;YEAR(O423),EOMONTH(O423,1)))),"")</f>
        <v/>
      </c>
      <c r="P424" s="4" t="str">
        <f ca="1">Preencher_Salários!J426</f>
        <v/>
      </c>
    </row>
    <row r="425" spans="15:16" x14ac:dyDescent="0.3">
      <c r="O425" s="21" t="str">
        <f ca="1">IFERROR(IF(LEFT(O424,2)="13",DATE(RIGHT(O424,4),12,31),IF(EOMONTH(O424,1)&gt;PREMISSAS!$C$3,"",IF(MONTH(O424)=11,"13º "&amp;YEAR(O424),EOMONTH(O424,1)))),"")</f>
        <v/>
      </c>
      <c r="P425" s="4" t="str">
        <f ca="1">Preencher_Salários!J427</f>
        <v/>
      </c>
    </row>
    <row r="426" spans="15:16" x14ac:dyDescent="0.3">
      <c r="O426" s="21" t="str">
        <f ca="1">IFERROR(IF(LEFT(O425,2)="13",DATE(RIGHT(O425,4),12,31),IF(EOMONTH(O425,1)&gt;PREMISSAS!$C$3,"",IF(MONTH(O425)=11,"13º "&amp;YEAR(O425),EOMONTH(O425,1)))),"")</f>
        <v/>
      </c>
      <c r="P426" s="4" t="str">
        <f ca="1">Preencher_Salários!J428</f>
        <v/>
      </c>
    </row>
    <row r="427" spans="15:16" x14ac:dyDescent="0.3">
      <c r="O427" s="21" t="str">
        <f ca="1">IFERROR(IF(LEFT(O426,2)="13",DATE(RIGHT(O426,4),12,31),IF(EOMONTH(O426,1)&gt;PREMISSAS!$C$3,"",IF(MONTH(O426)=11,"13º "&amp;YEAR(O426),EOMONTH(O426,1)))),"")</f>
        <v/>
      </c>
      <c r="P427" s="4" t="str">
        <f ca="1">Preencher_Salários!J429</f>
        <v/>
      </c>
    </row>
    <row r="428" spans="15:16" x14ac:dyDescent="0.3">
      <c r="O428" s="21" t="str">
        <f ca="1">IFERROR(IF(LEFT(O427,2)="13",DATE(RIGHT(O427,4),12,31),IF(EOMONTH(O427,1)&gt;PREMISSAS!$C$3,"",IF(MONTH(O427)=11,"13º "&amp;YEAR(O427),EOMONTH(O427,1)))),"")</f>
        <v/>
      </c>
      <c r="P428" s="4" t="str">
        <f ca="1">Preencher_Salários!J430</f>
        <v/>
      </c>
    </row>
    <row r="429" spans="15:16" x14ac:dyDescent="0.3">
      <c r="O429" s="21" t="str">
        <f ca="1">IFERROR(IF(LEFT(O428,2)="13",DATE(RIGHT(O428,4),12,31),IF(EOMONTH(O428,1)&gt;PREMISSAS!$C$3,"",IF(MONTH(O428)=11,"13º "&amp;YEAR(O428),EOMONTH(O428,1)))),"")</f>
        <v/>
      </c>
      <c r="P429" s="4" t="str">
        <f ca="1">Preencher_Salários!J431</f>
        <v/>
      </c>
    </row>
    <row r="430" spans="15:16" x14ac:dyDescent="0.3">
      <c r="O430" s="21" t="str">
        <f ca="1">IFERROR(IF(LEFT(O429,2)="13",DATE(RIGHT(O429,4),12,31),IF(EOMONTH(O429,1)&gt;PREMISSAS!$C$3,"",IF(MONTH(O429)=11,"13º "&amp;YEAR(O429),EOMONTH(O429,1)))),"")</f>
        <v/>
      </c>
      <c r="P430" s="4" t="str">
        <f ca="1">Preencher_Salários!J432</f>
        <v/>
      </c>
    </row>
    <row r="431" spans="15:16" x14ac:dyDescent="0.3">
      <c r="O431" s="21" t="str">
        <f ca="1">IFERROR(IF(LEFT(O430,2)="13",DATE(RIGHT(O430,4),12,31),IF(EOMONTH(O430,1)&gt;PREMISSAS!$C$3,"",IF(MONTH(O430)=11,"13º "&amp;YEAR(O430),EOMONTH(O430,1)))),"")</f>
        <v/>
      </c>
      <c r="P431" s="4" t="str">
        <f ca="1">Preencher_Salários!J433</f>
        <v/>
      </c>
    </row>
    <row r="432" spans="15:16" x14ac:dyDescent="0.3">
      <c r="O432" s="21" t="str">
        <f ca="1">IFERROR(IF(LEFT(O431,2)="13",DATE(RIGHT(O431,4),12,31),IF(EOMONTH(O431,1)&gt;PREMISSAS!$C$3,"",IF(MONTH(O431)=11,"13º "&amp;YEAR(O431),EOMONTH(O431,1)))),"")</f>
        <v/>
      </c>
      <c r="P432" s="4" t="str">
        <f ca="1">Preencher_Salários!J434</f>
        <v/>
      </c>
    </row>
    <row r="433" spans="15:16" x14ac:dyDescent="0.3">
      <c r="O433" s="21" t="str">
        <f ca="1">IFERROR(IF(LEFT(O432,2)="13",DATE(RIGHT(O432,4),12,31),IF(EOMONTH(O432,1)&gt;PREMISSAS!$C$3,"",IF(MONTH(O432)=11,"13º "&amp;YEAR(O432),EOMONTH(O432,1)))),"")</f>
        <v/>
      </c>
      <c r="P433" s="4" t="str">
        <f ca="1">Preencher_Salários!J435</f>
        <v/>
      </c>
    </row>
    <row r="434" spans="15:16" x14ac:dyDescent="0.3">
      <c r="O434" s="21" t="str">
        <f ca="1">IFERROR(IF(LEFT(O433,2)="13",DATE(RIGHT(O433,4),12,31),IF(EOMONTH(O433,1)&gt;PREMISSAS!$C$3,"",IF(MONTH(O433)=11,"13º "&amp;YEAR(O433),EOMONTH(O433,1)))),"")</f>
        <v/>
      </c>
      <c r="P434" s="4" t="str">
        <f ca="1">Preencher_Salários!J436</f>
        <v/>
      </c>
    </row>
    <row r="435" spans="15:16" x14ac:dyDescent="0.3">
      <c r="O435" s="21" t="str">
        <f ca="1">IFERROR(IF(LEFT(O434,2)="13",DATE(RIGHT(O434,4),12,31),IF(EOMONTH(O434,1)&gt;PREMISSAS!$C$3,"",IF(MONTH(O434)=11,"13º "&amp;YEAR(O434),EOMONTH(O434,1)))),"")</f>
        <v/>
      </c>
      <c r="P435" s="4" t="str">
        <f ca="1">Preencher_Salários!J437</f>
        <v/>
      </c>
    </row>
    <row r="436" spans="15:16" x14ac:dyDescent="0.3">
      <c r="O436" s="21" t="str">
        <f ca="1">IFERROR(IF(LEFT(O435,2)="13",DATE(RIGHT(O435,4),12,31),IF(EOMONTH(O435,1)&gt;PREMISSAS!$C$3,"",IF(MONTH(O435)=11,"13º "&amp;YEAR(O435),EOMONTH(O435,1)))),"")</f>
        <v/>
      </c>
      <c r="P436" s="4" t="str">
        <f ca="1">Preencher_Salários!J438</f>
        <v/>
      </c>
    </row>
    <row r="437" spans="15:16" x14ac:dyDescent="0.3">
      <c r="O437" s="21" t="str">
        <f ca="1">IFERROR(IF(LEFT(O436,2)="13",DATE(RIGHT(O436,4),12,31),IF(EOMONTH(O436,1)&gt;PREMISSAS!$C$3,"",IF(MONTH(O436)=11,"13º "&amp;YEAR(O436),EOMONTH(O436,1)))),"")</f>
        <v/>
      </c>
      <c r="P437" s="4" t="str">
        <f ca="1">Preencher_Salários!J439</f>
        <v/>
      </c>
    </row>
    <row r="438" spans="15:16" x14ac:dyDescent="0.3">
      <c r="O438" s="21" t="str">
        <f ca="1">IFERROR(IF(LEFT(O437,2)="13",DATE(RIGHT(O437,4),12,31),IF(EOMONTH(O437,1)&gt;PREMISSAS!$C$3,"",IF(MONTH(O437)=11,"13º "&amp;YEAR(O437),EOMONTH(O437,1)))),"")</f>
        <v/>
      </c>
      <c r="P438" s="4" t="str">
        <f ca="1">Preencher_Salários!J440</f>
        <v/>
      </c>
    </row>
    <row r="439" spans="15:16" x14ac:dyDescent="0.3">
      <c r="O439" s="21" t="str">
        <f ca="1">IFERROR(IF(LEFT(O438,2)="13",DATE(RIGHT(O438,4),12,31),IF(EOMONTH(O438,1)&gt;PREMISSAS!$C$3,"",IF(MONTH(O438)=11,"13º "&amp;YEAR(O438),EOMONTH(O438,1)))),"")</f>
        <v/>
      </c>
      <c r="P439" s="4" t="str">
        <f ca="1">Preencher_Salários!J441</f>
        <v/>
      </c>
    </row>
    <row r="440" spans="15:16" x14ac:dyDescent="0.3">
      <c r="O440" s="21" t="str">
        <f ca="1">IFERROR(IF(LEFT(O439,2)="13",DATE(RIGHT(O439,4),12,31),IF(EOMONTH(O439,1)&gt;PREMISSAS!$C$3,"",IF(MONTH(O439)=11,"13º "&amp;YEAR(O439),EOMONTH(O439,1)))),"")</f>
        <v/>
      </c>
      <c r="P440" s="4" t="str">
        <f ca="1">Preencher_Salários!J442</f>
        <v/>
      </c>
    </row>
    <row r="441" spans="15:16" x14ac:dyDescent="0.3">
      <c r="O441" s="21" t="str">
        <f ca="1">IFERROR(IF(LEFT(O440,2)="13",DATE(RIGHT(O440,4),12,31),IF(EOMONTH(O440,1)&gt;PREMISSAS!$C$3,"",IF(MONTH(O440)=11,"13º "&amp;YEAR(O440),EOMONTH(O440,1)))),"")</f>
        <v/>
      </c>
      <c r="P441" s="4" t="str">
        <f ca="1">Preencher_Salários!J443</f>
        <v/>
      </c>
    </row>
    <row r="442" spans="15:16" x14ac:dyDescent="0.3">
      <c r="O442" s="21" t="str">
        <f ca="1">IFERROR(IF(LEFT(O441,2)="13",DATE(RIGHT(O441,4),12,31),IF(EOMONTH(O441,1)&gt;PREMISSAS!$C$3,"",IF(MONTH(O441)=11,"13º "&amp;YEAR(O441),EOMONTH(O441,1)))),"")</f>
        <v/>
      </c>
      <c r="P442" s="4" t="str">
        <f ca="1">Preencher_Salários!J444</f>
        <v/>
      </c>
    </row>
    <row r="443" spans="15:16" x14ac:dyDescent="0.3">
      <c r="O443" s="21" t="str">
        <f ca="1">IFERROR(IF(LEFT(O442,2)="13",DATE(RIGHT(O442,4),12,31),IF(EOMONTH(O442,1)&gt;PREMISSAS!$C$3,"",IF(MONTH(O442)=11,"13º "&amp;YEAR(O442),EOMONTH(O442,1)))),"")</f>
        <v/>
      </c>
      <c r="P443" s="4" t="str">
        <f ca="1">Preencher_Salários!J445</f>
        <v/>
      </c>
    </row>
    <row r="444" spans="15:16" x14ac:dyDescent="0.3">
      <c r="O444" s="21" t="str">
        <f ca="1">IFERROR(IF(LEFT(O443,2)="13",DATE(RIGHT(O443,4),12,31),IF(EOMONTH(O443,1)&gt;PREMISSAS!$C$3,"",IF(MONTH(O443)=11,"13º "&amp;YEAR(O443),EOMONTH(O443,1)))),"")</f>
        <v/>
      </c>
      <c r="P444" s="4" t="str">
        <f ca="1">Preencher_Salários!J446</f>
        <v/>
      </c>
    </row>
    <row r="445" spans="15:16" x14ac:dyDescent="0.3">
      <c r="O445" s="21" t="str">
        <f ca="1">IFERROR(IF(LEFT(O444,2)="13",DATE(RIGHT(O444,4),12,31),IF(EOMONTH(O444,1)&gt;PREMISSAS!$C$3,"",IF(MONTH(O444)=11,"13º "&amp;YEAR(O444),EOMONTH(O444,1)))),"")</f>
        <v/>
      </c>
      <c r="P445" s="4" t="str">
        <f ca="1">Preencher_Salários!J447</f>
        <v/>
      </c>
    </row>
    <row r="446" spans="15:16" x14ac:dyDescent="0.3">
      <c r="O446" s="21" t="str">
        <f ca="1">IFERROR(IF(LEFT(O445,2)="13",DATE(RIGHT(O445,4),12,31),IF(EOMONTH(O445,1)&gt;PREMISSAS!$C$3,"",IF(MONTH(O445)=11,"13º "&amp;YEAR(O445),EOMONTH(O445,1)))),"")</f>
        <v/>
      </c>
      <c r="P446" s="4" t="str">
        <f ca="1">Preencher_Salários!J448</f>
        <v/>
      </c>
    </row>
    <row r="447" spans="15:16" x14ac:dyDescent="0.3">
      <c r="O447" s="21" t="str">
        <f ca="1">IFERROR(IF(LEFT(O446,2)="13",DATE(RIGHT(O446,4),12,31),IF(EOMONTH(O446,1)&gt;PREMISSAS!$C$3,"",IF(MONTH(O446)=11,"13º "&amp;YEAR(O446),EOMONTH(O446,1)))),"")</f>
        <v/>
      </c>
      <c r="P447" s="4" t="str">
        <f ca="1">Preencher_Salários!J449</f>
        <v/>
      </c>
    </row>
    <row r="448" spans="15:16" x14ac:dyDescent="0.3">
      <c r="O448" s="21" t="str">
        <f ca="1">IFERROR(IF(LEFT(O447,2)="13",DATE(RIGHT(O447,4),12,31),IF(EOMONTH(O447,1)&gt;PREMISSAS!$C$3,"",IF(MONTH(O447)=11,"13º "&amp;YEAR(O447),EOMONTH(O447,1)))),"")</f>
        <v/>
      </c>
      <c r="P448" s="4" t="str">
        <f ca="1">Preencher_Salários!J450</f>
        <v/>
      </c>
    </row>
    <row r="449" spans="15:16" x14ac:dyDescent="0.3">
      <c r="O449" s="21" t="str">
        <f ca="1">IFERROR(IF(LEFT(O448,2)="13",DATE(RIGHT(O448,4),12,31),IF(EOMONTH(O448,1)&gt;PREMISSAS!$C$3,"",IF(MONTH(O448)=11,"13º "&amp;YEAR(O448),EOMONTH(O448,1)))),"")</f>
        <v/>
      </c>
      <c r="P449" s="4" t="str">
        <f ca="1">Preencher_Salários!J451</f>
        <v/>
      </c>
    </row>
    <row r="450" spans="15:16" x14ac:dyDescent="0.3">
      <c r="O450" s="21" t="str">
        <f ca="1">IFERROR(IF(LEFT(O449,2)="13",DATE(RIGHT(O449,4),12,31),IF(EOMONTH(O449,1)&gt;PREMISSAS!$C$3,"",IF(MONTH(O449)=11,"13º "&amp;YEAR(O449),EOMONTH(O449,1)))),"")</f>
        <v/>
      </c>
      <c r="P450" s="4" t="str">
        <f ca="1">Preencher_Salários!J452</f>
        <v/>
      </c>
    </row>
    <row r="451" spans="15:16" x14ac:dyDescent="0.3">
      <c r="O451" s="21" t="str">
        <f ca="1">IFERROR(IF(LEFT(O450,2)="13",DATE(RIGHT(O450,4),12,31),IF(EOMONTH(O450,1)&gt;PREMISSAS!$C$3,"",IF(MONTH(O450)=11,"13º "&amp;YEAR(O450),EOMONTH(O450,1)))),"")</f>
        <v/>
      </c>
      <c r="P451" s="4" t="str">
        <f ca="1">Preencher_Salários!J453</f>
        <v/>
      </c>
    </row>
    <row r="452" spans="15:16" x14ac:dyDescent="0.3">
      <c r="O452" s="21" t="str">
        <f ca="1">IFERROR(IF(LEFT(O451,2)="13",DATE(RIGHT(O451,4),12,31),IF(EOMONTH(O451,1)&gt;PREMISSAS!$C$3,"",IF(MONTH(O451)=11,"13º "&amp;YEAR(O451),EOMONTH(O451,1)))),"")</f>
        <v/>
      </c>
      <c r="P452" s="4" t="str">
        <f ca="1">Preencher_Salários!J454</f>
        <v/>
      </c>
    </row>
    <row r="453" spans="15:16" x14ac:dyDescent="0.3">
      <c r="O453" s="21" t="str">
        <f ca="1">IFERROR(IF(LEFT(O452,2)="13",DATE(RIGHT(O452,4),12,31),IF(EOMONTH(O452,1)&gt;PREMISSAS!$C$3,"",IF(MONTH(O452)=11,"13º "&amp;YEAR(O452),EOMONTH(O452,1)))),"")</f>
        <v/>
      </c>
      <c r="P453" s="4" t="str">
        <f ca="1">Preencher_Salários!J455</f>
        <v/>
      </c>
    </row>
    <row r="454" spans="15:16" x14ac:dyDescent="0.3">
      <c r="O454" s="21" t="str">
        <f ca="1">IFERROR(IF(LEFT(O453,2)="13",DATE(RIGHT(O453,4),12,31),IF(EOMONTH(O453,1)&gt;PREMISSAS!$C$3,"",IF(MONTH(O453)=11,"13º "&amp;YEAR(O453),EOMONTH(O453,1)))),"")</f>
        <v/>
      </c>
      <c r="P454" s="4" t="str">
        <f ca="1">Preencher_Salários!J456</f>
        <v/>
      </c>
    </row>
    <row r="455" spans="15:16" x14ac:dyDescent="0.3">
      <c r="O455" s="21" t="str">
        <f ca="1">IFERROR(IF(LEFT(O454,2)="13",DATE(RIGHT(O454,4),12,31),IF(EOMONTH(O454,1)&gt;PREMISSAS!$C$3,"",IF(MONTH(O454)=11,"13º "&amp;YEAR(O454),EOMONTH(O454,1)))),"")</f>
        <v/>
      </c>
      <c r="P455" s="4" t="str">
        <f ca="1">Preencher_Salários!J457</f>
        <v/>
      </c>
    </row>
    <row r="456" spans="15:16" x14ac:dyDescent="0.3">
      <c r="O456" s="21" t="str">
        <f ca="1">IFERROR(IF(LEFT(O455,2)="13",DATE(RIGHT(O455,4),12,31),IF(EOMONTH(O455,1)&gt;PREMISSAS!$C$3,"",IF(MONTH(O455)=11,"13º "&amp;YEAR(O455),EOMONTH(O455,1)))),"")</f>
        <v/>
      </c>
      <c r="P456" s="4" t="str">
        <f ca="1">Preencher_Salários!J458</f>
        <v/>
      </c>
    </row>
    <row r="457" spans="15:16" x14ac:dyDescent="0.3">
      <c r="O457" s="21" t="str">
        <f ca="1">IFERROR(IF(LEFT(O456,2)="13",DATE(RIGHT(O456,4),12,31),IF(EOMONTH(O456,1)&gt;PREMISSAS!$C$3,"",IF(MONTH(O456)=11,"13º "&amp;YEAR(O456),EOMONTH(O456,1)))),"")</f>
        <v/>
      </c>
      <c r="P457" s="4" t="str">
        <f ca="1">Preencher_Salários!J459</f>
        <v/>
      </c>
    </row>
    <row r="458" spans="15:16" x14ac:dyDescent="0.3">
      <c r="O458" s="21" t="str">
        <f ca="1">IFERROR(IF(LEFT(O457,2)="13",DATE(RIGHT(O457,4),12,31),IF(EOMONTH(O457,1)&gt;PREMISSAS!$C$3,"",IF(MONTH(O457)=11,"13º "&amp;YEAR(O457),EOMONTH(O457,1)))),"")</f>
        <v/>
      </c>
      <c r="P458" s="4" t="str">
        <f ca="1">Preencher_Salários!J460</f>
        <v/>
      </c>
    </row>
    <row r="459" spans="15:16" x14ac:dyDescent="0.3">
      <c r="O459" s="21" t="str">
        <f ca="1">IFERROR(IF(LEFT(O458,2)="13",DATE(RIGHT(O458,4),12,31),IF(EOMONTH(O458,1)&gt;PREMISSAS!$C$3,"",IF(MONTH(O458)=11,"13º "&amp;YEAR(O458),EOMONTH(O458,1)))),"")</f>
        <v/>
      </c>
      <c r="P459" s="4" t="str">
        <f ca="1">Preencher_Salários!J461</f>
        <v/>
      </c>
    </row>
    <row r="460" spans="15:16" x14ac:dyDescent="0.3">
      <c r="O460" s="21" t="str">
        <f ca="1">IFERROR(IF(LEFT(O459,2)="13",DATE(RIGHT(O459,4),12,31),IF(EOMONTH(O459,1)&gt;PREMISSAS!$C$3,"",IF(MONTH(O459)=11,"13º "&amp;YEAR(O459),EOMONTH(O459,1)))),"")</f>
        <v/>
      </c>
      <c r="P460" s="4" t="str">
        <f ca="1">Preencher_Salários!J462</f>
        <v/>
      </c>
    </row>
    <row r="461" spans="15:16" x14ac:dyDescent="0.3">
      <c r="O461" s="21" t="str">
        <f ca="1">IFERROR(IF(LEFT(O460,2)="13",DATE(RIGHT(O460,4),12,31),IF(EOMONTH(O460,1)&gt;PREMISSAS!$C$3,"",IF(MONTH(O460)=11,"13º "&amp;YEAR(O460),EOMONTH(O460,1)))),"")</f>
        <v/>
      </c>
      <c r="P461" s="4" t="str">
        <f ca="1">Preencher_Salários!J463</f>
        <v/>
      </c>
    </row>
    <row r="462" spans="15:16" x14ac:dyDescent="0.3">
      <c r="O462" s="21" t="str">
        <f ca="1">IFERROR(IF(LEFT(O461,2)="13",DATE(RIGHT(O461,4),12,31),IF(EOMONTH(O461,1)&gt;PREMISSAS!$C$3,"",IF(MONTH(O461)=11,"13º "&amp;YEAR(O461),EOMONTH(O461,1)))),"")</f>
        <v/>
      </c>
      <c r="P462" s="4" t="str">
        <f ca="1">Preencher_Salários!J464</f>
        <v/>
      </c>
    </row>
    <row r="463" spans="15:16" x14ac:dyDescent="0.3">
      <c r="O463" s="21" t="str">
        <f ca="1">IFERROR(IF(LEFT(O462,2)="13",DATE(RIGHT(O462,4),12,31),IF(EOMONTH(O462,1)&gt;PREMISSAS!$C$3,"",IF(MONTH(O462)=11,"13º "&amp;YEAR(O462),EOMONTH(O462,1)))),"")</f>
        <v/>
      </c>
      <c r="P463" s="4" t="str">
        <f ca="1">Preencher_Salários!J465</f>
        <v/>
      </c>
    </row>
    <row r="464" spans="15:16" x14ac:dyDescent="0.3">
      <c r="O464" s="21" t="str">
        <f ca="1">IFERROR(IF(LEFT(O463,2)="13",DATE(RIGHT(O463,4),12,31),IF(EOMONTH(O463,1)&gt;PREMISSAS!$C$3,"",IF(MONTH(O463)=11,"13º "&amp;YEAR(O463),EOMONTH(O463,1)))),"")</f>
        <v/>
      </c>
      <c r="P464" s="4" t="str">
        <f ca="1">Preencher_Salários!J466</f>
        <v/>
      </c>
    </row>
    <row r="465" spans="15:16" x14ac:dyDescent="0.3">
      <c r="O465" s="21" t="str">
        <f ca="1">IFERROR(IF(LEFT(O464,2)="13",DATE(RIGHT(O464,4),12,31),IF(EOMONTH(O464,1)&gt;PREMISSAS!$C$3,"",IF(MONTH(O464)=11,"13º "&amp;YEAR(O464),EOMONTH(O464,1)))),"")</f>
        <v/>
      </c>
      <c r="P465" s="4" t="str">
        <f ca="1">Preencher_Salários!J467</f>
        <v/>
      </c>
    </row>
    <row r="466" spans="15:16" x14ac:dyDescent="0.3">
      <c r="O466" s="21" t="str">
        <f ca="1">IFERROR(IF(LEFT(O465,2)="13",DATE(RIGHT(O465,4),12,31),IF(EOMONTH(O465,1)&gt;PREMISSAS!$C$3,"",IF(MONTH(O465)=11,"13º "&amp;YEAR(O465),EOMONTH(O465,1)))),"")</f>
        <v/>
      </c>
      <c r="P466" s="4" t="str">
        <f ca="1">Preencher_Salários!J468</f>
        <v/>
      </c>
    </row>
    <row r="467" spans="15:16" x14ac:dyDescent="0.3">
      <c r="O467" s="21" t="str">
        <f ca="1">IFERROR(IF(LEFT(O466,2)="13",DATE(RIGHT(O466,4),12,31),IF(EOMONTH(O466,1)&gt;PREMISSAS!$C$3,"",IF(MONTH(O466)=11,"13º "&amp;YEAR(O466),EOMONTH(O466,1)))),"")</f>
        <v/>
      </c>
      <c r="P467" s="4" t="str">
        <f ca="1">Preencher_Salários!J469</f>
        <v/>
      </c>
    </row>
    <row r="468" spans="15:16" x14ac:dyDescent="0.3">
      <c r="O468" s="21" t="str">
        <f ca="1">IFERROR(IF(LEFT(O467,2)="13",DATE(RIGHT(O467,4),12,31),IF(EOMONTH(O467,1)&gt;PREMISSAS!$C$3,"",IF(MONTH(O467)=11,"13º "&amp;YEAR(O467),EOMONTH(O467,1)))),"")</f>
        <v/>
      </c>
      <c r="P468" s="4" t="str">
        <f ca="1">Preencher_Salários!J470</f>
        <v/>
      </c>
    </row>
    <row r="469" spans="15:16" x14ac:dyDescent="0.3">
      <c r="O469" s="21" t="str">
        <f ca="1">IFERROR(IF(LEFT(O468,2)="13",DATE(RIGHT(O468,4),12,31),IF(EOMONTH(O468,1)&gt;PREMISSAS!$C$3,"",IF(MONTH(O468)=11,"13º "&amp;YEAR(O468),EOMONTH(O468,1)))),"")</f>
        <v/>
      </c>
      <c r="P469" s="4" t="str">
        <f ca="1">Preencher_Salários!J471</f>
        <v/>
      </c>
    </row>
    <row r="470" spans="15:16" x14ac:dyDescent="0.3">
      <c r="O470" s="21" t="str">
        <f ca="1">IFERROR(IF(LEFT(O469,2)="13",DATE(RIGHT(O469,4),12,31),IF(EOMONTH(O469,1)&gt;PREMISSAS!$C$3,"",IF(MONTH(O469)=11,"13º "&amp;YEAR(O469),EOMONTH(O469,1)))),"")</f>
        <v/>
      </c>
      <c r="P470" s="4" t="str">
        <f ca="1">Preencher_Salários!J472</f>
        <v/>
      </c>
    </row>
    <row r="471" spans="15:16" x14ac:dyDescent="0.3">
      <c r="O471" s="21" t="str">
        <f ca="1">IFERROR(IF(LEFT(O470,2)="13",DATE(RIGHT(O470,4),12,31),IF(EOMONTH(O470,1)&gt;PREMISSAS!$C$3,"",IF(MONTH(O470)=11,"13º "&amp;YEAR(O470),EOMONTH(O470,1)))),"")</f>
        <v/>
      </c>
      <c r="P471" s="4" t="str">
        <f ca="1">Preencher_Salários!J473</f>
        <v/>
      </c>
    </row>
    <row r="472" spans="15:16" x14ac:dyDescent="0.3">
      <c r="O472" s="21" t="str">
        <f ca="1">IFERROR(IF(LEFT(O471,2)="13",DATE(RIGHT(O471,4),12,31),IF(EOMONTH(O471,1)&gt;PREMISSAS!$C$3,"",IF(MONTH(O471)=11,"13º "&amp;YEAR(O471),EOMONTH(O471,1)))),"")</f>
        <v/>
      </c>
      <c r="P472" s="4" t="str">
        <f ca="1">Preencher_Salários!J474</f>
        <v/>
      </c>
    </row>
    <row r="473" spans="15:16" x14ac:dyDescent="0.3">
      <c r="O473" s="21" t="str">
        <f ca="1">IFERROR(IF(LEFT(O472,2)="13",DATE(RIGHT(O472,4),12,31),IF(EOMONTH(O472,1)&gt;PREMISSAS!$C$3,"",IF(MONTH(O472)=11,"13º "&amp;YEAR(O472),EOMONTH(O472,1)))),"")</f>
        <v/>
      </c>
      <c r="P473" s="4" t="str">
        <f ca="1">Preencher_Salários!J475</f>
        <v/>
      </c>
    </row>
    <row r="474" spans="15:16" x14ac:dyDescent="0.3">
      <c r="O474" s="21" t="str">
        <f ca="1">IFERROR(IF(LEFT(O473,2)="13",DATE(RIGHT(O473,4),12,31),IF(EOMONTH(O473,1)&gt;PREMISSAS!$C$3,"",IF(MONTH(O473)=11,"13º "&amp;YEAR(O473),EOMONTH(O473,1)))),"")</f>
        <v/>
      </c>
      <c r="P474" s="4" t="str">
        <f ca="1">Preencher_Salários!J476</f>
        <v/>
      </c>
    </row>
    <row r="475" spans="15:16" x14ac:dyDescent="0.3">
      <c r="O475" s="21" t="str">
        <f ca="1">IFERROR(IF(LEFT(O474,2)="13",DATE(RIGHT(O474,4),12,31),IF(EOMONTH(O474,1)&gt;PREMISSAS!$C$3,"",IF(MONTH(O474)=11,"13º "&amp;YEAR(O474),EOMONTH(O474,1)))),"")</f>
        <v/>
      </c>
      <c r="P475" s="4" t="str">
        <f ca="1">Preencher_Salários!J477</f>
        <v/>
      </c>
    </row>
    <row r="476" spans="15:16" x14ac:dyDescent="0.3">
      <c r="O476" s="21" t="str">
        <f ca="1">IFERROR(IF(LEFT(O475,2)="13",DATE(RIGHT(O475,4),12,31),IF(EOMONTH(O475,1)&gt;PREMISSAS!$C$3,"",IF(MONTH(O475)=11,"13º "&amp;YEAR(O475),EOMONTH(O475,1)))),"")</f>
        <v/>
      </c>
      <c r="P476" s="4" t="str">
        <f ca="1">Preencher_Salários!J478</f>
        <v/>
      </c>
    </row>
    <row r="477" spans="15:16" x14ac:dyDescent="0.3">
      <c r="O477" s="21" t="str">
        <f ca="1">IFERROR(IF(LEFT(O476,2)="13",DATE(RIGHT(O476,4),12,31),IF(EOMONTH(O476,1)&gt;PREMISSAS!$C$3,"",IF(MONTH(O476)=11,"13º "&amp;YEAR(O476),EOMONTH(O476,1)))),"")</f>
        <v/>
      </c>
      <c r="P477" s="4" t="str">
        <f ca="1">Preencher_Salários!J479</f>
        <v/>
      </c>
    </row>
    <row r="478" spans="15:16" x14ac:dyDescent="0.3">
      <c r="O478" s="21" t="str">
        <f ca="1">IFERROR(IF(LEFT(O477,2)="13",DATE(RIGHT(O477,4),12,31),IF(EOMONTH(O477,1)&gt;PREMISSAS!$C$3,"",IF(MONTH(O477)=11,"13º "&amp;YEAR(O477),EOMONTH(O477,1)))),"")</f>
        <v/>
      </c>
      <c r="P478" s="4" t="str">
        <f ca="1">Preencher_Salários!J480</f>
        <v/>
      </c>
    </row>
    <row r="479" spans="15:16" x14ac:dyDescent="0.3">
      <c r="O479" s="21" t="str">
        <f ca="1">IFERROR(IF(LEFT(O478,2)="13",DATE(RIGHT(O478,4),12,31),IF(EOMONTH(O478,1)&gt;PREMISSAS!$C$3,"",IF(MONTH(O478)=11,"13º "&amp;YEAR(O478),EOMONTH(O478,1)))),"")</f>
        <v/>
      </c>
      <c r="P479" s="4" t="str">
        <f ca="1">Preencher_Salários!J481</f>
        <v/>
      </c>
    </row>
    <row r="480" spans="15:16" x14ac:dyDescent="0.3">
      <c r="O480" s="21" t="str">
        <f ca="1">IFERROR(IF(LEFT(O479,2)="13",DATE(RIGHT(O479,4),12,31),IF(EOMONTH(O479,1)&gt;PREMISSAS!$C$3,"",IF(MONTH(O479)=11,"13º "&amp;YEAR(O479),EOMONTH(O479,1)))),"")</f>
        <v/>
      </c>
      <c r="P480" s="4" t="str">
        <f ca="1">Preencher_Salários!J482</f>
        <v/>
      </c>
    </row>
    <row r="481" spans="15:16" x14ac:dyDescent="0.3">
      <c r="O481" s="21" t="str">
        <f ca="1">IFERROR(IF(LEFT(O480,2)="13",DATE(RIGHT(O480,4),12,31),IF(EOMONTH(O480,1)&gt;PREMISSAS!$C$3,"",IF(MONTH(O480)=11,"13º "&amp;YEAR(O480),EOMONTH(O480,1)))),"")</f>
        <v/>
      </c>
      <c r="P481" s="4" t="str">
        <f ca="1">Preencher_Salários!J483</f>
        <v/>
      </c>
    </row>
    <row r="482" spans="15:16" x14ac:dyDescent="0.3">
      <c r="O482" s="21" t="str">
        <f ca="1">IFERROR(IF(LEFT(O481,2)="13",DATE(RIGHT(O481,4),12,31),IF(EOMONTH(O481,1)&gt;PREMISSAS!$C$3,"",IF(MONTH(O481)=11,"13º "&amp;YEAR(O481),EOMONTH(O481,1)))),"")</f>
        <v/>
      </c>
      <c r="P482" s="4" t="str">
        <f ca="1">Preencher_Salários!J484</f>
        <v/>
      </c>
    </row>
    <row r="483" spans="15:16" x14ac:dyDescent="0.3">
      <c r="O483" s="21" t="str">
        <f ca="1">IFERROR(IF(LEFT(O482,2)="13",DATE(RIGHT(O482,4),12,31),IF(EOMONTH(O482,1)&gt;PREMISSAS!$C$3,"",IF(MONTH(O482)=11,"13º "&amp;YEAR(O482),EOMONTH(O482,1)))),"")</f>
        <v/>
      </c>
      <c r="P483" s="4" t="str">
        <f ca="1">Preencher_Salários!J485</f>
        <v/>
      </c>
    </row>
    <row r="484" spans="15:16" x14ac:dyDescent="0.3">
      <c r="O484" s="21" t="str">
        <f ca="1">IFERROR(IF(LEFT(O483,2)="13",DATE(RIGHT(O483,4),12,31),IF(EOMONTH(O483,1)&gt;PREMISSAS!$C$3,"",IF(MONTH(O483)=11,"13º "&amp;YEAR(O483),EOMONTH(O483,1)))),"")</f>
        <v/>
      </c>
      <c r="P484" s="4" t="str">
        <f ca="1">Preencher_Salários!J486</f>
        <v/>
      </c>
    </row>
    <row r="485" spans="15:16" x14ac:dyDescent="0.3">
      <c r="O485" s="21" t="str">
        <f ca="1">IFERROR(IF(LEFT(O484,2)="13",DATE(RIGHT(O484,4),12,31),IF(EOMONTH(O484,1)&gt;PREMISSAS!$C$3,"",IF(MONTH(O484)=11,"13º "&amp;YEAR(O484),EOMONTH(O484,1)))),"")</f>
        <v/>
      </c>
      <c r="P485" s="4" t="str">
        <f ca="1">Preencher_Salários!J487</f>
        <v/>
      </c>
    </row>
    <row r="486" spans="15:16" x14ac:dyDescent="0.3">
      <c r="O486" s="21" t="str">
        <f ca="1">IFERROR(IF(LEFT(O485,2)="13",DATE(RIGHT(O485,4),12,31),IF(EOMONTH(O485,1)&gt;PREMISSAS!$C$3,"",IF(MONTH(O485)=11,"13º "&amp;YEAR(O485),EOMONTH(O485,1)))),"")</f>
        <v/>
      </c>
      <c r="P486" s="4" t="str">
        <f ca="1">Preencher_Salários!J488</f>
        <v/>
      </c>
    </row>
    <row r="487" spans="15:16" x14ac:dyDescent="0.3">
      <c r="O487" s="21" t="str">
        <f ca="1">IFERROR(IF(LEFT(O486,2)="13",DATE(RIGHT(O486,4),12,31),IF(EOMONTH(O486,1)&gt;PREMISSAS!$C$3,"",IF(MONTH(O486)=11,"13º "&amp;YEAR(O486),EOMONTH(O486,1)))),"")</f>
        <v/>
      </c>
      <c r="P487" s="4" t="str">
        <f ca="1">Preencher_Salários!J489</f>
        <v/>
      </c>
    </row>
    <row r="488" spans="15:16" x14ac:dyDescent="0.3">
      <c r="O488" s="21" t="str">
        <f ca="1">IFERROR(IF(LEFT(O487,2)="13",DATE(RIGHT(O487,4),12,31),IF(EOMONTH(O487,1)&gt;PREMISSAS!$C$3,"",IF(MONTH(O487)=11,"13º "&amp;YEAR(O487),EOMONTH(O487,1)))),"")</f>
        <v/>
      </c>
      <c r="P488" s="4" t="str">
        <f ca="1">Preencher_Salários!J490</f>
        <v/>
      </c>
    </row>
    <row r="489" spans="15:16" x14ac:dyDescent="0.3">
      <c r="O489" s="21" t="str">
        <f ca="1">IFERROR(IF(LEFT(O488,2)="13",DATE(RIGHT(O488,4),12,31),IF(EOMONTH(O488,1)&gt;PREMISSAS!$C$3,"",IF(MONTH(O488)=11,"13º "&amp;YEAR(O488),EOMONTH(O488,1)))),"")</f>
        <v/>
      </c>
      <c r="P489" s="4" t="str">
        <f ca="1">Preencher_Salários!J491</f>
        <v/>
      </c>
    </row>
    <row r="490" spans="15:16" x14ac:dyDescent="0.3">
      <c r="O490" s="21" t="str">
        <f ca="1">IFERROR(IF(LEFT(O489,2)="13",DATE(RIGHT(O489,4),12,31),IF(EOMONTH(O489,1)&gt;PREMISSAS!$C$3,"",IF(MONTH(O489)=11,"13º "&amp;YEAR(O489),EOMONTH(O489,1)))),"")</f>
        <v/>
      </c>
      <c r="P490" s="4" t="str">
        <f ca="1">Preencher_Salários!J492</f>
        <v/>
      </c>
    </row>
    <row r="491" spans="15:16" x14ac:dyDescent="0.3">
      <c r="O491" s="21" t="str">
        <f ca="1">IFERROR(IF(LEFT(O490,2)="13",DATE(RIGHT(O490,4),12,31),IF(EOMONTH(O490,1)&gt;PREMISSAS!$C$3,"",IF(MONTH(O490)=11,"13º "&amp;YEAR(O490),EOMONTH(O490,1)))),"")</f>
        <v/>
      </c>
      <c r="P491" s="4" t="str">
        <f ca="1">Preencher_Salários!J493</f>
        <v/>
      </c>
    </row>
    <row r="492" spans="15:16" x14ac:dyDescent="0.3">
      <c r="O492" s="21" t="str">
        <f ca="1">IFERROR(IF(LEFT(O491,2)="13",DATE(RIGHT(O491,4),12,31),IF(EOMONTH(O491,1)&gt;PREMISSAS!$C$3,"",IF(MONTH(O491)=11,"13º "&amp;YEAR(O491),EOMONTH(O491,1)))),"")</f>
        <v/>
      </c>
      <c r="P492" s="4" t="str">
        <f ca="1">Preencher_Salários!J494</f>
        <v/>
      </c>
    </row>
    <row r="493" spans="15:16" x14ac:dyDescent="0.3">
      <c r="O493" s="21" t="str">
        <f ca="1">IFERROR(IF(LEFT(O492,2)="13",DATE(RIGHT(O492,4),12,31),IF(EOMONTH(O492,1)&gt;PREMISSAS!$C$3,"",IF(MONTH(O492)=11,"13º "&amp;YEAR(O492),EOMONTH(O492,1)))),"")</f>
        <v/>
      </c>
      <c r="P493" s="4" t="str">
        <f ca="1">Preencher_Salários!J495</f>
        <v/>
      </c>
    </row>
    <row r="494" spans="15:16" x14ac:dyDescent="0.3">
      <c r="O494" s="21" t="str">
        <f ca="1">IFERROR(IF(LEFT(O493,2)="13",DATE(RIGHT(O493,4),12,31),IF(EOMONTH(O493,1)&gt;PREMISSAS!$C$3,"",IF(MONTH(O493)=11,"13º "&amp;YEAR(O493),EOMONTH(O493,1)))),"")</f>
        <v/>
      </c>
      <c r="P494" s="4" t="str">
        <f ca="1">Preencher_Salários!J496</f>
        <v/>
      </c>
    </row>
    <row r="495" spans="15:16" x14ac:dyDescent="0.3">
      <c r="O495" s="21" t="str">
        <f ca="1">IFERROR(IF(LEFT(O494,2)="13",DATE(RIGHT(O494,4),12,31),IF(EOMONTH(O494,1)&gt;PREMISSAS!$C$3,"",IF(MONTH(O494)=11,"13º "&amp;YEAR(O494),EOMONTH(O494,1)))),"")</f>
        <v/>
      </c>
      <c r="P495" s="4" t="str">
        <f ca="1">Preencher_Salários!J497</f>
        <v/>
      </c>
    </row>
    <row r="496" spans="15:16" x14ac:dyDescent="0.3">
      <c r="O496" s="21" t="str">
        <f ca="1">IFERROR(IF(LEFT(O495,2)="13",DATE(RIGHT(O495,4),12,31),IF(EOMONTH(O495,1)&gt;PREMISSAS!$C$3,"",IF(MONTH(O495)=11,"13º "&amp;YEAR(O495),EOMONTH(O495,1)))),"")</f>
        <v/>
      </c>
      <c r="P496" s="4" t="str">
        <f ca="1">Preencher_Salários!J498</f>
        <v/>
      </c>
    </row>
    <row r="497" spans="15:16" x14ac:dyDescent="0.3">
      <c r="O497" s="21" t="str">
        <f ca="1">IFERROR(IF(LEFT(O496,2)="13",DATE(RIGHT(O496,4),12,31),IF(EOMONTH(O496,1)&gt;PREMISSAS!$C$3,"",IF(MONTH(O496)=11,"13º "&amp;YEAR(O496),EOMONTH(O496,1)))),"")</f>
        <v/>
      </c>
      <c r="P497" s="4" t="str">
        <f ca="1">Preencher_Salários!J499</f>
        <v/>
      </c>
    </row>
    <row r="498" spans="15:16" x14ac:dyDescent="0.3">
      <c r="O498" s="21" t="str">
        <f ca="1">IFERROR(IF(LEFT(O497,2)="13",DATE(RIGHT(O497,4),12,31),IF(EOMONTH(O497,1)&gt;PREMISSAS!$C$3,"",IF(MONTH(O497)=11,"13º "&amp;YEAR(O497),EOMONTH(O497,1)))),"")</f>
        <v/>
      </c>
      <c r="P498" s="4" t="str">
        <f ca="1">Preencher_Salários!J500</f>
        <v/>
      </c>
    </row>
    <row r="499" spans="15:16" x14ac:dyDescent="0.3">
      <c r="O499" s="21" t="str">
        <f ca="1">IFERROR(IF(LEFT(O498,2)="13",DATE(RIGHT(O498,4),12,31),IF(EOMONTH(O498,1)&gt;PREMISSAS!$C$3,"",IF(MONTH(O498)=11,"13º "&amp;YEAR(O498),EOMONTH(O498,1)))),"")</f>
        <v/>
      </c>
      <c r="P499" s="4" t="str">
        <f ca="1">Preencher_Salários!J501</f>
        <v/>
      </c>
    </row>
    <row r="500" spans="15:16" x14ac:dyDescent="0.3">
      <c r="O500" s="21" t="str">
        <f ca="1">IFERROR(IF(LEFT(O499,2)="13",DATE(RIGHT(O499,4),12,31),IF(EOMONTH(O499,1)&gt;PREMISSAS!$C$3,"",IF(MONTH(O499)=11,"13º "&amp;YEAR(O499),EOMONTH(O499,1)))),"")</f>
        <v/>
      </c>
      <c r="P500" s="4" t="str">
        <f ca="1">Preencher_Salários!J502</f>
        <v/>
      </c>
    </row>
    <row r="501" spans="15:16" x14ac:dyDescent="0.3">
      <c r="O501" s="21" t="str">
        <f ca="1">IFERROR(IF(LEFT(O500,2)="13",DATE(RIGHT(O500,4),12,31),IF(EOMONTH(O500,1)&gt;PREMISSAS!$C$3,"",IF(MONTH(O500)=11,"13º "&amp;YEAR(O500),EOMONTH(O500,1)))),"")</f>
        <v/>
      </c>
      <c r="P501" s="4" t="str">
        <f ca="1">Preencher_Salários!J503</f>
        <v/>
      </c>
    </row>
    <row r="502" spans="15:16" x14ac:dyDescent="0.3">
      <c r="O502" s="21" t="str">
        <f ca="1">IFERROR(IF(LEFT(O501,2)="13",DATE(RIGHT(O501,4),12,31),IF(EOMONTH(O501,1)&gt;PREMISSAS!$C$3,"",IF(MONTH(O501)=11,"13º "&amp;YEAR(O501),EOMONTH(O501,1)))),"")</f>
        <v/>
      </c>
      <c r="P502" s="4" t="str">
        <f ca="1">Preencher_Salários!J504</f>
        <v/>
      </c>
    </row>
    <row r="503" spans="15:16" x14ac:dyDescent="0.3">
      <c r="O503" s="21" t="str">
        <f ca="1">IFERROR(IF(LEFT(O502,2)="13",DATE(RIGHT(O502,4),12,31),IF(EOMONTH(O502,1)&gt;PREMISSAS!$C$3,"",IF(MONTH(O502)=11,"13º "&amp;YEAR(O502),EOMONTH(O502,1)))),"")</f>
        <v/>
      </c>
      <c r="P503" s="4" t="str">
        <f ca="1">Preencher_Salários!J505</f>
        <v/>
      </c>
    </row>
    <row r="504" spans="15:16" x14ac:dyDescent="0.3">
      <c r="O504" s="21" t="str">
        <f ca="1">IFERROR(IF(LEFT(O503,2)="13",DATE(RIGHT(O503,4),12,31),IF(EOMONTH(O503,1)&gt;PREMISSAS!$C$3,"",IF(MONTH(O503)=11,"13º "&amp;YEAR(O503),EOMONTH(O503,1)))),"")</f>
        <v/>
      </c>
      <c r="P504" s="4" t="str">
        <f ca="1">Preencher_Salários!J506</f>
        <v/>
      </c>
    </row>
    <row r="505" spans="15:16" x14ac:dyDescent="0.3">
      <c r="O505" s="21" t="str">
        <f ca="1">IFERROR(IF(LEFT(O504,2)="13",DATE(RIGHT(O504,4),12,31),IF(EOMONTH(O504,1)&gt;PREMISSAS!$C$3,"",IF(MONTH(O504)=11,"13º "&amp;YEAR(O504),EOMONTH(O504,1)))),"")</f>
        <v/>
      </c>
      <c r="P505" s="4" t="str">
        <f ca="1">Preencher_Salários!J507</f>
        <v/>
      </c>
    </row>
    <row r="506" spans="15:16" x14ac:dyDescent="0.3">
      <c r="O506" s="21" t="str">
        <f ca="1">IFERROR(IF(LEFT(O505,2)="13",DATE(RIGHT(O505,4),12,31),IF(EOMONTH(O505,1)&gt;PREMISSAS!$C$3,"",IF(MONTH(O505)=11,"13º "&amp;YEAR(O505),EOMONTH(O505,1)))),"")</f>
        <v/>
      </c>
      <c r="P506" s="4" t="str">
        <f ca="1">Preencher_Salários!J508</f>
        <v/>
      </c>
    </row>
    <row r="507" spans="15:16" x14ac:dyDescent="0.3">
      <c r="O507" s="21" t="str">
        <f ca="1">IFERROR(IF(LEFT(O506,2)="13",DATE(RIGHT(O506,4),12,31),IF(EOMONTH(O506,1)&gt;PREMISSAS!$C$3,"",IF(MONTH(O506)=11,"13º "&amp;YEAR(O506),EOMONTH(O506,1)))),"")</f>
        <v/>
      </c>
      <c r="P507" s="4" t="str">
        <f ca="1">Preencher_Salários!J509</f>
        <v/>
      </c>
    </row>
    <row r="508" spans="15:16" x14ac:dyDescent="0.3">
      <c r="O508" s="21" t="str">
        <f ca="1">IFERROR(IF(LEFT(O507,2)="13",DATE(RIGHT(O507,4),12,31),IF(EOMONTH(O507,1)&gt;PREMISSAS!$C$3,"",IF(MONTH(O507)=11,"13º "&amp;YEAR(O507),EOMONTH(O507,1)))),"")</f>
        <v/>
      </c>
      <c r="P508" s="4" t="str">
        <f ca="1">Preencher_Salários!J510</f>
        <v/>
      </c>
    </row>
    <row r="509" spans="15:16" x14ac:dyDescent="0.3">
      <c r="O509" s="21" t="str">
        <f ca="1">IFERROR(IF(LEFT(O508,2)="13",DATE(RIGHT(O508,4),12,31),IF(EOMONTH(O508,1)&gt;PREMISSAS!$C$3,"",IF(MONTH(O508)=11,"13º "&amp;YEAR(O508),EOMONTH(O508,1)))),"")</f>
        <v/>
      </c>
      <c r="P509" s="4" t="str">
        <f ca="1">Preencher_Salários!J511</f>
        <v/>
      </c>
    </row>
    <row r="510" spans="15:16" x14ac:dyDescent="0.3">
      <c r="O510" s="21" t="str">
        <f ca="1">IFERROR(IF(LEFT(O509,2)="13",DATE(RIGHT(O509,4),12,31),IF(EOMONTH(O509,1)&gt;PREMISSAS!$C$3,"",IF(MONTH(O509)=11,"13º "&amp;YEAR(O509),EOMONTH(O509,1)))),"")</f>
        <v/>
      </c>
      <c r="P510" s="4" t="str">
        <f ca="1">Preencher_Salários!J512</f>
        <v/>
      </c>
    </row>
    <row r="511" spans="15:16" x14ac:dyDescent="0.3">
      <c r="O511" s="21" t="str">
        <f ca="1">IFERROR(IF(LEFT(O510,2)="13",DATE(RIGHT(O510,4),12,31),IF(EOMONTH(O510,1)&gt;PREMISSAS!$C$3,"",IF(MONTH(O510)=11,"13º "&amp;YEAR(O510),EOMONTH(O510,1)))),"")</f>
        <v/>
      </c>
      <c r="P511" s="4" t="str">
        <f ca="1">Preencher_Salários!J513</f>
        <v/>
      </c>
    </row>
    <row r="512" spans="15:16" x14ac:dyDescent="0.3">
      <c r="O512" s="21" t="str">
        <f ca="1">IFERROR(IF(LEFT(O511,2)="13",DATE(RIGHT(O511,4),12,31),IF(EOMONTH(O511,1)&gt;PREMISSAS!$C$3,"",IF(MONTH(O511)=11,"13º "&amp;YEAR(O511),EOMONTH(O511,1)))),"")</f>
        <v/>
      </c>
      <c r="P512" s="4" t="str">
        <f ca="1">Preencher_Salários!J514</f>
        <v/>
      </c>
    </row>
    <row r="513" spans="15:16" x14ac:dyDescent="0.3">
      <c r="O513" s="21" t="str">
        <f ca="1">IFERROR(IF(LEFT(O512,2)="13",DATE(RIGHT(O512,4),12,31),IF(EOMONTH(O512,1)&gt;PREMISSAS!$C$3,"",IF(MONTH(O512)=11,"13º "&amp;YEAR(O512),EOMONTH(O512,1)))),"")</f>
        <v/>
      </c>
      <c r="P513" s="4" t="str">
        <f ca="1">Preencher_Salários!J515</f>
        <v/>
      </c>
    </row>
    <row r="514" spans="15:16" x14ac:dyDescent="0.3">
      <c r="O514" s="21" t="str">
        <f ca="1">IFERROR(IF(LEFT(O513,2)="13",DATE(RIGHT(O513,4),12,31),IF(EOMONTH(O513,1)&gt;PREMISSAS!$C$3,"",IF(MONTH(O513)=11,"13º "&amp;YEAR(O513),EOMONTH(O513,1)))),"")</f>
        <v/>
      </c>
      <c r="P514" s="4" t="str">
        <f ca="1">Preencher_Salários!J516</f>
        <v/>
      </c>
    </row>
    <row r="515" spans="15:16" x14ac:dyDescent="0.3">
      <c r="O515" s="21" t="str">
        <f ca="1">IFERROR(IF(LEFT(O514,2)="13",DATE(RIGHT(O514,4),12,31),IF(EOMONTH(O514,1)&gt;PREMISSAS!$C$3,"",IF(MONTH(O514)=11,"13º "&amp;YEAR(O514),EOMONTH(O514,1)))),"")</f>
        <v/>
      </c>
      <c r="P515" s="4" t="str">
        <f ca="1">Preencher_Salários!J517</f>
        <v/>
      </c>
    </row>
    <row r="516" spans="15:16" x14ac:dyDescent="0.3">
      <c r="O516" s="21" t="str">
        <f ca="1">IFERROR(IF(LEFT(O515,2)="13",DATE(RIGHT(O515,4),12,31),IF(EOMONTH(O515,1)&gt;PREMISSAS!$C$3,"",IF(MONTH(O515)=11,"13º "&amp;YEAR(O515),EOMONTH(O515,1)))),"")</f>
        <v/>
      </c>
      <c r="P516" s="4" t="str">
        <f ca="1">Preencher_Salários!J518</f>
        <v/>
      </c>
    </row>
    <row r="517" spans="15:16" x14ac:dyDescent="0.3">
      <c r="O517" s="21" t="str">
        <f ca="1">IFERROR(IF(LEFT(O516,2)="13",DATE(RIGHT(O516,4),12,31),IF(EOMONTH(O516,1)&gt;PREMISSAS!$C$3,"",IF(MONTH(O516)=11,"13º "&amp;YEAR(O516),EOMONTH(O516,1)))),"")</f>
        <v/>
      </c>
      <c r="P517" s="4" t="str">
        <f ca="1">Preencher_Salários!J519</f>
        <v/>
      </c>
    </row>
    <row r="518" spans="15:16" x14ac:dyDescent="0.3">
      <c r="O518" s="21" t="str">
        <f ca="1">IFERROR(IF(LEFT(O517,2)="13",DATE(RIGHT(O517,4),12,31),IF(EOMONTH(O517,1)&gt;PREMISSAS!$C$3,"",IF(MONTH(O517)=11,"13º "&amp;YEAR(O517),EOMONTH(O517,1)))),"")</f>
        <v/>
      </c>
      <c r="P518" s="4" t="str">
        <f ca="1">Preencher_Salários!J520</f>
        <v/>
      </c>
    </row>
    <row r="519" spans="15:16" x14ac:dyDescent="0.3">
      <c r="O519" s="21" t="str">
        <f ca="1">IFERROR(IF(LEFT(O518,2)="13",DATE(RIGHT(O518,4),12,31),IF(EOMONTH(O518,1)&gt;PREMISSAS!$C$3,"",IF(MONTH(O518)=11,"13º "&amp;YEAR(O518),EOMONTH(O518,1)))),"")</f>
        <v/>
      </c>
      <c r="P519" s="4" t="str">
        <f ca="1">Preencher_Salários!J521</f>
        <v/>
      </c>
    </row>
    <row r="520" spans="15:16" x14ac:dyDescent="0.3">
      <c r="O520" s="21" t="str">
        <f ca="1">IFERROR(IF(LEFT(O519,2)="13",DATE(RIGHT(O519,4),12,31),IF(EOMONTH(O519,1)&gt;PREMISSAS!$C$3,"",IF(MONTH(O519)=11,"13º "&amp;YEAR(O519),EOMONTH(O519,1)))),"")</f>
        <v/>
      </c>
      <c r="P520" s="4" t="str">
        <f ca="1">Preencher_Salários!J522</f>
        <v/>
      </c>
    </row>
    <row r="521" spans="15:16" x14ac:dyDescent="0.3">
      <c r="O521" s="21" t="str">
        <f ca="1">IFERROR(IF(LEFT(O520,2)="13",DATE(RIGHT(O520,4),12,31),IF(EOMONTH(O520,1)&gt;PREMISSAS!$C$3,"",IF(MONTH(O520)=11,"13º "&amp;YEAR(O520),EOMONTH(O520,1)))),"")</f>
        <v/>
      </c>
      <c r="P521" s="4" t="str">
        <f ca="1">Preencher_Salários!J523</f>
        <v/>
      </c>
    </row>
    <row r="522" spans="15:16" x14ac:dyDescent="0.3">
      <c r="O522" s="21" t="str">
        <f ca="1">IFERROR(IF(LEFT(O521,2)="13",DATE(RIGHT(O521,4),12,31),IF(EOMONTH(O521,1)&gt;PREMISSAS!$C$3,"",IF(MONTH(O521)=11,"13º "&amp;YEAR(O521),EOMONTH(O521,1)))),"")</f>
        <v/>
      </c>
      <c r="P522" s="4" t="str">
        <f ca="1">Preencher_Salários!J524</f>
        <v/>
      </c>
    </row>
    <row r="523" spans="15:16" x14ac:dyDescent="0.3">
      <c r="O523" s="21" t="str">
        <f ca="1">IFERROR(IF(LEFT(O522,2)="13",DATE(RIGHT(O522,4),12,31),IF(EOMONTH(O522,1)&gt;PREMISSAS!$C$3,"",IF(MONTH(O522)=11,"13º "&amp;YEAR(O522),EOMONTH(O522,1)))),"")</f>
        <v/>
      </c>
      <c r="P523" s="4" t="str">
        <f ca="1">Preencher_Salários!J525</f>
        <v/>
      </c>
    </row>
    <row r="524" spans="15:16" x14ac:dyDescent="0.3">
      <c r="O524" s="21" t="str">
        <f ca="1">IFERROR(IF(LEFT(O523,2)="13",DATE(RIGHT(O523,4),12,31),IF(EOMONTH(O523,1)&gt;PREMISSAS!$C$3,"",IF(MONTH(O523)=11,"13º "&amp;YEAR(O523),EOMONTH(O523,1)))),"")</f>
        <v/>
      </c>
      <c r="P524" s="4" t="str">
        <f ca="1">Preencher_Salários!J526</f>
        <v/>
      </c>
    </row>
    <row r="525" spans="15:16" x14ac:dyDescent="0.3">
      <c r="O525" s="21" t="str">
        <f ca="1">IFERROR(IF(LEFT(O524,2)="13",DATE(RIGHT(O524,4),12,31),IF(EOMONTH(O524,1)&gt;PREMISSAS!$C$3,"",IF(MONTH(O524)=11,"13º "&amp;YEAR(O524),EOMONTH(O524,1)))),"")</f>
        <v/>
      </c>
      <c r="P525" s="4" t="str">
        <f ca="1">Preencher_Salários!J527</f>
        <v/>
      </c>
    </row>
    <row r="526" spans="15:16" x14ac:dyDescent="0.3">
      <c r="O526" s="21" t="str">
        <f ca="1">IFERROR(IF(LEFT(O525,2)="13",DATE(RIGHT(O525,4),12,31),IF(EOMONTH(O525,1)&gt;PREMISSAS!$C$3,"",IF(MONTH(O525)=11,"13º "&amp;YEAR(O525),EOMONTH(O525,1)))),"")</f>
        <v/>
      </c>
      <c r="P526" s="4" t="str">
        <f ca="1">Preencher_Salários!J528</f>
        <v/>
      </c>
    </row>
    <row r="527" spans="15:16" x14ac:dyDescent="0.3">
      <c r="O527" s="21" t="str">
        <f ca="1">IFERROR(IF(LEFT(O526,2)="13",DATE(RIGHT(O526,4),12,31),IF(EOMONTH(O526,1)&gt;PREMISSAS!$C$3,"",IF(MONTH(O526)=11,"13º "&amp;YEAR(O526),EOMONTH(O526,1)))),"")</f>
        <v/>
      </c>
      <c r="P527" s="4" t="str">
        <f ca="1">Preencher_Salários!J529</f>
        <v/>
      </c>
    </row>
    <row r="528" spans="15:16" x14ac:dyDescent="0.3">
      <c r="O528" s="21" t="str">
        <f ca="1">IFERROR(IF(LEFT(O527,2)="13",DATE(RIGHT(O527,4),12,31),IF(EOMONTH(O527,1)&gt;PREMISSAS!$C$3,"",IF(MONTH(O527)=11,"13º "&amp;YEAR(O527),EOMONTH(O527,1)))),"")</f>
        <v/>
      </c>
      <c r="P528" s="4" t="str">
        <f ca="1">Preencher_Salários!J530</f>
        <v/>
      </c>
    </row>
    <row r="529" spans="15:16" x14ac:dyDescent="0.3">
      <c r="O529" s="21" t="str">
        <f ca="1">IFERROR(IF(LEFT(O528,2)="13",DATE(RIGHT(O528,4),12,31),IF(EOMONTH(O528,1)&gt;PREMISSAS!$C$3,"",IF(MONTH(O528)=11,"13º "&amp;YEAR(O528),EOMONTH(O528,1)))),"")</f>
        <v/>
      </c>
      <c r="P529" s="4" t="str">
        <f ca="1">Preencher_Salários!J531</f>
        <v/>
      </c>
    </row>
    <row r="530" spans="15:16" x14ac:dyDescent="0.3">
      <c r="O530" s="21" t="str">
        <f ca="1">IFERROR(IF(LEFT(O529,2)="13",DATE(RIGHT(O529,4),12,31),IF(EOMONTH(O529,1)&gt;PREMISSAS!$C$3,"",IF(MONTH(O529)=11,"13º "&amp;YEAR(O529),EOMONTH(O529,1)))),"")</f>
        <v/>
      </c>
      <c r="P530" s="4" t="str">
        <f ca="1">Preencher_Salários!J532</f>
        <v/>
      </c>
    </row>
    <row r="531" spans="15:16" x14ac:dyDescent="0.3">
      <c r="O531" s="21" t="str">
        <f ca="1">IFERROR(IF(LEFT(O530,2)="13",DATE(RIGHT(O530,4),12,31),IF(EOMONTH(O530,1)&gt;PREMISSAS!$C$3,"",IF(MONTH(O530)=11,"13º "&amp;YEAR(O530),EOMONTH(O530,1)))),"")</f>
        <v/>
      </c>
      <c r="P531" s="4" t="str">
        <f ca="1">Preencher_Salários!J533</f>
        <v/>
      </c>
    </row>
    <row r="532" spans="15:16" x14ac:dyDescent="0.3">
      <c r="O532" s="21" t="str">
        <f ca="1">IFERROR(IF(LEFT(O531,2)="13",DATE(RIGHT(O531,4),12,31),IF(EOMONTH(O531,1)&gt;PREMISSAS!$C$3,"",IF(MONTH(O531)=11,"13º "&amp;YEAR(O531),EOMONTH(O531,1)))),"")</f>
        <v/>
      </c>
      <c r="P532" s="4" t="str">
        <f ca="1">Preencher_Salários!J534</f>
        <v/>
      </c>
    </row>
    <row r="533" spans="15:16" x14ac:dyDescent="0.3">
      <c r="O533" s="21" t="str">
        <f ca="1">IFERROR(IF(LEFT(O532,2)="13",DATE(RIGHT(O532,4),12,31),IF(EOMONTH(O532,1)&gt;PREMISSAS!$C$3,"",IF(MONTH(O532)=11,"13º "&amp;YEAR(O532),EOMONTH(O532,1)))),"")</f>
        <v/>
      </c>
      <c r="P533" s="4" t="str">
        <f ca="1">Preencher_Salários!J535</f>
        <v/>
      </c>
    </row>
    <row r="534" spans="15:16" x14ac:dyDescent="0.3">
      <c r="O534" s="21" t="str">
        <f ca="1">IFERROR(IF(LEFT(O533,2)="13",DATE(RIGHT(O533,4),12,31),IF(EOMONTH(O533,1)&gt;PREMISSAS!$C$3,"",IF(MONTH(O533)=11,"13º "&amp;YEAR(O533),EOMONTH(O533,1)))),"")</f>
        <v/>
      </c>
      <c r="P534" s="4" t="str">
        <f ca="1">Preencher_Salários!J536</f>
        <v/>
      </c>
    </row>
    <row r="535" spans="15:16" x14ac:dyDescent="0.3">
      <c r="O535" s="21" t="str">
        <f ca="1">IFERROR(IF(LEFT(O534,2)="13",DATE(RIGHT(O534,4),12,31),IF(EOMONTH(O534,1)&gt;PREMISSAS!$C$3,"",IF(MONTH(O534)=11,"13º "&amp;YEAR(O534),EOMONTH(O534,1)))),"")</f>
        <v/>
      </c>
      <c r="P535" s="4" t="str">
        <f ca="1">Preencher_Salários!J537</f>
        <v/>
      </c>
    </row>
    <row r="536" spans="15:16" x14ac:dyDescent="0.3">
      <c r="O536" s="21" t="str">
        <f ca="1">IFERROR(IF(LEFT(O535,2)="13",DATE(RIGHT(O535,4),12,31),IF(EOMONTH(O535,1)&gt;PREMISSAS!$C$3,"",IF(MONTH(O535)=11,"13º "&amp;YEAR(O535),EOMONTH(O535,1)))),"")</f>
        <v/>
      </c>
      <c r="P536" s="4" t="str">
        <f ca="1">Preencher_Salários!J538</f>
        <v/>
      </c>
    </row>
    <row r="537" spans="15:16" x14ac:dyDescent="0.3">
      <c r="O537" s="21" t="str">
        <f ca="1">IFERROR(IF(LEFT(O536,2)="13",DATE(RIGHT(O536,4),12,31),IF(EOMONTH(O536,1)&gt;PREMISSAS!$C$3,"",IF(MONTH(O536)=11,"13º "&amp;YEAR(O536),EOMONTH(O536,1)))),"")</f>
        <v/>
      </c>
      <c r="P537" s="4" t="str">
        <f ca="1">Preencher_Salários!J539</f>
        <v/>
      </c>
    </row>
    <row r="538" spans="15:16" x14ac:dyDescent="0.3">
      <c r="O538" s="21" t="str">
        <f ca="1">IFERROR(IF(LEFT(O537,2)="13",DATE(RIGHT(O537,4),12,31),IF(EOMONTH(O537,1)&gt;PREMISSAS!$C$3,"",IF(MONTH(O537)=11,"13º "&amp;YEAR(O537),EOMONTH(O537,1)))),"")</f>
        <v/>
      </c>
      <c r="P538" s="4" t="str">
        <f ca="1">Preencher_Salários!J540</f>
        <v/>
      </c>
    </row>
    <row r="539" spans="15:16" x14ac:dyDescent="0.3">
      <c r="O539" s="21" t="str">
        <f ca="1">IFERROR(IF(LEFT(O538,2)="13",DATE(RIGHT(O538,4),12,31),IF(EOMONTH(O538,1)&gt;PREMISSAS!$C$3,"",IF(MONTH(O538)=11,"13º "&amp;YEAR(O538),EOMONTH(O538,1)))),"")</f>
        <v/>
      </c>
      <c r="P539" s="4" t="str">
        <f ca="1">Preencher_Salários!J541</f>
        <v/>
      </c>
    </row>
    <row r="540" spans="15:16" x14ac:dyDescent="0.3">
      <c r="O540" s="21" t="str">
        <f ca="1">IFERROR(IF(LEFT(O539,2)="13",DATE(RIGHT(O539,4),12,31),IF(EOMONTH(O539,1)&gt;PREMISSAS!$C$3,"",IF(MONTH(O539)=11,"13º "&amp;YEAR(O539),EOMONTH(O539,1)))),"")</f>
        <v/>
      </c>
      <c r="P540" s="4" t="str">
        <f ca="1">Preencher_Salários!J542</f>
        <v/>
      </c>
    </row>
    <row r="541" spans="15:16" x14ac:dyDescent="0.3">
      <c r="O541" s="21" t="str">
        <f ca="1">IFERROR(IF(LEFT(O540,2)="13",DATE(RIGHT(O540,4),12,31),IF(EOMONTH(O540,1)&gt;PREMISSAS!$C$3,"",IF(MONTH(O540)=11,"13º "&amp;YEAR(O540),EOMONTH(O540,1)))),"")</f>
        <v/>
      </c>
      <c r="P541" s="4" t="str">
        <f ca="1">Preencher_Salários!J543</f>
        <v/>
      </c>
    </row>
    <row r="542" spans="15:16" x14ac:dyDescent="0.3">
      <c r="O542" s="21" t="str">
        <f ca="1">IFERROR(IF(LEFT(O541,2)="13",DATE(RIGHT(O541,4),12,31),IF(EOMONTH(O541,1)&gt;PREMISSAS!$C$3,"",IF(MONTH(O541)=11,"13º "&amp;YEAR(O541),EOMONTH(O541,1)))),"")</f>
        <v/>
      </c>
      <c r="P542" s="4" t="str">
        <f ca="1">Preencher_Salários!J544</f>
        <v/>
      </c>
    </row>
    <row r="543" spans="15:16" x14ac:dyDescent="0.3">
      <c r="O543" s="21" t="str">
        <f ca="1">IFERROR(IF(LEFT(O542,2)="13",DATE(RIGHT(O542,4),12,31),IF(EOMONTH(O542,1)&gt;PREMISSAS!$C$3,"",IF(MONTH(O542)=11,"13º "&amp;YEAR(O542),EOMONTH(O542,1)))),"")</f>
        <v/>
      </c>
      <c r="P543" s="4" t="str">
        <f ca="1">Preencher_Salários!J545</f>
        <v/>
      </c>
    </row>
    <row r="544" spans="15:16" x14ac:dyDescent="0.3">
      <c r="O544" s="21" t="str">
        <f ca="1">IFERROR(IF(LEFT(O543,2)="13",DATE(RIGHT(O543,4),12,31),IF(EOMONTH(O543,1)&gt;PREMISSAS!$C$3,"",IF(MONTH(O543)=11,"13º "&amp;YEAR(O543),EOMONTH(O543,1)))),"")</f>
        <v/>
      </c>
      <c r="P544" s="4" t="str">
        <f ca="1">Preencher_Salários!J546</f>
        <v/>
      </c>
    </row>
    <row r="545" spans="15:16" x14ac:dyDescent="0.3">
      <c r="O545" s="21" t="str">
        <f ca="1">IFERROR(IF(LEFT(O544,2)="13",DATE(RIGHT(O544,4),12,31),IF(EOMONTH(O544,1)&gt;PREMISSAS!$C$3,"",IF(MONTH(O544)=11,"13º "&amp;YEAR(O544),EOMONTH(O544,1)))),"")</f>
        <v/>
      </c>
      <c r="P545" s="4" t="str">
        <f ca="1">Preencher_Salários!J547</f>
        <v/>
      </c>
    </row>
    <row r="546" spans="15:16" x14ac:dyDescent="0.3">
      <c r="O546" s="21" t="str">
        <f ca="1">IFERROR(IF(LEFT(O545,2)="13",DATE(RIGHT(O545,4),12,31),IF(EOMONTH(O545,1)&gt;PREMISSAS!$C$3,"",IF(MONTH(O545)=11,"13º "&amp;YEAR(O545),EOMONTH(O545,1)))),"")</f>
        <v/>
      </c>
      <c r="P546" s="4" t="str">
        <f ca="1">Preencher_Salários!J548</f>
        <v/>
      </c>
    </row>
    <row r="547" spans="15:16" x14ac:dyDescent="0.3">
      <c r="O547" s="21" t="str">
        <f ca="1">IFERROR(IF(LEFT(O546,2)="13",DATE(RIGHT(O546,4),12,31),IF(EOMONTH(O546,1)&gt;PREMISSAS!$C$3,"",IF(MONTH(O546)=11,"13º "&amp;YEAR(O546),EOMONTH(O546,1)))),"")</f>
        <v/>
      </c>
      <c r="P547" s="4" t="str">
        <f ca="1">Preencher_Salários!J549</f>
        <v/>
      </c>
    </row>
    <row r="548" spans="15:16" x14ac:dyDescent="0.3">
      <c r="O548" s="21" t="str">
        <f ca="1">IFERROR(IF(LEFT(O547,2)="13",DATE(RIGHT(O547,4),12,31),IF(EOMONTH(O547,1)&gt;PREMISSAS!$C$3,"",IF(MONTH(O547)=11,"13º "&amp;YEAR(O547),EOMONTH(O547,1)))),"")</f>
        <v/>
      </c>
      <c r="P548" s="4" t="str">
        <f ca="1">Preencher_Salários!J550</f>
        <v/>
      </c>
    </row>
    <row r="549" spans="15:16" x14ac:dyDescent="0.3">
      <c r="O549" s="21" t="str">
        <f ca="1">IFERROR(IF(LEFT(O548,2)="13",DATE(RIGHT(O548,4),12,31),IF(EOMONTH(O548,1)&gt;PREMISSAS!$C$3,"",IF(MONTH(O548)=11,"13º "&amp;YEAR(O548),EOMONTH(O548,1)))),"")</f>
        <v/>
      </c>
      <c r="P549" s="4" t="str">
        <f ca="1">Preencher_Salários!J551</f>
        <v/>
      </c>
    </row>
    <row r="550" spans="15:16" x14ac:dyDescent="0.3">
      <c r="O550" s="21" t="str">
        <f ca="1">IFERROR(IF(LEFT(O549,2)="13",DATE(RIGHT(O549,4),12,31),IF(EOMONTH(O549,1)&gt;PREMISSAS!$C$3,"",IF(MONTH(O549)=11,"13º "&amp;YEAR(O549),EOMONTH(O549,1)))),"")</f>
        <v/>
      </c>
      <c r="P550" s="4" t="str">
        <f ca="1">Preencher_Salários!J552</f>
        <v/>
      </c>
    </row>
    <row r="551" spans="15:16" x14ac:dyDescent="0.3">
      <c r="O551" s="21" t="str">
        <f ca="1">IFERROR(IF(LEFT(O550,2)="13",DATE(RIGHT(O550,4),12,31),IF(EOMONTH(O550,1)&gt;PREMISSAS!$C$3,"",IF(MONTH(O550)=11,"13º "&amp;YEAR(O550),EOMONTH(O550,1)))),"")</f>
        <v/>
      </c>
      <c r="P551" s="4" t="str">
        <f ca="1">Preencher_Salários!J553</f>
        <v/>
      </c>
    </row>
    <row r="552" spans="15:16" x14ac:dyDescent="0.3">
      <c r="O552" s="21" t="str">
        <f ca="1">IFERROR(IF(LEFT(O551,2)="13",DATE(RIGHT(O551,4),12,31),IF(EOMONTH(O551,1)&gt;PREMISSAS!$C$3,"",IF(MONTH(O551)=11,"13º "&amp;YEAR(O551),EOMONTH(O551,1)))),"")</f>
        <v/>
      </c>
      <c r="P552" s="4" t="str">
        <f ca="1">Preencher_Salários!J554</f>
        <v/>
      </c>
    </row>
    <row r="553" spans="15:16" x14ac:dyDescent="0.3">
      <c r="O553" s="21" t="str">
        <f ca="1">IFERROR(IF(LEFT(O552,2)="13",DATE(RIGHT(O552,4),12,31),IF(EOMONTH(O552,1)&gt;PREMISSAS!$C$3,"",IF(MONTH(O552)=11,"13º "&amp;YEAR(O552),EOMONTH(O552,1)))),"")</f>
        <v/>
      </c>
      <c r="P553" s="4" t="str">
        <f ca="1">Preencher_Salários!J555</f>
        <v/>
      </c>
    </row>
    <row r="554" spans="15:16" x14ac:dyDescent="0.3">
      <c r="O554" s="21" t="str">
        <f ca="1">IFERROR(IF(LEFT(O553,2)="13",DATE(RIGHT(O553,4),12,31),IF(EOMONTH(O553,1)&gt;PREMISSAS!$C$3,"",IF(MONTH(O553)=11,"13º "&amp;YEAR(O553),EOMONTH(O553,1)))),"")</f>
        <v/>
      </c>
      <c r="P554" s="4" t="str">
        <f ca="1">Preencher_Salários!J556</f>
        <v/>
      </c>
    </row>
    <row r="555" spans="15:16" x14ac:dyDescent="0.3">
      <c r="O555" s="21" t="str">
        <f ca="1">IFERROR(IF(LEFT(O554,2)="13",DATE(RIGHT(O554,4),12,31),IF(EOMONTH(O554,1)&gt;PREMISSAS!$C$3,"",IF(MONTH(O554)=11,"13º "&amp;YEAR(O554),EOMONTH(O554,1)))),"")</f>
        <v/>
      </c>
      <c r="P555" s="4" t="str">
        <f ca="1">Preencher_Salários!J557</f>
        <v/>
      </c>
    </row>
    <row r="556" spans="15:16" x14ac:dyDescent="0.3">
      <c r="O556" s="21" t="str">
        <f ca="1">IFERROR(IF(LEFT(O555,2)="13",DATE(RIGHT(O555,4),12,31),IF(EOMONTH(O555,1)&gt;PREMISSAS!$C$3,"",IF(MONTH(O555)=11,"13º "&amp;YEAR(O555),EOMONTH(O555,1)))),"")</f>
        <v/>
      </c>
      <c r="P556" s="4" t="str">
        <f ca="1">Preencher_Salários!J558</f>
        <v/>
      </c>
    </row>
    <row r="557" spans="15:16" x14ac:dyDescent="0.3">
      <c r="O557" s="21" t="str">
        <f ca="1">IFERROR(IF(LEFT(O556,2)="13",DATE(RIGHT(O556,4),12,31),IF(EOMONTH(O556,1)&gt;PREMISSAS!$C$3,"",IF(MONTH(O556)=11,"13º "&amp;YEAR(O556),EOMONTH(O556,1)))),"")</f>
        <v/>
      </c>
      <c r="P557" s="4" t="str">
        <f ca="1">Preencher_Salários!J559</f>
        <v/>
      </c>
    </row>
    <row r="558" spans="15:16" x14ac:dyDescent="0.3">
      <c r="O558" s="21" t="str">
        <f ca="1">IFERROR(IF(LEFT(O557,2)="13",DATE(RIGHT(O557,4),12,31),IF(EOMONTH(O557,1)&gt;PREMISSAS!$C$3,"",IF(MONTH(O557)=11,"13º "&amp;YEAR(O557),EOMONTH(O557,1)))),"")</f>
        <v/>
      </c>
      <c r="P558" s="4" t="str">
        <f ca="1">Preencher_Salários!J560</f>
        <v/>
      </c>
    </row>
    <row r="559" spans="15:16" x14ac:dyDescent="0.3">
      <c r="O559" s="21" t="str">
        <f ca="1">IFERROR(IF(LEFT(O558,2)="13",DATE(RIGHT(O558,4),12,31),IF(EOMONTH(O558,1)&gt;PREMISSAS!$C$3,"",IF(MONTH(O558)=11,"13º "&amp;YEAR(O558),EOMONTH(O558,1)))),"")</f>
        <v/>
      </c>
      <c r="P559" s="4" t="str">
        <f ca="1">Preencher_Salários!J561</f>
        <v/>
      </c>
    </row>
    <row r="560" spans="15:16" x14ac:dyDescent="0.3">
      <c r="O560" s="21" t="str">
        <f ca="1">IFERROR(IF(LEFT(O559,2)="13",DATE(RIGHT(O559,4),12,31),IF(EOMONTH(O559,1)&gt;PREMISSAS!$C$3,"",IF(MONTH(O559)=11,"13º "&amp;YEAR(O559),EOMONTH(O559,1)))),"")</f>
        <v/>
      </c>
      <c r="P560" s="4" t="str">
        <f ca="1">Preencher_Salários!J562</f>
        <v/>
      </c>
    </row>
    <row r="561" spans="15:16" x14ac:dyDescent="0.3">
      <c r="O561" s="21" t="str">
        <f ca="1">IFERROR(IF(LEFT(O560,2)="13",DATE(RIGHT(O560,4),12,31),IF(EOMONTH(O560,1)&gt;PREMISSAS!$C$3,"",IF(MONTH(O560)=11,"13º "&amp;YEAR(O560),EOMONTH(O560,1)))),"")</f>
        <v/>
      </c>
      <c r="P561" s="4" t="str">
        <f ca="1">Preencher_Salários!J563</f>
        <v/>
      </c>
    </row>
    <row r="562" spans="15:16" x14ac:dyDescent="0.3">
      <c r="O562" s="21" t="str">
        <f ca="1">IFERROR(IF(LEFT(O561,2)="13",DATE(RIGHT(O561,4),12,31),IF(EOMONTH(O561,1)&gt;PREMISSAS!$C$3,"",IF(MONTH(O561)=11,"13º "&amp;YEAR(O561),EOMONTH(O561,1)))),"")</f>
        <v/>
      </c>
      <c r="P562" s="4" t="str">
        <f ca="1">Preencher_Salários!J564</f>
        <v/>
      </c>
    </row>
    <row r="563" spans="15:16" x14ac:dyDescent="0.3">
      <c r="O563" s="21" t="str">
        <f ca="1">IFERROR(IF(LEFT(O562,2)="13",DATE(RIGHT(O562,4),12,31),IF(EOMONTH(O562,1)&gt;PREMISSAS!$C$3,"",IF(MONTH(O562)=11,"13º "&amp;YEAR(O562),EOMONTH(O562,1)))),"")</f>
        <v/>
      </c>
      <c r="P563" s="4" t="str">
        <f ca="1">Preencher_Salários!J565</f>
        <v/>
      </c>
    </row>
    <row r="564" spans="15:16" x14ac:dyDescent="0.3">
      <c r="O564" s="21" t="str">
        <f ca="1">IFERROR(IF(LEFT(O563,2)="13",DATE(RIGHT(O563,4),12,31),IF(EOMONTH(O563,1)&gt;PREMISSAS!$C$3,"",IF(MONTH(O563)=11,"13º "&amp;YEAR(O563),EOMONTH(O563,1)))),"")</f>
        <v/>
      </c>
      <c r="P564" s="4" t="str">
        <f ca="1">Preencher_Salários!J566</f>
        <v/>
      </c>
    </row>
    <row r="565" spans="15:16" x14ac:dyDescent="0.3">
      <c r="O565" s="21" t="str">
        <f ca="1">IFERROR(IF(LEFT(O564,2)="13",DATE(RIGHT(O564,4),12,31),IF(EOMONTH(O564,1)&gt;PREMISSAS!$C$3,"",IF(MONTH(O564)=11,"13º "&amp;YEAR(O564),EOMONTH(O564,1)))),"")</f>
        <v/>
      </c>
      <c r="P565" s="4" t="str">
        <f ca="1">Preencher_Salários!J567</f>
        <v/>
      </c>
    </row>
    <row r="566" spans="15:16" x14ac:dyDescent="0.3">
      <c r="O566" s="21" t="str">
        <f ca="1">IFERROR(IF(LEFT(O565,2)="13",DATE(RIGHT(O565,4),12,31),IF(EOMONTH(O565,1)&gt;PREMISSAS!$C$3,"",IF(MONTH(O565)=11,"13º "&amp;YEAR(O565),EOMONTH(O565,1)))),"")</f>
        <v/>
      </c>
      <c r="P566" s="4" t="str">
        <f ca="1">Preencher_Salários!J568</f>
        <v/>
      </c>
    </row>
    <row r="567" spans="15:16" x14ac:dyDescent="0.3">
      <c r="O567" s="21" t="str">
        <f ca="1">IFERROR(IF(LEFT(O566,2)="13",DATE(RIGHT(O566,4),12,31),IF(EOMONTH(O566,1)&gt;PREMISSAS!$C$3,"",IF(MONTH(O566)=11,"13º "&amp;YEAR(O566),EOMONTH(O566,1)))),"")</f>
        <v/>
      </c>
      <c r="P567" s="4" t="str">
        <f ca="1">Preencher_Salários!J569</f>
        <v/>
      </c>
    </row>
    <row r="568" spans="15:16" x14ac:dyDescent="0.3">
      <c r="O568" s="21" t="str">
        <f ca="1">IFERROR(IF(LEFT(O567,2)="13",DATE(RIGHT(O567,4),12,31),IF(EOMONTH(O567,1)&gt;PREMISSAS!$C$3,"",IF(MONTH(O567)=11,"13º "&amp;YEAR(O567),EOMONTH(O567,1)))),"")</f>
        <v/>
      </c>
      <c r="P568" s="4" t="str">
        <f ca="1">Preencher_Salários!J570</f>
        <v/>
      </c>
    </row>
    <row r="569" spans="15:16" x14ac:dyDescent="0.3">
      <c r="O569" s="21" t="str">
        <f ca="1">IFERROR(IF(LEFT(O568,2)="13",DATE(RIGHT(O568,4),12,31),IF(EOMONTH(O568,1)&gt;PREMISSAS!$C$3,"",IF(MONTH(O568)=11,"13º "&amp;YEAR(O568),EOMONTH(O568,1)))),"")</f>
        <v/>
      </c>
      <c r="P569" s="4" t="str">
        <f ca="1">Preencher_Salários!J571</f>
        <v/>
      </c>
    </row>
    <row r="570" spans="15:16" x14ac:dyDescent="0.3">
      <c r="O570" s="21" t="str">
        <f ca="1">IFERROR(IF(LEFT(O569,2)="13",DATE(RIGHT(O569,4),12,31),IF(EOMONTH(O569,1)&gt;PREMISSAS!$C$3,"",IF(MONTH(O569)=11,"13º "&amp;YEAR(O569),EOMONTH(O569,1)))),"")</f>
        <v/>
      </c>
      <c r="P570" s="4" t="str">
        <f ca="1">Preencher_Salários!J572</f>
        <v/>
      </c>
    </row>
    <row r="571" spans="15:16" x14ac:dyDescent="0.3">
      <c r="O571" s="21" t="str">
        <f ca="1">IFERROR(IF(LEFT(O570,2)="13",DATE(RIGHT(O570,4),12,31),IF(EOMONTH(O570,1)&gt;PREMISSAS!$C$3,"",IF(MONTH(O570)=11,"13º "&amp;YEAR(O570),EOMONTH(O570,1)))),"")</f>
        <v/>
      </c>
      <c r="P571" s="4" t="str">
        <f ca="1">Preencher_Salários!J573</f>
        <v/>
      </c>
    </row>
    <row r="572" spans="15:16" x14ac:dyDescent="0.3">
      <c r="O572" s="21" t="str">
        <f ca="1">IFERROR(IF(LEFT(O571,2)="13",DATE(RIGHT(O571,4),12,31),IF(EOMONTH(O571,1)&gt;PREMISSAS!$C$3,"",IF(MONTH(O571)=11,"13º "&amp;YEAR(O571),EOMONTH(O571,1)))),"")</f>
        <v/>
      </c>
      <c r="P572" s="4" t="str">
        <f ca="1">Preencher_Salários!J574</f>
        <v/>
      </c>
    </row>
    <row r="573" spans="15:16" x14ac:dyDescent="0.3">
      <c r="O573" s="21" t="str">
        <f ca="1">IFERROR(IF(LEFT(O572,2)="13",DATE(RIGHT(O572,4),12,31),IF(EOMONTH(O572,1)&gt;PREMISSAS!$C$3,"",IF(MONTH(O572)=11,"13º "&amp;YEAR(O572),EOMONTH(O572,1)))),"")</f>
        <v/>
      </c>
      <c r="P573" s="4" t="str">
        <f ca="1">Preencher_Salários!J575</f>
        <v/>
      </c>
    </row>
    <row r="574" spans="15:16" x14ac:dyDescent="0.3">
      <c r="O574" s="21" t="str">
        <f ca="1">IFERROR(IF(LEFT(O573,2)="13",DATE(RIGHT(O573,4),12,31),IF(EOMONTH(O573,1)&gt;PREMISSAS!$C$3,"",IF(MONTH(O573)=11,"13º "&amp;YEAR(O573),EOMONTH(O573,1)))),"")</f>
        <v/>
      </c>
      <c r="P574" s="4" t="str">
        <f ca="1">Preencher_Salários!J576</f>
        <v/>
      </c>
    </row>
    <row r="575" spans="15:16" x14ac:dyDescent="0.3">
      <c r="O575" s="21" t="str">
        <f ca="1">IFERROR(IF(LEFT(O574,2)="13",DATE(RIGHT(O574,4),12,31),IF(EOMONTH(O574,1)&gt;PREMISSAS!$C$3,"",IF(MONTH(O574)=11,"13º "&amp;YEAR(O574),EOMONTH(O574,1)))),"")</f>
        <v/>
      </c>
      <c r="P575" s="4" t="str">
        <f ca="1">Preencher_Salários!J577</f>
        <v/>
      </c>
    </row>
    <row r="576" spans="15:16" x14ac:dyDescent="0.3">
      <c r="O576" s="21" t="str">
        <f ca="1">IFERROR(IF(LEFT(O575,2)="13",DATE(RIGHT(O575,4),12,31),IF(EOMONTH(O575,1)&gt;PREMISSAS!$C$3,"",IF(MONTH(O575)=11,"13º "&amp;YEAR(O575),EOMONTH(O575,1)))),"")</f>
        <v/>
      </c>
      <c r="P576" s="4" t="str">
        <f ca="1">Preencher_Salários!J578</f>
        <v/>
      </c>
    </row>
    <row r="577" spans="15:16" x14ac:dyDescent="0.3">
      <c r="O577" s="21" t="str">
        <f ca="1">IFERROR(IF(LEFT(O576,2)="13",DATE(RIGHT(O576,4),12,31),IF(EOMONTH(O576,1)&gt;PREMISSAS!$C$3,"",IF(MONTH(O576)=11,"13º "&amp;YEAR(O576),EOMONTH(O576,1)))),"")</f>
        <v/>
      </c>
      <c r="P577" s="4" t="str">
        <f ca="1">Preencher_Salários!J579</f>
        <v/>
      </c>
    </row>
    <row r="578" spans="15:16" x14ac:dyDescent="0.3">
      <c r="O578" s="21" t="str">
        <f ca="1">IFERROR(IF(LEFT(O577,2)="13",DATE(RIGHT(O577,4),12,31),IF(EOMONTH(O577,1)&gt;PREMISSAS!$C$3,"",IF(MONTH(O577)=11,"13º "&amp;YEAR(O577),EOMONTH(O577,1)))),"")</f>
        <v/>
      </c>
      <c r="P578" s="4" t="str">
        <f ca="1">Preencher_Salários!J580</f>
        <v/>
      </c>
    </row>
    <row r="579" spans="15:16" x14ac:dyDescent="0.3">
      <c r="O579" s="21" t="str">
        <f ca="1">IFERROR(IF(LEFT(O578,2)="13",DATE(RIGHT(O578,4),12,31),IF(EOMONTH(O578,1)&gt;PREMISSAS!$C$3,"",IF(MONTH(O578)=11,"13º "&amp;YEAR(O578),EOMONTH(O578,1)))),"")</f>
        <v/>
      </c>
      <c r="P579" s="4" t="str">
        <f ca="1">Preencher_Salários!J581</f>
        <v/>
      </c>
    </row>
    <row r="580" spans="15:16" x14ac:dyDescent="0.3">
      <c r="O580" s="21" t="str">
        <f ca="1">IFERROR(IF(LEFT(O579,2)="13",DATE(RIGHT(O579,4),12,31),IF(EOMONTH(O579,1)&gt;PREMISSAS!$C$3,"",IF(MONTH(O579)=11,"13º "&amp;YEAR(O579),EOMONTH(O579,1)))),"")</f>
        <v/>
      </c>
      <c r="P580" s="4" t="str">
        <f ca="1">Preencher_Salários!J582</f>
        <v/>
      </c>
    </row>
    <row r="581" spans="15:16" x14ac:dyDescent="0.3">
      <c r="O581" s="21" t="str">
        <f ca="1">IFERROR(IF(LEFT(O580,2)="13",DATE(RIGHT(O580,4),12,31),IF(EOMONTH(O580,1)&gt;PREMISSAS!$C$3,"",IF(MONTH(O580)=11,"13º "&amp;YEAR(O580),EOMONTH(O580,1)))),"")</f>
        <v/>
      </c>
      <c r="P581" s="4" t="str">
        <f ca="1">Preencher_Salários!J583</f>
        <v/>
      </c>
    </row>
    <row r="582" spans="15:16" x14ac:dyDescent="0.3">
      <c r="O582" s="21" t="str">
        <f ca="1">IFERROR(IF(LEFT(O581,2)="13",DATE(RIGHT(O581,4),12,31),IF(EOMONTH(O581,1)&gt;PREMISSAS!$C$3,"",IF(MONTH(O581)=11,"13º "&amp;YEAR(O581),EOMONTH(O581,1)))),"")</f>
        <v/>
      </c>
      <c r="P582" s="4" t="str">
        <f ca="1">Preencher_Salários!J584</f>
        <v/>
      </c>
    </row>
    <row r="583" spans="15:16" x14ac:dyDescent="0.3">
      <c r="O583" s="21" t="str">
        <f ca="1">IFERROR(IF(LEFT(O582,2)="13",DATE(RIGHT(O582,4),12,31),IF(EOMONTH(O582,1)&gt;PREMISSAS!$C$3,"",IF(MONTH(O582)=11,"13º "&amp;YEAR(O582),EOMONTH(O582,1)))),"")</f>
        <v/>
      </c>
      <c r="P583" s="4" t="str">
        <f ca="1">Preencher_Salários!J585</f>
        <v/>
      </c>
    </row>
    <row r="584" spans="15:16" x14ac:dyDescent="0.3">
      <c r="O584" s="21" t="str">
        <f ca="1">IFERROR(IF(LEFT(O583,2)="13",DATE(RIGHT(O583,4),12,31),IF(EOMONTH(O583,1)&gt;PREMISSAS!$C$3,"",IF(MONTH(O583)=11,"13º "&amp;YEAR(O583),EOMONTH(O583,1)))),"")</f>
        <v/>
      </c>
      <c r="P584" s="4" t="str">
        <f ca="1">Preencher_Salários!J586</f>
        <v/>
      </c>
    </row>
    <row r="585" spans="15:16" x14ac:dyDescent="0.3">
      <c r="O585" s="21" t="str">
        <f ca="1">IFERROR(IF(LEFT(O584,2)="13",DATE(RIGHT(O584,4),12,31),IF(EOMONTH(O584,1)&gt;PREMISSAS!$C$3,"",IF(MONTH(O584)=11,"13º "&amp;YEAR(O584),EOMONTH(O584,1)))),"")</f>
        <v/>
      </c>
      <c r="P585" s="4" t="str">
        <f ca="1">Preencher_Salários!J587</f>
        <v/>
      </c>
    </row>
    <row r="586" spans="15:16" x14ac:dyDescent="0.3">
      <c r="O586" s="21" t="str">
        <f ca="1">IFERROR(IF(LEFT(O585,2)="13",DATE(RIGHT(O585,4),12,31),IF(EOMONTH(O585,1)&gt;PREMISSAS!$C$3,"",IF(MONTH(O585)=11,"13º "&amp;YEAR(O585),EOMONTH(O585,1)))),"")</f>
        <v/>
      </c>
      <c r="P586" s="4" t="str">
        <f ca="1">Preencher_Salários!J588</f>
        <v/>
      </c>
    </row>
    <row r="587" spans="15:16" x14ac:dyDescent="0.3">
      <c r="O587" s="21" t="str">
        <f ca="1">IFERROR(IF(LEFT(O586,2)="13",DATE(RIGHT(O586,4),12,31),IF(EOMONTH(O586,1)&gt;PREMISSAS!$C$3,"",IF(MONTH(O586)=11,"13º "&amp;YEAR(O586),EOMONTH(O586,1)))),"")</f>
        <v/>
      </c>
      <c r="P587" s="4" t="str">
        <f ca="1">Preencher_Salários!J589</f>
        <v/>
      </c>
    </row>
    <row r="588" spans="15:16" x14ac:dyDescent="0.3">
      <c r="O588" s="21" t="str">
        <f ca="1">IFERROR(IF(LEFT(O587,2)="13",DATE(RIGHT(O587,4),12,31),IF(EOMONTH(O587,1)&gt;PREMISSAS!$C$3,"",IF(MONTH(O587)=11,"13º "&amp;YEAR(O587),EOMONTH(O587,1)))),"")</f>
        <v/>
      </c>
      <c r="P588" s="4" t="str">
        <f ca="1">Preencher_Salários!J590</f>
        <v/>
      </c>
    </row>
    <row r="589" spans="15:16" x14ac:dyDescent="0.3">
      <c r="O589" s="21" t="str">
        <f ca="1">IFERROR(IF(LEFT(O588,2)="13",DATE(RIGHT(O588,4),12,31),IF(EOMONTH(O588,1)&gt;PREMISSAS!$C$3,"",IF(MONTH(O588)=11,"13º "&amp;YEAR(O588),EOMONTH(O588,1)))),"")</f>
        <v/>
      </c>
      <c r="P589" s="4" t="str">
        <f ca="1">Preencher_Salários!J591</f>
        <v/>
      </c>
    </row>
    <row r="590" spans="15:16" x14ac:dyDescent="0.3">
      <c r="O590" s="21" t="str">
        <f ca="1">IFERROR(IF(LEFT(O589,2)="13",DATE(RIGHT(O589,4),12,31),IF(EOMONTH(O589,1)&gt;PREMISSAS!$C$3,"",IF(MONTH(O589)=11,"13º "&amp;YEAR(O589),EOMONTH(O589,1)))),"")</f>
        <v/>
      </c>
      <c r="P590" s="4" t="str">
        <f ca="1">Preencher_Salários!J592</f>
        <v/>
      </c>
    </row>
    <row r="591" spans="15:16" x14ac:dyDescent="0.3">
      <c r="O591" s="21" t="str">
        <f ca="1">IFERROR(IF(LEFT(O590,2)="13",DATE(RIGHT(O590,4),12,31),IF(EOMONTH(O590,1)&gt;PREMISSAS!$C$3,"",IF(MONTH(O590)=11,"13º "&amp;YEAR(O590),EOMONTH(O590,1)))),"")</f>
        <v/>
      </c>
      <c r="P591" s="4" t="str">
        <f ca="1">Preencher_Salários!J593</f>
        <v/>
      </c>
    </row>
    <row r="592" spans="15:16" x14ac:dyDescent="0.3">
      <c r="O592" s="21" t="str">
        <f ca="1">IFERROR(IF(LEFT(O591,2)="13",DATE(RIGHT(O591,4),12,31),IF(EOMONTH(O591,1)&gt;PREMISSAS!$C$3,"",IF(MONTH(O591)=11,"13º "&amp;YEAR(O591),EOMONTH(O591,1)))),"")</f>
        <v/>
      </c>
      <c r="P592" s="4" t="str">
        <f ca="1">Preencher_Salários!J594</f>
        <v/>
      </c>
    </row>
    <row r="593" spans="15:16" x14ac:dyDescent="0.3">
      <c r="O593" s="21" t="str">
        <f ca="1">IFERROR(IF(LEFT(O592,2)="13",DATE(RIGHT(O592,4),12,31),IF(EOMONTH(O592,1)&gt;PREMISSAS!$C$3,"",IF(MONTH(O592)=11,"13º "&amp;YEAR(O592),EOMONTH(O592,1)))),"")</f>
        <v/>
      </c>
      <c r="P593" s="4" t="str">
        <f ca="1">Preencher_Salários!J595</f>
        <v/>
      </c>
    </row>
    <row r="594" spans="15:16" x14ac:dyDescent="0.3">
      <c r="O594" s="21" t="str">
        <f ca="1">IFERROR(IF(LEFT(O593,2)="13",DATE(RIGHT(O593,4),12,31),IF(EOMONTH(O593,1)&gt;PREMISSAS!$C$3,"",IF(MONTH(O593)=11,"13º "&amp;YEAR(O593),EOMONTH(O593,1)))),"")</f>
        <v/>
      </c>
      <c r="P594" s="4" t="str">
        <f ca="1">Preencher_Salários!J596</f>
        <v/>
      </c>
    </row>
    <row r="595" spans="15:16" x14ac:dyDescent="0.3">
      <c r="O595" s="21" t="str">
        <f ca="1">IFERROR(IF(LEFT(O594,2)="13",DATE(RIGHT(O594,4),12,31),IF(EOMONTH(O594,1)&gt;PREMISSAS!$C$3,"",IF(MONTH(O594)=11,"13º "&amp;YEAR(O594),EOMONTH(O594,1)))),"")</f>
        <v/>
      </c>
      <c r="P595" s="4" t="str">
        <f ca="1">Preencher_Salários!J597</f>
        <v/>
      </c>
    </row>
    <row r="596" spans="15:16" x14ac:dyDescent="0.3">
      <c r="O596" s="21" t="str">
        <f ca="1">IFERROR(IF(LEFT(O595,2)="13",DATE(RIGHT(O595,4),12,31),IF(EOMONTH(O595,1)&gt;PREMISSAS!$C$3,"",IF(MONTH(O595)=11,"13º "&amp;YEAR(O595),EOMONTH(O595,1)))),"")</f>
        <v/>
      </c>
      <c r="P596" s="4" t="str">
        <f ca="1">Preencher_Salários!J598</f>
        <v/>
      </c>
    </row>
    <row r="597" spans="15:16" x14ac:dyDescent="0.3">
      <c r="O597" s="21" t="str">
        <f ca="1">IFERROR(IF(LEFT(O596,2)="13",DATE(RIGHT(O596,4),12,31),IF(EOMONTH(O596,1)&gt;PREMISSAS!$C$3,"",IF(MONTH(O596)=11,"13º "&amp;YEAR(O596),EOMONTH(O596,1)))),"")</f>
        <v/>
      </c>
      <c r="P597" s="4" t="str">
        <f ca="1">Preencher_Salários!J599</f>
        <v/>
      </c>
    </row>
    <row r="598" spans="15:16" x14ac:dyDescent="0.3">
      <c r="O598" s="21" t="str">
        <f ca="1">IFERROR(IF(LEFT(O597,2)="13",DATE(RIGHT(O597,4),12,31),IF(EOMONTH(O597,1)&gt;PREMISSAS!$C$3,"",IF(MONTH(O597)=11,"13º "&amp;YEAR(O597),EOMONTH(O597,1)))),"")</f>
        <v/>
      </c>
      <c r="P598" s="4" t="str">
        <f ca="1">Preencher_Salários!J600</f>
        <v/>
      </c>
    </row>
    <row r="599" spans="15:16" x14ac:dyDescent="0.3">
      <c r="O599" s="21" t="str">
        <f ca="1">IFERROR(IF(LEFT(O598,2)="13",DATE(RIGHT(O598,4),12,31),IF(EOMONTH(O598,1)&gt;PREMISSAS!$C$3,"",IF(MONTH(O598)=11,"13º "&amp;YEAR(O598),EOMONTH(O598,1)))),"")</f>
        <v/>
      </c>
      <c r="P599" s="4" t="str">
        <f ca="1">Preencher_Salários!J601</f>
        <v/>
      </c>
    </row>
    <row r="600" spans="15:16" x14ac:dyDescent="0.3">
      <c r="O600" s="21" t="str">
        <f ca="1">IFERROR(IF(LEFT(O599,2)="13",DATE(RIGHT(O599,4),12,31),IF(EOMONTH(O599,1)&gt;PREMISSAS!$C$3,"",IF(MONTH(O599)=11,"13º "&amp;YEAR(O599),EOMONTH(O599,1)))),"")</f>
        <v/>
      </c>
      <c r="P600" s="4" t="str">
        <f ca="1">Preencher_Salários!J602</f>
        <v/>
      </c>
    </row>
    <row r="601" spans="15:16" x14ac:dyDescent="0.3">
      <c r="O601" s="21" t="str">
        <f ca="1">IFERROR(IF(LEFT(O600,2)="13",DATE(RIGHT(O600,4),12,31),IF(EOMONTH(O600,1)&gt;PREMISSAS!$C$3,"",IF(MONTH(O600)=11,"13º "&amp;YEAR(O600),EOMONTH(O600,1)))),"")</f>
        <v/>
      </c>
      <c r="P601" s="4" t="str">
        <f ca="1">Preencher_Salários!J603</f>
        <v/>
      </c>
    </row>
    <row r="602" spans="15:16" x14ac:dyDescent="0.3">
      <c r="O602" s="21" t="str">
        <f ca="1">IFERROR(IF(LEFT(O601,2)="13",DATE(RIGHT(O601,4),12,31),IF(EOMONTH(O601,1)&gt;PREMISSAS!$C$3,"",IF(MONTH(O601)=11,"13º "&amp;YEAR(O601),EOMONTH(O601,1)))),"")</f>
        <v/>
      </c>
      <c r="P602" s="4" t="str">
        <f ca="1">Preencher_Salários!J604</f>
        <v/>
      </c>
    </row>
    <row r="603" spans="15:16" x14ac:dyDescent="0.3">
      <c r="O603" s="21" t="str">
        <f ca="1">IFERROR(IF(LEFT(O602,2)="13",DATE(RIGHT(O602,4),12,31),IF(EOMONTH(O602,1)&gt;PREMISSAS!$C$3,"",IF(MONTH(O602)=11,"13º "&amp;YEAR(O602),EOMONTH(O602,1)))),"")</f>
        <v/>
      </c>
      <c r="P603" s="4" t="str">
        <f ca="1">Preencher_Salários!J605</f>
        <v/>
      </c>
    </row>
    <row r="604" spans="15:16" x14ac:dyDescent="0.3">
      <c r="O604" s="21" t="str">
        <f ca="1">IFERROR(IF(LEFT(O603,2)="13",DATE(RIGHT(O603,4),12,31),IF(EOMONTH(O603,1)&gt;PREMISSAS!$C$3,"",IF(MONTH(O603)=11,"13º "&amp;YEAR(O603),EOMONTH(O603,1)))),"")</f>
        <v/>
      </c>
      <c r="P604" s="4" t="str">
        <f ca="1">Preencher_Salários!J606</f>
        <v/>
      </c>
    </row>
    <row r="605" spans="15:16" x14ac:dyDescent="0.3">
      <c r="O605" s="21" t="str">
        <f ca="1">IFERROR(IF(LEFT(O604,2)="13",DATE(RIGHT(O604,4),12,31),IF(EOMONTH(O604,1)&gt;PREMISSAS!$C$3,"",IF(MONTH(O604)=11,"13º "&amp;YEAR(O604),EOMONTH(O604,1)))),"")</f>
        <v/>
      </c>
      <c r="P605" s="4" t="str">
        <f ca="1">Preencher_Salários!J607</f>
        <v/>
      </c>
    </row>
    <row r="606" spans="15:16" x14ac:dyDescent="0.3">
      <c r="O606" s="21" t="str">
        <f ca="1">IFERROR(IF(LEFT(O605,2)="13",DATE(RIGHT(O605,4),12,31),IF(EOMONTH(O605,1)&gt;PREMISSAS!$C$3,"",IF(MONTH(O605)=11,"13º "&amp;YEAR(O605),EOMONTH(O605,1)))),"")</f>
        <v/>
      </c>
      <c r="P606" s="4" t="str">
        <f ca="1">Preencher_Salários!J608</f>
        <v/>
      </c>
    </row>
    <row r="607" spans="15:16" x14ac:dyDescent="0.3">
      <c r="O607" s="21" t="str">
        <f ca="1">IFERROR(IF(LEFT(O606,2)="13",DATE(RIGHT(O606,4),12,31),IF(EOMONTH(O606,1)&gt;PREMISSAS!$C$3,"",IF(MONTH(O606)=11,"13º "&amp;YEAR(O606),EOMONTH(O606,1)))),"")</f>
        <v/>
      </c>
      <c r="P607" s="4" t="str">
        <f ca="1">Preencher_Salários!J609</f>
        <v/>
      </c>
    </row>
    <row r="608" spans="15:16" x14ac:dyDescent="0.3">
      <c r="O608" s="21" t="str">
        <f ca="1">IFERROR(IF(LEFT(O607,2)="13",DATE(RIGHT(O607,4),12,31),IF(EOMONTH(O607,1)&gt;PREMISSAS!$C$3,"",IF(MONTH(O607)=11,"13º "&amp;YEAR(O607),EOMONTH(O607,1)))),"")</f>
        <v/>
      </c>
      <c r="P608" s="4" t="str">
        <f ca="1">Preencher_Salários!J610</f>
        <v/>
      </c>
    </row>
    <row r="609" spans="15:16" x14ac:dyDescent="0.3">
      <c r="O609" s="21" t="str">
        <f ca="1">IFERROR(IF(LEFT(O608,2)="13",DATE(RIGHT(O608,4),12,31),IF(EOMONTH(O608,1)&gt;PREMISSAS!$C$3,"",IF(MONTH(O608)=11,"13º "&amp;YEAR(O608),EOMONTH(O608,1)))),"")</f>
        <v/>
      </c>
      <c r="P609" s="4" t="str">
        <f ca="1">Preencher_Salários!J611</f>
        <v/>
      </c>
    </row>
    <row r="610" spans="15:16" x14ac:dyDescent="0.3">
      <c r="O610" s="21" t="str">
        <f ca="1">IFERROR(IF(LEFT(O609,2)="13",DATE(RIGHT(O609,4),12,31),IF(EOMONTH(O609,1)&gt;PREMISSAS!$C$3,"",IF(MONTH(O609)=11,"13º "&amp;YEAR(O609),EOMONTH(O609,1)))),"")</f>
        <v/>
      </c>
      <c r="P610" s="4" t="str">
        <f ca="1">Preencher_Salários!J612</f>
        <v/>
      </c>
    </row>
    <row r="611" spans="15:16" x14ac:dyDescent="0.3">
      <c r="O611" s="21" t="str">
        <f ca="1">IFERROR(IF(LEFT(O610,2)="13",DATE(RIGHT(O610,4),12,31),IF(EOMONTH(O610,1)&gt;PREMISSAS!$C$3,"",IF(MONTH(O610)=11,"13º "&amp;YEAR(O610),EOMONTH(O610,1)))),"")</f>
        <v/>
      </c>
      <c r="P611" s="4" t="str">
        <f ca="1">Preencher_Salários!J613</f>
        <v/>
      </c>
    </row>
    <row r="612" spans="15:16" x14ac:dyDescent="0.3">
      <c r="O612" s="21" t="str">
        <f ca="1">IFERROR(IF(LEFT(O611,2)="13",DATE(RIGHT(O611,4),12,31),IF(EOMONTH(O611,1)&gt;PREMISSAS!$C$3,"",IF(MONTH(O611)=11,"13º "&amp;YEAR(O611),EOMONTH(O611,1)))),"")</f>
        <v/>
      </c>
      <c r="P612" s="4" t="str">
        <f ca="1">Preencher_Salários!J614</f>
        <v/>
      </c>
    </row>
    <row r="613" spans="15:16" x14ac:dyDescent="0.3">
      <c r="O613" s="21" t="str">
        <f ca="1">IFERROR(IF(LEFT(O612,2)="13",DATE(RIGHT(O612,4),12,31),IF(EOMONTH(O612,1)&gt;PREMISSAS!$C$3,"",IF(MONTH(O612)=11,"13º "&amp;YEAR(O612),EOMONTH(O612,1)))),"")</f>
        <v/>
      </c>
      <c r="P613" s="4" t="str">
        <f ca="1">Preencher_Salários!J615</f>
        <v/>
      </c>
    </row>
    <row r="614" spans="15:16" x14ac:dyDescent="0.3">
      <c r="O614" s="21" t="str">
        <f ca="1">IFERROR(IF(LEFT(O613,2)="13",DATE(RIGHT(O613,4),12,31),IF(EOMONTH(O613,1)&gt;PREMISSAS!$C$3,"",IF(MONTH(O613)=11,"13º "&amp;YEAR(O613),EOMONTH(O613,1)))),"")</f>
        <v/>
      </c>
      <c r="P614" s="4" t="str">
        <f ca="1">Preencher_Salários!J616</f>
        <v/>
      </c>
    </row>
    <row r="615" spans="15:16" x14ac:dyDescent="0.3">
      <c r="O615" s="21" t="str">
        <f ca="1">IFERROR(IF(LEFT(O614,2)="13",DATE(RIGHT(O614,4),12,31),IF(EOMONTH(O614,1)&gt;PREMISSAS!$C$3,"",IF(MONTH(O614)=11,"13º "&amp;YEAR(O614),EOMONTH(O614,1)))),"")</f>
        <v/>
      </c>
      <c r="P615" s="4" t="str">
        <f ca="1">Preencher_Salários!J617</f>
        <v/>
      </c>
    </row>
    <row r="616" spans="15:16" x14ac:dyDescent="0.3">
      <c r="O616" s="21" t="str">
        <f ca="1">IFERROR(IF(LEFT(O615,2)="13",DATE(RIGHT(O615,4),12,31),IF(EOMONTH(O615,1)&gt;PREMISSAS!$C$3,"",IF(MONTH(O615)=11,"13º "&amp;YEAR(O615),EOMONTH(O615,1)))),"")</f>
        <v/>
      </c>
      <c r="P616" s="4" t="str">
        <f ca="1">Preencher_Salários!J618</f>
        <v/>
      </c>
    </row>
    <row r="617" spans="15:16" x14ac:dyDescent="0.3">
      <c r="O617" s="21" t="str">
        <f ca="1">IFERROR(IF(LEFT(O616,2)="13",DATE(RIGHT(O616,4),12,31),IF(EOMONTH(O616,1)&gt;PREMISSAS!$C$3,"",IF(MONTH(O616)=11,"13º "&amp;YEAR(O616),EOMONTH(O616,1)))),"")</f>
        <v/>
      </c>
      <c r="P617" s="4" t="str">
        <f ca="1">Preencher_Salários!J619</f>
        <v/>
      </c>
    </row>
    <row r="618" spans="15:16" x14ac:dyDescent="0.3">
      <c r="O618" s="21" t="str">
        <f ca="1">IFERROR(IF(LEFT(O617,2)="13",DATE(RIGHT(O617,4),12,31),IF(EOMONTH(O617,1)&gt;PREMISSAS!$C$3,"",IF(MONTH(O617)=11,"13º "&amp;YEAR(O617),EOMONTH(O617,1)))),"")</f>
        <v/>
      </c>
      <c r="P618" s="4" t="str">
        <f ca="1">Preencher_Salários!J620</f>
        <v/>
      </c>
    </row>
    <row r="619" spans="15:16" x14ac:dyDescent="0.3">
      <c r="O619" s="21" t="str">
        <f ca="1">IFERROR(IF(LEFT(O618,2)="13",DATE(RIGHT(O618,4),12,31),IF(EOMONTH(O618,1)&gt;PREMISSAS!$C$3,"",IF(MONTH(O618)=11,"13º "&amp;YEAR(O618),EOMONTH(O618,1)))),"")</f>
        <v/>
      </c>
      <c r="P619" s="4" t="str">
        <f ca="1">Preencher_Salários!J621</f>
        <v/>
      </c>
    </row>
    <row r="620" spans="15:16" x14ac:dyDescent="0.3">
      <c r="O620" s="21" t="str">
        <f ca="1">IFERROR(IF(LEFT(O619,2)="13",DATE(RIGHT(O619,4),12,31),IF(EOMONTH(O619,1)&gt;PREMISSAS!$C$3,"",IF(MONTH(O619)=11,"13º "&amp;YEAR(O619),EOMONTH(O619,1)))),"")</f>
        <v/>
      </c>
      <c r="P620" s="4" t="str">
        <f ca="1">Preencher_Salários!J622</f>
        <v/>
      </c>
    </row>
    <row r="621" spans="15:16" x14ac:dyDescent="0.3">
      <c r="O621" s="21" t="str">
        <f ca="1">IFERROR(IF(LEFT(O620,2)="13",DATE(RIGHT(O620,4),12,31),IF(EOMONTH(O620,1)&gt;PREMISSAS!$C$3,"",IF(MONTH(O620)=11,"13º "&amp;YEAR(O620),EOMONTH(O620,1)))),"")</f>
        <v/>
      </c>
      <c r="P621" s="4" t="str">
        <f ca="1">Preencher_Salários!J623</f>
        <v/>
      </c>
    </row>
    <row r="622" spans="15:16" x14ac:dyDescent="0.3">
      <c r="O622" s="21" t="str">
        <f ca="1">IFERROR(IF(LEFT(O621,2)="13",DATE(RIGHT(O621,4),12,31),IF(EOMONTH(O621,1)&gt;PREMISSAS!$C$3,"",IF(MONTH(O621)=11,"13º "&amp;YEAR(O621),EOMONTH(O621,1)))),"")</f>
        <v/>
      </c>
      <c r="P622" s="4" t="str">
        <f ca="1">Preencher_Salários!J624</f>
        <v/>
      </c>
    </row>
    <row r="623" spans="15:16" x14ac:dyDescent="0.3">
      <c r="O623" s="21" t="str">
        <f ca="1">IFERROR(IF(LEFT(O622,2)="13",DATE(RIGHT(O622,4),12,31),IF(EOMONTH(O622,1)&gt;PREMISSAS!$C$3,"",IF(MONTH(O622)=11,"13º "&amp;YEAR(O622),EOMONTH(O622,1)))),"")</f>
        <v/>
      </c>
      <c r="P623" s="4" t="str">
        <f ca="1">Preencher_Salários!J625</f>
        <v/>
      </c>
    </row>
    <row r="624" spans="15:16" x14ac:dyDescent="0.3">
      <c r="O624" s="21" t="str">
        <f ca="1">IFERROR(IF(LEFT(O623,2)="13",DATE(RIGHT(O623,4),12,31),IF(EOMONTH(O623,1)&gt;PREMISSAS!$C$3,"",IF(MONTH(O623)=11,"13º "&amp;YEAR(O623),EOMONTH(O623,1)))),"")</f>
        <v/>
      </c>
      <c r="P624" s="4" t="str">
        <f ca="1">Preencher_Salários!J626</f>
        <v/>
      </c>
    </row>
    <row r="625" spans="15:16" x14ac:dyDescent="0.3">
      <c r="O625" s="21" t="str">
        <f ca="1">IFERROR(IF(LEFT(O624,2)="13",DATE(RIGHT(O624,4),12,31),IF(EOMONTH(O624,1)&gt;PREMISSAS!$C$3,"",IF(MONTH(O624)=11,"13º "&amp;YEAR(O624),EOMONTH(O624,1)))),"")</f>
        <v/>
      </c>
      <c r="P625" s="4" t="str">
        <f ca="1">Preencher_Salários!J627</f>
        <v/>
      </c>
    </row>
    <row r="626" spans="15:16" x14ac:dyDescent="0.3">
      <c r="O626" s="21" t="str">
        <f ca="1">IFERROR(IF(LEFT(O625,2)="13",DATE(RIGHT(O625,4),12,31),IF(EOMONTH(O625,1)&gt;PREMISSAS!$C$3,"",IF(MONTH(O625)=11,"13º "&amp;YEAR(O625),EOMONTH(O625,1)))),"")</f>
        <v/>
      </c>
      <c r="P626" s="4" t="str">
        <f ca="1">Preencher_Salários!J628</f>
        <v/>
      </c>
    </row>
    <row r="627" spans="15:16" x14ac:dyDescent="0.3">
      <c r="O627" s="21" t="str">
        <f ca="1">IFERROR(IF(LEFT(O626,2)="13",DATE(RIGHT(O626,4),12,31),IF(EOMONTH(O626,1)&gt;PREMISSAS!$C$3,"",IF(MONTH(O626)=11,"13º "&amp;YEAR(O626),EOMONTH(O626,1)))),"")</f>
        <v/>
      </c>
      <c r="P627" s="4" t="str">
        <f ca="1">Preencher_Salários!J629</f>
        <v/>
      </c>
    </row>
    <row r="628" spans="15:16" x14ac:dyDescent="0.3">
      <c r="O628" s="21" t="str">
        <f ca="1">IFERROR(IF(LEFT(O627,2)="13",DATE(RIGHT(O627,4),12,31),IF(EOMONTH(O627,1)&gt;PREMISSAS!$C$3,"",IF(MONTH(O627)=11,"13º "&amp;YEAR(O627),EOMONTH(O627,1)))),"")</f>
        <v/>
      </c>
      <c r="P628" s="4" t="str">
        <f ca="1">Preencher_Salários!J630</f>
        <v/>
      </c>
    </row>
    <row r="629" spans="15:16" x14ac:dyDescent="0.3">
      <c r="O629" s="21" t="str">
        <f ca="1">IFERROR(IF(LEFT(O628,2)="13",DATE(RIGHT(O628,4),12,31),IF(EOMONTH(O628,1)&gt;PREMISSAS!$C$3,"",IF(MONTH(O628)=11,"13º "&amp;YEAR(O628),EOMONTH(O628,1)))),"")</f>
        <v/>
      </c>
      <c r="P629" s="4" t="str">
        <f ca="1">Preencher_Salários!J631</f>
        <v/>
      </c>
    </row>
    <row r="630" spans="15:16" x14ac:dyDescent="0.3">
      <c r="O630" s="21" t="str">
        <f ca="1">IFERROR(IF(LEFT(O629,2)="13",DATE(RIGHT(O629,4),12,31),IF(EOMONTH(O629,1)&gt;PREMISSAS!$C$3,"",IF(MONTH(O629)=11,"13º "&amp;YEAR(O629),EOMONTH(O629,1)))),"")</f>
        <v/>
      </c>
      <c r="P630" s="4" t="str">
        <f ca="1">Preencher_Salários!J632</f>
        <v/>
      </c>
    </row>
    <row r="631" spans="15:16" x14ac:dyDescent="0.3">
      <c r="O631" s="21" t="str">
        <f ca="1">IFERROR(IF(LEFT(O630,2)="13",DATE(RIGHT(O630,4),12,31),IF(EOMONTH(O630,1)&gt;PREMISSAS!$C$3,"",IF(MONTH(O630)=11,"13º "&amp;YEAR(O630),EOMONTH(O630,1)))),"")</f>
        <v/>
      </c>
      <c r="P631" s="4" t="str">
        <f ca="1">Preencher_Salários!J633</f>
        <v/>
      </c>
    </row>
    <row r="632" spans="15:16" x14ac:dyDescent="0.3">
      <c r="O632" s="21" t="str">
        <f ca="1">IFERROR(IF(LEFT(O631,2)="13",DATE(RIGHT(O631,4),12,31),IF(EOMONTH(O631,1)&gt;PREMISSAS!$C$3,"",IF(MONTH(O631)=11,"13º "&amp;YEAR(O631),EOMONTH(O631,1)))),"")</f>
        <v/>
      </c>
      <c r="P632" s="4" t="str">
        <f ca="1">Preencher_Salários!J634</f>
        <v/>
      </c>
    </row>
    <row r="633" spans="15:16" x14ac:dyDescent="0.3">
      <c r="O633" s="21" t="str">
        <f ca="1">IFERROR(IF(LEFT(O632,2)="13",DATE(RIGHT(O632,4),12,31),IF(EOMONTH(O632,1)&gt;PREMISSAS!$C$3,"",IF(MONTH(O632)=11,"13º "&amp;YEAR(O632),EOMONTH(O632,1)))),"")</f>
        <v/>
      </c>
      <c r="P633" s="4" t="str">
        <f ca="1">Preencher_Salários!J635</f>
        <v/>
      </c>
    </row>
    <row r="634" spans="15:16" x14ac:dyDescent="0.3">
      <c r="O634" s="21" t="str">
        <f ca="1">IFERROR(IF(LEFT(O633,2)="13",DATE(RIGHT(O633,4),12,31),IF(EOMONTH(O633,1)&gt;PREMISSAS!$C$3,"",IF(MONTH(O633)=11,"13º "&amp;YEAR(O633),EOMONTH(O633,1)))),"")</f>
        <v/>
      </c>
      <c r="P634" s="4" t="str">
        <f ca="1">Preencher_Salários!J636</f>
        <v/>
      </c>
    </row>
    <row r="635" spans="15:16" x14ac:dyDescent="0.3">
      <c r="O635" s="21" t="str">
        <f ca="1">IFERROR(IF(LEFT(O634,2)="13",DATE(RIGHT(O634,4),12,31),IF(EOMONTH(O634,1)&gt;PREMISSAS!$C$3,"",IF(MONTH(O634)=11,"13º "&amp;YEAR(O634),EOMONTH(O634,1)))),"")</f>
        <v/>
      </c>
      <c r="P635" s="4" t="str">
        <f ca="1">Preencher_Salários!J637</f>
        <v/>
      </c>
    </row>
    <row r="636" spans="15:16" x14ac:dyDescent="0.3">
      <c r="O636" s="21" t="str">
        <f ca="1">IFERROR(IF(LEFT(O635,2)="13",DATE(RIGHT(O635,4),12,31),IF(EOMONTH(O635,1)&gt;PREMISSAS!$C$3,"",IF(MONTH(O635)=11,"13º "&amp;YEAR(O635),EOMONTH(O635,1)))),"")</f>
        <v/>
      </c>
      <c r="P636" s="4" t="str">
        <f ca="1">Preencher_Salários!J638</f>
        <v/>
      </c>
    </row>
    <row r="637" spans="15:16" x14ac:dyDescent="0.3">
      <c r="O637" s="21" t="str">
        <f ca="1">IFERROR(IF(LEFT(O636,2)="13",DATE(RIGHT(O636,4),12,31),IF(EOMONTH(O636,1)&gt;PREMISSAS!$C$3,"",IF(MONTH(O636)=11,"13º "&amp;YEAR(O636),EOMONTH(O636,1)))),"")</f>
        <v/>
      </c>
      <c r="P637" s="4" t="str">
        <f ca="1">Preencher_Salários!J639</f>
        <v/>
      </c>
    </row>
    <row r="638" spans="15:16" x14ac:dyDescent="0.3">
      <c r="O638" s="21" t="str">
        <f ca="1">IFERROR(IF(LEFT(O637,2)="13",DATE(RIGHT(O637,4),12,31),IF(EOMONTH(O637,1)&gt;PREMISSAS!$C$3,"",IF(MONTH(O637)=11,"13º "&amp;YEAR(O637),EOMONTH(O637,1)))),"")</f>
        <v/>
      </c>
      <c r="P638" s="4" t="str">
        <f ca="1">Preencher_Salários!J640</f>
        <v/>
      </c>
    </row>
    <row r="639" spans="15:16" x14ac:dyDescent="0.3">
      <c r="O639" s="21" t="str">
        <f ca="1">IFERROR(IF(LEFT(O638,2)="13",DATE(RIGHT(O638,4),12,31),IF(EOMONTH(O638,1)&gt;PREMISSAS!$C$3,"",IF(MONTH(O638)=11,"13º "&amp;YEAR(O638),EOMONTH(O638,1)))),"")</f>
        <v/>
      </c>
      <c r="P639" s="4" t="str">
        <f ca="1">Preencher_Salários!J641</f>
        <v/>
      </c>
    </row>
    <row r="640" spans="15:16" x14ac:dyDescent="0.3">
      <c r="O640" s="21" t="str">
        <f ca="1">IFERROR(IF(LEFT(O639,2)="13",DATE(RIGHT(O639,4),12,31),IF(EOMONTH(O639,1)&gt;PREMISSAS!$C$3,"",IF(MONTH(O639)=11,"13º "&amp;YEAR(O639),EOMONTH(O639,1)))),"")</f>
        <v/>
      </c>
      <c r="P640" s="4" t="str">
        <f ca="1">Preencher_Salários!J642</f>
        <v/>
      </c>
    </row>
    <row r="641" spans="15:16" x14ac:dyDescent="0.3">
      <c r="O641" s="21" t="str">
        <f ca="1">IFERROR(IF(LEFT(O640,2)="13",DATE(RIGHT(O640,4),12,31),IF(EOMONTH(O640,1)&gt;PREMISSAS!$C$3,"",IF(MONTH(O640)=11,"13º "&amp;YEAR(O640),EOMONTH(O640,1)))),"")</f>
        <v/>
      </c>
      <c r="P641" s="4" t="str">
        <f ca="1">Preencher_Salários!J643</f>
        <v/>
      </c>
    </row>
    <row r="642" spans="15:16" x14ac:dyDescent="0.3">
      <c r="O642" s="21" t="str">
        <f ca="1">IFERROR(IF(LEFT(O641,2)="13",DATE(RIGHT(O641,4),12,31),IF(EOMONTH(O641,1)&gt;PREMISSAS!$C$3,"",IF(MONTH(O641)=11,"13º "&amp;YEAR(O641),EOMONTH(O641,1)))),"")</f>
        <v/>
      </c>
      <c r="P642" s="4" t="str">
        <f ca="1">Preencher_Salários!J644</f>
        <v/>
      </c>
    </row>
    <row r="643" spans="15:16" x14ac:dyDescent="0.3">
      <c r="O643" s="21" t="str">
        <f ca="1">IFERROR(IF(LEFT(O642,2)="13",DATE(RIGHT(O642,4),12,31),IF(EOMONTH(O642,1)&gt;PREMISSAS!$C$3,"",IF(MONTH(O642)=11,"13º "&amp;YEAR(O642),EOMONTH(O642,1)))),"")</f>
        <v/>
      </c>
      <c r="P643" s="4" t="str">
        <f ca="1">Preencher_Salários!J645</f>
        <v/>
      </c>
    </row>
    <row r="644" spans="15:16" x14ac:dyDescent="0.3">
      <c r="O644" s="21" t="str">
        <f ca="1">IFERROR(IF(LEFT(O643,2)="13",DATE(RIGHT(O643,4),12,31),IF(EOMONTH(O643,1)&gt;PREMISSAS!$C$3,"",IF(MONTH(O643)=11,"13º "&amp;YEAR(O643),EOMONTH(O643,1)))),"")</f>
        <v/>
      </c>
      <c r="P644" s="4" t="str">
        <f ca="1">Preencher_Salários!J646</f>
        <v/>
      </c>
    </row>
    <row r="645" spans="15:16" x14ac:dyDescent="0.3">
      <c r="O645" s="21" t="str">
        <f ca="1">IFERROR(IF(LEFT(O644,2)="13",DATE(RIGHT(O644,4),12,31),IF(EOMONTH(O644,1)&gt;PREMISSAS!$C$3,"",IF(MONTH(O644)=11,"13º "&amp;YEAR(O644),EOMONTH(O644,1)))),"")</f>
        <v/>
      </c>
      <c r="P645" s="4" t="str">
        <f ca="1">Preencher_Salários!J647</f>
        <v/>
      </c>
    </row>
    <row r="646" spans="15:16" x14ac:dyDescent="0.3">
      <c r="O646" s="21" t="str">
        <f ca="1">IFERROR(IF(LEFT(O645,2)="13",DATE(RIGHT(O645,4),12,31),IF(EOMONTH(O645,1)&gt;PREMISSAS!$C$3,"",IF(MONTH(O645)=11,"13º "&amp;YEAR(O645),EOMONTH(O645,1)))),"")</f>
        <v/>
      </c>
      <c r="P646" s="4" t="str">
        <f ca="1">Preencher_Salários!J648</f>
        <v/>
      </c>
    </row>
    <row r="647" spans="15:16" x14ac:dyDescent="0.3">
      <c r="O647" s="21" t="str">
        <f ca="1">IFERROR(IF(LEFT(O646,2)="13",DATE(RIGHT(O646,4),12,31),IF(EOMONTH(O646,1)&gt;PREMISSAS!$C$3,"",IF(MONTH(O646)=11,"13º "&amp;YEAR(O646),EOMONTH(O646,1)))),"")</f>
        <v/>
      </c>
      <c r="P647" s="4" t="str">
        <f ca="1">Preencher_Salários!J649</f>
        <v/>
      </c>
    </row>
    <row r="648" spans="15:16" x14ac:dyDescent="0.3">
      <c r="O648" s="21" t="str">
        <f ca="1">IFERROR(IF(LEFT(O647,2)="13",DATE(RIGHT(O647,4),12,31),IF(EOMONTH(O647,1)&gt;PREMISSAS!$C$3,"",IF(MONTH(O647)=11,"13º "&amp;YEAR(O647),EOMONTH(O647,1)))),"")</f>
        <v/>
      </c>
      <c r="P648" s="4" t="str">
        <f ca="1">Preencher_Salários!J650</f>
        <v/>
      </c>
    </row>
    <row r="649" spans="15:16" x14ac:dyDescent="0.3">
      <c r="O649" s="21" t="str">
        <f ca="1">IFERROR(IF(LEFT(O648,2)="13",DATE(RIGHT(O648,4),12,31),IF(EOMONTH(O648,1)&gt;PREMISSAS!$C$3,"",IF(MONTH(O648)=11,"13º "&amp;YEAR(O648),EOMONTH(O648,1)))),"")</f>
        <v/>
      </c>
      <c r="P649" s="4" t="str">
        <f ca="1">Preencher_Salários!J651</f>
        <v/>
      </c>
    </row>
    <row r="650" spans="15:16" x14ac:dyDescent="0.3">
      <c r="O650" s="21" t="str">
        <f ca="1">IFERROR(IF(LEFT(O649,2)="13",DATE(RIGHT(O649,4),12,31),IF(EOMONTH(O649,1)&gt;PREMISSAS!$C$3,"",IF(MONTH(O649)=11,"13º "&amp;YEAR(O649),EOMONTH(O649,1)))),"")</f>
        <v/>
      </c>
      <c r="P650" s="4" t="str">
        <f ca="1">Preencher_Salários!J652</f>
        <v/>
      </c>
    </row>
    <row r="651" spans="15:16" x14ac:dyDescent="0.3">
      <c r="O651" s="21" t="str">
        <f ca="1">IFERROR(IF(LEFT(O650,2)="13",DATE(RIGHT(O650,4),12,31),IF(EOMONTH(O650,1)&gt;PREMISSAS!$C$3,"",IF(MONTH(O650)=11,"13º "&amp;YEAR(O650),EOMONTH(O650,1)))),"")</f>
        <v/>
      </c>
      <c r="P651" s="4" t="str">
        <f ca="1">Preencher_Salários!J653</f>
        <v/>
      </c>
    </row>
    <row r="652" spans="15:16" x14ac:dyDescent="0.3">
      <c r="O652" s="21" t="str">
        <f ca="1">IFERROR(IF(LEFT(O651,2)="13",DATE(RIGHT(O651,4),12,31),IF(EOMONTH(O651,1)&gt;PREMISSAS!$C$3,"",IF(MONTH(O651)=11,"13º "&amp;YEAR(O651),EOMONTH(O651,1)))),"")</f>
        <v/>
      </c>
      <c r="P652" s="4" t="str">
        <f ca="1">Preencher_Salários!J654</f>
        <v/>
      </c>
    </row>
    <row r="653" spans="15:16" x14ac:dyDescent="0.3">
      <c r="O653" s="21" t="str">
        <f ca="1">IFERROR(IF(LEFT(O652,2)="13",DATE(RIGHT(O652,4),12,31),IF(EOMONTH(O652,1)&gt;PREMISSAS!$C$3,"",IF(MONTH(O652)=11,"13º "&amp;YEAR(O652),EOMONTH(O652,1)))),"")</f>
        <v/>
      </c>
      <c r="P653" s="4" t="str">
        <f ca="1">Preencher_Salários!J655</f>
        <v/>
      </c>
    </row>
    <row r="654" spans="15:16" x14ac:dyDescent="0.3">
      <c r="O654" s="21" t="str">
        <f ca="1">IFERROR(IF(LEFT(O653,2)="13",DATE(RIGHT(O653,4),12,31),IF(EOMONTH(O653,1)&gt;PREMISSAS!$C$3,"",IF(MONTH(O653)=11,"13º "&amp;YEAR(O653),EOMONTH(O653,1)))),"")</f>
        <v/>
      </c>
      <c r="P654" s="4" t="str">
        <f ca="1">Preencher_Salários!J656</f>
        <v/>
      </c>
    </row>
  </sheetData>
  <dataConsolidate/>
  <mergeCells count="16">
    <mergeCell ref="E58:F58"/>
    <mergeCell ref="B58:C58"/>
    <mergeCell ref="O2:P3"/>
    <mergeCell ref="B24:C24"/>
    <mergeCell ref="L39:L40"/>
    <mergeCell ref="L48:L49"/>
    <mergeCell ref="E29:M29"/>
    <mergeCell ref="B2:C2"/>
    <mergeCell ref="B22:M22"/>
    <mergeCell ref="B29:C29"/>
    <mergeCell ref="B31:C31"/>
    <mergeCell ref="E31:F31"/>
    <mergeCell ref="H31:I31"/>
    <mergeCell ref="M39:M40"/>
    <mergeCell ref="M48:M49"/>
    <mergeCell ref="K24:L24"/>
  </mergeCells>
  <conditionalFormatting sqref="B14:B15">
    <cfRule type="expression" dxfId="175" priority="8">
      <formula>$C$13="NÃO"</formula>
    </cfRule>
  </conditionalFormatting>
  <conditionalFormatting sqref="B14:C15">
    <cfRule type="expression" dxfId="174" priority="11">
      <formula>$B$13="NÃO"</formula>
    </cfRule>
  </conditionalFormatting>
  <conditionalFormatting sqref="C14">
    <cfRule type="expression" dxfId="173" priority="10">
      <formula>$C$13="NÃO"</formula>
    </cfRule>
  </conditionalFormatting>
  <conditionalFormatting sqref="C15">
    <cfRule type="expression" dxfId="172" priority="9">
      <formula>$C$13="NÃO"</formula>
    </cfRule>
  </conditionalFormatting>
  <conditionalFormatting sqref="P5:P654">
    <cfRule type="expression" dxfId="171" priority="7">
      <formula>O5&lt;&gt;""</formula>
    </cfRule>
  </conditionalFormatting>
  <conditionalFormatting sqref="B19:C19">
    <cfRule type="expression" dxfId="170" priority="4">
      <formula>$C$18=0</formula>
    </cfRule>
  </conditionalFormatting>
  <conditionalFormatting sqref="K16:L16">
    <cfRule type="expression" dxfId="169" priority="1">
      <formula>$L$15="NÃO"</formula>
    </cfRule>
  </conditionalFormatting>
  <dataValidations count="1">
    <dataValidation type="whole" operator="greaterThanOrEqual" allowBlank="1" showInputMessage="1" showErrorMessage="1" error="Insira um valor igual ou superior a cinco" promptTitle="Prazo do Benefício Suplementar" prompt="O prazo mínimo de recebimentodo benefício suplementar é de 5 (cinco) anos." sqref="C19" xr:uid="{00000000-0002-0000-0700-000000000000}">
      <formula1>5</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628A15C-9FDB-400E-AE5E-EB1B07D253B6}">
            <xm:f>$C$7&gt;PREMISSAS!$C$14</xm:f>
            <x14:dxf>
              <fill>
                <patternFill>
                  <bgColor theme="1"/>
                </patternFill>
              </fill>
            </x14:dxf>
          </x14:cfRule>
          <xm:sqref>E17:F17</xm:sqref>
        </x14:conditionalFormatting>
        <x14:conditionalFormatting xmlns:xm="http://schemas.microsoft.com/office/excel/2006/main">
          <x14:cfRule type="expression" priority="2" id="{DA705AE3-F9C7-42CC-9FF3-FD0AE04A86F7}">
            <xm:f>$C$7&gt;PREMISSAS!$C$14</xm:f>
            <x14:dxf>
              <fill>
                <patternFill>
                  <bgColor theme="1"/>
                </patternFill>
              </fill>
            </x14:dxf>
          </x14:cfRule>
          <xm:sqref>D17</xm:sqref>
        </x14:conditionalFormatting>
        <x14:conditionalFormatting xmlns:xm="http://schemas.microsoft.com/office/excel/2006/main">
          <x14:cfRule type="containsText" priority="80" stopIfTrue="1" operator="containsText" id="{B85F7F0C-1E73-4080-BFB4-4DEADBAB5515}">
            <xm:f>NOT(ISERROR(SEARCH(PREMISSAS!$U$12,C17)))</xm:f>
            <xm:f>PREMISSAS!$U$12</xm:f>
            <x14:dxf/>
          </x14:cfRule>
          <x14:cfRule type="expression" priority="81" id="{380FDBB2-9E4D-4E69-8614-F119102F5B12}">
            <xm:f>$C$7&gt;=PREMISSAS!$C$14</xm:f>
            <x14:dxf>
              <fill>
                <patternFill>
                  <bgColor rgb="FFFF0000"/>
                </patternFill>
              </fill>
            </x14:dxf>
          </x14:cfRule>
          <xm:sqref>C17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PREMISSAS!$U$5:$U$6</xm:f>
          </x14:formula1>
          <xm:sqref>C12:C13 L15</xm:sqref>
        </x14:dataValidation>
        <x14:dataValidation type="list" allowBlank="1" showInputMessage="1" showErrorMessage="1" xr:uid="{00000000-0002-0000-0700-000002000000}">
          <x14:formula1>
            <xm:f>PREMISSAS!$U$8:$U$10</xm:f>
          </x14:formula1>
          <xm:sqref>C16</xm:sqref>
        </x14:dataValidation>
        <x14:dataValidation type="list" allowBlank="1" showInputMessage="1" showErrorMessage="1" xr:uid="{00000000-0002-0000-0700-000003000000}">
          <x14:formula1>
            <xm:f>PREMISSAS!$U$2:$U$3</xm:f>
          </x14:formula1>
          <xm:sqref>C6</xm:sqref>
        </x14:dataValidation>
        <x14:dataValidation type="list" allowBlank="1" showInputMessage="1" showErrorMessage="1" xr:uid="{00000000-0002-0000-0700-000004000000}">
          <x14:formula1>
            <xm:f>PREMISSAS!$U$12:$U$13</xm:f>
          </x14:formula1>
          <xm:sqref>C17</xm:sqref>
        </x14:dataValidation>
        <x14:dataValidation type="date" operator="lessThan" allowBlank="1" showInputMessage="1" showErrorMessage="1" errorTitle="Data de ingresso" error="Ingressos após 04/02/2013 já estão enquadrados no regime de previdência complementar._x000a__x000a_Insira uma data anterior." xr:uid="{00000000-0002-0000-0700-000005000000}">
          <x14:formula1>
            <xm:f>PREMISSAS!D10</xm:f>
          </x14:formula1>
          <xm:sqref>C9:C10</xm:sqref>
        </x14:dataValidation>
        <x14:dataValidation type="date" operator="lessThan" allowBlank="1" showInputMessage="1" showErrorMessage="1" errorTitle="Data de ingresso" error="Ingressos após 04/02/2013 já estão enquadrados no regime de previdência complementar._x000a__x000a_Insira uma data anterior." xr:uid="{00000000-0002-0000-0700-000006000000}">
          <x14:formula1>
            <xm:f>PREMISSAS!D10</xm:f>
          </x14:formula1>
          <xm:sqref>C11 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4"/>
  <dimension ref="B1:Z842"/>
  <sheetViews>
    <sheetView topLeftCell="F1" workbookViewId="0">
      <selection activeCell="K61" sqref="K61:M61"/>
    </sheetView>
  </sheetViews>
  <sheetFormatPr defaultRowHeight="14.4" x14ac:dyDescent="0.3"/>
  <cols>
    <col min="1" max="1" width="5" customWidth="1"/>
    <col min="2" max="2" width="11.6640625" customWidth="1"/>
    <col min="3" max="3" width="17.44140625" customWidth="1"/>
    <col min="4" max="4" width="2.88671875" customWidth="1"/>
    <col min="5" max="5" width="9.33203125" customWidth="1"/>
    <col min="6" max="6" width="12.109375" customWidth="1"/>
    <col min="7" max="7" width="21.109375" customWidth="1"/>
    <col min="8" max="8" width="27.44140625" bestFit="1" customWidth="1"/>
    <col min="9" max="9" width="2.88671875" customWidth="1"/>
    <col min="10" max="10" width="10" customWidth="1"/>
    <col min="11" max="11" width="16.109375" customWidth="1"/>
    <col min="12" max="12" width="2" customWidth="1"/>
    <col min="13" max="13" width="8.44140625" customWidth="1"/>
    <col min="14" max="14" width="16.6640625" customWidth="1"/>
    <col min="15" max="15" width="18.109375" customWidth="1"/>
    <col min="16" max="16" width="2" customWidth="1"/>
    <col min="17" max="17" width="14.88671875" customWidth="1"/>
    <col min="18" max="18" width="27.44140625" bestFit="1" customWidth="1"/>
    <col min="19" max="19" width="13.6640625" customWidth="1"/>
    <col min="20" max="20" width="2" customWidth="1"/>
    <col min="21" max="21" width="11.109375" customWidth="1"/>
    <col min="22" max="22" width="28" bestFit="1" customWidth="1"/>
    <col min="23" max="23" width="12" bestFit="1" customWidth="1"/>
    <col min="24" max="25" width="10.5546875" bestFit="1" customWidth="1"/>
  </cols>
  <sheetData>
    <row r="1" spans="2:24" x14ac:dyDescent="0.3">
      <c r="F1" s="112">
        <f ca="1">ELEGIBILIDADE!E5</f>
        <v>52195</v>
      </c>
      <c r="G1" s="130"/>
    </row>
    <row r="2" spans="2:24" x14ac:dyDescent="0.3">
      <c r="J2" s="385" t="s">
        <v>87</v>
      </c>
      <c r="K2" s="385"/>
      <c r="L2" s="385"/>
      <c r="M2" s="385"/>
      <c r="N2" s="385"/>
      <c r="O2" s="385"/>
      <c r="P2" s="385"/>
      <c r="Q2" s="386"/>
      <c r="R2" s="386"/>
      <c r="S2" s="386"/>
      <c r="T2" s="386"/>
      <c r="U2" s="385"/>
      <c r="V2" s="385"/>
    </row>
    <row r="3" spans="2:24" x14ac:dyDescent="0.3">
      <c r="B3" s="382" t="s">
        <v>37</v>
      </c>
      <c r="C3" s="382"/>
      <c r="E3" s="383" t="s">
        <v>38</v>
      </c>
      <c r="F3" s="383"/>
      <c r="G3" s="383"/>
      <c r="H3" s="383"/>
      <c r="J3" s="42" t="s">
        <v>86</v>
      </c>
      <c r="K3" s="42" t="s">
        <v>98</v>
      </c>
      <c r="M3" s="42" t="s">
        <v>86</v>
      </c>
      <c r="N3" s="384" t="s">
        <v>11</v>
      </c>
      <c r="O3" s="384"/>
      <c r="Q3" s="42" t="s">
        <v>86</v>
      </c>
      <c r="R3" s="384" t="s">
        <v>271</v>
      </c>
      <c r="S3" s="384"/>
      <c r="U3" s="42" t="s">
        <v>86</v>
      </c>
      <c r="V3" s="42" t="s">
        <v>99</v>
      </c>
    </row>
    <row r="4" spans="2:24" x14ac:dyDescent="0.3">
      <c r="B4" s="27" t="s">
        <v>21</v>
      </c>
      <c r="C4" s="27" t="s">
        <v>3</v>
      </c>
      <c r="E4" s="35" t="s">
        <v>84</v>
      </c>
      <c r="F4" s="35" t="s">
        <v>21</v>
      </c>
      <c r="G4" s="35" t="s">
        <v>3</v>
      </c>
      <c r="H4" s="35" t="s">
        <v>39</v>
      </c>
      <c r="J4" s="27" t="s">
        <v>21</v>
      </c>
      <c r="K4" s="27" t="s">
        <v>51</v>
      </c>
      <c r="M4" s="27" t="s">
        <v>21</v>
      </c>
      <c r="N4" s="27" t="s">
        <v>39</v>
      </c>
      <c r="O4" s="27" t="s">
        <v>43</v>
      </c>
      <c r="Q4" s="27" t="s">
        <v>21</v>
      </c>
      <c r="R4" s="27" t="s">
        <v>39</v>
      </c>
      <c r="S4" s="27" t="s">
        <v>278</v>
      </c>
      <c r="U4" s="27" t="s">
        <v>21</v>
      </c>
      <c r="V4" s="27" t="s">
        <v>100</v>
      </c>
    </row>
    <row r="5" spans="2:24" x14ac:dyDescent="0.3">
      <c r="B5" s="21">
        <f ca="1">EOMONTH(PREMISSAS!C3,0)</f>
        <v>44895</v>
      </c>
      <c r="C5" s="22">
        <f ca="1">RESULTADOS!C7</f>
        <v>0</v>
      </c>
      <c r="E5" s="18">
        <v>1</v>
      </c>
      <c r="F5" s="21">
        <f>EOMONTH(RESULTADOS!C11,0)</f>
        <v>37621</v>
      </c>
      <c r="G5" s="22">
        <f ca="1">IFERROR(VLOOKUP(F5,RESULTADOS!$O$5:$P$543,2,FALSE),VLOOKUP(F5,$B$5:$C$842,2,FALSE))</f>
        <v>0</v>
      </c>
      <c r="H5" s="4">
        <f ca="1">IF(F5&lt;PREMISSAS!$D$7,0,IFERROR(VLOOKUP(F5,IPCA!$A:$D,4,FALSE),1)*G5)</f>
        <v>0</v>
      </c>
      <c r="J5" s="21">
        <f t="shared" ref="J5:J68" si="0">F5</f>
        <v>37621</v>
      </c>
      <c r="K5" s="4">
        <f t="shared" ref="K5:K68" ca="1" si="1">G5</f>
        <v>0</v>
      </c>
      <c r="M5" s="21">
        <f>MAX(PREMISSAS!$D$7,EOMONTH(RESULTADOS!C11,0))</f>
        <v>37621</v>
      </c>
      <c r="N5" s="37">
        <f ca="1">IFERROR(VLOOKUP(M5,$F$5:$H$628,3,FALSE),0)</f>
        <v>0</v>
      </c>
      <c r="O5" s="4">
        <f ca="1">IFERROR(AVERAGEIF(N$5:$N5,"&gt;="&amp;_xlfn.PERCENTILE.EXC(N$5:$N5,0.2)),0)</f>
        <v>0</v>
      </c>
      <c r="Q5" s="21">
        <f>MAX(PREMISSAS!$D$7,EOMONTH(RESULTADOS!C11,0))</f>
        <v>37621</v>
      </c>
      <c r="R5" s="37">
        <f ca="1">IFERROR(VLOOKUP(Q5,$F$5:$H$628,3,FALSE),0)</f>
        <v>0</v>
      </c>
      <c r="S5" s="4">
        <f ca="1">IFERROR(AVERAGE($R$5:R5),0)</f>
        <v>0</v>
      </c>
      <c r="U5" s="21">
        <f>M5</f>
        <v>37621</v>
      </c>
      <c r="V5" s="4">
        <f ca="1">MIN(S5,PREMISSAS!$C$14)</f>
        <v>0</v>
      </c>
      <c r="W5" s="188"/>
    </row>
    <row r="6" spans="2:24" x14ac:dyDescent="0.3">
      <c r="B6" s="21" t="str">
        <f ca="1">IFERROR(IF(LEFT(B5,2)="13",DATE(RIGHT(B5,4),12,31),IF(EOMONTH(B5,0)&gt;$F$1,"",IF(MONTH(B5)=11,"13º "&amp;YEAR(B5),EOMONTH(B5,1)))),"")</f>
        <v>13º 2022</v>
      </c>
      <c r="C6" s="22">
        <f ca="1">IF(B6="","",IF(LEFT(B6,2)="13",C5,IF(MONTH(B6)=1,C5*(1+PREMISSAS!$C$58),C5)))</f>
        <v>0</v>
      </c>
      <c r="E6" s="18">
        <v>2</v>
      </c>
      <c r="F6" s="21">
        <f ca="1">IFERROR(IF(LEFT(F5,2)="13",DATE(RIGHT(F5,4),12,31),IF(EOMONTH(F5,0)&gt;$F$1,"",IF(MONTH(F5)=11,"13º "&amp;YEAR(F5),EOMONTH(F5,1)))),"")</f>
        <v>37652</v>
      </c>
      <c r="G6" s="22">
        <f ca="1">IFERROR(VLOOKUP(F6,RESULTADOS!$O$5:$P$543,2,FALSE),VLOOKUP(F6,$B$5:$C$842,2,FALSE))</f>
        <v>0</v>
      </c>
      <c r="H6" s="4">
        <f ca="1">IF(F6&lt;PREMISSAS!$D$7,0,IFERROR(VLOOKUP(IF(LEFT(F6,2)="13",DATE(YEAR(F5),12,31),F6),IPCA!$A:$D,4,FALSE),1)*G6)</f>
        <v>0</v>
      </c>
      <c r="J6" s="21">
        <f t="shared" ca="1" si="0"/>
        <v>37652</v>
      </c>
      <c r="K6" s="4">
        <f t="shared" ca="1" si="1"/>
        <v>0</v>
      </c>
      <c r="M6" s="21">
        <f ca="1">IFERROR(IF(LEFT(M5,2)="13",DATE(RIGHT(M5,4),12,31),IF(EOMONTH(M5,0)&gt;$F$1,"",IF(MONTH(M5)=11,"13º "&amp;YEAR(M5),EOMONTH(M5,1)))),"")</f>
        <v>37652</v>
      </c>
      <c r="N6" s="37">
        <f t="shared" ref="N6:N69" ca="1" si="2">IFERROR(VLOOKUP(M6,$F$5:$H$628,3,FALSE),0)</f>
        <v>0</v>
      </c>
      <c r="O6" s="4">
        <f ca="1">IFERROR(AVERAGEIF(N$5:$N6,"&gt;="&amp;_xlfn.PERCENTILE.EXC(N$5:$N6,0.2)),0)</f>
        <v>0</v>
      </c>
      <c r="Q6" s="21">
        <f ca="1">IFERROR(IF(LEFT(Q5,2)="13",DATE(RIGHT(Q5,4),12,31),IF(EOMONTH(Q5,0)&gt;$F$1,"",IF(MONTH(Q5)=11,"13º "&amp;YEAR(Q5),EOMONTH(Q5,1)))),"")</f>
        <v>37652</v>
      </c>
      <c r="R6" s="37">
        <f t="shared" ref="R6:R69" ca="1" si="3">IFERROR(VLOOKUP(Q6,$F$5:$H$628,3,FALSE),0)</f>
        <v>0</v>
      </c>
      <c r="S6" s="4">
        <f ca="1">IFERROR(AVERAGE($R$5:R6),0)</f>
        <v>0</v>
      </c>
      <c r="U6" s="21">
        <f t="shared" ref="U6:U69" ca="1" si="4">M6</f>
        <v>37652</v>
      </c>
      <c r="V6" s="4">
        <f ca="1">MIN(S6,PREMISSAS!$C$14)</f>
        <v>0</v>
      </c>
      <c r="W6" s="188"/>
    </row>
    <row r="7" spans="2:24" x14ac:dyDescent="0.3">
      <c r="B7" s="21">
        <f t="shared" ref="B7:B70" ca="1" si="5">IFERROR(IF(LEFT(B6,2)="13",DATE(RIGHT(B6,4),12,31),IF(EOMONTH(B6,0)&gt;$F$1,"",IF(MONTH(B6)=11,"13º "&amp;YEAR(B6),EOMONTH(B6,1)))),"")</f>
        <v>44926</v>
      </c>
      <c r="C7" s="22">
        <f ca="1">IF(B7="","",IF(LEFT(B7,2)="13",C6,IF(MONTH(B7)=1,C6*(1+PREMISSAS!$C$58),C6)))</f>
        <v>0</v>
      </c>
      <c r="E7" s="18">
        <v>3</v>
      </c>
      <c r="F7" s="21">
        <f t="shared" ref="F7:F70" ca="1" si="6">IFERROR(IF(LEFT(F6,2)="13",DATE(RIGHT(F6,4),12,31),IF(EOMONTH(F6,0)&gt;$F$1,"",IF(MONTH(F6)=11,"13º "&amp;YEAR(F6),EOMONTH(F6,1)))),"")</f>
        <v>37680</v>
      </c>
      <c r="G7" s="22">
        <f ca="1">IFERROR(VLOOKUP(F7,RESULTADOS!$O$5:$P$543,2,FALSE),VLOOKUP(F7,$B$5:$C$842,2,FALSE))</f>
        <v>0</v>
      </c>
      <c r="H7" s="4">
        <f ca="1">IF(F7&lt;PREMISSAS!$D$7,0,IFERROR(VLOOKUP(IF(LEFT(F7,2)="13",DATE(YEAR(F6),12,31),F7),IPCA!$A:$D,4,FALSE),1)*G7)</f>
        <v>0</v>
      </c>
      <c r="J7" s="21">
        <f t="shared" ca="1" si="0"/>
        <v>37680</v>
      </c>
      <c r="K7" s="4">
        <f t="shared" ca="1" si="1"/>
        <v>0</v>
      </c>
      <c r="M7" s="21">
        <f t="shared" ref="M7:M70" ca="1" si="7">IFERROR(IF(LEFT(M6,2)="13",DATE(RIGHT(M6,4),12,31),IF(EOMONTH(M6,0)&gt;$F$1,"",IF(MONTH(M6)=11,"13º "&amp;YEAR(M6),EOMONTH(M6,1)))),"")</f>
        <v>37680</v>
      </c>
      <c r="N7" s="37">
        <f t="shared" ca="1" si="2"/>
        <v>0</v>
      </c>
      <c r="O7" s="4">
        <f ca="1">IFERROR(AVERAGEIF(N$5:$N7,"&gt;="&amp;_xlfn.PERCENTILE.EXC(N$5:$N7,0.2)),0)</f>
        <v>0</v>
      </c>
      <c r="Q7" s="21">
        <f t="shared" ref="Q7:Q70" ca="1" si="8">IFERROR(IF(LEFT(Q6,2)="13",DATE(RIGHT(Q6,4),12,31),IF(EOMONTH(Q6,0)&gt;$F$1,"",IF(MONTH(Q6)=11,"13º "&amp;YEAR(Q6),EOMONTH(Q6,1)))),"")</f>
        <v>37680</v>
      </c>
      <c r="R7" s="37">
        <f t="shared" ca="1" si="3"/>
        <v>0</v>
      </c>
      <c r="S7" s="4">
        <f ca="1">IFERROR(AVERAGE($R$5:R7),0)</f>
        <v>0</v>
      </c>
      <c r="U7" s="21">
        <f t="shared" ca="1" si="4"/>
        <v>37680</v>
      </c>
      <c r="V7" s="4">
        <f ca="1">MIN(S7,PREMISSAS!$C$14)</f>
        <v>0</v>
      </c>
      <c r="W7" s="188"/>
    </row>
    <row r="8" spans="2:24" x14ac:dyDescent="0.3">
      <c r="B8" s="21">
        <f t="shared" ca="1" si="5"/>
        <v>44957</v>
      </c>
      <c r="C8" s="22">
        <f ca="1">IF(B8="","",IF(LEFT(B8,2)="13",C7,IF(MONTH(B8)=1,C7*(1+PREMISSAS!$C$58),C7)))</f>
        <v>0</v>
      </c>
      <c r="E8" s="18">
        <v>4</v>
      </c>
      <c r="F8" s="21">
        <f t="shared" ca="1" si="6"/>
        <v>37711</v>
      </c>
      <c r="G8" s="22">
        <f ca="1">IFERROR(VLOOKUP(F8,RESULTADOS!$O$5:$P$543,2,FALSE),VLOOKUP(F8,$B$5:$C$842,2,FALSE))</f>
        <v>0</v>
      </c>
      <c r="H8" s="4">
        <f ca="1">IF(F8&lt;PREMISSAS!$D$7,0,IFERROR(VLOOKUP(IF(LEFT(F8,2)="13",DATE(YEAR(F7),12,31),F8),IPCA!$A:$D,4,FALSE),1)*G8)</f>
        <v>0</v>
      </c>
      <c r="J8" s="21">
        <f t="shared" ca="1" si="0"/>
        <v>37711</v>
      </c>
      <c r="K8" s="4">
        <f t="shared" ca="1" si="1"/>
        <v>0</v>
      </c>
      <c r="M8" s="21">
        <f t="shared" ca="1" si="7"/>
        <v>37711</v>
      </c>
      <c r="N8" s="37">
        <f t="shared" ca="1" si="2"/>
        <v>0</v>
      </c>
      <c r="O8" s="4">
        <f ca="1">IFERROR(AVERAGEIF(N$5:$N8,"&gt;="&amp;_xlfn.PERCENTILE.EXC(N$5:$N8,0.2)),0)</f>
        <v>0</v>
      </c>
      <c r="Q8" s="21">
        <f t="shared" ca="1" si="8"/>
        <v>37711</v>
      </c>
      <c r="R8" s="37">
        <f t="shared" ca="1" si="3"/>
        <v>0</v>
      </c>
      <c r="S8" s="4">
        <f ca="1">IFERROR(AVERAGE($R$5:R8),0)</f>
        <v>0</v>
      </c>
      <c r="U8" s="21">
        <f t="shared" ca="1" si="4"/>
        <v>37711</v>
      </c>
      <c r="V8" s="4">
        <f ca="1">MIN(S8,PREMISSAS!$C$14)</f>
        <v>0</v>
      </c>
      <c r="W8" s="188"/>
      <c r="X8" s="188"/>
    </row>
    <row r="9" spans="2:24" x14ac:dyDescent="0.3">
      <c r="B9" s="21">
        <f t="shared" ca="1" si="5"/>
        <v>44985</v>
      </c>
      <c r="C9" s="22">
        <f ca="1">IF(B9="","",IF(LEFT(B9,2)="13",C8,IF(MONTH(B9)=1,C8*(1+PREMISSAS!$C$58),C8)))</f>
        <v>0</v>
      </c>
      <c r="E9" s="18">
        <v>5</v>
      </c>
      <c r="F9" s="21">
        <f t="shared" ca="1" si="6"/>
        <v>37741</v>
      </c>
      <c r="G9" s="22">
        <f ca="1">IFERROR(VLOOKUP(F9,RESULTADOS!$O$5:$P$543,2,FALSE),VLOOKUP(F9,$B$5:$C$842,2,FALSE))</f>
        <v>0</v>
      </c>
      <c r="H9" s="4">
        <f ca="1">IF(F9&lt;PREMISSAS!$D$7,0,IFERROR(VLOOKUP(IF(LEFT(F9,2)="13",DATE(YEAR(F8),12,31),F9),IPCA!$A:$D,4,FALSE),1)*G9)</f>
        <v>0</v>
      </c>
      <c r="J9" s="21">
        <f t="shared" ca="1" si="0"/>
        <v>37741</v>
      </c>
      <c r="K9" s="4">
        <f t="shared" ca="1" si="1"/>
        <v>0</v>
      </c>
      <c r="M9" s="21">
        <f t="shared" ca="1" si="7"/>
        <v>37741</v>
      </c>
      <c r="N9" s="37">
        <f t="shared" ca="1" si="2"/>
        <v>0</v>
      </c>
      <c r="O9" s="4">
        <f ca="1">IFERROR(AVERAGEIF(N$5:$N9,"&gt;="&amp;_xlfn.PERCENTILE.EXC(N$5:$N9,0.2)),0)</f>
        <v>0</v>
      </c>
      <c r="Q9" s="21">
        <f t="shared" ca="1" si="8"/>
        <v>37741</v>
      </c>
      <c r="R9" s="37">
        <f t="shared" ca="1" si="3"/>
        <v>0</v>
      </c>
      <c r="S9" s="4">
        <f ca="1">IFERROR(AVERAGE($R$5:R9),0)</f>
        <v>0</v>
      </c>
      <c r="U9" s="21">
        <f t="shared" ca="1" si="4"/>
        <v>37741</v>
      </c>
      <c r="V9" s="4">
        <f ca="1">MIN(S9,PREMISSAS!$C$14)</f>
        <v>0</v>
      </c>
      <c r="W9" s="188"/>
      <c r="X9" s="188"/>
    </row>
    <row r="10" spans="2:24" x14ac:dyDescent="0.3">
      <c r="B10" s="21">
        <f t="shared" ca="1" si="5"/>
        <v>45016</v>
      </c>
      <c r="C10" s="22">
        <f ca="1">IF(B10="","",IF(LEFT(B10,2)="13",C9,IF(MONTH(B10)=1,C9*(1+PREMISSAS!$C$58),C9)))</f>
        <v>0</v>
      </c>
      <c r="E10" s="18">
        <v>6</v>
      </c>
      <c r="F10" s="21">
        <f t="shared" ca="1" si="6"/>
        <v>37772</v>
      </c>
      <c r="G10" s="22">
        <f ca="1">IFERROR(VLOOKUP(F10,RESULTADOS!$O$5:$P$543,2,FALSE),VLOOKUP(F10,$B$5:$C$842,2,FALSE))</f>
        <v>0</v>
      </c>
      <c r="H10" s="4">
        <f ca="1">IF(F10&lt;PREMISSAS!$D$7,0,IFERROR(VLOOKUP(IF(LEFT(F10,2)="13",DATE(YEAR(F9),12,31),F10),IPCA!$A:$D,4,FALSE),1)*G10)</f>
        <v>0</v>
      </c>
      <c r="J10" s="21">
        <f t="shared" ca="1" si="0"/>
        <v>37772</v>
      </c>
      <c r="K10" s="4">
        <f t="shared" ca="1" si="1"/>
        <v>0</v>
      </c>
      <c r="M10" s="21">
        <f t="shared" ca="1" si="7"/>
        <v>37772</v>
      </c>
      <c r="N10" s="37">
        <f t="shared" ca="1" si="2"/>
        <v>0</v>
      </c>
      <c r="O10" s="4">
        <f ca="1">IFERROR(AVERAGEIF(N$5:$N10,"&gt;="&amp;_xlfn.PERCENTILE.EXC(N$5:$N10,0.2)),0)</f>
        <v>0</v>
      </c>
      <c r="Q10" s="21">
        <f t="shared" ca="1" si="8"/>
        <v>37772</v>
      </c>
      <c r="R10" s="37">
        <f t="shared" ca="1" si="3"/>
        <v>0</v>
      </c>
      <c r="S10" s="4">
        <f ca="1">IFERROR(AVERAGE($R$5:R10),0)</f>
        <v>0</v>
      </c>
      <c r="U10" s="21">
        <f t="shared" ca="1" si="4"/>
        <v>37772</v>
      </c>
      <c r="V10" s="4">
        <f ca="1">MIN(S10,PREMISSAS!$C$14)</f>
        <v>0</v>
      </c>
      <c r="W10" s="188"/>
      <c r="X10" s="188"/>
    </row>
    <row r="11" spans="2:24" x14ac:dyDescent="0.3">
      <c r="B11" s="21">
        <f t="shared" ca="1" si="5"/>
        <v>45046</v>
      </c>
      <c r="C11" s="22">
        <f ca="1">IF(B11="","",IF(LEFT(B11,2)="13",C10,IF(MONTH(B11)=1,C10*(1+PREMISSAS!$C$58),C10)))</f>
        <v>0</v>
      </c>
      <c r="E11" s="18">
        <v>7</v>
      </c>
      <c r="F11" s="21">
        <f t="shared" ca="1" si="6"/>
        <v>37802</v>
      </c>
      <c r="G11" s="22">
        <f ca="1">IFERROR(VLOOKUP(F11,RESULTADOS!$O$5:$P$543,2,FALSE),VLOOKUP(F11,$B$5:$C$842,2,FALSE))</f>
        <v>0</v>
      </c>
      <c r="H11" s="4">
        <f ca="1">IF(F11&lt;PREMISSAS!$D$7,0,IFERROR(VLOOKUP(IF(LEFT(F11,2)="13",DATE(YEAR(F10),12,31),F11),IPCA!$A:$D,4,FALSE),1)*G11)</f>
        <v>0</v>
      </c>
      <c r="J11" s="21">
        <f t="shared" ca="1" si="0"/>
        <v>37802</v>
      </c>
      <c r="K11" s="4">
        <f t="shared" ca="1" si="1"/>
        <v>0</v>
      </c>
      <c r="M11" s="21">
        <f t="shared" ca="1" si="7"/>
        <v>37802</v>
      </c>
      <c r="N11" s="37">
        <f t="shared" ca="1" si="2"/>
        <v>0</v>
      </c>
      <c r="O11" s="4">
        <f ca="1">IFERROR(AVERAGEIF(N$5:$N11,"&gt;="&amp;_xlfn.PERCENTILE.EXC(N$5:$N11,0.2)),0)</f>
        <v>0</v>
      </c>
      <c r="Q11" s="21">
        <f t="shared" ca="1" si="8"/>
        <v>37802</v>
      </c>
      <c r="R11" s="37">
        <f t="shared" ca="1" si="3"/>
        <v>0</v>
      </c>
      <c r="S11" s="4">
        <f ca="1">IFERROR(AVERAGE($R$5:R11),0)</f>
        <v>0</v>
      </c>
      <c r="U11" s="21">
        <f t="shared" ca="1" si="4"/>
        <v>37802</v>
      </c>
      <c r="V11" s="4">
        <f ca="1">MIN(S11,PREMISSAS!$C$14)</f>
        <v>0</v>
      </c>
      <c r="W11" s="188"/>
      <c r="X11" s="188"/>
    </row>
    <row r="12" spans="2:24" x14ac:dyDescent="0.3">
      <c r="B12" s="21">
        <f t="shared" ca="1" si="5"/>
        <v>45077</v>
      </c>
      <c r="C12" s="22">
        <f ca="1">IF(B12="","",IF(LEFT(B12,2)="13",C11,IF(MONTH(B12)=1,C11*(1+PREMISSAS!$C$58),C11)))</f>
        <v>0</v>
      </c>
      <c r="E12" s="18">
        <v>8</v>
      </c>
      <c r="F12" s="21">
        <f t="shared" ca="1" si="6"/>
        <v>37833</v>
      </c>
      <c r="G12" s="22">
        <f ca="1">IFERROR(VLOOKUP(F12,RESULTADOS!$O$5:$P$543,2,FALSE),VLOOKUP(F12,$B$5:$C$842,2,FALSE))</f>
        <v>0</v>
      </c>
      <c r="H12" s="4">
        <f ca="1">IF(F12&lt;PREMISSAS!$D$7,0,IFERROR(VLOOKUP(IF(LEFT(F12,2)="13",DATE(YEAR(F11),12,31),F12),IPCA!$A:$D,4,FALSE),1)*G12)</f>
        <v>0</v>
      </c>
      <c r="J12" s="21">
        <f t="shared" ca="1" si="0"/>
        <v>37833</v>
      </c>
      <c r="K12" s="4">
        <f t="shared" ca="1" si="1"/>
        <v>0</v>
      </c>
      <c r="M12" s="21">
        <f t="shared" ca="1" si="7"/>
        <v>37833</v>
      </c>
      <c r="N12" s="37">
        <f t="shared" ca="1" si="2"/>
        <v>0</v>
      </c>
      <c r="O12" s="4">
        <f ca="1">IFERROR(AVERAGEIF(N$5:$N12,"&gt;="&amp;_xlfn.PERCENTILE.EXC(N$5:$N12,0.2)),0)</f>
        <v>0</v>
      </c>
      <c r="Q12" s="21">
        <f t="shared" ca="1" si="8"/>
        <v>37833</v>
      </c>
      <c r="R12" s="37">
        <f t="shared" ca="1" si="3"/>
        <v>0</v>
      </c>
      <c r="S12" s="4">
        <f ca="1">IFERROR(AVERAGE($R$5:R12),0)</f>
        <v>0</v>
      </c>
      <c r="U12" s="21">
        <f t="shared" ca="1" si="4"/>
        <v>37833</v>
      </c>
      <c r="V12" s="4">
        <f ca="1">MIN(S12,PREMISSAS!$C$14)</f>
        <v>0</v>
      </c>
      <c r="W12" s="188"/>
      <c r="X12" s="188"/>
    </row>
    <row r="13" spans="2:24" x14ac:dyDescent="0.3">
      <c r="B13" s="21">
        <f t="shared" ca="1" si="5"/>
        <v>45107</v>
      </c>
      <c r="C13" s="22">
        <f ca="1">IF(B13="","",IF(LEFT(B13,2)="13",C12,IF(MONTH(B13)=1,C12*(1+PREMISSAS!$C$58),C12)))</f>
        <v>0</v>
      </c>
      <c r="E13" s="18">
        <v>9</v>
      </c>
      <c r="F13" s="21">
        <f t="shared" ca="1" si="6"/>
        <v>37864</v>
      </c>
      <c r="G13" s="22">
        <f ca="1">IFERROR(VLOOKUP(F13,RESULTADOS!$O$5:$P$543,2,FALSE),VLOOKUP(F13,$B$5:$C$842,2,FALSE))</f>
        <v>0</v>
      </c>
      <c r="H13" s="4">
        <f ca="1">IF(F13&lt;PREMISSAS!$D$7,0,IFERROR(VLOOKUP(IF(LEFT(F13,2)="13",DATE(YEAR(F12),12,31),F13),IPCA!$A:$D,4,FALSE),1)*G13)</f>
        <v>0</v>
      </c>
      <c r="J13" s="21">
        <f t="shared" ca="1" si="0"/>
        <v>37864</v>
      </c>
      <c r="K13" s="4">
        <f t="shared" ca="1" si="1"/>
        <v>0</v>
      </c>
      <c r="M13" s="21">
        <f t="shared" ca="1" si="7"/>
        <v>37864</v>
      </c>
      <c r="N13" s="37">
        <f t="shared" ca="1" si="2"/>
        <v>0</v>
      </c>
      <c r="O13" s="4">
        <f ca="1">IFERROR(AVERAGEIF(N$5:$N13,"&gt;="&amp;_xlfn.PERCENTILE.EXC(N$5:$N13,0.2)),0)</f>
        <v>0</v>
      </c>
      <c r="Q13" s="21">
        <f t="shared" ca="1" si="8"/>
        <v>37864</v>
      </c>
      <c r="R13" s="37">
        <f t="shared" ca="1" si="3"/>
        <v>0</v>
      </c>
      <c r="S13" s="4">
        <f ca="1">IFERROR(AVERAGE($R$5:R13),0)</f>
        <v>0</v>
      </c>
      <c r="U13" s="21">
        <f t="shared" ca="1" si="4"/>
        <v>37864</v>
      </c>
      <c r="V13" s="4">
        <f ca="1">MIN(S13,PREMISSAS!$C$14)</f>
        <v>0</v>
      </c>
      <c r="W13" s="188"/>
      <c r="X13" s="188"/>
    </row>
    <row r="14" spans="2:24" x14ac:dyDescent="0.3">
      <c r="B14" s="21">
        <f t="shared" ca="1" si="5"/>
        <v>45138</v>
      </c>
      <c r="C14" s="22">
        <f ca="1">IF(B14="","",IF(LEFT(B14,2)="13",C13,IF(MONTH(B14)=1,C13*(1+PREMISSAS!$C$58),C13)))</f>
        <v>0</v>
      </c>
      <c r="E14" s="18">
        <v>10</v>
      </c>
      <c r="F14" s="21">
        <f t="shared" ca="1" si="6"/>
        <v>37894</v>
      </c>
      <c r="G14" s="22">
        <f ca="1">IFERROR(VLOOKUP(F14,RESULTADOS!$O$5:$P$543,2,FALSE),VLOOKUP(F14,$B$5:$C$842,2,FALSE))</f>
        <v>0</v>
      </c>
      <c r="H14" s="4">
        <f ca="1">IF(F14&lt;PREMISSAS!$D$7,0,IFERROR(VLOOKUP(IF(LEFT(F14,2)="13",DATE(YEAR(F13),12,31),F14),IPCA!$A:$D,4,FALSE),1)*G14)</f>
        <v>0</v>
      </c>
      <c r="J14" s="21">
        <f t="shared" ca="1" si="0"/>
        <v>37894</v>
      </c>
      <c r="K14" s="4">
        <f t="shared" ca="1" si="1"/>
        <v>0</v>
      </c>
      <c r="M14" s="21">
        <f t="shared" ca="1" si="7"/>
        <v>37894</v>
      </c>
      <c r="N14" s="37">
        <f t="shared" ca="1" si="2"/>
        <v>0</v>
      </c>
      <c r="O14" s="4">
        <f ca="1">IFERROR(AVERAGEIF(N$5:$N14,"&gt;="&amp;_xlfn.PERCENTILE.EXC(N$5:$N14,0.2)),0)</f>
        <v>0</v>
      </c>
      <c r="Q14" s="21">
        <f t="shared" ca="1" si="8"/>
        <v>37894</v>
      </c>
      <c r="R14" s="37">
        <f t="shared" ca="1" si="3"/>
        <v>0</v>
      </c>
      <c r="S14" s="4">
        <f ca="1">IFERROR(AVERAGE($R$5:R14),0)</f>
        <v>0</v>
      </c>
      <c r="U14" s="21">
        <f t="shared" ca="1" si="4"/>
        <v>37894</v>
      </c>
      <c r="V14" s="4">
        <f ca="1">MIN(S14,PREMISSAS!$C$14)</f>
        <v>0</v>
      </c>
      <c r="W14" s="188"/>
      <c r="X14" s="188"/>
    </row>
    <row r="15" spans="2:24" x14ac:dyDescent="0.3">
      <c r="B15" s="21">
        <f t="shared" ca="1" si="5"/>
        <v>45169</v>
      </c>
      <c r="C15" s="22">
        <f ca="1">IF(B15="","",IF(LEFT(B15,2)="13",C14,IF(MONTH(B15)=1,C14*(1+PREMISSAS!$C$58),C14)))</f>
        <v>0</v>
      </c>
      <c r="E15" s="18">
        <v>11</v>
      </c>
      <c r="F15" s="21">
        <f t="shared" ca="1" si="6"/>
        <v>37925</v>
      </c>
      <c r="G15" s="22">
        <f ca="1">IFERROR(VLOOKUP(F15,RESULTADOS!$O$5:$P$543,2,FALSE),VLOOKUP(F15,$B$5:$C$842,2,FALSE))</f>
        <v>0</v>
      </c>
      <c r="H15" s="4">
        <f ca="1">IF(F15&lt;PREMISSAS!$D$7,0,IFERROR(VLOOKUP(IF(LEFT(F15,2)="13",DATE(YEAR(F14),12,31),F15),IPCA!$A:$D,4,FALSE),1)*G15)</f>
        <v>0</v>
      </c>
      <c r="J15" s="21">
        <f t="shared" ca="1" si="0"/>
        <v>37925</v>
      </c>
      <c r="K15" s="4">
        <f t="shared" ca="1" si="1"/>
        <v>0</v>
      </c>
      <c r="M15" s="21">
        <f t="shared" ca="1" si="7"/>
        <v>37925</v>
      </c>
      <c r="N15" s="37">
        <f t="shared" ca="1" si="2"/>
        <v>0</v>
      </c>
      <c r="O15" s="4">
        <f ca="1">IFERROR(AVERAGEIF(N$5:$N15,"&gt;="&amp;_xlfn.PERCENTILE.EXC(N$5:$N15,0.2)),0)</f>
        <v>0</v>
      </c>
      <c r="Q15" s="21">
        <f t="shared" ca="1" si="8"/>
        <v>37925</v>
      </c>
      <c r="R15" s="37">
        <f t="shared" ca="1" si="3"/>
        <v>0</v>
      </c>
      <c r="S15" s="4">
        <f ca="1">IFERROR(AVERAGE($R$5:R15),0)</f>
        <v>0</v>
      </c>
      <c r="U15" s="21">
        <f t="shared" ca="1" si="4"/>
        <v>37925</v>
      </c>
      <c r="V15" s="4">
        <f ca="1">MIN(S15,PREMISSAS!$C$14)</f>
        <v>0</v>
      </c>
      <c r="W15" s="188"/>
      <c r="X15" s="188"/>
    </row>
    <row r="16" spans="2:24" x14ac:dyDescent="0.3">
      <c r="B16" s="21">
        <f t="shared" ca="1" si="5"/>
        <v>45199</v>
      </c>
      <c r="C16" s="22">
        <f ca="1">IF(B16="","",IF(LEFT(B16,2)="13",C15,IF(MONTH(B16)=1,C15*(1+PREMISSAS!$C$58),C15)))</f>
        <v>0</v>
      </c>
      <c r="E16" s="18">
        <v>12</v>
      </c>
      <c r="F16" s="21">
        <f t="shared" ca="1" si="6"/>
        <v>37955</v>
      </c>
      <c r="G16" s="22">
        <f ca="1">IFERROR(VLOOKUP(F16,RESULTADOS!$O$5:$P$543,2,FALSE),VLOOKUP(F16,$B$5:$C$842,2,FALSE))</f>
        <v>0</v>
      </c>
      <c r="H16" s="4">
        <f ca="1">IF(F16&lt;PREMISSAS!$D$7,0,IFERROR(VLOOKUP(IF(LEFT(F16,2)="13",DATE(YEAR(F15),12,31),F16),IPCA!$A:$D,4,FALSE),1)*G16)</f>
        <v>0</v>
      </c>
      <c r="J16" s="21">
        <f t="shared" ca="1" si="0"/>
        <v>37955</v>
      </c>
      <c r="K16" s="4">
        <f t="shared" ca="1" si="1"/>
        <v>0</v>
      </c>
      <c r="M16" s="21">
        <f t="shared" ca="1" si="7"/>
        <v>37955</v>
      </c>
      <c r="N16" s="37">
        <f t="shared" ca="1" si="2"/>
        <v>0</v>
      </c>
      <c r="O16" s="4">
        <f ca="1">IFERROR(AVERAGEIF(N$5:$N16,"&gt;="&amp;_xlfn.PERCENTILE.EXC(N$5:$N16,0.2)),0)</f>
        <v>0</v>
      </c>
      <c r="Q16" s="21">
        <f t="shared" ca="1" si="8"/>
        <v>37955</v>
      </c>
      <c r="R16" s="37">
        <f t="shared" ca="1" si="3"/>
        <v>0</v>
      </c>
      <c r="S16" s="4">
        <f ca="1">IFERROR(AVERAGE($R$5:R16),0)</f>
        <v>0</v>
      </c>
      <c r="U16" s="21">
        <f t="shared" ca="1" si="4"/>
        <v>37955</v>
      </c>
      <c r="V16" s="4">
        <f ca="1">MIN(S16,PREMISSAS!$C$14)</f>
        <v>0</v>
      </c>
      <c r="W16" s="188"/>
      <c r="X16" s="188"/>
    </row>
    <row r="17" spans="2:24" x14ac:dyDescent="0.3">
      <c r="B17" s="21">
        <f t="shared" ca="1" si="5"/>
        <v>45230</v>
      </c>
      <c r="C17" s="22">
        <f ca="1">IF(B17="","",IF(LEFT(B17,2)="13",C16,IF(MONTH(B17)=1,C16*(1+PREMISSAS!$C$58),C16)))</f>
        <v>0</v>
      </c>
      <c r="E17" s="18">
        <v>13</v>
      </c>
      <c r="F17" s="21" t="str">
        <f t="shared" ca="1" si="6"/>
        <v>13º 2003</v>
      </c>
      <c r="G17" s="22">
        <f ca="1">IFERROR(VLOOKUP(F17,RESULTADOS!$O$5:$P$543,2,FALSE),VLOOKUP(F17,$B$5:$C$842,2,FALSE))</f>
        <v>0</v>
      </c>
      <c r="H17" s="4">
        <f ca="1">IF(F17&lt;PREMISSAS!$D$7,0,IFERROR(VLOOKUP(IF(LEFT(F17,2)="13",DATE(YEAR(F16),12,31),F17),IPCA!$A:$D,4,FALSE),1)*G17)</f>
        <v>0</v>
      </c>
      <c r="J17" s="21" t="str">
        <f t="shared" ca="1" si="0"/>
        <v>13º 2003</v>
      </c>
      <c r="K17" s="4">
        <f t="shared" ca="1" si="1"/>
        <v>0</v>
      </c>
      <c r="M17" s="21" t="str">
        <f t="shared" ca="1" si="7"/>
        <v>13º 2003</v>
      </c>
      <c r="N17" s="37">
        <f t="shared" ca="1" si="2"/>
        <v>0</v>
      </c>
      <c r="O17" s="4">
        <f ca="1">IFERROR(AVERAGEIF(N$5:$N17,"&gt;="&amp;_xlfn.PERCENTILE.EXC(N$5:$N17,0.2)),0)</f>
        <v>0</v>
      </c>
      <c r="Q17" s="21" t="str">
        <f t="shared" ca="1" si="8"/>
        <v>13º 2003</v>
      </c>
      <c r="R17" s="37">
        <f t="shared" ca="1" si="3"/>
        <v>0</v>
      </c>
      <c r="S17" s="4">
        <f ca="1">IFERROR(AVERAGE($R$5:R17),0)</f>
        <v>0</v>
      </c>
      <c r="U17" s="21" t="str">
        <f t="shared" ca="1" si="4"/>
        <v>13º 2003</v>
      </c>
      <c r="V17" s="4">
        <f ca="1">MIN(S17,PREMISSAS!$C$14)</f>
        <v>0</v>
      </c>
      <c r="W17" s="188"/>
      <c r="X17" s="188"/>
    </row>
    <row r="18" spans="2:24" x14ac:dyDescent="0.3">
      <c r="B18" s="21">
        <f t="shared" ca="1" si="5"/>
        <v>45260</v>
      </c>
      <c r="C18" s="22">
        <f ca="1">IF(B18="","",IF(LEFT(B18,2)="13",C17,IF(MONTH(B18)=1,C17*(1+PREMISSAS!$C$58),C17)))</f>
        <v>0</v>
      </c>
      <c r="E18" s="18">
        <v>14</v>
      </c>
      <c r="F18" s="21">
        <f t="shared" ca="1" si="6"/>
        <v>37986</v>
      </c>
      <c r="G18" s="22">
        <f ca="1">IFERROR(VLOOKUP(F18,RESULTADOS!$O$5:$P$543,2,FALSE),VLOOKUP(F18,$B$5:$C$842,2,FALSE))</f>
        <v>0</v>
      </c>
      <c r="H18" s="4">
        <f ca="1">IF(F18&lt;PREMISSAS!$D$7,0,IFERROR(VLOOKUP(IF(LEFT(F18,2)="13",DATE(YEAR(F17),12,31),F18),IPCA!$A:$D,4,FALSE),1)*G18)</f>
        <v>0</v>
      </c>
      <c r="J18" s="21">
        <f t="shared" ca="1" si="0"/>
        <v>37986</v>
      </c>
      <c r="K18" s="4">
        <f t="shared" ca="1" si="1"/>
        <v>0</v>
      </c>
      <c r="M18" s="21">
        <f t="shared" ca="1" si="7"/>
        <v>37986</v>
      </c>
      <c r="N18" s="37">
        <f t="shared" ca="1" si="2"/>
        <v>0</v>
      </c>
      <c r="O18" s="4">
        <f ca="1">IFERROR(AVERAGEIF(N$5:$N18,"&gt;="&amp;_xlfn.PERCENTILE.EXC(N$5:$N18,0.2)),0)</f>
        <v>0</v>
      </c>
      <c r="Q18" s="21">
        <f t="shared" ca="1" si="8"/>
        <v>37986</v>
      </c>
      <c r="R18" s="37">
        <f t="shared" ca="1" si="3"/>
        <v>0</v>
      </c>
      <c r="S18" s="4">
        <f ca="1">IFERROR(AVERAGE($R$5:R18),0)</f>
        <v>0</v>
      </c>
      <c r="U18" s="21">
        <f t="shared" ca="1" si="4"/>
        <v>37986</v>
      </c>
      <c r="V18" s="4">
        <f ca="1">MIN(S18,PREMISSAS!$C$14)</f>
        <v>0</v>
      </c>
      <c r="W18" s="188"/>
      <c r="X18" s="188"/>
    </row>
    <row r="19" spans="2:24" x14ac:dyDescent="0.3">
      <c r="B19" s="21" t="str">
        <f t="shared" ca="1" si="5"/>
        <v>13º 2023</v>
      </c>
      <c r="C19" s="22">
        <f ca="1">IF(B19="","",IF(LEFT(B19,2)="13",C18,IF(MONTH(B19)=1,C18*(1+PREMISSAS!$C$58),C18)))</f>
        <v>0</v>
      </c>
      <c r="E19" s="18">
        <v>15</v>
      </c>
      <c r="F19" s="21">
        <f t="shared" ca="1" si="6"/>
        <v>38017</v>
      </c>
      <c r="G19" s="22">
        <f ca="1">IFERROR(VLOOKUP(F19,RESULTADOS!$O$5:$P$543,2,FALSE),VLOOKUP(F19,$B$5:$C$842,2,FALSE))</f>
        <v>0</v>
      </c>
      <c r="H19" s="4">
        <f ca="1">IF(F19&lt;PREMISSAS!$D$7,0,IFERROR(VLOOKUP(IF(LEFT(F19,2)="13",DATE(YEAR(F18),12,31),F19),IPCA!$A:$D,4,FALSE),1)*G19)</f>
        <v>0</v>
      </c>
      <c r="J19" s="21">
        <f t="shared" ca="1" si="0"/>
        <v>38017</v>
      </c>
      <c r="K19" s="4">
        <f t="shared" ca="1" si="1"/>
        <v>0</v>
      </c>
      <c r="M19" s="21">
        <f t="shared" ca="1" si="7"/>
        <v>38017</v>
      </c>
      <c r="N19" s="37">
        <f t="shared" ca="1" si="2"/>
        <v>0</v>
      </c>
      <c r="O19" s="4">
        <f ca="1">IFERROR(AVERAGEIF(N$5:$N19,"&gt;="&amp;_xlfn.PERCENTILE.EXC(N$5:$N19,0.2)),0)</f>
        <v>0</v>
      </c>
      <c r="Q19" s="21">
        <f t="shared" ca="1" si="8"/>
        <v>38017</v>
      </c>
      <c r="R19" s="37">
        <f t="shared" ca="1" si="3"/>
        <v>0</v>
      </c>
      <c r="S19" s="4">
        <f ca="1">IFERROR(AVERAGE($R$5:R19),0)</f>
        <v>0</v>
      </c>
      <c r="U19" s="21">
        <f t="shared" ca="1" si="4"/>
        <v>38017</v>
      </c>
      <c r="V19" s="4">
        <f ca="1">MIN(S19,PREMISSAS!$C$14)</f>
        <v>0</v>
      </c>
      <c r="W19" s="188"/>
      <c r="X19" s="188"/>
    </row>
    <row r="20" spans="2:24" x14ac:dyDescent="0.3">
      <c r="B20" s="21">
        <f t="shared" ca="1" si="5"/>
        <v>45291</v>
      </c>
      <c r="C20" s="22">
        <f ca="1">IF(B20="","",IF(LEFT(B20,2)="13",C19,IF(MONTH(B20)=1,C19*(1+PREMISSAS!$C$58),C19)))</f>
        <v>0</v>
      </c>
      <c r="E20" s="18">
        <v>16</v>
      </c>
      <c r="F20" s="21">
        <f t="shared" ca="1" si="6"/>
        <v>38046</v>
      </c>
      <c r="G20" s="22">
        <f ca="1">IFERROR(VLOOKUP(F20,RESULTADOS!$O$5:$P$543,2,FALSE),VLOOKUP(F20,$B$5:$C$842,2,FALSE))</f>
        <v>0</v>
      </c>
      <c r="H20" s="4">
        <f ca="1">IF(F20&lt;PREMISSAS!$D$7,0,IFERROR(VLOOKUP(IF(LEFT(F20,2)="13",DATE(YEAR(F19),12,31),F20),IPCA!$A:$D,4,FALSE),1)*G20)</f>
        <v>0</v>
      </c>
      <c r="J20" s="21">
        <f t="shared" ca="1" si="0"/>
        <v>38046</v>
      </c>
      <c r="K20" s="4">
        <f t="shared" ca="1" si="1"/>
        <v>0</v>
      </c>
      <c r="M20" s="21">
        <f t="shared" ca="1" si="7"/>
        <v>38046</v>
      </c>
      <c r="N20" s="37">
        <f t="shared" ca="1" si="2"/>
        <v>0</v>
      </c>
      <c r="O20" s="4">
        <f ca="1">IFERROR(AVERAGEIF(N$5:$N20,"&gt;="&amp;_xlfn.PERCENTILE.EXC(N$5:$N20,0.2)),0)</f>
        <v>0</v>
      </c>
      <c r="Q20" s="21">
        <f t="shared" ca="1" si="8"/>
        <v>38046</v>
      </c>
      <c r="R20" s="37">
        <f t="shared" ca="1" si="3"/>
        <v>0</v>
      </c>
      <c r="S20" s="4">
        <f ca="1">IFERROR(AVERAGE($R$5:R20),0)</f>
        <v>0</v>
      </c>
      <c r="U20" s="21">
        <f t="shared" ca="1" si="4"/>
        <v>38046</v>
      </c>
      <c r="V20" s="4">
        <f ca="1">MIN(S20,PREMISSAS!$C$14)</f>
        <v>0</v>
      </c>
      <c r="W20" s="188"/>
      <c r="X20" s="188"/>
    </row>
    <row r="21" spans="2:24" x14ac:dyDescent="0.3">
      <c r="B21" s="21">
        <f t="shared" ca="1" si="5"/>
        <v>45322</v>
      </c>
      <c r="C21" s="22">
        <f ca="1">IF(B21="","",IF(LEFT(B21,2)="13",C20,IF(MONTH(B21)=1,C20*(1+PREMISSAS!$C$58),C20)))</f>
        <v>0</v>
      </c>
      <c r="E21" s="18">
        <v>17</v>
      </c>
      <c r="F21" s="21">
        <f t="shared" ca="1" si="6"/>
        <v>38077</v>
      </c>
      <c r="G21" s="22">
        <f ca="1">IFERROR(VLOOKUP(F21,RESULTADOS!$O$5:$P$543,2,FALSE),VLOOKUP(F21,$B$5:$C$842,2,FALSE))</f>
        <v>0</v>
      </c>
      <c r="H21" s="4">
        <f ca="1">IF(F21&lt;PREMISSAS!$D$7,0,IFERROR(VLOOKUP(IF(LEFT(F21,2)="13",DATE(YEAR(F20),12,31),F21),IPCA!$A:$D,4,FALSE),1)*G21)</f>
        <v>0</v>
      </c>
      <c r="J21" s="21">
        <f t="shared" ca="1" si="0"/>
        <v>38077</v>
      </c>
      <c r="K21" s="4">
        <f t="shared" ca="1" si="1"/>
        <v>0</v>
      </c>
      <c r="M21" s="21">
        <f t="shared" ca="1" si="7"/>
        <v>38077</v>
      </c>
      <c r="N21" s="37">
        <f t="shared" ca="1" si="2"/>
        <v>0</v>
      </c>
      <c r="O21" s="4">
        <f ca="1">IFERROR(AVERAGEIF(N$5:$N21,"&gt;="&amp;_xlfn.PERCENTILE.EXC(N$5:$N21,0.2)),0)</f>
        <v>0</v>
      </c>
      <c r="Q21" s="21">
        <f t="shared" ca="1" si="8"/>
        <v>38077</v>
      </c>
      <c r="R21" s="37">
        <f t="shared" ca="1" si="3"/>
        <v>0</v>
      </c>
      <c r="S21" s="4">
        <f ca="1">IFERROR(AVERAGE($R$5:R21),0)</f>
        <v>0</v>
      </c>
      <c r="U21" s="21">
        <f t="shared" ca="1" si="4"/>
        <v>38077</v>
      </c>
      <c r="V21" s="4">
        <f ca="1">MIN(S21,PREMISSAS!$C$14)</f>
        <v>0</v>
      </c>
      <c r="W21" s="188"/>
      <c r="X21" s="188"/>
    </row>
    <row r="22" spans="2:24" x14ac:dyDescent="0.3">
      <c r="B22" s="21">
        <f t="shared" ca="1" si="5"/>
        <v>45351</v>
      </c>
      <c r="C22" s="22">
        <f ca="1">IF(B22="","",IF(LEFT(B22,2)="13",C21,IF(MONTH(B22)=1,C21*(1+PREMISSAS!$C$58),C21)))</f>
        <v>0</v>
      </c>
      <c r="E22" s="18">
        <v>18</v>
      </c>
      <c r="F22" s="21">
        <f t="shared" ca="1" si="6"/>
        <v>38107</v>
      </c>
      <c r="G22" s="22">
        <f ca="1">IFERROR(VLOOKUP(F22,RESULTADOS!$O$5:$P$543,2,FALSE),VLOOKUP(F22,$B$5:$C$842,2,FALSE))</f>
        <v>0</v>
      </c>
      <c r="H22" s="4">
        <f ca="1">IF(F22&lt;PREMISSAS!$D$7,0,IFERROR(VLOOKUP(IF(LEFT(F22,2)="13",DATE(YEAR(F21),12,31),F22),IPCA!$A:$D,4,FALSE),1)*G22)</f>
        <v>0</v>
      </c>
      <c r="J22" s="21">
        <f t="shared" ca="1" si="0"/>
        <v>38107</v>
      </c>
      <c r="K22" s="4">
        <f t="shared" ca="1" si="1"/>
        <v>0</v>
      </c>
      <c r="M22" s="21">
        <f t="shared" ca="1" si="7"/>
        <v>38107</v>
      </c>
      <c r="N22" s="37">
        <f t="shared" ca="1" si="2"/>
        <v>0</v>
      </c>
      <c r="O22" s="4">
        <f ca="1">IFERROR(AVERAGEIF(N$5:$N22,"&gt;="&amp;_xlfn.PERCENTILE.EXC(N$5:$N22,0.2)),0)</f>
        <v>0</v>
      </c>
      <c r="Q22" s="21">
        <f t="shared" ca="1" si="8"/>
        <v>38107</v>
      </c>
      <c r="R22" s="37">
        <f t="shared" ca="1" si="3"/>
        <v>0</v>
      </c>
      <c r="S22" s="4">
        <f ca="1">IFERROR(AVERAGE($R$5:R22),0)</f>
        <v>0</v>
      </c>
      <c r="U22" s="21">
        <f t="shared" ca="1" si="4"/>
        <v>38107</v>
      </c>
      <c r="V22" s="4">
        <f ca="1">MIN(S22,PREMISSAS!$C$14)</f>
        <v>0</v>
      </c>
      <c r="W22" s="188"/>
      <c r="X22" s="188"/>
    </row>
    <row r="23" spans="2:24" x14ac:dyDescent="0.3">
      <c r="B23" s="21">
        <f t="shared" ca="1" si="5"/>
        <v>45382</v>
      </c>
      <c r="C23" s="22">
        <f ca="1">IF(B23="","",IF(LEFT(B23,2)="13",C22,IF(MONTH(B23)=1,C22*(1+PREMISSAS!$C$58),C22)))</f>
        <v>0</v>
      </c>
      <c r="E23" s="18">
        <v>19</v>
      </c>
      <c r="F23" s="21">
        <f t="shared" ca="1" si="6"/>
        <v>38138</v>
      </c>
      <c r="G23" s="22">
        <f ca="1">IFERROR(VLOOKUP(F23,RESULTADOS!$O$5:$P$543,2,FALSE),VLOOKUP(F23,$B$5:$C$842,2,FALSE))</f>
        <v>0</v>
      </c>
      <c r="H23" s="4">
        <f ca="1">IF(F23&lt;PREMISSAS!$D$7,0,IFERROR(VLOOKUP(IF(LEFT(F23,2)="13",DATE(YEAR(F22),12,31),F23),IPCA!$A:$D,4,FALSE),1)*G23)</f>
        <v>0</v>
      </c>
      <c r="J23" s="21">
        <f t="shared" ca="1" si="0"/>
        <v>38138</v>
      </c>
      <c r="K23" s="4">
        <f t="shared" ca="1" si="1"/>
        <v>0</v>
      </c>
      <c r="M23" s="21">
        <f t="shared" ca="1" si="7"/>
        <v>38138</v>
      </c>
      <c r="N23" s="37">
        <f t="shared" ca="1" si="2"/>
        <v>0</v>
      </c>
      <c r="O23" s="4">
        <f ca="1">IFERROR(AVERAGEIF(N$5:$N23,"&gt;="&amp;_xlfn.PERCENTILE.EXC(N$5:$N23,0.2)),0)</f>
        <v>0</v>
      </c>
      <c r="Q23" s="21">
        <f t="shared" ca="1" si="8"/>
        <v>38138</v>
      </c>
      <c r="R23" s="37">
        <f t="shared" ca="1" si="3"/>
        <v>0</v>
      </c>
      <c r="S23" s="4">
        <f ca="1">IFERROR(AVERAGE($R$5:R23),0)</f>
        <v>0</v>
      </c>
      <c r="U23" s="21">
        <f t="shared" ca="1" si="4"/>
        <v>38138</v>
      </c>
      <c r="V23" s="4">
        <f ca="1">MIN(S23,PREMISSAS!$C$14)</f>
        <v>0</v>
      </c>
      <c r="W23" s="188"/>
      <c r="X23" s="188"/>
    </row>
    <row r="24" spans="2:24" x14ac:dyDescent="0.3">
      <c r="B24" s="21">
        <f t="shared" ca="1" si="5"/>
        <v>45412</v>
      </c>
      <c r="C24" s="22">
        <f ca="1">IF(B24="","",IF(LEFT(B24,2)="13",C23,IF(MONTH(B24)=1,C23*(1+PREMISSAS!$C$58),C23)))</f>
        <v>0</v>
      </c>
      <c r="E24" s="18">
        <v>20</v>
      </c>
      <c r="F24" s="21">
        <f t="shared" ca="1" si="6"/>
        <v>38168</v>
      </c>
      <c r="G24" s="22">
        <f ca="1">IFERROR(VLOOKUP(F24,RESULTADOS!$O$5:$P$543,2,FALSE),VLOOKUP(F24,$B$5:$C$842,2,FALSE))</f>
        <v>0</v>
      </c>
      <c r="H24" s="4">
        <f ca="1">IF(F24&lt;PREMISSAS!$D$7,0,IFERROR(VLOOKUP(IF(LEFT(F24,2)="13",DATE(YEAR(F23),12,31),F24),IPCA!$A:$D,4,FALSE),1)*G24)</f>
        <v>0</v>
      </c>
      <c r="J24" s="21">
        <f t="shared" ca="1" si="0"/>
        <v>38168</v>
      </c>
      <c r="K24" s="4">
        <f t="shared" ca="1" si="1"/>
        <v>0</v>
      </c>
      <c r="M24" s="21">
        <f t="shared" ca="1" si="7"/>
        <v>38168</v>
      </c>
      <c r="N24" s="37">
        <f t="shared" ca="1" si="2"/>
        <v>0</v>
      </c>
      <c r="O24" s="4">
        <f ca="1">IFERROR(AVERAGEIF(N$5:$N24,"&gt;="&amp;_xlfn.PERCENTILE.EXC(N$5:$N24,0.2)),0)</f>
        <v>0</v>
      </c>
      <c r="Q24" s="21">
        <f t="shared" ca="1" si="8"/>
        <v>38168</v>
      </c>
      <c r="R24" s="37">
        <f t="shared" ca="1" si="3"/>
        <v>0</v>
      </c>
      <c r="S24" s="4">
        <f ca="1">IFERROR(AVERAGE($R$5:R24),0)</f>
        <v>0</v>
      </c>
      <c r="U24" s="21">
        <f t="shared" ca="1" si="4"/>
        <v>38168</v>
      </c>
      <c r="V24" s="4">
        <f ca="1">MIN(S24,PREMISSAS!$C$14)</f>
        <v>0</v>
      </c>
      <c r="W24" s="188"/>
      <c r="X24" s="188"/>
    </row>
    <row r="25" spans="2:24" x14ac:dyDescent="0.3">
      <c r="B25" s="21">
        <f t="shared" ca="1" si="5"/>
        <v>45443</v>
      </c>
      <c r="C25" s="22">
        <f ca="1">IF(B25="","",IF(LEFT(B25,2)="13",C24,IF(MONTH(B25)=1,C24*(1+PREMISSAS!$C$58),C24)))</f>
        <v>0</v>
      </c>
      <c r="E25" s="18">
        <v>21</v>
      </c>
      <c r="F25" s="21">
        <f t="shared" ca="1" si="6"/>
        <v>38199</v>
      </c>
      <c r="G25" s="22">
        <f ca="1">IFERROR(VLOOKUP(F25,RESULTADOS!$O$5:$P$543,2,FALSE),VLOOKUP(F25,$B$5:$C$842,2,FALSE))</f>
        <v>0</v>
      </c>
      <c r="H25" s="4">
        <f ca="1">IF(F25&lt;PREMISSAS!$D$7,0,IFERROR(VLOOKUP(IF(LEFT(F25,2)="13",DATE(YEAR(F24),12,31),F25),IPCA!$A:$D,4,FALSE),1)*G25)</f>
        <v>0</v>
      </c>
      <c r="J25" s="21">
        <f t="shared" ca="1" si="0"/>
        <v>38199</v>
      </c>
      <c r="K25" s="4">
        <f t="shared" ca="1" si="1"/>
        <v>0</v>
      </c>
      <c r="M25" s="21">
        <f t="shared" ca="1" si="7"/>
        <v>38199</v>
      </c>
      <c r="N25" s="37">
        <f t="shared" ca="1" si="2"/>
        <v>0</v>
      </c>
      <c r="O25" s="4">
        <f ca="1">IFERROR(AVERAGEIF(N$5:$N25,"&gt;="&amp;_xlfn.PERCENTILE.EXC(N$5:$N25,0.2)),0)</f>
        <v>0</v>
      </c>
      <c r="Q25" s="21">
        <f t="shared" ca="1" si="8"/>
        <v>38199</v>
      </c>
      <c r="R25" s="37">
        <f t="shared" ca="1" si="3"/>
        <v>0</v>
      </c>
      <c r="S25" s="4">
        <f ca="1">IFERROR(AVERAGE($R$5:R25),0)</f>
        <v>0</v>
      </c>
      <c r="U25" s="21">
        <f t="shared" ca="1" si="4"/>
        <v>38199</v>
      </c>
      <c r="V25" s="4">
        <f ca="1">MIN(S25,PREMISSAS!$C$14)</f>
        <v>0</v>
      </c>
      <c r="W25" s="188"/>
      <c r="X25" s="188"/>
    </row>
    <row r="26" spans="2:24" x14ac:dyDescent="0.3">
      <c r="B26" s="21">
        <f t="shared" ca="1" si="5"/>
        <v>45473</v>
      </c>
      <c r="C26" s="22">
        <f ca="1">IF(B26="","",IF(LEFT(B26,2)="13",C25,IF(MONTH(B26)=1,C25*(1+PREMISSAS!$C$58),C25)))</f>
        <v>0</v>
      </c>
      <c r="E26" s="18">
        <v>22</v>
      </c>
      <c r="F26" s="21">
        <f t="shared" ca="1" si="6"/>
        <v>38230</v>
      </c>
      <c r="G26" s="22">
        <f ca="1">IFERROR(VLOOKUP(F26,RESULTADOS!$O$5:$P$543,2,FALSE),VLOOKUP(F26,$B$5:$C$842,2,FALSE))</f>
        <v>0</v>
      </c>
      <c r="H26" s="4">
        <f ca="1">IF(F26&lt;PREMISSAS!$D$7,0,IFERROR(VLOOKUP(IF(LEFT(F26,2)="13",DATE(YEAR(F25),12,31),F26),IPCA!$A:$D,4,FALSE),1)*G26)</f>
        <v>0</v>
      </c>
      <c r="J26" s="21">
        <f t="shared" ca="1" si="0"/>
        <v>38230</v>
      </c>
      <c r="K26" s="4">
        <f t="shared" ca="1" si="1"/>
        <v>0</v>
      </c>
      <c r="M26" s="21">
        <f t="shared" ca="1" si="7"/>
        <v>38230</v>
      </c>
      <c r="N26" s="37">
        <f t="shared" ca="1" si="2"/>
        <v>0</v>
      </c>
      <c r="O26" s="4">
        <f ca="1">IFERROR(AVERAGEIF(N$5:$N26,"&gt;="&amp;_xlfn.PERCENTILE.EXC(N$5:$N26,0.2)),0)</f>
        <v>0</v>
      </c>
      <c r="Q26" s="21">
        <f t="shared" ca="1" si="8"/>
        <v>38230</v>
      </c>
      <c r="R26" s="37">
        <f t="shared" ca="1" si="3"/>
        <v>0</v>
      </c>
      <c r="S26" s="4">
        <f ca="1">IFERROR(AVERAGE($R$5:R26),0)</f>
        <v>0</v>
      </c>
      <c r="U26" s="21">
        <f t="shared" ca="1" si="4"/>
        <v>38230</v>
      </c>
      <c r="V26" s="4">
        <f ca="1">MIN(S26,PREMISSAS!$C$14)</f>
        <v>0</v>
      </c>
      <c r="W26" s="188"/>
      <c r="X26" s="188"/>
    </row>
    <row r="27" spans="2:24" x14ac:dyDescent="0.3">
      <c r="B27" s="21">
        <f t="shared" ca="1" si="5"/>
        <v>45504</v>
      </c>
      <c r="C27" s="22">
        <f ca="1">IF(B27="","",IF(LEFT(B27,2)="13",C26,IF(MONTH(B27)=1,C26*(1+PREMISSAS!$C$58),C26)))</f>
        <v>0</v>
      </c>
      <c r="E27" s="18">
        <v>23</v>
      </c>
      <c r="F27" s="21">
        <f t="shared" ca="1" si="6"/>
        <v>38260</v>
      </c>
      <c r="G27" s="22">
        <f ca="1">IFERROR(VLOOKUP(F27,RESULTADOS!$O$5:$P$543,2,FALSE),VLOOKUP(F27,$B$5:$C$842,2,FALSE))</f>
        <v>0</v>
      </c>
      <c r="H27" s="4">
        <f ca="1">IF(F27&lt;PREMISSAS!$D$7,0,IFERROR(VLOOKUP(IF(LEFT(F27,2)="13",DATE(YEAR(F26),12,31),F27),IPCA!$A:$D,4,FALSE),1)*G27)</f>
        <v>0</v>
      </c>
      <c r="J27" s="21">
        <f t="shared" ca="1" si="0"/>
        <v>38260</v>
      </c>
      <c r="K27" s="4">
        <f t="shared" ca="1" si="1"/>
        <v>0</v>
      </c>
      <c r="M27" s="21">
        <f t="shared" ca="1" si="7"/>
        <v>38260</v>
      </c>
      <c r="N27" s="37">
        <f t="shared" ca="1" si="2"/>
        <v>0</v>
      </c>
      <c r="O27" s="4">
        <f ca="1">IFERROR(AVERAGEIF(N$5:$N27,"&gt;="&amp;_xlfn.PERCENTILE.EXC(N$5:$N27,0.2)),0)</f>
        <v>0</v>
      </c>
      <c r="Q27" s="21">
        <f t="shared" ca="1" si="8"/>
        <v>38260</v>
      </c>
      <c r="R27" s="37">
        <f t="shared" ca="1" si="3"/>
        <v>0</v>
      </c>
      <c r="S27" s="4">
        <f ca="1">IFERROR(AVERAGE($R$5:R27),0)</f>
        <v>0</v>
      </c>
      <c r="U27" s="21">
        <f t="shared" ca="1" si="4"/>
        <v>38260</v>
      </c>
      <c r="V27" s="4">
        <f ca="1">MIN(S27,PREMISSAS!$C$14)</f>
        <v>0</v>
      </c>
      <c r="W27" s="188"/>
      <c r="X27" s="188"/>
    </row>
    <row r="28" spans="2:24" x14ac:dyDescent="0.3">
      <c r="B28" s="21">
        <f t="shared" ca="1" si="5"/>
        <v>45535</v>
      </c>
      <c r="C28" s="22">
        <f ca="1">IF(B28="","",IF(LEFT(B28,2)="13",C27,IF(MONTH(B28)=1,C27*(1+PREMISSAS!$C$58),C27)))</f>
        <v>0</v>
      </c>
      <c r="E28" s="18">
        <v>24</v>
      </c>
      <c r="F28" s="21">
        <f t="shared" ca="1" si="6"/>
        <v>38291</v>
      </c>
      <c r="G28" s="22">
        <f ca="1">IFERROR(VLOOKUP(F28,RESULTADOS!$O$5:$P$543,2,FALSE),VLOOKUP(F28,$B$5:$C$842,2,FALSE))</f>
        <v>0</v>
      </c>
      <c r="H28" s="4">
        <f ca="1">IF(F28&lt;PREMISSAS!$D$7,0,IFERROR(VLOOKUP(IF(LEFT(F28,2)="13",DATE(YEAR(F27),12,31),F28),IPCA!$A:$D,4,FALSE),1)*G28)</f>
        <v>0</v>
      </c>
      <c r="J28" s="21">
        <f t="shared" ca="1" si="0"/>
        <v>38291</v>
      </c>
      <c r="K28" s="4">
        <f t="shared" ca="1" si="1"/>
        <v>0</v>
      </c>
      <c r="M28" s="21">
        <f t="shared" ca="1" si="7"/>
        <v>38291</v>
      </c>
      <c r="N28" s="37">
        <f t="shared" ca="1" si="2"/>
        <v>0</v>
      </c>
      <c r="O28" s="4">
        <f ca="1">IFERROR(AVERAGEIF(N$5:$N28,"&gt;="&amp;_xlfn.PERCENTILE.EXC(N$5:$N28,0.2)),0)</f>
        <v>0</v>
      </c>
      <c r="Q28" s="21">
        <f t="shared" ca="1" si="8"/>
        <v>38291</v>
      </c>
      <c r="R28" s="37">
        <f t="shared" ca="1" si="3"/>
        <v>0</v>
      </c>
      <c r="S28" s="4">
        <f ca="1">IFERROR(AVERAGE($R$5:R28),0)</f>
        <v>0</v>
      </c>
      <c r="U28" s="21">
        <f t="shared" ca="1" si="4"/>
        <v>38291</v>
      </c>
      <c r="V28" s="4">
        <f ca="1">MIN(S28,PREMISSAS!$C$14)</f>
        <v>0</v>
      </c>
      <c r="W28" s="188"/>
      <c r="X28" s="188"/>
    </row>
    <row r="29" spans="2:24" x14ac:dyDescent="0.3">
      <c r="B29" s="21">
        <f t="shared" ca="1" si="5"/>
        <v>45565</v>
      </c>
      <c r="C29" s="22">
        <f ca="1">IF(B29="","",IF(LEFT(B29,2)="13",C28,IF(MONTH(B29)=1,C28*(1+PREMISSAS!$C$58),C28)))</f>
        <v>0</v>
      </c>
      <c r="E29" s="18">
        <v>25</v>
      </c>
      <c r="F29" s="21">
        <f t="shared" ca="1" si="6"/>
        <v>38321</v>
      </c>
      <c r="G29" s="22">
        <f ca="1">IFERROR(VLOOKUP(F29,RESULTADOS!$O$5:$P$543,2,FALSE),VLOOKUP(F29,$B$5:$C$842,2,FALSE))</f>
        <v>0</v>
      </c>
      <c r="H29" s="4">
        <f ca="1">IF(F29&lt;PREMISSAS!$D$7,0,IFERROR(VLOOKUP(IF(LEFT(F29,2)="13",DATE(YEAR(F28),12,31),F29),IPCA!$A:$D,4,FALSE),1)*G29)</f>
        <v>0</v>
      </c>
      <c r="J29" s="21">
        <f t="shared" ca="1" si="0"/>
        <v>38321</v>
      </c>
      <c r="K29" s="4">
        <f t="shared" ca="1" si="1"/>
        <v>0</v>
      </c>
      <c r="M29" s="21">
        <f t="shared" ca="1" si="7"/>
        <v>38321</v>
      </c>
      <c r="N29" s="37">
        <f t="shared" ca="1" si="2"/>
        <v>0</v>
      </c>
      <c r="O29" s="4">
        <f ca="1">IFERROR(AVERAGEIF(N$5:$N29,"&gt;="&amp;_xlfn.PERCENTILE.EXC(N$5:$N29,0.2)),0)</f>
        <v>0</v>
      </c>
      <c r="Q29" s="21">
        <f t="shared" ca="1" si="8"/>
        <v>38321</v>
      </c>
      <c r="R29" s="37">
        <f t="shared" ca="1" si="3"/>
        <v>0</v>
      </c>
      <c r="S29" s="4">
        <f ca="1">IFERROR(AVERAGE($R$5:R29),0)</f>
        <v>0</v>
      </c>
      <c r="U29" s="21">
        <f t="shared" ca="1" si="4"/>
        <v>38321</v>
      </c>
      <c r="V29" s="4">
        <f ca="1">MIN(S29,PREMISSAS!$C$14)</f>
        <v>0</v>
      </c>
      <c r="W29" s="188"/>
      <c r="X29" s="188"/>
    </row>
    <row r="30" spans="2:24" x14ac:dyDescent="0.3">
      <c r="B30" s="21">
        <f t="shared" ca="1" si="5"/>
        <v>45596</v>
      </c>
      <c r="C30" s="22">
        <f ca="1">IF(B30="","",IF(LEFT(B30,2)="13",C29,IF(MONTH(B30)=1,C29*(1+PREMISSAS!$C$58),C29)))</f>
        <v>0</v>
      </c>
      <c r="E30" s="18">
        <v>26</v>
      </c>
      <c r="F30" s="21" t="str">
        <f t="shared" ca="1" si="6"/>
        <v>13º 2004</v>
      </c>
      <c r="G30" s="22">
        <f ca="1">IFERROR(VLOOKUP(F30,RESULTADOS!$O$5:$P$543,2,FALSE),VLOOKUP(F30,$B$5:$C$842,2,FALSE))</f>
        <v>0</v>
      </c>
      <c r="H30" s="4">
        <f ca="1">IF(F30&lt;PREMISSAS!$D$7,0,IFERROR(VLOOKUP(IF(LEFT(F30,2)="13",DATE(YEAR(F29),12,31),F30),IPCA!$A:$D,4,FALSE),1)*G30)</f>
        <v>0</v>
      </c>
      <c r="J30" s="21" t="str">
        <f t="shared" ca="1" si="0"/>
        <v>13º 2004</v>
      </c>
      <c r="K30" s="4">
        <f t="shared" ca="1" si="1"/>
        <v>0</v>
      </c>
      <c r="M30" s="21" t="str">
        <f t="shared" ca="1" si="7"/>
        <v>13º 2004</v>
      </c>
      <c r="N30" s="37">
        <f t="shared" ca="1" si="2"/>
        <v>0</v>
      </c>
      <c r="O30" s="4">
        <f ca="1">IFERROR(AVERAGEIF(N$5:$N30,"&gt;="&amp;_xlfn.PERCENTILE.EXC(N$5:$N30,0.2)),0)</f>
        <v>0</v>
      </c>
      <c r="Q30" s="21" t="str">
        <f t="shared" ca="1" si="8"/>
        <v>13º 2004</v>
      </c>
      <c r="R30" s="37">
        <f t="shared" ca="1" si="3"/>
        <v>0</v>
      </c>
      <c r="S30" s="4">
        <f ca="1">IFERROR(AVERAGE($R$5:R30),0)</f>
        <v>0</v>
      </c>
      <c r="U30" s="21" t="str">
        <f t="shared" ca="1" si="4"/>
        <v>13º 2004</v>
      </c>
      <c r="V30" s="4">
        <f ca="1">MIN(S30,PREMISSAS!$C$14)</f>
        <v>0</v>
      </c>
      <c r="W30" s="188"/>
      <c r="X30" s="188"/>
    </row>
    <row r="31" spans="2:24" x14ac:dyDescent="0.3">
      <c r="B31" s="21">
        <f t="shared" ca="1" si="5"/>
        <v>45626</v>
      </c>
      <c r="C31" s="22">
        <f ca="1">IF(B31="","",IF(LEFT(B31,2)="13",C30,IF(MONTH(B31)=1,C30*(1+PREMISSAS!$C$58),C30)))</f>
        <v>0</v>
      </c>
      <c r="E31" s="18">
        <v>27</v>
      </c>
      <c r="F31" s="21">
        <f t="shared" ca="1" si="6"/>
        <v>38352</v>
      </c>
      <c r="G31" s="22">
        <f ca="1">IFERROR(VLOOKUP(F31,RESULTADOS!$O$5:$P$543,2,FALSE),VLOOKUP(F31,$B$5:$C$842,2,FALSE))</f>
        <v>0</v>
      </c>
      <c r="H31" s="4">
        <f ca="1">IF(F31&lt;PREMISSAS!$D$7,0,IFERROR(VLOOKUP(IF(LEFT(F31,2)="13",DATE(YEAR(F30),12,31),F31),IPCA!$A:$D,4,FALSE),1)*G31)</f>
        <v>0</v>
      </c>
      <c r="J31" s="21">
        <f t="shared" ca="1" si="0"/>
        <v>38352</v>
      </c>
      <c r="K31" s="4">
        <f t="shared" ca="1" si="1"/>
        <v>0</v>
      </c>
      <c r="M31" s="21">
        <f t="shared" ca="1" si="7"/>
        <v>38352</v>
      </c>
      <c r="N31" s="37">
        <f t="shared" ca="1" si="2"/>
        <v>0</v>
      </c>
      <c r="O31" s="4">
        <f ca="1">IFERROR(AVERAGEIF(N$5:$N31,"&gt;="&amp;_xlfn.PERCENTILE.EXC(N$5:$N31,0.2)),0)</f>
        <v>0</v>
      </c>
      <c r="Q31" s="21">
        <f t="shared" ca="1" si="8"/>
        <v>38352</v>
      </c>
      <c r="R31" s="37">
        <f t="shared" ca="1" si="3"/>
        <v>0</v>
      </c>
      <c r="S31" s="4">
        <f ca="1">IFERROR(AVERAGE($R$5:R31),0)</f>
        <v>0</v>
      </c>
      <c r="U31" s="21">
        <f t="shared" ca="1" si="4"/>
        <v>38352</v>
      </c>
      <c r="V31" s="4">
        <f ca="1">MIN(S31,PREMISSAS!$C$14)</f>
        <v>0</v>
      </c>
      <c r="W31" s="188"/>
      <c r="X31" s="188"/>
    </row>
    <row r="32" spans="2:24" x14ac:dyDescent="0.3">
      <c r="B32" s="21" t="str">
        <f t="shared" ca="1" si="5"/>
        <v>13º 2024</v>
      </c>
      <c r="C32" s="22">
        <f ca="1">IF(B32="","",IF(LEFT(B32,2)="13",C31,IF(MONTH(B32)=1,C31*(1+PREMISSAS!$C$58),C31)))</f>
        <v>0</v>
      </c>
      <c r="E32" s="18">
        <v>28</v>
      </c>
      <c r="F32" s="21">
        <f t="shared" ca="1" si="6"/>
        <v>38383</v>
      </c>
      <c r="G32" s="22">
        <f ca="1">IFERROR(VLOOKUP(F32,RESULTADOS!$O$5:$P$543,2,FALSE),VLOOKUP(F32,$B$5:$C$842,2,FALSE))</f>
        <v>0</v>
      </c>
      <c r="H32" s="4">
        <f ca="1">IF(F32&lt;PREMISSAS!$D$7,0,IFERROR(VLOOKUP(IF(LEFT(F32,2)="13",DATE(YEAR(F31),12,31),F32),IPCA!$A:$D,4,FALSE),1)*G32)</f>
        <v>0</v>
      </c>
      <c r="J32" s="21">
        <f t="shared" ca="1" si="0"/>
        <v>38383</v>
      </c>
      <c r="K32" s="4">
        <f t="shared" ca="1" si="1"/>
        <v>0</v>
      </c>
      <c r="M32" s="21">
        <f t="shared" ca="1" si="7"/>
        <v>38383</v>
      </c>
      <c r="N32" s="37">
        <f t="shared" ca="1" si="2"/>
        <v>0</v>
      </c>
      <c r="O32" s="4">
        <f ca="1">IFERROR(AVERAGEIF(N$5:$N32,"&gt;="&amp;_xlfn.PERCENTILE.EXC(N$5:$N32,0.2)),0)</f>
        <v>0</v>
      </c>
      <c r="Q32" s="21">
        <f t="shared" ca="1" si="8"/>
        <v>38383</v>
      </c>
      <c r="R32" s="37">
        <f t="shared" ca="1" si="3"/>
        <v>0</v>
      </c>
      <c r="S32" s="4">
        <f ca="1">IFERROR(AVERAGE($R$5:R32),0)</f>
        <v>0</v>
      </c>
      <c r="U32" s="21">
        <f t="shared" ca="1" si="4"/>
        <v>38383</v>
      </c>
      <c r="V32" s="4">
        <f ca="1">MIN(S32,PREMISSAS!$C$14)</f>
        <v>0</v>
      </c>
      <c r="W32" s="188"/>
      <c r="X32" s="188"/>
    </row>
    <row r="33" spans="2:24" x14ac:dyDescent="0.3">
      <c r="B33" s="21">
        <f t="shared" ca="1" si="5"/>
        <v>45657</v>
      </c>
      <c r="C33" s="22">
        <f ca="1">IF(B33="","",IF(LEFT(B33,2)="13",C32,IF(MONTH(B33)=1,C32*(1+PREMISSAS!$C$58),C32)))</f>
        <v>0</v>
      </c>
      <c r="E33" s="18">
        <v>29</v>
      </c>
      <c r="F33" s="21">
        <f t="shared" ca="1" si="6"/>
        <v>38411</v>
      </c>
      <c r="G33" s="22">
        <f ca="1">IFERROR(VLOOKUP(F33,RESULTADOS!$O$5:$P$543,2,FALSE),VLOOKUP(F33,$B$5:$C$842,2,FALSE))</f>
        <v>0</v>
      </c>
      <c r="H33" s="4">
        <f ca="1">IF(F33&lt;PREMISSAS!$D$7,0,IFERROR(VLOOKUP(IF(LEFT(F33,2)="13",DATE(YEAR(F32),12,31),F33),IPCA!$A:$D,4,FALSE),1)*G33)</f>
        <v>0</v>
      </c>
      <c r="J33" s="21">
        <f t="shared" ca="1" si="0"/>
        <v>38411</v>
      </c>
      <c r="K33" s="4">
        <f t="shared" ca="1" si="1"/>
        <v>0</v>
      </c>
      <c r="M33" s="21">
        <f t="shared" ca="1" si="7"/>
        <v>38411</v>
      </c>
      <c r="N33" s="37">
        <f t="shared" ca="1" si="2"/>
        <v>0</v>
      </c>
      <c r="O33" s="4">
        <f ca="1">IFERROR(AVERAGEIF(N$5:$N33,"&gt;="&amp;_xlfn.PERCENTILE.EXC(N$5:$N33,0.2)),0)</f>
        <v>0</v>
      </c>
      <c r="Q33" s="21">
        <f t="shared" ca="1" si="8"/>
        <v>38411</v>
      </c>
      <c r="R33" s="37">
        <f t="shared" ca="1" si="3"/>
        <v>0</v>
      </c>
      <c r="S33" s="4">
        <f ca="1">IFERROR(AVERAGE($R$5:R33),0)</f>
        <v>0</v>
      </c>
      <c r="U33" s="21">
        <f t="shared" ca="1" si="4"/>
        <v>38411</v>
      </c>
      <c r="V33" s="4">
        <f ca="1">MIN(S33,PREMISSAS!$C$14)</f>
        <v>0</v>
      </c>
      <c r="W33" s="188"/>
      <c r="X33" s="188"/>
    </row>
    <row r="34" spans="2:24" x14ac:dyDescent="0.3">
      <c r="B34" s="21">
        <f t="shared" ca="1" si="5"/>
        <v>45688</v>
      </c>
      <c r="C34" s="22">
        <f ca="1">IF(B34="","",IF(LEFT(B34,2)="13",C33,IF(MONTH(B34)=1,C33*(1+PREMISSAS!$C$58),C33)))</f>
        <v>0</v>
      </c>
      <c r="E34" s="18">
        <v>30</v>
      </c>
      <c r="F34" s="21">
        <f t="shared" ca="1" si="6"/>
        <v>38442</v>
      </c>
      <c r="G34" s="22">
        <f ca="1">IFERROR(VLOOKUP(F34,RESULTADOS!$O$5:$P$543,2,FALSE),VLOOKUP(F34,$B$5:$C$842,2,FALSE))</f>
        <v>0</v>
      </c>
      <c r="H34" s="4">
        <f ca="1">IF(F34&lt;PREMISSAS!$D$7,0,IFERROR(VLOOKUP(IF(LEFT(F34,2)="13",DATE(YEAR(F33),12,31),F34),IPCA!$A:$D,4,FALSE),1)*G34)</f>
        <v>0</v>
      </c>
      <c r="J34" s="21">
        <f t="shared" ca="1" si="0"/>
        <v>38442</v>
      </c>
      <c r="K34" s="4">
        <f t="shared" ca="1" si="1"/>
        <v>0</v>
      </c>
      <c r="M34" s="21">
        <f t="shared" ca="1" si="7"/>
        <v>38442</v>
      </c>
      <c r="N34" s="37">
        <f t="shared" ca="1" si="2"/>
        <v>0</v>
      </c>
      <c r="O34" s="4">
        <f ca="1">IFERROR(AVERAGEIF(N$5:$N34,"&gt;="&amp;_xlfn.PERCENTILE.EXC(N$5:$N34,0.2)),0)</f>
        <v>0</v>
      </c>
      <c r="Q34" s="21">
        <f t="shared" ca="1" si="8"/>
        <v>38442</v>
      </c>
      <c r="R34" s="37">
        <f t="shared" ca="1" si="3"/>
        <v>0</v>
      </c>
      <c r="S34" s="4">
        <f ca="1">IFERROR(AVERAGE($R$5:R34),0)</f>
        <v>0</v>
      </c>
      <c r="U34" s="21">
        <f t="shared" ca="1" si="4"/>
        <v>38442</v>
      </c>
      <c r="V34" s="4">
        <f ca="1">MIN(S34,PREMISSAS!$C$14)</f>
        <v>0</v>
      </c>
      <c r="W34" s="188"/>
      <c r="X34" s="188"/>
    </row>
    <row r="35" spans="2:24" x14ac:dyDescent="0.3">
      <c r="B35" s="21">
        <f t="shared" ca="1" si="5"/>
        <v>45716</v>
      </c>
      <c r="C35" s="22">
        <f ca="1">IF(B35="","",IF(LEFT(B35,2)="13",C34,IF(MONTH(B35)=1,C34*(1+PREMISSAS!$C$58),C34)))</f>
        <v>0</v>
      </c>
      <c r="E35" s="18">
        <v>31</v>
      </c>
      <c r="F35" s="21">
        <f t="shared" ca="1" si="6"/>
        <v>38472</v>
      </c>
      <c r="G35" s="22">
        <f ca="1">IFERROR(VLOOKUP(F35,RESULTADOS!$O$5:$P$543,2,FALSE),VLOOKUP(F35,$B$5:$C$842,2,FALSE))</f>
        <v>0</v>
      </c>
      <c r="H35" s="4">
        <f ca="1">IF(F35&lt;PREMISSAS!$D$7,0,IFERROR(VLOOKUP(IF(LEFT(F35,2)="13",DATE(YEAR(F34),12,31),F35),IPCA!$A:$D,4,FALSE),1)*G35)</f>
        <v>0</v>
      </c>
      <c r="J35" s="21">
        <f t="shared" ca="1" si="0"/>
        <v>38472</v>
      </c>
      <c r="K35" s="4">
        <f t="shared" ca="1" si="1"/>
        <v>0</v>
      </c>
      <c r="M35" s="21">
        <f t="shared" ca="1" si="7"/>
        <v>38472</v>
      </c>
      <c r="N35" s="37">
        <f t="shared" ca="1" si="2"/>
        <v>0</v>
      </c>
      <c r="O35" s="4">
        <f ca="1">IFERROR(AVERAGEIF(N$5:$N35,"&gt;="&amp;_xlfn.PERCENTILE.EXC(N$5:$N35,0.2)),0)</f>
        <v>0</v>
      </c>
      <c r="Q35" s="21">
        <f t="shared" ca="1" si="8"/>
        <v>38472</v>
      </c>
      <c r="R35" s="37">
        <f t="shared" ca="1" si="3"/>
        <v>0</v>
      </c>
      <c r="S35" s="4">
        <f ca="1">IFERROR(AVERAGE($R$5:R35),0)</f>
        <v>0</v>
      </c>
      <c r="U35" s="21">
        <f t="shared" ca="1" si="4"/>
        <v>38472</v>
      </c>
      <c r="V35" s="4">
        <f ca="1">MIN(S35,PREMISSAS!$C$14)</f>
        <v>0</v>
      </c>
      <c r="W35" s="188"/>
      <c r="X35" s="188"/>
    </row>
    <row r="36" spans="2:24" x14ac:dyDescent="0.3">
      <c r="B36" s="21">
        <f t="shared" ca="1" si="5"/>
        <v>45747</v>
      </c>
      <c r="C36" s="22">
        <f ca="1">IF(B36="","",IF(LEFT(B36,2)="13",C35,IF(MONTH(B36)=1,C35*(1+PREMISSAS!$C$58),C35)))</f>
        <v>0</v>
      </c>
      <c r="E36" s="18">
        <v>32</v>
      </c>
      <c r="F36" s="21">
        <f t="shared" ca="1" si="6"/>
        <v>38503</v>
      </c>
      <c r="G36" s="22">
        <f ca="1">IFERROR(VLOOKUP(F36,RESULTADOS!$O$5:$P$543,2,FALSE),VLOOKUP(F36,$B$5:$C$842,2,FALSE))</f>
        <v>0</v>
      </c>
      <c r="H36" s="4">
        <f ca="1">IF(F36&lt;PREMISSAS!$D$7,0,IFERROR(VLOOKUP(IF(LEFT(F36,2)="13",DATE(YEAR(F35),12,31),F36),IPCA!$A:$D,4,FALSE),1)*G36)</f>
        <v>0</v>
      </c>
      <c r="J36" s="21">
        <f t="shared" ca="1" si="0"/>
        <v>38503</v>
      </c>
      <c r="K36" s="4">
        <f t="shared" ca="1" si="1"/>
        <v>0</v>
      </c>
      <c r="M36" s="21">
        <f t="shared" ca="1" si="7"/>
        <v>38503</v>
      </c>
      <c r="N36" s="37">
        <f t="shared" ca="1" si="2"/>
        <v>0</v>
      </c>
      <c r="O36" s="4">
        <f ca="1">IFERROR(AVERAGEIF(N$5:$N36,"&gt;="&amp;_xlfn.PERCENTILE.EXC(N$5:$N36,0.2)),0)</f>
        <v>0</v>
      </c>
      <c r="Q36" s="21">
        <f t="shared" ca="1" si="8"/>
        <v>38503</v>
      </c>
      <c r="R36" s="37">
        <f t="shared" ca="1" si="3"/>
        <v>0</v>
      </c>
      <c r="S36" s="4">
        <f ca="1">IFERROR(AVERAGE($R$5:R36),0)</f>
        <v>0</v>
      </c>
      <c r="U36" s="21">
        <f t="shared" ca="1" si="4"/>
        <v>38503</v>
      </c>
      <c r="V36" s="4">
        <f ca="1">MIN(S36,PREMISSAS!$C$14)</f>
        <v>0</v>
      </c>
      <c r="W36" s="188"/>
      <c r="X36" s="188"/>
    </row>
    <row r="37" spans="2:24" x14ac:dyDescent="0.3">
      <c r="B37" s="21">
        <f t="shared" ca="1" si="5"/>
        <v>45777</v>
      </c>
      <c r="C37" s="22">
        <f ca="1">IF(B37="","",IF(LEFT(B37,2)="13",C36,IF(MONTH(B37)=1,C36*(1+PREMISSAS!$C$58),C36)))</f>
        <v>0</v>
      </c>
      <c r="E37" s="18">
        <v>33</v>
      </c>
      <c r="F37" s="21">
        <f t="shared" ca="1" si="6"/>
        <v>38533</v>
      </c>
      <c r="G37" s="22">
        <f ca="1">IFERROR(VLOOKUP(F37,RESULTADOS!$O$5:$P$543,2,FALSE),VLOOKUP(F37,$B$5:$C$842,2,FALSE))</f>
        <v>0</v>
      </c>
      <c r="H37" s="4">
        <f ca="1">IF(F37&lt;PREMISSAS!$D$7,0,IFERROR(VLOOKUP(IF(LEFT(F37,2)="13",DATE(YEAR(F36),12,31),F37),IPCA!$A:$D,4,FALSE),1)*G37)</f>
        <v>0</v>
      </c>
      <c r="J37" s="21">
        <f t="shared" ca="1" si="0"/>
        <v>38533</v>
      </c>
      <c r="K37" s="4">
        <f t="shared" ca="1" si="1"/>
        <v>0</v>
      </c>
      <c r="M37" s="21">
        <f t="shared" ca="1" si="7"/>
        <v>38533</v>
      </c>
      <c r="N37" s="37">
        <f t="shared" ca="1" si="2"/>
        <v>0</v>
      </c>
      <c r="O37" s="4">
        <f ca="1">IFERROR(AVERAGEIF(N$5:$N37,"&gt;="&amp;_xlfn.PERCENTILE.EXC(N$5:$N37,0.2)),0)</f>
        <v>0</v>
      </c>
      <c r="Q37" s="21">
        <f t="shared" ca="1" si="8"/>
        <v>38533</v>
      </c>
      <c r="R37" s="37">
        <f t="shared" ca="1" si="3"/>
        <v>0</v>
      </c>
      <c r="S37" s="4">
        <f ca="1">IFERROR(AVERAGE($R$5:R37),0)</f>
        <v>0</v>
      </c>
      <c r="U37" s="21">
        <f t="shared" ca="1" si="4"/>
        <v>38533</v>
      </c>
      <c r="V37" s="4">
        <f ca="1">MIN(S37,PREMISSAS!$C$14)</f>
        <v>0</v>
      </c>
      <c r="W37" s="188"/>
      <c r="X37" s="188"/>
    </row>
    <row r="38" spans="2:24" x14ac:dyDescent="0.3">
      <c r="B38" s="21">
        <f t="shared" ca="1" si="5"/>
        <v>45808</v>
      </c>
      <c r="C38" s="22">
        <f ca="1">IF(B38="","",IF(LEFT(B38,2)="13",C37,IF(MONTH(B38)=1,C37*(1+PREMISSAS!$C$58),C37)))</f>
        <v>0</v>
      </c>
      <c r="E38" s="18">
        <v>34</v>
      </c>
      <c r="F38" s="21">
        <f t="shared" ca="1" si="6"/>
        <v>38564</v>
      </c>
      <c r="G38" s="22">
        <f ca="1">IFERROR(VLOOKUP(F38,RESULTADOS!$O$5:$P$543,2,FALSE),VLOOKUP(F38,$B$5:$C$842,2,FALSE))</f>
        <v>0</v>
      </c>
      <c r="H38" s="4">
        <f ca="1">IF(F38&lt;PREMISSAS!$D$7,0,IFERROR(VLOOKUP(IF(LEFT(F38,2)="13",DATE(YEAR(F37),12,31),F38),IPCA!$A:$D,4,FALSE),1)*G38)</f>
        <v>0</v>
      </c>
      <c r="J38" s="21">
        <f t="shared" ca="1" si="0"/>
        <v>38564</v>
      </c>
      <c r="K38" s="4">
        <f t="shared" ca="1" si="1"/>
        <v>0</v>
      </c>
      <c r="M38" s="21">
        <f t="shared" ca="1" si="7"/>
        <v>38564</v>
      </c>
      <c r="N38" s="37">
        <f t="shared" ca="1" si="2"/>
        <v>0</v>
      </c>
      <c r="O38" s="4">
        <f ca="1">IFERROR(AVERAGEIF(N$5:$N38,"&gt;="&amp;_xlfn.PERCENTILE.EXC(N$5:$N38,0.2)),0)</f>
        <v>0</v>
      </c>
      <c r="Q38" s="21">
        <f t="shared" ca="1" si="8"/>
        <v>38564</v>
      </c>
      <c r="R38" s="37">
        <f t="shared" ca="1" si="3"/>
        <v>0</v>
      </c>
      <c r="S38" s="4">
        <f ca="1">IFERROR(AVERAGE($R$5:R38),0)</f>
        <v>0</v>
      </c>
      <c r="U38" s="21">
        <f t="shared" ca="1" si="4"/>
        <v>38564</v>
      </c>
      <c r="V38" s="4">
        <f ca="1">MIN(S38,PREMISSAS!$C$14)</f>
        <v>0</v>
      </c>
      <c r="W38" s="188"/>
      <c r="X38" s="188"/>
    </row>
    <row r="39" spans="2:24" x14ac:dyDescent="0.3">
      <c r="B39" s="21">
        <f t="shared" ca="1" si="5"/>
        <v>45838</v>
      </c>
      <c r="C39" s="22">
        <f ca="1">IF(B39="","",IF(LEFT(B39,2)="13",C38,IF(MONTH(B39)=1,C38*(1+PREMISSAS!$C$58),C38)))</f>
        <v>0</v>
      </c>
      <c r="E39" s="18">
        <v>35</v>
      </c>
      <c r="F39" s="21">
        <f t="shared" ca="1" si="6"/>
        <v>38595</v>
      </c>
      <c r="G39" s="22">
        <f ca="1">IFERROR(VLOOKUP(F39,RESULTADOS!$O$5:$P$543,2,FALSE),VLOOKUP(F39,$B$5:$C$842,2,FALSE))</f>
        <v>0</v>
      </c>
      <c r="H39" s="4">
        <f ca="1">IF(F39&lt;PREMISSAS!$D$7,0,IFERROR(VLOOKUP(IF(LEFT(F39,2)="13",DATE(YEAR(F38),12,31),F39),IPCA!$A:$D,4,FALSE),1)*G39)</f>
        <v>0</v>
      </c>
      <c r="J39" s="21">
        <f t="shared" ca="1" si="0"/>
        <v>38595</v>
      </c>
      <c r="K39" s="4">
        <f t="shared" ca="1" si="1"/>
        <v>0</v>
      </c>
      <c r="M39" s="21">
        <f t="shared" ca="1" si="7"/>
        <v>38595</v>
      </c>
      <c r="N39" s="37">
        <f t="shared" ca="1" si="2"/>
        <v>0</v>
      </c>
      <c r="O39" s="4">
        <f ca="1">IFERROR(AVERAGEIF(N$5:$N39,"&gt;="&amp;_xlfn.PERCENTILE.EXC(N$5:$N39,0.2)),0)</f>
        <v>0</v>
      </c>
      <c r="Q39" s="21">
        <f t="shared" ca="1" si="8"/>
        <v>38595</v>
      </c>
      <c r="R39" s="37">
        <f t="shared" ca="1" si="3"/>
        <v>0</v>
      </c>
      <c r="S39" s="4">
        <f ca="1">IFERROR(AVERAGE($R$5:R39),0)</f>
        <v>0</v>
      </c>
      <c r="U39" s="21">
        <f t="shared" ca="1" si="4"/>
        <v>38595</v>
      </c>
      <c r="V39" s="4">
        <f ca="1">MIN(S39,PREMISSAS!$C$14)</f>
        <v>0</v>
      </c>
      <c r="W39" s="188"/>
      <c r="X39" s="188"/>
    </row>
    <row r="40" spans="2:24" x14ac:dyDescent="0.3">
      <c r="B40" s="21">
        <f t="shared" ca="1" si="5"/>
        <v>45869</v>
      </c>
      <c r="C40" s="22">
        <f ca="1">IF(B40="","",IF(LEFT(B40,2)="13",C39,IF(MONTH(B40)=1,C39*(1+PREMISSAS!$C$58),C39)))</f>
        <v>0</v>
      </c>
      <c r="E40" s="18">
        <v>36</v>
      </c>
      <c r="F40" s="21">
        <f t="shared" ca="1" si="6"/>
        <v>38625</v>
      </c>
      <c r="G40" s="22">
        <f ca="1">IFERROR(VLOOKUP(F40,RESULTADOS!$O$5:$P$543,2,FALSE),VLOOKUP(F40,$B$5:$C$842,2,FALSE))</f>
        <v>0</v>
      </c>
      <c r="H40" s="4">
        <f ca="1">IF(F40&lt;PREMISSAS!$D$7,0,IFERROR(VLOOKUP(IF(LEFT(F40,2)="13",DATE(YEAR(F39),12,31),F40),IPCA!$A:$D,4,FALSE),1)*G40)</f>
        <v>0</v>
      </c>
      <c r="J40" s="21">
        <f t="shared" ca="1" si="0"/>
        <v>38625</v>
      </c>
      <c r="K40" s="4">
        <f t="shared" ca="1" si="1"/>
        <v>0</v>
      </c>
      <c r="M40" s="21">
        <f t="shared" ca="1" si="7"/>
        <v>38625</v>
      </c>
      <c r="N40" s="37">
        <f t="shared" ca="1" si="2"/>
        <v>0</v>
      </c>
      <c r="O40" s="4">
        <f ca="1">IFERROR(AVERAGEIF(N$5:$N40,"&gt;="&amp;_xlfn.PERCENTILE.EXC(N$5:$N40,0.2)),0)</f>
        <v>0</v>
      </c>
      <c r="Q40" s="21">
        <f t="shared" ca="1" si="8"/>
        <v>38625</v>
      </c>
      <c r="R40" s="37">
        <f t="shared" ca="1" si="3"/>
        <v>0</v>
      </c>
      <c r="S40" s="4">
        <f ca="1">IFERROR(AVERAGE($R$5:R40),0)</f>
        <v>0</v>
      </c>
      <c r="U40" s="21">
        <f t="shared" ca="1" si="4"/>
        <v>38625</v>
      </c>
      <c r="V40" s="4">
        <f ca="1">MIN(S40,PREMISSAS!$C$14)</f>
        <v>0</v>
      </c>
      <c r="W40" s="188"/>
      <c r="X40" s="188"/>
    </row>
    <row r="41" spans="2:24" x14ac:dyDescent="0.3">
      <c r="B41" s="21">
        <f t="shared" ca="1" si="5"/>
        <v>45900</v>
      </c>
      <c r="C41" s="22">
        <f ca="1">IF(B41="","",IF(LEFT(B41,2)="13",C40,IF(MONTH(B41)=1,C40*(1+PREMISSAS!$C$58),C40)))</f>
        <v>0</v>
      </c>
      <c r="E41" s="18">
        <v>37</v>
      </c>
      <c r="F41" s="21">
        <f t="shared" ca="1" si="6"/>
        <v>38656</v>
      </c>
      <c r="G41" s="22">
        <f ca="1">IFERROR(VLOOKUP(F41,RESULTADOS!$O$5:$P$543,2,FALSE),VLOOKUP(F41,$B$5:$C$842,2,FALSE))</f>
        <v>0</v>
      </c>
      <c r="H41" s="4">
        <f ca="1">IF(F41&lt;PREMISSAS!$D$7,0,IFERROR(VLOOKUP(IF(LEFT(F41,2)="13",DATE(YEAR(F40),12,31),F41),IPCA!$A:$D,4,FALSE),1)*G41)</f>
        <v>0</v>
      </c>
      <c r="J41" s="21">
        <f t="shared" ca="1" si="0"/>
        <v>38656</v>
      </c>
      <c r="K41" s="4">
        <f t="shared" ca="1" si="1"/>
        <v>0</v>
      </c>
      <c r="M41" s="21">
        <f t="shared" ca="1" si="7"/>
        <v>38656</v>
      </c>
      <c r="N41" s="37">
        <f t="shared" ca="1" si="2"/>
        <v>0</v>
      </c>
      <c r="O41" s="4">
        <f ca="1">IFERROR(AVERAGEIF(N$5:$N41,"&gt;="&amp;_xlfn.PERCENTILE.EXC(N$5:$N41,0.2)),0)</f>
        <v>0</v>
      </c>
      <c r="Q41" s="21">
        <f t="shared" ca="1" si="8"/>
        <v>38656</v>
      </c>
      <c r="R41" s="37">
        <f t="shared" ca="1" si="3"/>
        <v>0</v>
      </c>
      <c r="S41" s="4">
        <f ca="1">IFERROR(AVERAGE($R$5:R41),0)</f>
        <v>0</v>
      </c>
      <c r="U41" s="21">
        <f t="shared" ca="1" si="4"/>
        <v>38656</v>
      </c>
      <c r="V41" s="4">
        <f ca="1">MIN(S41,PREMISSAS!$C$14)</f>
        <v>0</v>
      </c>
      <c r="W41" s="188"/>
      <c r="X41" s="188"/>
    </row>
    <row r="42" spans="2:24" x14ac:dyDescent="0.3">
      <c r="B42" s="21">
        <f t="shared" ca="1" si="5"/>
        <v>45930</v>
      </c>
      <c r="C42" s="22">
        <f ca="1">IF(B42="","",IF(LEFT(B42,2)="13",C41,IF(MONTH(B42)=1,C41*(1+PREMISSAS!$C$58),C41)))</f>
        <v>0</v>
      </c>
      <c r="E42" s="18">
        <v>38</v>
      </c>
      <c r="F42" s="21">
        <f t="shared" ca="1" si="6"/>
        <v>38686</v>
      </c>
      <c r="G42" s="22">
        <f ca="1">IFERROR(VLOOKUP(F42,RESULTADOS!$O$5:$P$543,2,FALSE),VLOOKUP(F42,$B$5:$C$842,2,FALSE))</f>
        <v>0</v>
      </c>
      <c r="H42" s="4">
        <f ca="1">IF(F42&lt;PREMISSAS!$D$7,0,IFERROR(VLOOKUP(IF(LEFT(F42,2)="13",DATE(YEAR(F41),12,31),F42),IPCA!$A:$D,4,FALSE),1)*G42)</f>
        <v>0</v>
      </c>
      <c r="J42" s="21">
        <f t="shared" ca="1" si="0"/>
        <v>38686</v>
      </c>
      <c r="K42" s="4">
        <f t="shared" ca="1" si="1"/>
        <v>0</v>
      </c>
      <c r="M42" s="21">
        <f t="shared" ca="1" si="7"/>
        <v>38686</v>
      </c>
      <c r="N42" s="37">
        <f t="shared" ca="1" si="2"/>
        <v>0</v>
      </c>
      <c r="O42" s="4">
        <f ca="1">IFERROR(AVERAGEIF(N$5:$N42,"&gt;="&amp;_xlfn.PERCENTILE.EXC(N$5:$N42,0.2)),0)</f>
        <v>0</v>
      </c>
      <c r="Q42" s="21">
        <f t="shared" ca="1" si="8"/>
        <v>38686</v>
      </c>
      <c r="R42" s="37">
        <f t="shared" ca="1" si="3"/>
        <v>0</v>
      </c>
      <c r="S42" s="4">
        <f ca="1">IFERROR(AVERAGE($R$5:R42),0)</f>
        <v>0</v>
      </c>
      <c r="U42" s="21">
        <f t="shared" ca="1" si="4"/>
        <v>38686</v>
      </c>
      <c r="V42" s="4">
        <f ca="1">MIN(S42,PREMISSAS!$C$14)</f>
        <v>0</v>
      </c>
      <c r="W42" s="188"/>
      <c r="X42" s="188"/>
    </row>
    <row r="43" spans="2:24" x14ac:dyDescent="0.3">
      <c r="B43" s="21">
        <f t="shared" ca="1" si="5"/>
        <v>45961</v>
      </c>
      <c r="C43" s="22">
        <f ca="1">IF(B43="","",IF(LEFT(B43,2)="13",C42,IF(MONTH(B43)=1,C42*(1+PREMISSAS!$C$58),C42)))</f>
        <v>0</v>
      </c>
      <c r="E43" s="18">
        <v>39</v>
      </c>
      <c r="F43" s="21" t="str">
        <f t="shared" ca="1" si="6"/>
        <v>13º 2005</v>
      </c>
      <c r="G43" s="22">
        <f ca="1">IFERROR(VLOOKUP(F43,RESULTADOS!$O$5:$P$543,2,FALSE),VLOOKUP(F43,$B$5:$C$842,2,FALSE))</f>
        <v>0</v>
      </c>
      <c r="H43" s="4">
        <f ca="1">IF(F43&lt;PREMISSAS!$D$7,0,IFERROR(VLOOKUP(IF(LEFT(F43,2)="13",DATE(YEAR(F42),12,31),F43),IPCA!$A:$D,4,FALSE),1)*G43)</f>
        <v>0</v>
      </c>
      <c r="J43" s="21" t="str">
        <f t="shared" ca="1" si="0"/>
        <v>13º 2005</v>
      </c>
      <c r="K43" s="4">
        <f t="shared" ca="1" si="1"/>
        <v>0</v>
      </c>
      <c r="M43" s="21" t="str">
        <f t="shared" ca="1" si="7"/>
        <v>13º 2005</v>
      </c>
      <c r="N43" s="37">
        <f t="shared" ca="1" si="2"/>
        <v>0</v>
      </c>
      <c r="O43" s="4">
        <f ca="1">IFERROR(AVERAGEIF(N$5:$N43,"&gt;="&amp;_xlfn.PERCENTILE.EXC(N$5:$N43,0.2)),0)</f>
        <v>0</v>
      </c>
      <c r="Q43" s="21" t="str">
        <f t="shared" ca="1" si="8"/>
        <v>13º 2005</v>
      </c>
      <c r="R43" s="37">
        <f t="shared" ca="1" si="3"/>
        <v>0</v>
      </c>
      <c r="S43" s="4">
        <f ca="1">IFERROR(AVERAGE($R$5:R43),0)</f>
        <v>0</v>
      </c>
      <c r="U43" s="21" t="str">
        <f t="shared" ca="1" si="4"/>
        <v>13º 2005</v>
      </c>
      <c r="V43" s="4">
        <f ca="1">MIN(S43,PREMISSAS!$C$14)</f>
        <v>0</v>
      </c>
      <c r="W43" s="188"/>
      <c r="X43" s="188"/>
    </row>
    <row r="44" spans="2:24" x14ac:dyDescent="0.3">
      <c r="B44" s="21">
        <f t="shared" ca="1" si="5"/>
        <v>45991</v>
      </c>
      <c r="C44" s="22">
        <f ca="1">IF(B44="","",IF(LEFT(B44,2)="13",C43,IF(MONTH(B44)=1,C43*(1+PREMISSAS!$C$58),C43)))</f>
        <v>0</v>
      </c>
      <c r="E44" s="18">
        <v>40</v>
      </c>
      <c r="F44" s="21">
        <f t="shared" ca="1" si="6"/>
        <v>38717</v>
      </c>
      <c r="G44" s="22">
        <f ca="1">IFERROR(VLOOKUP(F44,RESULTADOS!$O$5:$P$543,2,FALSE),VLOOKUP(F44,$B$5:$C$842,2,FALSE))</f>
        <v>0</v>
      </c>
      <c r="H44" s="4">
        <f ca="1">IF(F44&lt;PREMISSAS!$D$7,0,IFERROR(VLOOKUP(IF(LEFT(F44,2)="13",DATE(YEAR(F43),12,31),F44),IPCA!$A:$D,4,FALSE),1)*G44)</f>
        <v>0</v>
      </c>
      <c r="J44" s="21">
        <f t="shared" ca="1" si="0"/>
        <v>38717</v>
      </c>
      <c r="K44" s="4">
        <f t="shared" ca="1" si="1"/>
        <v>0</v>
      </c>
      <c r="M44" s="21">
        <f t="shared" ca="1" si="7"/>
        <v>38717</v>
      </c>
      <c r="N44" s="37">
        <f t="shared" ca="1" si="2"/>
        <v>0</v>
      </c>
      <c r="O44" s="4">
        <f ca="1">IFERROR(AVERAGEIF(N$5:$N44,"&gt;="&amp;_xlfn.PERCENTILE.EXC(N$5:$N44,0.2)),0)</f>
        <v>0</v>
      </c>
      <c r="Q44" s="21">
        <f t="shared" ca="1" si="8"/>
        <v>38717</v>
      </c>
      <c r="R44" s="37">
        <f t="shared" ca="1" si="3"/>
        <v>0</v>
      </c>
      <c r="S44" s="4">
        <f ca="1">IFERROR(AVERAGE($R$5:R44),0)</f>
        <v>0</v>
      </c>
      <c r="U44" s="21">
        <f t="shared" ca="1" si="4"/>
        <v>38717</v>
      </c>
      <c r="V44" s="4">
        <f ca="1">MIN(S44,PREMISSAS!$C$14)</f>
        <v>0</v>
      </c>
      <c r="W44" s="188"/>
      <c r="X44" s="188"/>
    </row>
    <row r="45" spans="2:24" x14ac:dyDescent="0.3">
      <c r="B45" s="21" t="str">
        <f t="shared" ca="1" si="5"/>
        <v>13º 2025</v>
      </c>
      <c r="C45" s="22">
        <f ca="1">IF(B45="","",IF(LEFT(B45,2)="13",C44,IF(MONTH(B45)=1,C44*(1+PREMISSAS!$C$58),C44)))</f>
        <v>0</v>
      </c>
      <c r="E45" s="18">
        <v>41</v>
      </c>
      <c r="F45" s="21">
        <f t="shared" ca="1" si="6"/>
        <v>38748</v>
      </c>
      <c r="G45" s="22">
        <f ca="1">IFERROR(VLOOKUP(F45,RESULTADOS!$O$5:$P$543,2,FALSE),VLOOKUP(F45,$B$5:$C$842,2,FALSE))</f>
        <v>0</v>
      </c>
      <c r="H45" s="4">
        <f ca="1">IF(F45&lt;PREMISSAS!$D$7,0,IFERROR(VLOOKUP(IF(LEFT(F45,2)="13",DATE(YEAR(F44),12,31),F45),IPCA!$A:$D,4,FALSE),1)*G45)</f>
        <v>0</v>
      </c>
      <c r="J45" s="21">
        <f t="shared" ca="1" si="0"/>
        <v>38748</v>
      </c>
      <c r="K45" s="4">
        <f t="shared" ca="1" si="1"/>
        <v>0</v>
      </c>
      <c r="M45" s="21">
        <f t="shared" ca="1" si="7"/>
        <v>38748</v>
      </c>
      <c r="N45" s="37">
        <f t="shared" ca="1" si="2"/>
        <v>0</v>
      </c>
      <c r="O45" s="4">
        <f ca="1">IFERROR(AVERAGEIF(N$5:$N45,"&gt;="&amp;_xlfn.PERCENTILE.EXC(N$5:$N45,0.2)),0)</f>
        <v>0</v>
      </c>
      <c r="Q45" s="21">
        <f t="shared" ca="1" si="8"/>
        <v>38748</v>
      </c>
      <c r="R45" s="37">
        <f t="shared" ca="1" si="3"/>
        <v>0</v>
      </c>
      <c r="S45" s="4">
        <f ca="1">IFERROR(AVERAGE($R$5:R45),0)</f>
        <v>0</v>
      </c>
      <c r="U45" s="21">
        <f t="shared" ca="1" si="4"/>
        <v>38748</v>
      </c>
      <c r="V45" s="4">
        <f ca="1">MIN(S45,PREMISSAS!$C$14)</f>
        <v>0</v>
      </c>
      <c r="W45" s="188"/>
      <c r="X45" s="188"/>
    </row>
    <row r="46" spans="2:24" x14ac:dyDescent="0.3">
      <c r="B46" s="21">
        <f t="shared" ca="1" si="5"/>
        <v>46022</v>
      </c>
      <c r="C46" s="22">
        <f ca="1">IF(B46="","",IF(LEFT(B46,2)="13",C45,IF(MONTH(B46)=1,C45*(1+PREMISSAS!$C$58),C45)))</f>
        <v>0</v>
      </c>
      <c r="E46" s="18">
        <v>42</v>
      </c>
      <c r="F46" s="21">
        <f t="shared" ca="1" si="6"/>
        <v>38776</v>
      </c>
      <c r="G46" s="22">
        <f ca="1">IFERROR(VLOOKUP(F46,RESULTADOS!$O$5:$P$543,2,FALSE),VLOOKUP(F46,$B$5:$C$842,2,FALSE))</f>
        <v>0</v>
      </c>
      <c r="H46" s="4">
        <f ca="1">IF(F46&lt;PREMISSAS!$D$7,0,IFERROR(VLOOKUP(IF(LEFT(F46,2)="13",DATE(YEAR(F45),12,31),F46),IPCA!$A:$D,4,FALSE),1)*G46)</f>
        <v>0</v>
      </c>
      <c r="J46" s="21">
        <f t="shared" ca="1" si="0"/>
        <v>38776</v>
      </c>
      <c r="K46" s="4">
        <f t="shared" ca="1" si="1"/>
        <v>0</v>
      </c>
      <c r="M46" s="21">
        <f t="shared" ca="1" si="7"/>
        <v>38776</v>
      </c>
      <c r="N46" s="37">
        <f t="shared" ca="1" si="2"/>
        <v>0</v>
      </c>
      <c r="O46" s="4">
        <f ca="1">IFERROR(AVERAGEIF(N$5:$N46,"&gt;="&amp;_xlfn.PERCENTILE.EXC(N$5:$N46,0.2)),0)</f>
        <v>0</v>
      </c>
      <c r="Q46" s="21">
        <f t="shared" ca="1" si="8"/>
        <v>38776</v>
      </c>
      <c r="R46" s="37">
        <f t="shared" ca="1" si="3"/>
        <v>0</v>
      </c>
      <c r="S46" s="4">
        <f ca="1">IFERROR(AVERAGE($R$5:R46),0)</f>
        <v>0</v>
      </c>
      <c r="U46" s="21">
        <f t="shared" ca="1" si="4"/>
        <v>38776</v>
      </c>
      <c r="V46" s="4">
        <f ca="1">MIN(S46,PREMISSAS!$C$14)</f>
        <v>0</v>
      </c>
      <c r="W46" s="188"/>
      <c r="X46" s="188"/>
    </row>
    <row r="47" spans="2:24" x14ac:dyDescent="0.3">
      <c r="B47" s="21">
        <f t="shared" ca="1" si="5"/>
        <v>46053</v>
      </c>
      <c r="C47" s="22">
        <f ca="1">IF(B47="","",IF(LEFT(B47,2)="13",C46,IF(MONTH(B47)=1,C46*(1+PREMISSAS!$C$58),C46)))</f>
        <v>0</v>
      </c>
      <c r="E47" s="18">
        <v>43</v>
      </c>
      <c r="F47" s="21">
        <f t="shared" ca="1" si="6"/>
        <v>38807</v>
      </c>
      <c r="G47" s="22">
        <f ca="1">IFERROR(VLOOKUP(F47,RESULTADOS!$O$5:$P$543,2,FALSE),VLOOKUP(F47,$B$5:$C$842,2,FALSE))</f>
        <v>0</v>
      </c>
      <c r="H47" s="4">
        <f ca="1">IF(F47&lt;PREMISSAS!$D$7,0,IFERROR(VLOOKUP(IF(LEFT(F47,2)="13",DATE(YEAR(F46),12,31),F47),IPCA!$A:$D,4,FALSE),1)*G47)</f>
        <v>0</v>
      </c>
      <c r="J47" s="21">
        <f t="shared" ca="1" si="0"/>
        <v>38807</v>
      </c>
      <c r="K47" s="4">
        <f t="shared" ca="1" si="1"/>
        <v>0</v>
      </c>
      <c r="M47" s="21">
        <f t="shared" ca="1" si="7"/>
        <v>38807</v>
      </c>
      <c r="N47" s="37">
        <f t="shared" ca="1" si="2"/>
        <v>0</v>
      </c>
      <c r="O47" s="4">
        <f ca="1">IFERROR(AVERAGEIF(N$5:$N47,"&gt;="&amp;_xlfn.PERCENTILE.EXC(N$5:$N47,0.2)),0)</f>
        <v>0</v>
      </c>
      <c r="Q47" s="21">
        <f t="shared" ca="1" si="8"/>
        <v>38807</v>
      </c>
      <c r="R47" s="37">
        <f t="shared" ca="1" si="3"/>
        <v>0</v>
      </c>
      <c r="S47" s="4">
        <f ca="1">IFERROR(AVERAGE($R$5:R47),0)</f>
        <v>0</v>
      </c>
      <c r="U47" s="21">
        <f t="shared" ca="1" si="4"/>
        <v>38807</v>
      </c>
      <c r="V47" s="4">
        <f ca="1">MIN(S47,PREMISSAS!$C$14)</f>
        <v>0</v>
      </c>
      <c r="W47" s="188"/>
      <c r="X47" s="188"/>
    </row>
    <row r="48" spans="2:24" x14ac:dyDescent="0.3">
      <c r="B48" s="21">
        <f t="shared" ca="1" si="5"/>
        <v>46081</v>
      </c>
      <c r="C48" s="22">
        <f ca="1">IF(B48="","",IF(LEFT(B48,2)="13",C47,IF(MONTH(B48)=1,C47*(1+PREMISSAS!$C$58),C47)))</f>
        <v>0</v>
      </c>
      <c r="E48" s="18">
        <v>44</v>
      </c>
      <c r="F48" s="21">
        <f t="shared" ca="1" si="6"/>
        <v>38837</v>
      </c>
      <c r="G48" s="22">
        <f ca="1">IFERROR(VLOOKUP(F48,RESULTADOS!$O$5:$P$543,2,FALSE),VLOOKUP(F48,$B$5:$C$842,2,FALSE))</f>
        <v>0</v>
      </c>
      <c r="H48" s="4">
        <f ca="1">IF(F48&lt;PREMISSAS!$D$7,0,IFERROR(VLOOKUP(IF(LEFT(F48,2)="13",DATE(YEAR(F47),12,31),F48),IPCA!$A:$D,4,FALSE),1)*G48)</f>
        <v>0</v>
      </c>
      <c r="J48" s="21">
        <f t="shared" ca="1" si="0"/>
        <v>38837</v>
      </c>
      <c r="K48" s="4">
        <f t="shared" ca="1" si="1"/>
        <v>0</v>
      </c>
      <c r="M48" s="21">
        <f t="shared" ca="1" si="7"/>
        <v>38837</v>
      </c>
      <c r="N48" s="37">
        <f t="shared" ca="1" si="2"/>
        <v>0</v>
      </c>
      <c r="O48" s="4">
        <f ca="1">IFERROR(AVERAGEIF(N$5:$N48,"&gt;="&amp;_xlfn.PERCENTILE.EXC(N$5:$N48,0.2)),0)</f>
        <v>0</v>
      </c>
      <c r="Q48" s="21">
        <f t="shared" ca="1" si="8"/>
        <v>38837</v>
      </c>
      <c r="R48" s="37">
        <f t="shared" ca="1" si="3"/>
        <v>0</v>
      </c>
      <c r="S48" s="4">
        <f ca="1">IFERROR(AVERAGE($R$5:R48),0)</f>
        <v>0</v>
      </c>
      <c r="U48" s="21">
        <f t="shared" ca="1" si="4"/>
        <v>38837</v>
      </c>
      <c r="V48" s="4">
        <f ca="1">MIN(S48,PREMISSAS!$C$14)</f>
        <v>0</v>
      </c>
      <c r="W48" s="188"/>
      <c r="X48" s="188"/>
    </row>
    <row r="49" spans="2:24" x14ac:dyDescent="0.3">
      <c r="B49" s="21">
        <f t="shared" ca="1" si="5"/>
        <v>46112</v>
      </c>
      <c r="C49" s="22">
        <f ca="1">IF(B49="","",IF(LEFT(B49,2)="13",C48,IF(MONTH(B49)=1,C48*(1+PREMISSAS!$C$58),C48)))</f>
        <v>0</v>
      </c>
      <c r="E49" s="18">
        <v>45</v>
      </c>
      <c r="F49" s="21">
        <f t="shared" ca="1" si="6"/>
        <v>38868</v>
      </c>
      <c r="G49" s="22">
        <f ca="1">IFERROR(VLOOKUP(F49,RESULTADOS!$O$5:$P$543,2,FALSE),VLOOKUP(F49,$B$5:$C$842,2,FALSE))</f>
        <v>0</v>
      </c>
      <c r="H49" s="4">
        <f ca="1">IF(F49&lt;PREMISSAS!$D$7,0,IFERROR(VLOOKUP(IF(LEFT(F49,2)="13",DATE(YEAR(F48),12,31),F49),IPCA!$A:$D,4,FALSE),1)*G49)</f>
        <v>0</v>
      </c>
      <c r="J49" s="21">
        <f t="shared" ca="1" si="0"/>
        <v>38868</v>
      </c>
      <c r="K49" s="4">
        <f t="shared" ca="1" si="1"/>
        <v>0</v>
      </c>
      <c r="M49" s="21">
        <f t="shared" ca="1" si="7"/>
        <v>38868</v>
      </c>
      <c r="N49" s="37">
        <f t="shared" ca="1" si="2"/>
        <v>0</v>
      </c>
      <c r="O49" s="4">
        <f ca="1">IFERROR(AVERAGEIF(N$5:$N49,"&gt;="&amp;_xlfn.PERCENTILE.EXC(N$5:$N49,0.2)),0)</f>
        <v>0</v>
      </c>
      <c r="Q49" s="21">
        <f t="shared" ca="1" si="8"/>
        <v>38868</v>
      </c>
      <c r="R49" s="37">
        <f t="shared" ca="1" si="3"/>
        <v>0</v>
      </c>
      <c r="S49" s="4">
        <f ca="1">IFERROR(AVERAGE($R$5:R49),0)</f>
        <v>0</v>
      </c>
      <c r="U49" s="21">
        <f t="shared" ca="1" si="4"/>
        <v>38868</v>
      </c>
      <c r="V49" s="4">
        <f ca="1">MIN(S49,PREMISSAS!$C$14)</f>
        <v>0</v>
      </c>
      <c r="W49" s="188"/>
      <c r="X49" s="188"/>
    </row>
    <row r="50" spans="2:24" x14ac:dyDescent="0.3">
      <c r="B50" s="21">
        <f t="shared" ca="1" si="5"/>
        <v>46142</v>
      </c>
      <c r="C50" s="22">
        <f ca="1">IF(B50="","",IF(LEFT(B50,2)="13",C49,IF(MONTH(B50)=1,C49*(1+PREMISSAS!$C$58),C49)))</f>
        <v>0</v>
      </c>
      <c r="E50" s="18">
        <v>46</v>
      </c>
      <c r="F50" s="21">
        <f t="shared" ca="1" si="6"/>
        <v>38898</v>
      </c>
      <c r="G50" s="22">
        <f ca="1">IFERROR(VLOOKUP(F50,RESULTADOS!$O$5:$P$543,2,FALSE),VLOOKUP(F50,$B$5:$C$842,2,FALSE))</f>
        <v>0</v>
      </c>
      <c r="H50" s="4">
        <f ca="1">IF(F50&lt;PREMISSAS!$D$7,0,IFERROR(VLOOKUP(IF(LEFT(F50,2)="13",DATE(YEAR(F49),12,31),F50),IPCA!$A:$D,4,FALSE),1)*G50)</f>
        <v>0</v>
      </c>
      <c r="J50" s="21">
        <f t="shared" ca="1" si="0"/>
        <v>38898</v>
      </c>
      <c r="K50" s="4">
        <f t="shared" ca="1" si="1"/>
        <v>0</v>
      </c>
      <c r="M50" s="21">
        <f t="shared" ca="1" si="7"/>
        <v>38898</v>
      </c>
      <c r="N50" s="37">
        <f t="shared" ca="1" si="2"/>
        <v>0</v>
      </c>
      <c r="O50" s="4">
        <f ca="1">IFERROR(AVERAGEIF(N$5:$N50,"&gt;="&amp;_xlfn.PERCENTILE.EXC(N$5:$N50,0.2)),0)</f>
        <v>0</v>
      </c>
      <c r="Q50" s="21">
        <f t="shared" ca="1" si="8"/>
        <v>38898</v>
      </c>
      <c r="R50" s="37">
        <f t="shared" ca="1" si="3"/>
        <v>0</v>
      </c>
      <c r="S50" s="4">
        <f ca="1">IFERROR(AVERAGE($R$5:R50),0)</f>
        <v>0</v>
      </c>
      <c r="U50" s="21">
        <f t="shared" ca="1" si="4"/>
        <v>38898</v>
      </c>
      <c r="V50" s="4">
        <f ca="1">MIN(S50,PREMISSAS!$C$14)</f>
        <v>0</v>
      </c>
      <c r="W50" s="188"/>
      <c r="X50" s="188"/>
    </row>
    <row r="51" spans="2:24" x14ac:dyDescent="0.3">
      <c r="B51" s="21">
        <f t="shared" ca="1" si="5"/>
        <v>46173</v>
      </c>
      <c r="C51" s="22">
        <f ca="1">IF(B51="","",IF(LEFT(B51,2)="13",C50,IF(MONTH(B51)=1,C50*(1+PREMISSAS!$C$58),C50)))</f>
        <v>0</v>
      </c>
      <c r="E51" s="18">
        <v>47</v>
      </c>
      <c r="F51" s="21">
        <f t="shared" ca="1" si="6"/>
        <v>38929</v>
      </c>
      <c r="G51" s="22">
        <f ca="1">IFERROR(VLOOKUP(F51,RESULTADOS!$O$5:$P$543,2,FALSE),VLOOKUP(F51,$B$5:$C$842,2,FALSE))</f>
        <v>0</v>
      </c>
      <c r="H51" s="4">
        <f ca="1">IF(F51&lt;PREMISSAS!$D$7,0,IFERROR(VLOOKUP(IF(LEFT(F51,2)="13",DATE(YEAR(F50),12,31),F51),IPCA!$A:$D,4,FALSE),1)*G51)</f>
        <v>0</v>
      </c>
      <c r="J51" s="21">
        <f t="shared" ca="1" si="0"/>
        <v>38929</v>
      </c>
      <c r="K51" s="4">
        <f t="shared" ca="1" si="1"/>
        <v>0</v>
      </c>
      <c r="M51" s="21">
        <f t="shared" ca="1" si="7"/>
        <v>38929</v>
      </c>
      <c r="N51" s="37">
        <f t="shared" ca="1" si="2"/>
        <v>0</v>
      </c>
      <c r="O51" s="4">
        <f ca="1">IFERROR(AVERAGEIF(N$5:$N51,"&gt;="&amp;_xlfn.PERCENTILE.EXC(N$5:$N51,0.2)),0)</f>
        <v>0</v>
      </c>
      <c r="Q51" s="21">
        <f t="shared" ca="1" si="8"/>
        <v>38929</v>
      </c>
      <c r="R51" s="37">
        <f t="shared" ca="1" si="3"/>
        <v>0</v>
      </c>
      <c r="S51" s="4">
        <f ca="1">IFERROR(AVERAGE($R$5:R51),0)</f>
        <v>0</v>
      </c>
      <c r="U51" s="21">
        <f t="shared" ca="1" si="4"/>
        <v>38929</v>
      </c>
      <c r="V51" s="4">
        <f ca="1">MIN(S51,PREMISSAS!$C$14)</f>
        <v>0</v>
      </c>
      <c r="W51" s="188"/>
      <c r="X51" s="188"/>
    </row>
    <row r="52" spans="2:24" x14ac:dyDescent="0.3">
      <c r="B52" s="21">
        <f t="shared" ca="1" si="5"/>
        <v>46203</v>
      </c>
      <c r="C52" s="22">
        <f ca="1">IF(B52="","",IF(LEFT(B52,2)="13",C51,IF(MONTH(B52)=1,C51*(1+PREMISSAS!$C$58),C51)))</f>
        <v>0</v>
      </c>
      <c r="E52" s="18">
        <v>48</v>
      </c>
      <c r="F52" s="21">
        <f t="shared" ca="1" si="6"/>
        <v>38960</v>
      </c>
      <c r="G52" s="22">
        <f ca="1">IFERROR(VLOOKUP(F52,RESULTADOS!$O$5:$P$543,2,FALSE),VLOOKUP(F52,$B$5:$C$842,2,FALSE))</f>
        <v>0</v>
      </c>
      <c r="H52" s="4">
        <f ca="1">IF(F52&lt;PREMISSAS!$D$7,0,IFERROR(VLOOKUP(IF(LEFT(F52,2)="13",DATE(YEAR(F51),12,31),F52),IPCA!$A:$D,4,FALSE),1)*G52)</f>
        <v>0</v>
      </c>
      <c r="J52" s="21">
        <f t="shared" ca="1" si="0"/>
        <v>38960</v>
      </c>
      <c r="K52" s="4">
        <f t="shared" ca="1" si="1"/>
        <v>0</v>
      </c>
      <c r="M52" s="21">
        <f t="shared" ca="1" si="7"/>
        <v>38960</v>
      </c>
      <c r="N52" s="37">
        <f t="shared" ca="1" si="2"/>
        <v>0</v>
      </c>
      <c r="O52" s="4">
        <f ca="1">IFERROR(AVERAGEIF(N$5:$N52,"&gt;="&amp;_xlfn.PERCENTILE.EXC(N$5:$N52,0.2)),0)</f>
        <v>0</v>
      </c>
      <c r="Q52" s="21">
        <f t="shared" ca="1" si="8"/>
        <v>38960</v>
      </c>
      <c r="R52" s="37">
        <f t="shared" ca="1" si="3"/>
        <v>0</v>
      </c>
      <c r="S52" s="4">
        <f ca="1">IFERROR(AVERAGE($R$5:R52),0)</f>
        <v>0</v>
      </c>
      <c r="U52" s="21">
        <f t="shared" ca="1" si="4"/>
        <v>38960</v>
      </c>
      <c r="V52" s="4">
        <f ca="1">MIN(S52,PREMISSAS!$C$14)</f>
        <v>0</v>
      </c>
      <c r="W52" s="188"/>
      <c r="X52" s="188"/>
    </row>
    <row r="53" spans="2:24" x14ac:dyDescent="0.3">
      <c r="B53" s="21">
        <f t="shared" ca="1" si="5"/>
        <v>46234</v>
      </c>
      <c r="C53" s="22">
        <f ca="1">IF(B53="","",IF(LEFT(B53,2)="13",C52,IF(MONTH(B53)=1,C52*(1+PREMISSAS!$C$58),C52)))</f>
        <v>0</v>
      </c>
      <c r="E53" s="18">
        <v>49</v>
      </c>
      <c r="F53" s="21">
        <f t="shared" ca="1" si="6"/>
        <v>38990</v>
      </c>
      <c r="G53" s="22">
        <f ca="1">IFERROR(VLOOKUP(F53,RESULTADOS!$O$5:$P$543,2,FALSE),VLOOKUP(F53,$B$5:$C$842,2,FALSE))</f>
        <v>0</v>
      </c>
      <c r="H53" s="4">
        <f ca="1">IF(F53&lt;PREMISSAS!$D$7,0,IFERROR(VLOOKUP(IF(LEFT(F53,2)="13",DATE(YEAR(F52),12,31),F53),IPCA!$A:$D,4,FALSE),1)*G53)</f>
        <v>0</v>
      </c>
      <c r="J53" s="21">
        <f t="shared" ca="1" si="0"/>
        <v>38990</v>
      </c>
      <c r="K53" s="4">
        <f t="shared" ca="1" si="1"/>
        <v>0</v>
      </c>
      <c r="M53" s="21">
        <f t="shared" ca="1" si="7"/>
        <v>38990</v>
      </c>
      <c r="N53" s="37">
        <f t="shared" ca="1" si="2"/>
        <v>0</v>
      </c>
      <c r="O53" s="4">
        <f ca="1">IFERROR(AVERAGEIF(N$5:$N53,"&gt;="&amp;_xlfn.PERCENTILE.EXC(N$5:$N53,0.2)),0)</f>
        <v>0</v>
      </c>
      <c r="Q53" s="21">
        <f t="shared" ca="1" si="8"/>
        <v>38990</v>
      </c>
      <c r="R53" s="37">
        <f t="shared" ca="1" si="3"/>
        <v>0</v>
      </c>
      <c r="S53" s="4">
        <f ca="1">IFERROR(AVERAGE($R$5:R53),0)</f>
        <v>0</v>
      </c>
      <c r="U53" s="21">
        <f t="shared" ca="1" si="4"/>
        <v>38990</v>
      </c>
      <c r="V53" s="4">
        <f ca="1">MIN(S53,PREMISSAS!$C$14)</f>
        <v>0</v>
      </c>
      <c r="W53" s="188"/>
      <c r="X53" s="188"/>
    </row>
    <row r="54" spans="2:24" x14ac:dyDescent="0.3">
      <c r="B54" s="21">
        <f t="shared" ca="1" si="5"/>
        <v>46265</v>
      </c>
      <c r="C54" s="22">
        <f ca="1">IF(B54="","",IF(LEFT(B54,2)="13",C53,IF(MONTH(B54)=1,C53*(1+PREMISSAS!$C$58),C53)))</f>
        <v>0</v>
      </c>
      <c r="E54" s="18">
        <v>50</v>
      </c>
      <c r="F54" s="21">
        <f t="shared" ca="1" si="6"/>
        <v>39021</v>
      </c>
      <c r="G54" s="22">
        <f ca="1">IFERROR(VLOOKUP(F54,RESULTADOS!$O$5:$P$543,2,FALSE),VLOOKUP(F54,$B$5:$C$842,2,FALSE))</f>
        <v>0</v>
      </c>
      <c r="H54" s="4">
        <f ca="1">IF(F54&lt;PREMISSAS!$D$7,0,IFERROR(VLOOKUP(IF(LEFT(F54,2)="13",DATE(YEAR(F53),12,31),F54),IPCA!$A:$D,4,FALSE),1)*G54)</f>
        <v>0</v>
      </c>
      <c r="J54" s="21">
        <f t="shared" ca="1" si="0"/>
        <v>39021</v>
      </c>
      <c r="K54" s="4">
        <f t="shared" ca="1" si="1"/>
        <v>0</v>
      </c>
      <c r="M54" s="21">
        <f t="shared" ca="1" si="7"/>
        <v>39021</v>
      </c>
      <c r="N54" s="37">
        <f t="shared" ca="1" si="2"/>
        <v>0</v>
      </c>
      <c r="O54" s="4">
        <f ca="1">IFERROR(AVERAGEIF(N$5:$N54,"&gt;="&amp;_xlfn.PERCENTILE.EXC(N$5:$N54,0.2)),0)</f>
        <v>0</v>
      </c>
      <c r="Q54" s="21">
        <f t="shared" ca="1" si="8"/>
        <v>39021</v>
      </c>
      <c r="R54" s="37">
        <f t="shared" ca="1" si="3"/>
        <v>0</v>
      </c>
      <c r="S54" s="4">
        <f ca="1">IFERROR(AVERAGE($R$5:R54),0)</f>
        <v>0</v>
      </c>
      <c r="U54" s="21">
        <f t="shared" ca="1" si="4"/>
        <v>39021</v>
      </c>
      <c r="V54" s="4">
        <f ca="1">MIN(S54,PREMISSAS!$C$14)</f>
        <v>0</v>
      </c>
      <c r="W54" s="188"/>
      <c r="X54" s="188"/>
    </row>
    <row r="55" spans="2:24" x14ac:dyDescent="0.3">
      <c r="B55" s="21">
        <f t="shared" ca="1" si="5"/>
        <v>46295</v>
      </c>
      <c r="C55" s="22">
        <f ca="1">IF(B55="","",IF(LEFT(B55,2)="13",C54,IF(MONTH(B55)=1,C54*(1+PREMISSAS!$C$58),C54)))</f>
        <v>0</v>
      </c>
      <c r="E55" s="18">
        <v>51</v>
      </c>
      <c r="F55" s="21">
        <f t="shared" ca="1" si="6"/>
        <v>39051</v>
      </c>
      <c r="G55" s="22">
        <f ca="1">IFERROR(VLOOKUP(F55,RESULTADOS!$O$5:$P$543,2,FALSE),VLOOKUP(F55,$B$5:$C$842,2,FALSE))</f>
        <v>0</v>
      </c>
      <c r="H55" s="4">
        <f ca="1">IF(F55&lt;PREMISSAS!$D$7,0,IFERROR(VLOOKUP(IF(LEFT(F55,2)="13",DATE(YEAR(F54),12,31),F55),IPCA!$A:$D,4,FALSE),1)*G55)</f>
        <v>0</v>
      </c>
      <c r="J55" s="21">
        <f t="shared" ca="1" si="0"/>
        <v>39051</v>
      </c>
      <c r="K55" s="4">
        <f t="shared" ca="1" si="1"/>
        <v>0</v>
      </c>
      <c r="M55" s="21">
        <f t="shared" ca="1" si="7"/>
        <v>39051</v>
      </c>
      <c r="N55" s="37">
        <f t="shared" ca="1" si="2"/>
        <v>0</v>
      </c>
      <c r="O55" s="4">
        <f ca="1">IFERROR(AVERAGEIF(N$5:$N55,"&gt;="&amp;_xlfn.PERCENTILE.EXC(N$5:$N55,0.2)),0)</f>
        <v>0</v>
      </c>
      <c r="Q55" s="21">
        <f t="shared" ca="1" si="8"/>
        <v>39051</v>
      </c>
      <c r="R55" s="37">
        <f t="shared" ca="1" si="3"/>
        <v>0</v>
      </c>
      <c r="S55" s="4">
        <f ca="1">IFERROR(AVERAGE($R$5:R55),0)</f>
        <v>0</v>
      </c>
      <c r="U55" s="21">
        <f t="shared" ca="1" si="4"/>
        <v>39051</v>
      </c>
      <c r="V55" s="4">
        <f ca="1">MIN(S55,PREMISSAS!$C$14)</f>
        <v>0</v>
      </c>
      <c r="W55" s="188"/>
      <c r="X55" s="188"/>
    </row>
    <row r="56" spans="2:24" x14ac:dyDescent="0.3">
      <c r="B56" s="21">
        <f t="shared" ca="1" si="5"/>
        <v>46326</v>
      </c>
      <c r="C56" s="22">
        <f ca="1">IF(B56="","",IF(LEFT(B56,2)="13",C55,IF(MONTH(B56)=1,C55*(1+PREMISSAS!$C$58),C55)))</f>
        <v>0</v>
      </c>
      <c r="E56" s="18">
        <v>52</v>
      </c>
      <c r="F56" s="21" t="str">
        <f t="shared" ca="1" si="6"/>
        <v>13º 2006</v>
      </c>
      <c r="G56" s="22">
        <f ca="1">IFERROR(VLOOKUP(F56,RESULTADOS!$O$5:$P$543,2,FALSE),VLOOKUP(F56,$B$5:$C$842,2,FALSE))</f>
        <v>0</v>
      </c>
      <c r="H56" s="4">
        <f ca="1">IF(F56&lt;PREMISSAS!$D$7,0,IFERROR(VLOOKUP(IF(LEFT(F56,2)="13",DATE(YEAR(F55),12,31),F56),IPCA!$A:$D,4,FALSE),1)*G56)</f>
        <v>0</v>
      </c>
      <c r="J56" s="21" t="str">
        <f t="shared" ca="1" si="0"/>
        <v>13º 2006</v>
      </c>
      <c r="K56" s="4">
        <f t="shared" ca="1" si="1"/>
        <v>0</v>
      </c>
      <c r="M56" s="21" t="str">
        <f t="shared" ca="1" si="7"/>
        <v>13º 2006</v>
      </c>
      <c r="N56" s="37">
        <f t="shared" ca="1" si="2"/>
        <v>0</v>
      </c>
      <c r="O56" s="4">
        <f ca="1">IFERROR(AVERAGEIF(N$5:$N56,"&gt;="&amp;_xlfn.PERCENTILE.EXC(N$5:$N56,0.2)),0)</f>
        <v>0</v>
      </c>
      <c r="Q56" s="21" t="str">
        <f t="shared" ca="1" si="8"/>
        <v>13º 2006</v>
      </c>
      <c r="R56" s="37">
        <f t="shared" ca="1" si="3"/>
        <v>0</v>
      </c>
      <c r="S56" s="4">
        <f ca="1">IFERROR(AVERAGE($R$5:R56),0)</f>
        <v>0</v>
      </c>
      <c r="U56" s="21" t="str">
        <f t="shared" ca="1" si="4"/>
        <v>13º 2006</v>
      </c>
      <c r="V56" s="4">
        <f ca="1">MIN(S56,PREMISSAS!$C$14)</f>
        <v>0</v>
      </c>
      <c r="W56" s="188"/>
      <c r="X56" s="188"/>
    </row>
    <row r="57" spans="2:24" x14ac:dyDescent="0.3">
      <c r="B57" s="21">
        <f t="shared" ca="1" si="5"/>
        <v>46356</v>
      </c>
      <c r="C57" s="22">
        <f ca="1">IF(B57="","",IF(LEFT(B57,2)="13",C56,IF(MONTH(B57)=1,C56*(1+PREMISSAS!$C$58),C56)))</f>
        <v>0</v>
      </c>
      <c r="E57" s="18">
        <v>53</v>
      </c>
      <c r="F57" s="21">
        <f t="shared" ca="1" si="6"/>
        <v>39082</v>
      </c>
      <c r="G57" s="22">
        <f ca="1">IFERROR(VLOOKUP(F57,RESULTADOS!$O$5:$P$543,2,FALSE),VLOOKUP(F57,$B$5:$C$842,2,FALSE))</f>
        <v>0</v>
      </c>
      <c r="H57" s="4">
        <f ca="1">IF(F57&lt;PREMISSAS!$D$7,0,IFERROR(VLOOKUP(IF(LEFT(F57,2)="13",DATE(YEAR(F56),12,31),F57),IPCA!$A:$D,4,FALSE),1)*G57)</f>
        <v>0</v>
      </c>
      <c r="J57" s="21">
        <f t="shared" ca="1" si="0"/>
        <v>39082</v>
      </c>
      <c r="K57" s="4">
        <f t="shared" ca="1" si="1"/>
        <v>0</v>
      </c>
      <c r="M57" s="21">
        <f t="shared" ca="1" si="7"/>
        <v>39082</v>
      </c>
      <c r="N57" s="37">
        <f t="shared" ca="1" si="2"/>
        <v>0</v>
      </c>
      <c r="O57" s="4">
        <f ca="1">IFERROR(AVERAGEIF(N$5:$N57,"&gt;="&amp;_xlfn.PERCENTILE.EXC(N$5:$N57,0.2)),0)</f>
        <v>0</v>
      </c>
      <c r="Q57" s="21">
        <f t="shared" ca="1" si="8"/>
        <v>39082</v>
      </c>
      <c r="R57" s="37">
        <f t="shared" ca="1" si="3"/>
        <v>0</v>
      </c>
      <c r="S57" s="4">
        <f ca="1">IFERROR(AVERAGE($R$5:R57),0)</f>
        <v>0</v>
      </c>
      <c r="U57" s="21">
        <f t="shared" ca="1" si="4"/>
        <v>39082</v>
      </c>
      <c r="V57" s="4">
        <f ca="1">MIN(S57,PREMISSAS!$C$14)</f>
        <v>0</v>
      </c>
      <c r="W57" s="188"/>
      <c r="X57" s="188"/>
    </row>
    <row r="58" spans="2:24" x14ac:dyDescent="0.3">
      <c r="B58" s="21" t="str">
        <f t="shared" ca="1" si="5"/>
        <v>13º 2026</v>
      </c>
      <c r="C58" s="22">
        <f ca="1">IF(B58="","",IF(LEFT(B58,2)="13",C57,IF(MONTH(B58)=1,C57*(1+PREMISSAS!$C$58),C57)))</f>
        <v>0</v>
      </c>
      <c r="E58" s="18">
        <v>54</v>
      </c>
      <c r="F58" s="21">
        <f t="shared" ca="1" si="6"/>
        <v>39113</v>
      </c>
      <c r="G58" s="22">
        <f ca="1">IFERROR(VLOOKUP(F58,RESULTADOS!$O$5:$P$543,2,FALSE),VLOOKUP(F58,$B$5:$C$842,2,FALSE))</f>
        <v>0</v>
      </c>
      <c r="H58" s="4">
        <f ca="1">IF(F58&lt;PREMISSAS!$D$7,0,IFERROR(VLOOKUP(IF(LEFT(F58,2)="13",DATE(YEAR(F57),12,31),F58),IPCA!$A:$D,4,FALSE),1)*G58)</f>
        <v>0</v>
      </c>
      <c r="J58" s="21">
        <f t="shared" ca="1" si="0"/>
        <v>39113</v>
      </c>
      <c r="K58" s="4">
        <f t="shared" ca="1" si="1"/>
        <v>0</v>
      </c>
      <c r="M58" s="21">
        <f t="shared" ca="1" si="7"/>
        <v>39113</v>
      </c>
      <c r="N58" s="37">
        <f t="shared" ca="1" si="2"/>
        <v>0</v>
      </c>
      <c r="O58" s="4">
        <f ca="1">IFERROR(AVERAGEIF(N$5:$N58,"&gt;="&amp;_xlfn.PERCENTILE.EXC(N$5:$N58,0.2)),0)</f>
        <v>0</v>
      </c>
      <c r="Q58" s="21">
        <f t="shared" ca="1" si="8"/>
        <v>39113</v>
      </c>
      <c r="R58" s="37">
        <f t="shared" ca="1" si="3"/>
        <v>0</v>
      </c>
      <c r="S58" s="4">
        <f ca="1">IFERROR(AVERAGE($R$5:R58),0)</f>
        <v>0</v>
      </c>
      <c r="U58" s="21">
        <f t="shared" ca="1" si="4"/>
        <v>39113</v>
      </c>
      <c r="V58" s="4">
        <f ca="1">MIN(S58,PREMISSAS!$C$14)</f>
        <v>0</v>
      </c>
      <c r="W58" s="188"/>
      <c r="X58" s="188"/>
    </row>
    <row r="59" spans="2:24" x14ac:dyDescent="0.3">
      <c r="B59" s="21">
        <f t="shared" ca="1" si="5"/>
        <v>46387</v>
      </c>
      <c r="C59" s="22">
        <f ca="1">IF(B59="","",IF(LEFT(B59,2)="13",C58,IF(MONTH(B59)=1,C58*(1+PREMISSAS!$C$58),C58)))</f>
        <v>0</v>
      </c>
      <c r="E59" s="18">
        <v>55</v>
      </c>
      <c r="F59" s="21">
        <f t="shared" ca="1" si="6"/>
        <v>39141</v>
      </c>
      <c r="G59" s="22">
        <f ca="1">IFERROR(VLOOKUP(F59,RESULTADOS!$O$5:$P$543,2,FALSE),VLOOKUP(F59,$B$5:$C$842,2,FALSE))</f>
        <v>0</v>
      </c>
      <c r="H59" s="4">
        <f ca="1">IF(F59&lt;PREMISSAS!$D$7,0,IFERROR(VLOOKUP(IF(LEFT(F59,2)="13",DATE(YEAR(F58),12,31),F59),IPCA!$A:$D,4,FALSE),1)*G59)</f>
        <v>0</v>
      </c>
      <c r="J59" s="21">
        <f t="shared" ca="1" si="0"/>
        <v>39141</v>
      </c>
      <c r="K59" s="4">
        <f t="shared" ca="1" si="1"/>
        <v>0</v>
      </c>
      <c r="M59" s="21">
        <f t="shared" ca="1" si="7"/>
        <v>39141</v>
      </c>
      <c r="N59" s="37">
        <f t="shared" ca="1" si="2"/>
        <v>0</v>
      </c>
      <c r="O59" s="4">
        <f ca="1">IFERROR(AVERAGEIF(N$5:$N59,"&gt;="&amp;_xlfn.PERCENTILE.EXC(N$5:$N59,0.2)),0)</f>
        <v>0</v>
      </c>
      <c r="Q59" s="21">
        <f t="shared" ca="1" si="8"/>
        <v>39141</v>
      </c>
      <c r="R59" s="37">
        <f t="shared" ca="1" si="3"/>
        <v>0</v>
      </c>
      <c r="S59" s="4">
        <f ca="1">IFERROR(AVERAGE($R$5:R59),0)</f>
        <v>0</v>
      </c>
      <c r="U59" s="21">
        <f t="shared" ca="1" si="4"/>
        <v>39141</v>
      </c>
      <c r="V59" s="4">
        <f ca="1">MIN(S59,PREMISSAS!$C$14)</f>
        <v>0</v>
      </c>
      <c r="W59" s="188"/>
      <c r="X59" s="188"/>
    </row>
    <row r="60" spans="2:24" x14ac:dyDescent="0.3">
      <c r="B60" s="21">
        <f t="shared" ca="1" si="5"/>
        <v>46418</v>
      </c>
      <c r="C60" s="22">
        <f ca="1">IF(B60="","",IF(LEFT(B60,2)="13",C59,IF(MONTH(B60)=1,C59*(1+PREMISSAS!$C$58),C59)))</f>
        <v>0</v>
      </c>
      <c r="E60" s="18">
        <v>56</v>
      </c>
      <c r="F60" s="21">
        <f t="shared" ca="1" si="6"/>
        <v>39172</v>
      </c>
      <c r="G60" s="22">
        <f ca="1">IFERROR(VLOOKUP(F60,RESULTADOS!$O$5:$P$543,2,FALSE),VLOOKUP(F60,$B$5:$C$842,2,FALSE))</f>
        <v>0</v>
      </c>
      <c r="H60" s="4">
        <f ca="1">IF(F60&lt;PREMISSAS!$D$7,0,IFERROR(VLOOKUP(IF(LEFT(F60,2)="13",DATE(YEAR(F59),12,31),F60),IPCA!$A:$D,4,FALSE),1)*G60)</f>
        <v>0</v>
      </c>
      <c r="J60" s="21">
        <f t="shared" ca="1" si="0"/>
        <v>39172</v>
      </c>
      <c r="K60" s="4">
        <f t="shared" ca="1" si="1"/>
        <v>0</v>
      </c>
      <c r="M60" s="21">
        <f t="shared" ca="1" si="7"/>
        <v>39172</v>
      </c>
      <c r="N60" s="37">
        <f t="shared" ca="1" si="2"/>
        <v>0</v>
      </c>
      <c r="O60" s="4">
        <f ca="1">IFERROR(AVERAGEIF(N$5:$N60,"&gt;="&amp;_xlfn.PERCENTILE.EXC(N$5:$N60,0.2)),0)</f>
        <v>0</v>
      </c>
      <c r="Q60" s="21">
        <f t="shared" ca="1" si="8"/>
        <v>39172</v>
      </c>
      <c r="R60" s="37">
        <f t="shared" ca="1" si="3"/>
        <v>0</v>
      </c>
      <c r="S60" s="4">
        <f ca="1">IFERROR(AVERAGE($R$5:R60),0)</f>
        <v>0</v>
      </c>
      <c r="U60" s="21">
        <f t="shared" ca="1" si="4"/>
        <v>39172</v>
      </c>
      <c r="V60" s="4">
        <f ca="1">MIN(S60,PREMISSAS!$C$14)</f>
        <v>0</v>
      </c>
      <c r="W60" s="188"/>
      <c r="X60" s="188"/>
    </row>
    <row r="61" spans="2:24" x14ac:dyDescent="0.3">
      <c r="B61" s="21">
        <f t="shared" ca="1" si="5"/>
        <v>46446</v>
      </c>
      <c r="C61" s="22">
        <f ca="1">IF(B61="","",IF(LEFT(B61,2)="13",C60,IF(MONTH(B61)=1,C60*(1+PREMISSAS!$C$58),C60)))</f>
        <v>0</v>
      </c>
      <c r="E61" s="18">
        <v>57</v>
      </c>
      <c r="F61" s="21">
        <f t="shared" ca="1" si="6"/>
        <v>39202</v>
      </c>
      <c r="G61" s="22">
        <f ca="1">IFERROR(VLOOKUP(F61,RESULTADOS!$O$5:$P$543,2,FALSE),VLOOKUP(F61,$B$5:$C$842,2,FALSE))</f>
        <v>0</v>
      </c>
      <c r="H61" s="4">
        <f ca="1">IF(F61&lt;PREMISSAS!$D$7,0,IFERROR(VLOOKUP(IF(LEFT(F61,2)="13",DATE(YEAR(F60),12,31),F61),IPCA!$A:$D,4,FALSE),1)*G61)</f>
        <v>0</v>
      </c>
      <c r="J61" s="21">
        <f t="shared" ca="1" si="0"/>
        <v>39202</v>
      </c>
      <c r="K61" s="4">
        <f t="shared" ca="1" si="1"/>
        <v>0</v>
      </c>
      <c r="M61" s="21">
        <f t="shared" ca="1" si="7"/>
        <v>39202</v>
      </c>
      <c r="N61" s="37">
        <f t="shared" ca="1" si="2"/>
        <v>0</v>
      </c>
      <c r="O61" s="4">
        <f ca="1">IFERROR(AVERAGEIF(N$5:$N61,"&gt;="&amp;_xlfn.PERCENTILE.EXC(N$5:$N61,0.2)),0)</f>
        <v>0</v>
      </c>
      <c r="Q61" s="21">
        <f t="shared" ca="1" si="8"/>
        <v>39202</v>
      </c>
      <c r="R61" s="37">
        <f t="shared" ca="1" si="3"/>
        <v>0</v>
      </c>
      <c r="S61" s="4">
        <f ca="1">IFERROR(AVERAGE($R$5:R61),0)</f>
        <v>0</v>
      </c>
      <c r="U61" s="21">
        <f t="shared" ca="1" si="4"/>
        <v>39202</v>
      </c>
      <c r="V61" s="4">
        <f ca="1">MIN(S61,PREMISSAS!$C$14)</f>
        <v>0</v>
      </c>
      <c r="W61" s="188"/>
      <c r="X61" s="188"/>
    </row>
    <row r="62" spans="2:24" x14ac:dyDescent="0.3">
      <c r="B62" s="21">
        <f t="shared" ca="1" si="5"/>
        <v>46477</v>
      </c>
      <c r="C62" s="22">
        <f ca="1">IF(B62="","",IF(LEFT(B62,2)="13",C61,IF(MONTH(B62)=1,C61*(1+PREMISSAS!$C$58),C61)))</f>
        <v>0</v>
      </c>
      <c r="E62" s="18">
        <v>58</v>
      </c>
      <c r="F62" s="21">
        <f t="shared" ca="1" si="6"/>
        <v>39233</v>
      </c>
      <c r="G62" s="22">
        <f ca="1">IFERROR(VLOOKUP(F62,RESULTADOS!$O$5:$P$543,2,FALSE),VLOOKUP(F62,$B$5:$C$842,2,FALSE))</f>
        <v>0</v>
      </c>
      <c r="H62" s="4">
        <f ca="1">IF(F62&lt;PREMISSAS!$D$7,0,IFERROR(VLOOKUP(IF(LEFT(F62,2)="13",DATE(YEAR(F61),12,31),F62),IPCA!$A:$D,4,FALSE),1)*G62)</f>
        <v>0</v>
      </c>
      <c r="J62" s="21">
        <f t="shared" ca="1" si="0"/>
        <v>39233</v>
      </c>
      <c r="K62" s="4">
        <f t="shared" ca="1" si="1"/>
        <v>0</v>
      </c>
      <c r="M62" s="21">
        <f t="shared" ca="1" si="7"/>
        <v>39233</v>
      </c>
      <c r="N62" s="37">
        <f t="shared" ca="1" si="2"/>
        <v>0</v>
      </c>
      <c r="O62" s="4">
        <f ca="1">IFERROR(AVERAGEIF(N$5:$N62,"&gt;="&amp;_xlfn.PERCENTILE.EXC(N$5:$N62,0.2)),0)</f>
        <v>0</v>
      </c>
      <c r="Q62" s="21">
        <f t="shared" ca="1" si="8"/>
        <v>39233</v>
      </c>
      <c r="R62" s="37">
        <f t="shared" ca="1" si="3"/>
        <v>0</v>
      </c>
      <c r="S62" s="4">
        <f ca="1">IFERROR(AVERAGE($R$5:R62),0)</f>
        <v>0</v>
      </c>
      <c r="U62" s="21">
        <f t="shared" ca="1" si="4"/>
        <v>39233</v>
      </c>
      <c r="V62" s="4">
        <f ca="1">MIN(S62,PREMISSAS!$C$14)</f>
        <v>0</v>
      </c>
      <c r="W62" s="188"/>
      <c r="X62" s="188"/>
    </row>
    <row r="63" spans="2:24" x14ac:dyDescent="0.3">
      <c r="B63" s="21">
        <f t="shared" ca="1" si="5"/>
        <v>46507</v>
      </c>
      <c r="C63" s="22">
        <f ca="1">IF(B63="","",IF(LEFT(B63,2)="13",C62,IF(MONTH(B63)=1,C62*(1+PREMISSAS!$C$58),C62)))</f>
        <v>0</v>
      </c>
      <c r="E63" s="18">
        <v>59</v>
      </c>
      <c r="F63" s="21">
        <f t="shared" ca="1" si="6"/>
        <v>39263</v>
      </c>
      <c r="G63" s="22">
        <f ca="1">IFERROR(VLOOKUP(F63,RESULTADOS!$O$5:$P$543,2,FALSE),VLOOKUP(F63,$B$5:$C$842,2,FALSE))</f>
        <v>0</v>
      </c>
      <c r="H63" s="4">
        <f ca="1">IF(F63&lt;PREMISSAS!$D$7,0,IFERROR(VLOOKUP(IF(LEFT(F63,2)="13",DATE(YEAR(F62),12,31),F63),IPCA!$A:$D,4,FALSE),1)*G63)</f>
        <v>0</v>
      </c>
      <c r="J63" s="21">
        <f t="shared" ca="1" si="0"/>
        <v>39263</v>
      </c>
      <c r="K63" s="4">
        <f t="shared" ca="1" si="1"/>
        <v>0</v>
      </c>
      <c r="M63" s="21">
        <f t="shared" ca="1" si="7"/>
        <v>39263</v>
      </c>
      <c r="N63" s="37">
        <f t="shared" ca="1" si="2"/>
        <v>0</v>
      </c>
      <c r="O63" s="4">
        <f ca="1">IFERROR(AVERAGEIF(N$5:$N63,"&gt;="&amp;_xlfn.PERCENTILE.EXC(N$5:$N63,0.2)),0)</f>
        <v>0</v>
      </c>
      <c r="Q63" s="21">
        <f t="shared" ca="1" si="8"/>
        <v>39263</v>
      </c>
      <c r="R63" s="37">
        <f t="shared" ca="1" si="3"/>
        <v>0</v>
      </c>
      <c r="S63" s="4">
        <f ca="1">IFERROR(AVERAGE($R$5:R63),0)</f>
        <v>0</v>
      </c>
      <c r="U63" s="21">
        <f t="shared" ca="1" si="4"/>
        <v>39263</v>
      </c>
      <c r="V63" s="4">
        <f ca="1">MIN(S63,PREMISSAS!$C$14)</f>
        <v>0</v>
      </c>
      <c r="W63" s="188"/>
      <c r="X63" s="188"/>
    </row>
    <row r="64" spans="2:24" x14ac:dyDescent="0.3">
      <c r="B64" s="21">
        <f t="shared" ca="1" si="5"/>
        <v>46538</v>
      </c>
      <c r="C64" s="22">
        <f ca="1">IF(B64="","",IF(LEFT(B64,2)="13",C63,IF(MONTH(B64)=1,C63*(1+PREMISSAS!$C$58),C63)))</f>
        <v>0</v>
      </c>
      <c r="E64" s="18">
        <v>60</v>
      </c>
      <c r="F64" s="21">
        <f t="shared" ca="1" si="6"/>
        <v>39294</v>
      </c>
      <c r="G64" s="22">
        <f ca="1">IFERROR(VLOOKUP(F64,RESULTADOS!$O$5:$P$543,2,FALSE),VLOOKUP(F64,$B$5:$C$842,2,FALSE))</f>
        <v>0</v>
      </c>
      <c r="H64" s="4">
        <f ca="1">IF(F64&lt;PREMISSAS!$D$7,0,IFERROR(VLOOKUP(IF(LEFT(F64,2)="13",DATE(YEAR(F63),12,31),F64),IPCA!$A:$D,4,FALSE),1)*G64)</f>
        <v>0</v>
      </c>
      <c r="J64" s="21">
        <f t="shared" ca="1" si="0"/>
        <v>39294</v>
      </c>
      <c r="K64" s="4">
        <f t="shared" ca="1" si="1"/>
        <v>0</v>
      </c>
      <c r="M64" s="21">
        <f t="shared" ca="1" si="7"/>
        <v>39294</v>
      </c>
      <c r="N64" s="37">
        <f t="shared" ca="1" si="2"/>
        <v>0</v>
      </c>
      <c r="O64" s="4">
        <f ca="1">IFERROR(AVERAGEIF(N$5:$N64,"&gt;="&amp;_xlfn.PERCENTILE.EXC(N$5:$N64,0.2)),0)</f>
        <v>0</v>
      </c>
      <c r="Q64" s="21">
        <f t="shared" ca="1" si="8"/>
        <v>39294</v>
      </c>
      <c r="R64" s="37">
        <f t="shared" ca="1" si="3"/>
        <v>0</v>
      </c>
      <c r="S64" s="4">
        <f ca="1">IFERROR(AVERAGE($R$5:R64),0)</f>
        <v>0</v>
      </c>
      <c r="U64" s="21">
        <f t="shared" ca="1" si="4"/>
        <v>39294</v>
      </c>
      <c r="V64" s="4">
        <f ca="1">MIN(S64,PREMISSAS!$C$14)</f>
        <v>0</v>
      </c>
      <c r="W64" s="188"/>
      <c r="X64" s="188"/>
    </row>
    <row r="65" spans="2:24" x14ac:dyDescent="0.3">
      <c r="B65" s="21">
        <f t="shared" ca="1" si="5"/>
        <v>46568</v>
      </c>
      <c r="C65" s="22">
        <f ca="1">IF(B65="","",IF(LEFT(B65,2)="13",C64,IF(MONTH(B65)=1,C64*(1+PREMISSAS!$C$58),C64)))</f>
        <v>0</v>
      </c>
      <c r="E65" s="18">
        <v>61</v>
      </c>
      <c r="F65" s="21">
        <f t="shared" ca="1" si="6"/>
        <v>39325</v>
      </c>
      <c r="G65" s="22">
        <f ca="1">IFERROR(VLOOKUP(F65,RESULTADOS!$O$5:$P$543,2,FALSE),VLOOKUP(F65,$B$5:$C$842,2,FALSE))</f>
        <v>0</v>
      </c>
      <c r="H65" s="4">
        <f ca="1">IF(F65&lt;PREMISSAS!$D$7,0,IFERROR(VLOOKUP(IF(LEFT(F65,2)="13",DATE(YEAR(F64),12,31),F65),IPCA!$A:$D,4,FALSE),1)*G65)</f>
        <v>0</v>
      </c>
      <c r="J65" s="21">
        <f t="shared" ca="1" si="0"/>
        <v>39325</v>
      </c>
      <c r="K65" s="4">
        <f t="shared" ca="1" si="1"/>
        <v>0</v>
      </c>
      <c r="M65" s="21">
        <f t="shared" ca="1" si="7"/>
        <v>39325</v>
      </c>
      <c r="N65" s="37">
        <f t="shared" ca="1" si="2"/>
        <v>0</v>
      </c>
      <c r="O65" s="4">
        <f ca="1">IFERROR(AVERAGEIF(N$5:$N65,"&gt;="&amp;_xlfn.PERCENTILE.EXC(N$5:$N65,0.2)),0)</f>
        <v>0</v>
      </c>
      <c r="Q65" s="21">
        <f t="shared" ca="1" si="8"/>
        <v>39325</v>
      </c>
      <c r="R65" s="37">
        <f t="shared" ca="1" si="3"/>
        <v>0</v>
      </c>
      <c r="S65" s="4">
        <f ca="1">IFERROR(AVERAGE($R$5:R65),0)</f>
        <v>0</v>
      </c>
      <c r="U65" s="21">
        <f t="shared" ca="1" si="4"/>
        <v>39325</v>
      </c>
      <c r="V65" s="4">
        <f ca="1">MIN(S65,PREMISSAS!$C$14)</f>
        <v>0</v>
      </c>
      <c r="W65" s="188"/>
      <c r="X65" s="188"/>
    </row>
    <row r="66" spans="2:24" x14ac:dyDescent="0.3">
      <c r="B66" s="21">
        <f t="shared" ca="1" si="5"/>
        <v>46599</v>
      </c>
      <c r="C66" s="22">
        <f ca="1">IF(B66="","",IF(LEFT(B66,2)="13",C65,IF(MONTH(B66)=1,C65*(1+PREMISSAS!$C$58),C65)))</f>
        <v>0</v>
      </c>
      <c r="E66" s="18">
        <v>62</v>
      </c>
      <c r="F66" s="21">
        <f t="shared" ca="1" si="6"/>
        <v>39355</v>
      </c>
      <c r="G66" s="22">
        <f ca="1">IFERROR(VLOOKUP(F66,RESULTADOS!$O$5:$P$543,2,FALSE),VLOOKUP(F66,$B$5:$C$842,2,FALSE))</f>
        <v>0</v>
      </c>
      <c r="H66" s="4">
        <f ca="1">IF(F66&lt;PREMISSAS!$D$7,0,IFERROR(VLOOKUP(IF(LEFT(F66,2)="13",DATE(YEAR(F65),12,31),F66),IPCA!$A:$D,4,FALSE),1)*G66)</f>
        <v>0</v>
      </c>
      <c r="J66" s="21">
        <f t="shared" ca="1" si="0"/>
        <v>39355</v>
      </c>
      <c r="K66" s="4">
        <f t="shared" ca="1" si="1"/>
        <v>0</v>
      </c>
      <c r="M66" s="21">
        <f t="shared" ca="1" si="7"/>
        <v>39355</v>
      </c>
      <c r="N66" s="37">
        <f t="shared" ca="1" si="2"/>
        <v>0</v>
      </c>
      <c r="O66" s="4">
        <f ca="1">IFERROR(AVERAGEIF(N$5:$N66,"&gt;="&amp;_xlfn.PERCENTILE.EXC(N$5:$N66,0.2)),0)</f>
        <v>0</v>
      </c>
      <c r="Q66" s="21">
        <f t="shared" ca="1" si="8"/>
        <v>39355</v>
      </c>
      <c r="R66" s="37">
        <f t="shared" ca="1" si="3"/>
        <v>0</v>
      </c>
      <c r="S66" s="4">
        <f ca="1">IFERROR(AVERAGE($R$5:R66),0)</f>
        <v>0</v>
      </c>
      <c r="U66" s="21">
        <f t="shared" ca="1" si="4"/>
        <v>39355</v>
      </c>
      <c r="V66" s="4">
        <f ca="1">MIN(S66,PREMISSAS!$C$14)</f>
        <v>0</v>
      </c>
      <c r="W66" s="188"/>
      <c r="X66" s="188"/>
    </row>
    <row r="67" spans="2:24" x14ac:dyDescent="0.3">
      <c r="B67" s="21">
        <f t="shared" ca="1" si="5"/>
        <v>46630</v>
      </c>
      <c r="C67" s="22">
        <f ca="1">IF(B67="","",IF(LEFT(B67,2)="13",C66,IF(MONTH(B67)=1,C66*(1+PREMISSAS!$C$58),C66)))</f>
        <v>0</v>
      </c>
      <c r="E67" s="18">
        <v>63</v>
      </c>
      <c r="F67" s="21">
        <f t="shared" ca="1" si="6"/>
        <v>39386</v>
      </c>
      <c r="G67" s="22">
        <f ca="1">IFERROR(VLOOKUP(F67,RESULTADOS!$O$5:$P$543,2,FALSE),VLOOKUP(F67,$B$5:$C$842,2,FALSE))</f>
        <v>0</v>
      </c>
      <c r="H67" s="4">
        <f ca="1">IF(F67&lt;PREMISSAS!$D$7,0,IFERROR(VLOOKUP(IF(LEFT(F67,2)="13",DATE(YEAR(F66),12,31),F67),IPCA!$A:$D,4,FALSE),1)*G67)</f>
        <v>0</v>
      </c>
      <c r="J67" s="21">
        <f t="shared" ca="1" si="0"/>
        <v>39386</v>
      </c>
      <c r="K67" s="4">
        <f t="shared" ca="1" si="1"/>
        <v>0</v>
      </c>
      <c r="M67" s="21">
        <f t="shared" ca="1" si="7"/>
        <v>39386</v>
      </c>
      <c r="N67" s="37">
        <f t="shared" ca="1" si="2"/>
        <v>0</v>
      </c>
      <c r="O67" s="4">
        <f ca="1">IFERROR(AVERAGEIF(N$5:$N67,"&gt;="&amp;_xlfn.PERCENTILE.EXC(N$5:$N67,0.2)),0)</f>
        <v>0</v>
      </c>
      <c r="Q67" s="21">
        <f t="shared" ca="1" si="8"/>
        <v>39386</v>
      </c>
      <c r="R67" s="37">
        <f t="shared" ca="1" si="3"/>
        <v>0</v>
      </c>
      <c r="S67" s="4">
        <f ca="1">IFERROR(AVERAGE($R$5:R67),0)</f>
        <v>0</v>
      </c>
      <c r="U67" s="21">
        <f t="shared" ca="1" si="4"/>
        <v>39386</v>
      </c>
      <c r="V67" s="4">
        <f ca="1">MIN(S67,PREMISSAS!$C$14)</f>
        <v>0</v>
      </c>
      <c r="W67" s="188"/>
      <c r="X67" s="188"/>
    </row>
    <row r="68" spans="2:24" x14ac:dyDescent="0.3">
      <c r="B68" s="21">
        <f t="shared" ca="1" si="5"/>
        <v>46660</v>
      </c>
      <c r="C68" s="22">
        <f ca="1">IF(B68="","",IF(LEFT(B68,2)="13",C67,IF(MONTH(B68)=1,C67*(1+PREMISSAS!$C$58),C67)))</f>
        <v>0</v>
      </c>
      <c r="E68" s="18">
        <v>64</v>
      </c>
      <c r="F68" s="21">
        <f t="shared" ca="1" si="6"/>
        <v>39416</v>
      </c>
      <c r="G68" s="22">
        <f ca="1">IFERROR(VLOOKUP(F68,RESULTADOS!$O$5:$P$543,2,FALSE),VLOOKUP(F68,$B$5:$C$842,2,FALSE))</f>
        <v>0</v>
      </c>
      <c r="H68" s="4">
        <f ca="1">IF(F68&lt;PREMISSAS!$D$7,0,IFERROR(VLOOKUP(IF(LEFT(F68,2)="13",DATE(YEAR(F67),12,31),F68),IPCA!$A:$D,4,FALSE),1)*G68)</f>
        <v>0</v>
      </c>
      <c r="J68" s="21">
        <f t="shared" ca="1" si="0"/>
        <v>39416</v>
      </c>
      <c r="K68" s="4">
        <f t="shared" ca="1" si="1"/>
        <v>0</v>
      </c>
      <c r="M68" s="21">
        <f t="shared" ca="1" si="7"/>
        <v>39416</v>
      </c>
      <c r="N68" s="37">
        <f t="shared" ca="1" si="2"/>
        <v>0</v>
      </c>
      <c r="O68" s="4">
        <f ca="1">IFERROR(AVERAGEIF(N$5:$N68,"&gt;="&amp;_xlfn.PERCENTILE.EXC(N$5:$N68,0.2)),0)</f>
        <v>0</v>
      </c>
      <c r="Q68" s="21">
        <f t="shared" ca="1" si="8"/>
        <v>39416</v>
      </c>
      <c r="R68" s="37">
        <f t="shared" ca="1" si="3"/>
        <v>0</v>
      </c>
      <c r="S68" s="4">
        <f ca="1">IFERROR(AVERAGE($R$5:R68),0)</f>
        <v>0</v>
      </c>
      <c r="U68" s="21">
        <f t="shared" ca="1" si="4"/>
        <v>39416</v>
      </c>
      <c r="V68" s="4">
        <f ca="1">MIN(S68,PREMISSAS!$C$14)</f>
        <v>0</v>
      </c>
      <c r="W68" s="188"/>
      <c r="X68" s="188"/>
    </row>
    <row r="69" spans="2:24" x14ac:dyDescent="0.3">
      <c r="B69" s="21">
        <f t="shared" ca="1" si="5"/>
        <v>46691</v>
      </c>
      <c r="C69" s="22">
        <f ca="1">IF(B69="","",IF(LEFT(B69,2)="13",C68,IF(MONTH(B69)=1,C68*(1+PREMISSAS!$C$58),C68)))</f>
        <v>0</v>
      </c>
      <c r="E69" s="18">
        <v>65</v>
      </c>
      <c r="F69" s="21" t="str">
        <f t="shared" ca="1" si="6"/>
        <v>13º 2007</v>
      </c>
      <c r="G69" s="22">
        <f ca="1">IFERROR(VLOOKUP(F69,RESULTADOS!$O$5:$P$543,2,FALSE),VLOOKUP(F69,$B$5:$C$842,2,FALSE))</f>
        <v>0</v>
      </c>
      <c r="H69" s="4">
        <f ca="1">IF(F69&lt;PREMISSAS!$D$7,0,IFERROR(VLOOKUP(IF(LEFT(F69,2)="13",DATE(YEAR(F68),12,31),F69),IPCA!$A:$D,4,FALSE),1)*G69)</f>
        <v>0</v>
      </c>
      <c r="J69" s="21" t="str">
        <f t="shared" ref="J69:J132" ca="1" si="9">F69</f>
        <v>13º 2007</v>
      </c>
      <c r="K69" s="4">
        <f t="shared" ref="K69:K132" ca="1" si="10">G69</f>
        <v>0</v>
      </c>
      <c r="M69" s="21" t="str">
        <f t="shared" ca="1" si="7"/>
        <v>13º 2007</v>
      </c>
      <c r="N69" s="37">
        <f t="shared" ca="1" si="2"/>
        <v>0</v>
      </c>
      <c r="O69" s="4">
        <f ca="1">IFERROR(AVERAGEIF(N$5:$N69,"&gt;="&amp;_xlfn.PERCENTILE.EXC(N$5:$N69,0.2)),0)</f>
        <v>0</v>
      </c>
      <c r="Q69" s="21" t="str">
        <f t="shared" ca="1" si="8"/>
        <v>13º 2007</v>
      </c>
      <c r="R69" s="37">
        <f t="shared" ca="1" si="3"/>
        <v>0</v>
      </c>
      <c r="S69" s="4">
        <f ca="1">IFERROR(AVERAGE($R$5:R69),0)</f>
        <v>0</v>
      </c>
      <c r="U69" s="21" t="str">
        <f t="shared" ca="1" si="4"/>
        <v>13º 2007</v>
      </c>
      <c r="V69" s="4">
        <f ca="1">MIN(S69,PREMISSAS!$C$14)</f>
        <v>0</v>
      </c>
      <c r="W69" s="188"/>
      <c r="X69" s="188"/>
    </row>
    <row r="70" spans="2:24" x14ac:dyDescent="0.3">
      <c r="B70" s="21">
        <f t="shared" ca="1" si="5"/>
        <v>46721</v>
      </c>
      <c r="C70" s="22">
        <f ca="1">IF(B70="","",IF(LEFT(B70,2)="13",C69,IF(MONTH(B70)=1,C69*(1+PREMISSAS!$C$58),C69)))</f>
        <v>0</v>
      </c>
      <c r="E70" s="18">
        <v>66</v>
      </c>
      <c r="F70" s="21">
        <f t="shared" ca="1" si="6"/>
        <v>39447</v>
      </c>
      <c r="G70" s="22">
        <f ca="1">IFERROR(VLOOKUP(F70,RESULTADOS!$O$5:$P$543,2,FALSE),VLOOKUP(F70,$B$5:$C$842,2,FALSE))</f>
        <v>0</v>
      </c>
      <c r="H70" s="4">
        <f ca="1">IF(F70&lt;PREMISSAS!$D$7,0,IFERROR(VLOOKUP(IF(LEFT(F70,2)="13",DATE(YEAR(F69),12,31),F70),IPCA!$A:$D,4,FALSE),1)*G70)</f>
        <v>0</v>
      </c>
      <c r="J70" s="21">
        <f t="shared" ca="1" si="9"/>
        <v>39447</v>
      </c>
      <c r="K70" s="4">
        <f t="shared" ca="1" si="10"/>
        <v>0</v>
      </c>
      <c r="M70" s="21">
        <f t="shared" ca="1" si="7"/>
        <v>39447</v>
      </c>
      <c r="N70" s="37">
        <f t="shared" ref="N70:N133" ca="1" si="11">IFERROR(VLOOKUP(M70,$F$5:$H$628,3,FALSE),0)</f>
        <v>0</v>
      </c>
      <c r="O70" s="4">
        <f ca="1">IFERROR(AVERAGEIF(N$5:$N70,"&gt;="&amp;_xlfn.PERCENTILE.EXC(N$5:$N70,0.2)),0)</f>
        <v>0</v>
      </c>
      <c r="Q70" s="21">
        <f t="shared" ca="1" si="8"/>
        <v>39447</v>
      </c>
      <c r="R70" s="37">
        <f t="shared" ref="R70:R133" ca="1" si="12">IFERROR(VLOOKUP(Q70,$F$5:$H$628,3,FALSE),0)</f>
        <v>0</v>
      </c>
      <c r="S70" s="4">
        <f ca="1">IFERROR(AVERAGE($R$5:R70),0)</f>
        <v>0</v>
      </c>
      <c r="U70" s="21">
        <f t="shared" ref="U70:U133" ca="1" si="13">M70</f>
        <v>39447</v>
      </c>
      <c r="V70" s="4">
        <f ca="1">MIN(S70,PREMISSAS!$C$14)</f>
        <v>0</v>
      </c>
      <c r="W70" s="188"/>
      <c r="X70" s="188"/>
    </row>
    <row r="71" spans="2:24" x14ac:dyDescent="0.3">
      <c r="B71" s="21" t="str">
        <f t="shared" ref="B71:B134" ca="1" si="14">IFERROR(IF(LEFT(B70,2)="13",DATE(RIGHT(B70,4),12,31),IF(EOMONTH(B70,0)&gt;$F$1,"",IF(MONTH(B70)=11,"13º "&amp;YEAR(B70),EOMONTH(B70,1)))),"")</f>
        <v>13º 2027</v>
      </c>
      <c r="C71" s="22">
        <f ca="1">IF(B71="","",IF(LEFT(B71,2)="13",C70,IF(MONTH(B71)=1,C70*(1+PREMISSAS!$C$58),C70)))</f>
        <v>0</v>
      </c>
      <c r="E71" s="18">
        <v>67</v>
      </c>
      <c r="F71" s="21">
        <f t="shared" ref="F71:F134" ca="1" si="15">IFERROR(IF(LEFT(F70,2)="13",DATE(RIGHT(F70,4),12,31),IF(EOMONTH(F70,0)&gt;$F$1,"",IF(MONTH(F70)=11,"13º "&amp;YEAR(F70),EOMONTH(F70,1)))),"")</f>
        <v>39478</v>
      </c>
      <c r="G71" s="22">
        <f ca="1">IFERROR(VLOOKUP(F71,RESULTADOS!$O$5:$P$543,2,FALSE),VLOOKUP(F71,$B$5:$C$842,2,FALSE))</f>
        <v>0</v>
      </c>
      <c r="H71" s="4">
        <f ca="1">IF(F71&lt;PREMISSAS!$D$7,0,IFERROR(VLOOKUP(IF(LEFT(F71,2)="13",DATE(YEAR(F70),12,31),F71),IPCA!$A:$D,4,FALSE),1)*G71)</f>
        <v>0</v>
      </c>
      <c r="J71" s="21">
        <f t="shared" ca="1" si="9"/>
        <v>39478</v>
      </c>
      <c r="K71" s="4">
        <f t="shared" ca="1" si="10"/>
        <v>0</v>
      </c>
      <c r="M71" s="21">
        <f t="shared" ref="M71:M134" ca="1" si="16">IFERROR(IF(LEFT(M70,2)="13",DATE(RIGHT(M70,4),12,31),IF(EOMONTH(M70,0)&gt;$F$1,"",IF(MONTH(M70)=11,"13º "&amp;YEAR(M70),EOMONTH(M70,1)))),"")</f>
        <v>39478</v>
      </c>
      <c r="N71" s="37">
        <f t="shared" ca="1" si="11"/>
        <v>0</v>
      </c>
      <c r="O71" s="4">
        <f ca="1">IFERROR(AVERAGEIF(N$5:$N71,"&gt;="&amp;_xlfn.PERCENTILE.EXC(N$5:$N71,0.2)),0)</f>
        <v>0</v>
      </c>
      <c r="Q71" s="21">
        <f t="shared" ref="Q71:Q134" ca="1" si="17">IFERROR(IF(LEFT(Q70,2)="13",DATE(RIGHT(Q70,4),12,31),IF(EOMONTH(Q70,0)&gt;$F$1,"",IF(MONTH(Q70)=11,"13º "&amp;YEAR(Q70),EOMONTH(Q70,1)))),"")</f>
        <v>39478</v>
      </c>
      <c r="R71" s="37">
        <f t="shared" ca="1" si="12"/>
        <v>0</v>
      </c>
      <c r="S71" s="4">
        <f ca="1">IFERROR(AVERAGE($R$5:R71),0)</f>
        <v>0</v>
      </c>
      <c r="U71" s="21">
        <f t="shared" ca="1" si="13"/>
        <v>39478</v>
      </c>
      <c r="V71" s="4">
        <f ca="1">MIN(S71,PREMISSAS!$C$14)</f>
        <v>0</v>
      </c>
      <c r="W71" s="188"/>
      <c r="X71" s="188"/>
    </row>
    <row r="72" spans="2:24" x14ac:dyDescent="0.3">
      <c r="B72" s="21">
        <f t="shared" ca="1" si="14"/>
        <v>46752</v>
      </c>
      <c r="C72" s="22">
        <f ca="1">IF(B72="","",IF(LEFT(B72,2)="13",C71,IF(MONTH(B72)=1,C71*(1+PREMISSAS!$C$58),C71)))</f>
        <v>0</v>
      </c>
      <c r="E72" s="18">
        <v>68</v>
      </c>
      <c r="F72" s="21">
        <f t="shared" ca="1" si="15"/>
        <v>39507</v>
      </c>
      <c r="G72" s="22">
        <f ca="1">IFERROR(VLOOKUP(F72,RESULTADOS!$O$5:$P$543,2,FALSE),VLOOKUP(F72,$B$5:$C$842,2,FALSE))</f>
        <v>0</v>
      </c>
      <c r="H72" s="4">
        <f ca="1">IF(F72&lt;PREMISSAS!$D$7,0,IFERROR(VLOOKUP(IF(LEFT(F72,2)="13",DATE(YEAR(F71),12,31),F72),IPCA!$A:$D,4,FALSE),1)*G72)</f>
        <v>0</v>
      </c>
      <c r="J72" s="21">
        <f t="shared" ca="1" si="9"/>
        <v>39507</v>
      </c>
      <c r="K72" s="4">
        <f t="shared" ca="1" si="10"/>
        <v>0</v>
      </c>
      <c r="M72" s="21">
        <f t="shared" ca="1" si="16"/>
        <v>39507</v>
      </c>
      <c r="N72" s="37">
        <f t="shared" ca="1" si="11"/>
        <v>0</v>
      </c>
      <c r="O72" s="4">
        <f ca="1">IFERROR(AVERAGEIF(N$5:$N72,"&gt;="&amp;_xlfn.PERCENTILE.EXC(N$5:$N72,0.2)),0)</f>
        <v>0</v>
      </c>
      <c r="Q72" s="21">
        <f t="shared" ca="1" si="17"/>
        <v>39507</v>
      </c>
      <c r="R72" s="37">
        <f t="shared" ca="1" si="12"/>
        <v>0</v>
      </c>
      <c r="S72" s="4">
        <f ca="1">IFERROR(AVERAGE($R$5:R72),0)</f>
        <v>0</v>
      </c>
      <c r="U72" s="21">
        <f t="shared" ca="1" si="13"/>
        <v>39507</v>
      </c>
      <c r="V72" s="4">
        <f ca="1">MIN(S72,PREMISSAS!$C$14)</f>
        <v>0</v>
      </c>
      <c r="W72" s="188"/>
      <c r="X72" s="188"/>
    </row>
    <row r="73" spans="2:24" x14ac:dyDescent="0.3">
      <c r="B73" s="21">
        <f t="shared" ca="1" si="14"/>
        <v>46783</v>
      </c>
      <c r="C73" s="22">
        <f ca="1">IF(B73="","",IF(LEFT(B73,2)="13",C72,IF(MONTH(B73)=1,C72*(1+PREMISSAS!$C$58),C72)))</f>
        <v>0</v>
      </c>
      <c r="E73" s="18">
        <v>69</v>
      </c>
      <c r="F73" s="21">
        <f t="shared" ca="1" si="15"/>
        <v>39538</v>
      </c>
      <c r="G73" s="22">
        <f ca="1">IFERROR(VLOOKUP(F73,RESULTADOS!$O$5:$P$543,2,FALSE),VLOOKUP(F73,$B$5:$C$842,2,FALSE))</f>
        <v>0</v>
      </c>
      <c r="H73" s="4">
        <f ca="1">IF(F73&lt;PREMISSAS!$D$7,0,IFERROR(VLOOKUP(IF(LEFT(F73,2)="13",DATE(YEAR(F72),12,31),F73),IPCA!$A:$D,4,FALSE),1)*G73)</f>
        <v>0</v>
      </c>
      <c r="J73" s="21">
        <f t="shared" ca="1" si="9"/>
        <v>39538</v>
      </c>
      <c r="K73" s="4">
        <f t="shared" ca="1" si="10"/>
        <v>0</v>
      </c>
      <c r="M73" s="21">
        <f t="shared" ca="1" si="16"/>
        <v>39538</v>
      </c>
      <c r="N73" s="37">
        <f t="shared" ca="1" si="11"/>
        <v>0</v>
      </c>
      <c r="O73" s="4">
        <f ca="1">IFERROR(AVERAGEIF(N$5:$N73,"&gt;="&amp;_xlfn.PERCENTILE.EXC(N$5:$N73,0.2)),0)</f>
        <v>0</v>
      </c>
      <c r="Q73" s="21">
        <f t="shared" ca="1" si="17"/>
        <v>39538</v>
      </c>
      <c r="R73" s="37">
        <f t="shared" ca="1" si="12"/>
        <v>0</v>
      </c>
      <c r="S73" s="4">
        <f ca="1">IFERROR(AVERAGE($R$5:R73),0)</f>
        <v>0</v>
      </c>
      <c r="U73" s="21">
        <f t="shared" ca="1" si="13"/>
        <v>39538</v>
      </c>
      <c r="V73" s="4">
        <f ca="1">MIN(S73,PREMISSAS!$C$14)</f>
        <v>0</v>
      </c>
      <c r="W73" s="188"/>
      <c r="X73" s="188"/>
    </row>
    <row r="74" spans="2:24" x14ac:dyDescent="0.3">
      <c r="B74" s="21">
        <f t="shared" ca="1" si="14"/>
        <v>46812</v>
      </c>
      <c r="C74" s="22">
        <f ca="1">IF(B74="","",IF(LEFT(B74,2)="13",C73,IF(MONTH(B74)=1,C73*(1+PREMISSAS!$C$58),C73)))</f>
        <v>0</v>
      </c>
      <c r="E74" s="18">
        <v>70</v>
      </c>
      <c r="F74" s="21">
        <f t="shared" ca="1" si="15"/>
        <v>39568</v>
      </c>
      <c r="G74" s="22">
        <f ca="1">IFERROR(VLOOKUP(F74,RESULTADOS!$O$5:$P$543,2,FALSE),VLOOKUP(F74,$B$5:$C$842,2,FALSE))</f>
        <v>0</v>
      </c>
      <c r="H74" s="4">
        <f ca="1">IF(F74&lt;PREMISSAS!$D$7,0,IFERROR(VLOOKUP(IF(LEFT(F74,2)="13",DATE(YEAR(F73),12,31),F74),IPCA!$A:$D,4,FALSE),1)*G74)</f>
        <v>0</v>
      </c>
      <c r="J74" s="21">
        <f t="shared" ca="1" si="9"/>
        <v>39568</v>
      </c>
      <c r="K74" s="4">
        <f t="shared" ca="1" si="10"/>
        <v>0</v>
      </c>
      <c r="M74" s="21">
        <f t="shared" ca="1" si="16"/>
        <v>39568</v>
      </c>
      <c r="N74" s="37">
        <f t="shared" ca="1" si="11"/>
        <v>0</v>
      </c>
      <c r="O74" s="4">
        <f ca="1">IFERROR(AVERAGEIF(N$5:$N74,"&gt;="&amp;_xlfn.PERCENTILE.EXC(N$5:$N74,0.2)),0)</f>
        <v>0</v>
      </c>
      <c r="Q74" s="21">
        <f t="shared" ca="1" si="17"/>
        <v>39568</v>
      </c>
      <c r="R74" s="37">
        <f t="shared" ca="1" si="12"/>
        <v>0</v>
      </c>
      <c r="S74" s="4">
        <f ca="1">IFERROR(AVERAGE($R$5:R74),0)</f>
        <v>0</v>
      </c>
      <c r="U74" s="21">
        <f t="shared" ca="1" si="13"/>
        <v>39568</v>
      </c>
      <c r="V74" s="4">
        <f ca="1">MIN(S74,PREMISSAS!$C$14)</f>
        <v>0</v>
      </c>
      <c r="W74" s="188"/>
      <c r="X74" s="188"/>
    </row>
    <row r="75" spans="2:24" x14ac:dyDescent="0.3">
      <c r="B75" s="21">
        <f t="shared" ca="1" si="14"/>
        <v>46843</v>
      </c>
      <c r="C75" s="22">
        <f ca="1">IF(B75="","",IF(LEFT(B75,2)="13",C74,IF(MONTH(B75)=1,C74*(1+PREMISSAS!$C$58),C74)))</f>
        <v>0</v>
      </c>
      <c r="E75" s="18">
        <v>71</v>
      </c>
      <c r="F75" s="21">
        <f t="shared" ca="1" si="15"/>
        <v>39599</v>
      </c>
      <c r="G75" s="22">
        <f ca="1">IFERROR(VLOOKUP(F75,RESULTADOS!$O$5:$P$543,2,FALSE),VLOOKUP(F75,$B$5:$C$842,2,FALSE))</f>
        <v>0</v>
      </c>
      <c r="H75" s="4">
        <f ca="1">IF(F75&lt;PREMISSAS!$D$7,0,IFERROR(VLOOKUP(IF(LEFT(F75,2)="13",DATE(YEAR(F74),12,31),F75),IPCA!$A:$D,4,FALSE),1)*G75)</f>
        <v>0</v>
      </c>
      <c r="J75" s="21">
        <f t="shared" ca="1" si="9"/>
        <v>39599</v>
      </c>
      <c r="K75" s="4">
        <f t="shared" ca="1" si="10"/>
        <v>0</v>
      </c>
      <c r="M75" s="21">
        <f t="shared" ca="1" si="16"/>
        <v>39599</v>
      </c>
      <c r="N75" s="37">
        <f t="shared" ca="1" si="11"/>
        <v>0</v>
      </c>
      <c r="O75" s="4">
        <f ca="1">IFERROR(AVERAGEIF(N$5:$N75,"&gt;="&amp;_xlfn.PERCENTILE.EXC(N$5:$N75,0.2)),0)</f>
        <v>0</v>
      </c>
      <c r="Q75" s="21">
        <f t="shared" ca="1" si="17"/>
        <v>39599</v>
      </c>
      <c r="R75" s="37">
        <f t="shared" ca="1" si="12"/>
        <v>0</v>
      </c>
      <c r="S75" s="4">
        <f ca="1">IFERROR(AVERAGE($R$5:R75),0)</f>
        <v>0</v>
      </c>
      <c r="U75" s="21">
        <f t="shared" ca="1" si="13"/>
        <v>39599</v>
      </c>
      <c r="V75" s="4">
        <f ca="1">MIN(S75,PREMISSAS!$C$14)</f>
        <v>0</v>
      </c>
      <c r="W75" s="188"/>
      <c r="X75" s="188"/>
    </row>
    <row r="76" spans="2:24" x14ac:dyDescent="0.3">
      <c r="B76" s="21">
        <f t="shared" ca="1" si="14"/>
        <v>46873</v>
      </c>
      <c r="C76" s="22">
        <f ca="1">IF(B76="","",IF(LEFT(B76,2)="13",C75,IF(MONTH(B76)=1,C75*(1+PREMISSAS!$C$58),C75)))</f>
        <v>0</v>
      </c>
      <c r="E76" s="18">
        <v>72</v>
      </c>
      <c r="F76" s="21">
        <f t="shared" ca="1" si="15"/>
        <v>39629</v>
      </c>
      <c r="G76" s="22">
        <f ca="1">IFERROR(VLOOKUP(F76,RESULTADOS!$O$5:$P$543,2,FALSE),VLOOKUP(F76,$B$5:$C$842,2,FALSE))</f>
        <v>0</v>
      </c>
      <c r="H76" s="4">
        <f ca="1">IF(F76&lt;PREMISSAS!$D$7,0,IFERROR(VLOOKUP(IF(LEFT(F76,2)="13",DATE(YEAR(F75),12,31),F76),IPCA!$A:$D,4,FALSE),1)*G76)</f>
        <v>0</v>
      </c>
      <c r="J76" s="21">
        <f t="shared" ca="1" si="9"/>
        <v>39629</v>
      </c>
      <c r="K76" s="4">
        <f t="shared" ca="1" si="10"/>
        <v>0</v>
      </c>
      <c r="M76" s="21">
        <f t="shared" ca="1" si="16"/>
        <v>39629</v>
      </c>
      <c r="N76" s="37">
        <f t="shared" ca="1" si="11"/>
        <v>0</v>
      </c>
      <c r="O76" s="4">
        <f ca="1">IFERROR(AVERAGEIF(N$5:$N76,"&gt;="&amp;_xlfn.PERCENTILE.EXC(N$5:$N76,0.2)),0)</f>
        <v>0</v>
      </c>
      <c r="Q76" s="21">
        <f t="shared" ca="1" si="17"/>
        <v>39629</v>
      </c>
      <c r="R76" s="37">
        <f t="shared" ca="1" si="12"/>
        <v>0</v>
      </c>
      <c r="S76" s="4">
        <f ca="1">IFERROR(AVERAGE($R$5:R76),0)</f>
        <v>0</v>
      </c>
      <c r="U76" s="21">
        <f t="shared" ca="1" si="13"/>
        <v>39629</v>
      </c>
      <c r="V76" s="4">
        <f ca="1">MIN(S76,PREMISSAS!$C$14)</f>
        <v>0</v>
      </c>
      <c r="W76" s="188"/>
      <c r="X76" s="188"/>
    </row>
    <row r="77" spans="2:24" x14ac:dyDescent="0.3">
      <c r="B77" s="21">
        <f t="shared" ca="1" si="14"/>
        <v>46904</v>
      </c>
      <c r="C77" s="22">
        <f ca="1">IF(B77="","",IF(LEFT(B77,2)="13",C76,IF(MONTH(B77)=1,C76*(1+PREMISSAS!$C$58),C76)))</f>
        <v>0</v>
      </c>
      <c r="E77" s="18">
        <v>73</v>
      </c>
      <c r="F77" s="21">
        <f t="shared" ca="1" si="15"/>
        <v>39660</v>
      </c>
      <c r="G77" s="22">
        <f ca="1">IFERROR(VLOOKUP(F77,RESULTADOS!$O$5:$P$543,2,FALSE),VLOOKUP(F77,$B$5:$C$842,2,FALSE))</f>
        <v>0</v>
      </c>
      <c r="H77" s="4">
        <f ca="1">IF(F77&lt;PREMISSAS!$D$7,0,IFERROR(VLOOKUP(IF(LEFT(F77,2)="13",DATE(YEAR(F76),12,31),F77),IPCA!$A:$D,4,FALSE),1)*G77)</f>
        <v>0</v>
      </c>
      <c r="J77" s="21">
        <f t="shared" ca="1" si="9"/>
        <v>39660</v>
      </c>
      <c r="K77" s="4">
        <f t="shared" ca="1" si="10"/>
        <v>0</v>
      </c>
      <c r="M77" s="21">
        <f t="shared" ca="1" si="16"/>
        <v>39660</v>
      </c>
      <c r="N77" s="37">
        <f t="shared" ca="1" si="11"/>
        <v>0</v>
      </c>
      <c r="O77" s="4">
        <f ca="1">IFERROR(AVERAGEIF(N$5:$N77,"&gt;="&amp;_xlfn.PERCENTILE.EXC(N$5:$N77,0.2)),0)</f>
        <v>0</v>
      </c>
      <c r="Q77" s="21">
        <f t="shared" ca="1" si="17"/>
        <v>39660</v>
      </c>
      <c r="R77" s="37">
        <f t="shared" ca="1" si="12"/>
        <v>0</v>
      </c>
      <c r="S77" s="4">
        <f ca="1">IFERROR(AVERAGE($R$5:R77),0)</f>
        <v>0</v>
      </c>
      <c r="U77" s="21">
        <f t="shared" ca="1" si="13"/>
        <v>39660</v>
      </c>
      <c r="V77" s="4">
        <f ca="1">MIN(S77,PREMISSAS!$C$14)</f>
        <v>0</v>
      </c>
      <c r="W77" s="188"/>
      <c r="X77" s="188"/>
    </row>
    <row r="78" spans="2:24" x14ac:dyDescent="0.3">
      <c r="B78" s="21">
        <f t="shared" ca="1" si="14"/>
        <v>46934</v>
      </c>
      <c r="C78" s="22">
        <f ca="1">IF(B78="","",IF(LEFT(B78,2)="13",C77,IF(MONTH(B78)=1,C77*(1+PREMISSAS!$C$58),C77)))</f>
        <v>0</v>
      </c>
      <c r="E78" s="18">
        <v>74</v>
      </c>
      <c r="F78" s="21">
        <f t="shared" ca="1" si="15"/>
        <v>39691</v>
      </c>
      <c r="G78" s="22">
        <f ca="1">IFERROR(VLOOKUP(F78,RESULTADOS!$O$5:$P$543,2,FALSE),VLOOKUP(F78,$B$5:$C$842,2,FALSE))</f>
        <v>0</v>
      </c>
      <c r="H78" s="4">
        <f ca="1">IF(F78&lt;PREMISSAS!$D$7,0,IFERROR(VLOOKUP(IF(LEFT(F78,2)="13",DATE(YEAR(F77),12,31),F78),IPCA!$A:$D,4,FALSE),1)*G78)</f>
        <v>0</v>
      </c>
      <c r="J78" s="21">
        <f t="shared" ca="1" si="9"/>
        <v>39691</v>
      </c>
      <c r="K78" s="4">
        <f t="shared" ca="1" si="10"/>
        <v>0</v>
      </c>
      <c r="M78" s="21">
        <f t="shared" ca="1" si="16"/>
        <v>39691</v>
      </c>
      <c r="N78" s="37">
        <f t="shared" ca="1" si="11"/>
        <v>0</v>
      </c>
      <c r="O78" s="4">
        <f ca="1">IFERROR(AVERAGEIF(N$5:$N78,"&gt;="&amp;_xlfn.PERCENTILE.EXC(N$5:$N78,0.2)),0)</f>
        <v>0</v>
      </c>
      <c r="Q78" s="21">
        <f t="shared" ca="1" si="17"/>
        <v>39691</v>
      </c>
      <c r="R78" s="37">
        <f t="shared" ca="1" si="12"/>
        <v>0</v>
      </c>
      <c r="S78" s="4">
        <f ca="1">IFERROR(AVERAGE($R$5:R78),0)</f>
        <v>0</v>
      </c>
      <c r="U78" s="21">
        <f t="shared" ca="1" si="13"/>
        <v>39691</v>
      </c>
      <c r="V78" s="4">
        <f ca="1">MIN(S78,PREMISSAS!$C$14)</f>
        <v>0</v>
      </c>
      <c r="W78" s="188"/>
      <c r="X78" s="188"/>
    </row>
    <row r="79" spans="2:24" x14ac:dyDescent="0.3">
      <c r="B79" s="21">
        <f t="shared" ca="1" si="14"/>
        <v>46965</v>
      </c>
      <c r="C79" s="22">
        <f ca="1">IF(B79="","",IF(LEFT(B79,2)="13",C78,IF(MONTH(B79)=1,C78*(1+PREMISSAS!$C$58),C78)))</f>
        <v>0</v>
      </c>
      <c r="E79" s="18">
        <v>75</v>
      </c>
      <c r="F79" s="21">
        <f t="shared" ca="1" si="15"/>
        <v>39721</v>
      </c>
      <c r="G79" s="22">
        <f ca="1">IFERROR(VLOOKUP(F79,RESULTADOS!$O$5:$P$543,2,FALSE),VLOOKUP(F79,$B$5:$C$842,2,FALSE))</f>
        <v>0</v>
      </c>
      <c r="H79" s="4">
        <f ca="1">IF(F79&lt;PREMISSAS!$D$7,0,IFERROR(VLOOKUP(IF(LEFT(F79,2)="13",DATE(YEAR(F78),12,31),F79),IPCA!$A:$D,4,FALSE),1)*G79)</f>
        <v>0</v>
      </c>
      <c r="J79" s="21">
        <f t="shared" ca="1" si="9"/>
        <v>39721</v>
      </c>
      <c r="K79" s="4">
        <f t="shared" ca="1" si="10"/>
        <v>0</v>
      </c>
      <c r="M79" s="21">
        <f t="shared" ca="1" si="16"/>
        <v>39721</v>
      </c>
      <c r="N79" s="37">
        <f t="shared" ca="1" si="11"/>
        <v>0</v>
      </c>
      <c r="O79" s="4">
        <f ca="1">IFERROR(AVERAGEIF(N$5:$N79,"&gt;="&amp;_xlfn.PERCENTILE.EXC(N$5:$N79,0.2)),0)</f>
        <v>0</v>
      </c>
      <c r="Q79" s="21">
        <f t="shared" ca="1" si="17"/>
        <v>39721</v>
      </c>
      <c r="R79" s="37">
        <f t="shared" ca="1" si="12"/>
        <v>0</v>
      </c>
      <c r="S79" s="4">
        <f ca="1">IFERROR(AVERAGE($R$5:R79),0)</f>
        <v>0</v>
      </c>
      <c r="U79" s="21">
        <f t="shared" ca="1" si="13"/>
        <v>39721</v>
      </c>
      <c r="V79" s="4">
        <f ca="1">MIN(S79,PREMISSAS!$C$14)</f>
        <v>0</v>
      </c>
      <c r="W79" s="188"/>
      <c r="X79" s="188"/>
    </row>
    <row r="80" spans="2:24" x14ac:dyDescent="0.3">
      <c r="B80" s="21">
        <f t="shared" ca="1" si="14"/>
        <v>46996</v>
      </c>
      <c r="C80" s="22">
        <f ca="1">IF(B80="","",IF(LEFT(B80,2)="13",C79,IF(MONTH(B80)=1,C79*(1+PREMISSAS!$C$58),C79)))</f>
        <v>0</v>
      </c>
      <c r="E80" s="18">
        <v>76</v>
      </c>
      <c r="F80" s="21">
        <f t="shared" ca="1" si="15"/>
        <v>39752</v>
      </c>
      <c r="G80" s="22">
        <f ca="1">IFERROR(VLOOKUP(F80,RESULTADOS!$O$5:$P$543,2,FALSE),VLOOKUP(F80,$B$5:$C$842,2,FALSE))</f>
        <v>0</v>
      </c>
      <c r="H80" s="4">
        <f ca="1">IF(F80&lt;PREMISSAS!$D$7,0,IFERROR(VLOOKUP(IF(LEFT(F80,2)="13",DATE(YEAR(F79),12,31),F80),IPCA!$A:$D,4,FALSE),1)*G80)</f>
        <v>0</v>
      </c>
      <c r="J80" s="21">
        <f t="shared" ca="1" si="9"/>
        <v>39752</v>
      </c>
      <c r="K80" s="4">
        <f t="shared" ca="1" si="10"/>
        <v>0</v>
      </c>
      <c r="M80" s="21">
        <f t="shared" ca="1" si="16"/>
        <v>39752</v>
      </c>
      <c r="N80" s="37">
        <f t="shared" ca="1" si="11"/>
        <v>0</v>
      </c>
      <c r="O80" s="4">
        <f ca="1">IFERROR(AVERAGEIF(N$5:$N80,"&gt;="&amp;_xlfn.PERCENTILE.EXC(N$5:$N80,0.2)),0)</f>
        <v>0</v>
      </c>
      <c r="Q80" s="21">
        <f t="shared" ca="1" si="17"/>
        <v>39752</v>
      </c>
      <c r="R80" s="37">
        <f t="shared" ca="1" si="12"/>
        <v>0</v>
      </c>
      <c r="S80" s="4">
        <f ca="1">IFERROR(AVERAGE($R$5:R80),0)</f>
        <v>0</v>
      </c>
      <c r="U80" s="21">
        <f t="shared" ca="1" si="13"/>
        <v>39752</v>
      </c>
      <c r="V80" s="4">
        <f ca="1">MIN(S80,PREMISSAS!$C$14)</f>
        <v>0</v>
      </c>
      <c r="W80" s="188"/>
      <c r="X80" s="188"/>
    </row>
    <row r="81" spans="2:24" x14ac:dyDescent="0.3">
      <c r="B81" s="21">
        <f t="shared" ca="1" si="14"/>
        <v>47026</v>
      </c>
      <c r="C81" s="22">
        <f ca="1">IF(B81="","",IF(LEFT(B81,2)="13",C80,IF(MONTH(B81)=1,C80*(1+PREMISSAS!$C$58),C80)))</f>
        <v>0</v>
      </c>
      <c r="E81" s="18">
        <v>77</v>
      </c>
      <c r="F81" s="21">
        <f t="shared" ca="1" si="15"/>
        <v>39782</v>
      </c>
      <c r="G81" s="22">
        <f ca="1">IFERROR(VLOOKUP(F81,RESULTADOS!$O$5:$P$543,2,FALSE),VLOOKUP(F81,$B$5:$C$842,2,FALSE))</f>
        <v>0</v>
      </c>
      <c r="H81" s="4">
        <f ca="1">IF(F81&lt;PREMISSAS!$D$7,0,IFERROR(VLOOKUP(IF(LEFT(F81,2)="13",DATE(YEAR(F80),12,31),F81),IPCA!$A:$D,4,FALSE),1)*G81)</f>
        <v>0</v>
      </c>
      <c r="J81" s="21">
        <f t="shared" ca="1" si="9"/>
        <v>39782</v>
      </c>
      <c r="K81" s="4">
        <f t="shared" ca="1" si="10"/>
        <v>0</v>
      </c>
      <c r="M81" s="21">
        <f t="shared" ca="1" si="16"/>
        <v>39782</v>
      </c>
      <c r="N81" s="37">
        <f t="shared" ca="1" si="11"/>
        <v>0</v>
      </c>
      <c r="O81" s="4">
        <f ca="1">IFERROR(AVERAGEIF(N$5:$N81,"&gt;="&amp;_xlfn.PERCENTILE.EXC(N$5:$N81,0.2)),0)</f>
        <v>0</v>
      </c>
      <c r="Q81" s="21">
        <f t="shared" ca="1" si="17"/>
        <v>39782</v>
      </c>
      <c r="R81" s="37">
        <f t="shared" ca="1" si="12"/>
        <v>0</v>
      </c>
      <c r="S81" s="4">
        <f ca="1">IFERROR(AVERAGE($R$5:R81),0)</f>
        <v>0</v>
      </c>
      <c r="U81" s="21">
        <f t="shared" ca="1" si="13"/>
        <v>39782</v>
      </c>
      <c r="V81" s="4">
        <f ca="1">MIN(S81,PREMISSAS!$C$14)</f>
        <v>0</v>
      </c>
      <c r="W81" s="188"/>
      <c r="X81" s="188"/>
    </row>
    <row r="82" spans="2:24" x14ac:dyDescent="0.3">
      <c r="B82" s="21">
        <f t="shared" ca="1" si="14"/>
        <v>47057</v>
      </c>
      <c r="C82" s="22">
        <f ca="1">IF(B82="","",IF(LEFT(B82,2)="13",C81,IF(MONTH(B82)=1,C81*(1+PREMISSAS!$C$58),C81)))</f>
        <v>0</v>
      </c>
      <c r="E82" s="18">
        <v>78</v>
      </c>
      <c r="F82" s="21" t="str">
        <f t="shared" ca="1" si="15"/>
        <v>13º 2008</v>
      </c>
      <c r="G82" s="22">
        <f ca="1">IFERROR(VLOOKUP(F82,RESULTADOS!$O$5:$P$543,2,FALSE),VLOOKUP(F82,$B$5:$C$842,2,FALSE))</f>
        <v>0</v>
      </c>
      <c r="H82" s="4">
        <f ca="1">IF(F82&lt;PREMISSAS!$D$7,0,IFERROR(VLOOKUP(IF(LEFT(F82,2)="13",DATE(YEAR(F81),12,31),F82),IPCA!$A:$D,4,FALSE),1)*G82)</f>
        <v>0</v>
      </c>
      <c r="J82" s="21" t="str">
        <f t="shared" ca="1" si="9"/>
        <v>13º 2008</v>
      </c>
      <c r="K82" s="4">
        <f t="shared" ca="1" si="10"/>
        <v>0</v>
      </c>
      <c r="M82" s="21" t="str">
        <f t="shared" ca="1" si="16"/>
        <v>13º 2008</v>
      </c>
      <c r="N82" s="37">
        <f t="shared" ca="1" si="11"/>
        <v>0</v>
      </c>
      <c r="O82" s="4">
        <f ca="1">IFERROR(AVERAGEIF(N$5:$N82,"&gt;="&amp;_xlfn.PERCENTILE.EXC(N$5:$N82,0.2)),0)</f>
        <v>0</v>
      </c>
      <c r="Q82" s="21" t="str">
        <f t="shared" ca="1" si="17"/>
        <v>13º 2008</v>
      </c>
      <c r="R82" s="37">
        <f t="shared" ca="1" si="12"/>
        <v>0</v>
      </c>
      <c r="S82" s="4">
        <f ca="1">IFERROR(AVERAGE($R$5:R82),0)</f>
        <v>0</v>
      </c>
      <c r="U82" s="21" t="str">
        <f t="shared" ca="1" si="13"/>
        <v>13º 2008</v>
      </c>
      <c r="V82" s="4">
        <f ca="1">MIN(S82,PREMISSAS!$C$14)</f>
        <v>0</v>
      </c>
      <c r="W82" s="188"/>
      <c r="X82" s="188"/>
    </row>
    <row r="83" spans="2:24" x14ac:dyDescent="0.3">
      <c r="B83" s="21">
        <f t="shared" ca="1" si="14"/>
        <v>47087</v>
      </c>
      <c r="C83" s="22">
        <f ca="1">IF(B83="","",IF(LEFT(B83,2)="13",C82,IF(MONTH(B83)=1,C82*(1+PREMISSAS!$C$58),C82)))</f>
        <v>0</v>
      </c>
      <c r="E83" s="18">
        <v>79</v>
      </c>
      <c r="F83" s="21">
        <f t="shared" ca="1" si="15"/>
        <v>39813</v>
      </c>
      <c r="G83" s="22">
        <f ca="1">IFERROR(VLOOKUP(F83,RESULTADOS!$O$5:$P$543,2,FALSE),VLOOKUP(F83,$B$5:$C$842,2,FALSE))</f>
        <v>0</v>
      </c>
      <c r="H83" s="4">
        <f ca="1">IF(F83&lt;PREMISSAS!$D$7,0,IFERROR(VLOOKUP(IF(LEFT(F83,2)="13",DATE(YEAR(F82),12,31),F83),IPCA!$A:$D,4,FALSE),1)*G83)</f>
        <v>0</v>
      </c>
      <c r="J83" s="21">
        <f t="shared" ca="1" si="9"/>
        <v>39813</v>
      </c>
      <c r="K83" s="4">
        <f t="shared" ca="1" si="10"/>
        <v>0</v>
      </c>
      <c r="M83" s="21">
        <f t="shared" ca="1" si="16"/>
        <v>39813</v>
      </c>
      <c r="N83" s="37">
        <f t="shared" ca="1" si="11"/>
        <v>0</v>
      </c>
      <c r="O83" s="4">
        <f ca="1">IFERROR(AVERAGEIF(N$5:$N83,"&gt;="&amp;_xlfn.PERCENTILE.EXC(N$5:$N83,0.2)),0)</f>
        <v>0</v>
      </c>
      <c r="Q83" s="21">
        <f t="shared" ca="1" si="17"/>
        <v>39813</v>
      </c>
      <c r="R83" s="37">
        <f t="shared" ca="1" si="12"/>
        <v>0</v>
      </c>
      <c r="S83" s="4">
        <f ca="1">IFERROR(AVERAGE($R$5:R83),0)</f>
        <v>0</v>
      </c>
      <c r="U83" s="21">
        <f t="shared" ca="1" si="13"/>
        <v>39813</v>
      </c>
      <c r="V83" s="4">
        <f ca="1">MIN(S83,PREMISSAS!$C$14)</f>
        <v>0</v>
      </c>
      <c r="W83" s="188"/>
      <c r="X83" s="188"/>
    </row>
    <row r="84" spans="2:24" x14ac:dyDescent="0.3">
      <c r="B84" s="21" t="str">
        <f t="shared" ca="1" si="14"/>
        <v>13º 2028</v>
      </c>
      <c r="C84" s="22">
        <f ca="1">IF(B84="","",IF(LEFT(B84,2)="13",C83,IF(MONTH(B84)=1,C83*(1+PREMISSAS!$C$58),C83)))</f>
        <v>0</v>
      </c>
      <c r="E84" s="18">
        <v>80</v>
      </c>
      <c r="F84" s="21">
        <f t="shared" ca="1" si="15"/>
        <v>39844</v>
      </c>
      <c r="G84" s="22">
        <f ca="1">IFERROR(VLOOKUP(F84,RESULTADOS!$O$5:$P$543,2,FALSE),VLOOKUP(F84,$B$5:$C$842,2,FALSE))</f>
        <v>0</v>
      </c>
      <c r="H84" s="4">
        <f ca="1">IF(F84&lt;PREMISSAS!$D$7,0,IFERROR(VLOOKUP(IF(LEFT(F84,2)="13",DATE(YEAR(F83),12,31),F84),IPCA!$A:$D,4,FALSE),1)*G84)</f>
        <v>0</v>
      </c>
      <c r="J84" s="21">
        <f t="shared" ca="1" si="9"/>
        <v>39844</v>
      </c>
      <c r="K84" s="4">
        <f t="shared" ca="1" si="10"/>
        <v>0</v>
      </c>
      <c r="M84" s="21">
        <f t="shared" ca="1" si="16"/>
        <v>39844</v>
      </c>
      <c r="N84" s="37">
        <f t="shared" ca="1" si="11"/>
        <v>0</v>
      </c>
      <c r="O84" s="4">
        <f ca="1">IFERROR(AVERAGEIF(N$5:$N84,"&gt;="&amp;_xlfn.PERCENTILE.EXC(N$5:$N84,0.2)),0)</f>
        <v>0</v>
      </c>
      <c r="Q84" s="21">
        <f t="shared" ca="1" si="17"/>
        <v>39844</v>
      </c>
      <c r="R84" s="37">
        <f t="shared" ca="1" si="12"/>
        <v>0</v>
      </c>
      <c r="S84" s="4">
        <f ca="1">IFERROR(AVERAGE($R$5:R84),0)</f>
        <v>0</v>
      </c>
      <c r="U84" s="21">
        <f t="shared" ca="1" si="13"/>
        <v>39844</v>
      </c>
      <c r="V84" s="4">
        <f ca="1">MIN(S84,PREMISSAS!$C$14)</f>
        <v>0</v>
      </c>
      <c r="W84" s="188"/>
      <c r="X84" s="188"/>
    </row>
    <row r="85" spans="2:24" x14ac:dyDescent="0.3">
      <c r="B85" s="21">
        <f t="shared" ca="1" si="14"/>
        <v>47118</v>
      </c>
      <c r="C85" s="22">
        <f ca="1">IF(B85="","",IF(LEFT(B85,2)="13",C84,IF(MONTH(B85)=1,C84*(1+PREMISSAS!$C$58),C84)))</f>
        <v>0</v>
      </c>
      <c r="E85" s="18">
        <v>81</v>
      </c>
      <c r="F85" s="21">
        <f t="shared" ca="1" si="15"/>
        <v>39872</v>
      </c>
      <c r="G85" s="22">
        <f ca="1">IFERROR(VLOOKUP(F85,RESULTADOS!$O$5:$P$543,2,FALSE),VLOOKUP(F85,$B$5:$C$842,2,FALSE))</f>
        <v>0</v>
      </c>
      <c r="H85" s="4">
        <f ca="1">IF(F85&lt;PREMISSAS!$D$7,0,IFERROR(VLOOKUP(IF(LEFT(F85,2)="13",DATE(YEAR(F84),12,31),F85),IPCA!$A:$D,4,FALSE),1)*G85)</f>
        <v>0</v>
      </c>
      <c r="J85" s="21">
        <f t="shared" ca="1" si="9"/>
        <v>39872</v>
      </c>
      <c r="K85" s="4">
        <f t="shared" ca="1" si="10"/>
        <v>0</v>
      </c>
      <c r="M85" s="21">
        <f t="shared" ca="1" si="16"/>
        <v>39872</v>
      </c>
      <c r="N85" s="37">
        <f t="shared" ca="1" si="11"/>
        <v>0</v>
      </c>
      <c r="O85" s="4">
        <f ca="1">IFERROR(AVERAGEIF(N$5:$N85,"&gt;="&amp;_xlfn.PERCENTILE.EXC(N$5:$N85,0.2)),0)</f>
        <v>0</v>
      </c>
      <c r="Q85" s="21">
        <f t="shared" ca="1" si="17"/>
        <v>39872</v>
      </c>
      <c r="R85" s="37">
        <f t="shared" ca="1" si="12"/>
        <v>0</v>
      </c>
      <c r="S85" s="4">
        <f ca="1">IFERROR(AVERAGE($R$5:R85),0)</f>
        <v>0</v>
      </c>
      <c r="U85" s="21">
        <f t="shared" ca="1" si="13"/>
        <v>39872</v>
      </c>
      <c r="V85" s="4">
        <f ca="1">MIN(S85,PREMISSAS!$C$14)</f>
        <v>0</v>
      </c>
      <c r="W85" s="188"/>
      <c r="X85" s="188"/>
    </row>
    <row r="86" spans="2:24" x14ac:dyDescent="0.3">
      <c r="B86" s="21">
        <f t="shared" ca="1" si="14"/>
        <v>47149</v>
      </c>
      <c r="C86" s="22">
        <f ca="1">IF(B86="","",IF(LEFT(B86,2)="13",C85,IF(MONTH(B86)=1,C85*(1+PREMISSAS!$C$58),C85)))</f>
        <v>0</v>
      </c>
      <c r="E86" s="18">
        <v>82</v>
      </c>
      <c r="F86" s="21">
        <f t="shared" ca="1" si="15"/>
        <v>39903</v>
      </c>
      <c r="G86" s="22">
        <f ca="1">IFERROR(VLOOKUP(F86,RESULTADOS!$O$5:$P$543,2,FALSE),VLOOKUP(F86,$B$5:$C$842,2,FALSE))</f>
        <v>0</v>
      </c>
      <c r="H86" s="4">
        <f ca="1">IF(F86&lt;PREMISSAS!$D$7,0,IFERROR(VLOOKUP(IF(LEFT(F86,2)="13",DATE(YEAR(F85),12,31),F86),IPCA!$A:$D,4,FALSE),1)*G86)</f>
        <v>0</v>
      </c>
      <c r="J86" s="21">
        <f t="shared" ca="1" si="9"/>
        <v>39903</v>
      </c>
      <c r="K86" s="4">
        <f t="shared" ca="1" si="10"/>
        <v>0</v>
      </c>
      <c r="M86" s="21">
        <f t="shared" ca="1" si="16"/>
        <v>39903</v>
      </c>
      <c r="N86" s="37">
        <f t="shared" ca="1" si="11"/>
        <v>0</v>
      </c>
      <c r="O86" s="4">
        <f ca="1">IFERROR(AVERAGEIF(N$5:$N86,"&gt;="&amp;_xlfn.PERCENTILE.EXC(N$5:$N86,0.2)),0)</f>
        <v>0</v>
      </c>
      <c r="Q86" s="21">
        <f t="shared" ca="1" si="17"/>
        <v>39903</v>
      </c>
      <c r="R86" s="37">
        <f t="shared" ca="1" si="12"/>
        <v>0</v>
      </c>
      <c r="S86" s="4">
        <f ca="1">IFERROR(AVERAGE($R$5:R86),0)</f>
        <v>0</v>
      </c>
      <c r="U86" s="21">
        <f t="shared" ca="1" si="13"/>
        <v>39903</v>
      </c>
      <c r="V86" s="4">
        <f ca="1">MIN(S86,PREMISSAS!$C$14)</f>
        <v>0</v>
      </c>
      <c r="W86" s="188"/>
      <c r="X86" s="188"/>
    </row>
    <row r="87" spans="2:24" x14ac:dyDescent="0.3">
      <c r="B87" s="21">
        <f t="shared" ca="1" si="14"/>
        <v>47177</v>
      </c>
      <c r="C87" s="22">
        <f ca="1">IF(B87="","",IF(LEFT(B87,2)="13",C86,IF(MONTH(B87)=1,C86*(1+PREMISSAS!$C$58),C86)))</f>
        <v>0</v>
      </c>
      <c r="E87" s="18">
        <v>83</v>
      </c>
      <c r="F87" s="21">
        <f t="shared" ca="1" si="15"/>
        <v>39933</v>
      </c>
      <c r="G87" s="22">
        <f ca="1">IFERROR(VLOOKUP(F87,RESULTADOS!$O$5:$P$543,2,FALSE),VLOOKUP(F87,$B$5:$C$842,2,FALSE))</f>
        <v>0</v>
      </c>
      <c r="H87" s="4">
        <f ca="1">IF(F87&lt;PREMISSAS!$D$7,0,IFERROR(VLOOKUP(IF(LEFT(F87,2)="13",DATE(YEAR(F86),12,31),F87),IPCA!$A:$D,4,FALSE),1)*G87)</f>
        <v>0</v>
      </c>
      <c r="J87" s="21">
        <f t="shared" ca="1" si="9"/>
        <v>39933</v>
      </c>
      <c r="K87" s="4">
        <f t="shared" ca="1" si="10"/>
        <v>0</v>
      </c>
      <c r="M87" s="21">
        <f t="shared" ca="1" si="16"/>
        <v>39933</v>
      </c>
      <c r="N87" s="37">
        <f t="shared" ca="1" si="11"/>
        <v>0</v>
      </c>
      <c r="O87" s="4">
        <f ca="1">IFERROR(AVERAGEIF(N$5:$N87,"&gt;="&amp;_xlfn.PERCENTILE.EXC(N$5:$N87,0.2)),0)</f>
        <v>0</v>
      </c>
      <c r="Q87" s="21">
        <f t="shared" ca="1" si="17"/>
        <v>39933</v>
      </c>
      <c r="R87" s="37">
        <f t="shared" ca="1" si="12"/>
        <v>0</v>
      </c>
      <c r="S87" s="4">
        <f ca="1">IFERROR(AVERAGE($R$5:R87),0)</f>
        <v>0</v>
      </c>
      <c r="U87" s="21">
        <f t="shared" ca="1" si="13"/>
        <v>39933</v>
      </c>
      <c r="V87" s="4">
        <f ca="1">MIN(S87,PREMISSAS!$C$14)</f>
        <v>0</v>
      </c>
      <c r="W87" s="188"/>
      <c r="X87" s="188"/>
    </row>
    <row r="88" spans="2:24" x14ac:dyDescent="0.3">
      <c r="B88" s="21">
        <f t="shared" ca="1" si="14"/>
        <v>47208</v>
      </c>
      <c r="C88" s="22">
        <f ca="1">IF(B88="","",IF(LEFT(B88,2)="13",C87,IF(MONTH(B88)=1,C87*(1+PREMISSAS!$C$58),C87)))</f>
        <v>0</v>
      </c>
      <c r="E88" s="18">
        <v>84</v>
      </c>
      <c r="F88" s="21">
        <f t="shared" ca="1" si="15"/>
        <v>39964</v>
      </c>
      <c r="G88" s="22">
        <f ca="1">IFERROR(VLOOKUP(F88,RESULTADOS!$O$5:$P$543,2,FALSE),VLOOKUP(F88,$B$5:$C$842,2,FALSE))</f>
        <v>0</v>
      </c>
      <c r="H88" s="4">
        <f ca="1">IF(F88&lt;PREMISSAS!$D$7,0,IFERROR(VLOOKUP(IF(LEFT(F88,2)="13",DATE(YEAR(F87),12,31),F88),IPCA!$A:$D,4,FALSE),1)*G88)</f>
        <v>0</v>
      </c>
      <c r="J88" s="21">
        <f t="shared" ca="1" si="9"/>
        <v>39964</v>
      </c>
      <c r="K88" s="4">
        <f t="shared" ca="1" si="10"/>
        <v>0</v>
      </c>
      <c r="M88" s="21">
        <f t="shared" ca="1" si="16"/>
        <v>39964</v>
      </c>
      <c r="N88" s="37">
        <f t="shared" ca="1" si="11"/>
        <v>0</v>
      </c>
      <c r="O88" s="4">
        <f ca="1">IFERROR(AVERAGEIF(N$5:$N88,"&gt;="&amp;_xlfn.PERCENTILE.EXC(N$5:$N88,0.2)),0)</f>
        <v>0</v>
      </c>
      <c r="Q88" s="21">
        <f t="shared" ca="1" si="17"/>
        <v>39964</v>
      </c>
      <c r="R88" s="37">
        <f t="shared" ca="1" si="12"/>
        <v>0</v>
      </c>
      <c r="S88" s="4">
        <f ca="1">IFERROR(AVERAGE($R$5:R88),0)</f>
        <v>0</v>
      </c>
      <c r="U88" s="21">
        <f t="shared" ca="1" si="13"/>
        <v>39964</v>
      </c>
      <c r="V88" s="4">
        <f ca="1">MIN(S88,PREMISSAS!$C$14)</f>
        <v>0</v>
      </c>
      <c r="W88" s="188"/>
      <c r="X88" s="188"/>
    </row>
    <row r="89" spans="2:24" x14ac:dyDescent="0.3">
      <c r="B89" s="21">
        <f t="shared" ca="1" si="14"/>
        <v>47238</v>
      </c>
      <c r="C89" s="22">
        <f ca="1">IF(B89="","",IF(LEFT(B89,2)="13",C88,IF(MONTH(B89)=1,C88*(1+PREMISSAS!$C$58),C88)))</f>
        <v>0</v>
      </c>
      <c r="E89" s="18">
        <v>85</v>
      </c>
      <c r="F89" s="21">
        <f t="shared" ca="1" si="15"/>
        <v>39994</v>
      </c>
      <c r="G89" s="22">
        <f ca="1">IFERROR(VLOOKUP(F89,RESULTADOS!$O$5:$P$543,2,FALSE),VLOOKUP(F89,$B$5:$C$842,2,FALSE))</f>
        <v>0</v>
      </c>
      <c r="H89" s="4">
        <f ca="1">IF(F89&lt;PREMISSAS!$D$7,0,IFERROR(VLOOKUP(IF(LEFT(F89,2)="13",DATE(YEAR(F88),12,31),F89),IPCA!$A:$D,4,FALSE),1)*G89)</f>
        <v>0</v>
      </c>
      <c r="J89" s="21">
        <f t="shared" ca="1" si="9"/>
        <v>39994</v>
      </c>
      <c r="K89" s="4">
        <f t="shared" ca="1" si="10"/>
        <v>0</v>
      </c>
      <c r="M89" s="21">
        <f t="shared" ca="1" si="16"/>
        <v>39994</v>
      </c>
      <c r="N89" s="37">
        <f t="shared" ca="1" si="11"/>
        <v>0</v>
      </c>
      <c r="O89" s="4">
        <f ca="1">IFERROR(AVERAGEIF(N$5:$N89,"&gt;="&amp;_xlfn.PERCENTILE.EXC(N$5:$N89,0.2)),0)</f>
        <v>0</v>
      </c>
      <c r="Q89" s="21">
        <f t="shared" ca="1" si="17"/>
        <v>39994</v>
      </c>
      <c r="R89" s="37">
        <f t="shared" ca="1" si="12"/>
        <v>0</v>
      </c>
      <c r="S89" s="4">
        <f ca="1">IFERROR(AVERAGE($R$5:R89),0)</f>
        <v>0</v>
      </c>
      <c r="U89" s="21">
        <f t="shared" ca="1" si="13"/>
        <v>39994</v>
      </c>
      <c r="V89" s="4">
        <f ca="1">MIN(S89,PREMISSAS!$C$14)</f>
        <v>0</v>
      </c>
      <c r="W89" s="188"/>
      <c r="X89" s="188"/>
    </row>
    <row r="90" spans="2:24" x14ac:dyDescent="0.3">
      <c r="B90" s="21">
        <f t="shared" ca="1" si="14"/>
        <v>47269</v>
      </c>
      <c r="C90" s="22">
        <f ca="1">IF(B90="","",IF(LEFT(B90,2)="13",C89,IF(MONTH(B90)=1,C89*(1+PREMISSAS!$C$58),C89)))</f>
        <v>0</v>
      </c>
      <c r="E90" s="18">
        <v>86</v>
      </c>
      <c r="F90" s="21">
        <f t="shared" ca="1" si="15"/>
        <v>40025</v>
      </c>
      <c r="G90" s="22">
        <f ca="1">IFERROR(VLOOKUP(F90,RESULTADOS!$O$5:$P$543,2,FALSE),VLOOKUP(F90,$B$5:$C$842,2,FALSE))</f>
        <v>0</v>
      </c>
      <c r="H90" s="4">
        <f ca="1">IF(F90&lt;PREMISSAS!$D$7,0,IFERROR(VLOOKUP(IF(LEFT(F90,2)="13",DATE(YEAR(F89),12,31),F90),IPCA!$A:$D,4,FALSE),1)*G90)</f>
        <v>0</v>
      </c>
      <c r="J90" s="21">
        <f t="shared" ca="1" si="9"/>
        <v>40025</v>
      </c>
      <c r="K90" s="4">
        <f t="shared" ca="1" si="10"/>
        <v>0</v>
      </c>
      <c r="M90" s="21">
        <f t="shared" ca="1" si="16"/>
        <v>40025</v>
      </c>
      <c r="N90" s="37">
        <f t="shared" ca="1" si="11"/>
        <v>0</v>
      </c>
      <c r="O90" s="4">
        <f ca="1">IFERROR(AVERAGEIF(N$5:$N90,"&gt;="&amp;_xlfn.PERCENTILE.EXC(N$5:$N90,0.2)),0)</f>
        <v>0</v>
      </c>
      <c r="Q90" s="21">
        <f t="shared" ca="1" si="17"/>
        <v>40025</v>
      </c>
      <c r="R90" s="37">
        <f t="shared" ca="1" si="12"/>
        <v>0</v>
      </c>
      <c r="S90" s="4">
        <f ca="1">IFERROR(AVERAGE($R$5:R90),0)</f>
        <v>0</v>
      </c>
      <c r="U90" s="21">
        <f t="shared" ca="1" si="13"/>
        <v>40025</v>
      </c>
      <c r="V90" s="4">
        <f ca="1">MIN(S90,PREMISSAS!$C$14)</f>
        <v>0</v>
      </c>
      <c r="W90" s="188"/>
      <c r="X90" s="188"/>
    </row>
    <row r="91" spans="2:24" x14ac:dyDescent="0.3">
      <c r="B91" s="21">
        <f t="shared" ca="1" si="14"/>
        <v>47299</v>
      </c>
      <c r="C91" s="22">
        <f ca="1">IF(B91="","",IF(LEFT(B91,2)="13",C90,IF(MONTH(B91)=1,C90*(1+PREMISSAS!$C$58),C90)))</f>
        <v>0</v>
      </c>
      <c r="E91" s="18">
        <v>87</v>
      </c>
      <c r="F91" s="21">
        <f t="shared" ca="1" si="15"/>
        <v>40056</v>
      </c>
      <c r="G91" s="22">
        <f ca="1">IFERROR(VLOOKUP(F91,RESULTADOS!$O$5:$P$543,2,FALSE),VLOOKUP(F91,$B$5:$C$842,2,FALSE))</f>
        <v>0</v>
      </c>
      <c r="H91" s="4">
        <f ca="1">IF(F91&lt;PREMISSAS!$D$7,0,IFERROR(VLOOKUP(IF(LEFT(F91,2)="13",DATE(YEAR(F90),12,31),F91),IPCA!$A:$D,4,FALSE),1)*G91)</f>
        <v>0</v>
      </c>
      <c r="J91" s="21">
        <f t="shared" ca="1" si="9"/>
        <v>40056</v>
      </c>
      <c r="K91" s="4">
        <f t="shared" ca="1" si="10"/>
        <v>0</v>
      </c>
      <c r="M91" s="21">
        <f t="shared" ca="1" si="16"/>
        <v>40056</v>
      </c>
      <c r="N91" s="37">
        <f t="shared" ca="1" si="11"/>
        <v>0</v>
      </c>
      <c r="O91" s="4">
        <f ca="1">IFERROR(AVERAGEIF(N$5:$N91,"&gt;="&amp;_xlfn.PERCENTILE.EXC(N$5:$N91,0.2)),0)</f>
        <v>0</v>
      </c>
      <c r="Q91" s="21">
        <f t="shared" ca="1" si="17"/>
        <v>40056</v>
      </c>
      <c r="R91" s="37">
        <f t="shared" ca="1" si="12"/>
        <v>0</v>
      </c>
      <c r="S91" s="4">
        <f ca="1">IFERROR(AVERAGE($R$5:R91),0)</f>
        <v>0</v>
      </c>
      <c r="U91" s="21">
        <f t="shared" ca="1" si="13"/>
        <v>40056</v>
      </c>
      <c r="V91" s="4">
        <f ca="1">MIN(S91,PREMISSAS!$C$14)</f>
        <v>0</v>
      </c>
      <c r="W91" s="188"/>
      <c r="X91" s="188"/>
    </row>
    <row r="92" spans="2:24" x14ac:dyDescent="0.3">
      <c r="B92" s="21">
        <f t="shared" ca="1" si="14"/>
        <v>47330</v>
      </c>
      <c r="C92" s="22">
        <f ca="1">IF(B92="","",IF(LEFT(B92,2)="13",C91,IF(MONTH(B92)=1,C91*(1+PREMISSAS!$C$58),C91)))</f>
        <v>0</v>
      </c>
      <c r="E92" s="18">
        <v>88</v>
      </c>
      <c r="F92" s="21">
        <f t="shared" ca="1" si="15"/>
        <v>40086</v>
      </c>
      <c r="G92" s="22">
        <f ca="1">IFERROR(VLOOKUP(F92,RESULTADOS!$O$5:$P$543,2,FALSE),VLOOKUP(F92,$B$5:$C$842,2,FALSE))</f>
        <v>0</v>
      </c>
      <c r="H92" s="4">
        <f ca="1">IF(F92&lt;PREMISSAS!$D$7,0,IFERROR(VLOOKUP(IF(LEFT(F92,2)="13",DATE(YEAR(F91),12,31),F92),IPCA!$A:$D,4,FALSE),1)*G92)</f>
        <v>0</v>
      </c>
      <c r="J92" s="21">
        <f t="shared" ca="1" si="9"/>
        <v>40086</v>
      </c>
      <c r="K92" s="4">
        <f t="shared" ca="1" si="10"/>
        <v>0</v>
      </c>
      <c r="M92" s="21">
        <f t="shared" ca="1" si="16"/>
        <v>40086</v>
      </c>
      <c r="N92" s="37">
        <f t="shared" ca="1" si="11"/>
        <v>0</v>
      </c>
      <c r="O92" s="4">
        <f ca="1">IFERROR(AVERAGEIF(N$5:$N92,"&gt;="&amp;_xlfn.PERCENTILE.EXC(N$5:$N92,0.2)),0)</f>
        <v>0</v>
      </c>
      <c r="Q92" s="21">
        <f t="shared" ca="1" si="17"/>
        <v>40086</v>
      </c>
      <c r="R92" s="37">
        <f t="shared" ca="1" si="12"/>
        <v>0</v>
      </c>
      <c r="S92" s="4">
        <f ca="1">IFERROR(AVERAGE($R$5:R92),0)</f>
        <v>0</v>
      </c>
      <c r="U92" s="21">
        <f t="shared" ca="1" si="13"/>
        <v>40086</v>
      </c>
      <c r="V92" s="4">
        <f ca="1">MIN(S92,PREMISSAS!$C$14)</f>
        <v>0</v>
      </c>
      <c r="W92" s="188"/>
      <c r="X92" s="188"/>
    </row>
    <row r="93" spans="2:24" x14ac:dyDescent="0.3">
      <c r="B93" s="21">
        <f t="shared" ca="1" si="14"/>
        <v>47361</v>
      </c>
      <c r="C93" s="22">
        <f ca="1">IF(B93="","",IF(LEFT(B93,2)="13",C92,IF(MONTH(B93)=1,C92*(1+PREMISSAS!$C$58),C92)))</f>
        <v>0</v>
      </c>
      <c r="E93" s="18">
        <v>89</v>
      </c>
      <c r="F93" s="21">
        <f t="shared" ca="1" si="15"/>
        <v>40117</v>
      </c>
      <c r="G93" s="22">
        <f ca="1">IFERROR(VLOOKUP(F93,RESULTADOS!$O$5:$P$543,2,FALSE),VLOOKUP(F93,$B$5:$C$842,2,FALSE))</f>
        <v>0</v>
      </c>
      <c r="H93" s="4">
        <f ca="1">IF(F93&lt;PREMISSAS!$D$7,0,IFERROR(VLOOKUP(IF(LEFT(F93,2)="13",DATE(YEAR(F92),12,31),F93),IPCA!$A:$D,4,FALSE),1)*G93)</f>
        <v>0</v>
      </c>
      <c r="J93" s="21">
        <f t="shared" ca="1" si="9"/>
        <v>40117</v>
      </c>
      <c r="K93" s="4">
        <f t="shared" ca="1" si="10"/>
        <v>0</v>
      </c>
      <c r="M93" s="21">
        <f t="shared" ca="1" si="16"/>
        <v>40117</v>
      </c>
      <c r="N93" s="37">
        <f t="shared" ca="1" si="11"/>
        <v>0</v>
      </c>
      <c r="O93" s="4">
        <f ca="1">IFERROR(AVERAGEIF(N$5:$N93,"&gt;="&amp;_xlfn.PERCENTILE.EXC(N$5:$N93,0.2)),0)</f>
        <v>0</v>
      </c>
      <c r="Q93" s="21">
        <f t="shared" ca="1" si="17"/>
        <v>40117</v>
      </c>
      <c r="R93" s="37">
        <f t="shared" ca="1" si="12"/>
        <v>0</v>
      </c>
      <c r="S93" s="4">
        <f ca="1">IFERROR(AVERAGE($R$5:R93),0)</f>
        <v>0</v>
      </c>
      <c r="U93" s="21">
        <f t="shared" ca="1" si="13"/>
        <v>40117</v>
      </c>
      <c r="V93" s="4">
        <f ca="1">MIN(S93,PREMISSAS!$C$14)</f>
        <v>0</v>
      </c>
      <c r="W93" s="188"/>
      <c r="X93" s="188"/>
    </row>
    <row r="94" spans="2:24" x14ac:dyDescent="0.3">
      <c r="B94" s="21">
        <f t="shared" ca="1" si="14"/>
        <v>47391</v>
      </c>
      <c r="C94" s="22">
        <f ca="1">IF(B94="","",IF(LEFT(B94,2)="13",C93,IF(MONTH(B94)=1,C93*(1+PREMISSAS!$C$58),C93)))</f>
        <v>0</v>
      </c>
      <c r="E94" s="18">
        <v>90</v>
      </c>
      <c r="F94" s="21">
        <f t="shared" ca="1" si="15"/>
        <v>40147</v>
      </c>
      <c r="G94" s="22">
        <f ca="1">IFERROR(VLOOKUP(F94,RESULTADOS!$O$5:$P$543,2,FALSE),VLOOKUP(F94,$B$5:$C$842,2,FALSE))</f>
        <v>0</v>
      </c>
      <c r="H94" s="4">
        <f ca="1">IF(F94&lt;PREMISSAS!$D$7,0,IFERROR(VLOOKUP(IF(LEFT(F94,2)="13",DATE(YEAR(F93),12,31),F94),IPCA!$A:$D,4,FALSE),1)*G94)</f>
        <v>0</v>
      </c>
      <c r="J94" s="21">
        <f t="shared" ca="1" si="9"/>
        <v>40147</v>
      </c>
      <c r="K94" s="4">
        <f t="shared" ca="1" si="10"/>
        <v>0</v>
      </c>
      <c r="M94" s="21">
        <f t="shared" ca="1" si="16"/>
        <v>40147</v>
      </c>
      <c r="N94" s="37">
        <f t="shared" ca="1" si="11"/>
        <v>0</v>
      </c>
      <c r="O94" s="4">
        <f ca="1">IFERROR(AVERAGEIF(N$5:$N94,"&gt;="&amp;_xlfn.PERCENTILE.EXC(N$5:$N94,0.2)),0)</f>
        <v>0</v>
      </c>
      <c r="Q94" s="21">
        <f t="shared" ca="1" si="17"/>
        <v>40147</v>
      </c>
      <c r="R94" s="37">
        <f t="shared" ca="1" si="12"/>
        <v>0</v>
      </c>
      <c r="S94" s="4">
        <f ca="1">IFERROR(AVERAGE($R$5:R94),0)</f>
        <v>0</v>
      </c>
      <c r="U94" s="21">
        <f t="shared" ca="1" si="13"/>
        <v>40147</v>
      </c>
      <c r="V94" s="4">
        <f ca="1">MIN(S94,PREMISSAS!$C$14)</f>
        <v>0</v>
      </c>
      <c r="W94" s="188"/>
      <c r="X94" s="188"/>
    </row>
    <row r="95" spans="2:24" x14ac:dyDescent="0.3">
      <c r="B95" s="21">
        <f t="shared" ca="1" si="14"/>
        <v>47422</v>
      </c>
      <c r="C95" s="22">
        <f ca="1">IF(B95="","",IF(LEFT(B95,2)="13",C94,IF(MONTH(B95)=1,C94*(1+PREMISSAS!$C$58),C94)))</f>
        <v>0</v>
      </c>
      <c r="E95" s="18">
        <v>91</v>
      </c>
      <c r="F95" s="21" t="str">
        <f t="shared" ca="1" si="15"/>
        <v>13º 2009</v>
      </c>
      <c r="G95" s="22">
        <f ca="1">IFERROR(VLOOKUP(F95,RESULTADOS!$O$5:$P$543,2,FALSE),VLOOKUP(F95,$B$5:$C$842,2,FALSE))</f>
        <v>0</v>
      </c>
      <c r="H95" s="4">
        <f ca="1">IF(F95&lt;PREMISSAS!$D$7,0,IFERROR(VLOOKUP(IF(LEFT(F95,2)="13",DATE(YEAR(F94),12,31),F95),IPCA!$A:$D,4,FALSE),1)*G95)</f>
        <v>0</v>
      </c>
      <c r="J95" s="21" t="str">
        <f t="shared" ca="1" si="9"/>
        <v>13º 2009</v>
      </c>
      <c r="K95" s="4">
        <f t="shared" ca="1" si="10"/>
        <v>0</v>
      </c>
      <c r="M95" s="21" t="str">
        <f t="shared" ca="1" si="16"/>
        <v>13º 2009</v>
      </c>
      <c r="N95" s="37">
        <f t="shared" ca="1" si="11"/>
        <v>0</v>
      </c>
      <c r="O95" s="4">
        <f ca="1">IFERROR(AVERAGEIF(N$5:$N95,"&gt;="&amp;_xlfn.PERCENTILE.EXC(N$5:$N95,0.2)),0)</f>
        <v>0</v>
      </c>
      <c r="Q95" s="21" t="str">
        <f t="shared" ca="1" si="17"/>
        <v>13º 2009</v>
      </c>
      <c r="R95" s="37">
        <f t="shared" ca="1" si="12"/>
        <v>0</v>
      </c>
      <c r="S95" s="4">
        <f ca="1">IFERROR(AVERAGE($R$5:R95),0)</f>
        <v>0</v>
      </c>
      <c r="U95" s="21" t="str">
        <f t="shared" ca="1" si="13"/>
        <v>13º 2009</v>
      </c>
      <c r="V95" s="4">
        <f ca="1">MIN(S95,PREMISSAS!$C$14)</f>
        <v>0</v>
      </c>
      <c r="W95" s="188"/>
      <c r="X95" s="188"/>
    </row>
    <row r="96" spans="2:24" x14ac:dyDescent="0.3">
      <c r="B96" s="21">
        <f t="shared" ca="1" si="14"/>
        <v>47452</v>
      </c>
      <c r="C96" s="22">
        <f ca="1">IF(B96="","",IF(LEFT(B96,2)="13",C95,IF(MONTH(B96)=1,C95*(1+PREMISSAS!$C$58),C95)))</f>
        <v>0</v>
      </c>
      <c r="E96" s="18">
        <v>92</v>
      </c>
      <c r="F96" s="21">
        <f t="shared" ca="1" si="15"/>
        <v>40178</v>
      </c>
      <c r="G96" s="22">
        <f ca="1">IFERROR(VLOOKUP(F96,RESULTADOS!$O$5:$P$543,2,FALSE),VLOOKUP(F96,$B$5:$C$842,2,FALSE))</f>
        <v>0</v>
      </c>
      <c r="H96" s="4">
        <f ca="1">IF(F96&lt;PREMISSAS!$D$7,0,IFERROR(VLOOKUP(IF(LEFT(F96,2)="13",DATE(YEAR(F95),12,31),F96),IPCA!$A:$D,4,FALSE),1)*G96)</f>
        <v>0</v>
      </c>
      <c r="J96" s="21">
        <f t="shared" ca="1" si="9"/>
        <v>40178</v>
      </c>
      <c r="K96" s="4">
        <f t="shared" ca="1" si="10"/>
        <v>0</v>
      </c>
      <c r="M96" s="21">
        <f t="shared" ca="1" si="16"/>
        <v>40178</v>
      </c>
      <c r="N96" s="37">
        <f t="shared" ca="1" si="11"/>
        <v>0</v>
      </c>
      <c r="O96" s="4">
        <f ca="1">IFERROR(AVERAGEIF(N$5:$N96,"&gt;="&amp;_xlfn.PERCENTILE.EXC(N$5:$N96,0.2)),0)</f>
        <v>0</v>
      </c>
      <c r="Q96" s="21">
        <f t="shared" ca="1" si="17"/>
        <v>40178</v>
      </c>
      <c r="R96" s="37">
        <f t="shared" ca="1" si="12"/>
        <v>0</v>
      </c>
      <c r="S96" s="4">
        <f ca="1">IFERROR(AVERAGE($R$5:R96),0)</f>
        <v>0</v>
      </c>
      <c r="U96" s="21">
        <f t="shared" ca="1" si="13"/>
        <v>40178</v>
      </c>
      <c r="V96" s="4">
        <f ca="1">MIN(S96,PREMISSAS!$C$14)</f>
        <v>0</v>
      </c>
      <c r="W96" s="188"/>
      <c r="X96" s="188"/>
    </row>
    <row r="97" spans="2:24" x14ac:dyDescent="0.3">
      <c r="B97" s="21" t="str">
        <f t="shared" ca="1" si="14"/>
        <v>13º 2029</v>
      </c>
      <c r="C97" s="22">
        <f ca="1">IF(B97="","",IF(LEFT(B97,2)="13",C96,IF(MONTH(B97)=1,C96*(1+PREMISSAS!$C$58),C96)))</f>
        <v>0</v>
      </c>
      <c r="E97" s="18">
        <v>93</v>
      </c>
      <c r="F97" s="21">
        <f t="shared" ca="1" si="15"/>
        <v>40209</v>
      </c>
      <c r="G97" s="22">
        <f ca="1">IFERROR(VLOOKUP(F97,RESULTADOS!$O$5:$P$543,2,FALSE),VLOOKUP(F97,$B$5:$C$842,2,FALSE))</f>
        <v>0</v>
      </c>
      <c r="H97" s="4">
        <f ca="1">IF(F97&lt;PREMISSAS!$D$7,0,IFERROR(VLOOKUP(IF(LEFT(F97,2)="13",DATE(YEAR(F96),12,31),F97),IPCA!$A:$D,4,FALSE),1)*G97)</f>
        <v>0</v>
      </c>
      <c r="J97" s="21">
        <f t="shared" ca="1" si="9"/>
        <v>40209</v>
      </c>
      <c r="K97" s="4">
        <f t="shared" ca="1" si="10"/>
        <v>0</v>
      </c>
      <c r="M97" s="21">
        <f t="shared" ca="1" si="16"/>
        <v>40209</v>
      </c>
      <c r="N97" s="37">
        <f t="shared" ca="1" si="11"/>
        <v>0</v>
      </c>
      <c r="O97" s="4">
        <f ca="1">IFERROR(AVERAGEIF(N$5:$N97,"&gt;="&amp;_xlfn.PERCENTILE.EXC(N$5:$N97,0.2)),0)</f>
        <v>0</v>
      </c>
      <c r="Q97" s="21">
        <f t="shared" ca="1" si="17"/>
        <v>40209</v>
      </c>
      <c r="R97" s="37">
        <f t="shared" ca="1" si="12"/>
        <v>0</v>
      </c>
      <c r="S97" s="4">
        <f ca="1">IFERROR(AVERAGE($R$5:R97),0)</f>
        <v>0</v>
      </c>
      <c r="U97" s="21">
        <f t="shared" ca="1" si="13"/>
        <v>40209</v>
      </c>
      <c r="V97" s="4">
        <f ca="1">MIN(S97,PREMISSAS!$C$14)</f>
        <v>0</v>
      </c>
      <c r="W97" s="188"/>
      <c r="X97" s="188"/>
    </row>
    <row r="98" spans="2:24" x14ac:dyDescent="0.3">
      <c r="B98" s="21">
        <f t="shared" ca="1" si="14"/>
        <v>47483</v>
      </c>
      <c r="C98" s="22">
        <f ca="1">IF(B98="","",IF(LEFT(B98,2)="13",C97,IF(MONTH(B98)=1,C97*(1+PREMISSAS!$C$58),C97)))</f>
        <v>0</v>
      </c>
      <c r="E98" s="18">
        <v>94</v>
      </c>
      <c r="F98" s="21">
        <f t="shared" ca="1" si="15"/>
        <v>40237</v>
      </c>
      <c r="G98" s="22">
        <f ca="1">IFERROR(VLOOKUP(F98,RESULTADOS!$O$5:$P$543,2,FALSE),VLOOKUP(F98,$B$5:$C$842,2,FALSE))</f>
        <v>0</v>
      </c>
      <c r="H98" s="4">
        <f ca="1">IF(F98&lt;PREMISSAS!$D$7,0,IFERROR(VLOOKUP(IF(LEFT(F98,2)="13",DATE(YEAR(F97),12,31),F98),IPCA!$A:$D,4,FALSE),1)*G98)</f>
        <v>0</v>
      </c>
      <c r="J98" s="21">
        <f t="shared" ca="1" si="9"/>
        <v>40237</v>
      </c>
      <c r="K98" s="4">
        <f t="shared" ca="1" si="10"/>
        <v>0</v>
      </c>
      <c r="M98" s="21">
        <f t="shared" ca="1" si="16"/>
        <v>40237</v>
      </c>
      <c r="N98" s="37">
        <f t="shared" ca="1" si="11"/>
        <v>0</v>
      </c>
      <c r="O98" s="4">
        <f ca="1">IFERROR(AVERAGEIF(N$5:$N98,"&gt;="&amp;_xlfn.PERCENTILE.EXC(N$5:$N98,0.2)),0)</f>
        <v>0</v>
      </c>
      <c r="Q98" s="21">
        <f t="shared" ca="1" si="17"/>
        <v>40237</v>
      </c>
      <c r="R98" s="37">
        <f t="shared" ca="1" si="12"/>
        <v>0</v>
      </c>
      <c r="S98" s="4">
        <f ca="1">IFERROR(AVERAGE($R$5:R98),0)</f>
        <v>0</v>
      </c>
      <c r="U98" s="21">
        <f t="shared" ca="1" si="13"/>
        <v>40237</v>
      </c>
      <c r="V98" s="4">
        <f ca="1">MIN(S98,PREMISSAS!$C$14)</f>
        <v>0</v>
      </c>
      <c r="W98" s="188"/>
      <c r="X98" s="188"/>
    </row>
    <row r="99" spans="2:24" x14ac:dyDescent="0.3">
      <c r="B99" s="21">
        <f t="shared" ca="1" si="14"/>
        <v>47514</v>
      </c>
      <c r="C99" s="22">
        <f ca="1">IF(B99="","",IF(LEFT(B99,2)="13",C98,IF(MONTH(B99)=1,C98*(1+PREMISSAS!$C$58),C98)))</f>
        <v>0</v>
      </c>
      <c r="E99" s="18">
        <v>95</v>
      </c>
      <c r="F99" s="21">
        <f t="shared" ca="1" si="15"/>
        <v>40268</v>
      </c>
      <c r="G99" s="22">
        <f ca="1">IFERROR(VLOOKUP(F99,RESULTADOS!$O$5:$P$543,2,FALSE),VLOOKUP(F99,$B$5:$C$842,2,FALSE))</f>
        <v>0</v>
      </c>
      <c r="H99" s="4">
        <f ca="1">IF(F99&lt;PREMISSAS!$D$7,0,IFERROR(VLOOKUP(IF(LEFT(F99,2)="13",DATE(YEAR(F98),12,31),F99),IPCA!$A:$D,4,FALSE),1)*G99)</f>
        <v>0</v>
      </c>
      <c r="J99" s="21">
        <f t="shared" ca="1" si="9"/>
        <v>40268</v>
      </c>
      <c r="K99" s="4">
        <f t="shared" ca="1" si="10"/>
        <v>0</v>
      </c>
      <c r="M99" s="21">
        <f t="shared" ca="1" si="16"/>
        <v>40268</v>
      </c>
      <c r="N99" s="37">
        <f t="shared" ca="1" si="11"/>
        <v>0</v>
      </c>
      <c r="O99" s="4">
        <f ca="1">IFERROR(AVERAGEIF(N$5:$N99,"&gt;="&amp;_xlfn.PERCENTILE.EXC(N$5:$N99,0.2)),0)</f>
        <v>0</v>
      </c>
      <c r="Q99" s="21">
        <f t="shared" ca="1" si="17"/>
        <v>40268</v>
      </c>
      <c r="R99" s="37">
        <f t="shared" ca="1" si="12"/>
        <v>0</v>
      </c>
      <c r="S99" s="4">
        <f ca="1">IFERROR(AVERAGE($R$5:R99),0)</f>
        <v>0</v>
      </c>
      <c r="U99" s="21">
        <f t="shared" ca="1" si="13"/>
        <v>40268</v>
      </c>
      <c r="V99" s="4">
        <f ca="1">MIN(S99,PREMISSAS!$C$14)</f>
        <v>0</v>
      </c>
      <c r="W99" s="188"/>
      <c r="X99" s="188"/>
    </row>
    <row r="100" spans="2:24" x14ac:dyDescent="0.3">
      <c r="B100" s="21">
        <f t="shared" ca="1" si="14"/>
        <v>47542</v>
      </c>
      <c r="C100" s="22">
        <f ca="1">IF(B100="","",IF(LEFT(B100,2)="13",C99,IF(MONTH(B100)=1,C99*(1+PREMISSAS!$C$58),C99)))</f>
        <v>0</v>
      </c>
      <c r="E100" s="18">
        <v>96</v>
      </c>
      <c r="F100" s="21">
        <f t="shared" ca="1" si="15"/>
        <v>40298</v>
      </c>
      <c r="G100" s="22">
        <f ca="1">IFERROR(VLOOKUP(F100,RESULTADOS!$O$5:$P$543,2,FALSE),VLOOKUP(F100,$B$5:$C$842,2,FALSE))</f>
        <v>0</v>
      </c>
      <c r="H100" s="4">
        <f ca="1">IF(F100&lt;PREMISSAS!$D$7,0,IFERROR(VLOOKUP(IF(LEFT(F100,2)="13",DATE(YEAR(F99),12,31),F100),IPCA!$A:$D,4,FALSE),1)*G100)</f>
        <v>0</v>
      </c>
      <c r="J100" s="21">
        <f t="shared" ca="1" si="9"/>
        <v>40298</v>
      </c>
      <c r="K100" s="4">
        <f t="shared" ca="1" si="10"/>
        <v>0</v>
      </c>
      <c r="M100" s="21">
        <f t="shared" ca="1" si="16"/>
        <v>40298</v>
      </c>
      <c r="N100" s="37">
        <f t="shared" ca="1" si="11"/>
        <v>0</v>
      </c>
      <c r="O100" s="4">
        <f ca="1">IFERROR(AVERAGEIF(N$5:$N100,"&gt;="&amp;_xlfn.PERCENTILE.EXC(N$5:$N100,0.2)),0)</f>
        <v>0</v>
      </c>
      <c r="Q100" s="21">
        <f t="shared" ca="1" si="17"/>
        <v>40298</v>
      </c>
      <c r="R100" s="37">
        <f t="shared" ca="1" si="12"/>
        <v>0</v>
      </c>
      <c r="S100" s="4">
        <f ca="1">IFERROR(AVERAGE($R$5:R100),0)</f>
        <v>0</v>
      </c>
      <c r="U100" s="21">
        <f t="shared" ca="1" si="13"/>
        <v>40298</v>
      </c>
      <c r="V100" s="4">
        <f ca="1">MIN(S100,PREMISSAS!$C$14)</f>
        <v>0</v>
      </c>
      <c r="W100" s="188"/>
      <c r="X100" s="188"/>
    </row>
    <row r="101" spans="2:24" x14ac:dyDescent="0.3">
      <c r="B101" s="21">
        <f t="shared" ca="1" si="14"/>
        <v>47573</v>
      </c>
      <c r="C101" s="22">
        <f ca="1">IF(B101="","",IF(LEFT(B101,2)="13",C100,IF(MONTH(B101)=1,C100*(1+PREMISSAS!$C$58),C100)))</f>
        <v>0</v>
      </c>
      <c r="E101" s="18">
        <v>97</v>
      </c>
      <c r="F101" s="21">
        <f t="shared" ca="1" si="15"/>
        <v>40329</v>
      </c>
      <c r="G101" s="22">
        <f ca="1">IFERROR(VLOOKUP(F101,RESULTADOS!$O$5:$P$543,2,FALSE),VLOOKUP(F101,$B$5:$C$842,2,FALSE))</f>
        <v>0</v>
      </c>
      <c r="H101" s="4">
        <f ca="1">IF(F101&lt;PREMISSAS!$D$7,0,IFERROR(VLOOKUP(IF(LEFT(F101,2)="13",DATE(YEAR(F100),12,31),F101),IPCA!$A:$D,4,FALSE),1)*G101)</f>
        <v>0</v>
      </c>
      <c r="J101" s="21">
        <f t="shared" ca="1" si="9"/>
        <v>40329</v>
      </c>
      <c r="K101" s="4">
        <f t="shared" ca="1" si="10"/>
        <v>0</v>
      </c>
      <c r="M101" s="21">
        <f t="shared" ca="1" si="16"/>
        <v>40329</v>
      </c>
      <c r="N101" s="37">
        <f t="shared" ca="1" si="11"/>
        <v>0</v>
      </c>
      <c r="O101" s="4">
        <f ca="1">IFERROR(AVERAGEIF(N$5:$N101,"&gt;="&amp;_xlfn.PERCENTILE.EXC(N$5:$N101,0.2)),0)</f>
        <v>0</v>
      </c>
      <c r="Q101" s="21">
        <f t="shared" ca="1" si="17"/>
        <v>40329</v>
      </c>
      <c r="R101" s="37">
        <f t="shared" ca="1" si="12"/>
        <v>0</v>
      </c>
      <c r="S101" s="4">
        <f ca="1">IFERROR(AVERAGE($R$5:R101),0)</f>
        <v>0</v>
      </c>
      <c r="U101" s="21">
        <f t="shared" ca="1" si="13"/>
        <v>40329</v>
      </c>
      <c r="V101" s="4">
        <f ca="1">MIN(S101,PREMISSAS!$C$14)</f>
        <v>0</v>
      </c>
      <c r="W101" s="188"/>
      <c r="X101" s="188"/>
    </row>
    <row r="102" spans="2:24" x14ac:dyDescent="0.3">
      <c r="B102" s="21">
        <f t="shared" ca="1" si="14"/>
        <v>47603</v>
      </c>
      <c r="C102" s="22">
        <f ca="1">IF(B102="","",IF(LEFT(B102,2)="13",C101,IF(MONTH(B102)=1,C101*(1+PREMISSAS!$C$58),C101)))</f>
        <v>0</v>
      </c>
      <c r="E102" s="18">
        <v>98</v>
      </c>
      <c r="F102" s="21">
        <f t="shared" ca="1" si="15"/>
        <v>40359</v>
      </c>
      <c r="G102" s="22">
        <f ca="1">IFERROR(VLOOKUP(F102,RESULTADOS!$O$5:$P$543,2,FALSE),VLOOKUP(F102,$B$5:$C$842,2,FALSE))</f>
        <v>0</v>
      </c>
      <c r="H102" s="4">
        <f ca="1">IF(F102&lt;PREMISSAS!$D$7,0,IFERROR(VLOOKUP(IF(LEFT(F102,2)="13",DATE(YEAR(F101),12,31),F102),IPCA!$A:$D,4,FALSE),1)*G102)</f>
        <v>0</v>
      </c>
      <c r="J102" s="21">
        <f t="shared" ca="1" si="9"/>
        <v>40359</v>
      </c>
      <c r="K102" s="4">
        <f t="shared" ca="1" si="10"/>
        <v>0</v>
      </c>
      <c r="M102" s="21">
        <f t="shared" ca="1" si="16"/>
        <v>40359</v>
      </c>
      <c r="N102" s="37">
        <f t="shared" ca="1" si="11"/>
        <v>0</v>
      </c>
      <c r="O102" s="4">
        <f ca="1">IFERROR(AVERAGEIF(N$5:$N102,"&gt;="&amp;_xlfn.PERCENTILE.EXC(N$5:$N102,0.2)),0)</f>
        <v>0</v>
      </c>
      <c r="Q102" s="21">
        <f t="shared" ca="1" si="17"/>
        <v>40359</v>
      </c>
      <c r="R102" s="37">
        <f t="shared" ca="1" si="12"/>
        <v>0</v>
      </c>
      <c r="S102" s="4">
        <f ca="1">IFERROR(AVERAGE($R$5:R102),0)</f>
        <v>0</v>
      </c>
      <c r="U102" s="21">
        <f t="shared" ca="1" si="13"/>
        <v>40359</v>
      </c>
      <c r="V102" s="4">
        <f ca="1">MIN(S102,PREMISSAS!$C$14)</f>
        <v>0</v>
      </c>
      <c r="W102" s="188"/>
      <c r="X102" s="188"/>
    </row>
    <row r="103" spans="2:24" x14ac:dyDescent="0.3">
      <c r="B103" s="21">
        <f t="shared" ca="1" si="14"/>
        <v>47634</v>
      </c>
      <c r="C103" s="22">
        <f ca="1">IF(B103="","",IF(LEFT(B103,2)="13",C102,IF(MONTH(B103)=1,C102*(1+PREMISSAS!$C$58),C102)))</f>
        <v>0</v>
      </c>
      <c r="E103" s="18">
        <v>99</v>
      </c>
      <c r="F103" s="21">
        <f t="shared" ca="1" si="15"/>
        <v>40390</v>
      </c>
      <c r="G103" s="22">
        <f ca="1">IFERROR(VLOOKUP(F103,RESULTADOS!$O$5:$P$543,2,FALSE),VLOOKUP(F103,$B$5:$C$842,2,FALSE))</f>
        <v>0</v>
      </c>
      <c r="H103" s="4">
        <f ca="1">IF(F103&lt;PREMISSAS!$D$7,0,IFERROR(VLOOKUP(IF(LEFT(F103,2)="13",DATE(YEAR(F102),12,31),F103),IPCA!$A:$D,4,FALSE),1)*G103)</f>
        <v>0</v>
      </c>
      <c r="J103" s="21">
        <f t="shared" ca="1" si="9"/>
        <v>40390</v>
      </c>
      <c r="K103" s="4">
        <f t="shared" ca="1" si="10"/>
        <v>0</v>
      </c>
      <c r="M103" s="21">
        <f t="shared" ca="1" si="16"/>
        <v>40390</v>
      </c>
      <c r="N103" s="37">
        <f t="shared" ca="1" si="11"/>
        <v>0</v>
      </c>
      <c r="O103" s="4">
        <f ca="1">IFERROR(AVERAGEIF(N$5:$N103,"&gt;="&amp;_xlfn.PERCENTILE.EXC(N$5:$N103,0.2)),0)</f>
        <v>0</v>
      </c>
      <c r="Q103" s="21">
        <f t="shared" ca="1" si="17"/>
        <v>40390</v>
      </c>
      <c r="R103" s="37">
        <f t="shared" ca="1" si="12"/>
        <v>0</v>
      </c>
      <c r="S103" s="4">
        <f ca="1">IFERROR(AVERAGE($R$5:R103),0)</f>
        <v>0</v>
      </c>
      <c r="U103" s="21">
        <f t="shared" ca="1" si="13"/>
        <v>40390</v>
      </c>
      <c r="V103" s="4">
        <f ca="1">MIN(S103,PREMISSAS!$C$14)</f>
        <v>0</v>
      </c>
      <c r="W103" s="188"/>
      <c r="X103" s="188"/>
    </row>
    <row r="104" spans="2:24" x14ac:dyDescent="0.3">
      <c r="B104" s="21">
        <f t="shared" ca="1" si="14"/>
        <v>47664</v>
      </c>
      <c r="C104" s="22">
        <f ca="1">IF(B104="","",IF(LEFT(B104,2)="13",C103,IF(MONTH(B104)=1,C103*(1+PREMISSAS!$C$58),C103)))</f>
        <v>0</v>
      </c>
      <c r="E104" s="18">
        <v>100</v>
      </c>
      <c r="F104" s="21">
        <f t="shared" ca="1" si="15"/>
        <v>40421</v>
      </c>
      <c r="G104" s="22">
        <f ca="1">IFERROR(VLOOKUP(F104,RESULTADOS!$O$5:$P$543,2,FALSE),VLOOKUP(F104,$B$5:$C$842,2,FALSE))</f>
        <v>0</v>
      </c>
      <c r="H104" s="4">
        <f ca="1">IF(F104&lt;PREMISSAS!$D$7,0,IFERROR(VLOOKUP(IF(LEFT(F104,2)="13",DATE(YEAR(F103),12,31),F104),IPCA!$A:$D,4,FALSE),1)*G104)</f>
        <v>0</v>
      </c>
      <c r="J104" s="21">
        <f t="shared" ca="1" si="9"/>
        <v>40421</v>
      </c>
      <c r="K104" s="4">
        <f t="shared" ca="1" si="10"/>
        <v>0</v>
      </c>
      <c r="M104" s="21">
        <f t="shared" ca="1" si="16"/>
        <v>40421</v>
      </c>
      <c r="N104" s="37">
        <f t="shared" ca="1" si="11"/>
        <v>0</v>
      </c>
      <c r="O104" s="4">
        <f ca="1">IFERROR(AVERAGEIF(N$5:$N104,"&gt;="&amp;_xlfn.PERCENTILE.EXC(N$5:$N104,0.2)),0)</f>
        <v>0</v>
      </c>
      <c r="Q104" s="21">
        <f t="shared" ca="1" si="17"/>
        <v>40421</v>
      </c>
      <c r="R104" s="37">
        <f t="shared" ca="1" si="12"/>
        <v>0</v>
      </c>
      <c r="S104" s="4">
        <f ca="1">IFERROR(AVERAGE($R$5:R104),0)</f>
        <v>0</v>
      </c>
      <c r="U104" s="21">
        <f t="shared" ca="1" si="13"/>
        <v>40421</v>
      </c>
      <c r="V104" s="4">
        <f ca="1">MIN(S104,PREMISSAS!$C$14)</f>
        <v>0</v>
      </c>
      <c r="W104" s="188"/>
      <c r="X104" s="188"/>
    </row>
    <row r="105" spans="2:24" x14ac:dyDescent="0.3">
      <c r="B105" s="21">
        <f t="shared" ca="1" si="14"/>
        <v>47695</v>
      </c>
      <c r="C105" s="22">
        <f ca="1">IF(B105="","",IF(LEFT(B105,2)="13",C104,IF(MONTH(B105)=1,C104*(1+PREMISSAS!$C$58),C104)))</f>
        <v>0</v>
      </c>
      <c r="E105" s="18">
        <v>101</v>
      </c>
      <c r="F105" s="21">
        <f t="shared" ca="1" si="15"/>
        <v>40451</v>
      </c>
      <c r="G105" s="22">
        <f ca="1">IFERROR(VLOOKUP(F105,RESULTADOS!$O$5:$P$543,2,FALSE),VLOOKUP(F105,$B$5:$C$842,2,FALSE))</f>
        <v>0</v>
      </c>
      <c r="H105" s="4">
        <f ca="1">IF(F105&lt;PREMISSAS!$D$7,0,IFERROR(VLOOKUP(IF(LEFT(F105,2)="13",DATE(YEAR(F104),12,31),F105),IPCA!$A:$D,4,FALSE),1)*G105)</f>
        <v>0</v>
      </c>
      <c r="J105" s="21">
        <f t="shared" ca="1" si="9"/>
        <v>40451</v>
      </c>
      <c r="K105" s="4">
        <f t="shared" ca="1" si="10"/>
        <v>0</v>
      </c>
      <c r="M105" s="21">
        <f t="shared" ca="1" si="16"/>
        <v>40451</v>
      </c>
      <c r="N105" s="37">
        <f t="shared" ca="1" si="11"/>
        <v>0</v>
      </c>
      <c r="O105" s="4">
        <f ca="1">IFERROR(AVERAGEIF(N$5:$N105,"&gt;="&amp;_xlfn.PERCENTILE.EXC(N$5:$N105,0.2)),0)</f>
        <v>0</v>
      </c>
      <c r="Q105" s="21">
        <f t="shared" ca="1" si="17"/>
        <v>40451</v>
      </c>
      <c r="R105" s="37">
        <f t="shared" ca="1" si="12"/>
        <v>0</v>
      </c>
      <c r="S105" s="4">
        <f ca="1">IFERROR(AVERAGE($R$5:R105),0)</f>
        <v>0</v>
      </c>
      <c r="U105" s="21">
        <f t="shared" ca="1" si="13"/>
        <v>40451</v>
      </c>
      <c r="V105" s="4">
        <f ca="1">MIN(S105,PREMISSAS!$C$14)</f>
        <v>0</v>
      </c>
      <c r="W105" s="188"/>
      <c r="X105" s="188"/>
    </row>
    <row r="106" spans="2:24" x14ac:dyDescent="0.3">
      <c r="B106" s="21">
        <f t="shared" ca="1" si="14"/>
        <v>47726</v>
      </c>
      <c r="C106" s="22">
        <f ca="1">IF(B106="","",IF(LEFT(B106,2)="13",C105,IF(MONTH(B106)=1,C105*(1+PREMISSAS!$C$58),C105)))</f>
        <v>0</v>
      </c>
      <c r="E106" s="18">
        <v>102</v>
      </c>
      <c r="F106" s="21">
        <f t="shared" ca="1" si="15"/>
        <v>40482</v>
      </c>
      <c r="G106" s="22">
        <f ca="1">IFERROR(VLOOKUP(F106,RESULTADOS!$O$5:$P$543,2,FALSE),VLOOKUP(F106,$B$5:$C$842,2,FALSE))</f>
        <v>0</v>
      </c>
      <c r="H106" s="4">
        <f ca="1">IF(F106&lt;PREMISSAS!$D$7,0,IFERROR(VLOOKUP(IF(LEFT(F106,2)="13",DATE(YEAR(F105),12,31),F106),IPCA!$A:$D,4,FALSE),1)*G106)</f>
        <v>0</v>
      </c>
      <c r="J106" s="21">
        <f t="shared" ca="1" si="9"/>
        <v>40482</v>
      </c>
      <c r="K106" s="4">
        <f t="shared" ca="1" si="10"/>
        <v>0</v>
      </c>
      <c r="M106" s="21">
        <f t="shared" ca="1" si="16"/>
        <v>40482</v>
      </c>
      <c r="N106" s="37">
        <f t="shared" ca="1" si="11"/>
        <v>0</v>
      </c>
      <c r="O106" s="4">
        <f ca="1">IFERROR(AVERAGEIF(N$5:$N106,"&gt;="&amp;_xlfn.PERCENTILE.EXC(N$5:$N106,0.2)),0)</f>
        <v>0</v>
      </c>
      <c r="Q106" s="21">
        <f t="shared" ca="1" si="17"/>
        <v>40482</v>
      </c>
      <c r="R106" s="37">
        <f t="shared" ca="1" si="12"/>
        <v>0</v>
      </c>
      <c r="S106" s="4">
        <f ca="1">IFERROR(AVERAGE($R$5:R106),0)</f>
        <v>0</v>
      </c>
      <c r="U106" s="21">
        <f t="shared" ca="1" si="13"/>
        <v>40482</v>
      </c>
      <c r="V106" s="4">
        <f ca="1">MIN(S106,PREMISSAS!$C$14)</f>
        <v>0</v>
      </c>
      <c r="W106" s="188"/>
      <c r="X106" s="188"/>
    </row>
    <row r="107" spans="2:24" x14ac:dyDescent="0.3">
      <c r="B107" s="21">
        <f t="shared" ca="1" si="14"/>
        <v>47756</v>
      </c>
      <c r="C107" s="22">
        <f ca="1">IF(B107="","",IF(LEFT(B107,2)="13",C106,IF(MONTH(B107)=1,C106*(1+PREMISSAS!$C$58),C106)))</f>
        <v>0</v>
      </c>
      <c r="E107" s="18">
        <v>103</v>
      </c>
      <c r="F107" s="21">
        <f t="shared" ca="1" si="15"/>
        <v>40512</v>
      </c>
      <c r="G107" s="22">
        <f ca="1">IFERROR(VLOOKUP(F107,RESULTADOS!$O$5:$P$543,2,FALSE),VLOOKUP(F107,$B$5:$C$842,2,FALSE))</f>
        <v>0</v>
      </c>
      <c r="H107" s="4">
        <f ca="1">IF(F107&lt;PREMISSAS!$D$7,0,IFERROR(VLOOKUP(IF(LEFT(F107,2)="13",DATE(YEAR(F106),12,31),F107),IPCA!$A:$D,4,FALSE),1)*G107)</f>
        <v>0</v>
      </c>
      <c r="J107" s="21">
        <f t="shared" ca="1" si="9"/>
        <v>40512</v>
      </c>
      <c r="K107" s="4">
        <f t="shared" ca="1" si="10"/>
        <v>0</v>
      </c>
      <c r="M107" s="21">
        <f t="shared" ca="1" si="16"/>
        <v>40512</v>
      </c>
      <c r="N107" s="37">
        <f t="shared" ca="1" si="11"/>
        <v>0</v>
      </c>
      <c r="O107" s="4">
        <f ca="1">IFERROR(AVERAGEIF(N$5:$N107,"&gt;="&amp;_xlfn.PERCENTILE.EXC(N$5:$N107,0.2)),0)</f>
        <v>0</v>
      </c>
      <c r="Q107" s="21">
        <f t="shared" ca="1" si="17"/>
        <v>40512</v>
      </c>
      <c r="R107" s="37">
        <f t="shared" ca="1" si="12"/>
        <v>0</v>
      </c>
      <c r="S107" s="4">
        <f ca="1">IFERROR(AVERAGE($R$5:R107),0)</f>
        <v>0</v>
      </c>
      <c r="U107" s="21">
        <f t="shared" ca="1" si="13"/>
        <v>40512</v>
      </c>
      <c r="V107" s="4">
        <f ca="1">MIN(S107,PREMISSAS!$C$14)</f>
        <v>0</v>
      </c>
      <c r="W107" s="188"/>
      <c r="X107" s="188"/>
    </row>
    <row r="108" spans="2:24" x14ac:dyDescent="0.3">
      <c r="B108" s="21">
        <f t="shared" ca="1" si="14"/>
        <v>47787</v>
      </c>
      <c r="C108" s="22">
        <f ca="1">IF(B108="","",IF(LEFT(B108,2)="13",C107,IF(MONTH(B108)=1,C107*(1+PREMISSAS!$C$58),C107)))</f>
        <v>0</v>
      </c>
      <c r="E108" s="18">
        <v>104</v>
      </c>
      <c r="F108" s="21" t="str">
        <f t="shared" ca="1" si="15"/>
        <v>13º 2010</v>
      </c>
      <c r="G108" s="22">
        <f ca="1">IFERROR(VLOOKUP(F108,RESULTADOS!$O$5:$P$543,2,FALSE),VLOOKUP(F108,$B$5:$C$842,2,FALSE))</f>
        <v>0</v>
      </c>
      <c r="H108" s="4">
        <f ca="1">IF(F108&lt;PREMISSAS!$D$7,0,IFERROR(VLOOKUP(IF(LEFT(F108,2)="13",DATE(YEAR(F107),12,31),F108),IPCA!$A:$D,4,FALSE),1)*G108)</f>
        <v>0</v>
      </c>
      <c r="J108" s="21" t="str">
        <f t="shared" ca="1" si="9"/>
        <v>13º 2010</v>
      </c>
      <c r="K108" s="4">
        <f t="shared" ca="1" si="10"/>
        <v>0</v>
      </c>
      <c r="M108" s="21" t="str">
        <f t="shared" ca="1" si="16"/>
        <v>13º 2010</v>
      </c>
      <c r="N108" s="37">
        <f t="shared" ca="1" si="11"/>
        <v>0</v>
      </c>
      <c r="O108" s="4">
        <f ca="1">IFERROR(AVERAGEIF(N$5:$N108,"&gt;="&amp;_xlfn.PERCENTILE.EXC(N$5:$N108,0.2)),0)</f>
        <v>0</v>
      </c>
      <c r="Q108" s="21" t="str">
        <f t="shared" ca="1" si="17"/>
        <v>13º 2010</v>
      </c>
      <c r="R108" s="37">
        <f t="shared" ca="1" si="12"/>
        <v>0</v>
      </c>
      <c r="S108" s="4">
        <f ca="1">IFERROR(AVERAGE($R$5:R108),0)</f>
        <v>0</v>
      </c>
      <c r="U108" s="21" t="str">
        <f t="shared" ca="1" si="13"/>
        <v>13º 2010</v>
      </c>
      <c r="V108" s="4">
        <f ca="1">MIN(S108,PREMISSAS!$C$14)</f>
        <v>0</v>
      </c>
      <c r="W108" s="188"/>
      <c r="X108" s="188"/>
    </row>
    <row r="109" spans="2:24" x14ac:dyDescent="0.3">
      <c r="B109" s="21">
        <f t="shared" ca="1" si="14"/>
        <v>47817</v>
      </c>
      <c r="C109" s="22">
        <f ca="1">IF(B109="","",IF(LEFT(B109,2)="13",C108,IF(MONTH(B109)=1,C108*(1+PREMISSAS!$C$58),C108)))</f>
        <v>0</v>
      </c>
      <c r="E109" s="18">
        <v>105</v>
      </c>
      <c r="F109" s="21">
        <f t="shared" ca="1" si="15"/>
        <v>40543</v>
      </c>
      <c r="G109" s="22">
        <f ca="1">IFERROR(VLOOKUP(F109,RESULTADOS!$O$5:$P$543,2,FALSE),VLOOKUP(F109,$B$5:$C$842,2,FALSE))</f>
        <v>0</v>
      </c>
      <c r="H109" s="4">
        <f ca="1">IF(F109&lt;PREMISSAS!$D$7,0,IFERROR(VLOOKUP(IF(LEFT(F109,2)="13",DATE(YEAR(F108),12,31),F109),IPCA!$A:$D,4,FALSE),1)*G109)</f>
        <v>0</v>
      </c>
      <c r="J109" s="21">
        <f t="shared" ca="1" si="9"/>
        <v>40543</v>
      </c>
      <c r="K109" s="4">
        <f t="shared" ca="1" si="10"/>
        <v>0</v>
      </c>
      <c r="M109" s="21">
        <f t="shared" ca="1" si="16"/>
        <v>40543</v>
      </c>
      <c r="N109" s="37">
        <f t="shared" ca="1" si="11"/>
        <v>0</v>
      </c>
      <c r="O109" s="4">
        <f ca="1">IFERROR(AVERAGEIF(N$5:$N109,"&gt;="&amp;_xlfn.PERCENTILE.EXC(N$5:$N109,0.2)),0)</f>
        <v>0</v>
      </c>
      <c r="Q109" s="21">
        <f t="shared" ca="1" si="17"/>
        <v>40543</v>
      </c>
      <c r="R109" s="37">
        <f t="shared" ca="1" si="12"/>
        <v>0</v>
      </c>
      <c r="S109" s="4">
        <f ca="1">IFERROR(AVERAGE($R$5:R109),0)</f>
        <v>0</v>
      </c>
      <c r="U109" s="21">
        <f t="shared" ca="1" si="13"/>
        <v>40543</v>
      </c>
      <c r="V109" s="4">
        <f ca="1">MIN(S109,PREMISSAS!$C$14)</f>
        <v>0</v>
      </c>
      <c r="W109" s="188"/>
      <c r="X109" s="188"/>
    </row>
    <row r="110" spans="2:24" x14ac:dyDescent="0.3">
      <c r="B110" s="21" t="str">
        <f t="shared" ca="1" si="14"/>
        <v>13º 2030</v>
      </c>
      <c r="C110" s="22">
        <f ca="1">IF(B110="","",IF(LEFT(B110,2)="13",C109,IF(MONTH(B110)=1,C109*(1+PREMISSAS!$C$58),C109)))</f>
        <v>0</v>
      </c>
      <c r="E110" s="18">
        <v>106</v>
      </c>
      <c r="F110" s="21">
        <f t="shared" ca="1" si="15"/>
        <v>40574</v>
      </c>
      <c r="G110" s="22">
        <f ca="1">IFERROR(VLOOKUP(F110,RESULTADOS!$O$5:$P$543,2,FALSE),VLOOKUP(F110,$B$5:$C$842,2,FALSE))</f>
        <v>0</v>
      </c>
      <c r="H110" s="4">
        <f ca="1">IF(F110&lt;PREMISSAS!$D$7,0,IFERROR(VLOOKUP(IF(LEFT(F110,2)="13",DATE(YEAR(F109),12,31),F110),IPCA!$A:$D,4,FALSE),1)*G110)</f>
        <v>0</v>
      </c>
      <c r="J110" s="21">
        <f t="shared" ca="1" si="9"/>
        <v>40574</v>
      </c>
      <c r="K110" s="4">
        <f t="shared" ca="1" si="10"/>
        <v>0</v>
      </c>
      <c r="M110" s="21">
        <f t="shared" ca="1" si="16"/>
        <v>40574</v>
      </c>
      <c r="N110" s="37">
        <f t="shared" ca="1" si="11"/>
        <v>0</v>
      </c>
      <c r="O110" s="4">
        <f ca="1">IFERROR(AVERAGEIF(N$5:$N110,"&gt;="&amp;_xlfn.PERCENTILE.EXC(N$5:$N110,0.2)),0)</f>
        <v>0</v>
      </c>
      <c r="Q110" s="21">
        <f t="shared" ca="1" si="17"/>
        <v>40574</v>
      </c>
      <c r="R110" s="37">
        <f t="shared" ca="1" si="12"/>
        <v>0</v>
      </c>
      <c r="S110" s="4">
        <f ca="1">IFERROR(AVERAGE($R$5:R110),0)</f>
        <v>0</v>
      </c>
      <c r="U110" s="21">
        <f t="shared" ca="1" si="13"/>
        <v>40574</v>
      </c>
      <c r="V110" s="4">
        <f ca="1">MIN(S110,PREMISSAS!$C$14)</f>
        <v>0</v>
      </c>
      <c r="W110" s="188"/>
      <c r="X110" s="188"/>
    </row>
    <row r="111" spans="2:24" x14ac:dyDescent="0.3">
      <c r="B111" s="21">
        <f t="shared" ca="1" si="14"/>
        <v>47848</v>
      </c>
      <c r="C111" s="22">
        <f ca="1">IF(B111="","",IF(LEFT(B111,2)="13",C110,IF(MONTH(B111)=1,C110*(1+PREMISSAS!$C$58),C110)))</f>
        <v>0</v>
      </c>
      <c r="E111" s="18">
        <v>107</v>
      </c>
      <c r="F111" s="21">
        <f t="shared" ca="1" si="15"/>
        <v>40602</v>
      </c>
      <c r="G111" s="22">
        <f ca="1">IFERROR(VLOOKUP(F111,RESULTADOS!$O$5:$P$543,2,FALSE),VLOOKUP(F111,$B$5:$C$842,2,FALSE))</f>
        <v>0</v>
      </c>
      <c r="H111" s="4">
        <f ca="1">IF(F111&lt;PREMISSAS!$D$7,0,IFERROR(VLOOKUP(IF(LEFT(F111,2)="13",DATE(YEAR(F110),12,31),F111),IPCA!$A:$D,4,FALSE),1)*G111)</f>
        <v>0</v>
      </c>
      <c r="J111" s="21">
        <f t="shared" ca="1" si="9"/>
        <v>40602</v>
      </c>
      <c r="K111" s="4">
        <f t="shared" ca="1" si="10"/>
        <v>0</v>
      </c>
      <c r="M111" s="21">
        <f t="shared" ca="1" si="16"/>
        <v>40602</v>
      </c>
      <c r="N111" s="37">
        <f t="shared" ca="1" si="11"/>
        <v>0</v>
      </c>
      <c r="O111" s="4">
        <f ca="1">IFERROR(AVERAGEIF(N$5:$N111,"&gt;="&amp;_xlfn.PERCENTILE.EXC(N$5:$N111,0.2)),0)</f>
        <v>0</v>
      </c>
      <c r="Q111" s="21">
        <f t="shared" ca="1" si="17"/>
        <v>40602</v>
      </c>
      <c r="R111" s="37">
        <f t="shared" ca="1" si="12"/>
        <v>0</v>
      </c>
      <c r="S111" s="4">
        <f ca="1">IFERROR(AVERAGE($R$5:R111),0)</f>
        <v>0</v>
      </c>
      <c r="U111" s="21">
        <f t="shared" ca="1" si="13"/>
        <v>40602</v>
      </c>
      <c r="V111" s="4">
        <f ca="1">MIN(S111,PREMISSAS!$C$14)</f>
        <v>0</v>
      </c>
      <c r="W111" s="188"/>
      <c r="X111" s="188"/>
    </row>
    <row r="112" spans="2:24" x14ac:dyDescent="0.3">
      <c r="B112" s="21">
        <f t="shared" ca="1" si="14"/>
        <v>47879</v>
      </c>
      <c r="C112" s="22">
        <f ca="1">IF(B112="","",IF(LEFT(B112,2)="13",C111,IF(MONTH(B112)=1,C111*(1+PREMISSAS!$C$58),C111)))</f>
        <v>0</v>
      </c>
      <c r="E112" s="18">
        <v>108</v>
      </c>
      <c r="F112" s="21">
        <f t="shared" ca="1" si="15"/>
        <v>40633</v>
      </c>
      <c r="G112" s="22">
        <f ca="1">IFERROR(VLOOKUP(F112,RESULTADOS!$O$5:$P$543,2,FALSE),VLOOKUP(F112,$B$5:$C$842,2,FALSE))</f>
        <v>0</v>
      </c>
      <c r="H112" s="4">
        <f ca="1">IF(F112&lt;PREMISSAS!$D$7,0,IFERROR(VLOOKUP(IF(LEFT(F112,2)="13",DATE(YEAR(F111),12,31),F112),IPCA!$A:$D,4,FALSE),1)*G112)</f>
        <v>0</v>
      </c>
      <c r="J112" s="21">
        <f t="shared" ca="1" si="9"/>
        <v>40633</v>
      </c>
      <c r="K112" s="4">
        <f t="shared" ca="1" si="10"/>
        <v>0</v>
      </c>
      <c r="M112" s="21">
        <f t="shared" ca="1" si="16"/>
        <v>40633</v>
      </c>
      <c r="N112" s="37">
        <f t="shared" ca="1" si="11"/>
        <v>0</v>
      </c>
      <c r="O112" s="4">
        <f ca="1">IFERROR(AVERAGEIF(N$5:$N112,"&gt;="&amp;_xlfn.PERCENTILE.EXC(N$5:$N112,0.2)),0)</f>
        <v>0</v>
      </c>
      <c r="Q112" s="21">
        <f t="shared" ca="1" si="17"/>
        <v>40633</v>
      </c>
      <c r="R112" s="37">
        <f t="shared" ca="1" si="12"/>
        <v>0</v>
      </c>
      <c r="S112" s="4">
        <f ca="1">IFERROR(AVERAGE($R$5:R112),0)</f>
        <v>0</v>
      </c>
      <c r="U112" s="21">
        <f t="shared" ca="1" si="13"/>
        <v>40633</v>
      </c>
      <c r="V112" s="4">
        <f ca="1">MIN(S112,PREMISSAS!$C$14)</f>
        <v>0</v>
      </c>
      <c r="W112" s="188"/>
      <c r="X112" s="188"/>
    </row>
    <row r="113" spans="2:24" x14ac:dyDescent="0.3">
      <c r="B113" s="21">
        <f t="shared" ca="1" si="14"/>
        <v>47907</v>
      </c>
      <c r="C113" s="22">
        <f ca="1">IF(B113="","",IF(LEFT(B113,2)="13",C112,IF(MONTH(B113)=1,C112*(1+PREMISSAS!$C$58),C112)))</f>
        <v>0</v>
      </c>
      <c r="E113" s="18">
        <v>109</v>
      </c>
      <c r="F113" s="21">
        <f t="shared" ca="1" si="15"/>
        <v>40663</v>
      </c>
      <c r="G113" s="22">
        <f ca="1">IFERROR(VLOOKUP(F113,RESULTADOS!$O$5:$P$543,2,FALSE),VLOOKUP(F113,$B$5:$C$842,2,FALSE))</f>
        <v>0</v>
      </c>
      <c r="H113" s="4">
        <f ca="1">IF(F113&lt;PREMISSAS!$D$7,0,IFERROR(VLOOKUP(IF(LEFT(F113,2)="13",DATE(YEAR(F112),12,31),F113),IPCA!$A:$D,4,FALSE),1)*G113)</f>
        <v>0</v>
      </c>
      <c r="J113" s="21">
        <f t="shared" ca="1" si="9"/>
        <v>40663</v>
      </c>
      <c r="K113" s="4">
        <f t="shared" ca="1" si="10"/>
        <v>0</v>
      </c>
      <c r="M113" s="21">
        <f t="shared" ca="1" si="16"/>
        <v>40663</v>
      </c>
      <c r="N113" s="37">
        <f t="shared" ca="1" si="11"/>
        <v>0</v>
      </c>
      <c r="O113" s="4">
        <f ca="1">IFERROR(AVERAGEIF(N$5:$N113,"&gt;="&amp;_xlfn.PERCENTILE.EXC(N$5:$N113,0.2)),0)</f>
        <v>0</v>
      </c>
      <c r="Q113" s="21">
        <f t="shared" ca="1" si="17"/>
        <v>40663</v>
      </c>
      <c r="R113" s="37">
        <f t="shared" ca="1" si="12"/>
        <v>0</v>
      </c>
      <c r="S113" s="4">
        <f ca="1">IFERROR(AVERAGE($R$5:R113),0)</f>
        <v>0</v>
      </c>
      <c r="U113" s="21">
        <f t="shared" ca="1" si="13"/>
        <v>40663</v>
      </c>
      <c r="V113" s="4">
        <f ca="1">MIN(S113,PREMISSAS!$C$14)</f>
        <v>0</v>
      </c>
      <c r="W113" s="188"/>
      <c r="X113" s="188"/>
    </row>
    <row r="114" spans="2:24" x14ac:dyDescent="0.3">
      <c r="B114" s="21">
        <f t="shared" ca="1" si="14"/>
        <v>47938</v>
      </c>
      <c r="C114" s="22">
        <f ca="1">IF(B114="","",IF(LEFT(B114,2)="13",C113,IF(MONTH(B114)=1,C113*(1+PREMISSAS!$C$58),C113)))</f>
        <v>0</v>
      </c>
      <c r="E114" s="18">
        <v>110</v>
      </c>
      <c r="F114" s="21">
        <f t="shared" ca="1" si="15"/>
        <v>40694</v>
      </c>
      <c r="G114" s="22">
        <f ca="1">IFERROR(VLOOKUP(F114,RESULTADOS!$O$5:$P$543,2,FALSE),VLOOKUP(F114,$B$5:$C$842,2,FALSE))</f>
        <v>0</v>
      </c>
      <c r="H114" s="4">
        <f ca="1">IF(F114&lt;PREMISSAS!$D$7,0,IFERROR(VLOOKUP(IF(LEFT(F114,2)="13",DATE(YEAR(F113),12,31),F114),IPCA!$A:$D,4,FALSE),1)*G114)</f>
        <v>0</v>
      </c>
      <c r="J114" s="21">
        <f t="shared" ca="1" si="9"/>
        <v>40694</v>
      </c>
      <c r="K114" s="4">
        <f t="shared" ca="1" si="10"/>
        <v>0</v>
      </c>
      <c r="M114" s="21">
        <f t="shared" ca="1" si="16"/>
        <v>40694</v>
      </c>
      <c r="N114" s="37">
        <f t="shared" ca="1" si="11"/>
        <v>0</v>
      </c>
      <c r="O114" s="4">
        <f ca="1">IFERROR(AVERAGEIF(N$5:$N114,"&gt;="&amp;_xlfn.PERCENTILE.EXC(N$5:$N114,0.2)),0)</f>
        <v>0</v>
      </c>
      <c r="Q114" s="21">
        <f t="shared" ca="1" si="17"/>
        <v>40694</v>
      </c>
      <c r="R114" s="37">
        <f t="shared" ca="1" si="12"/>
        <v>0</v>
      </c>
      <c r="S114" s="4">
        <f ca="1">IFERROR(AVERAGE($R$5:R114),0)</f>
        <v>0</v>
      </c>
      <c r="U114" s="21">
        <f t="shared" ca="1" si="13"/>
        <v>40694</v>
      </c>
      <c r="V114" s="4">
        <f ca="1">MIN(S114,PREMISSAS!$C$14)</f>
        <v>0</v>
      </c>
      <c r="W114" s="188"/>
      <c r="X114" s="188"/>
    </row>
    <row r="115" spans="2:24" x14ac:dyDescent="0.3">
      <c r="B115" s="21">
        <f t="shared" ca="1" si="14"/>
        <v>47968</v>
      </c>
      <c r="C115" s="22">
        <f ca="1">IF(B115="","",IF(LEFT(B115,2)="13",C114,IF(MONTH(B115)=1,C114*(1+PREMISSAS!$C$58),C114)))</f>
        <v>0</v>
      </c>
      <c r="E115" s="18">
        <v>111</v>
      </c>
      <c r="F115" s="21">
        <f t="shared" ca="1" si="15"/>
        <v>40724</v>
      </c>
      <c r="G115" s="22">
        <f ca="1">IFERROR(VLOOKUP(F115,RESULTADOS!$O$5:$P$543,2,FALSE),VLOOKUP(F115,$B$5:$C$842,2,FALSE))</f>
        <v>0</v>
      </c>
      <c r="H115" s="4">
        <f ca="1">IF(F115&lt;PREMISSAS!$D$7,0,IFERROR(VLOOKUP(IF(LEFT(F115,2)="13",DATE(YEAR(F114),12,31),F115),IPCA!$A:$D,4,FALSE),1)*G115)</f>
        <v>0</v>
      </c>
      <c r="J115" s="21">
        <f t="shared" ca="1" si="9"/>
        <v>40724</v>
      </c>
      <c r="K115" s="4">
        <f t="shared" ca="1" si="10"/>
        <v>0</v>
      </c>
      <c r="M115" s="21">
        <f t="shared" ca="1" si="16"/>
        <v>40724</v>
      </c>
      <c r="N115" s="37">
        <f t="shared" ca="1" si="11"/>
        <v>0</v>
      </c>
      <c r="O115" s="4">
        <f ca="1">IFERROR(AVERAGEIF(N$5:$N115,"&gt;="&amp;_xlfn.PERCENTILE.EXC(N$5:$N115,0.2)),0)</f>
        <v>0</v>
      </c>
      <c r="Q115" s="21">
        <f t="shared" ca="1" si="17"/>
        <v>40724</v>
      </c>
      <c r="R115" s="37">
        <f t="shared" ca="1" si="12"/>
        <v>0</v>
      </c>
      <c r="S115" s="4">
        <f ca="1">IFERROR(AVERAGE($R$5:R115),0)</f>
        <v>0</v>
      </c>
      <c r="U115" s="21">
        <f t="shared" ca="1" si="13"/>
        <v>40724</v>
      </c>
      <c r="V115" s="4">
        <f ca="1">MIN(S115,PREMISSAS!$C$14)</f>
        <v>0</v>
      </c>
      <c r="W115" s="188"/>
      <c r="X115" s="188"/>
    </row>
    <row r="116" spans="2:24" x14ac:dyDescent="0.3">
      <c r="B116" s="21">
        <f t="shared" ca="1" si="14"/>
        <v>47999</v>
      </c>
      <c r="C116" s="22">
        <f ca="1">IF(B116="","",IF(LEFT(B116,2)="13",C115,IF(MONTH(B116)=1,C115*(1+PREMISSAS!$C$58),C115)))</f>
        <v>0</v>
      </c>
      <c r="E116" s="18">
        <v>112</v>
      </c>
      <c r="F116" s="21">
        <f t="shared" ca="1" si="15"/>
        <v>40755</v>
      </c>
      <c r="G116" s="22">
        <f ca="1">IFERROR(VLOOKUP(F116,RESULTADOS!$O$5:$P$543,2,FALSE),VLOOKUP(F116,$B$5:$C$842,2,FALSE))</f>
        <v>0</v>
      </c>
      <c r="H116" s="4">
        <f ca="1">IF(F116&lt;PREMISSAS!$D$7,0,IFERROR(VLOOKUP(IF(LEFT(F116,2)="13",DATE(YEAR(F115),12,31),F116),IPCA!$A:$D,4,FALSE),1)*G116)</f>
        <v>0</v>
      </c>
      <c r="J116" s="21">
        <f t="shared" ca="1" si="9"/>
        <v>40755</v>
      </c>
      <c r="K116" s="4">
        <f t="shared" ca="1" si="10"/>
        <v>0</v>
      </c>
      <c r="M116" s="21">
        <f t="shared" ca="1" si="16"/>
        <v>40755</v>
      </c>
      <c r="N116" s="37">
        <f t="shared" ca="1" si="11"/>
        <v>0</v>
      </c>
      <c r="O116" s="4">
        <f ca="1">IFERROR(AVERAGEIF(N$5:$N116,"&gt;="&amp;_xlfn.PERCENTILE.EXC(N$5:$N116,0.2)),0)</f>
        <v>0</v>
      </c>
      <c r="Q116" s="21">
        <f t="shared" ca="1" si="17"/>
        <v>40755</v>
      </c>
      <c r="R116" s="37">
        <f t="shared" ca="1" si="12"/>
        <v>0</v>
      </c>
      <c r="S116" s="4">
        <f ca="1">IFERROR(AVERAGE($R$5:R116),0)</f>
        <v>0</v>
      </c>
      <c r="U116" s="21">
        <f t="shared" ca="1" si="13"/>
        <v>40755</v>
      </c>
      <c r="V116" s="4">
        <f ca="1">MIN(S116,PREMISSAS!$C$14)</f>
        <v>0</v>
      </c>
      <c r="W116" s="188"/>
      <c r="X116" s="188"/>
    </row>
    <row r="117" spans="2:24" x14ac:dyDescent="0.3">
      <c r="B117" s="21">
        <f t="shared" ca="1" si="14"/>
        <v>48029</v>
      </c>
      <c r="C117" s="22">
        <f ca="1">IF(B117="","",IF(LEFT(B117,2)="13",C116,IF(MONTH(B117)=1,C116*(1+PREMISSAS!$C$58),C116)))</f>
        <v>0</v>
      </c>
      <c r="E117" s="18">
        <v>113</v>
      </c>
      <c r="F117" s="21">
        <f t="shared" ca="1" si="15"/>
        <v>40786</v>
      </c>
      <c r="G117" s="22">
        <f ca="1">IFERROR(VLOOKUP(F117,RESULTADOS!$O$5:$P$543,2,FALSE),VLOOKUP(F117,$B$5:$C$842,2,FALSE))</f>
        <v>0</v>
      </c>
      <c r="H117" s="4">
        <f ca="1">IF(F117&lt;PREMISSAS!$D$7,0,IFERROR(VLOOKUP(IF(LEFT(F117,2)="13",DATE(YEAR(F116),12,31),F117),IPCA!$A:$D,4,FALSE),1)*G117)</f>
        <v>0</v>
      </c>
      <c r="J117" s="21">
        <f t="shared" ca="1" si="9"/>
        <v>40786</v>
      </c>
      <c r="K117" s="4">
        <f t="shared" ca="1" si="10"/>
        <v>0</v>
      </c>
      <c r="M117" s="21">
        <f t="shared" ca="1" si="16"/>
        <v>40786</v>
      </c>
      <c r="N117" s="37">
        <f t="shared" ca="1" si="11"/>
        <v>0</v>
      </c>
      <c r="O117" s="4">
        <f ca="1">IFERROR(AVERAGEIF(N$5:$N117,"&gt;="&amp;_xlfn.PERCENTILE.EXC(N$5:$N117,0.2)),0)</f>
        <v>0</v>
      </c>
      <c r="Q117" s="21">
        <f t="shared" ca="1" si="17"/>
        <v>40786</v>
      </c>
      <c r="R117" s="37">
        <f t="shared" ca="1" si="12"/>
        <v>0</v>
      </c>
      <c r="S117" s="4">
        <f ca="1">IFERROR(AVERAGE($R$5:R117),0)</f>
        <v>0</v>
      </c>
      <c r="U117" s="21">
        <f t="shared" ca="1" si="13"/>
        <v>40786</v>
      </c>
      <c r="V117" s="4">
        <f ca="1">MIN(S117,PREMISSAS!$C$14)</f>
        <v>0</v>
      </c>
      <c r="W117" s="188"/>
      <c r="X117" s="188"/>
    </row>
    <row r="118" spans="2:24" x14ac:dyDescent="0.3">
      <c r="B118" s="21">
        <f t="shared" ca="1" si="14"/>
        <v>48060</v>
      </c>
      <c r="C118" s="22">
        <f ca="1">IF(B118="","",IF(LEFT(B118,2)="13",C117,IF(MONTH(B118)=1,C117*(1+PREMISSAS!$C$58),C117)))</f>
        <v>0</v>
      </c>
      <c r="E118" s="18">
        <v>114</v>
      </c>
      <c r="F118" s="21">
        <f t="shared" ca="1" si="15"/>
        <v>40816</v>
      </c>
      <c r="G118" s="22">
        <f ca="1">IFERROR(VLOOKUP(F118,RESULTADOS!$O$5:$P$543,2,FALSE),VLOOKUP(F118,$B$5:$C$842,2,FALSE))</f>
        <v>0</v>
      </c>
      <c r="H118" s="4">
        <f ca="1">IF(F118&lt;PREMISSAS!$D$7,0,IFERROR(VLOOKUP(IF(LEFT(F118,2)="13",DATE(YEAR(F117),12,31),F118),IPCA!$A:$D,4,FALSE),1)*G118)</f>
        <v>0</v>
      </c>
      <c r="J118" s="21">
        <f t="shared" ca="1" si="9"/>
        <v>40816</v>
      </c>
      <c r="K118" s="4">
        <f t="shared" ca="1" si="10"/>
        <v>0</v>
      </c>
      <c r="M118" s="21">
        <f t="shared" ca="1" si="16"/>
        <v>40816</v>
      </c>
      <c r="N118" s="37">
        <f t="shared" ca="1" si="11"/>
        <v>0</v>
      </c>
      <c r="O118" s="4">
        <f ca="1">IFERROR(AVERAGEIF(N$5:$N118,"&gt;="&amp;_xlfn.PERCENTILE.EXC(N$5:$N118,0.2)),0)</f>
        <v>0</v>
      </c>
      <c r="Q118" s="21">
        <f t="shared" ca="1" si="17"/>
        <v>40816</v>
      </c>
      <c r="R118" s="37">
        <f t="shared" ca="1" si="12"/>
        <v>0</v>
      </c>
      <c r="S118" s="4">
        <f ca="1">IFERROR(AVERAGE($R$5:R118),0)</f>
        <v>0</v>
      </c>
      <c r="U118" s="21">
        <f t="shared" ca="1" si="13"/>
        <v>40816</v>
      </c>
      <c r="V118" s="4">
        <f ca="1">MIN(S118,PREMISSAS!$C$14)</f>
        <v>0</v>
      </c>
      <c r="W118" s="188"/>
      <c r="X118" s="188"/>
    </row>
    <row r="119" spans="2:24" x14ac:dyDescent="0.3">
      <c r="B119" s="21">
        <f t="shared" ca="1" si="14"/>
        <v>48091</v>
      </c>
      <c r="C119" s="22">
        <f ca="1">IF(B119="","",IF(LEFT(B119,2)="13",C118,IF(MONTH(B119)=1,C118*(1+PREMISSAS!$C$58),C118)))</f>
        <v>0</v>
      </c>
      <c r="E119" s="18">
        <v>115</v>
      </c>
      <c r="F119" s="21">
        <f t="shared" ca="1" si="15"/>
        <v>40847</v>
      </c>
      <c r="G119" s="22">
        <f ca="1">IFERROR(VLOOKUP(F119,RESULTADOS!$O$5:$P$543,2,FALSE),VLOOKUP(F119,$B$5:$C$842,2,FALSE))</f>
        <v>0</v>
      </c>
      <c r="H119" s="4">
        <f ca="1">IF(F119&lt;PREMISSAS!$D$7,0,IFERROR(VLOOKUP(IF(LEFT(F119,2)="13",DATE(YEAR(F118),12,31),F119),IPCA!$A:$D,4,FALSE),1)*G119)</f>
        <v>0</v>
      </c>
      <c r="J119" s="21">
        <f t="shared" ca="1" si="9"/>
        <v>40847</v>
      </c>
      <c r="K119" s="4">
        <f t="shared" ca="1" si="10"/>
        <v>0</v>
      </c>
      <c r="M119" s="21">
        <f t="shared" ca="1" si="16"/>
        <v>40847</v>
      </c>
      <c r="N119" s="37">
        <f t="shared" ca="1" si="11"/>
        <v>0</v>
      </c>
      <c r="O119" s="4">
        <f ca="1">IFERROR(AVERAGEIF(N$5:$N119,"&gt;="&amp;_xlfn.PERCENTILE.EXC(N$5:$N119,0.2)),0)</f>
        <v>0</v>
      </c>
      <c r="Q119" s="21">
        <f t="shared" ca="1" si="17"/>
        <v>40847</v>
      </c>
      <c r="R119" s="37">
        <f t="shared" ca="1" si="12"/>
        <v>0</v>
      </c>
      <c r="S119" s="4">
        <f ca="1">IFERROR(AVERAGE($R$5:R119),0)</f>
        <v>0</v>
      </c>
      <c r="U119" s="21">
        <f t="shared" ca="1" si="13"/>
        <v>40847</v>
      </c>
      <c r="V119" s="4">
        <f ca="1">MIN(S119,PREMISSAS!$C$14)</f>
        <v>0</v>
      </c>
      <c r="W119" s="188"/>
      <c r="X119" s="188"/>
    </row>
    <row r="120" spans="2:24" x14ac:dyDescent="0.3">
      <c r="B120" s="21">
        <f t="shared" ca="1" si="14"/>
        <v>48121</v>
      </c>
      <c r="C120" s="22">
        <f ca="1">IF(B120="","",IF(LEFT(B120,2)="13",C119,IF(MONTH(B120)=1,C119*(1+PREMISSAS!$C$58),C119)))</f>
        <v>0</v>
      </c>
      <c r="E120" s="18">
        <v>116</v>
      </c>
      <c r="F120" s="21">
        <f t="shared" ca="1" si="15"/>
        <v>40877</v>
      </c>
      <c r="G120" s="22">
        <f ca="1">IFERROR(VLOOKUP(F120,RESULTADOS!$O$5:$P$543,2,FALSE),VLOOKUP(F120,$B$5:$C$842,2,FALSE))</f>
        <v>0</v>
      </c>
      <c r="H120" s="4">
        <f ca="1">IF(F120&lt;PREMISSAS!$D$7,0,IFERROR(VLOOKUP(IF(LEFT(F120,2)="13",DATE(YEAR(F119),12,31),F120),IPCA!$A:$D,4,FALSE),1)*G120)</f>
        <v>0</v>
      </c>
      <c r="J120" s="21">
        <f t="shared" ca="1" si="9"/>
        <v>40877</v>
      </c>
      <c r="K120" s="4">
        <f t="shared" ca="1" si="10"/>
        <v>0</v>
      </c>
      <c r="M120" s="21">
        <f t="shared" ca="1" si="16"/>
        <v>40877</v>
      </c>
      <c r="N120" s="37">
        <f t="shared" ca="1" si="11"/>
        <v>0</v>
      </c>
      <c r="O120" s="4">
        <f ca="1">IFERROR(AVERAGEIF(N$5:$N120,"&gt;="&amp;_xlfn.PERCENTILE.EXC(N$5:$N120,0.2)),0)</f>
        <v>0</v>
      </c>
      <c r="Q120" s="21">
        <f t="shared" ca="1" si="17"/>
        <v>40877</v>
      </c>
      <c r="R120" s="37">
        <f t="shared" ca="1" si="12"/>
        <v>0</v>
      </c>
      <c r="S120" s="4">
        <f ca="1">IFERROR(AVERAGE($R$5:R120),0)</f>
        <v>0</v>
      </c>
      <c r="U120" s="21">
        <f t="shared" ca="1" si="13"/>
        <v>40877</v>
      </c>
      <c r="V120" s="4">
        <f ca="1">MIN(S120,PREMISSAS!$C$14)</f>
        <v>0</v>
      </c>
      <c r="W120" s="188"/>
      <c r="X120" s="188"/>
    </row>
    <row r="121" spans="2:24" x14ac:dyDescent="0.3">
      <c r="B121" s="21">
        <f t="shared" ca="1" si="14"/>
        <v>48152</v>
      </c>
      <c r="C121" s="22">
        <f ca="1">IF(B121="","",IF(LEFT(B121,2)="13",C120,IF(MONTH(B121)=1,C120*(1+PREMISSAS!$C$58),C120)))</f>
        <v>0</v>
      </c>
      <c r="E121" s="18">
        <v>117</v>
      </c>
      <c r="F121" s="21" t="str">
        <f t="shared" ca="1" si="15"/>
        <v>13º 2011</v>
      </c>
      <c r="G121" s="22">
        <f ca="1">IFERROR(VLOOKUP(F121,RESULTADOS!$O$5:$P$543,2,FALSE),VLOOKUP(F121,$B$5:$C$842,2,FALSE))</f>
        <v>0</v>
      </c>
      <c r="H121" s="4">
        <f ca="1">IF(F121&lt;PREMISSAS!$D$7,0,IFERROR(VLOOKUP(IF(LEFT(F121,2)="13",DATE(YEAR(F120),12,31),F121),IPCA!$A:$D,4,FALSE),1)*G121)</f>
        <v>0</v>
      </c>
      <c r="J121" s="21" t="str">
        <f t="shared" ca="1" si="9"/>
        <v>13º 2011</v>
      </c>
      <c r="K121" s="4">
        <f t="shared" ca="1" si="10"/>
        <v>0</v>
      </c>
      <c r="M121" s="21" t="str">
        <f t="shared" ca="1" si="16"/>
        <v>13º 2011</v>
      </c>
      <c r="N121" s="37">
        <f t="shared" ca="1" si="11"/>
        <v>0</v>
      </c>
      <c r="O121" s="4">
        <f ca="1">IFERROR(AVERAGEIF(N$5:$N121,"&gt;="&amp;_xlfn.PERCENTILE.EXC(N$5:$N121,0.2)),0)</f>
        <v>0</v>
      </c>
      <c r="Q121" s="21" t="str">
        <f t="shared" ca="1" si="17"/>
        <v>13º 2011</v>
      </c>
      <c r="R121" s="37">
        <f t="shared" ca="1" si="12"/>
        <v>0</v>
      </c>
      <c r="S121" s="4">
        <f ca="1">IFERROR(AVERAGE($R$5:R121),0)</f>
        <v>0</v>
      </c>
      <c r="U121" s="21" t="str">
        <f t="shared" ca="1" si="13"/>
        <v>13º 2011</v>
      </c>
      <c r="V121" s="4">
        <f ca="1">MIN(S121,PREMISSAS!$C$14)</f>
        <v>0</v>
      </c>
      <c r="W121" s="188"/>
      <c r="X121" s="188"/>
    </row>
    <row r="122" spans="2:24" x14ac:dyDescent="0.3">
      <c r="B122" s="21">
        <f t="shared" ca="1" si="14"/>
        <v>48182</v>
      </c>
      <c r="C122" s="22">
        <f ca="1">IF(B122="","",IF(LEFT(B122,2)="13",C121,IF(MONTH(B122)=1,C121*(1+PREMISSAS!$C$58),C121)))</f>
        <v>0</v>
      </c>
      <c r="E122" s="18">
        <v>118</v>
      </c>
      <c r="F122" s="21">
        <f t="shared" ca="1" si="15"/>
        <v>40908</v>
      </c>
      <c r="G122" s="22">
        <f ca="1">IFERROR(VLOOKUP(F122,RESULTADOS!$O$5:$P$543,2,FALSE),VLOOKUP(F122,$B$5:$C$842,2,FALSE))</f>
        <v>0</v>
      </c>
      <c r="H122" s="4">
        <f ca="1">IF(F122&lt;PREMISSAS!$D$7,0,IFERROR(VLOOKUP(IF(LEFT(F122,2)="13",DATE(YEAR(F121),12,31),F122),IPCA!$A:$D,4,FALSE),1)*G122)</f>
        <v>0</v>
      </c>
      <c r="J122" s="21">
        <f t="shared" ca="1" si="9"/>
        <v>40908</v>
      </c>
      <c r="K122" s="4">
        <f t="shared" ca="1" si="10"/>
        <v>0</v>
      </c>
      <c r="M122" s="21">
        <f t="shared" ca="1" si="16"/>
        <v>40908</v>
      </c>
      <c r="N122" s="37">
        <f t="shared" ca="1" si="11"/>
        <v>0</v>
      </c>
      <c r="O122" s="4">
        <f ca="1">IFERROR(AVERAGEIF(N$5:$N122,"&gt;="&amp;_xlfn.PERCENTILE.EXC(N$5:$N122,0.2)),0)</f>
        <v>0</v>
      </c>
      <c r="Q122" s="21">
        <f t="shared" ca="1" si="17"/>
        <v>40908</v>
      </c>
      <c r="R122" s="37">
        <f t="shared" ca="1" si="12"/>
        <v>0</v>
      </c>
      <c r="S122" s="4">
        <f ca="1">IFERROR(AVERAGE($R$5:R122),0)</f>
        <v>0</v>
      </c>
      <c r="U122" s="21">
        <f t="shared" ca="1" si="13"/>
        <v>40908</v>
      </c>
      <c r="V122" s="4">
        <f ca="1">MIN(S122,PREMISSAS!$C$14)</f>
        <v>0</v>
      </c>
      <c r="W122" s="188"/>
      <c r="X122" s="188"/>
    </row>
    <row r="123" spans="2:24" x14ac:dyDescent="0.3">
      <c r="B123" s="21" t="str">
        <f t="shared" ca="1" si="14"/>
        <v>13º 2031</v>
      </c>
      <c r="C123" s="22">
        <f ca="1">IF(B123="","",IF(LEFT(B123,2)="13",C122,IF(MONTH(B123)=1,C122*(1+PREMISSAS!$C$58),C122)))</f>
        <v>0</v>
      </c>
      <c r="E123" s="18">
        <v>119</v>
      </c>
      <c r="F123" s="21">
        <f t="shared" ca="1" si="15"/>
        <v>40939</v>
      </c>
      <c r="G123" s="22">
        <f ca="1">IFERROR(VLOOKUP(F123,RESULTADOS!$O$5:$P$543,2,FALSE),VLOOKUP(F123,$B$5:$C$842,2,FALSE))</f>
        <v>0</v>
      </c>
      <c r="H123" s="4">
        <f ca="1">IF(F123&lt;PREMISSAS!$D$7,0,IFERROR(VLOOKUP(IF(LEFT(F123,2)="13",DATE(YEAR(F122),12,31),F123),IPCA!$A:$D,4,FALSE),1)*G123)</f>
        <v>0</v>
      </c>
      <c r="J123" s="21">
        <f t="shared" ca="1" si="9"/>
        <v>40939</v>
      </c>
      <c r="K123" s="4">
        <f t="shared" ca="1" si="10"/>
        <v>0</v>
      </c>
      <c r="M123" s="21">
        <f t="shared" ca="1" si="16"/>
        <v>40939</v>
      </c>
      <c r="N123" s="37">
        <f t="shared" ca="1" si="11"/>
        <v>0</v>
      </c>
      <c r="O123" s="4">
        <f ca="1">IFERROR(AVERAGEIF(N$5:$N123,"&gt;="&amp;_xlfn.PERCENTILE.EXC(N$5:$N123,0.2)),0)</f>
        <v>0</v>
      </c>
      <c r="Q123" s="21">
        <f t="shared" ca="1" si="17"/>
        <v>40939</v>
      </c>
      <c r="R123" s="37">
        <f t="shared" ca="1" si="12"/>
        <v>0</v>
      </c>
      <c r="S123" s="4">
        <f ca="1">IFERROR(AVERAGE($R$5:R123),0)</f>
        <v>0</v>
      </c>
      <c r="U123" s="21">
        <f t="shared" ca="1" si="13"/>
        <v>40939</v>
      </c>
      <c r="V123" s="4">
        <f ca="1">MIN(S123,PREMISSAS!$C$14)</f>
        <v>0</v>
      </c>
      <c r="W123" s="188"/>
      <c r="X123" s="188"/>
    </row>
    <row r="124" spans="2:24" x14ac:dyDescent="0.3">
      <c r="B124" s="21">
        <f t="shared" ca="1" si="14"/>
        <v>48213</v>
      </c>
      <c r="C124" s="22">
        <f ca="1">IF(B124="","",IF(LEFT(B124,2)="13",C123,IF(MONTH(B124)=1,C123*(1+PREMISSAS!$C$58),C123)))</f>
        <v>0</v>
      </c>
      <c r="E124" s="18">
        <v>120</v>
      </c>
      <c r="F124" s="21">
        <f t="shared" ca="1" si="15"/>
        <v>40968</v>
      </c>
      <c r="G124" s="22">
        <f ca="1">IFERROR(VLOOKUP(F124,RESULTADOS!$O$5:$P$543,2,FALSE),VLOOKUP(F124,$B$5:$C$842,2,FALSE))</f>
        <v>0</v>
      </c>
      <c r="H124" s="4">
        <f ca="1">IF(F124&lt;PREMISSAS!$D$7,0,IFERROR(VLOOKUP(IF(LEFT(F124,2)="13",DATE(YEAR(F123),12,31),F124),IPCA!$A:$D,4,FALSE),1)*G124)</f>
        <v>0</v>
      </c>
      <c r="J124" s="21">
        <f t="shared" ca="1" si="9"/>
        <v>40968</v>
      </c>
      <c r="K124" s="4">
        <f t="shared" ca="1" si="10"/>
        <v>0</v>
      </c>
      <c r="M124" s="21">
        <f t="shared" ca="1" si="16"/>
        <v>40968</v>
      </c>
      <c r="N124" s="37">
        <f t="shared" ca="1" si="11"/>
        <v>0</v>
      </c>
      <c r="O124" s="4">
        <f ca="1">IFERROR(AVERAGEIF(N$5:$N124,"&gt;="&amp;_xlfn.PERCENTILE.EXC(N$5:$N124,0.2)),0)</f>
        <v>0</v>
      </c>
      <c r="Q124" s="21">
        <f t="shared" ca="1" si="17"/>
        <v>40968</v>
      </c>
      <c r="R124" s="37">
        <f t="shared" ca="1" si="12"/>
        <v>0</v>
      </c>
      <c r="S124" s="4">
        <f ca="1">IFERROR(AVERAGE($R$5:R124),0)</f>
        <v>0</v>
      </c>
      <c r="U124" s="21">
        <f t="shared" ca="1" si="13"/>
        <v>40968</v>
      </c>
      <c r="V124" s="4">
        <f ca="1">MIN(S124,PREMISSAS!$C$14)</f>
        <v>0</v>
      </c>
      <c r="W124" s="188"/>
      <c r="X124" s="188"/>
    </row>
    <row r="125" spans="2:24" x14ac:dyDescent="0.3">
      <c r="B125" s="21">
        <f t="shared" ca="1" si="14"/>
        <v>48244</v>
      </c>
      <c r="C125" s="22">
        <f ca="1">IF(B125="","",IF(LEFT(B125,2)="13",C124,IF(MONTH(B125)=1,C124*(1+PREMISSAS!$C$58),C124)))</f>
        <v>0</v>
      </c>
      <c r="E125" s="18">
        <v>121</v>
      </c>
      <c r="F125" s="21">
        <f t="shared" ca="1" si="15"/>
        <v>40999</v>
      </c>
      <c r="G125" s="22">
        <f ca="1">IFERROR(VLOOKUP(F125,RESULTADOS!$O$5:$P$543,2,FALSE),VLOOKUP(F125,$B$5:$C$842,2,FALSE))</f>
        <v>0</v>
      </c>
      <c r="H125" s="4">
        <f ca="1">IF(F125&lt;PREMISSAS!$D$7,0,IFERROR(VLOOKUP(IF(LEFT(F125,2)="13",DATE(YEAR(F124),12,31),F125),IPCA!$A:$D,4,FALSE),1)*G125)</f>
        <v>0</v>
      </c>
      <c r="J125" s="21">
        <f t="shared" ca="1" si="9"/>
        <v>40999</v>
      </c>
      <c r="K125" s="4">
        <f t="shared" ca="1" si="10"/>
        <v>0</v>
      </c>
      <c r="M125" s="21">
        <f t="shared" ca="1" si="16"/>
        <v>40999</v>
      </c>
      <c r="N125" s="37">
        <f t="shared" ca="1" si="11"/>
        <v>0</v>
      </c>
      <c r="O125" s="4">
        <f ca="1">IFERROR(AVERAGEIF(N$5:$N125,"&gt;="&amp;_xlfn.PERCENTILE.EXC(N$5:$N125,0.2)),0)</f>
        <v>0</v>
      </c>
      <c r="Q125" s="21">
        <f t="shared" ca="1" si="17"/>
        <v>40999</v>
      </c>
      <c r="R125" s="37">
        <f t="shared" ca="1" si="12"/>
        <v>0</v>
      </c>
      <c r="S125" s="4">
        <f ca="1">IFERROR(AVERAGE($R$5:R125),0)</f>
        <v>0</v>
      </c>
      <c r="U125" s="21">
        <f t="shared" ca="1" si="13"/>
        <v>40999</v>
      </c>
      <c r="V125" s="4">
        <f ca="1">MIN(S125,PREMISSAS!$C$14)</f>
        <v>0</v>
      </c>
      <c r="W125" s="188"/>
      <c r="X125" s="188"/>
    </row>
    <row r="126" spans="2:24" x14ac:dyDescent="0.3">
      <c r="B126" s="21">
        <f t="shared" ca="1" si="14"/>
        <v>48273</v>
      </c>
      <c r="C126" s="22">
        <f ca="1">IF(B126="","",IF(LEFT(B126,2)="13",C125,IF(MONTH(B126)=1,C125*(1+PREMISSAS!$C$58),C125)))</f>
        <v>0</v>
      </c>
      <c r="E126" s="18">
        <v>122</v>
      </c>
      <c r="F126" s="21">
        <f t="shared" ca="1" si="15"/>
        <v>41029</v>
      </c>
      <c r="G126" s="22">
        <f ca="1">IFERROR(VLOOKUP(F126,RESULTADOS!$O$5:$P$543,2,FALSE),VLOOKUP(F126,$B$5:$C$842,2,FALSE))</f>
        <v>0</v>
      </c>
      <c r="H126" s="4">
        <f ca="1">IF(F126&lt;PREMISSAS!$D$7,0,IFERROR(VLOOKUP(IF(LEFT(F126,2)="13",DATE(YEAR(F125),12,31),F126),IPCA!$A:$D,4,FALSE),1)*G126)</f>
        <v>0</v>
      </c>
      <c r="J126" s="21">
        <f t="shared" ca="1" si="9"/>
        <v>41029</v>
      </c>
      <c r="K126" s="4">
        <f t="shared" ca="1" si="10"/>
        <v>0</v>
      </c>
      <c r="M126" s="21">
        <f t="shared" ca="1" si="16"/>
        <v>41029</v>
      </c>
      <c r="N126" s="37">
        <f t="shared" ca="1" si="11"/>
        <v>0</v>
      </c>
      <c r="O126" s="4">
        <f ca="1">IFERROR(AVERAGEIF(N$5:$N126,"&gt;="&amp;_xlfn.PERCENTILE.EXC(N$5:$N126,0.2)),0)</f>
        <v>0</v>
      </c>
      <c r="Q126" s="21">
        <f t="shared" ca="1" si="17"/>
        <v>41029</v>
      </c>
      <c r="R126" s="37">
        <f t="shared" ca="1" si="12"/>
        <v>0</v>
      </c>
      <c r="S126" s="4">
        <f ca="1">IFERROR(AVERAGE($R$5:R126),0)</f>
        <v>0</v>
      </c>
      <c r="U126" s="21">
        <f t="shared" ca="1" si="13"/>
        <v>41029</v>
      </c>
      <c r="V126" s="4">
        <f ca="1">MIN(S126,PREMISSAS!$C$14)</f>
        <v>0</v>
      </c>
      <c r="W126" s="188"/>
      <c r="X126" s="188"/>
    </row>
    <row r="127" spans="2:24" x14ac:dyDescent="0.3">
      <c r="B127" s="21">
        <f t="shared" ca="1" si="14"/>
        <v>48304</v>
      </c>
      <c r="C127" s="22">
        <f ca="1">IF(B127="","",IF(LEFT(B127,2)="13",C126,IF(MONTH(B127)=1,C126*(1+PREMISSAS!$C$58),C126)))</f>
        <v>0</v>
      </c>
      <c r="E127" s="18">
        <v>123</v>
      </c>
      <c r="F127" s="21">
        <f t="shared" ca="1" si="15"/>
        <v>41060</v>
      </c>
      <c r="G127" s="22">
        <f ca="1">IFERROR(VLOOKUP(F127,RESULTADOS!$O$5:$P$543,2,FALSE),VLOOKUP(F127,$B$5:$C$842,2,FALSE))</f>
        <v>0</v>
      </c>
      <c r="H127" s="4">
        <f ca="1">IF(F127&lt;PREMISSAS!$D$7,0,IFERROR(VLOOKUP(IF(LEFT(F127,2)="13",DATE(YEAR(F126),12,31),F127),IPCA!$A:$D,4,FALSE),1)*G127)</f>
        <v>0</v>
      </c>
      <c r="J127" s="21">
        <f t="shared" ca="1" si="9"/>
        <v>41060</v>
      </c>
      <c r="K127" s="4">
        <f t="shared" ca="1" si="10"/>
        <v>0</v>
      </c>
      <c r="M127" s="21">
        <f t="shared" ca="1" si="16"/>
        <v>41060</v>
      </c>
      <c r="N127" s="37">
        <f t="shared" ca="1" si="11"/>
        <v>0</v>
      </c>
      <c r="O127" s="4">
        <f ca="1">IFERROR(AVERAGEIF(N$5:$N127,"&gt;="&amp;_xlfn.PERCENTILE.EXC(N$5:$N127,0.2)),0)</f>
        <v>0</v>
      </c>
      <c r="Q127" s="21">
        <f t="shared" ca="1" si="17"/>
        <v>41060</v>
      </c>
      <c r="R127" s="37">
        <f t="shared" ca="1" si="12"/>
        <v>0</v>
      </c>
      <c r="S127" s="4">
        <f ca="1">IFERROR(AVERAGE($R$5:R127),0)</f>
        <v>0</v>
      </c>
      <c r="U127" s="21">
        <f t="shared" ca="1" si="13"/>
        <v>41060</v>
      </c>
      <c r="V127" s="4">
        <f ca="1">MIN(S127,PREMISSAS!$C$14)</f>
        <v>0</v>
      </c>
      <c r="W127" s="188"/>
      <c r="X127" s="188"/>
    </row>
    <row r="128" spans="2:24" x14ac:dyDescent="0.3">
      <c r="B128" s="21">
        <f t="shared" ca="1" si="14"/>
        <v>48334</v>
      </c>
      <c r="C128" s="22">
        <f ca="1">IF(B128="","",IF(LEFT(B128,2)="13",C127,IF(MONTH(B128)=1,C127*(1+PREMISSAS!$C$58),C127)))</f>
        <v>0</v>
      </c>
      <c r="E128" s="18">
        <v>124</v>
      </c>
      <c r="F128" s="21">
        <f t="shared" ca="1" si="15"/>
        <v>41090</v>
      </c>
      <c r="G128" s="22">
        <f ca="1">IFERROR(VLOOKUP(F128,RESULTADOS!$O$5:$P$543,2,FALSE),VLOOKUP(F128,$B$5:$C$842,2,FALSE))</f>
        <v>0</v>
      </c>
      <c r="H128" s="4">
        <f ca="1">IF(F128&lt;PREMISSAS!$D$7,0,IFERROR(VLOOKUP(IF(LEFT(F128,2)="13",DATE(YEAR(F127),12,31),F128),IPCA!$A:$D,4,FALSE),1)*G128)</f>
        <v>0</v>
      </c>
      <c r="J128" s="21">
        <f t="shared" ca="1" si="9"/>
        <v>41090</v>
      </c>
      <c r="K128" s="4">
        <f t="shared" ca="1" si="10"/>
        <v>0</v>
      </c>
      <c r="M128" s="21">
        <f t="shared" ca="1" si="16"/>
        <v>41090</v>
      </c>
      <c r="N128" s="37">
        <f t="shared" ca="1" si="11"/>
        <v>0</v>
      </c>
      <c r="O128" s="4">
        <f ca="1">IFERROR(AVERAGEIF(N$5:$N128,"&gt;="&amp;_xlfn.PERCENTILE.EXC(N$5:$N128,0.2)),0)</f>
        <v>0</v>
      </c>
      <c r="Q128" s="21">
        <f t="shared" ca="1" si="17"/>
        <v>41090</v>
      </c>
      <c r="R128" s="37">
        <f t="shared" ca="1" si="12"/>
        <v>0</v>
      </c>
      <c r="S128" s="4">
        <f ca="1">IFERROR(AVERAGE($R$5:R128),0)</f>
        <v>0</v>
      </c>
      <c r="U128" s="21">
        <f t="shared" ca="1" si="13"/>
        <v>41090</v>
      </c>
      <c r="V128" s="4">
        <f ca="1">MIN(S128,PREMISSAS!$C$14)</f>
        <v>0</v>
      </c>
      <c r="W128" s="188"/>
      <c r="X128" s="188"/>
    </row>
    <row r="129" spans="2:24" x14ac:dyDescent="0.3">
      <c r="B129" s="21">
        <f t="shared" ca="1" si="14"/>
        <v>48365</v>
      </c>
      <c r="C129" s="22">
        <f ca="1">IF(B129="","",IF(LEFT(B129,2)="13",C128,IF(MONTH(B129)=1,C128*(1+PREMISSAS!$C$58),C128)))</f>
        <v>0</v>
      </c>
      <c r="E129" s="18">
        <v>125</v>
      </c>
      <c r="F129" s="21">
        <f t="shared" ca="1" si="15"/>
        <v>41121</v>
      </c>
      <c r="G129" s="22">
        <f ca="1">IFERROR(VLOOKUP(F129,RESULTADOS!$O$5:$P$543,2,FALSE),VLOOKUP(F129,$B$5:$C$842,2,FALSE))</f>
        <v>0</v>
      </c>
      <c r="H129" s="4">
        <f ca="1">IF(F129&lt;PREMISSAS!$D$7,0,IFERROR(VLOOKUP(IF(LEFT(F129,2)="13",DATE(YEAR(F128),12,31),F129),IPCA!$A:$D,4,FALSE),1)*G129)</f>
        <v>0</v>
      </c>
      <c r="J129" s="21">
        <f t="shared" ca="1" si="9"/>
        <v>41121</v>
      </c>
      <c r="K129" s="4">
        <f t="shared" ca="1" si="10"/>
        <v>0</v>
      </c>
      <c r="M129" s="21">
        <f t="shared" ca="1" si="16"/>
        <v>41121</v>
      </c>
      <c r="N129" s="37">
        <f t="shared" ca="1" si="11"/>
        <v>0</v>
      </c>
      <c r="O129" s="4">
        <f ca="1">IFERROR(AVERAGEIF(N$5:$N129,"&gt;="&amp;_xlfn.PERCENTILE.EXC(N$5:$N129,0.2)),0)</f>
        <v>0</v>
      </c>
      <c r="Q129" s="21">
        <f t="shared" ca="1" si="17"/>
        <v>41121</v>
      </c>
      <c r="R129" s="37">
        <f t="shared" ca="1" si="12"/>
        <v>0</v>
      </c>
      <c r="S129" s="4">
        <f ca="1">IFERROR(AVERAGE($R$5:R129),0)</f>
        <v>0</v>
      </c>
      <c r="U129" s="21">
        <f t="shared" ca="1" si="13"/>
        <v>41121</v>
      </c>
      <c r="V129" s="4">
        <f ca="1">MIN(S129,PREMISSAS!$C$14)</f>
        <v>0</v>
      </c>
      <c r="W129" s="188"/>
      <c r="X129" s="188"/>
    </row>
    <row r="130" spans="2:24" x14ac:dyDescent="0.3">
      <c r="B130" s="21">
        <f t="shared" ca="1" si="14"/>
        <v>48395</v>
      </c>
      <c r="C130" s="22">
        <f ca="1">IF(B130="","",IF(LEFT(B130,2)="13",C129,IF(MONTH(B130)=1,C129*(1+PREMISSAS!$C$58),C129)))</f>
        <v>0</v>
      </c>
      <c r="E130" s="18">
        <v>126</v>
      </c>
      <c r="F130" s="21">
        <f t="shared" ca="1" si="15"/>
        <v>41152</v>
      </c>
      <c r="G130" s="22">
        <f ca="1">IFERROR(VLOOKUP(F130,RESULTADOS!$O$5:$P$543,2,FALSE),VLOOKUP(F130,$B$5:$C$842,2,FALSE))</f>
        <v>0</v>
      </c>
      <c r="H130" s="4">
        <f ca="1">IF(F130&lt;PREMISSAS!$D$7,0,IFERROR(VLOOKUP(IF(LEFT(F130,2)="13",DATE(YEAR(F129),12,31),F130),IPCA!$A:$D,4,FALSE),1)*G130)</f>
        <v>0</v>
      </c>
      <c r="J130" s="21">
        <f t="shared" ca="1" si="9"/>
        <v>41152</v>
      </c>
      <c r="K130" s="4">
        <f t="shared" ca="1" si="10"/>
        <v>0</v>
      </c>
      <c r="M130" s="21">
        <f t="shared" ca="1" si="16"/>
        <v>41152</v>
      </c>
      <c r="N130" s="37">
        <f t="shared" ca="1" si="11"/>
        <v>0</v>
      </c>
      <c r="O130" s="4">
        <f ca="1">IFERROR(AVERAGEIF(N$5:$N130,"&gt;="&amp;_xlfn.PERCENTILE.EXC(N$5:$N130,0.2)),0)</f>
        <v>0</v>
      </c>
      <c r="Q130" s="21">
        <f t="shared" ca="1" si="17"/>
        <v>41152</v>
      </c>
      <c r="R130" s="37">
        <f t="shared" ca="1" si="12"/>
        <v>0</v>
      </c>
      <c r="S130" s="4">
        <f ca="1">IFERROR(AVERAGE($R$5:R130),0)</f>
        <v>0</v>
      </c>
      <c r="U130" s="21">
        <f t="shared" ca="1" si="13"/>
        <v>41152</v>
      </c>
      <c r="V130" s="4">
        <f ca="1">MIN(S130,PREMISSAS!$C$14)</f>
        <v>0</v>
      </c>
      <c r="W130" s="188"/>
      <c r="X130" s="188"/>
    </row>
    <row r="131" spans="2:24" x14ac:dyDescent="0.3">
      <c r="B131" s="21">
        <f t="shared" ca="1" si="14"/>
        <v>48426</v>
      </c>
      <c r="C131" s="22">
        <f ca="1">IF(B131="","",IF(LEFT(B131,2)="13",C130,IF(MONTH(B131)=1,C130*(1+PREMISSAS!$C$58),C130)))</f>
        <v>0</v>
      </c>
      <c r="E131" s="18">
        <v>127</v>
      </c>
      <c r="F131" s="21">
        <f t="shared" ca="1" si="15"/>
        <v>41182</v>
      </c>
      <c r="G131" s="22">
        <f ca="1">IFERROR(VLOOKUP(F131,RESULTADOS!$O$5:$P$543,2,FALSE),VLOOKUP(F131,$B$5:$C$842,2,FALSE))</f>
        <v>0</v>
      </c>
      <c r="H131" s="4">
        <f ca="1">IF(F131&lt;PREMISSAS!$D$7,0,IFERROR(VLOOKUP(IF(LEFT(F131,2)="13",DATE(YEAR(F130),12,31),F131),IPCA!$A:$D,4,FALSE),1)*G131)</f>
        <v>0</v>
      </c>
      <c r="J131" s="21">
        <f t="shared" ca="1" si="9"/>
        <v>41182</v>
      </c>
      <c r="K131" s="4">
        <f t="shared" ca="1" si="10"/>
        <v>0</v>
      </c>
      <c r="M131" s="21">
        <f t="shared" ca="1" si="16"/>
        <v>41182</v>
      </c>
      <c r="N131" s="37">
        <f t="shared" ca="1" si="11"/>
        <v>0</v>
      </c>
      <c r="O131" s="4">
        <f ca="1">IFERROR(AVERAGEIF(N$5:$N131,"&gt;="&amp;_xlfn.PERCENTILE.EXC(N$5:$N131,0.2)),0)</f>
        <v>0</v>
      </c>
      <c r="Q131" s="21">
        <f t="shared" ca="1" si="17"/>
        <v>41182</v>
      </c>
      <c r="R131" s="37">
        <f t="shared" ca="1" si="12"/>
        <v>0</v>
      </c>
      <c r="S131" s="4">
        <f ca="1">IFERROR(AVERAGE($R$5:R131),0)</f>
        <v>0</v>
      </c>
      <c r="U131" s="21">
        <f t="shared" ca="1" si="13"/>
        <v>41182</v>
      </c>
      <c r="V131" s="4">
        <f ca="1">MIN(S131,PREMISSAS!$C$14)</f>
        <v>0</v>
      </c>
      <c r="W131" s="188"/>
      <c r="X131" s="188"/>
    </row>
    <row r="132" spans="2:24" x14ac:dyDescent="0.3">
      <c r="B132" s="21">
        <f t="shared" ca="1" si="14"/>
        <v>48457</v>
      </c>
      <c r="C132" s="22">
        <f ca="1">IF(B132="","",IF(LEFT(B132,2)="13",C131,IF(MONTH(B132)=1,C131*(1+PREMISSAS!$C$58),C131)))</f>
        <v>0</v>
      </c>
      <c r="E132" s="18">
        <v>128</v>
      </c>
      <c r="F132" s="21">
        <f t="shared" ca="1" si="15"/>
        <v>41213</v>
      </c>
      <c r="G132" s="22">
        <f ca="1">IFERROR(VLOOKUP(F132,RESULTADOS!$O$5:$P$543,2,FALSE),VLOOKUP(F132,$B$5:$C$842,2,FALSE))</f>
        <v>0</v>
      </c>
      <c r="H132" s="4">
        <f ca="1">IF(F132&lt;PREMISSAS!$D$7,0,IFERROR(VLOOKUP(IF(LEFT(F132,2)="13",DATE(YEAR(F131),12,31),F132),IPCA!$A:$D,4,FALSE),1)*G132)</f>
        <v>0</v>
      </c>
      <c r="J132" s="21">
        <f t="shared" ca="1" si="9"/>
        <v>41213</v>
      </c>
      <c r="K132" s="4">
        <f t="shared" ca="1" si="10"/>
        <v>0</v>
      </c>
      <c r="M132" s="21">
        <f t="shared" ca="1" si="16"/>
        <v>41213</v>
      </c>
      <c r="N132" s="37">
        <f t="shared" ca="1" si="11"/>
        <v>0</v>
      </c>
      <c r="O132" s="4">
        <f ca="1">IFERROR(AVERAGEIF(N$5:$N132,"&gt;="&amp;_xlfn.PERCENTILE.EXC(N$5:$N132,0.2)),0)</f>
        <v>0</v>
      </c>
      <c r="Q132" s="21">
        <f t="shared" ca="1" si="17"/>
        <v>41213</v>
      </c>
      <c r="R132" s="37">
        <f t="shared" ca="1" si="12"/>
        <v>0</v>
      </c>
      <c r="S132" s="4">
        <f ca="1">IFERROR(AVERAGE($R$5:R132),0)</f>
        <v>0</v>
      </c>
      <c r="U132" s="21">
        <f t="shared" ca="1" si="13"/>
        <v>41213</v>
      </c>
      <c r="V132" s="4">
        <f ca="1">MIN(S132,PREMISSAS!$C$14)</f>
        <v>0</v>
      </c>
      <c r="W132" s="188"/>
      <c r="X132" s="188"/>
    </row>
    <row r="133" spans="2:24" x14ac:dyDescent="0.3">
      <c r="B133" s="21">
        <f t="shared" ca="1" si="14"/>
        <v>48487</v>
      </c>
      <c r="C133" s="22">
        <f ca="1">IF(B133="","",IF(LEFT(B133,2)="13",C132,IF(MONTH(B133)=1,C132*(1+PREMISSAS!$C$58),C132)))</f>
        <v>0</v>
      </c>
      <c r="E133" s="18">
        <v>129</v>
      </c>
      <c r="F133" s="21">
        <f t="shared" ca="1" si="15"/>
        <v>41243</v>
      </c>
      <c r="G133" s="22">
        <f ca="1">IFERROR(VLOOKUP(F133,RESULTADOS!$O$5:$P$543,2,FALSE),VLOOKUP(F133,$B$5:$C$842,2,FALSE))</f>
        <v>0</v>
      </c>
      <c r="H133" s="4">
        <f ca="1">IF(F133&lt;PREMISSAS!$D$7,0,IFERROR(VLOOKUP(IF(LEFT(F133,2)="13",DATE(YEAR(F132),12,31),F133),IPCA!$A:$D,4,FALSE),1)*G133)</f>
        <v>0</v>
      </c>
      <c r="J133" s="21">
        <f t="shared" ref="J133:J196" ca="1" si="18">F133</f>
        <v>41243</v>
      </c>
      <c r="K133" s="4">
        <f t="shared" ref="K133:K196" ca="1" si="19">G133</f>
        <v>0</v>
      </c>
      <c r="M133" s="21">
        <f t="shared" ca="1" si="16"/>
        <v>41243</v>
      </c>
      <c r="N133" s="37">
        <f t="shared" ca="1" si="11"/>
        <v>0</v>
      </c>
      <c r="O133" s="4">
        <f ca="1">IFERROR(AVERAGEIF(N$5:$N133,"&gt;="&amp;_xlfn.PERCENTILE.EXC(N$5:$N133,0.2)),0)</f>
        <v>0</v>
      </c>
      <c r="Q133" s="21">
        <f t="shared" ca="1" si="17"/>
        <v>41243</v>
      </c>
      <c r="R133" s="37">
        <f t="shared" ca="1" si="12"/>
        <v>0</v>
      </c>
      <c r="S133" s="4">
        <f ca="1">IFERROR(AVERAGE($R$5:R133),0)</f>
        <v>0</v>
      </c>
      <c r="U133" s="21">
        <f t="shared" ca="1" si="13"/>
        <v>41243</v>
      </c>
      <c r="V133" s="4">
        <f ca="1">MIN(S133,PREMISSAS!$C$14)</f>
        <v>0</v>
      </c>
      <c r="W133" s="188"/>
      <c r="X133" s="188"/>
    </row>
    <row r="134" spans="2:24" x14ac:dyDescent="0.3">
      <c r="B134" s="21">
        <f t="shared" ca="1" si="14"/>
        <v>48518</v>
      </c>
      <c r="C134" s="22">
        <f ca="1">IF(B134="","",IF(LEFT(B134,2)="13",C133,IF(MONTH(B134)=1,C133*(1+PREMISSAS!$C$58),C133)))</f>
        <v>0</v>
      </c>
      <c r="E134" s="18">
        <v>130</v>
      </c>
      <c r="F134" s="21" t="str">
        <f t="shared" ca="1" si="15"/>
        <v>13º 2012</v>
      </c>
      <c r="G134" s="22">
        <f ca="1">IFERROR(VLOOKUP(F134,RESULTADOS!$O$5:$P$543,2,FALSE),VLOOKUP(F134,$B$5:$C$842,2,FALSE))</f>
        <v>0</v>
      </c>
      <c r="H134" s="4">
        <f ca="1">IF(F134&lt;PREMISSAS!$D$7,0,IFERROR(VLOOKUP(IF(LEFT(F134,2)="13",DATE(YEAR(F133),12,31),F134),IPCA!$A:$D,4,FALSE),1)*G134)</f>
        <v>0</v>
      </c>
      <c r="J134" s="21" t="str">
        <f t="shared" ca="1" si="18"/>
        <v>13º 2012</v>
      </c>
      <c r="K134" s="4">
        <f t="shared" ca="1" si="19"/>
        <v>0</v>
      </c>
      <c r="M134" s="21" t="str">
        <f t="shared" ca="1" si="16"/>
        <v>13º 2012</v>
      </c>
      <c r="N134" s="37">
        <f t="shared" ref="N134:N197" ca="1" si="20">IFERROR(VLOOKUP(M134,$F$5:$H$628,3,FALSE),0)</f>
        <v>0</v>
      </c>
      <c r="O134" s="4">
        <f ca="1">IFERROR(AVERAGEIF(N$5:$N134,"&gt;="&amp;_xlfn.PERCENTILE.EXC(N$5:$N134,0.2)),0)</f>
        <v>0</v>
      </c>
      <c r="Q134" s="21" t="str">
        <f t="shared" ca="1" si="17"/>
        <v>13º 2012</v>
      </c>
      <c r="R134" s="37">
        <f t="shared" ref="R134:R197" ca="1" si="21">IFERROR(VLOOKUP(Q134,$F$5:$H$628,3,FALSE),0)</f>
        <v>0</v>
      </c>
      <c r="S134" s="4">
        <f ca="1">IFERROR(AVERAGE($R$5:R134),0)</f>
        <v>0</v>
      </c>
      <c r="U134" s="21" t="str">
        <f t="shared" ref="U134:U197" ca="1" si="22">M134</f>
        <v>13º 2012</v>
      </c>
      <c r="V134" s="4">
        <f ca="1">MIN(S134,PREMISSAS!$C$14)</f>
        <v>0</v>
      </c>
      <c r="W134" s="188"/>
      <c r="X134" s="188"/>
    </row>
    <row r="135" spans="2:24" x14ac:dyDescent="0.3">
      <c r="B135" s="21">
        <f t="shared" ref="B135:B198" ca="1" si="23">IFERROR(IF(LEFT(B134,2)="13",DATE(RIGHT(B134,4),12,31),IF(EOMONTH(B134,0)&gt;$F$1,"",IF(MONTH(B134)=11,"13º "&amp;YEAR(B134),EOMONTH(B134,1)))),"")</f>
        <v>48548</v>
      </c>
      <c r="C135" s="22">
        <f ca="1">IF(B135="","",IF(LEFT(B135,2)="13",C134,IF(MONTH(B135)=1,C134*(1+PREMISSAS!$C$58),C134)))</f>
        <v>0</v>
      </c>
      <c r="E135" s="18">
        <v>131</v>
      </c>
      <c r="F135" s="21">
        <f t="shared" ref="F135:F198" ca="1" si="24">IFERROR(IF(LEFT(F134,2)="13",DATE(RIGHT(F134,4),12,31),IF(EOMONTH(F134,0)&gt;$F$1,"",IF(MONTH(F134)=11,"13º "&amp;YEAR(F134),EOMONTH(F134,1)))),"")</f>
        <v>41274</v>
      </c>
      <c r="G135" s="22">
        <f ca="1">IFERROR(VLOOKUP(F135,RESULTADOS!$O$5:$P$543,2,FALSE),VLOOKUP(F135,$B$5:$C$842,2,FALSE))</f>
        <v>0</v>
      </c>
      <c r="H135" s="4">
        <f ca="1">IF(F135&lt;PREMISSAS!$D$7,0,IFERROR(VLOOKUP(IF(LEFT(F135,2)="13",DATE(YEAR(F134),12,31),F135),IPCA!$A:$D,4,FALSE),1)*G135)</f>
        <v>0</v>
      </c>
      <c r="J135" s="21">
        <f t="shared" ca="1" si="18"/>
        <v>41274</v>
      </c>
      <c r="K135" s="4">
        <f t="shared" ca="1" si="19"/>
        <v>0</v>
      </c>
      <c r="M135" s="21">
        <f t="shared" ref="M135:M198" ca="1" si="25">IFERROR(IF(LEFT(M134,2)="13",DATE(RIGHT(M134,4),12,31),IF(EOMONTH(M134,0)&gt;$F$1,"",IF(MONTH(M134)=11,"13º "&amp;YEAR(M134),EOMONTH(M134,1)))),"")</f>
        <v>41274</v>
      </c>
      <c r="N135" s="37">
        <f t="shared" ca="1" si="20"/>
        <v>0</v>
      </c>
      <c r="O135" s="4">
        <f ca="1">IFERROR(AVERAGEIF(N$5:$N135,"&gt;="&amp;_xlfn.PERCENTILE.EXC(N$5:$N135,0.2)),0)</f>
        <v>0</v>
      </c>
      <c r="Q135" s="21">
        <f t="shared" ref="Q135:Q198" ca="1" si="26">IFERROR(IF(LEFT(Q134,2)="13",DATE(RIGHT(Q134,4),12,31),IF(EOMONTH(Q134,0)&gt;$F$1,"",IF(MONTH(Q134)=11,"13º "&amp;YEAR(Q134),EOMONTH(Q134,1)))),"")</f>
        <v>41274</v>
      </c>
      <c r="R135" s="37">
        <f t="shared" ca="1" si="21"/>
        <v>0</v>
      </c>
      <c r="S135" s="4">
        <f ca="1">IFERROR(AVERAGE($R$5:R135),0)</f>
        <v>0</v>
      </c>
      <c r="U135" s="21">
        <f t="shared" ca="1" si="22"/>
        <v>41274</v>
      </c>
      <c r="V135" s="4">
        <f ca="1">MIN(S135,PREMISSAS!$C$14)</f>
        <v>0</v>
      </c>
      <c r="W135" s="188"/>
      <c r="X135" s="188"/>
    </row>
    <row r="136" spans="2:24" x14ac:dyDescent="0.3">
      <c r="B136" s="21" t="str">
        <f t="shared" ca="1" si="23"/>
        <v>13º 2032</v>
      </c>
      <c r="C136" s="22">
        <f ca="1">IF(B136="","",IF(LEFT(B136,2)="13",C135,IF(MONTH(B136)=1,C135*(1+PREMISSAS!$C$58),C135)))</f>
        <v>0</v>
      </c>
      <c r="E136" s="18">
        <v>132</v>
      </c>
      <c r="F136" s="21">
        <f t="shared" ca="1" si="24"/>
        <v>41305</v>
      </c>
      <c r="G136" s="22">
        <f ca="1">IFERROR(VLOOKUP(F136,RESULTADOS!$O$5:$P$543,2,FALSE),VLOOKUP(F136,$B$5:$C$842,2,FALSE))</f>
        <v>0</v>
      </c>
      <c r="H136" s="4">
        <f ca="1">IF(F136&lt;PREMISSAS!$D$7,0,IFERROR(VLOOKUP(IF(LEFT(F136,2)="13",DATE(YEAR(F135),12,31),F136),IPCA!$A:$D,4,FALSE),1)*G136)</f>
        <v>0</v>
      </c>
      <c r="J136" s="21">
        <f t="shared" ca="1" si="18"/>
        <v>41305</v>
      </c>
      <c r="K136" s="4">
        <f t="shared" ca="1" si="19"/>
        <v>0</v>
      </c>
      <c r="M136" s="21">
        <f t="shared" ca="1" si="25"/>
        <v>41305</v>
      </c>
      <c r="N136" s="37">
        <f t="shared" ca="1" si="20"/>
        <v>0</v>
      </c>
      <c r="O136" s="4">
        <f ca="1">IFERROR(AVERAGEIF(N$5:$N136,"&gt;="&amp;_xlfn.PERCENTILE.EXC(N$5:$N136,0.2)),0)</f>
        <v>0</v>
      </c>
      <c r="Q136" s="21">
        <f t="shared" ca="1" si="26"/>
        <v>41305</v>
      </c>
      <c r="R136" s="37">
        <f t="shared" ca="1" si="21"/>
        <v>0</v>
      </c>
      <c r="S136" s="4">
        <f ca="1">IFERROR(AVERAGE($R$5:R136),0)</f>
        <v>0</v>
      </c>
      <c r="U136" s="21">
        <f t="shared" ca="1" si="22"/>
        <v>41305</v>
      </c>
      <c r="V136" s="4">
        <f ca="1">MIN(S136,PREMISSAS!$C$14)</f>
        <v>0</v>
      </c>
      <c r="W136" s="188"/>
      <c r="X136" s="188"/>
    </row>
    <row r="137" spans="2:24" x14ac:dyDescent="0.3">
      <c r="B137" s="21">
        <f t="shared" ca="1" si="23"/>
        <v>48579</v>
      </c>
      <c r="C137" s="22">
        <f ca="1">IF(B137="","",IF(LEFT(B137,2)="13",C136,IF(MONTH(B137)=1,C136*(1+PREMISSAS!$C$58),C136)))</f>
        <v>0</v>
      </c>
      <c r="E137" s="18">
        <v>133</v>
      </c>
      <c r="F137" s="21">
        <f t="shared" ca="1" si="24"/>
        <v>41333</v>
      </c>
      <c r="G137" s="22">
        <f ca="1">IFERROR(VLOOKUP(F137,RESULTADOS!$O$5:$P$543,2,FALSE),VLOOKUP(F137,$B$5:$C$842,2,FALSE))</f>
        <v>0</v>
      </c>
      <c r="H137" s="4">
        <f ca="1">IF(F137&lt;PREMISSAS!$D$7,0,IFERROR(VLOOKUP(IF(LEFT(F137,2)="13",DATE(YEAR(F136),12,31),F137),IPCA!$A:$D,4,FALSE),1)*G137)</f>
        <v>0</v>
      </c>
      <c r="J137" s="21">
        <f t="shared" ca="1" si="18"/>
        <v>41333</v>
      </c>
      <c r="K137" s="4">
        <f t="shared" ca="1" si="19"/>
        <v>0</v>
      </c>
      <c r="M137" s="21">
        <f t="shared" ca="1" si="25"/>
        <v>41333</v>
      </c>
      <c r="N137" s="37">
        <f t="shared" ca="1" si="20"/>
        <v>0</v>
      </c>
      <c r="O137" s="4">
        <f ca="1">IFERROR(AVERAGEIF(N$5:$N137,"&gt;="&amp;_xlfn.PERCENTILE.EXC(N$5:$N137,0.2)),0)</f>
        <v>0</v>
      </c>
      <c r="Q137" s="21">
        <f t="shared" ca="1" si="26"/>
        <v>41333</v>
      </c>
      <c r="R137" s="37">
        <f t="shared" ca="1" si="21"/>
        <v>0</v>
      </c>
      <c r="S137" s="4">
        <f ca="1">IFERROR(AVERAGE($R$5:R137),0)</f>
        <v>0</v>
      </c>
      <c r="U137" s="21">
        <f t="shared" ca="1" si="22"/>
        <v>41333</v>
      </c>
      <c r="V137" s="4">
        <f ca="1">MIN(S137,PREMISSAS!$C$14)</f>
        <v>0</v>
      </c>
      <c r="W137" s="188"/>
      <c r="X137" s="188"/>
    </row>
    <row r="138" spans="2:24" x14ac:dyDescent="0.3">
      <c r="B138" s="21">
        <f t="shared" ca="1" si="23"/>
        <v>48610</v>
      </c>
      <c r="C138" s="22">
        <f ca="1">IF(B138="","",IF(LEFT(B138,2)="13",C137,IF(MONTH(B138)=1,C137*(1+PREMISSAS!$C$58),C137)))</f>
        <v>0</v>
      </c>
      <c r="E138" s="18">
        <v>134</v>
      </c>
      <c r="F138" s="21">
        <f t="shared" ca="1" si="24"/>
        <v>41364</v>
      </c>
      <c r="G138" s="22">
        <f ca="1">IFERROR(VLOOKUP(F138,RESULTADOS!$O$5:$P$543,2,FALSE),VLOOKUP(F138,$B$5:$C$842,2,FALSE))</f>
        <v>0</v>
      </c>
      <c r="H138" s="4">
        <f ca="1">IF(F138&lt;PREMISSAS!$D$7,0,IFERROR(VLOOKUP(IF(LEFT(F138,2)="13",DATE(YEAR(F137),12,31),F138),IPCA!$A:$D,4,FALSE),1)*G138)</f>
        <v>0</v>
      </c>
      <c r="J138" s="21">
        <f t="shared" ca="1" si="18"/>
        <v>41364</v>
      </c>
      <c r="K138" s="4">
        <f t="shared" ca="1" si="19"/>
        <v>0</v>
      </c>
      <c r="M138" s="21">
        <f t="shared" ca="1" si="25"/>
        <v>41364</v>
      </c>
      <c r="N138" s="37">
        <f t="shared" ca="1" si="20"/>
        <v>0</v>
      </c>
      <c r="O138" s="4">
        <f ca="1">IFERROR(AVERAGEIF(N$5:$N138,"&gt;="&amp;_xlfn.PERCENTILE.EXC(N$5:$N138,0.2)),0)</f>
        <v>0</v>
      </c>
      <c r="Q138" s="21">
        <f t="shared" ca="1" si="26"/>
        <v>41364</v>
      </c>
      <c r="R138" s="37">
        <f t="shared" ca="1" si="21"/>
        <v>0</v>
      </c>
      <c r="S138" s="4">
        <f ca="1">IFERROR(AVERAGE($R$5:R138),0)</f>
        <v>0</v>
      </c>
      <c r="U138" s="21">
        <f t="shared" ca="1" si="22"/>
        <v>41364</v>
      </c>
      <c r="V138" s="4">
        <f ca="1">MIN(S138,PREMISSAS!$C$14)</f>
        <v>0</v>
      </c>
      <c r="W138" s="188"/>
      <c r="X138" s="188"/>
    </row>
    <row r="139" spans="2:24" x14ac:dyDescent="0.3">
      <c r="B139" s="21">
        <f t="shared" ca="1" si="23"/>
        <v>48638</v>
      </c>
      <c r="C139" s="22">
        <f ca="1">IF(B139="","",IF(LEFT(B139,2)="13",C138,IF(MONTH(B139)=1,C138*(1+PREMISSAS!$C$58),C138)))</f>
        <v>0</v>
      </c>
      <c r="E139" s="18">
        <v>135</v>
      </c>
      <c r="F139" s="21">
        <f t="shared" ca="1" si="24"/>
        <v>41394</v>
      </c>
      <c r="G139" s="22">
        <f ca="1">IFERROR(VLOOKUP(F139,RESULTADOS!$O$5:$P$543,2,FALSE),VLOOKUP(F139,$B$5:$C$842,2,FALSE))</f>
        <v>0</v>
      </c>
      <c r="H139" s="4">
        <f ca="1">IF(F139&lt;PREMISSAS!$D$7,0,IFERROR(VLOOKUP(IF(LEFT(F139,2)="13",DATE(YEAR(F138),12,31),F139),IPCA!$A:$D,4,FALSE),1)*G139)</f>
        <v>0</v>
      </c>
      <c r="J139" s="21">
        <f t="shared" ca="1" si="18"/>
        <v>41394</v>
      </c>
      <c r="K139" s="4">
        <f t="shared" ca="1" si="19"/>
        <v>0</v>
      </c>
      <c r="M139" s="21">
        <f t="shared" ca="1" si="25"/>
        <v>41394</v>
      </c>
      <c r="N139" s="37">
        <f t="shared" ca="1" si="20"/>
        <v>0</v>
      </c>
      <c r="O139" s="4">
        <f ca="1">IFERROR(AVERAGEIF(N$5:$N139,"&gt;="&amp;_xlfn.PERCENTILE.EXC(N$5:$N139,0.2)),0)</f>
        <v>0</v>
      </c>
      <c r="Q139" s="21">
        <f t="shared" ca="1" si="26"/>
        <v>41394</v>
      </c>
      <c r="R139" s="37">
        <f t="shared" ca="1" si="21"/>
        <v>0</v>
      </c>
      <c r="S139" s="4">
        <f ca="1">IFERROR(AVERAGE($R$5:R139),0)</f>
        <v>0</v>
      </c>
      <c r="U139" s="21">
        <f t="shared" ca="1" si="22"/>
        <v>41394</v>
      </c>
      <c r="V139" s="4">
        <f ca="1">MIN(S139,PREMISSAS!$C$14)</f>
        <v>0</v>
      </c>
      <c r="W139" s="188"/>
      <c r="X139" s="188"/>
    </row>
    <row r="140" spans="2:24" x14ac:dyDescent="0.3">
      <c r="B140" s="21">
        <f t="shared" ca="1" si="23"/>
        <v>48669</v>
      </c>
      <c r="C140" s="22">
        <f ca="1">IF(B140="","",IF(LEFT(B140,2)="13",C139,IF(MONTH(B140)=1,C139*(1+PREMISSAS!$C$58),C139)))</f>
        <v>0</v>
      </c>
      <c r="E140" s="18">
        <v>136</v>
      </c>
      <c r="F140" s="21">
        <f t="shared" ca="1" si="24"/>
        <v>41425</v>
      </c>
      <c r="G140" s="22">
        <f ca="1">IFERROR(VLOOKUP(F140,RESULTADOS!$O$5:$P$543,2,FALSE),VLOOKUP(F140,$B$5:$C$842,2,FALSE))</f>
        <v>0</v>
      </c>
      <c r="H140" s="4">
        <f ca="1">IF(F140&lt;PREMISSAS!$D$7,0,IFERROR(VLOOKUP(IF(LEFT(F140,2)="13",DATE(YEAR(F139),12,31),F140),IPCA!$A:$D,4,FALSE),1)*G140)</f>
        <v>0</v>
      </c>
      <c r="J140" s="21">
        <f t="shared" ca="1" si="18"/>
        <v>41425</v>
      </c>
      <c r="K140" s="4">
        <f t="shared" ca="1" si="19"/>
        <v>0</v>
      </c>
      <c r="M140" s="21">
        <f t="shared" ca="1" si="25"/>
        <v>41425</v>
      </c>
      <c r="N140" s="37">
        <f t="shared" ca="1" si="20"/>
        <v>0</v>
      </c>
      <c r="O140" s="4">
        <f ca="1">IFERROR(AVERAGEIF(N$5:$N140,"&gt;="&amp;_xlfn.PERCENTILE.EXC(N$5:$N140,0.2)),0)</f>
        <v>0</v>
      </c>
      <c r="Q140" s="21">
        <f t="shared" ca="1" si="26"/>
        <v>41425</v>
      </c>
      <c r="R140" s="37">
        <f t="shared" ca="1" si="21"/>
        <v>0</v>
      </c>
      <c r="S140" s="4">
        <f ca="1">IFERROR(AVERAGE($R$5:R140),0)</f>
        <v>0</v>
      </c>
      <c r="U140" s="21">
        <f t="shared" ca="1" si="22"/>
        <v>41425</v>
      </c>
      <c r="V140" s="4">
        <f ca="1">MIN(S140,PREMISSAS!$C$14)</f>
        <v>0</v>
      </c>
      <c r="W140" s="188"/>
      <c r="X140" s="188"/>
    </row>
    <row r="141" spans="2:24" x14ac:dyDescent="0.3">
      <c r="B141" s="21">
        <f t="shared" ca="1" si="23"/>
        <v>48699</v>
      </c>
      <c r="C141" s="22">
        <f ca="1">IF(B141="","",IF(LEFT(B141,2)="13",C140,IF(MONTH(B141)=1,C140*(1+PREMISSAS!$C$58),C140)))</f>
        <v>0</v>
      </c>
      <c r="E141" s="18">
        <v>137</v>
      </c>
      <c r="F141" s="21">
        <f t="shared" ca="1" si="24"/>
        <v>41455</v>
      </c>
      <c r="G141" s="22">
        <f ca="1">IFERROR(VLOOKUP(F141,RESULTADOS!$O$5:$P$543,2,FALSE),VLOOKUP(F141,$B$5:$C$842,2,FALSE))</f>
        <v>0</v>
      </c>
      <c r="H141" s="4">
        <f ca="1">IF(F141&lt;PREMISSAS!$D$7,0,IFERROR(VLOOKUP(IF(LEFT(F141,2)="13",DATE(YEAR(F140),12,31),F141),IPCA!$A:$D,4,FALSE),1)*G141)</f>
        <v>0</v>
      </c>
      <c r="J141" s="21">
        <f t="shared" ca="1" si="18"/>
        <v>41455</v>
      </c>
      <c r="K141" s="4">
        <f t="shared" ca="1" si="19"/>
        <v>0</v>
      </c>
      <c r="M141" s="21">
        <f t="shared" ca="1" si="25"/>
        <v>41455</v>
      </c>
      <c r="N141" s="37">
        <f t="shared" ca="1" si="20"/>
        <v>0</v>
      </c>
      <c r="O141" s="4">
        <f ca="1">IFERROR(AVERAGEIF(N$5:$N141,"&gt;="&amp;_xlfn.PERCENTILE.EXC(N$5:$N141,0.2)),0)</f>
        <v>0</v>
      </c>
      <c r="Q141" s="21">
        <f t="shared" ca="1" si="26"/>
        <v>41455</v>
      </c>
      <c r="R141" s="37">
        <f t="shared" ca="1" si="21"/>
        <v>0</v>
      </c>
      <c r="S141" s="4">
        <f ca="1">IFERROR(AVERAGE($R$5:R141),0)</f>
        <v>0</v>
      </c>
      <c r="U141" s="21">
        <f t="shared" ca="1" si="22"/>
        <v>41455</v>
      </c>
      <c r="V141" s="4">
        <f ca="1">MIN(S141,PREMISSAS!$C$14)</f>
        <v>0</v>
      </c>
      <c r="W141" s="188"/>
      <c r="X141" s="188"/>
    </row>
    <row r="142" spans="2:24" x14ac:dyDescent="0.3">
      <c r="B142" s="21">
        <f t="shared" ca="1" si="23"/>
        <v>48730</v>
      </c>
      <c r="C142" s="22">
        <f ca="1">IF(B142="","",IF(LEFT(B142,2)="13",C141,IF(MONTH(B142)=1,C141*(1+PREMISSAS!$C$58),C141)))</f>
        <v>0</v>
      </c>
      <c r="E142" s="18">
        <v>138</v>
      </c>
      <c r="F142" s="21">
        <f t="shared" ca="1" si="24"/>
        <v>41486</v>
      </c>
      <c r="G142" s="22">
        <f ca="1">IFERROR(VLOOKUP(F142,RESULTADOS!$O$5:$P$543,2,FALSE),VLOOKUP(F142,$B$5:$C$842,2,FALSE))</f>
        <v>0</v>
      </c>
      <c r="H142" s="4">
        <f ca="1">IF(F142&lt;PREMISSAS!$D$7,0,IFERROR(VLOOKUP(IF(LEFT(F142,2)="13",DATE(YEAR(F141),12,31),F142),IPCA!$A:$D,4,FALSE),1)*G142)</f>
        <v>0</v>
      </c>
      <c r="J142" s="21">
        <f t="shared" ca="1" si="18"/>
        <v>41486</v>
      </c>
      <c r="K142" s="4">
        <f t="shared" ca="1" si="19"/>
        <v>0</v>
      </c>
      <c r="M142" s="21">
        <f t="shared" ca="1" si="25"/>
        <v>41486</v>
      </c>
      <c r="N142" s="37">
        <f t="shared" ca="1" si="20"/>
        <v>0</v>
      </c>
      <c r="O142" s="4">
        <f ca="1">IFERROR(AVERAGEIF(N$5:$N142,"&gt;="&amp;_xlfn.PERCENTILE.EXC(N$5:$N142,0.2)),0)</f>
        <v>0</v>
      </c>
      <c r="Q142" s="21">
        <f t="shared" ca="1" si="26"/>
        <v>41486</v>
      </c>
      <c r="R142" s="37">
        <f t="shared" ca="1" si="21"/>
        <v>0</v>
      </c>
      <c r="S142" s="4">
        <f ca="1">IFERROR(AVERAGE($R$5:R142),0)</f>
        <v>0</v>
      </c>
      <c r="U142" s="21">
        <f t="shared" ca="1" si="22"/>
        <v>41486</v>
      </c>
      <c r="V142" s="4">
        <f ca="1">MIN(S142,PREMISSAS!$C$14)</f>
        <v>0</v>
      </c>
      <c r="W142" s="188"/>
      <c r="X142" s="188"/>
    </row>
    <row r="143" spans="2:24" x14ac:dyDescent="0.3">
      <c r="B143" s="21">
        <f t="shared" ca="1" si="23"/>
        <v>48760</v>
      </c>
      <c r="C143" s="22">
        <f ca="1">IF(B143="","",IF(LEFT(B143,2)="13",C142,IF(MONTH(B143)=1,C142*(1+PREMISSAS!$C$58),C142)))</f>
        <v>0</v>
      </c>
      <c r="E143" s="18">
        <v>139</v>
      </c>
      <c r="F143" s="21">
        <f t="shared" ca="1" si="24"/>
        <v>41517</v>
      </c>
      <c r="G143" s="22">
        <f ca="1">IFERROR(VLOOKUP(F143,RESULTADOS!$O$5:$P$543,2,FALSE),VLOOKUP(F143,$B$5:$C$842,2,FALSE))</f>
        <v>0</v>
      </c>
      <c r="H143" s="4">
        <f ca="1">IF(F143&lt;PREMISSAS!$D$7,0,IFERROR(VLOOKUP(IF(LEFT(F143,2)="13",DATE(YEAR(F142),12,31),F143),IPCA!$A:$D,4,FALSE),1)*G143)</f>
        <v>0</v>
      </c>
      <c r="J143" s="21">
        <f t="shared" ca="1" si="18"/>
        <v>41517</v>
      </c>
      <c r="K143" s="4">
        <f t="shared" ca="1" si="19"/>
        <v>0</v>
      </c>
      <c r="M143" s="21">
        <f t="shared" ca="1" si="25"/>
        <v>41517</v>
      </c>
      <c r="N143" s="37">
        <f t="shared" ca="1" si="20"/>
        <v>0</v>
      </c>
      <c r="O143" s="4">
        <f ca="1">IFERROR(AVERAGEIF(N$5:$N143,"&gt;="&amp;_xlfn.PERCENTILE.EXC(N$5:$N143,0.2)),0)</f>
        <v>0</v>
      </c>
      <c r="Q143" s="21">
        <f t="shared" ca="1" si="26"/>
        <v>41517</v>
      </c>
      <c r="R143" s="37">
        <f t="shared" ca="1" si="21"/>
        <v>0</v>
      </c>
      <c r="S143" s="4">
        <f ca="1">IFERROR(AVERAGE($R$5:R143),0)</f>
        <v>0</v>
      </c>
      <c r="U143" s="21">
        <f t="shared" ca="1" si="22"/>
        <v>41517</v>
      </c>
      <c r="V143" s="4">
        <f ca="1">MIN(S143,PREMISSAS!$C$14)</f>
        <v>0</v>
      </c>
      <c r="W143" s="188"/>
      <c r="X143" s="188"/>
    </row>
    <row r="144" spans="2:24" x14ac:dyDescent="0.3">
      <c r="B144" s="21">
        <f t="shared" ca="1" si="23"/>
        <v>48791</v>
      </c>
      <c r="C144" s="22">
        <f ca="1">IF(B144="","",IF(LEFT(B144,2)="13",C143,IF(MONTH(B144)=1,C143*(1+PREMISSAS!$C$58),C143)))</f>
        <v>0</v>
      </c>
      <c r="E144" s="18">
        <v>140</v>
      </c>
      <c r="F144" s="21">
        <f t="shared" ca="1" si="24"/>
        <v>41547</v>
      </c>
      <c r="G144" s="22">
        <f ca="1">IFERROR(VLOOKUP(F144,RESULTADOS!$O$5:$P$543,2,FALSE),VLOOKUP(F144,$B$5:$C$842,2,FALSE))</f>
        <v>0</v>
      </c>
      <c r="H144" s="4">
        <f ca="1">IF(F144&lt;PREMISSAS!$D$7,0,IFERROR(VLOOKUP(IF(LEFT(F144,2)="13",DATE(YEAR(F143),12,31),F144),IPCA!$A:$D,4,FALSE),1)*G144)</f>
        <v>0</v>
      </c>
      <c r="J144" s="21">
        <f t="shared" ca="1" si="18"/>
        <v>41547</v>
      </c>
      <c r="K144" s="4">
        <f t="shared" ca="1" si="19"/>
        <v>0</v>
      </c>
      <c r="M144" s="21">
        <f t="shared" ca="1" si="25"/>
        <v>41547</v>
      </c>
      <c r="N144" s="37">
        <f t="shared" ca="1" si="20"/>
        <v>0</v>
      </c>
      <c r="O144" s="4">
        <f ca="1">IFERROR(AVERAGEIF(N$5:$N144,"&gt;="&amp;_xlfn.PERCENTILE.EXC(N$5:$N144,0.2)),0)</f>
        <v>0</v>
      </c>
      <c r="Q144" s="21">
        <f t="shared" ca="1" si="26"/>
        <v>41547</v>
      </c>
      <c r="R144" s="37">
        <f t="shared" ca="1" si="21"/>
        <v>0</v>
      </c>
      <c r="S144" s="4">
        <f ca="1">IFERROR(AVERAGE($R$5:R144),0)</f>
        <v>0</v>
      </c>
      <c r="U144" s="21">
        <f t="shared" ca="1" si="22"/>
        <v>41547</v>
      </c>
      <c r="V144" s="4">
        <f ca="1">MIN(S144,PREMISSAS!$C$14)</f>
        <v>0</v>
      </c>
      <c r="W144" s="188"/>
      <c r="X144" s="188"/>
    </row>
    <row r="145" spans="2:24" x14ac:dyDescent="0.3">
      <c r="B145" s="21">
        <f t="shared" ca="1" si="23"/>
        <v>48822</v>
      </c>
      <c r="C145" s="22">
        <f ca="1">IF(B145="","",IF(LEFT(B145,2)="13",C144,IF(MONTH(B145)=1,C144*(1+PREMISSAS!$C$58),C144)))</f>
        <v>0</v>
      </c>
      <c r="E145" s="18">
        <v>141</v>
      </c>
      <c r="F145" s="21">
        <f t="shared" ca="1" si="24"/>
        <v>41578</v>
      </c>
      <c r="G145" s="22">
        <f ca="1">IFERROR(VLOOKUP(F145,RESULTADOS!$O$5:$P$543,2,FALSE),VLOOKUP(F145,$B$5:$C$842,2,FALSE))</f>
        <v>0</v>
      </c>
      <c r="H145" s="4">
        <f ca="1">IF(F145&lt;PREMISSAS!$D$7,0,IFERROR(VLOOKUP(IF(LEFT(F145,2)="13",DATE(YEAR(F144),12,31),F145),IPCA!$A:$D,4,FALSE),1)*G145)</f>
        <v>0</v>
      </c>
      <c r="J145" s="21">
        <f t="shared" ca="1" si="18"/>
        <v>41578</v>
      </c>
      <c r="K145" s="4">
        <f t="shared" ca="1" si="19"/>
        <v>0</v>
      </c>
      <c r="M145" s="21">
        <f t="shared" ca="1" si="25"/>
        <v>41578</v>
      </c>
      <c r="N145" s="37">
        <f t="shared" ca="1" si="20"/>
        <v>0</v>
      </c>
      <c r="O145" s="4">
        <f ca="1">IFERROR(AVERAGEIF(N$5:$N145,"&gt;="&amp;_xlfn.PERCENTILE.EXC(N$5:$N145,0.2)),0)</f>
        <v>0</v>
      </c>
      <c r="Q145" s="21">
        <f t="shared" ca="1" si="26"/>
        <v>41578</v>
      </c>
      <c r="R145" s="37">
        <f t="shared" ca="1" si="21"/>
        <v>0</v>
      </c>
      <c r="S145" s="4">
        <f ca="1">IFERROR(AVERAGE($R$5:R145),0)</f>
        <v>0</v>
      </c>
      <c r="U145" s="21">
        <f t="shared" ca="1" si="22"/>
        <v>41578</v>
      </c>
      <c r="V145" s="4">
        <f ca="1">MIN(S145,PREMISSAS!$C$14)</f>
        <v>0</v>
      </c>
      <c r="W145" s="188"/>
      <c r="X145" s="188"/>
    </row>
    <row r="146" spans="2:24" x14ac:dyDescent="0.3">
      <c r="B146" s="21">
        <f t="shared" ca="1" si="23"/>
        <v>48852</v>
      </c>
      <c r="C146" s="22">
        <f ca="1">IF(B146="","",IF(LEFT(B146,2)="13",C145,IF(MONTH(B146)=1,C145*(1+PREMISSAS!$C$58),C145)))</f>
        <v>0</v>
      </c>
      <c r="E146" s="18">
        <v>142</v>
      </c>
      <c r="F146" s="21">
        <f t="shared" ca="1" si="24"/>
        <v>41608</v>
      </c>
      <c r="G146" s="22">
        <f ca="1">IFERROR(VLOOKUP(F146,RESULTADOS!$O$5:$P$543,2,FALSE),VLOOKUP(F146,$B$5:$C$842,2,FALSE))</f>
        <v>0</v>
      </c>
      <c r="H146" s="4">
        <f ca="1">IF(F146&lt;PREMISSAS!$D$7,0,IFERROR(VLOOKUP(IF(LEFT(F146,2)="13",DATE(YEAR(F145),12,31),F146),IPCA!$A:$D,4,FALSE),1)*G146)</f>
        <v>0</v>
      </c>
      <c r="J146" s="21">
        <f t="shared" ca="1" si="18"/>
        <v>41608</v>
      </c>
      <c r="K146" s="4">
        <f t="shared" ca="1" si="19"/>
        <v>0</v>
      </c>
      <c r="M146" s="21">
        <f t="shared" ca="1" si="25"/>
        <v>41608</v>
      </c>
      <c r="N146" s="37">
        <f t="shared" ca="1" si="20"/>
        <v>0</v>
      </c>
      <c r="O146" s="4">
        <f ca="1">IFERROR(AVERAGEIF(N$5:$N146,"&gt;="&amp;_xlfn.PERCENTILE.EXC(N$5:$N146,0.2)),0)</f>
        <v>0</v>
      </c>
      <c r="Q146" s="21">
        <f t="shared" ca="1" si="26"/>
        <v>41608</v>
      </c>
      <c r="R146" s="37">
        <f t="shared" ca="1" si="21"/>
        <v>0</v>
      </c>
      <c r="S146" s="4">
        <f ca="1">IFERROR(AVERAGE($R$5:R146),0)</f>
        <v>0</v>
      </c>
      <c r="U146" s="21">
        <f t="shared" ca="1" si="22"/>
        <v>41608</v>
      </c>
      <c r="V146" s="4">
        <f ca="1">MIN(S146,PREMISSAS!$C$14)</f>
        <v>0</v>
      </c>
      <c r="W146" s="188"/>
      <c r="X146" s="188"/>
    </row>
    <row r="147" spans="2:24" x14ac:dyDescent="0.3">
      <c r="B147" s="21">
        <f t="shared" ca="1" si="23"/>
        <v>48883</v>
      </c>
      <c r="C147" s="22">
        <f ca="1">IF(B147="","",IF(LEFT(B147,2)="13",C146,IF(MONTH(B147)=1,C146*(1+PREMISSAS!$C$58),C146)))</f>
        <v>0</v>
      </c>
      <c r="E147" s="18">
        <v>143</v>
      </c>
      <c r="F147" s="21" t="str">
        <f t="shared" ca="1" si="24"/>
        <v>13º 2013</v>
      </c>
      <c r="G147" s="22">
        <f ca="1">IFERROR(VLOOKUP(F147,RESULTADOS!$O$5:$P$543,2,FALSE),VLOOKUP(F147,$B$5:$C$842,2,FALSE))</f>
        <v>0</v>
      </c>
      <c r="H147" s="4">
        <f ca="1">IF(F147&lt;PREMISSAS!$D$7,0,IFERROR(VLOOKUP(IF(LEFT(F147,2)="13",DATE(YEAR(F146),12,31),F147),IPCA!$A:$D,4,FALSE),1)*G147)</f>
        <v>0</v>
      </c>
      <c r="J147" s="21" t="str">
        <f t="shared" ca="1" si="18"/>
        <v>13º 2013</v>
      </c>
      <c r="K147" s="4">
        <f t="shared" ca="1" si="19"/>
        <v>0</v>
      </c>
      <c r="M147" s="21" t="str">
        <f t="shared" ca="1" si="25"/>
        <v>13º 2013</v>
      </c>
      <c r="N147" s="37">
        <f t="shared" ca="1" si="20"/>
        <v>0</v>
      </c>
      <c r="O147" s="4">
        <f ca="1">IFERROR(AVERAGEIF(N$5:$N147,"&gt;="&amp;_xlfn.PERCENTILE.EXC(N$5:$N147,0.2)),0)</f>
        <v>0</v>
      </c>
      <c r="Q147" s="21" t="str">
        <f t="shared" ca="1" si="26"/>
        <v>13º 2013</v>
      </c>
      <c r="R147" s="37">
        <f t="shared" ca="1" si="21"/>
        <v>0</v>
      </c>
      <c r="S147" s="4">
        <f ca="1">IFERROR(AVERAGE($R$5:R147),0)</f>
        <v>0</v>
      </c>
      <c r="U147" s="21" t="str">
        <f t="shared" ca="1" si="22"/>
        <v>13º 2013</v>
      </c>
      <c r="V147" s="4">
        <f ca="1">MIN(S147,PREMISSAS!$C$14)</f>
        <v>0</v>
      </c>
      <c r="W147" s="188"/>
      <c r="X147" s="188"/>
    </row>
    <row r="148" spans="2:24" x14ac:dyDescent="0.3">
      <c r="B148" s="21">
        <f t="shared" ca="1" si="23"/>
        <v>48913</v>
      </c>
      <c r="C148" s="22">
        <f ca="1">IF(B148="","",IF(LEFT(B148,2)="13",C147,IF(MONTH(B148)=1,C147*(1+PREMISSAS!$C$58),C147)))</f>
        <v>0</v>
      </c>
      <c r="E148" s="18">
        <v>144</v>
      </c>
      <c r="F148" s="21">
        <f t="shared" ca="1" si="24"/>
        <v>41639</v>
      </c>
      <c r="G148" s="22">
        <f ca="1">IFERROR(VLOOKUP(F148,RESULTADOS!$O$5:$P$543,2,FALSE),VLOOKUP(F148,$B$5:$C$842,2,FALSE))</f>
        <v>0</v>
      </c>
      <c r="H148" s="4">
        <f ca="1">IF(F148&lt;PREMISSAS!$D$7,0,IFERROR(VLOOKUP(IF(LEFT(F148,2)="13",DATE(YEAR(F147),12,31),F148),IPCA!$A:$D,4,FALSE),1)*G148)</f>
        <v>0</v>
      </c>
      <c r="J148" s="21">
        <f t="shared" ca="1" si="18"/>
        <v>41639</v>
      </c>
      <c r="K148" s="4">
        <f t="shared" ca="1" si="19"/>
        <v>0</v>
      </c>
      <c r="M148" s="21">
        <f t="shared" ca="1" si="25"/>
        <v>41639</v>
      </c>
      <c r="N148" s="37">
        <f t="shared" ca="1" si="20"/>
        <v>0</v>
      </c>
      <c r="O148" s="4">
        <f ca="1">IFERROR(AVERAGEIF(N$5:$N148,"&gt;="&amp;_xlfn.PERCENTILE.EXC(N$5:$N148,0.2)),0)</f>
        <v>0</v>
      </c>
      <c r="Q148" s="21">
        <f t="shared" ca="1" si="26"/>
        <v>41639</v>
      </c>
      <c r="R148" s="37">
        <f t="shared" ca="1" si="21"/>
        <v>0</v>
      </c>
      <c r="S148" s="4">
        <f ca="1">IFERROR(AVERAGE($R$5:R148),0)</f>
        <v>0</v>
      </c>
      <c r="U148" s="21">
        <f t="shared" ca="1" si="22"/>
        <v>41639</v>
      </c>
      <c r="V148" s="4">
        <f ca="1">MIN(S148,PREMISSAS!$C$14)</f>
        <v>0</v>
      </c>
      <c r="W148" s="188"/>
      <c r="X148" s="188"/>
    </row>
    <row r="149" spans="2:24" x14ac:dyDescent="0.3">
      <c r="B149" s="21" t="str">
        <f t="shared" ca="1" si="23"/>
        <v>13º 2033</v>
      </c>
      <c r="C149" s="22">
        <f ca="1">IF(B149="","",IF(LEFT(B149,2)="13",C148,IF(MONTH(B149)=1,C148*(1+PREMISSAS!$C$58),C148)))</f>
        <v>0</v>
      </c>
      <c r="E149" s="18">
        <v>145</v>
      </c>
      <c r="F149" s="21">
        <f t="shared" ca="1" si="24"/>
        <v>41670</v>
      </c>
      <c r="G149" s="22">
        <f ca="1">IFERROR(VLOOKUP(F149,RESULTADOS!$O$5:$P$543,2,FALSE),VLOOKUP(F149,$B$5:$C$842,2,FALSE))</f>
        <v>0</v>
      </c>
      <c r="H149" s="4">
        <f ca="1">IF(F149&lt;PREMISSAS!$D$7,0,IFERROR(VLOOKUP(IF(LEFT(F149,2)="13",DATE(YEAR(F148),12,31),F149),IPCA!$A:$D,4,FALSE),1)*G149)</f>
        <v>0</v>
      </c>
      <c r="J149" s="21">
        <f t="shared" ca="1" si="18"/>
        <v>41670</v>
      </c>
      <c r="K149" s="4">
        <f t="shared" ca="1" si="19"/>
        <v>0</v>
      </c>
      <c r="M149" s="21">
        <f t="shared" ca="1" si="25"/>
        <v>41670</v>
      </c>
      <c r="N149" s="37">
        <f t="shared" ca="1" si="20"/>
        <v>0</v>
      </c>
      <c r="O149" s="4">
        <f ca="1">IFERROR(AVERAGEIF(N$5:$N149,"&gt;="&amp;_xlfn.PERCENTILE.EXC(N$5:$N149,0.2)),0)</f>
        <v>0</v>
      </c>
      <c r="Q149" s="21">
        <f t="shared" ca="1" si="26"/>
        <v>41670</v>
      </c>
      <c r="R149" s="37">
        <f t="shared" ca="1" si="21"/>
        <v>0</v>
      </c>
      <c r="S149" s="4">
        <f ca="1">IFERROR(AVERAGE($R$5:R149),0)</f>
        <v>0</v>
      </c>
      <c r="U149" s="21">
        <f t="shared" ca="1" si="22"/>
        <v>41670</v>
      </c>
      <c r="V149" s="4">
        <f ca="1">MIN(S149,PREMISSAS!$C$14)</f>
        <v>0</v>
      </c>
      <c r="W149" s="188"/>
      <c r="X149" s="188"/>
    </row>
    <row r="150" spans="2:24" x14ac:dyDescent="0.3">
      <c r="B150" s="21">
        <f t="shared" ca="1" si="23"/>
        <v>48944</v>
      </c>
      <c r="C150" s="22">
        <f ca="1">IF(B150="","",IF(LEFT(B150,2)="13",C149,IF(MONTH(B150)=1,C149*(1+PREMISSAS!$C$58),C149)))</f>
        <v>0</v>
      </c>
      <c r="E150" s="18">
        <v>146</v>
      </c>
      <c r="F150" s="21">
        <f t="shared" ca="1" si="24"/>
        <v>41698</v>
      </c>
      <c r="G150" s="22">
        <f ca="1">IFERROR(VLOOKUP(F150,RESULTADOS!$O$5:$P$543,2,FALSE),VLOOKUP(F150,$B$5:$C$842,2,FALSE))</f>
        <v>0</v>
      </c>
      <c r="H150" s="4">
        <f ca="1">IF(F150&lt;PREMISSAS!$D$7,0,IFERROR(VLOOKUP(IF(LEFT(F150,2)="13",DATE(YEAR(F149),12,31),F150),IPCA!$A:$D,4,FALSE),1)*G150)</f>
        <v>0</v>
      </c>
      <c r="J150" s="21">
        <f t="shared" ca="1" si="18"/>
        <v>41698</v>
      </c>
      <c r="K150" s="4">
        <f t="shared" ca="1" si="19"/>
        <v>0</v>
      </c>
      <c r="M150" s="21">
        <f t="shared" ca="1" si="25"/>
        <v>41698</v>
      </c>
      <c r="N150" s="37">
        <f t="shared" ca="1" si="20"/>
        <v>0</v>
      </c>
      <c r="O150" s="4">
        <f ca="1">IFERROR(AVERAGEIF(N$5:$N150,"&gt;="&amp;_xlfn.PERCENTILE.EXC(N$5:$N150,0.2)),0)</f>
        <v>0</v>
      </c>
      <c r="Q150" s="21">
        <f t="shared" ca="1" si="26"/>
        <v>41698</v>
      </c>
      <c r="R150" s="37">
        <f t="shared" ca="1" si="21"/>
        <v>0</v>
      </c>
      <c r="S150" s="4">
        <f ca="1">IFERROR(AVERAGE($R$5:R150),0)</f>
        <v>0</v>
      </c>
      <c r="U150" s="21">
        <f t="shared" ca="1" si="22"/>
        <v>41698</v>
      </c>
      <c r="V150" s="4">
        <f ca="1">MIN(S150,PREMISSAS!$C$14)</f>
        <v>0</v>
      </c>
      <c r="W150" s="188"/>
      <c r="X150" s="188"/>
    </row>
    <row r="151" spans="2:24" x14ac:dyDescent="0.3">
      <c r="B151" s="21">
        <f t="shared" ca="1" si="23"/>
        <v>48975</v>
      </c>
      <c r="C151" s="22">
        <f ca="1">IF(B151="","",IF(LEFT(B151,2)="13",C150,IF(MONTH(B151)=1,C150*(1+PREMISSAS!$C$58),C150)))</f>
        <v>0</v>
      </c>
      <c r="E151" s="18">
        <v>147</v>
      </c>
      <c r="F151" s="21">
        <f t="shared" ca="1" si="24"/>
        <v>41729</v>
      </c>
      <c r="G151" s="22">
        <f ca="1">IFERROR(VLOOKUP(F151,RESULTADOS!$O$5:$P$543,2,FALSE),VLOOKUP(F151,$B$5:$C$842,2,FALSE))</f>
        <v>0</v>
      </c>
      <c r="H151" s="4">
        <f ca="1">IF(F151&lt;PREMISSAS!$D$7,0,IFERROR(VLOOKUP(IF(LEFT(F151,2)="13",DATE(YEAR(F150),12,31),F151),IPCA!$A:$D,4,FALSE),1)*G151)</f>
        <v>0</v>
      </c>
      <c r="J151" s="21">
        <f t="shared" ca="1" si="18"/>
        <v>41729</v>
      </c>
      <c r="K151" s="4">
        <f t="shared" ca="1" si="19"/>
        <v>0</v>
      </c>
      <c r="M151" s="21">
        <f t="shared" ca="1" si="25"/>
        <v>41729</v>
      </c>
      <c r="N151" s="37">
        <f t="shared" ca="1" si="20"/>
        <v>0</v>
      </c>
      <c r="O151" s="4">
        <f ca="1">IFERROR(AVERAGEIF(N$5:$N151,"&gt;="&amp;_xlfn.PERCENTILE.EXC(N$5:$N151,0.2)),0)</f>
        <v>0</v>
      </c>
      <c r="Q151" s="21">
        <f t="shared" ca="1" si="26"/>
        <v>41729</v>
      </c>
      <c r="R151" s="37">
        <f t="shared" ca="1" si="21"/>
        <v>0</v>
      </c>
      <c r="S151" s="4">
        <f ca="1">IFERROR(AVERAGE($R$5:R151),0)</f>
        <v>0</v>
      </c>
      <c r="U151" s="21">
        <f t="shared" ca="1" si="22"/>
        <v>41729</v>
      </c>
      <c r="V151" s="4">
        <f ca="1">MIN(S151,PREMISSAS!$C$14)</f>
        <v>0</v>
      </c>
      <c r="W151" s="188"/>
      <c r="X151" s="188"/>
    </row>
    <row r="152" spans="2:24" x14ac:dyDescent="0.3">
      <c r="B152" s="21">
        <f t="shared" ca="1" si="23"/>
        <v>49003</v>
      </c>
      <c r="C152" s="22">
        <f ca="1">IF(B152="","",IF(LEFT(B152,2)="13",C151,IF(MONTH(B152)=1,C151*(1+PREMISSAS!$C$58),C151)))</f>
        <v>0</v>
      </c>
      <c r="E152" s="18">
        <v>148</v>
      </c>
      <c r="F152" s="21">
        <f t="shared" ca="1" si="24"/>
        <v>41759</v>
      </c>
      <c r="G152" s="22">
        <f ca="1">IFERROR(VLOOKUP(F152,RESULTADOS!$O$5:$P$543,2,FALSE),VLOOKUP(F152,$B$5:$C$842,2,FALSE))</f>
        <v>0</v>
      </c>
      <c r="H152" s="4">
        <f ca="1">IF(F152&lt;PREMISSAS!$D$7,0,IFERROR(VLOOKUP(IF(LEFT(F152,2)="13",DATE(YEAR(F151),12,31),F152),IPCA!$A:$D,4,FALSE),1)*G152)</f>
        <v>0</v>
      </c>
      <c r="J152" s="21">
        <f t="shared" ca="1" si="18"/>
        <v>41759</v>
      </c>
      <c r="K152" s="4">
        <f t="shared" ca="1" si="19"/>
        <v>0</v>
      </c>
      <c r="M152" s="21">
        <f t="shared" ca="1" si="25"/>
        <v>41759</v>
      </c>
      <c r="N152" s="37">
        <f t="shared" ca="1" si="20"/>
        <v>0</v>
      </c>
      <c r="O152" s="4">
        <f ca="1">IFERROR(AVERAGEIF(N$5:$N152,"&gt;="&amp;_xlfn.PERCENTILE.EXC(N$5:$N152,0.2)),0)</f>
        <v>0</v>
      </c>
      <c r="Q152" s="21">
        <f t="shared" ca="1" si="26"/>
        <v>41759</v>
      </c>
      <c r="R152" s="37">
        <f t="shared" ca="1" si="21"/>
        <v>0</v>
      </c>
      <c r="S152" s="4">
        <f ca="1">IFERROR(AVERAGE($R$5:R152),0)</f>
        <v>0</v>
      </c>
      <c r="U152" s="21">
        <f t="shared" ca="1" si="22"/>
        <v>41759</v>
      </c>
      <c r="V152" s="4">
        <f ca="1">MIN(S152,PREMISSAS!$C$14)</f>
        <v>0</v>
      </c>
      <c r="W152" s="188"/>
      <c r="X152" s="188"/>
    </row>
    <row r="153" spans="2:24" x14ac:dyDescent="0.3">
      <c r="B153" s="21">
        <f t="shared" ca="1" si="23"/>
        <v>49034</v>
      </c>
      <c r="C153" s="22">
        <f ca="1">IF(B153="","",IF(LEFT(B153,2)="13",C152,IF(MONTH(B153)=1,C152*(1+PREMISSAS!$C$58),C152)))</f>
        <v>0</v>
      </c>
      <c r="E153" s="18">
        <v>149</v>
      </c>
      <c r="F153" s="21">
        <f t="shared" ca="1" si="24"/>
        <v>41790</v>
      </c>
      <c r="G153" s="22">
        <f ca="1">IFERROR(VLOOKUP(F153,RESULTADOS!$O$5:$P$543,2,FALSE),VLOOKUP(F153,$B$5:$C$842,2,FALSE))</f>
        <v>0</v>
      </c>
      <c r="H153" s="4">
        <f ca="1">IF(F153&lt;PREMISSAS!$D$7,0,IFERROR(VLOOKUP(IF(LEFT(F153,2)="13",DATE(YEAR(F152),12,31),F153),IPCA!$A:$D,4,FALSE),1)*G153)</f>
        <v>0</v>
      </c>
      <c r="J153" s="21">
        <f t="shared" ca="1" si="18"/>
        <v>41790</v>
      </c>
      <c r="K153" s="4">
        <f t="shared" ca="1" si="19"/>
        <v>0</v>
      </c>
      <c r="M153" s="21">
        <f t="shared" ca="1" si="25"/>
        <v>41790</v>
      </c>
      <c r="N153" s="37">
        <f t="shared" ca="1" si="20"/>
        <v>0</v>
      </c>
      <c r="O153" s="4">
        <f ca="1">IFERROR(AVERAGEIF(N$5:$N153,"&gt;="&amp;_xlfn.PERCENTILE.EXC(N$5:$N153,0.2)),0)</f>
        <v>0</v>
      </c>
      <c r="Q153" s="21">
        <f t="shared" ca="1" si="26"/>
        <v>41790</v>
      </c>
      <c r="R153" s="37">
        <f t="shared" ca="1" si="21"/>
        <v>0</v>
      </c>
      <c r="S153" s="4">
        <f ca="1">IFERROR(AVERAGE($R$5:R153),0)</f>
        <v>0</v>
      </c>
      <c r="U153" s="21">
        <f t="shared" ca="1" si="22"/>
        <v>41790</v>
      </c>
      <c r="V153" s="4">
        <f ca="1">MIN(S153,PREMISSAS!$C$14)</f>
        <v>0</v>
      </c>
      <c r="W153" s="188"/>
      <c r="X153" s="188"/>
    </row>
    <row r="154" spans="2:24" x14ac:dyDescent="0.3">
      <c r="B154" s="21">
        <f t="shared" ca="1" si="23"/>
        <v>49064</v>
      </c>
      <c r="C154" s="22">
        <f ca="1">IF(B154="","",IF(LEFT(B154,2)="13",C153,IF(MONTH(B154)=1,C153*(1+PREMISSAS!$C$58),C153)))</f>
        <v>0</v>
      </c>
      <c r="E154" s="18">
        <v>150</v>
      </c>
      <c r="F154" s="21">
        <f t="shared" ca="1" si="24"/>
        <v>41820</v>
      </c>
      <c r="G154" s="22">
        <f ca="1">IFERROR(VLOOKUP(F154,RESULTADOS!$O$5:$P$543,2,FALSE),VLOOKUP(F154,$B$5:$C$842,2,FALSE))</f>
        <v>0</v>
      </c>
      <c r="H154" s="4">
        <f ca="1">IF(F154&lt;PREMISSAS!$D$7,0,IFERROR(VLOOKUP(IF(LEFT(F154,2)="13",DATE(YEAR(F153),12,31),F154),IPCA!$A:$D,4,FALSE),1)*G154)</f>
        <v>0</v>
      </c>
      <c r="J154" s="21">
        <f t="shared" ca="1" si="18"/>
        <v>41820</v>
      </c>
      <c r="K154" s="4">
        <f t="shared" ca="1" si="19"/>
        <v>0</v>
      </c>
      <c r="M154" s="21">
        <f t="shared" ca="1" si="25"/>
        <v>41820</v>
      </c>
      <c r="N154" s="37">
        <f t="shared" ca="1" si="20"/>
        <v>0</v>
      </c>
      <c r="O154" s="4">
        <f ca="1">IFERROR(AVERAGEIF(N$5:$N154,"&gt;="&amp;_xlfn.PERCENTILE.EXC(N$5:$N154,0.2)),0)</f>
        <v>0</v>
      </c>
      <c r="Q154" s="21">
        <f t="shared" ca="1" si="26"/>
        <v>41820</v>
      </c>
      <c r="R154" s="37">
        <f t="shared" ca="1" si="21"/>
        <v>0</v>
      </c>
      <c r="S154" s="4">
        <f ca="1">IFERROR(AVERAGE($R$5:R154),0)</f>
        <v>0</v>
      </c>
      <c r="U154" s="21">
        <f t="shared" ca="1" si="22"/>
        <v>41820</v>
      </c>
      <c r="V154" s="4">
        <f ca="1">MIN(S154,PREMISSAS!$C$14)</f>
        <v>0</v>
      </c>
      <c r="W154" s="188"/>
      <c r="X154" s="188"/>
    </row>
    <row r="155" spans="2:24" x14ac:dyDescent="0.3">
      <c r="B155" s="21">
        <f t="shared" ca="1" si="23"/>
        <v>49095</v>
      </c>
      <c r="C155" s="22">
        <f ca="1">IF(B155="","",IF(LEFT(B155,2)="13",C154,IF(MONTH(B155)=1,C154*(1+PREMISSAS!$C$58),C154)))</f>
        <v>0</v>
      </c>
      <c r="E155" s="18">
        <v>151</v>
      </c>
      <c r="F155" s="21">
        <f t="shared" ca="1" si="24"/>
        <v>41851</v>
      </c>
      <c r="G155" s="22">
        <f ca="1">IFERROR(VLOOKUP(F155,RESULTADOS!$O$5:$P$543,2,FALSE),VLOOKUP(F155,$B$5:$C$842,2,FALSE))</f>
        <v>0</v>
      </c>
      <c r="H155" s="4">
        <f ca="1">IF(F155&lt;PREMISSAS!$D$7,0,IFERROR(VLOOKUP(IF(LEFT(F155,2)="13",DATE(YEAR(F154),12,31),F155),IPCA!$A:$D,4,FALSE),1)*G155)</f>
        <v>0</v>
      </c>
      <c r="J155" s="21">
        <f t="shared" ca="1" si="18"/>
        <v>41851</v>
      </c>
      <c r="K155" s="4">
        <f t="shared" ca="1" si="19"/>
        <v>0</v>
      </c>
      <c r="M155" s="21">
        <f t="shared" ca="1" si="25"/>
        <v>41851</v>
      </c>
      <c r="N155" s="37">
        <f t="shared" ca="1" si="20"/>
        <v>0</v>
      </c>
      <c r="O155" s="4">
        <f ca="1">IFERROR(AVERAGEIF(N$5:$N155,"&gt;="&amp;_xlfn.PERCENTILE.EXC(N$5:$N155,0.2)),0)</f>
        <v>0</v>
      </c>
      <c r="Q155" s="21">
        <f t="shared" ca="1" si="26"/>
        <v>41851</v>
      </c>
      <c r="R155" s="37">
        <f t="shared" ca="1" si="21"/>
        <v>0</v>
      </c>
      <c r="S155" s="4">
        <f ca="1">IFERROR(AVERAGE($R$5:R155),0)</f>
        <v>0</v>
      </c>
      <c r="U155" s="21">
        <f t="shared" ca="1" si="22"/>
        <v>41851</v>
      </c>
      <c r="V155" s="4">
        <f ca="1">MIN(S155,PREMISSAS!$C$14)</f>
        <v>0</v>
      </c>
      <c r="W155" s="188"/>
      <c r="X155" s="188"/>
    </row>
    <row r="156" spans="2:24" x14ac:dyDescent="0.3">
      <c r="B156" s="21">
        <f t="shared" ca="1" si="23"/>
        <v>49125</v>
      </c>
      <c r="C156" s="22">
        <f ca="1">IF(B156="","",IF(LEFT(B156,2)="13",C155,IF(MONTH(B156)=1,C155*(1+PREMISSAS!$C$58),C155)))</f>
        <v>0</v>
      </c>
      <c r="E156" s="18">
        <v>152</v>
      </c>
      <c r="F156" s="21">
        <f t="shared" ca="1" si="24"/>
        <v>41882</v>
      </c>
      <c r="G156" s="22">
        <f ca="1">IFERROR(VLOOKUP(F156,RESULTADOS!$O$5:$P$543,2,FALSE),VLOOKUP(F156,$B$5:$C$842,2,FALSE))</f>
        <v>0</v>
      </c>
      <c r="H156" s="4">
        <f ca="1">IF(F156&lt;PREMISSAS!$D$7,0,IFERROR(VLOOKUP(IF(LEFT(F156,2)="13",DATE(YEAR(F155),12,31),F156),IPCA!$A:$D,4,FALSE),1)*G156)</f>
        <v>0</v>
      </c>
      <c r="J156" s="21">
        <f t="shared" ca="1" si="18"/>
        <v>41882</v>
      </c>
      <c r="K156" s="4">
        <f t="shared" ca="1" si="19"/>
        <v>0</v>
      </c>
      <c r="M156" s="21">
        <f t="shared" ca="1" si="25"/>
        <v>41882</v>
      </c>
      <c r="N156" s="37">
        <f t="shared" ca="1" si="20"/>
        <v>0</v>
      </c>
      <c r="O156" s="4">
        <f ca="1">IFERROR(AVERAGEIF(N$5:$N156,"&gt;="&amp;_xlfn.PERCENTILE.EXC(N$5:$N156,0.2)),0)</f>
        <v>0</v>
      </c>
      <c r="Q156" s="21">
        <f t="shared" ca="1" si="26"/>
        <v>41882</v>
      </c>
      <c r="R156" s="37">
        <f t="shared" ca="1" si="21"/>
        <v>0</v>
      </c>
      <c r="S156" s="4">
        <f ca="1">IFERROR(AVERAGE($R$5:R156),0)</f>
        <v>0</v>
      </c>
      <c r="U156" s="21">
        <f t="shared" ca="1" si="22"/>
        <v>41882</v>
      </c>
      <c r="V156" s="4">
        <f ca="1">MIN(S156,PREMISSAS!$C$14)</f>
        <v>0</v>
      </c>
      <c r="W156" s="188"/>
      <c r="X156" s="188"/>
    </row>
    <row r="157" spans="2:24" x14ac:dyDescent="0.3">
      <c r="B157" s="21">
        <f t="shared" ca="1" si="23"/>
        <v>49156</v>
      </c>
      <c r="C157" s="22">
        <f ca="1">IF(B157="","",IF(LEFT(B157,2)="13",C156,IF(MONTH(B157)=1,C156*(1+PREMISSAS!$C$58),C156)))</f>
        <v>0</v>
      </c>
      <c r="E157" s="18">
        <v>153</v>
      </c>
      <c r="F157" s="21">
        <f t="shared" ca="1" si="24"/>
        <v>41912</v>
      </c>
      <c r="G157" s="22">
        <f ca="1">IFERROR(VLOOKUP(F157,RESULTADOS!$O$5:$P$543,2,FALSE),VLOOKUP(F157,$B$5:$C$842,2,FALSE))</f>
        <v>0</v>
      </c>
      <c r="H157" s="4">
        <f ca="1">IF(F157&lt;PREMISSAS!$D$7,0,IFERROR(VLOOKUP(IF(LEFT(F157,2)="13",DATE(YEAR(F156),12,31),F157),IPCA!$A:$D,4,FALSE),1)*G157)</f>
        <v>0</v>
      </c>
      <c r="J157" s="21">
        <f t="shared" ca="1" si="18"/>
        <v>41912</v>
      </c>
      <c r="K157" s="4">
        <f t="shared" ca="1" si="19"/>
        <v>0</v>
      </c>
      <c r="M157" s="21">
        <f t="shared" ca="1" si="25"/>
        <v>41912</v>
      </c>
      <c r="N157" s="37">
        <f t="shared" ca="1" si="20"/>
        <v>0</v>
      </c>
      <c r="O157" s="4">
        <f ca="1">IFERROR(AVERAGEIF(N$5:$N157,"&gt;="&amp;_xlfn.PERCENTILE.EXC(N$5:$N157,0.2)),0)</f>
        <v>0</v>
      </c>
      <c r="Q157" s="21">
        <f t="shared" ca="1" si="26"/>
        <v>41912</v>
      </c>
      <c r="R157" s="37">
        <f t="shared" ca="1" si="21"/>
        <v>0</v>
      </c>
      <c r="S157" s="4">
        <f ca="1">IFERROR(AVERAGE($R$5:R157),0)</f>
        <v>0</v>
      </c>
      <c r="U157" s="21">
        <f t="shared" ca="1" si="22"/>
        <v>41912</v>
      </c>
      <c r="V157" s="4">
        <f ca="1">MIN(S157,PREMISSAS!$C$14)</f>
        <v>0</v>
      </c>
      <c r="W157" s="188"/>
      <c r="X157" s="188"/>
    </row>
    <row r="158" spans="2:24" x14ac:dyDescent="0.3">
      <c r="B158" s="21">
        <f t="shared" ca="1" si="23"/>
        <v>49187</v>
      </c>
      <c r="C158" s="22">
        <f ca="1">IF(B158="","",IF(LEFT(B158,2)="13",C157,IF(MONTH(B158)=1,C157*(1+PREMISSAS!$C$58),C157)))</f>
        <v>0</v>
      </c>
      <c r="E158" s="18">
        <v>154</v>
      </c>
      <c r="F158" s="21">
        <f t="shared" ca="1" si="24"/>
        <v>41943</v>
      </c>
      <c r="G158" s="22">
        <f ca="1">IFERROR(VLOOKUP(F158,RESULTADOS!$O$5:$P$543,2,FALSE),VLOOKUP(F158,$B$5:$C$842,2,FALSE))</f>
        <v>0</v>
      </c>
      <c r="H158" s="4">
        <f ca="1">IF(F158&lt;PREMISSAS!$D$7,0,IFERROR(VLOOKUP(IF(LEFT(F158,2)="13",DATE(YEAR(F157),12,31),F158),IPCA!$A:$D,4,FALSE),1)*G158)</f>
        <v>0</v>
      </c>
      <c r="J158" s="21">
        <f t="shared" ca="1" si="18"/>
        <v>41943</v>
      </c>
      <c r="K158" s="4">
        <f t="shared" ca="1" si="19"/>
        <v>0</v>
      </c>
      <c r="M158" s="21">
        <f t="shared" ca="1" si="25"/>
        <v>41943</v>
      </c>
      <c r="N158" s="37">
        <f t="shared" ca="1" si="20"/>
        <v>0</v>
      </c>
      <c r="O158" s="4">
        <f ca="1">IFERROR(AVERAGEIF(N$5:$N158,"&gt;="&amp;_xlfn.PERCENTILE.EXC(N$5:$N158,0.2)),0)</f>
        <v>0</v>
      </c>
      <c r="Q158" s="21">
        <f t="shared" ca="1" si="26"/>
        <v>41943</v>
      </c>
      <c r="R158" s="37">
        <f t="shared" ca="1" si="21"/>
        <v>0</v>
      </c>
      <c r="S158" s="4">
        <f ca="1">IFERROR(AVERAGE($R$5:R158),0)</f>
        <v>0</v>
      </c>
      <c r="U158" s="21">
        <f t="shared" ca="1" si="22"/>
        <v>41943</v>
      </c>
      <c r="V158" s="4">
        <f ca="1">MIN(S158,PREMISSAS!$C$14)</f>
        <v>0</v>
      </c>
      <c r="W158" s="188"/>
      <c r="X158" s="188"/>
    </row>
    <row r="159" spans="2:24" x14ac:dyDescent="0.3">
      <c r="B159" s="21">
        <f t="shared" ca="1" si="23"/>
        <v>49217</v>
      </c>
      <c r="C159" s="22">
        <f ca="1">IF(B159="","",IF(LEFT(B159,2)="13",C158,IF(MONTH(B159)=1,C158*(1+PREMISSAS!$C$58),C158)))</f>
        <v>0</v>
      </c>
      <c r="E159" s="18">
        <v>155</v>
      </c>
      <c r="F159" s="21">
        <f t="shared" ca="1" si="24"/>
        <v>41973</v>
      </c>
      <c r="G159" s="22">
        <f ca="1">IFERROR(VLOOKUP(F159,RESULTADOS!$O$5:$P$543,2,FALSE),VLOOKUP(F159,$B$5:$C$842,2,FALSE))</f>
        <v>0</v>
      </c>
      <c r="H159" s="4">
        <f ca="1">IF(F159&lt;PREMISSAS!$D$7,0,IFERROR(VLOOKUP(IF(LEFT(F159,2)="13",DATE(YEAR(F158),12,31),F159),IPCA!$A:$D,4,FALSE),1)*G159)</f>
        <v>0</v>
      </c>
      <c r="J159" s="21">
        <f t="shared" ca="1" si="18"/>
        <v>41973</v>
      </c>
      <c r="K159" s="4">
        <f t="shared" ca="1" si="19"/>
        <v>0</v>
      </c>
      <c r="M159" s="21">
        <f t="shared" ca="1" si="25"/>
        <v>41973</v>
      </c>
      <c r="N159" s="37">
        <f t="shared" ca="1" si="20"/>
        <v>0</v>
      </c>
      <c r="O159" s="4">
        <f ca="1">IFERROR(AVERAGEIF(N$5:$N159,"&gt;="&amp;_xlfn.PERCENTILE.EXC(N$5:$N159,0.2)),0)</f>
        <v>0</v>
      </c>
      <c r="Q159" s="21">
        <f t="shared" ca="1" si="26"/>
        <v>41973</v>
      </c>
      <c r="R159" s="37">
        <f t="shared" ca="1" si="21"/>
        <v>0</v>
      </c>
      <c r="S159" s="4">
        <f ca="1">IFERROR(AVERAGE($R$5:R159),0)</f>
        <v>0</v>
      </c>
      <c r="U159" s="21">
        <f t="shared" ca="1" si="22"/>
        <v>41973</v>
      </c>
      <c r="V159" s="4">
        <f ca="1">MIN(S159,PREMISSAS!$C$14)</f>
        <v>0</v>
      </c>
      <c r="W159" s="188"/>
      <c r="X159" s="188"/>
    </row>
    <row r="160" spans="2:24" x14ac:dyDescent="0.3">
      <c r="B160" s="21">
        <f t="shared" ca="1" si="23"/>
        <v>49248</v>
      </c>
      <c r="C160" s="22">
        <f ca="1">IF(B160="","",IF(LEFT(B160,2)="13",C159,IF(MONTH(B160)=1,C159*(1+PREMISSAS!$C$58),C159)))</f>
        <v>0</v>
      </c>
      <c r="E160" s="18">
        <v>156</v>
      </c>
      <c r="F160" s="21" t="str">
        <f t="shared" ca="1" si="24"/>
        <v>13º 2014</v>
      </c>
      <c r="G160" s="22">
        <f ca="1">IFERROR(VLOOKUP(F160,RESULTADOS!$O$5:$P$543,2,FALSE),VLOOKUP(F160,$B$5:$C$842,2,FALSE))</f>
        <v>0</v>
      </c>
      <c r="H160" s="4">
        <f ca="1">IF(F160&lt;PREMISSAS!$D$7,0,IFERROR(VLOOKUP(IF(LEFT(F160,2)="13",DATE(YEAR(F159),12,31),F160),IPCA!$A:$D,4,FALSE),1)*G160)</f>
        <v>0</v>
      </c>
      <c r="J160" s="21" t="str">
        <f t="shared" ca="1" si="18"/>
        <v>13º 2014</v>
      </c>
      <c r="K160" s="4">
        <f t="shared" ca="1" si="19"/>
        <v>0</v>
      </c>
      <c r="M160" s="21" t="str">
        <f t="shared" ca="1" si="25"/>
        <v>13º 2014</v>
      </c>
      <c r="N160" s="37">
        <f t="shared" ca="1" si="20"/>
        <v>0</v>
      </c>
      <c r="O160" s="4">
        <f ca="1">IFERROR(AVERAGEIF(N$5:$N160,"&gt;="&amp;_xlfn.PERCENTILE.EXC(N$5:$N160,0.2)),0)</f>
        <v>0</v>
      </c>
      <c r="Q160" s="21" t="str">
        <f t="shared" ca="1" si="26"/>
        <v>13º 2014</v>
      </c>
      <c r="R160" s="37">
        <f t="shared" ca="1" si="21"/>
        <v>0</v>
      </c>
      <c r="S160" s="4">
        <f ca="1">IFERROR(AVERAGE($R$5:R160),0)</f>
        <v>0</v>
      </c>
      <c r="U160" s="21" t="str">
        <f t="shared" ca="1" si="22"/>
        <v>13º 2014</v>
      </c>
      <c r="V160" s="4">
        <f ca="1">MIN(S160,PREMISSAS!$C$14)</f>
        <v>0</v>
      </c>
      <c r="W160" s="188"/>
      <c r="X160" s="188"/>
    </row>
    <row r="161" spans="2:24" x14ac:dyDescent="0.3">
      <c r="B161" s="21">
        <f t="shared" ca="1" si="23"/>
        <v>49278</v>
      </c>
      <c r="C161" s="22">
        <f ca="1">IF(B161="","",IF(LEFT(B161,2)="13",C160,IF(MONTH(B161)=1,C160*(1+PREMISSAS!$C$58),C160)))</f>
        <v>0</v>
      </c>
      <c r="E161" s="18">
        <v>157</v>
      </c>
      <c r="F161" s="21">
        <f t="shared" ca="1" si="24"/>
        <v>42004</v>
      </c>
      <c r="G161" s="22">
        <f ca="1">IFERROR(VLOOKUP(F161,RESULTADOS!$O$5:$P$543,2,FALSE),VLOOKUP(F161,$B$5:$C$842,2,FALSE))</f>
        <v>0</v>
      </c>
      <c r="H161" s="4">
        <f ca="1">IF(F161&lt;PREMISSAS!$D$7,0,IFERROR(VLOOKUP(IF(LEFT(F161,2)="13",DATE(YEAR(F160),12,31),F161),IPCA!$A:$D,4,FALSE),1)*G161)</f>
        <v>0</v>
      </c>
      <c r="J161" s="21">
        <f t="shared" ca="1" si="18"/>
        <v>42004</v>
      </c>
      <c r="K161" s="4">
        <f t="shared" ca="1" si="19"/>
        <v>0</v>
      </c>
      <c r="M161" s="21">
        <f t="shared" ca="1" si="25"/>
        <v>42004</v>
      </c>
      <c r="N161" s="37">
        <f t="shared" ca="1" si="20"/>
        <v>0</v>
      </c>
      <c r="O161" s="4">
        <f ca="1">IFERROR(AVERAGEIF(N$5:$N161,"&gt;="&amp;_xlfn.PERCENTILE.EXC(N$5:$N161,0.2)),0)</f>
        <v>0</v>
      </c>
      <c r="Q161" s="21">
        <f t="shared" ca="1" si="26"/>
        <v>42004</v>
      </c>
      <c r="R161" s="37">
        <f t="shared" ca="1" si="21"/>
        <v>0</v>
      </c>
      <c r="S161" s="4">
        <f ca="1">IFERROR(AVERAGE($R$5:R161),0)</f>
        <v>0</v>
      </c>
      <c r="U161" s="21">
        <f t="shared" ca="1" si="22"/>
        <v>42004</v>
      </c>
      <c r="V161" s="4">
        <f ca="1">MIN(S161,PREMISSAS!$C$14)</f>
        <v>0</v>
      </c>
      <c r="W161" s="188"/>
      <c r="X161" s="188"/>
    </row>
    <row r="162" spans="2:24" x14ac:dyDescent="0.3">
      <c r="B162" s="21" t="str">
        <f t="shared" ca="1" si="23"/>
        <v>13º 2034</v>
      </c>
      <c r="C162" s="22">
        <f ca="1">IF(B162="","",IF(LEFT(B162,2)="13",C161,IF(MONTH(B162)=1,C161*(1+PREMISSAS!$C$58),C161)))</f>
        <v>0</v>
      </c>
      <c r="E162" s="18">
        <v>158</v>
      </c>
      <c r="F162" s="21">
        <f t="shared" ca="1" si="24"/>
        <v>42035</v>
      </c>
      <c r="G162" s="22">
        <f ca="1">IFERROR(VLOOKUP(F162,RESULTADOS!$O$5:$P$543,2,FALSE),VLOOKUP(F162,$B$5:$C$842,2,FALSE))</f>
        <v>0</v>
      </c>
      <c r="H162" s="4">
        <f ca="1">IF(F162&lt;PREMISSAS!$D$7,0,IFERROR(VLOOKUP(IF(LEFT(F162,2)="13",DATE(YEAR(F161),12,31),F162),IPCA!$A:$D,4,FALSE),1)*G162)</f>
        <v>0</v>
      </c>
      <c r="J162" s="21">
        <f t="shared" ca="1" si="18"/>
        <v>42035</v>
      </c>
      <c r="K162" s="4">
        <f t="shared" ca="1" si="19"/>
        <v>0</v>
      </c>
      <c r="M162" s="21">
        <f t="shared" ca="1" si="25"/>
        <v>42035</v>
      </c>
      <c r="N162" s="37">
        <f t="shared" ca="1" si="20"/>
        <v>0</v>
      </c>
      <c r="O162" s="4">
        <f ca="1">IFERROR(AVERAGEIF(N$5:$N162,"&gt;="&amp;_xlfn.PERCENTILE.EXC(N$5:$N162,0.2)),0)</f>
        <v>0</v>
      </c>
      <c r="Q162" s="21">
        <f t="shared" ca="1" si="26"/>
        <v>42035</v>
      </c>
      <c r="R162" s="37">
        <f t="shared" ca="1" si="21"/>
        <v>0</v>
      </c>
      <c r="S162" s="4">
        <f ca="1">IFERROR(AVERAGE($R$5:R162),0)</f>
        <v>0</v>
      </c>
      <c r="U162" s="21">
        <f t="shared" ca="1" si="22"/>
        <v>42035</v>
      </c>
      <c r="V162" s="4">
        <f ca="1">MIN(S162,PREMISSAS!$C$14)</f>
        <v>0</v>
      </c>
      <c r="W162" s="188"/>
      <c r="X162" s="188"/>
    </row>
    <row r="163" spans="2:24" x14ac:dyDescent="0.3">
      <c r="B163" s="21">
        <f t="shared" ca="1" si="23"/>
        <v>49309</v>
      </c>
      <c r="C163" s="22">
        <f ca="1">IF(B163="","",IF(LEFT(B163,2)="13",C162,IF(MONTH(B163)=1,C162*(1+PREMISSAS!$C$58),C162)))</f>
        <v>0</v>
      </c>
      <c r="E163" s="18">
        <v>159</v>
      </c>
      <c r="F163" s="21">
        <f t="shared" ca="1" si="24"/>
        <v>42063</v>
      </c>
      <c r="G163" s="22">
        <f ca="1">IFERROR(VLOOKUP(F163,RESULTADOS!$O$5:$P$543,2,FALSE),VLOOKUP(F163,$B$5:$C$842,2,FALSE))</f>
        <v>0</v>
      </c>
      <c r="H163" s="4">
        <f ca="1">IF(F163&lt;PREMISSAS!$D$7,0,IFERROR(VLOOKUP(IF(LEFT(F163,2)="13",DATE(YEAR(F162),12,31),F163),IPCA!$A:$D,4,FALSE),1)*G163)</f>
        <v>0</v>
      </c>
      <c r="J163" s="21">
        <f t="shared" ca="1" si="18"/>
        <v>42063</v>
      </c>
      <c r="K163" s="4">
        <f t="shared" ca="1" si="19"/>
        <v>0</v>
      </c>
      <c r="M163" s="21">
        <f t="shared" ca="1" si="25"/>
        <v>42063</v>
      </c>
      <c r="N163" s="37">
        <f t="shared" ca="1" si="20"/>
        <v>0</v>
      </c>
      <c r="O163" s="4">
        <f ca="1">IFERROR(AVERAGEIF(N$5:$N163,"&gt;="&amp;_xlfn.PERCENTILE.EXC(N$5:$N163,0.2)),0)</f>
        <v>0</v>
      </c>
      <c r="Q163" s="21">
        <f t="shared" ca="1" si="26"/>
        <v>42063</v>
      </c>
      <c r="R163" s="37">
        <f t="shared" ca="1" si="21"/>
        <v>0</v>
      </c>
      <c r="S163" s="4">
        <f ca="1">IFERROR(AVERAGE($R$5:R163),0)</f>
        <v>0</v>
      </c>
      <c r="U163" s="21">
        <f t="shared" ca="1" si="22"/>
        <v>42063</v>
      </c>
      <c r="V163" s="4">
        <f ca="1">MIN(S163,PREMISSAS!$C$14)</f>
        <v>0</v>
      </c>
      <c r="W163" s="188"/>
      <c r="X163" s="188"/>
    </row>
    <row r="164" spans="2:24" x14ac:dyDescent="0.3">
      <c r="B164" s="21">
        <f t="shared" ca="1" si="23"/>
        <v>49340</v>
      </c>
      <c r="C164" s="22">
        <f ca="1">IF(B164="","",IF(LEFT(B164,2)="13",C163,IF(MONTH(B164)=1,C163*(1+PREMISSAS!$C$58),C163)))</f>
        <v>0</v>
      </c>
      <c r="E164" s="18">
        <v>160</v>
      </c>
      <c r="F164" s="21">
        <f t="shared" ca="1" si="24"/>
        <v>42094</v>
      </c>
      <c r="G164" s="22">
        <f ca="1">IFERROR(VLOOKUP(F164,RESULTADOS!$O$5:$P$543,2,FALSE),VLOOKUP(F164,$B$5:$C$842,2,FALSE))</f>
        <v>0</v>
      </c>
      <c r="H164" s="4">
        <f ca="1">IF(F164&lt;PREMISSAS!$D$7,0,IFERROR(VLOOKUP(IF(LEFT(F164,2)="13",DATE(YEAR(F163),12,31),F164),IPCA!$A:$D,4,FALSE),1)*G164)</f>
        <v>0</v>
      </c>
      <c r="J164" s="21">
        <f t="shared" ca="1" si="18"/>
        <v>42094</v>
      </c>
      <c r="K164" s="4">
        <f t="shared" ca="1" si="19"/>
        <v>0</v>
      </c>
      <c r="M164" s="21">
        <f t="shared" ca="1" si="25"/>
        <v>42094</v>
      </c>
      <c r="N164" s="37">
        <f t="shared" ca="1" si="20"/>
        <v>0</v>
      </c>
      <c r="O164" s="4">
        <f ca="1">IFERROR(AVERAGEIF(N$5:$N164,"&gt;="&amp;_xlfn.PERCENTILE.EXC(N$5:$N164,0.2)),0)</f>
        <v>0</v>
      </c>
      <c r="Q164" s="21">
        <f t="shared" ca="1" si="26"/>
        <v>42094</v>
      </c>
      <c r="R164" s="37">
        <f t="shared" ca="1" si="21"/>
        <v>0</v>
      </c>
      <c r="S164" s="4">
        <f ca="1">IFERROR(AVERAGE($R$5:R164),0)</f>
        <v>0</v>
      </c>
      <c r="U164" s="21">
        <f t="shared" ca="1" si="22"/>
        <v>42094</v>
      </c>
      <c r="V164" s="4">
        <f ca="1">MIN(S164,PREMISSAS!$C$14)</f>
        <v>0</v>
      </c>
      <c r="W164" s="188"/>
      <c r="X164" s="188"/>
    </row>
    <row r="165" spans="2:24" x14ac:dyDescent="0.3">
      <c r="B165" s="21">
        <f t="shared" ca="1" si="23"/>
        <v>49368</v>
      </c>
      <c r="C165" s="22">
        <f ca="1">IF(B165="","",IF(LEFT(B165,2)="13",C164,IF(MONTH(B165)=1,C164*(1+PREMISSAS!$C$58),C164)))</f>
        <v>0</v>
      </c>
      <c r="E165" s="18">
        <v>161</v>
      </c>
      <c r="F165" s="21">
        <f t="shared" ca="1" si="24"/>
        <v>42124</v>
      </c>
      <c r="G165" s="22">
        <f ca="1">IFERROR(VLOOKUP(F165,RESULTADOS!$O$5:$P$543,2,FALSE),VLOOKUP(F165,$B$5:$C$842,2,FALSE))</f>
        <v>0</v>
      </c>
      <c r="H165" s="4">
        <f ca="1">IF(F165&lt;PREMISSAS!$D$7,0,IFERROR(VLOOKUP(IF(LEFT(F165,2)="13",DATE(YEAR(F164),12,31),F165),IPCA!$A:$D,4,FALSE),1)*G165)</f>
        <v>0</v>
      </c>
      <c r="J165" s="21">
        <f t="shared" ca="1" si="18"/>
        <v>42124</v>
      </c>
      <c r="K165" s="4">
        <f t="shared" ca="1" si="19"/>
        <v>0</v>
      </c>
      <c r="M165" s="21">
        <f t="shared" ca="1" si="25"/>
        <v>42124</v>
      </c>
      <c r="N165" s="37">
        <f t="shared" ca="1" si="20"/>
        <v>0</v>
      </c>
      <c r="O165" s="4">
        <f ca="1">IFERROR(AVERAGEIF(N$5:$N165,"&gt;="&amp;_xlfn.PERCENTILE.EXC(N$5:$N165,0.2)),0)</f>
        <v>0</v>
      </c>
      <c r="Q165" s="21">
        <f t="shared" ca="1" si="26"/>
        <v>42124</v>
      </c>
      <c r="R165" s="37">
        <f t="shared" ca="1" si="21"/>
        <v>0</v>
      </c>
      <c r="S165" s="4">
        <f ca="1">IFERROR(AVERAGE($R$5:R165),0)</f>
        <v>0</v>
      </c>
      <c r="U165" s="21">
        <f t="shared" ca="1" si="22"/>
        <v>42124</v>
      </c>
      <c r="V165" s="4">
        <f ca="1">MIN(S165,PREMISSAS!$C$14)</f>
        <v>0</v>
      </c>
      <c r="W165" s="188"/>
      <c r="X165" s="188"/>
    </row>
    <row r="166" spans="2:24" x14ac:dyDescent="0.3">
      <c r="B166" s="21">
        <f t="shared" ca="1" si="23"/>
        <v>49399</v>
      </c>
      <c r="C166" s="22">
        <f ca="1">IF(B166="","",IF(LEFT(B166,2)="13",C165,IF(MONTH(B166)=1,C165*(1+PREMISSAS!$C$58),C165)))</f>
        <v>0</v>
      </c>
      <c r="E166" s="18">
        <v>162</v>
      </c>
      <c r="F166" s="21">
        <f t="shared" ca="1" si="24"/>
        <v>42155</v>
      </c>
      <c r="G166" s="22">
        <f ca="1">IFERROR(VLOOKUP(F166,RESULTADOS!$O$5:$P$543,2,FALSE),VLOOKUP(F166,$B$5:$C$842,2,FALSE))</f>
        <v>0</v>
      </c>
      <c r="H166" s="4">
        <f ca="1">IF(F166&lt;PREMISSAS!$D$7,0,IFERROR(VLOOKUP(IF(LEFT(F166,2)="13",DATE(YEAR(F165),12,31),F166),IPCA!$A:$D,4,FALSE),1)*G166)</f>
        <v>0</v>
      </c>
      <c r="J166" s="21">
        <f t="shared" ca="1" si="18"/>
        <v>42155</v>
      </c>
      <c r="K166" s="4">
        <f t="shared" ca="1" si="19"/>
        <v>0</v>
      </c>
      <c r="M166" s="21">
        <f t="shared" ca="1" si="25"/>
        <v>42155</v>
      </c>
      <c r="N166" s="37">
        <f t="shared" ca="1" si="20"/>
        <v>0</v>
      </c>
      <c r="O166" s="4">
        <f ca="1">IFERROR(AVERAGEIF(N$5:$N166,"&gt;="&amp;_xlfn.PERCENTILE.EXC(N$5:$N166,0.2)),0)</f>
        <v>0</v>
      </c>
      <c r="Q166" s="21">
        <f t="shared" ca="1" si="26"/>
        <v>42155</v>
      </c>
      <c r="R166" s="37">
        <f t="shared" ca="1" si="21"/>
        <v>0</v>
      </c>
      <c r="S166" s="4">
        <f ca="1">IFERROR(AVERAGE($R$5:R166),0)</f>
        <v>0</v>
      </c>
      <c r="U166" s="21">
        <f t="shared" ca="1" si="22"/>
        <v>42155</v>
      </c>
      <c r="V166" s="4">
        <f ca="1">MIN(S166,PREMISSAS!$C$14)</f>
        <v>0</v>
      </c>
      <c r="W166" s="188"/>
      <c r="X166" s="188"/>
    </row>
    <row r="167" spans="2:24" x14ac:dyDescent="0.3">
      <c r="B167" s="21">
        <f t="shared" ca="1" si="23"/>
        <v>49429</v>
      </c>
      <c r="C167" s="22">
        <f ca="1">IF(B167="","",IF(LEFT(B167,2)="13",C166,IF(MONTH(B167)=1,C166*(1+PREMISSAS!$C$58),C166)))</f>
        <v>0</v>
      </c>
      <c r="E167" s="18">
        <v>163</v>
      </c>
      <c r="F167" s="21">
        <f t="shared" ca="1" si="24"/>
        <v>42185</v>
      </c>
      <c r="G167" s="22">
        <f ca="1">IFERROR(VLOOKUP(F167,RESULTADOS!$O$5:$P$543,2,FALSE),VLOOKUP(F167,$B$5:$C$842,2,FALSE))</f>
        <v>0</v>
      </c>
      <c r="H167" s="4">
        <f ca="1">IF(F167&lt;PREMISSAS!$D$7,0,IFERROR(VLOOKUP(IF(LEFT(F167,2)="13",DATE(YEAR(F166),12,31),F167),IPCA!$A:$D,4,FALSE),1)*G167)</f>
        <v>0</v>
      </c>
      <c r="J167" s="21">
        <f t="shared" ca="1" si="18"/>
        <v>42185</v>
      </c>
      <c r="K167" s="4">
        <f t="shared" ca="1" si="19"/>
        <v>0</v>
      </c>
      <c r="M167" s="21">
        <f t="shared" ca="1" si="25"/>
        <v>42185</v>
      </c>
      <c r="N167" s="37">
        <f t="shared" ca="1" si="20"/>
        <v>0</v>
      </c>
      <c r="O167" s="4">
        <f ca="1">IFERROR(AVERAGEIF(N$5:$N167,"&gt;="&amp;_xlfn.PERCENTILE.EXC(N$5:$N167,0.2)),0)</f>
        <v>0</v>
      </c>
      <c r="Q167" s="21">
        <f t="shared" ca="1" si="26"/>
        <v>42185</v>
      </c>
      <c r="R167" s="37">
        <f t="shared" ca="1" si="21"/>
        <v>0</v>
      </c>
      <c r="S167" s="4">
        <f ca="1">IFERROR(AVERAGE($R$5:R167),0)</f>
        <v>0</v>
      </c>
      <c r="U167" s="21">
        <f t="shared" ca="1" si="22"/>
        <v>42185</v>
      </c>
      <c r="V167" s="4">
        <f ca="1">MIN(S167,PREMISSAS!$C$14)</f>
        <v>0</v>
      </c>
      <c r="W167" s="188"/>
      <c r="X167" s="188"/>
    </row>
    <row r="168" spans="2:24" x14ac:dyDescent="0.3">
      <c r="B168" s="21">
        <f t="shared" ca="1" si="23"/>
        <v>49460</v>
      </c>
      <c r="C168" s="22">
        <f ca="1">IF(B168="","",IF(LEFT(B168,2)="13",C167,IF(MONTH(B168)=1,C167*(1+PREMISSAS!$C$58),C167)))</f>
        <v>0</v>
      </c>
      <c r="E168" s="18">
        <v>164</v>
      </c>
      <c r="F168" s="21">
        <f t="shared" ca="1" si="24"/>
        <v>42216</v>
      </c>
      <c r="G168" s="22">
        <f ca="1">IFERROR(VLOOKUP(F168,RESULTADOS!$O$5:$P$543,2,FALSE),VLOOKUP(F168,$B$5:$C$842,2,FALSE))</f>
        <v>0</v>
      </c>
      <c r="H168" s="4">
        <f ca="1">IF(F168&lt;PREMISSAS!$D$7,0,IFERROR(VLOOKUP(IF(LEFT(F168,2)="13",DATE(YEAR(F167),12,31),F168),IPCA!$A:$D,4,FALSE),1)*G168)</f>
        <v>0</v>
      </c>
      <c r="J168" s="21">
        <f t="shared" ca="1" si="18"/>
        <v>42216</v>
      </c>
      <c r="K168" s="4">
        <f t="shared" ca="1" si="19"/>
        <v>0</v>
      </c>
      <c r="M168" s="21">
        <f t="shared" ca="1" si="25"/>
        <v>42216</v>
      </c>
      <c r="N168" s="37">
        <f t="shared" ca="1" si="20"/>
        <v>0</v>
      </c>
      <c r="O168" s="4">
        <f ca="1">IFERROR(AVERAGEIF(N$5:$N168,"&gt;="&amp;_xlfn.PERCENTILE.EXC(N$5:$N168,0.2)),0)</f>
        <v>0</v>
      </c>
      <c r="Q168" s="21">
        <f t="shared" ca="1" si="26"/>
        <v>42216</v>
      </c>
      <c r="R168" s="37">
        <f t="shared" ca="1" si="21"/>
        <v>0</v>
      </c>
      <c r="S168" s="4">
        <f ca="1">IFERROR(AVERAGE($R$5:R168),0)</f>
        <v>0</v>
      </c>
      <c r="U168" s="21">
        <f t="shared" ca="1" si="22"/>
        <v>42216</v>
      </c>
      <c r="V168" s="4">
        <f ca="1">MIN(S168,PREMISSAS!$C$14)</f>
        <v>0</v>
      </c>
      <c r="W168" s="188"/>
      <c r="X168" s="188"/>
    </row>
    <row r="169" spans="2:24" x14ac:dyDescent="0.3">
      <c r="B169" s="21">
        <f t="shared" ca="1" si="23"/>
        <v>49490</v>
      </c>
      <c r="C169" s="22">
        <f ca="1">IF(B169="","",IF(LEFT(B169,2)="13",C168,IF(MONTH(B169)=1,C168*(1+PREMISSAS!$C$58),C168)))</f>
        <v>0</v>
      </c>
      <c r="E169" s="18">
        <v>165</v>
      </c>
      <c r="F169" s="21">
        <f t="shared" ca="1" si="24"/>
        <v>42247</v>
      </c>
      <c r="G169" s="22">
        <f ca="1">IFERROR(VLOOKUP(F169,RESULTADOS!$O$5:$P$543,2,FALSE),VLOOKUP(F169,$B$5:$C$842,2,FALSE))</f>
        <v>0</v>
      </c>
      <c r="H169" s="4">
        <f ca="1">IF(F169&lt;PREMISSAS!$D$7,0,IFERROR(VLOOKUP(IF(LEFT(F169,2)="13",DATE(YEAR(F168),12,31),F169),IPCA!$A:$D,4,FALSE),1)*G169)</f>
        <v>0</v>
      </c>
      <c r="J169" s="21">
        <f t="shared" ca="1" si="18"/>
        <v>42247</v>
      </c>
      <c r="K169" s="4">
        <f t="shared" ca="1" si="19"/>
        <v>0</v>
      </c>
      <c r="M169" s="21">
        <f t="shared" ca="1" si="25"/>
        <v>42247</v>
      </c>
      <c r="N169" s="37">
        <f t="shared" ca="1" si="20"/>
        <v>0</v>
      </c>
      <c r="O169" s="4">
        <f ca="1">IFERROR(AVERAGEIF(N$5:$N169,"&gt;="&amp;_xlfn.PERCENTILE.EXC(N$5:$N169,0.2)),0)</f>
        <v>0</v>
      </c>
      <c r="Q169" s="21">
        <f t="shared" ca="1" si="26"/>
        <v>42247</v>
      </c>
      <c r="R169" s="37">
        <f t="shared" ca="1" si="21"/>
        <v>0</v>
      </c>
      <c r="S169" s="4">
        <f ca="1">IFERROR(AVERAGE($R$5:R169),0)</f>
        <v>0</v>
      </c>
      <c r="U169" s="21">
        <f t="shared" ca="1" si="22"/>
        <v>42247</v>
      </c>
      <c r="V169" s="4">
        <f ca="1">MIN(S169,PREMISSAS!$C$14)</f>
        <v>0</v>
      </c>
      <c r="W169" s="188"/>
      <c r="X169" s="188"/>
    </row>
    <row r="170" spans="2:24" x14ac:dyDescent="0.3">
      <c r="B170" s="21">
        <f t="shared" ca="1" si="23"/>
        <v>49521</v>
      </c>
      <c r="C170" s="22">
        <f ca="1">IF(B170="","",IF(LEFT(B170,2)="13",C169,IF(MONTH(B170)=1,C169*(1+PREMISSAS!$C$58),C169)))</f>
        <v>0</v>
      </c>
      <c r="E170" s="18">
        <v>166</v>
      </c>
      <c r="F170" s="21">
        <f t="shared" ca="1" si="24"/>
        <v>42277</v>
      </c>
      <c r="G170" s="22">
        <f ca="1">IFERROR(VLOOKUP(F170,RESULTADOS!$O$5:$P$543,2,FALSE),VLOOKUP(F170,$B$5:$C$842,2,FALSE))</f>
        <v>0</v>
      </c>
      <c r="H170" s="4">
        <f ca="1">IF(F170&lt;PREMISSAS!$D$7,0,IFERROR(VLOOKUP(IF(LEFT(F170,2)="13",DATE(YEAR(F169),12,31),F170),IPCA!$A:$D,4,FALSE),1)*G170)</f>
        <v>0</v>
      </c>
      <c r="J170" s="21">
        <f t="shared" ca="1" si="18"/>
        <v>42277</v>
      </c>
      <c r="K170" s="4">
        <f t="shared" ca="1" si="19"/>
        <v>0</v>
      </c>
      <c r="M170" s="21">
        <f t="shared" ca="1" si="25"/>
        <v>42277</v>
      </c>
      <c r="N170" s="37">
        <f t="shared" ca="1" si="20"/>
        <v>0</v>
      </c>
      <c r="O170" s="4">
        <f ca="1">IFERROR(AVERAGEIF(N$5:$N170,"&gt;="&amp;_xlfn.PERCENTILE.EXC(N$5:$N170,0.2)),0)</f>
        <v>0</v>
      </c>
      <c r="Q170" s="21">
        <f t="shared" ca="1" si="26"/>
        <v>42277</v>
      </c>
      <c r="R170" s="37">
        <f t="shared" ca="1" si="21"/>
        <v>0</v>
      </c>
      <c r="S170" s="4">
        <f ca="1">IFERROR(AVERAGE($R$5:R170),0)</f>
        <v>0</v>
      </c>
      <c r="U170" s="21">
        <f t="shared" ca="1" si="22"/>
        <v>42277</v>
      </c>
      <c r="V170" s="4">
        <f ca="1">MIN(S170,PREMISSAS!$C$14)</f>
        <v>0</v>
      </c>
      <c r="W170" s="188"/>
      <c r="X170" s="188"/>
    </row>
    <row r="171" spans="2:24" x14ac:dyDescent="0.3">
      <c r="B171" s="21">
        <f t="shared" ca="1" si="23"/>
        <v>49552</v>
      </c>
      <c r="C171" s="22">
        <f ca="1">IF(B171="","",IF(LEFT(B171,2)="13",C170,IF(MONTH(B171)=1,C170*(1+PREMISSAS!$C$58),C170)))</f>
        <v>0</v>
      </c>
      <c r="E171" s="18">
        <v>167</v>
      </c>
      <c r="F171" s="21">
        <f t="shared" ca="1" si="24"/>
        <v>42308</v>
      </c>
      <c r="G171" s="22">
        <f ca="1">IFERROR(VLOOKUP(F171,RESULTADOS!$O$5:$P$543,2,FALSE),VLOOKUP(F171,$B$5:$C$842,2,FALSE))</f>
        <v>0</v>
      </c>
      <c r="H171" s="4">
        <f ca="1">IF(F171&lt;PREMISSAS!$D$7,0,IFERROR(VLOOKUP(IF(LEFT(F171,2)="13",DATE(YEAR(F170),12,31),F171),IPCA!$A:$D,4,FALSE),1)*G171)</f>
        <v>0</v>
      </c>
      <c r="J171" s="21">
        <f t="shared" ca="1" si="18"/>
        <v>42308</v>
      </c>
      <c r="K171" s="4">
        <f t="shared" ca="1" si="19"/>
        <v>0</v>
      </c>
      <c r="M171" s="21">
        <f t="shared" ca="1" si="25"/>
        <v>42308</v>
      </c>
      <c r="N171" s="37">
        <f t="shared" ca="1" si="20"/>
        <v>0</v>
      </c>
      <c r="O171" s="4">
        <f ca="1">IFERROR(AVERAGEIF(N$5:$N171,"&gt;="&amp;_xlfn.PERCENTILE.EXC(N$5:$N171,0.2)),0)</f>
        <v>0</v>
      </c>
      <c r="Q171" s="21">
        <f t="shared" ca="1" si="26"/>
        <v>42308</v>
      </c>
      <c r="R171" s="37">
        <f t="shared" ca="1" si="21"/>
        <v>0</v>
      </c>
      <c r="S171" s="4">
        <f ca="1">IFERROR(AVERAGE($R$5:R171),0)</f>
        <v>0</v>
      </c>
      <c r="U171" s="21">
        <f t="shared" ca="1" si="22"/>
        <v>42308</v>
      </c>
      <c r="V171" s="4">
        <f ca="1">MIN(S171,PREMISSAS!$C$14)</f>
        <v>0</v>
      </c>
      <c r="W171" s="188"/>
      <c r="X171" s="188"/>
    </row>
    <row r="172" spans="2:24" x14ac:dyDescent="0.3">
      <c r="B172" s="21">
        <f t="shared" ca="1" si="23"/>
        <v>49582</v>
      </c>
      <c r="C172" s="22">
        <f ca="1">IF(B172="","",IF(LEFT(B172,2)="13",C171,IF(MONTH(B172)=1,C171*(1+PREMISSAS!$C$58),C171)))</f>
        <v>0</v>
      </c>
      <c r="E172" s="18">
        <v>168</v>
      </c>
      <c r="F172" s="21">
        <f t="shared" ca="1" si="24"/>
        <v>42338</v>
      </c>
      <c r="G172" s="22">
        <f ca="1">IFERROR(VLOOKUP(F172,RESULTADOS!$O$5:$P$543,2,FALSE),VLOOKUP(F172,$B$5:$C$842,2,FALSE))</f>
        <v>0</v>
      </c>
      <c r="H172" s="4">
        <f ca="1">IF(F172&lt;PREMISSAS!$D$7,0,IFERROR(VLOOKUP(IF(LEFT(F172,2)="13",DATE(YEAR(F171),12,31),F172),IPCA!$A:$D,4,FALSE),1)*G172)</f>
        <v>0</v>
      </c>
      <c r="J172" s="21">
        <f t="shared" ca="1" si="18"/>
        <v>42338</v>
      </c>
      <c r="K172" s="4">
        <f t="shared" ca="1" si="19"/>
        <v>0</v>
      </c>
      <c r="M172" s="21">
        <f t="shared" ca="1" si="25"/>
        <v>42338</v>
      </c>
      <c r="N172" s="37">
        <f t="shared" ca="1" si="20"/>
        <v>0</v>
      </c>
      <c r="O172" s="4">
        <f ca="1">IFERROR(AVERAGEIF(N$5:$N172,"&gt;="&amp;_xlfn.PERCENTILE.EXC(N$5:$N172,0.2)),0)</f>
        <v>0</v>
      </c>
      <c r="Q172" s="21">
        <f t="shared" ca="1" si="26"/>
        <v>42338</v>
      </c>
      <c r="R172" s="37">
        <f t="shared" ca="1" si="21"/>
        <v>0</v>
      </c>
      <c r="S172" s="4">
        <f ca="1">IFERROR(AVERAGE($R$5:R172),0)</f>
        <v>0</v>
      </c>
      <c r="U172" s="21">
        <f t="shared" ca="1" si="22"/>
        <v>42338</v>
      </c>
      <c r="V172" s="4">
        <f ca="1">MIN(S172,PREMISSAS!$C$14)</f>
        <v>0</v>
      </c>
      <c r="W172" s="188"/>
      <c r="X172" s="188"/>
    </row>
    <row r="173" spans="2:24" x14ac:dyDescent="0.3">
      <c r="B173" s="21">
        <f t="shared" ca="1" si="23"/>
        <v>49613</v>
      </c>
      <c r="C173" s="22">
        <f ca="1">IF(B173="","",IF(LEFT(B173,2)="13",C172,IF(MONTH(B173)=1,C172*(1+PREMISSAS!$C$58),C172)))</f>
        <v>0</v>
      </c>
      <c r="E173" s="18">
        <v>169</v>
      </c>
      <c r="F173" s="21" t="str">
        <f t="shared" ca="1" si="24"/>
        <v>13º 2015</v>
      </c>
      <c r="G173" s="22">
        <f ca="1">IFERROR(VLOOKUP(F173,RESULTADOS!$O$5:$P$543,2,FALSE),VLOOKUP(F173,$B$5:$C$842,2,FALSE))</f>
        <v>0</v>
      </c>
      <c r="H173" s="4">
        <f ca="1">IF(F173&lt;PREMISSAS!$D$7,0,IFERROR(VLOOKUP(IF(LEFT(F173,2)="13",DATE(YEAR(F172),12,31),F173),IPCA!$A:$D,4,FALSE),1)*G173)</f>
        <v>0</v>
      </c>
      <c r="J173" s="21" t="str">
        <f t="shared" ca="1" si="18"/>
        <v>13º 2015</v>
      </c>
      <c r="K173" s="4">
        <f t="shared" ca="1" si="19"/>
        <v>0</v>
      </c>
      <c r="M173" s="21" t="str">
        <f t="shared" ca="1" si="25"/>
        <v>13º 2015</v>
      </c>
      <c r="N173" s="37">
        <f t="shared" ca="1" si="20"/>
        <v>0</v>
      </c>
      <c r="O173" s="4">
        <f ca="1">IFERROR(AVERAGEIF(N$5:$N173,"&gt;="&amp;_xlfn.PERCENTILE.EXC(N$5:$N173,0.2)),0)</f>
        <v>0</v>
      </c>
      <c r="Q173" s="21" t="str">
        <f t="shared" ca="1" si="26"/>
        <v>13º 2015</v>
      </c>
      <c r="R173" s="37">
        <f t="shared" ca="1" si="21"/>
        <v>0</v>
      </c>
      <c r="S173" s="4">
        <f ca="1">IFERROR(AVERAGE($R$5:R173),0)</f>
        <v>0</v>
      </c>
      <c r="U173" s="21" t="str">
        <f t="shared" ca="1" si="22"/>
        <v>13º 2015</v>
      </c>
      <c r="V173" s="4">
        <f ca="1">MIN(S173,PREMISSAS!$C$14)</f>
        <v>0</v>
      </c>
      <c r="W173" s="188"/>
      <c r="X173" s="188"/>
    </row>
    <row r="174" spans="2:24" x14ac:dyDescent="0.3">
      <c r="B174" s="21">
        <f t="shared" ca="1" si="23"/>
        <v>49643</v>
      </c>
      <c r="C174" s="22">
        <f ca="1">IF(B174="","",IF(LEFT(B174,2)="13",C173,IF(MONTH(B174)=1,C173*(1+PREMISSAS!$C$58),C173)))</f>
        <v>0</v>
      </c>
      <c r="E174" s="18">
        <v>170</v>
      </c>
      <c r="F174" s="21">
        <f t="shared" ca="1" si="24"/>
        <v>42369</v>
      </c>
      <c r="G174" s="22">
        <f ca="1">IFERROR(VLOOKUP(F174,RESULTADOS!$O$5:$P$543,2,FALSE),VLOOKUP(F174,$B$5:$C$842,2,FALSE))</f>
        <v>0</v>
      </c>
      <c r="H174" s="4">
        <f ca="1">IF(F174&lt;PREMISSAS!$D$7,0,IFERROR(VLOOKUP(IF(LEFT(F174,2)="13",DATE(YEAR(F173),12,31),F174),IPCA!$A:$D,4,FALSE),1)*G174)</f>
        <v>0</v>
      </c>
      <c r="J174" s="21">
        <f t="shared" ca="1" si="18"/>
        <v>42369</v>
      </c>
      <c r="K174" s="4">
        <f t="shared" ca="1" si="19"/>
        <v>0</v>
      </c>
      <c r="M174" s="21">
        <f t="shared" ca="1" si="25"/>
        <v>42369</v>
      </c>
      <c r="N174" s="37">
        <f t="shared" ca="1" si="20"/>
        <v>0</v>
      </c>
      <c r="O174" s="4">
        <f ca="1">IFERROR(AVERAGEIF(N$5:$N174,"&gt;="&amp;_xlfn.PERCENTILE.EXC(N$5:$N174,0.2)),0)</f>
        <v>0</v>
      </c>
      <c r="Q174" s="21">
        <f t="shared" ca="1" si="26"/>
        <v>42369</v>
      </c>
      <c r="R174" s="37">
        <f t="shared" ca="1" si="21"/>
        <v>0</v>
      </c>
      <c r="S174" s="4">
        <f ca="1">IFERROR(AVERAGE($R$5:R174),0)</f>
        <v>0</v>
      </c>
      <c r="U174" s="21">
        <f t="shared" ca="1" si="22"/>
        <v>42369</v>
      </c>
      <c r="V174" s="4">
        <f ca="1">MIN(S174,PREMISSAS!$C$14)</f>
        <v>0</v>
      </c>
      <c r="W174" s="188"/>
      <c r="X174" s="188"/>
    </row>
    <row r="175" spans="2:24" x14ac:dyDescent="0.3">
      <c r="B175" s="21" t="str">
        <f t="shared" ca="1" si="23"/>
        <v>13º 2035</v>
      </c>
      <c r="C175" s="22">
        <f ca="1">IF(B175="","",IF(LEFT(B175,2)="13",C174,IF(MONTH(B175)=1,C174*(1+PREMISSAS!$C$58),C174)))</f>
        <v>0</v>
      </c>
      <c r="E175" s="18">
        <v>171</v>
      </c>
      <c r="F175" s="21">
        <f t="shared" ca="1" si="24"/>
        <v>42400</v>
      </c>
      <c r="G175" s="22">
        <f ca="1">IFERROR(VLOOKUP(F175,RESULTADOS!$O$5:$P$543,2,FALSE),VLOOKUP(F175,$B$5:$C$842,2,FALSE))</f>
        <v>0</v>
      </c>
      <c r="H175" s="4">
        <f ca="1">IF(F175&lt;PREMISSAS!$D$7,0,IFERROR(VLOOKUP(IF(LEFT(F175,2)="13",DATE(YEAR(F174),12,31),F175),IPCA!$A:$D,4,FALSE),1)*G175)</f>
        <v>0</v>
      </c>
      <c r="J175" s="21">
        <f t="shared" ca="1" si="18"/>
        <v>42400</v>
      </c>
      <c r="K175" s="4">
        <f t="shared" ca="1" si="19"/>
        <v>0</v>
      </c>
      <c r="M175" s="21">
        <f t="shared" ca="1" si="25"/>
        <v>42400</v>
      </c>
      <c r="N175" s="37">
        <f t="shared" ca="1" si="20"/>
        <v>0</v>
      </c>
      <c r="O175" s="4">
        <f ca="1">IFERROR(AVERAGEIF(N$5:$N175,"&gt;="&amp;_xlfn.PERCENTILE.EXC(N$5:$N175,0.2)),0)</f>
        <v>0</v>
      </c>
      <c r="Q175" s="21">
        <f t="shared" ca="1" si="26"/>
        <v>42400</v>
      </c>
      <c r="R175" s="37">
        <f t="shared" ca="1" si="21"/>
        <v>0</v>
      </c>
      <c r="S175" s="4">
        <f ca="1">IFERROR(AVERAGE($R$5:R175),0)</f>
        <v>0</v>
      </c>
      <c r="U175" s="21">
        <f t="shared" ca="1" si="22"/>
        <v>42400</v>
      </c>
      <c r="V175" s="4">
        <f ca="1">MIN(S175,PREMISSAS!$C$14)</f>
        <v>0</v>
      </c>
      <c r="W175" s="188"/>
      <c r="X175" s="188"/>
    </row>
    <row r="176" spans="2:24" x14ac:dyDescent="0.3">
      <c r="B176" s="21">
        <f t="shared" ca="1" si="23"/>
        <v>49674</v>
      </c>
      <c r="C176" s="22">
        <f ca="1">IF(B176="","",IF(LEFT(B176,2)="13",C175,IF(MONTH(B176)=1,C175*(1+PREMISSAS!$C$58),C175)))</f>
        <v>0</v>
      </c>
      <c r="E176" s="18">
        <v>172</v>
      </c>
      <c r="F176" s="21">
        <f t="shared" ca="1" si="24"/>
        <v>42429</v>
      </c>
      <c r="G176" s="22">
        <f ca="1">IFERROR(VLOOKUP(F176,RESULTADOS!$O$5:$P$543,2,FALSE),VLOOKUP(F176,$B$5:$C$842,2,FALSE))</f>
        <v>0</v>
      </c>
      <c r="H176" s="4">
        <f ca="1">IF(F176&lt;PREMISSAS!$D$7,0,IFERROR(VLOOKUP(IF(LEFT(F176,2)="13",DATE(YEAR(F175),12,31),F176),IPCA!$A:$D,4,FALSE),1)*G176)</f>
        <v>0</v>
      </c>
      <c r="J176" s="21">
        <f t="shared" ca="1" si="18"/>
        <v>42429</v>
      </c>
      <c r="K176" s="4">
        <f t="shared" ca="1" si="19"/>
        <v>0</v>
      </c>
      <c r="M176" s="21">
        <f t="shared" ca="1" si="25"/>
        <v>42429</v>
      </c>
      <c r="N176" s="37">
        <f t="shared" ca="1" si="20"/>
        <v>0</v>
      </c>
      <c r="O176" s="4">
        <f ca="1">IFERROR(AVERAGEIF(N$5:$N176,"&gt;="&amp;_xlfn.PERCENTILE.EXC(N$5:$N176,0.2)),0)</f>
        <v>0</v>
      </c>
      <c r="Q176" s="21">
        <f t="shared" ca="1" si="26"/>
        <v>42429</v>
      </c>
      <c r="R176" s="37">
        <f t="shared" ca="1" si="21"/>
        <v>0</v>
      </c>
      <c r="S176" s="4">
        <f ca="1">IFERROR(AVERAGE($R$5:R176),0)</f>
        <v>0</v>
      </c>
      <c r="U176" s="21">
        <f t="shared" ca="1" si="22"/>
        <v>42429</v>
      </c>
      <c r="V176" s="4">
        <f ca="1">MIN(S176,PREMISSAS!$C$14)</f>
        <v>0</v>
      </c>
      <c r="W176" s="188"/>
      <c r="X176" s="188"/>
    </row>
    <row r="177" spans="2:24" x14ac:dyDescent="0.3">
      <c r="B177" s="21">
        <f t="shared" ca="1" si="23"/>
        <v>49705</v>
      </c>
      <c r="C177" s="22">
        <f ca="1">IF(B177="","",IF(LEFT(B177,2)="13",C176,IF(MONTH(B177)=1,C176*(1+PREMISSAS!$C$58),C176)))</f>
        <v>0</v>
      </c>
      <c r="E177" s="18">
        <v>173</v>
      </c>
      <c r="F177" s="21">
        <f t="shared" ca="1" si="24"/>
        <v>42460</v>
      </c>
      <c r="G177" s="22">
        <f ca="1">IFERROR(VLOOKUP(F177,RESULTADOS!$O$5:$P$543,2,FALSE),VLOOKUP(F177,$B$5:$C$842,2,FALSE))</f>
        <v>0</v>
      </c>
      <c r="H177" s="4">
        <f ca="1">IF(F177&lt;PREMISSAS!$D$7,0,IFERROR(VLOOKUP(IF(LEFT(F177,2)="13",DATE(YEAR(F176),12,31),F177),IPCA!$A:$D,4,FALSE),1)*G177)</f>
        <v>0</v>
      </c>
      <c r="J177" s="21">
        <f t="shared" ca="1" si="18"/>
        <v>42460</v>
      </c>
      <c r="K177" s="4">
        <f t="shared" ca="1" si="19"/>
        <v>0</v>
      </c>
      <c r="M177" s="21">
        <f t="shared" ca="1" si="25"/>
        <v>42460</v>
      </c>
      <c r="N177" s="37">
        <f t="shared" ca="1" si="20"/>
        <v>0</v>
      </c>
      <c r="O177" s="4">
        <f ca="1">IFERROR(AVERAGEIF(N$5:$N177,"&gt;="&amp;_xlfn.PERCENTILE.EXC(N$5:$N177,0.2)),0)</f>
        <v>0</v>
      </c>
      <c r="Q177" s="21">
        <f t="shared" ca="1" si="26"/>
        <v>42460</v>
      </c>
      <c r="R177" s="37">
        <f t="shared" ca="1" si="21"/>
        <v>0</v>
      </c>
      <c r="S177" s="4">
        <f ca="1">IFERROR(AVERAGE($R$5:R177),0)</f>
        <v>0</v>
      </c>
      <c r="U177" s="21">
        <f t="shared" ca="1" si="22"/>
        <v>42460</v>
      </c>
      <c r="V177" s="4">
        <f ca="1">MIN(S177,PREMISSAS!$C$14)</f>
        <v>0</v>
      </c>
      <c r="W177" s="188"/>
      <c r="X177" s="188"/>
    </row>
    <row r="178" spans="2:24" x14ac:dyDescent="0.3">
      <c r="B178" s="21">
        <f t="shared" ca="1" si="23"/>
        <v>49734</v>
      </c>
      <c r="C178" s="22">
        <f ca="1">IF(B178="","",IF(LEFT(B178,2)="13",C177,IF(MONTH(B178)=1,C177*(1+PREMISSAS!$C$58),C177)))</f>
        <v>0</v>
      </c>
      <c r="E178" s="18">
        <v>174</v>
      </c>
      <c r="F178" s="21">
        <f t="shared" ca="1" si="24"/>
        <v>42490</v>
      </c>
      <c r="G178" s="22">
        <f ca="1">IFERROR(VLOOKUP(F178,RESULTADOS!$O$5:$P$543,2,FALSE),VLOOKUP(F178,$B$5:$C$842,2,FALSE))</f>
        <v>0</v>
      </c>
      <c r="H178" s="4">
        <f ca="1">IF(F178&lt;PREMISSAS!$D$7,0,IFERROR(VLOOKUP(IF(LEFT(F178,2)="13",DATE(YEAR(F177),12,31),F178),IPCA!$A:$D,4,FALSE),1)*G178)</f>
        <v>0</v>
      </c>
      <c r="J178" s="21">
        <f t="shared" ca="1" si="18"/>
        <v>42490</v>
      </c>
      <c r="K178" s="4">
        <f t="shared" ca="1" si="19"/>
        <v>0</v>
      </c>
      <c r="M178" s="21">
        <f t="shared" ca="1" si="25"/>
        <v>42490</v>
      </c>
      <c r="N178" s="37">
        <f t="shared" ca="1" si="20"/>
        <v>0</v>
      </c>
      <c r="O178" s="4">
        <f ca="1">IFERROR(AVERAGEIF(N$5:$N178,"&gt;="&amp;_xlfn.PERCENTILE.EXC(N$5:$N178,0.2)),0)</f>
        <v>0</v>
      </c>
      <c r="Q178" s="21">
        <f t="shared" ca="1" si="26"/>
        <v>42490</v>
      </c>
      <c r="R178" s="37">
        <f t="shared" ca="1" si="21"/>
        <v>0</v>
      </c>
      <c r="S178" s="4">
        <f ca="1">IFERROR(AVERAGE($R$5:R178),0)</f>
        <v>0</v>
      </c>
      <c r="U178" s="21">
        <f t="shared" ca="1" si="22"/>
        <v>42490</v>
      </c>
      <c r="V178" s="4">
        <f ca="1">MIN(S178,PREMISSAS!$C$14)</f>
        <v>0</v>
      </c>
      <c r="W178" s="188"/>
      <c r="X178" s="188"/>
    </row>
    <row r="179" spans="2:24" x14ac:dyDescent="0.3">
      <c r="B179" s="21">
        <f t="shared" ca="1" si="23"/>
        <v>49765</v>
      </c>
      <c r="C179" s="22">
        <f ca="1">IF(B179="","",IF(LEFT(B179,2)="13",C178,IF(MONTH(B179)=1,C178*(1+PREMISSAS!$C$58),C178)))</f>
        <v>0</v>
      </c>
      <c r="E179" s="18">
        <v>175</v>
      </c>
      <c r="F179" s="21">
        <f t="shared" ca="1" si="24"/>
        <v>42521</v>
      </c>
      <c r="G179" s="22">
        <f ca="1">IFERROR(VLOOKUP(F179,RESULTADOS!$O$5:$P$543,2,FALSE),VLOOKUP(F179,$B$5:$C$842,2,FALSE))</f>
        <v>0</v>
      </c>
      <c r="H179" s="4">
        <f ca="1">IF(F179&lt;PREMISSAS!$D$7,0,IFERROR(VLOOKUP(IF(LEFT(F179,2)="13",DATE(YEAR(F178),12,31),F179),IPCA!$A:$D,4,FALSE),1)*G179)</f>
        <v>0</v>
      </c>
      <c r="J179" s="21">
        <f t="shared" ca="1" si="18"/>
        <v>42521</v>
      </c>
      <c r="K179" s="4">
        <f t="shared" ca="1" si="19"/>
        <v>0</v>
      </c>
      <c r="M179" s="21">
        <f t="shared" ca="1" si="25"/>
        <v>42521</v>
      </c>
      <c r="N179" s="37">
        <f t="shared" ca="1" si="20"/>
        <v>0</v>
      </c>
      <c r="O179" s="4">
        <f ca="1">IFERROR(AVERAGEIF(N$5:$N179,"&gt;="&amp;_xlfn.PERCENTILE.EXC(N$5:$N179,0.2)),0)</f>
        <v>0</v>
      </c>
      <c r="Q179" s="21">
        <f t="shared" ca="1" si="26"/>
        <v>42521</v>
      </c>
      <c r="R179" s="37">
        <f t="shared" ca="1" si="21"/>
        <v>0</v>
      </c>
      <c r="S179" s="4">
        <f ca="1">IFERROR(AVERAGE($R$5:R179),0)</f>
        <v>0</v>
      </c>
      <c r="U179" s="21">
        <f t="shared" ca="1" si="22"/>
        <v>42521</v>
      </c>
      <c r="V179" s="4">
        <f ca="1">MIN(S179,PREMISSAS!$C$14)</f>
        <v>0</v>
      </c>
      <c r="W179" s="188"/>
      <c r="X179" s="188"/>
    </row>
    <row r="180" spans="2:24" x14ac:dyDescent="0.3">
      <c r="B180" s="21">
        <f t="shared" ca="1" si="23"/>
        <v>49795</v>
      </c>
      <c r="C180" s="22">
        <f ca="1">IF(B180="","",IF(LEFT(B180,2)="13",C179,IF(MONTH(B180)=1,C179*(1+PREMISSAS!$C$58),C179)))</f>
        <v>0</v>
      </c>
      <c r="E180" s="18">
        <v>176</v>
      </c>
      <c r="F180" s="21">
        <f t="shared" ca="1" si="24"/>
        <v>42551</v>
      </c>
      <c r="G180" s="22">
        <f ca="1">IFERROR(VLOOKUP(F180,RESULTADOS!$O$5:$P$543,2,FALSE),VLOOKUP(F180,$B$5:$C$842,2,FALSE))</f>
        <v>0</v>
      </c>
      <c r="H180" s="4">
        <f ca="1">IF(F180&lt;PREMISSAS!$D$7,0,IFERROR(VLOOKUP(IF(LEFT(F180,2)="13",DATE(YEAR(F179),12,31),F180),IPCA!$A:$D,4,FALSE),1)*G180)</f>
        <v>0</v>
      </c>
      <c r="J180" s="21">
        <f t="shared" ca="1" si="18"/>
        <v>42551</v>
      </c>
      <c r="K180" s="4">
        <f t="shared" ca="1" si="19"/>
        <v>0</v>
      </c>
      <c r="M180" s="21">
        <f t="shared" ca="1" si="25"/>
        <v>42551</v>
      </c>
      <c r="N180" s="37">
        <f t="shared" ca="1" si="20"/>
        <v>0</v>
      </c>
      <c r="O180" s="4">
        <f ca="1">IFERROR(AVERAGEIF(N$5:$N180,"&gt;="&amp;_xlfn.PERCENTILE.EXC(N$5:$N180,0.2)),0)</f>
        <v>0</v>
      </c>
      <c r="Q180" s="21">
        <f t="shared" ca="1" si="26"/>
        <v>42551</v>
      </c>
      <c r="R180" s="37">
        <f t="shared" ca="1" si="21"/>
        <v>0</v>
      </c>
      <c r="S180" s="4">
        <f ca="1">IFERROR(AVERAGE($R$5:R180),0)</f>
        <v>0</v>
      </c>
      <c r="U180" s="21">
        <f t="shared" ca="1" si="22"/>
        <v>42551</v>
      </c>
      <c r="V180" s="4">
        <f ca="1">MIN(S180,PREMISSAS!$C$14)</f>
        <v>0</v>
      </c>
      <c r="W180" s="188"/>
      <c r="X180" s="188"/>
    </row>
    <row r="181" spans="2:24" x14ac:dyDescent="0.3">
      <c r="B181" s="21">
        <f t="shared" ca="1" si="23"/>
        <v>49826</v>
      </c>
      <c r="C181" s="22">
        <f ca="1">IF(B181="","",IF(LEFT(B181,2)="13",C180,IF(MONTH(B181)=1,C180*(1+PREMISSAS!$C$58),C180)))</f>
        <v>0</v>
      </c>
      <c r="E181" s="18">
        <v>177</v>
      </c>
      <c r="F181" s="21">
        <f t="shared" ca="1" si="24"/>
        <v>42582</v>
      </c>
      <c r="G181" s="22">
        <f ca="1">IFERROR(VLOOKUP(F181,RESULTADOS!$O$5:$P$543,2,FALSE),VLOOKUP(F181,$B$5:$C$842,2,FALSE))</f>
        <v>0</v>
      </c>
      <c r="H181" s="4">
        <f ca="1">IF(F181&lt;PREMISSAS!$D$7,0,IFERROR(VLOOKUP(IF(LEFT(F181,2)="13",DATE(YEAR(F180),12,31),F181),IPCA!$A:$D,4,FALSE),1)*G181)</f>
        <v>0</v>
      </c>
      <c r="J181" s="21">
        <f t="shared" ca="1" si="18"/>
        <v>42582</v>
      </c>
      <c r="K181" s="4">
        <f t="shared" ca="1" si="19"/>
        <v>0</v>
      </c>
      <c r="M181" s="21">
        <f t="shared" ca="1" si="25"/>
        <v>42582</v>
      </c>
      <c r="N181" s="37">
        <f t="shared" ca="1" si="20"/>
        <v>0</v>
      </c>
      <c r="O181" s="4">
        <f ca="1">IFERROR(AVERAGEIF(N$5:$N181,"&gt;="&amp;_xlfn.PERCENTILE.EXC(N$5:$N181,0.2)),0)</f>
        <v>0</v>
      </c>
      <c r="Q181" s="21">
        <f t="shared" ca="1" si="26"/>
        <v>42582</v>
      </c>
      <c r="R181" s="37">
        <f t="shared" ca="1" si="21"/>
        <v>0</v>
      </c>
      <c r="S181" s="4">
        <f ca="1">IFERROR(AVERAGE($R$5:R181),0)</f>
        <v>0</v>
      </c>
      <c r="U181" s="21">
        <f t="shared" ca="1" si="22"/>
        <v>42582</v>
      </c>
      <c r="V181" s="4">
        <f ca="1">MIN(S181,PREMISSAS!$C$14)</f>
        <v>0</v>
      </c>
      <c r="W181" s="188"/>
      <c r="X181" s="188"/>
    </row>
    <row r="182" spans="2:24" x14ac:dyDescent="0.3">
      <c r="B182" s="21">
        <f t="shared" ca="1" si="23"/>
        <v>49856</v>
      </c>
      <c r="C182" s="22">
        <f ca="1">IF(B182="","",IF(LEFT(B182,2)="13",C181,IF(MONTH(B182)=1,C181*(1+PREMISSAS!$C$58),C181)))</f>
        <v>0</v>
      </c>
      <c r="E182" s="18">
        <v>178</v>
      </c>
      <c r="F182" s="21">
        <f t="shared" ca="1" si="24"/>
        <v>42613</v>
      </c>
      <c r="G182" s="22">
        <f ca="1">IFERROR(VLOOKUP(F182,RESULTADOS!$O$5:$P$543,2,FALSE),VLOOKUP(F182,$B$5:$C$842,2,FALSE))</f>
        <v>0</v>
      </c>
      <c r="H182" s="4">
        <f ca="1">IF(F182&lt;PREMISSAS!$D$7,0,IFERROR(VLOOKUP(IF(LEFT(F182,2)="13",DATE(YEAR(F181),12,31),F182),IPCA!$A:$D,4,FALSE),1)*G182)</f>
        <v>0</v>
      </c>
      <c r="J182" s="21">
        <f t="shared" ca="1" si="18"/>
        <v>42613</v>
      </c>
      <c r="K182" s="4">
        <f t="shared" ca="1" si="19"/>
        <v>0</v>
      </c>
      <c r="M182" s="21">
        <f t="shared" ca="1" si="25"/>
        <v>42613</v>
      </c>
      <c r="N182" s="37">
        <f t="shared" ca="1" si="20"/>
        <v>0</v>
      </c>
      <c r="O182" s="4">
        <f ca="1">IFERROR(AVERAGEIF(N$5:$N182,"&gt;="&amp;_xlfn.PERCENTILE.EXC(N$5:$N182,0.2)),0)</f>
        <v>0</v>
      </c>
      <c r="Q182" s="21">
        <f t="shared" ca="1" si="26"/>
        <v>42613</v>
      </c>
      <c r="R182" s="37">
        <f t="shared" ca="1" si="21"/>
        <v>0</v>
      </c>
      <c r="S182" s="4">
        <f ca="1">IFERROR(AVERAGE($R$5:R182),0)</f>
        <v>0</v>
      </c>
      <c r="U182" s="21">
        <f t="shared" ca="1" si="22"/>
        <v>42613</v>
      </c>
      <c r="V182" s="4">
        <f ca="1">MIN(S182,PREMISSAS!$C$14)</f>
        <v>0</v>
      </c>
      <c r="W182" s="188"/>
      <c r="X182" s="188"/>
    </row>
    <row r="183" spans="2:24" x14ac:dyDescent="0.3">
      <c r="B183" s="21">
        <f t="shared" ca="1" si="23"/>
        <v>49887</v>
      </c>
      <c r="C183" s="22">
        <f ca="1">IF(B183="","",IF(LEFT(B183,2)="13",C182,IF(MONTH(B183)=1,C182*(1+PREMISSAS!$C$58),C182)))</f>
        <v>0</v>
      </c>
      <c r="E183" s="18">
        <v>179</v>
      </c>
      <c r="F183" s="21">
        <f t="shared" ca="1" si="24"/>
        <v>42643</v>
      </c>
      <c r="G183" s="22">
        <f ca="1">IFERROR(VLOOKUP(F183,RESULTADOS!$O$5:$P$543,2,FALSE),VLOOKUP(F183,$B$5:$C$842,2,FALSE))</f>
        <v>0</v>
      </c>
      <c r="H183" s="4">
        <f ca="1">IF(F183&lt;PREMISSAS!$D$7,0,IFERROR(VLOOKUP(IF(LEFT(F183,2)="13",DATE(YEAR(F182),12,31),F183),IPCA!$A:$D,4,FALSE),1)*G183)</f>
        <v>0</v>
      </c>
      <c r="J183" s="21">
        <f t="shared" ca="1" si="18"/>
        <v>42643</v>
      </c>
      <c r="K183" s="4">
        <f t="shared" ca="1" si="19"/>
        <v>0</v>
      </c>
      <c r="M183" s="21">
        <f t="shared" ca="1" si="25"/>
        <v>42643</v>
      </c>
      <c r="N183" s="37">
        <f t="shared" ca="1" si="20"/>
        <v>0</v>
      </c>
      <c r="O183" s="4">
        <f ca="1">IFERROR(AVERAGEIF(N$5:$N183,"&gt;="&amp;_xlfn.PERCENTILE.EXC(N$5:$N183,0.2)),0)</f>
        <v>0</v>
      </c>
      <c r="Q183" s="21">
        <f t="shared" ca="1" si="26"/>
        <v>42643</v>
      </c>
      <c r="R183" s="37">
        <f t="shared" ca="1" si="21"/>
        <v>0</v>
      </c>
      <c r="S183" s="4">
        <f ca="1">IFERROR(AVERAGE($R$5:R183),0)</f>
        <v>0</v>
      </c>
      <c r="U183" s="21">
        <f t="shared" ca="1" si="22"/>
        <v>42643</v>
      </c>
      <c r="V183" s="4">
        <f ca="1">MIN(S183,PREMISSAS!$C$14)</f>
        <v>0</v>
      </c>
      <c r="W183" s="188"/>
      <c r="X183" s="188"/>
    </row>
    <row r="184" spans="2:24" x14ac:dyDescent="0.3">
      <c r="B184" s="21">
        <f t="shared" ca="1" si="23"/>
        <v>49918</v>
      </c>
      <c r="C184" s="22">
        <f ca="1">IF(B184="","",IF(LEFT(B184,2)="13",C183,IF(MONTH(B184)=1,C183*(1+PREMISSAS!$C$58),C183)))</f>
        <v>0</v>
      </c>
      <c r="E184" s="18">
        <v>180</v>
      </c>
      <c r="F184" s="21">
        <f t="shared" ca="1" si="24"/>
        <v>42674</v>
      </c>
      <c r="G184" s="22">
        <f ca="1">IFERROR(VLOOKUP(F184,RESULTADOS!$O$5:$P$543,2,FALSE),VLOOKUP(F184,$B$5:$C$842,2,FALSE))</f>
        <v>0</v>
      </c>
      <c r="H184" s="4">
        <f ca="1">IF(F184&lt;PREMISSAS!$D$7,0,IFERROR(VLOOKUP(IF(LEFT(F184,2)="13",DATE(YEAR(F183),12,31),F184),IPCA!$A:$D,4,FALSE),1)*G184)</f>
        <v>0</v>
      </c>
      <c r="J184" s="21">
        <f t="shared" ca="1" si="18"/>
        <v>42674</v>
      </c>
      <c r="K184" s="4">
        <f t="shared" ca="1" si="19"/>
        <v>0</v>
      </c>
      <c r="M184" s="21">
        <f t="shared" ca="1" si="25"/>
        <v>42674</v>
      </c>
      <c r="N184" s="37">
        <f t="shared" ca="1" si="20"/>
        <v>0</v>
      </c>
      <c r="O184" s="4">
        <f ca="1">IFERROR(AVERAGEIF(N$5:$N184,"&gt;="&amp;_xlfn.PERCENTILE.EXC(N$5:$N184,0.2)),0)</f>
        <v>0</v>
      </c>
      <c r="Q184" s="21">
        <f t="shared" ca="1" si="26"/>
        <v>42674</v>
      </c>
      <c r="R184" s="37">
        <f t="shared" ca="1" si="21"/>
        <v>0</v>
      </c>
      <c r="S184" s="4">
        <f ca="1">IFERROR(AVERAGE($R$5:R184),0)</f>
        <v>0</v>
      </c>
      <c r="U184" s="21">
        <f t="shared" ca="1" si="22"/>
        <v>42674</v>
      </c>
      <c r="V184" s="4">
        <f ca="1">MIN(S184,PREMISSAS!$C$14)</f>
        <v>0</v>
      </c>
      <c r="W184" s="188"/>
      <c r="X184" s="188"/>
    </row>
    <row r="185" spans="2:24" x14ac:dyDescent="0.3">
      <c r="B185" s="21">
        <f t="shared" ca="1" si="23"/>
        <v>49948</v>
      </c>
      <c r="C185" s="22">
        <f ca="1">IF(B185="","",IF(LEFT(B185,2)="13",C184,IF(MONTH(B185)=1,C184*(1+PREMISSAS!$C$58),C184)))</f>
        <v>0</v>
      </c>
      <c r="E185" s="18">
        <v>181</v>
      </c>
      <c r="F185" s="21">
        <f t="shared" ca="1" si="24"/>
        <v>42704</v>
      </c>
      <c r="G185" s="22">
        <f ca="1">IFERROR(VLOOKUP(F185,RESULTADOS!$O$5:$P$543,2,FALSE),VLOOKUP(F185,$B$5:$C$842,2,FALSE))</f>
        <v>0</v>
      </c>
      <c r="H185" s="4">
        <f ca="1">IF(F185&lt;PREMISSAS!$D$7,0,IFERROR(VLOOKUP(IF(LEFT(F185,2)="13",DATE(YEAR(F184),12,31),F185),IPCA!$A:$D,4,FALSE),1)*G185)</f>
        <v>0</v>
      </c>
      <c r="J185" s="21">
        <f t="shared" ca="1" si="18"/>
        <v>42704</v>
      </c>
      <c r="K185" s="4">
        <f t="shared" ca="1" si="19"/>
        <v>0</v>
      </c>
      <c r="M185" s="21">
        <f t="shared" ca="1" si="25"/>
        <v>42704</v>
      </c>
      <c r="N185" s="37">
        <f t="shared" ca="1" si="20"/>
        <v>0</v>
      </c>
      <c r="O185" s="4">
        <f ca="1">IFERROR(AVERAGEIF(N$5:$N185,"&gt;="&amp;_xlfn.PERCENTILE.EXC(N$5:$N185,0.2)),0)</f>
        <v>0</v>
      </c>
      <c r="Q185" s="21">
        <f t="shared" ca="1" si="26"/>
        <v>42704</v>
      </c>
      <c r="R185" s="37">
        <f t="shared" ca="1" si="21"/>
        <v>0</v>
      </c>
      <c r="S185" s="4">
        <f ca="1">IFERROR(AVERAGE($R$5:R185),0)</f>
        <v>0</v>
      </c>
      <c r="U185" s="21">
        <f t="shared" ca="1" si="22"/>
        <v>42704</v>
      </c>
      <c r="V185" s="4">
        <f ca="1">MIN(S185,PREMISSAS!$C$14)</f>
        <v>0</v>
      </c>
      <c r="W185" s="188"/>
      <c r="X185" s="188"/>
    </row>
    <row r="186" spans="2:24" x14ac:dyDescent="0.3">
      <c r="B186" s="21">
        <f t="shared" ca="1" si="23"/>
        <v>49979</v>
      </c>
      <c r="C186" s="22">
        <f ca="1">IF(B186="","",IF(LEFT(B186,2)="13",C185,IF(MONTH(B186)=1,C185*(1+PREMISSAS!$C$58),C185)))</f>
        <v>0</v>
      </c>
      <c r="E186" s="18">
        <v>182</v>
      </c>
      <c r="F186" s="21" t="str">
        <f t="shared" ca="1" si="24"/>
        <v>13º 2016</v>
      </c>
      <c r="G186" s="22">
        <f ca="1">IFERROR(VLOOKUP(F186,RESULTADOS!$O$5:$P$543,2,FALSE),VLOOKUP(F186,$B$5:$C$842,2,FALSE))</f>
        <v>0</v>
      </c>
      <c r="H186" s="4">
        <f ca="1">IF(F186&lt;PREMISSAS!$D$7,0,IFERROR(VLOOKUP(IF(LEFT(F186,2)="13",DATE(YEAR(F185),12,31),F186),IPCA!$A:$D,4,FALSE),1)*G186)</f>
        <v>0</v>
      </c>
      <c r="J186" s="21" t="str">
        <f t="shared" ca="1" si="18"/>
        <v>13º 2016</v>
      </c>
      <c r="K186" s="4">
        <f t="shared" ca="1" si="19"/>
        <v>0</v>
      </c>
      <c r="M186" s="21" t="str">
        <f t="shared" ca="1" si="25"/>
        <v>13º 2016</v>
      </c>
      <c r="N186" s="37">
        <f t="shared" ca="1" si="20"/>
        <v>0</v>
      </c>
      <c r="O186" s="4">
        <f ca="1">IFERROR(AVERAGEIF(N$5:$N186,"&gt;="&amp;_xlfn.PERCENTILE.EXC(N$5:$N186,0.2)),0)</f>
        <v>0</v>
      </c>
      <c r="Q186" s="21" t="str">
        <f t="shared" ca="1" si="26"/>
        <v>13º 2016</v>
      </c>
      <c r="R186" s="37">
        <f t="shared" ca="1" si="21"/>
        <v>0</v>
      </c>
      <c r="S186" s="4">
        <f ca="1">IFERROR(AVERAGE($R$5:R186),0)</f>
        <v>0</v>
      </c>
      <c r="U186" s="21" t="str">
        <f t="shared" ca="1" si="22"/>
        <v>13º 2016</v>
      </c>
      <c r="V186" s="4">
        <f ca="1">MIN(S186,PREMISSAS!$C$14)</f>
        <v>0</v>
      </c>
      <c r="W186" s="188"/>
      <c r="X186" s="188"/>
    </row>
    <row r="187" spans="2:24" x14ac:dyDescent="0.3">
      <c r="B187" s="21">
        <f t="shared" ca="1" si="23"/>
        <v>50009</v>
      </c>
      <c r="C187" s="22">
        <f ca="1">IF(B187="","",IF(LEFT(B187,2)="13",C186,IF(MONTH(B187)=1,C186*(1+PREMISSAS!$C$58),C186)))</f>
        <v>0</v>
      </c>
      <c r="E187" s="18">
        <v>183</v>
      </c>
      <c r="F187" s="21">
        <f t="shared" ca="1" si="24"/>
        <v>42735</v>
      </c>
      <c r="G187" s="22">
        <f ca="1">IFERROR(VLOOKUP(F187,RESULTADOS!$O$5:$P$543,2,FALSE),VLOOKUP(F187,$B$5:$C$842,2,FALSE))</f>
        <v>0</v>
      </c>
      <c r="H187" s="4">
        <f ca="1">IF(F187&lt;PREMISSAS!$D$7,0,IFERROR(VLOOKUP(IF(LEFT(F187,2)="13",DATE(YEAR(F186),12,31),F187),IPCA!$A:$D,4,FALSE),1)*G187)</f>
        <v>0</v>
      </c>
      <c r="J187" s="21">
        <f t="shared" ca="1" si="18"/>
        <v>42735</v>
      </c>
      <c r="K187" s="4">
        <f t="shared" ca="1" si="19"/>
        <v>0</v>
      </c>
      <c r="M187" s="21">
        <f t="shared" ca="1" si="25"/>
        <v>42735</v>
      </c>
      <c r="N187" s="37">
        <f t="shared" ca="1" si="20"/>
        <v>0</v>
      </c>
      <c r="O187" s="4">
        <f ca="1">IFERROR(AVERAGEIF(N$5:$N187,"&gt;="&amp;_xlfn.PERCENTILE.EXC(N$5:$N187,0.2)),0)</f>
        <v>0</v>
      </c>
      <c r="Q187" s="21">
        <f t="shared" ca="1" si="26"/>
        <v>42735</v>
      </c>
      <c r="R187" s="37">
        <f t="shared" ca="1" si="21"/>
        <v>0</v>
      </c>
      <c r="S187" s="4">
        <f ca="1">IFERROR(AVERAGE($R$5:R187),0)</f>
        <v>0</v>
      </c>
      <c r="U187" s="21">
        <f t="shared" ca="1" si="22"/>
        <v>42735</v>
      </c>
      <c r="V187" s="4">
        <f ca="1">MIN(S187,PREMISSAS!$C$14)</f>
        <v>0</v>
      </c>
      <c r="W187" s="188"/>
      <c r="X187" s="188"/>
    </row>
    <row r="188" spans="2:24" x14ac:dyDescent="0.3">
      <c r="B188" s="21" t="str">
        <f t="shared" ca="1" si="23"/>
        <v>13º 2036</v>
      </c>
      <c r="C188" s="22">
        <f ca="1">IF(B188="","",IF(LEFT(B188,2)="13",C187,IF(MONTH(B188)=1,C187*(1+PREMISSAS!$C$58),C187)))</f>
        <v>0</v>
      </c>
      <c r="E188" s="18">
        <v>184</v>
      </c>
      <c r="F188" s="21">
        <f t="shared" ca="1" si="24"/>
        <v>42766</v>
      </c>
      <c r="G188" s="22">
        <f ca="1">IFERROR(VLOOKUP(F188,RESULTADOS!$O$5:$P$543,2,FALSE),VLOOKUP(F188,$B$5:$C$842,2,FALSE))</f>
        <v>0</v>
      </c>
      <c r="H188" s="4">
        <f ca="1">IF(F188&lt;PREMISSAS!$D$7,0,IFERROR(VLOOKUP(IF(LEFT(F188,2)="13",DATE(YEAR(F187),12,31),F188),IPCA!$A:$D,4,FALSE),1)*G188)</f>
        <v>0</v>
      </c>
      <c r="J188" s="21">
        <f t="shared" ca="1" si="18"/>
        <v>42766</v>
      </c>
      <c r="K188" s="4">
        <f t="shared" ca="1" si="19"/>
        <v>0</v>
      </c>
      <c r="M188" s="21">
        <f t="shared" ca="1" si="25"/>
        <v>42766</v>
      </c>
      <c r="N188" s="37">
        <f t="shared" ca="1" si="20"/>
        <v>0</v>
      </c>
      <c r="O188" s="4">
        <f ca="1">IFERROR(AVERAGEIF(N$5:$N188,"&gt;="&amp;_xlfn.PERCENTILE.EXC(N$5:$N188,0.2)),0)</f>
        <v>0</v>
      </c>
      <c r="Q188" s="21">
        <f t="shared" ca="1" si="26"/>
        <v>42766</v>
      </c>
      <c r="R188" s="37">
        <f t="shared" ca="1" si="21"/>
        <v>0</v>
      </c>
      <c r="S188" s="4">
        <f ca="1">IFERROR(AVERAGE($R$5:R188),0)</f>
        <v>0</v>
      </c>
      <c r="U188" s="21">
        <f t="shared" ca="1" si="22"/>
        <v>42766</v>
      </c>
      <c r="V188" s="4">
        <f ca="1">MIN(S188,PREMISSAS!$C$14)</f>
        <v>0</v>
      </c>
      <c r="W188" s="188"/>
      <c r="X188" s="188"/>
    </row>
    <row r="189" spans="2:24" x14ac:dyDescent="0.3">
      <c r="B189" s="21">
        <f t="shared" ca="1" si="23"/>
        <v>50040</v>
      </c>
      <c r="C189" s="22">
        <f ca="1">IF(B189="","",IF(LEFT(B189,2)="13",C188,IF(MONTH(B189)=1,C188*(1+PREMISSAS!$C$58),C188)))</f>
        <v>0</v>
      </c>
      <c r="E189" s="18">
        <v>185</v>
      </c>
      <c r="F189" s="21">
        <f t="shared" ca="1" si="24"/>
        <v>42794</v>
      </c>
      <c r="G189" s="22">
        <f ca="1">IFERROR(VLOOKUP(F189,RESULTADOS!$O$5:$P$543,2,FALSE),VLOOKUP(F189,$B$5:$C$842,2,FALSE))</f>
        <v>0</v>
      </c>
      <c r="H189" s="4">
        <f ca="1">IF(F189&lt;PREMISSAS!$D$7,0,IFERROR(VLOOKUP(IF(LEFT(F189,2)="13",DATE(YEAR(F188),12,31),F189),IPCA!$A:$D,4,FALSE),1)*G189)</f>
        <v>0</v>
      </c>
      <c r="J189" s="21">
        <f t="shared" ca="1" si="18"/>
        <v>42794</v>
      </c>
      <c r="K189" s="4">
        <f t="shared" ca="1" si="19"/>
        <v>0</v>
      </c>
      <c r="M189" s="21">
        <f t="shared" ca="1" si="25"/>
        <v>42794</v>
      </c>
      <c r="N189" s="37">
        <f t="shared" ca="1" si="20"/>
        <v>0</v>
      </c>
      <c r="O189" s="4">
        <f ca="1">IFERROR(AVERAGEIF(N$5:$N189,"&gt;="&amp;_xlfn.PERCENTILE.EXC(N$5:$N189,0.2)),0)</f>
        <v>0</v>
      </c>
      <c r="Q189" s="21">
        <f t="shared" ca="1" si="26"/>
        <v>42794</v>
      </c>
      <c r="R189" s="37">
        <f t="shared" ca="1" si="21"/>
        <v>0</v>
      </c>
      <c r="S189" s="4">
        <f ca="1">IFERROR(AVERAGE($R$5:R189),0)</f>
        <v>0</v>
      </c>
      <c r="U189" s="21">
        <f t="shared" ca="1" si="22"/>
        <v>42794</v>
      </c>
      <c r="V189" s="4">
        <f ca="1">MIN(S189,PREMISSAS!$C$14)</f>
        <v>0</v>
      </c>
      <c r="W189" s="188"/>
      <c r="X189" s="188"/>
    </row>
    <row r="190" spans="2:24" x14ac:dyDescent="0.3">
      <c r="B190" s="21">
        <f t="shared" ca="1" si="23"/>
        <v>50071</v>
      </c>
      <c r="C190" s="22">
        <f ca="1">IF(B190="","",IF(LEFT(B190,2)="13",C189,IF(MONTH(B190)=1,C189*(1+PREMISSAS!$C$58),C189)))</f>
        <v>0</v>
      </c>
      <c r="E190" s="18">
        <v>186</v>
      </c>
      <c r="F190" s="21">
        <f t="shared" ca="1" si="24"/>
        <v>42825</v>
      </c>
      <c r="G190" s="22">
        <f ca="1">IFERROR(VLOOKUP(F190,RESULTADOS!$O$5:$P$543,2,FALSE),VLOOKUP(F190,$B$5:$C$842,2,FALSE))</f>
        <v>0</v>
      </c>
      <c r="H190" s="4">
        <f ca="1">IF(F190&lt;PREMISSAS!$D$7,0,IFERROR(VLOOKUP(IF(LEFT(F190,2)="13",DATE(YEAR(F189),12,31),F190),IPCA!$A:$D,4,FALSE),1)*G190)</f>
        <v>0</v>
      </c>
      <c r="J190" s="21">
        <f t="shared" ca="1" si="18"/>
        <v>42825</v>
      </c>
      <c r="K190" s="4">
        <f t="shared" ca="1" si="19"/>
        <v>0</v>
      </c>
      <c r="M190" s="21">
        <f t="shared" ca="1" si="25"/>
        <v>42825</v>
      </c>
      <c r="N190" s="37">
        <f t="shared" ca="1" si="20"/>
        <v>0</v>
      </c>
      <c r="O190" s="4">
        <f ca="1">IFERROR(AVERAGEIF(N$5:$N190,"&gt;="&amp;_xlfn.PERCENTILE.EXC(N$5:$N190,0.2)),0)</f>
        <v>0</v>
      </c>
      <c r="Q190" s="21">
        <f t="shared" ca="1" si="26"/>
        <v>42825</v>
      </c>
      <c r="R190" s="37">
        <f t="shared" ca="1" si="21"/>
        <v>0</v>
      </c>
      <c r="S190" s="4">
        <f ca="1">IFERROR(AVERAGE($R$5:R190),0)</f>
        <v>0</v>
      </c>
      <c r="U190" s="21">
        <f t="shared" ca="1" si="22"/>
        <v>42825</v>
      </c>
      <c r="V190" s="4">
        <f ca="1">MIN(S190,PREMISSAS!$C$14)</f>
        <v>0</v>
      </c>
      <c r="W190" s="188"/>
      <c r="X190" s="188"/>
    </row>
    <row r="191" spans="2:24" x14ac:dyDescent="0.3">
      <c r="B191" s="21">
        <f t="shared" ca="1" si="23"/>
        <v>50099</v>
      </c>
      <c r="C191" s="22">
        <f ca="1">IF(B191="","",IF(LEFT(B191,2)="13",C190,IF(MONTH(B191)=1,C190*(1+PREMISSAS!$C$58),C190)))</f>
        <v>0</v>
      </c>
      <c r="E191" s="18">
        <v>187</v>
      </c>
      <c r="F191" s="21">
        <f t="shared" ca="1" si="24"/>
        <v>42855</v>
      </c>
      <c r="G191" s="22">
        <f ca="1">IFERROR(VLOOKUP(F191,RESULTADOS!$O$5:$P$543,2,FALSE),VLOOKUP(F191,$B$5:$C$842,2,FALSE))</f>
        <v>0</v>
      </c>
      <c r="H191" s="4">
        <f ca="1">IF(F191&lt;PREMISSAS!$D$7,0,IFERROR(VLOOKUP(IF(LEFT(F191,2)="13",DATE(YEAR(F190),12,31),F191),IPCA!$A:$D,4,FALSE),1)*G191)</f>
        <v>0</v>
      </c>
      <c r="J191" s="21">
        <f t="shared" ca="1" si="18"/>
        <v>42855</v>
      </c>
      <c r="K191" s="4">
        <f t="shared" ca="1" si="19"/>
        <v>0</v>
      </c>
      <c r="M191" s="21">
        <f t="shared" ca="1" si="25"/>
        <v>42855</v>
      </c>
      <c r="N191" s="37">
        <f t="shared" ca="1" si="20"/>
        <v>0</v>
      </c>
      <c r="O191" s="4">
        <f ca="1">IFERROR(AVERAGEIF(N$5:$N191,"&gt;="&amp;_xlfn.PERCENTILE.EXC(N$5:$N191,0.2)),0)</f>
        <v>0</v>
      </c>
      <c r="Q191" s="21">
        <f t="shared" ca="1" si="26"/>
        <v>42855</v>
      </c>
      <c r="R191" s="37">
        <f t="shared" ca="1" si="21"/>
        <v>0</v>
      </c>
      <c r="S191" s="4">
        <f ca="1">IFERROR(AVERAGE($R$5:R191),0)</f>
        <v>0</v>
      </c>
      <c r="U191" s="21">
        <f t="shared" ca="1" si="22"/>
        <v>42855</v>
      </c>
      <c r="V191" s="4">
        <f ca="1">MIN(S191,PREMISSAS!$C$14)</f>
        <v>0</v>
      </c>
      <c r="W191" s="188"/>
      <c r="X191" s="188"/>
    </row>
    <row r="192" spans="2:24" x14ac:dyDescent="0.3">
      <c r="B192" s="21">
        <f t="shared" ca="1" si="23"/>
        <v>50130</v>
      </c>
      <c r="C192" s="22">
        <f ca="1">IF(B192="","",IF(LEFT(B192,2)="13",C191,IF(MONTH(B192)=1,C191*(1+PREMISSAS!$C$58),C191)))</f>
        <v>0</v>
      </c>
      <c r="E192" s="18">
        <v>188</v>
      </c>
      <c r="F192" s="21">
        <f t="shared" ca="1" si="24"/>
        <v>42886</v>
      </c>
      <c r="G192" s="22">
        <f ca="1">IFERROR(VLOOKUP(F192,RESULTADOS!$O$5:$P$543,2,FALSE),VLOOKUP(F192,$B$5:$C$842,2,FALSE))</f>
        <v>0</v>
      </c>
      <c r="H192" s="4">
        <f ca="1">IF(F192&lt;PREMISSAS!$D$7,0,IFERROR(VLOOKUP(IF(LEFT(F192,2)="13",DATE(YEAR(F191),12,31),F192),IPCA!$A:$D,4,FALSE),1)*G192)</f>
        <v>0</v>
      </c>
      <c r="J192" s="21">
        <f t="shared" ca="1" si="18"/>
        <v>42886</v>
      </c>
      <c r="K192" s="4">
        <f t="shared" ca="1" si="19"/>
        <v>0</v>
      </c>
      <c r="M192" s="21">
        <f t="shared" ca="1" si="25"/>
        <v>42886</v>
      </c>
      <c r="N192" s="37">
        <f t="shared" ca="1" si="20"/>
        <v>0</v>
      </c>
      <c r="O192" s="4">
        <f ca="1">IFERROR(AVERAGEIF(N$5:$N192,"&gt;="&amp;_xlfn.PERCENTILE.EXC(N$5:$N192,0.2)),0)</f>
        <v>0</v>
      </c>
      <c r="Q192" s="21">
        <f t="shared" ca="1" si="26"/>
        <v>42886</v>
      </c>
      <c r="R192" s="37">
        <f t="shared" ca="1" si="21"/>
        <v>0</v>
      </c>
      <c r="S192" s="4">
        <f ca="1">IFERROR(AVERAGE($R$5:R192),0)</f>
        <v>0</v>
      </c>
      <c r="U192" s="21">
        <f t="shared" ca="1" si="22"/>
        <v>42886</v>
      </c>
      <c r="V192" s="4">
        <f ca="1">MIN(S192,PREMISSAS!$C$14)</f>
        <v>0</v>
      </c>
      <c r="W192" s="188"/>
      <c r="X192" s="188"/>
    </row>
    <row r="193" spans="2:24" x14ac:dyDescent="0.3">
      <c r="B193" s="21">
        <f t="shared" ca="1" si="23"/>
        <v>50160</v>
      </c>
      <c r="C193" s="22">
        <f ca="1">IF(B193="","",IF(LEFT(B193,2)="13",C192,IF(MONTH(B193)=1,C192*(1+PREMISSAS!$C$58),C192)))</f>
        <v>0</v>
      </c>
      <c r="E193" s="18">
        <v>189</v>
      </c>
      <c r="F193" s="21">
        <f t="shared" ca="1" si="24"/>
        <v>42916</v>
      </c>
      <c r="G193" s="22">
        <f ca="1">IFERROR(VLOOKUP(F193,RESULTADOS!$O$5:$P$543,2,FALSE),VLOOKUP(F193,$B$5:$C$842,2,FALSE))</f>
        <v>0</v>
      </c>
      <c r="H193" s="4">
        <f ca="1">IF(F193&lt;PREMISSAS!$D$7,0,IFERROR(VLOOKUP(IF(LEFT(F193,2)="13",DATE(YEAR(F192),12,31),F193),IPCA!$A:$D,4,FALSE),1)*G193)</f>
        <v>0</v>
      </c>
      <c r="J193" s="21">
        <f t="shared" ca="1" si="18"/>
        <v>42916</v>
      </c>
      <c r="K193" s="4">
        <f t="shared" ca="1" si="19"/>
        <v>0</v>
      </c>
      <c r="M193" s="21">
        <f t="shared" ca="1" si="25"/>
        <v>42916</v>
      </c>
      <c r="N193" s="37">
        <f t="shared" ca="1" si="20"/>
        <v>0</v>
      </c>
      <c r="O193" s="4">
        <f ca="1">IFERROR(AVERAGEIF(N$5:$N193,"&gt;="&amp;_xlfn.PERCENTILE.EXC(N$5:$N193,0.2)),0)</f>
        <v>0</v>
      </c>
      <c r="Q193" s="21">
        <f t="shared" ca="1" si="26"/>
        <v>42916</v>
      </c>
      <c r="R193" s="37">
        <f t="shared" ca="1" si="21"/>
        <v>0</v>
      </c>
      <c r="S193" s="4">
        <f ca="1">IFERROR(AVERAGE($R$5:R193),0)</f>
        <v>0</v>
      </c>
      <c r="U193" s="21">
        <f t="shared" ca="1" si="22"/>
        <v>42916</v>
      </c>
      <c r="V193" s="4">
        <f ca="1">MIN(S193,PREMISSAS!$C$14)</f>
        <v>0</v>
      </c>
      <c r="W193" s="188"/>
      <c r="X193" s="188"/>
    </row>
    <row r="194" spans="2:24" x14ac:dyDescent="0.3">
      <c r="B194" s="21">
        <f t="shared" ca="1" si="23"/>
        <v>50191</v>
      </c>
      <c r="C194" s="22">
        <f ca="1">IF(B194="","",IF(LEFT(B194,2)="13",C193,IF(MONTH(B194)=1,C193*(1+PREMISSAS!$C$58),C193)))</f>
        <v>0</v>
      </c>
      <c r="E194" s="18">
        <v>190</v>
      </c>
      <c r="F194" s="21">
        <f t="shared" ca="1" si="24"/>
        <v>42947</v>
      </c>
      <c r="G194" s="22">
        <f ca="1">IFERROR(VLOOKUP(F194,RESULTADOS!$O$5:$P$543,2,FALSE),VLOOKUP(F194,$B$5:$C$842,2,FALSE))</f>
        <v>0</v>
      </c>
      <c r="H194" s="4">
        <f ca="1">IF(F194&lt;PREMISSAS!$D$7,0,IFERROR(VLOOKUP(IF(LEFT(F194,2)="13",DATE(YEAR(F193),12,31),F194),IPCA!$A:$D,4,FALSE),1)*G194)</f>
        <v>0</v>
      </c>
      <c r="J194" s="21">
        <f t="shared" ca="1" si="18"/>
        <v>42947</v>
      </c>
      <c r="K194" s="4">
        <f t="shared" ca="1" si="19"/>
        <v>0</v>
      </c>
      <c r="M194" s="21">
        <f t="shared" ca="1" si="25"/>
        <v>42947</v>
      </c>
      <c r="N194" s="37">
        <f t="shared" ca="1" si="20"/>
        <v>0</v>
      </c>
      <c r="O194" s="4">
        <f ca="1">IFERROR(AVERAGEIF(N$5:$N194,"&gt;="&amp;_xlfn.PERCENTILE.EXC(N$5:$N194,0.2)),0)</f>
        <v>0</v>
      </c>
      <c r="Q194" s="21">
        <f t="shared" ca="1" si="26"/>
        <v>42947</v>
      </c>
      <c r="R194" s="37">
        <f t="shared" ca="1" si="21"/>
        <v>0</v>
      </c>
      <c r="S194" s="4">
        <f ca="1">IFERROR(AVERAGE($R$5:R194),0)</f>
        <v>0</v>
      </c>
      <c r="U194" s="21">
        <f t="shared" ca="1" si="22"/>
        <v>42947</v>
      </c>
      <c r="V194" s="4">
        <f ca="1">MIN(S194,PREMISSAS!$C$14)</f>
        <v>0</v>
      </c>
      <c r="W194" s="188"/>
      <c r="X194" s="188"/>
    </row>
    <row r="195" spans="2:24" x14ac:dyDescent="0.3">
      <c r="B195" s="21">
        <f t="shared" ca="1" si="23"/>
        <v>50221</v>
      </c>
      <c r="C195" s="22">
        <f ca="1">IF(B195="","",IF(LEFT(B195,2)="13",C194,IF(MONTH(B195)=1,C194*(1+PREMISSAS!$C$58),C194)))</f>
        <v>0</v>
      </c>
      <c r="E195" s="18">
        <v>191</v>
      </c>
      <c r="F195" s="21">
        <f t="shared" ca="1" si="24"/>
        <v>42978</v>
      </c>
      <c r="G195" s="22">
        <f ca="1">IFERROR(VLOOKUP(F195,RESULTADOS!$O$5:$P$543,2,FALSE),VLOOKUP(F195,$B$5:$C$842,2,FALSE))</f>
        <v>0</v>
      </c>
      <c r="H195" s="4">
        <f ca="1">IF(F195&lt;PREMISSAS!$D$7,0,IFERROR(VLOOKUP(IF(LEFT(F195,2)="13",DATE(YEAR(F194),12,31),F195),IPCA!$A:$D,4,FALSE),1)*G195)</f>
        <v>0</v>
      </c>
      <c r="J195" s="21">
        <f t="shared" ca="1" si="18"/>
        <v>42978</v>
      </c>
      <c r="K195" s="4">
        <f t="shared" ca="1" si="19"/>
        <v>0</v>
      </c>
      <c r="M195" s="21">
        <f t="shared" ca="1" si="25"/>
        <v>42978</v>
      </c>
      <c r="N195" s="37">
        <f t="shared" ca="1" si="20"/>
        <v>0</v>
      </c>
      <c r="O195" s="4">
        <f ca="1">IFERROR(AVERAGEIF(N$5:$N195,"&gt;="&amp;_xlfn.PERCENTILE.EXC(N$5:$N195,0.2)),0)</f>
        <v>0</v>
      </c>
      <c r="Q195" s="21">
        <f t="shared" ca="1" si="26"/>
        <v>42978</v>
      </c>
      <c r="R195" s="37">
        <f t="shared" ca="1" si="21"/>
        <v>0</v>
      </c>
      <c r="S195" s="4">
        <f ca="1">IFERROR(AVERAGE($R$5:R195),0)</f>
        <v>0</v>
      </c>
      <c r="U195" s="21">
        <f t="shared" ca="1" si="22"/>
        <v>42978</v>
      </c>
      <c r="V195" s="4">
        <f ca="1">MIN(S195,PREMISSAS!$C$14)</f>
        <v>0</v>
      </c>
      <c r="W195" s="188"/>
      <c r="X195" s="188"/>
    </row>
    <row r="196" spans="2:24" x14ac:dyDescent="0.3">
      <c r="B196" s="21">
        <f t="shared" ca="1" si="23"/>
        <v>50252</v>
      </c>
      <c r="C196" s="22">
        <f ca="1">IF(B196="","",IF(LEFT(B196,2)="13",C195,IF(MONTH(B196)=1,C195*(1+PREMISSAS!$C$58),C195)))</f>
        <v>0</v>
      </c>
      <c r="E196" s="18">
        <v>192</v>
      </c>
      <c r="F196" s="21">
        <f t="shared" ca="1" si="24"/>
        <v>43008</v>
      </c>
      <c r="G196" s="22">
        <f ca="1">IFERROR(VLOOKUP(F196,RESULTADOS!$O$5:$P$543,2,FALSE),VLOOKUP(F196,$B$5:$C$842,2,FALSE))</f>
        <v>0</v>
      </c>
      <c r="H196" s="4">
        <f ca="1">IF(F196&lt;PREMISSAS!$D$7,0,IFERROR(VLOOKUP(IF(LEFT(F196,2)="13",DATE(YEAR(F195),12,31),F196),IPCA!$A:$D,4,FALSE),1)*G196)</f>
        <v>0</v>
      </c>
      <c r="J196" s="21">
        <f t="shared" ca="1" si="18"/>
        <v>43008</v>
      </c>
      <c r="K196" s="4">
        <f t="shared" ca="1" si="19"/>
        <v>0</v>
      </c>
      <c r="M196" s="21">
        <f t="shared" ca="1" si="25"/>
        <v>43008</v>
      </c>
      <c r="N196" s="37">
        <f t="shared" ca="1" si="20"/>
        <v>0</v>
      </c>
      <c r="O196" s="4">
        <f ca="1">IFERROR(AVERAGEIF(N$5:$N196,"&gt;="&amp;_xlfn.PERCENTILE.EXC(N$5:$N196,0.2)),0)</f>
        <v>0</v>
      </c>
      <c r="Q196" s="21">
        <f t="shared" ca="1" si="26"/>
        <v>43008</v>
      </c>
      <c r="R196" s="37">
        <f t="shared" ca="1" si="21"/>
        <v>0</v>
      </c>
      <c r="S196" s="4">
        <f ca="1">IFERROR(AVERAGE($R$5:R196),0)</f>
        <v>0</v>
      </c>
      <c r="U196" s="21">
        <f t="shared" ca="1" si="22"/>
        <v>43008</v>
      </c>
      <c r="V196" s="4">
        <f ca="1">MIN(S196,PREMISSAS!$C$14)</f>
        <v>0</v>
      </c>
      <c r="W196" s="188"/>
      <c r="X196" s="188"/>
    </row>
    <row r="197" spans="2:24" x14ac:dyDescent="0.3">
      <c r="B197" s="21">
        <f t="shared" ca="1" si="23"/>
        <v>50283</v>
      </c>
      <c r="C197" s="22">
        <f ca="1">IF(B197="","",IF(LEFT(B197,2)="13",C196,IF(MONTH(B197)=1,C196*(1+PREMISSAS!$C$58),C196)))</f>
        <v>0</v>
      </c>
      <c r="E197" s="18">
        <v>193</v>
      </c>
      <c r="F197" s="21">
        <f t="shared" ca="1" si="24"/>
        <v>43039</v>
      </c>
      <c r="G197" s="22">
        <f ca="1">IFERROR(VLOOKUP(F197,RESULTADOS!$O$5:$P$543,2,FALSE),VLOOKUP(F197,$B$5:$C$842,2,FALSE))</f>
        <v>0</v>
      </c>
      <c r="H197" s="4">
        <f ca="1">IF(F197&lt;PREMISSAS!$D$7,0,IFERROR(VLOOKUP(IF(LEFT(F197,2)="13",DATE(YEAR(F196),12,31),F197),IPCA!$A:$D,4,FALSE),1)*G197)</f>
        <v>0</v>
      </c>
      <c r="J197" s="21">
        <f t="shared" ref="J197:J260" ca="1" si="27">F197</f>
        <v>43039</v>
      </c>
      <c r="K197" s="4">
        <f t="shared" ref="K197:K260" ca="1" si="28">G197</f>
        <v>0</v>
      </c>
      <c r="M197" s="21">
        <f t="shared" ca="1" si="25"/>
        <v>43039</v>
      </c>
      <c r="N197" s="37">
        <f t="shared" ca="1" si="20"/>
        <v>0</v>
      </c>
      <c r="O197" s="4">
        <f ca="1">IFERROR(AVERAGEIF(N$5:$N197,"&gt;="&amp;_xlfn.PERCENTILE.EXC(N$5:$N197,0.2)),0)</f>
        <v>0</v>
      </c>
      <c r="Q197" s="21">
        <f t="shared" ca="1" si="26"/>
        <v>43039</v>
      </c>
      <c r="R197" s="37">
        <f t="shared" ca="1" si="21"/>
        <v>0</v>
      </c>
      <c r="S197" s="4">
        <f ca="1">IFERROR(AVERAGE($R$5:R197),0)</f>
        <v>0</v>
      </c>
      <c r="U197" s="21">
        <f t="shared" ca="1" si="22"/>
        <v>43039</v>
      </c>
      <c r="V197" s="4">
        <f ca="1">MIN(S197,PREMISSAS!$C$14)</f>
        <v>0</v>
      </c>
      <c r="W197" s="188"/>
      <c r="X197" s="188"/>
    </row>
    <row r="198" spans="2:24" x14ac:dyDescent="0.3">
      <c r="B198" s="21">
        <f t="shared" ca="1" si="23"/>
        <v>50313</v>
      </c>
      <c r="C198" s="22">
        <f ca="1">IF(B198="","",IF(LEFT(B198,2)="13",C197,IF(MONTH(B198)=1,C197*(1+PREMISSAS!$C$58),C197)))</f>
        <v>0</v>
      </c>
      <c r="E198" s="18">
        <v>194</v>
      </c>
      <c r="F198" s="21">
        <f t="shared" ca="1" si="24"/>
        <v>43069</v>
      </c>
      <c r="G198" s="22">
        <f ca="1">IFERROR(VLOOKUP(F198,RESULTADOS!$O$5:$P$543,2,FALSE),VLOOKUP(F198,$B$5:$C$842,2,FALSE))</f>
        <v>0</v>
      </c>
      <c r="H198" s="4">
        <f ca="1">IF(F198&lt;PREMISSAS!$D$7,0,IFERROR(VLOOKUP(IF(LEFT(F198,2)="13",DATE(YEAR(F197),12,31),F198),IPCA!$A:$D,4,FALSE),1)*G198)</f>
        <v>0</v>
      </c>
      <c r="J198" s="21">
        <f t="shared" ca="1" si="27"/>
        <v>43069</v>
      </c>
      <c r="K198" s="4">
        <f t="shared" ca="1" si="28"/>
        <v>0</v>
      </c>
      <c r="M198" s="21">
        <f t="shared" ca="1" si="25"/>
        <v>43069</v>
      </c>
      <c r="N198" s="37">
        <f t="shared" ref="N198:N261" ca="1" si="29">IFERROR(VLOOKUP(M198,$F$5:$H$628,3,FALSE),0)</f>
        <v>0</v>
      </c>
      <c r="O198" s="4">
        <f ca="1">IFERROR(AVERAGEIF(N$5:$N198,"&gt;="&amp;_xlfn.PERCENTILE.EXC(N$5:$N198,0.2)),0)</f>
        <v>0</v>
      </c>
      <c r="Q198" s="21">
        <f t="shared" ca="1" si="26"/>
        <v>43069</v>
      </c>
      <c r="R198" s="37">
        <f t="shared" ref="R198:R261" ca="1" si="30">IFERROR(VLOOKUP(Q198,$F$5:$H$628,3,FALSE),0)</f>
        <v>0</v>
      </c>
      <c r="S198" s="4">
        <f ca="1">IFERROR(AVERAGE($R$5:R198),0)</f>
        <v>0</v>
      </c>
      <c r="U198" s="21">
        <f t="shared" ref="U198:U261" ca="1" si="31">M198</f>
        <v>43069</v>
      </c>
      <c r="V198" s="4">
        <f ca="1">MIN(S198,PREMISSAS!$C$14)</f>
        <v>0</v>
      </c>
      <c r="W198" s="188"/>
      <c r="X198" s="188"/>
    </row>
    <row r="199" spans="2:24" x14ac:dyDescent="0.3">
      <c r="B199" s="21">
        <f t="shared" ref="B199:B262" ca="1" si="32">IFERROR(IF(LEFT(B198,2)="13",DATE(RIGHT(B198,4),12,31),IF(EOMONTH(B198,0)&gt;$F$1,"",IF(MONTH(B198)=11,"13º "&amp;YEAR(B198),EOMONTH(B198,1)))),"")</f>
        <v>50344</v>
      </c>
      <c r="C199" s="22">
        <f ca="1">IF(B199="","",IF(LEFT(B199,2)="13",C198,IF(MONTH(B199)=1,C198*(1+PREMISSAS!$C$58),C198)))</f>
        <v>0</v>
      </c>
      <c r="E199" s="18">
        <v>195</v>
      </c>
      <c r="F199" s="21" t="str">
        <f t="shared" ref="F199:F262" ca="1" si="33">IFERROR(IF(LEFT(F198,2)="13",DATE(RIGHT(F198,4),12,31),IF(EOMONTH(F198,0)&gt;$F$1,"",IF(MONTH(F198)=11,"13º "&amp;YEAR(F198),EOMONTH(F198,1)))),"")</f>
        <v>13º 2017</v>
      </c>
      <c r="G199" s="22">
        <f ca="1">IFERROR(VLOOKUP(F199,RESULTADOS!$O$5:$P$543,2,FALSE),VLOOKUP(F199,$B$5:$C$842,2,FALSE))</f>
        <v>0</v>
      </c>
      <c r="H199" s="4">
        <f ca="1">IF(F199&lt;PREMISSAS!$D$7,0,IFERROR(VLOOKUP(IF(LEFT(F199,2)="13",DATE(YEAR(F198),12,31),F199),IPCA!$A:$D,4,FALSE),1)*G199)</f>
        <v>0</v>
      </c>
      <c r="J199" s="21" t="str">
        <f t="shared" ca="1" si="27"/>
        <v>13º 2017</v>
      </c>
      <c r="K199" s="4">
        <f t="shared" ca="1" si="28"/>
        <v>0</v>
      </c>
      <c r="M199" s="21" t="str">
        <f t="shared" ref="M199:M262" ca="1" si="34">IFERROR(IF(LEFT(M198,2)="13",DATE(RIGHT(M198,4),12,31),IF(EOMONTH(M198,0)&gt;$F$1,"",IF(MONTH(M198)=11,"13º "&amp;YEAR(M198),EOMONTH(M198,1)))),"")</f>
        <v>13º 2017</v>
      </c>
      <c r="N199" s="37">
        <f t="shared" ca="1" si="29"/>
        <v>0</v>
      </c>
      <c r="O199" s="4">
        <f ca="1">IFERROR(AVERAGEIF(N$5:$N199,"&gt;="&amp;_xlfn.PERCENTILE.EXC(N$5:$N199,0.2)),0)</f>
        <v>0</v>
      </c>
      <c r="Q199" s="21" t="str">
        <f t="shared" ref="Q199:Q262" ca="1" si="35">IFERROR(IF(LEFT(Q198,2)="13",DATE(RIGHT(Q198,4),12,31),IF(EOMONTH(Q198,0)&gt;$F$1,"",IF(MONTH(Q198)=11,"13º "&amp;YEAR(Q198),EOMONTH(Q198,1)))),"")</f>
        <v>13º 2017</v>
      </c>
      <c r="R199" s="37">
        <f t="shared" ca="1" si="30"/>
        <v>0</v>
      </c>
      <c r="S199" s="4">
        <f ca="1">IFERROR(AVERAGE($R$5:R199),0)</f>
        <v>0</v>
      </c>
      <c r="U199" s="21" t="str">
        <f t="shared" ca="1" si="31"/>
        <v>13º 2017</v>
      </c>
      <c r="V199" s="4">
        <f ca="1">MIN(S199,PREMISSAS!$C$14)</f>
        <v>0</v>
      </c>
      <c r="W199" s="188"/>
      <c r="X199" s="188"/>
    </row>
    <row r="200" spans="2:24" x14ac:dyDescent="0.3">
      <c r="B200" s="21">
        <f t="shared" ca="1" si="32"/>
        <v>50374</v>
      </c>
      <c r="C200" s="22">
        <f ca="1">IF(B200="","",IF(LEFT(B200,2)="13",C199,IF(MONTH(B200)=1,C199*(1+PREMISSAS!$C$58),C199)))</f>
        <v>0</v>
      </c>
      <c r="E200" s="18">
        <v>196</v>
      </c>
      <c r="F200" s="21">
        <f t="shared" ca="1" si="33"/>
        <v>43100</v>
      </c>
      <c r="G200" s="22">
        <f ca="1">IFERROR(VLOOKUP(F200,RESULTADOS!$O$5:$P$543,2,FALSE),VLOOKUP(F200,$B$5:$C$842,2,FALSE))</f>
        <v>0</v>
      </c>
      <c r="H200" s="4">
        <f ca="1">IF(F200&lt;PREMISSAS!$D$7,0,IFERROR(VLOOKUP(IF(LEFT(F200,2)="13",DATE(YEAR(F199),12,31),F200),IPCA!$A:$D,4,FALSE),1)*G200)</f>
        <v>0</v>
      </c>
      <c r="J200" s="21">
        <f t="shared" ca="1" si="27"/>
        <v>43100</v>
      </c>
      <c r="K200" s="4">
        <f t="shared" ca="1" si="28"/>
        <v>0</v>
      </c>
      <c r="M200" s="21">
        <f t="shared" ca="1" si="34"/>
        <v>43100</v>
      </c>
      <c r="N200" s="37">
        <f t="shared" ca="1" si="29"/>
        <v>0</v>
      </c>
      <c r="O200" s="4">
        <f ca="1">IFERROR(AVERAGEIF(N$5:$N200,"&gt;="&amp;_xlfn.PERCENTILE.EXC(N$5:$N200,0.2)),0)</f>
        <v>0</v>
      </c>
      <c r="Q200" s="21">
        <f t="shared" ca="1" si="35"/>
        <v>43100</v>
      </c>
      <c r="R200" s="37">
        <f t="shared" ca="1" si="30"/>
        <v>0</v>
      </c>
      <c r="S200" s="4">
        <f ca="1">IFERROR(AVERAGE($R$5:R200),0)</f>
        <v>0</v>
      </c>
      <c r="U200" s="21">
        <f t="shared" ca="1" si="31"/>
        <v>43100</v>
      </c>
      <c r="V200" s="4">
        <f ca="1">MIN(S200,PREMISSAS!$C$14)</f>
        <v>0</v>
      </c>
      <c r="W200" s="188"/>
      <c r="X200" s="188"/>
    </row>
    <row r="201" spans="2:24" x14ac:dyDescent="0.3">
      <c r="B201" s="21" t="str">
        <f t="shared" ca="1" si="32"/>
        <v>13º 2037</v>
      </c>
      <c r="C201" s="22">
        <f ca="1">IF(B201="","",IF(LEFT(B201,2)="13",C200,IF(MONTH(B201)=1,C200*(1+PREMISSAS!$C$58),C200)))</f>
        <v>0</v>
      </c>
      <c r="E201" s="18">
        <v>197</v>
      </c>
      <c r="F201" s="21">
        <f t="shared" ca="1" si="33"/>
        <v>43131</v>
      </c>
      <c r="G201" s="22">
        <f ca="1">IFERROR(VLOOKUP(F201,RESULTADOS!$O$5:$P$543,2,FALSE),VLOOKUP(F201,$B$5:$C$842,2,FALSE))</f>
        <v>0</v>
      </c>
      <c r="H201" s="4">
        <f ca="1">IF(F201&lt;PREMISSAS!$D$7,0,IFERROR(VLOOKUP(IF(LEFT(F201,2)="13",DATE(YEAR(F200),12,31),F201),IPCA!$A:$D,4,FALSE),1)*G201)</f>
        <v>0</v>
      </c>
      <c r="J201" s="21">
        <f t="shared" ca="1" si="27"/>
        <v>43131</v>
      </c>
      <c r="K201" s="4">
        <f t="shared" ca="1" si="28"/>
        <v>0</v>
      </c>
      <c r="M201" s="21">
        <f t="shared" ca="1" si="34"/>
        <v>43131</v>
      </c>
      <c r="N201" s="37">
        <f t="shared" ca="1" si="29"/>
        <v>0</v>
      </c>
      <c r="O201" s="4">
        <f ca="1">IFERROR(AVERAGEIF(N$5:$N201,"&gt;="&amp;_xlfn.PERCENTILE.EXC(N$5:$N201,0.2)),0)</f>
        <v>0</v>
      </c>
      <c r="Q201" s="21">
        <f t="shared" ca="1" si="35"/>
        <v>43131</v>
      </c>
      <c r="R201" s="37">
        <f t="shared" ca="1" si="30"/>
        <v>0</v>
      </c>
      <c r="S201" s="4">
        <f ca="1">IFERROR(AVERAGE($R$5:R201),0)</f>
        <v>0</v>
      </c>
      <c r="U201" s="21">
        <f t="shared" ca="1" si="31"/>
        <v>43131</v>
      </c>
      <c r="V201" s="4">
        <f ca="1">MIN(S201,PREMISSAS!$C$14)</f>
        <v>0</v>
      </c>
      <c r="W201" s="188"/>
      <c r="X201" s="188"/>
    </row>
    <row r="202" spans="2:24" x14ac:dyDescent="0.3">
      <c r="B202" s="21">
        <f t="shared" ca="1" si="32"/>
        <v>50405</v>
      </c>
      <c r="C202" s="22">
        <f ca="1">IF(B202="","",IF(LEFT(B202,2)="13",C201,IF(MONTH(B202)=1,C201*(1+PREMISSAS!$C$58),C201)))</f>
        <v>0</v>
      </c>
      <c r="E202" s="18">
        <v>198</v>
      </c>
      <c r="F202" s="21">
        <f t="shared" ca="1" si="33"/>
        <v>43159</v>
      </c>
      <c r="G202" s="22">
        <f ca="1">IFERROR(VLOOKUP(F202,RESULTADOS!$O$5:$P$543,2,FALSE),VLOOKUP(F202,$B$5:$C$842,2,FALSE))</f>
        <v>0</v>
      </c>
      <c r="H202" s="4">
        <f ca="1">IF(F202&lt;PREMISSAS!$D$7,0,IFERROR(VLOOKUP(IF(LEFT(F202,2)="13",DATE(YEAR(F201),12,31),F202),IPCA!$A:$D,4,FALSE),1)*G202)</f>
        <v>0</v>
      </c>
      <c r="J202" s="21">
        <f t="shared" ca="1" si="27"/>
        <v>43159</v>
      </c>
      <c r="K202" s="4">
        <f t="shared" ca="1" si="28"/>
        <v>0</v>
      </c>
      <c r="M202" s="21">
        <f t="shared" ca="1" si="34"/>
        <v>43159</v>
      </c>
      <c r="N202" s="37">
        <f t="shared" ca="1" si="29"/>
        <v>0</v>
      </c>
      <c r="O202" s="4">
        <f ca="1">IFERROR(AVERAGEIF(N$5:$N202,"&gt;="&amp;_xlfn.PERCENTILE.EXC(N$5:$N202,0.2)),0)</f>
        <v>0</v>
      </c>
      <c r="Q202" s="21">
        <f t="shared" ca="1" si="35"/>
        <v>43159</v>
      </c>
      <c r="R202" s="37">
        <f t="shared" ca="1" si="30"/>
        <v>0</v>
      </c>
      <c r="S202" s="4">
        <f ca="1">IFERROR(AVERAGE($R$5:R202),0)</f>
        <v>0</v>
      </c>
      <c r="U202" s="21">
        <f t="shared" ca="1" si="31"/>
        <v>43159</v>
      </c>
      <c r="V202" s="4">
        <f ca="1">MIN(S202,PREMISSAS!$C$14)</f>
        <v>0</v>
      </c>
      <c r="W202" s="188"/>
      <c r="X202" s="188"/>
    </row>
    <row r="203" spans="2:24" x14ac:dyDescent="0.3">
      <c r="B203" s="21">
        <f t="shared" ca="1" si="32"/>
        <v>50436</v>
      </c>
      <c r="C203" s="22">
        <f ca="1">IF(B203="","",IF(LEFT(B203,2)="13",C202,IF(MONTH(B203)=1,C202*(1+PREMISSAS!$C$58),C202)))</f>
        <v>0</v>
      </c>
      <c r="E203" s="18">
        <v>199</v>
      </c>
      <c r="F203" s="21">
        <f t="shared" ca="1" si="33"/>
        <v>43190</v>
      </c>
      <c r="G203" s="22">
        <f ca="1">IFERROR(VLOOKUP(F203,RESULTADOS!$O$5:$P$543,2,FALSE),VLOOKUP(F203,$B$5:$C$842,2,FALSE))</f>
        <v>0</v>
      </c>
      <c r="H203" s="4">
        <f ca="1">IF(F203&lt;PREMISSAS!$D$7,0,IFERROR(VLOOKUP(IF(LEFT(F203,2)="13",DATE(YEAR(F202),12,31),F203),IPCA!$A:$D,4,FALSE),1)*G203)</f>
        <v>0</v>
      </c>
      <c r="J203" s="21">
        <f t="shared" ca="1" si="27"/>
        <v>43190</v>
      </c>
      <c r="K203" s="4">
        <f t="shared" ca="1" si="28"/>
        <v>0</v>
      </c>
      <c r="M203" s="21">
        <f t="shared" ca="1" si="34"/>
        <v>43190</v>
      </c>
      <c r="N203" s="37">
        <f t="shared" ca="1" si="29"/>
        <v>0</v>
      </c>
      <c r="O203" s="4">
        <f ca="1">IFERROR(AVERAGEIF(N$5:$N203,"&gt;="&amp;_xlfn.PERCENTILE.EXC(N$5:$N203,0.2)),0)</f>
        <v>0</v>
      </c>
      <c r="Q203" s="21">
        <f t="shared" ca="1" si="35"/>
        <v>43190</v>
      </c>
      <c r="R203" s="37">
        <f t="shared" ca="1" si="30"/>
        <v>0</v>
      </c>
      <c r="S203" s="4">
        <f ca="1">IFERROR(AVERAGE($R$5:R203),0)</f>
        <v>0</v>
      </c>
      <c r="U203" s="21">
        <f t="shared" ca="1" si="31"/>
        <v>43190</v>
      </c>
      <c r="V203" s="4">
        <f ca="1">MIN(S203,PREMISSAS!$C$14)</f>
        <v>0</v>
      </c>
      <c r="W203" s="188"/>
      <c r="X203" s="188"/>
    </row>
    <row r="204" spans="2:24" x14ac:dyDescent="0.3">
      <c r="B204" s="21">
        <f t="shared" ca="1" si="32"/>
        <v>50464</v>
      </c>
      <c r="C204" s="22">
        <f ca="1">IF(B204="","",IF(LEFT(B204,2)="13",C203,IF(MONTH(B204)=1,C203*(1+PREMISSAS!$C$58),C203)))</f>
        <v>0</v>
      </c>
      <c r="E204" s="18">
        <v>200</v>
      </c>
      <c r="F204" s="21">
        <f t="shared" ca="1" si="33"/>
        <v>43220</v>
      </c>
      <c r="G204" s="22">
        <f ca="1">IFERROR(VLOOKUP(F204,RESULTADOS!$O$5:$P$543,2,FALSE),VLOOKUP(F204,$B$5:$C$842,2,FALSE))</f>
        <v>0</v>
      </c>
      <c r="H204" s="4">
        <f ca="1">IF(F204&lt;PREMISSAS!$D$7,0,IFERROR(VLOOKUP(IF(LEFT(F204,2)="13",DATE(YEAR(F203),12,31),F204),IPCA!$A:$D,4,FALSE),1)*G204)</f>
        <v>0</v>
      </c>
      <c r="J204" s="21">
        <f t="shared" ca="1" si="27"/>
        <v>43220</v>
      </c>
      <c r="K204" s="4">
        <f t="shared" ca="1" si="28"/>
        <v>0</v>
      </c>
      <c r="M204" s="21">
        <f t="shared" ca="1" si="34"/>
        <v>43220</v>
      </c>
      <c r="N204" s="37">
        <f t="shared" ca="1" si="29"/>
        <v>0</v>
      </c>
      <c r="O204" s="4">
        <f ca="1">IFERROR(AVERAGEIF(N$5:$N204,"&gt;="&amp;_xlfn.PERCENTILE.EXC(N$5:$N204,0.2)),0)</f>
        <v>0</v>
      </c>
      <c r="Q204" s="21">
        <f t="shared" ca="1" si="35"/>
        <v>43220</v>
      </c>
      <c r="R204" s="37">
        <f t="shared" ca="1" si="30"/>
        <v>0</v>
      </c>
      <c r="S204" s="4">
        <f ca="1">IFERROR(AVERAGE($R$5:R204),0)</f>
        <v>0</v>
      </c>
      <c r="U204" s="21">
        <f t="shared" ca="1" si="31"/>
        <v>43220</v>
      </c>
      <c r="V204" s="4">
        <f ca="1">MIN(S204,PREMISSAS!$C$14)</f>
        <v>0</v>
      </c>
      <c r="W204" s="188"/>
      <c r="X204" s="188"/>
    </row>
    <row r="205" spans="2:24" x14ac:dyDescent="0.3">
      <c r="B205" s="21">
        <f t="shared" ca="1" si="32"/>
        <v>50495</v>
      </c>
      <c r="C205" s="22">
        <f ca="1">IF(B205="","",IF(LEFT(B205,2)="13",C204,IF(MONTH(B205)=1,C204*(1+PREMISSAS!$C$58),C204)))</f>
        <v>0</v>
      </c>
      <c r="E205" s="18">
        <v>201</v>
      </c>
      <c r="F205" s="21">
        <f t="shared" ca="1" si="33"/>
        <v>43251</v>
      </c>
      <c r="G205" s="22">
        <f ca="1">IFERROR(VLOOKUP(F205,RESULTADOS!$O$5:$P$543,2,FALSE),VLOOKUP(F205,$B$5:$C$842,2,FALSE))</f>
        <v>0</v>
      </c>
      <c r="H205" s="4">
        <f ca="1">IF(F205&lt;PREMISSAS!$D$7,0,IFERROR(VLOOKUP(IF(LEFT(F205,2)="13",DATE(YEAR(F204),12,31),F205),IPCA!$A:$D,4,FALSE),1)*G205)</f>
        <v>0</v>
      </c>
      <c r="J205" s="21">
        <f t="shared" ca="1" si="27"/>
        <v>43251</v>
      </c>
      <c r="K205" s="4">
        <f t="shared" ca="1" si="28"/>
        <v>0</v>
      </c>
      <c r="M205" s="21">
        <f t="shared" ca="1" si="34"/>
        <v>43251</v>
      </c>
      <c r="N205" s="37">
        <f t="shared" ca="1" si="29"/>
        <v>0</v>
      </c>
      <c r="O205" s="4">
        <f ca="1">IFERROR(AVERAGEIF(N$5:$N205,"&gt;="&amp;_xlfn.PERCENTILE.EXC(N$5:$N205,0.2)),0)</f>
        <v>0</v>
      </c>
      <c r="Q205" s="21">
        <f t="shared" ca="1" si="35"/>
        <v>43251</v>
      </c>
      <c r="R205" s="37">
        <f t="shared" ca="1" si="30"/>
        <v>0</v>
      </c>
      <c r="S205" s="4">
        <f ca="1">IFERROR(AVERAGE($R$5:R205),0)</f>
        <v>0</v>
      </c>
      <c r="U205" s="21">
        <f t="shared" ca="1" si="31"/>
        <v>43251</v>
      </c>
      <c r="V205" s="4">
        <f ca="1">MIN(S205,PREMISSAS!$C$14)</f>
        <v>0</v>
      </c>
      <c r="W205" s="188"/>
      <c r="X205" s="188"/>
    </row>
    <row r="206" spans="2:24" x14ac:dyDescent="0.3">
      <c r="B206" s="21">
        <f t="shared" ca="1" si="32"/>
        <v>50525</v>
      </c>
      <c r="C206" s="22">
        <f ca="1">IF(B206="","",IF(LEFT(B206,2)="13",C205,IF(MONTH(B206)=1,C205*(1+PREMISSAS!$C$58),C205)))</f>
        <v>0</v>
      </c>
      <c r="E206" s="18">
        <v>202</v>
      </c>
      <c r="F206" s="21">
        <f t="shared" ca="1" si="33"/>
        <v>43281</v>
      </c>
      <c r="G206" s="22">
        <f ca="1">IFERROR(VLOOKUP(F206,RESULTADOS!$O$5:$P$543,2,FALSE),VLOOKUP(F206,$B$5:$C$842,2,FALSE))</f>
        <v>0</v>
      </c>
      <c r="H206" s="4">
        <f ca="1">IF(F206&lt;PREMISSAS!$D$7,0,IFERROR(VLOOKUP(IF(LEFT(F206,2)="13",DATE(YEAR(F205),12,31),F206),IPCA!$A:$D,4,FALSE),1)*G206)</f>
        <v>0</v>
      </c>
      <c r="J206" s="21">
        <f t="shared" ca="1" si="27"/>
        <v>43281</v>
      </c>
      <c r="K206" s="4">
        <f t="shared" ca="1" si="28"/>
        <v>0</v>
      </c>
      <c r="M206" s="21">
        <f t="shared" ca="1" si="34"/>
        <v>43281</v>
      </c>
      <c r="N206" s="37">
        <f t="shared" ca="1" si="29"/>
        <v>0</v>
      </c>
      <c r="O206" s="4">
        <f ca="1">IFERROR(AVERAGEIF(N$5:$N206,"&gt;="&amp;_xlfn.PERCENTILE.EXC(N$5:$N206,0.2)),0)</f>
        <v>0</v>
      </c>
      <c r="Q206" s="21">
        <f t="shared" ca="1" si="35"/>
        <v>43281</v>
      </c>
      <c r="R206" s="37">
        <f t="shared" ca="1" si="30"/>
        <v>0</v>
      </c>
      <c r="S206" s="4">
        <f ca="1">IFERROR(AVERAGE($R$5:R206),0)</f>
        <v>0</v>
      </c>
      <c r="U206" s="21">
        <f t="shared" ca="1" si="31"/>
        <v>43281</v>
      </c>
      <c r="V206" s="4">
        <f ca="1">MIN(S206,PREMISSAS!$C$14)</f>
        <v>0</v>
      </c>
      <c r="W206" s="188"/>
      <c r="X206" s="188"/>
    </row>
    <row r="207" spans="2:24" x14ac:dyDescent="0.3">
      <c r="B207" s="21">
        <f t="shared" ca="1" si="32"/>
        <v>50556</v>
      </c>
      <c r="C207" s="22">
        <f ca="1">IF(B207="","",IF(LEFT(B207,2)="13",C206,IF(MONTH(B207)=1,C206*(1+PREMISSAS!$C$58),C206)))</f>
        <v>0</v>
      </c>
      <c r="E207" s="18">
        <v>203</v>
      </c>
      <c r="F207" s="21">
        <f t="shared" ca="1" si="33"/>
        <v>43312</v>
      </c>
      <c r="G207" s="22">
        <f ca="1">IFERROR(VLOOKUP(F207,RESULTADOS!$O$5:$P$543,2,FALSE),VLOOKUP(F207,$B$5:$C$842,2,FALSE))</f>
        <v>0</v>
      </c>
      <c r="H207" s="4">
        <f ca="1">IF(F207&lt;PREMISSAS!$D$7,0,IFERROR(VLOOKUP(IF(LEFT(F207,2)="13",DATE(YEAR(F206),12,31),F207),IPCA!$A:$D,4,FALSE),1)*G207)</f>
        <v>0</v>
      </c>
      <c r="J207" s="21">
        <f t="shared" ca="1" si="27"/>
        <v>43312</v>
      </c>
      <c r="K207" s="4">
        <f t="shared" ca="1" si="28"/>
        <v>0</v>
      </c>
      <c r="M207" s="21">
        <f t="shared" ca="1" si="34"/>
        <v>43312</v>
      </c>
      <c r="N207" s="37">
        <f t="shared" ca="1" si="29"/>
        <v>0</v>
      </c>
      <c r="O207" s="4">
        <f ca="1">IFERROR(AVERAGEIF(N$5:$N207,"&gt;="&amp;_xlfn.PERCENTILE.EXC(N$5:$N207,0.2)),0)</f>
        <v>0</v>
      </c>
      <c r="Q207" s="21">
        <f t="shared" ca="1" si="35"/>
        <v>43312</v>
      </c>
      <c r="R207" s="37">
        <f t="shared" ca="1" si="30"/>
        <v>0</v>
      </c>
      <c r="S207" s="4">
        <f ca="1">IFERROR(AVERAGE($R$5:R207),0)</f>
        <v>0</v>
      </c>
      <c r="U207" s="21">
        <f t="shared" ca="1" si="31"/>
        <v>43312</v>
      </c>
      <c r="V207" s="4">
        <f ca="1">MIN(S207,PREMISSAS!$C$14)</f>
        <v>0</v>
      </c>
      <c r="W207" s="188"/>
      <c r="X207" s="188"/>
    </row>
    <row r="208" spans="2:24" x14ac:dyDescent="0.3">
      <c r="B208" s="21">
        <f t="shared" ca="1" si="32"/>
        <v>50586</v>
      </c>
      <c r="C208" s="22">
        <f ca="1">IF(B208="","",IF(LEFT(B208,2)="13",C207,IF(MONTH(B208)=1,C207*(1+PREMISSAS!$C$58),C207)))</f>
        <v>0</v>
      </c>
      <c r="E208" s="18">
        <v>204</v>
      </c>
      <c r="F208" s="21">
        <f t="shared" ca="1" si="33"/>
        <v>43343</v>
      </c>
      <c r="G208" s="22">
        <f ca="1">IFERROR(VLOOKUP(F208,RESULTADOS!$O$5:$P$543,2,FALSE),VLOOKUP(F208,$B$5:$C$842,2,FALSE))</f>
        <v>0</v>
      </c>
      <c r="H208" s="4">
        <f ca="1">IF(F208&lt;PREMISSAS!$D$7,0,IFERROR(VLOOKUP(IF(LEFT(F208,2)="13",DATE(YEAR(F207),12,31),F208),IPCA!$A:$D,4,FALSE),1)*G208)</f>
        <v>0</v>
      </c>
      <c r="J208" s="21">
        <f t="shared" ca="1" si="27"/>
        <v>43343</v>
      </c>
      <c r="K208" s="4">
        <f t="shared" ca="1" si="28"/>
        <v>0</v>
      </c>
      <c r="M208" s="21">
        <f t="shared" ca="1" si="34"/>
        <v>43343</v>
      </c>
      <c r="N208" s="37">
        <f t="shared" ca="1" si="29"/>
        <v>0</v>
      </c>
      <c r="O208" s="4">
        <f ca="1">IFERROR(AVERAGEIF(N$5:$N208,"&gt;="&amp;_xlfn.PERCENTILE.EXC(N$5:$N208,0.2)),0)</f>
        <v>0</v>
      </c>
      <c r="Q208" s="21">
        <f t="shared" ca="1" si="35"/>
        <v>43343</v>
      </c>
      <c r="R208" s="37">
        <f t="shared" ca="1" si="30"/>
        <v>0</v>
      </c>
      <c r="S208" s="4">
        <f ca="1">IFERROR(AVERAGE($R$5:R208),0)</f>
        <v>0</v>
      </c>
      <c r="U208" s="21">
        <f t="shared" ca="1" si="31"/>
        <v>43343</v>
      </c>
      <c r="V208" s="4">
        <f ca="1">MIN(S208,PREMISSAS!$C$14)</f>
        <v>0</v>
      </c>
      <c r="W208" s="188"/>
      <c r="X208" s="188"/>
    </row>
    <row r="209" spans="2:24" x14ac:dyDescent="0.3">
      <c r="B209" s="21">
        <f t="shared" ca="1" si="32"/>
        <v>50617</v>
      </c>
      <c r="C209" s="22">
        <f ca="1">IF(B209="","",IF(LEFT(B209,2)="13",C208,IF(MONTH(B209)=1,C208*(1+PREMISSAS!$C$58),C208)))</f>
        <v>0</v>
      </c>
      <c r="E209" s="18">
        <v>205</v>
      </c>
      <c r="F209" s="21">
        <f t="shared" ca="1" si="33"/>
        <v>43373</v>
      </c>
      <c r="G209" s="22">
        <f ca="1">IFERROR(VLOOKUP(F209,RESULTADOS!$O$5:$P$543,2,FALSE),VLOOKUP(F209,$B$5:$C$842,2,FALSE))</f>
        <v>0</v>
      </c>
      <c r="H209" s="4">
        <f ca="1">IF(F209&lt;PREMISSAS!$D$7,0,IFERROR(VLOOKUP(IF(LEFT(F209,2)="13",DATE(YEAR(F208),12,31),F209),IPCA!$A:$D,4,FALSE),1)*G209)</f>
        <v>0</v>
      </c>
      <c r="J209" s="21">
        <f t="shared" ca="1" si="27"/>
        <v>43373</v>
      </c>
      <c r="K209" s="4">
        <f t="shared" ca="1" si="28"/>
        <v>0</v>
      </c>
      <c r="M209" s="21">
        <f t="shared" ca="1" si="34"/>
        <v>43373</v>
      </c>
      <c r="N209" s="37">
        <f t="shared" ca="1" si="29"/>
        <v>0</v>
      </c>
      <c r="O209" s="4">
        <f ca="1">IFERROR(AVERAGEIF(N$5:$N209,"&gt;="&amp;_xlfn.PERCENTILE.EXC(N$5:$N209,0.2)),0)</f>
        <v>0</v>
      </c>
      <c r="Q209" s="21">
        <f t="shared" ca="1" si="35"/>
        <v>43373</v>
      </c>
      <c r="R209" s="37">
        <f t="shared" ca="1" si="30"/>
        <v>0</v>
      </c>
      <c r="S209" s="4">
        <f ca="1">IFERROR(AVERAGE($R$5:R209),0)</f>
        <v>0</v>
      </c>
      <c r="U209" s="21">
        <f t="shared" ca="1" si="31"/>
        <v>43373</v>
      </c>
      <c r="V209" s="4">
        <f ca="1">MIN(S209,PREMISSAS!$C$14)</f>
        <v>0</v>
      </c>
      <c r="W209" s="188"/>
      <c r="X209" s="188"/>
    </row>
    <row r="210" spans="2:24" x14ac:dyDescent="0.3">
      <c r="B210" s="21">
        <f t="shared" ca="1" si="32"/>
        <v>50648</v>
      </c>
      <c r="C210" s="22">
        <f ca="1">IF(B210="","",IF(LEFT(B210,2)="13",C209,IF(MONTH(B210)=1,C209*(1+PREMISSAS!$C$58),C209)))</f>
        <v>0</v>
      </c>
      <c r="E210" s="18">
        <v>206</v>
      </c>
      <c r="F210" s="21">
        <f t="shared" ca="1" si="33"/>
        <v>43404</v>
      </c>
      <c r="G210" s="22">
        <f ca="1">IFERROR(VLOOKUP(F210,RESULTADOS!$O$5:$P$543,2,FALSE),VLOOKUP(F210,$B$5:$C$842,2,FALSE))</f>
        <v>0</v>
      </c>
      <c r="H210" s="4">
        <f ca="1">IF(F210&lt;PREMISSAS!$D$7,0,IFERROR(VLOOKUP(IF(LEFT(F210,2)="13",DATE(YEAR(F209),12,31),F210),IPCA!$A:$D,4,FALSE),1)*G210)</f>
        <v>0</v>
      </c>
      <c r="J210" s="21">
        <f t="shared" ca="1" si="27"/>
        <v>43404</v>
      </c>
      <c r="K210" s="4">
        <f t="shared" ca="1" si="28"/>
        <v>0</v>
      </c>
      <c r="M210" s="21">
        <f t="shared" ca="1" si="34"/>
        <v>43404</v>
      </c>
      <c r="N210" s="37">
        <f t="shared" ca="1" si="29"/>
        <v>0</v>
      </c>
      <c r="O210" s="4">
        <f ca="1">IFERROR(AVERAGEIF(N$5:$N210,"&gt;="&amp;_xlfn.PERCENTILE.EXC(N$5:$N210,0.2)),0)</f>
        <v>0</v>
      </c>
      <c r="Q210" s="21">
        <f t="shared" ca="1" si="35"/>
        <v>43404</v>
      </c>
      <c r="R210" s="37">
        <f t="shared" ca="1" si="30"/>
        <v>0</v>
      </c>
      <c r="S210" s="4">
        <f ca="1">IFERROR(AVERAGE($R$5:R210),0)</f>
        <v>0</v>
      </c>
      <c r="U210" s="21">
        <f t="shared" ca="1" si="31"/>
        <v>43404</v>
      </c>
      <c r="V210" s="4">
        <f ca="1">MIN(S210,PREMISSAS!$C$14)</f>
        <v>0</v>
      </c>
      <c r="W210" s="188"/>
      <c r="X210" s="188"/>
    </row>
    <row r="211" spans="2:24" x14ac:dyDescent="0.3">
      <c r="B211" s="21">
        <f t="shared" ca="1" si="32"/>
        <v>50678</v>
      </c>
      <c r="C211" s="22">
        <f ca="1">IF(B211="","",IF(LEFT(B211,2)="13",C210,IF(MONTH(B211)=1,C210*(1+PREMISSAS!$C$58),C210)))</f>
        <v>0</v>
      </c>
      <c r="E211" s="18">
        <v>207</v>
      </c>
      <c r="F211" s="21">
        <f t="shared" ca="1" si="33"/>
        <v>43434</v>
      </c>
      <c r="G211" s="22">
        <f ca="1">IFERROR(VLOOKUP(F211,RESULTADOS!$O$5:$P$543,2,FALSE),VLOOKUP(F211,$B$5:$C$842,2,FALSE))</f>
        <v>0</v>
      </c>
      <c r="H211" s="4">
        <f ca="1">IF(F211&lt;PREMISSAS!$D$7,0,IFERROR(VLOOKUP(IF(LEFT(F211,2)="13",DATE(YEAR(F210),12,31),F211),IPCA!$A:$D,4,FALSE),1)*G211)</f>
        <v>0</v>
      </c>
      <c r="J211" s="21">
        <f t="shared" ca="1" si="27"/>
        <v>43434</v>
      </c>
      <c r="K211" s="4">
        <f t="shared" ca="1" si="28"/>
        <v>0</v>
      </c>
      <c r="M211" s="21">
        <f t="shared" ca="1" si="34"/>
        <v>43434</v>
      </c>
      <c r="N211" s="37">
        <f t="shared" ca="1" si="29"/>
        <v>0</v>
      </c>
      <c r="O211" s="4">
        <f ca="1">IFERROR(AVERAGEIF(N$5:$N211,"&gt;="&amp;_xlfn.PERCENTILE.EXC(N$5:$N211,0.2)),0)</f>
        <v>0</v>
      </c>
      <c r="Q211" s="21">
        <f t="shared" ca="1" si="35"/>
        <v>43434</v>
      </c>
      <c r="R211" s="37">
        <f t="shared" ca="1" si="30"/>
        <v>0</v>
      </c>
      <c r="S211" s="4">
        <f ca="1">IFERROR(AVERAGE($R$5:R211),0)</f>
        <v>0</v>
      </c>
      <c r="U211" s="21">
        <f t="shared" ca="1" si="31"/>
        <v>43434</v>
      </c>
      <c r="V211" s="4">
        <f ca="1">MIN(S211,PREMISSAS!$C$14)</f>
        <v>0</v>
      </c>
      <c r="W211" s="188"/>
      <c r="X211" s="188"/>
    </row>
    <row r="212" spans="2:24" x14ac:dyDescent="0.3">
      <c r="B212" s="21">
        <f t="shared" ca="1" si="32"/>
        <v>50709</v>
      </c>
      <c r="C212" s="22">
        <f ca="1">IF(B212="","",IF(LEFT(B212,2)="13",C211,IF(MONTH(B212)=1,C211*(1+PREMISSAS!$C$58),C211)))</f>
        <v>0</v>
      </c>
      <c r="E212" s="18">
        <v>208</v>
      </c>
      <c r="F212" s="21" t="str">
        <f t="shared" ca="1" si="33"/>
        <v>13º 2018</v>
      </c>
      <c r="G212" s="22">
        <f ca="1">IFERROR(VLOOKUP(F212,RESULTADOS!$O$5:$P$543,2,FALSE),VLOOKUP(F212,$B$5:$C$842,2,FALSE))</f>
        <v>0</v>
      </c>
      <c r="H212" s="4">
        <f ca="1">IF(F212&lt;PREMISSAS!$D$7,0,IFERROR(VLOOKUP(IF(LEFT(F212,2)="13",DATE(YEAR(F211),12,31),F212),IPCA!$A:$D,4,FALSE),1)*G212)</f>
        <v>0</v>
      </c>
      <c r="J212" s="21" t="str">
        <f t="shared" ca="1" si="27"/>
        <v>13º 2018</v>
      </c>
      <c r="K212" s="4">
        <f t="shared" ca="1" si="28"/>
        <v>0</v>
      </c>
      <c r="M212" s="21" t="str">
        <f t="shared" ca="1" si="34"/>
        <v>13º 2018</v>
      </c>
      <c r="N212" s="37">
        <f t="shared" ca="1" si="29"/>
        <v>0</v>
      </c>
      <c r="O212" s="4">
        <f ca="1">IFERROR(AVERAGEIF(N$5:$N212,"&gt;="&amp;_xlfn.PERCENTILE.EXC(N$5:$N212,0.2)),0)</f>
        <v>0</v>
      </c>
      <c r="Q212" s="21" t="str">
        <f t="shared" ca="1" si="35"/>
        <v>13º 2018</v>
      </c>
      <c r="R212" s="37">
        <f t="shared" ca="1" si="30"/>
        <v>0</v>
      </c>
      <c r="S212" s="4">
        <f ca="1">IFERROR(AVERAGE($R$5:R212),0)</f>
        <v>0</v>
      </c>
      <c r="U212" s="21" t="str">
        <f t="shared" ca="1" si="31"/>
        <v>13º 2018</v>
      </c>
      <c r="V212" s="4">
        <f ca="1">MIN(S212,PREMISSAS!$C$14)</f>
        <v>0</v>
      </c>
      <c r="W212" s="188"/>
      <c r="X212" s="188"/>
    </row>
    <row r="213" spans="2:24" x14ac:dyDescent="0.3">
      <c r="B213" s="21">
        <f t="shared" ca="1" si="32"/>
        <v>50739</v>
      </c>
      <c r="C213" s="22">
        <f ca="1">IF(B213="","",IF(LEFT(B213,2)="13",C212,IF(MONTH(B213)=1,C212*(1+PREMISSAS!$C$58),C212)))</f>
        <v>0</v>
      </c>
      <c r="E213" s="18">
        <v>209</v>
      </c>
      <c r="F213" s="21">
        <f t="shared" ca="1" si="33"/>
        <v>43465</v>
      </c>
      <c r="G213" s="22">
        <f ca="1">IFERROR(VLOOKUP(F213,RESULTADOS!$O$5:$P$543,2,FALSE),VLOOKUP(F213,$B$5:$C$842,2,FALSE))</f>
        <v>0</v>
      </c>
      <c r="H213" s="4">
        <f ca="1">IF(F213&lt;PREMISSAS!$D$7,0,IFERROR(VLOOKUP(IF(LEFT(F213,2)="13",DATE(YEAR(F212),12,31),F213),IPCA!$A:$D,4,FALSE),1)*G213)</f>
        <v>0</v>
      </c>
      <c r="J213" s="21">
        <f t="shared" ca="1" si="27"/>
        <v>43465</v>
      </c>
      <c r="K213" s="4">
        <f t="shared" ca="1" si="28"/>
        <v>0</v>
      </c>
      <c r="M213" s="21">
        <f t="shared" ca="1" si="34"/>
        <v>43465</v>
      </c>
      <c r="N213" s="37">
        <f t="shared" ca="1" si="29"/>
        <v>0</v>
      </c>
      <c r="O213" s="4">
        <f ca="1">IFERROR(AVERAGEIF(N$5:$N213,"&gt;="&amp;_xlfn.PERCENTILE.EXC(N$5:$N213,0.2)),0)</f>
        <v>0</v>
      </c>
      <c r="Q213" s="21">
        <f t="shared" ca="1" si="35"/>
        <v>43465</v>
      </c>
      <c r="R213" s="37">
        <f t="shared" ca="1" si="30"/>
        <v>0</v>
      </c>
      <c r="S213" s="4">
        <f ca="1">IFERROR(AVERAGE($R$5:R213),0)</f>
        <v>0</v>
      </c>
      <c r="U213" s="21">
        <f t="shared" ca="1" si="31"/>
        <v>43465</v>
      </c>
      <c r="V213" s="4">
        <f ca="1">MIN(S213,PREMISSAS!$C$14)</f>
        <v>0</v>
      </c>
      <c r="W213" s="188"/>
      <c r="X213" s="188"/>
    </row>
    <row r="214" spans="2:24" x14ac:dyDescent="0.3">
      <c r="B214" s="21" t="str">
        <f t="shared" ca="1" si="32"/>
        <v>13º 2038</v>
      </c>
      <c r="C214" s="22">
        <f ca="1">IF(B214="","",IF(LEFT(B214,2)="13",C213,IF(MONTH(B214)=1,C213*(1+PREMISSAS!$C$58),C213)))</f>
        <v>0</v>
      </c>
      <c r="E214" s="18">
        <v>210</v>
      </c>
      <c r="F214" s="21">
        <f t="shared" ca="1" si="33"/>
        <v>43496</v>
      </c>
      <c r="G214" s="22">
        <f ca="1">IFERROR(VLOOKUP(F214,RESULTADOS!$O$5:$P$543,2,FALSE),VLOOKUP(F214,$B$5:$C$842,2,FALSE))</f>
        <v>0</v>
      </c>
      <c r="H214" s="4">
        <f ca="1">IF(F214&lt;PREMISSAS!$D$7,0,IFERROR(VLOOKUP(IF(LEFT(F214,2)="13",DATE(YEAR(F213),12,31),F214),IPCA!$A:$D,4,FALSE),1)*G214)</f>
        <v>0</v>
      </c>
      <c r="J214" s="21">
        <f t="shared" ca="1" si="27"/>
        <v>43496</v>
      </c>
      <c r="K214" s="4">
        <f t="shared" ca="1" si="28"/>
        <v>0</v>
      </c>
      <c r="M214" s="21">
        <f t="shared" ca="1" si="34"/>
        <v>43496</v>
      </c>
      <c r="N214" s="37">
        <f t="shared" ca="1" si="29"/>
        <v>0</v>
      </c>
      <c r="O214" s="4">
        <f ca="1">IFERROR(AVERAGEIF(N$5:$N214,"&gt;="&amp;_xlfn.PERCENTILE.EXC(N$5:$N214,0.2)),0)</f>
        <v>0</v>
      </c>
      <c r="Q214" s="21">
        <f t="shared" ca="1" si="35"/>
        <v>43496</v>
      </c>
      <c r="R214" s="37">
        <f t="shared" ca="1" si="30"/>
        <v>0</v>
      </c>
      <c r="S214" s="4">
        <f ca="1">IFERROR(AVERAGE($R$5:R214),0)</f>
        <v>0</v>
      </c>
      <c r="U214" s="21">
        <f t="shared" ca="1" si="31"/>
        <v>43496</v>
      </c>
      <c r="V214" s="4">
        <f ca="1">MIN(S214,PREMISSAS!$C$14)</f>
        <v>0</v>
      </c>
      <c r="W214" s="188"/>
      <c r="X214" s="188"/>
    </row>
    <row r="215" spans="2:24" x14ac:dyDescent="0.3">
      <c r="B215" s="21">
        <f t="shared" ca="1" si="32"/>
        <v>50770</v>
      </c>
      <c r="C215" s="22">
        <f ca="1">IF(B215="","",IF(LEFT(B215,2)="13",C214,IF(MONTH(B215)=1,C214*(1+PREMISSAS!$C$58),C214)))</f>
        <v>0</v>
      </c>
      <c r="E215" s="18">
        <v>211</v>
      </c>
      <c r="F215" s="21">
        <f t="shared" ca="1" si="33"/>
        <v>43524</v>
      </c>
      <c r="G215" s="22">
        <f ca="1">IFERROR(VLOOKUP(F215,RESULTADOS!$O$5:$P$543,2,FALSE),VLOOKUP(F215,$B$5:$C$842,2,FALSE))</f>
        <v>0</v>
      </c>
      <c r="H215" s="4">
        <f ca="1">IF(F215&lt;PREMISSAS!$D$7,0,IFERROR(VLOOKUP(IF(LEFT(F215,2)="13",DATE(YEAR(F214),12,31),F215),IPCA!$A:$D,4,FALSE),1)*G215)</f>
        <v>0</v>
      </c>
      <c r="J215" s="21">
        <f t="shared" ca="1" si="27"/>
        <v>43524</v>
      </c>
      <c r="K215" s="4">
        <f t="shared" ca="1" si="28"/>
        <v>0</v>
      </c>
      <c r="M215" s="21">
        <f t="shared" ca="1" si="34"/>
        <v>43524</v>
      </c>
      <c r="N215" s="37">
        <f t="shared" ca="1" si="29"/>
        <v>0</v>
      </c>
      <c r="O215" s="4">
        <f ca="1">IFERROR(AVERAGEIF(N$5:$N215,"&gt;="&amp;_xlfn.PERCENTILE.EXC(N$5:$N215,0.2)),0)</f>
        <v>0</v>
      </c>
      <c r="Q215" s="21">
        <f t="shared" ca="1" si="35"/>
        <v>43524</v>
      </c>
      <c r="R215" s="37">
        <f t="shared" ca="1" si="30"/>
        <v>0</v>
      </c>
      <c r="S215" s="4">
        <f ca="1">IFERROR(AVERAGE($R$5:R215),0)</f>
        <v>0</v>
      </c>
      <c r="U215" s="21">
        <f t="shared" ca="1" si="31"/>
        <v>43524</v>
      </c>
      <c r="V215" s="4">
        <f ca="1">MIN(S215,PREMISSAS!$C$14)</f>
        <v>0</v>
      </c>
      <c r="W215" s="188"/>
      <c r="X215" s="188"/>
    </row>
    <row r="216" spans="2:24" x14ac:dyDescent="0.3">
      <c r="B216" s="21">
        <f t="shared" ca="1" si="32"/>
        <v>50801</v>
      </c>
      <c r="C216" s="22">
        <f ca="1">IF(B216="","",IF(LEFT(B216,2)="13",C215,IF(MONTH(B216)=1,C215*(1+PREMISSAS!$C$58),C215)))</f>
        <v>0</v>
      </c>
      <c r="E216" s="18">
        <v>212</v>
      </c>
      <c r="F216" s="21">
        <f t="shared" ca="1" si="33"/>
        <v>43555</v>
      </c>
      <c r="G216" s="22">
        <f ca="1">IFERROR(VLOOKUP(F216,RESULTADOS!$O$5:$P$543,2,FALSE),VLOOKUP(F216,$B$5:$C$842,2,FALSE))</f>
        <v>0</v>
      </c>
      <c r="H216" s="4">
        <f ca="1">IF(F216&lt;PREMISSAS!$D$7,0,IFERROR(VLOOKUP(IF(LEFT(F216,2)="13",DATE(YEAR(F215),12,31),F216),IPCA!$A:$D,4,FALSE),1)*G216)</f>
        <v>0</v>
      </c>
      <c r="J216" s="21">
        <f t="shared" ca="1" si="27"/>
        <v>43555</v>
      </c>
      <c r="K216" s="4">
        <f t="shared" ca="1" si="28"/>
        <v>0</v>
      </c>
      <c r="M216" s="21">
        <f t="shared" ca="1" si="34"/>
        <v>43555</v>
      </c>
      <c r="N216" s="37">
        <f t="shared" ca="1" si="29"/>
        <v>0</v>
      </c>
      <c r="O216" s="4">
        <f ca="1">IFERROR(AVERAGEIF(N$5:$N216,"&gt;="&amp;_xlfn.PERCENTILE.EXC(N$5:$N216,0.2)),0)</f>
        <v>0</v>
      </c>
      <c r="Q216" s="21">
        <f t="shared" ca="1" si="35"/>
        <v>43555</v>
      </c>
      <c r="R216" s="37">
        <f t="shared" ca="1" si="30"/>
        <v>0</v>
      </c>
      <c r="S216" s="4">
        <f ca="1">IFERROR(AVERAGE($R$5:R216),0)</f>
        <v>0</v>
      </c>
      <c r="U216" s="21">
        <f t="shared" ca="1" si="31"/>
        <v>43555</v>
      </c>
      <c r="V216" s="4">
        <f ca="1">MIN(S216,PREMISSAS!$C$14)</f>
        <v>0</v>
      </c>
      <c r="W216" s="188"/>
      <c r="X216" s="188"/>
    </row>
    <row r="217" spans="2:24" x14ac:dyDescent="0.3">
      <c r="B217" s="21">
        <f t="shared" ca="1" si="32"/>
        <v>50829</v>
      </c>
      <c r="C217" s="22">
        <f ca="1">IF(B217="","",IF(LEFT(B217,2)="13",C216,IF(MONTH(B217)=1,C216*(1+PREMISSAS!$C$58),C216)))</f>
        <v>0</v>
      </c>
      <c r="E217" s="18">
        <v>213</v>
      </c>
      <c r="F217" s="21">
        <f t="shared" ca="1" si="33"/>
        <v>43585</v>
      </c>
      <c r="G217" s="22">
        <f ca="1">IFERROR(VLOOKUP(F217,RESULTADOS!$O$5:$P$543,2,FALSE),VLOOKUP(F217,$B$5:$C$842,2,FALSE))</f>
        <v>0</v>
      </c>
      <c r="H217" s="4">
        <f ca="1">IF(F217&lt;PREMISSAS!$D$7,0,IFERROR(VLOOKUP(IF(LEFT(F217,2)="13",DATE(YEAR(F216),12,31),F217),IPCA!$A:$D,4,FALSE),1)*G217)</f>
        <v>0</v>
      </c>
      <c r="J217" s="21">
        <f t="shared" ca="1" si="27"/>
        <v>43585</v>
      </c>
      <c r="K217" s="4">
        <f t="shared" ca="1" si="28"/>
        <v>0</v>
      </c>
      <c r="M217" s="21">
        <f t="shared" ca="1" si="34"/>
        <v>43585</v>
      </c>
      <c r="N217" s="37">
        <f t="shared" ca="1" si="29"/>
        <v>0</v>
      </c>
      <c r="O217" s="4">
        <f ca="1">IFERROR(AVERAGEIF(N$5:$N217,"&gt;="&amp;_xlfn.PERCENTILE.EXC(N$5:$N217,0.2)),0)</f>
        <v>0</v>
      </c>
      <c r="Q217" s="21">
        <f t="shared" ca="1" si="35"/>
        <v>43585</v>
      </c>
      <c r="R217" s="37">
        <f t="shared" ca="1" si="30"/>
        <v>0</v>
      </c>
      <c r="S217" s="4">
        <f ca="1">IFERROR(AVERAGE($R$5:R217),0)</f>
        <v>0</v>
      </c>
      <c r="U217" s="21">
        <f t="shared" ca="1" si="31"/>
        <v>43585</v>
      </c>
      <c r="V217" s="4">
        <f ca="1">MIN(S217,PREMISSAS!$C$14)</f>
        <v>0</v>
      </c>
      <c r="W217" s="188"/>
      <c r="X217" s="188"/>
    </row>
    <row r="218" spans="2:24" x14ac:dyDescent="0.3">
      <c r="B218" s="21">
        <f t="shared" ca="1" si="32"/>
        <v>50860</v>
      </c>
      <c r="C218" s="22">
        <f ca="1">IF(B218="","",IF(LEFT(B218,2)="13",C217,IF(MONTH(B218)=1,C217*(1+PREMISSAS!$C$58),C217)))</f>
        <v>0</v>
      </c>
      <c r="E218" s="18">
        <v>214</v>
      </c>
      <c r="F218" s="21">
        <f t="shared" ca="1" si="33"/>
        <v>43616</v>
      </c>
      <c r="G218" s="22">
        <f ca="1">IFERROR(VLOOKUP(F218,RESULTADOS!$O$5:$P$543,2,FALSE),VLOOKUP(F218,$B$5:$C$842,2,FALSE))</f>
        <v>0</v>
      </c>
      <c r="H218" s="4">
        <f ca="1">IF(F218&lt;PREMISSAS!$D$7,0,IFERROR(VLOOKUP(IF(LEFT(F218,2)="13",DATE(YEAR(F217),12,31),F218),IPCA!$A:$D,4,FALSE),1)*G218)</f>
        <v>0</v>
      </c>
      <c r="J218" s="21">
        <f t="shared" ca="1" si="27"/>
        <v>43616</v>
      </c>
      <c r="K218" s="4">
        <f t="shared" ca="1" si="28"/>
        <v>0</v>
      </c>
      <c r="M218" s="21">
        <f t="shared" ca="1" si="34"/>
        <v>43616</v>
      </c>
      <c r="N218" s="37">
        <f t="shared" ca="1" si="29"/>
        <v>0</v>
      </c>
      <c r="O218" s="4">
        <f ca="1">IFERROR(AVERAGEIF(N$5:$N218,"&gt;="&amp;_xlfn.PERCENTILE.EXC(N$5:$N218,0.2)),0)</f>
        <v>0</v>
      </c>
      <c r="Q218" s="21">
        <f t="shared" ca="1" si="35"/>
        <v>43616</v>
      </c>
      <c r="R218" s="37">
        <f t="shared" ca="1" si="30"/>
        <v>0</v>
      </c>
      <c r="S218" s="4">
        <f ca="1">IFERROR(AVERAGE($R$5:R218),0)</f>
        <v>0</v>
      </c>
      <c r="U218" s="21">
        <f t="shared" ca="1" si="31"/>
        <v>43616</v>
      </c>
      <c r="V218" s="4">
        <f ca="1">MIN(S218,PREMISSAS!$C$14)</f>
        <v>0</v>
      </c>
      <c r="W218" s="188"/>
      <c r="X218" s="188"/>
    </row>
    <row r="219" spans="2:24" x14ac:dyDescent="0.3">
      <c r="B219" s="21">
        <f t="shared" ca="1" si="32"/>
        <v>50890</v>
      </c>
      <c r="C219" s="22">
        <f ca="1">IF(B219="","",IF(LEFT(B219,2)="13",C218,IF(MONTH(B219)=1,C218*(1+PREMISSAS!$C$58),C218)))</f>
        <v>0</v>
      </c>
      <c r="E219" s="18">
        <v>215</v>
      </c>
      <c r="F219" s="21">
        <f t="shared" ca="1" si="33"/>
        <v>43646</v>
      </c>
      <c r="G219" s="22">
        <f ca="1">IFERROR(VLOOKUP(F219,RESULTADOS!$O$5:$P$543,2,FALSE),VLOOKUP(F219,$B$5:$C$842,2,FALSE))</f>
        <v>0</v>
      </c>
      <c r="H219" s="4">
        <f ca="1">IF(F219&lt;PREMISSAS!$D$7,0,IFERROR(VLOOKUP(IF(LEFT(F219,2)="13",DATE(YEAR(F218),12,31),F219),IPCA!$A:$D,4,FALSE),1)*G219)</f>
        <v>0</v>
      </c>
      <c r="J219" s="21">
        <f t="shared" ca="1" si="27"/>
        <v>43646</v>
      </c>
      <c r="K219" s="4">
        <f t="shared" ca="1" si="28"/>
        <v>0</v>
      </c>
      <c r="M219" s="21">
        <f t="shared" ca="1" si="34"/>
        <v>43646</v>
      </c>
      <c r="N219" s="37">
        <f t="shared" ca="1" si="29"/>
        <v>0</v>
      </c>
      <c r="O219" s="4">
        <f ca="1">IFERROR(AVERAGEIF(N$5:$N219,"&gt;="&amp;_xlfn.PERCENTILE.EXC(N$5:$N219,0.2)),0)</f>
        <v>0</v>
      </c>
      <c r="Q219" s="21">
        <f t="shared" ca="1" si="35"/>
        <v>43646</v>
      </c>
      <c r="R219" s="37">
        <f t="shared" ca="1" si="30"/>
        <v>0</v>
      </c>
      <c r="S219" s="4">
        <f ca="1">IFERROR(AVERAGE($R$5:R219),0)</f>
        <v>0</v>
      </c>
      <c r="U219" s="21">
        <f t="shared" ca="1" si="31"/>
        <v>43646</v>
      </c>
      <c r="V219" s="4">
        <f ca="1">MIN(S219,PREMISSAS!$C$14)</f>
        <v>0</v>
      </c>
      <c r="W219" s="188"/>
      <c r="X219" s="188"/>
    </row>
    <row r="220" spans="2:24" x14ac:dyDescent="0.3">
      <c r="B220" s="21">
        <f t="shared" ca="1" si="32"/>
        <v>50921</v>
      </c>
      <c r="C220" s="22">
        <f ca="1">IF(B220="","",IF(LEFT(B220,2)="13",C219,IF(MONTH(B220)=1,C219*(1+PREMISSAS!$C$58),C219)))</f>
        <v>0</v>
      </c>
      <c r="E220" s="18">
        <v>216</v>
      </c>
      <c r="F220" s="21">
        <f t="shared" ca="1" si="33"/>
        <v>43677</v>
      </c>
      <c r="G220" s="22">
        <f ca="1">IFERROR(VLOOKUP(F220,RESULTADOS!$O$5:$P$543,2,FALSE),VLOOKUP(F220,$B$5:$C$842,2,FALSE))</f>
        <v>0</v>
      </c>
      <c r="H220" s="4">
        <f ca="1">IF(F220&lt;PREMISSAS!$D$7,0,IFERROR(VLOOKUP(IF(LEFT(F220,2)="13",DATE(YEAR(F219),12,31),F220),IPCA!$A:$D,4,FALSE),1)*G220)</f>
        <v>0</v>
      </c>
      <c r="J220" s="21">
        <f t="shared" ca="1" si="27"/>
        <v>43677</v>
      </c>
      <c r="K220" s="4">
        <f t="shared" ca="1" si="28"/>
        <v>0</v>
      </c>
      <c r="M220" s="21">
        <f t="shared" ca="1" si="34"/>
        <v>43677</v>
      </c>
      <c r="N220" s="37">
        <f t="shared" ca="1" si="29"/>
        <v>0</v>
      </c>
      <c r="O220" s="4">
        <f ca="1">IFERROR(AVERAGEIF(N$5:$N220,"&gt;="&amp;_xlfn.PERCENTILE.EXC(N$5:$N220,0.2)),0)</f>
        <v>0</v>
      </c>
      <c r="Q220" s="21">
        <f t="shared" ca="1" si="35"/>
        <v>43677</v>
      </c>
      <c r="R220" s="37">
        <f t="shared" ca="1" si="30"/>
        <v>0</v>
      </c>
      <c r="S220" s="4">
        <f ca="1">IFERROR(AVERAGE($R$5:R220),0)</f>
        <v>0</v>
      </c>
      <c r="U220" s="21">
        <f t="shared" ca="1" si="31"/>
        <v>43677</v>
      </c>
      <c r="V220" s="4">
        <f ca="1">MIN(S220,PREMISSAS!$C$14)</f>
        <v>0</v>
      </c>
      <c r="W220" s="188"/>
      <c r="X220" s="188"/>
    </row>
    <row r="221" spans="2:24" x14ac:dyDescent="0.3">
      <c r="B221" s="21">
        <f t="shared" ca="1" si="32"/>
        <v>50951</v>
      </c>
      <c r="C221" s="22">
        <f ca="1">IF(B221="","",IF(LEFT(B221,2)="13",C220,IF(MONTH(B221)=1,C220*(1+PREMISSAS!$C$58),C220)))</f>
        <v>0</v>
      </c>
      <c r="E221" s="18">
        <v>217</v>
      </c>
      <c r="F221" s="21">
        <f t="shared" ca="1" si="33"/>
        <v>43708</v>
      </c>
      <c r="G221" s="22">
        <f ca="1">IFERROR(VLOOKUP(F221,RESULTADOS!$O$5:$P$543,2,FALSE),VLOOKUP(F221,$B$5:$C$842,2,FALSE))</f>
        <v>0</v>
      </c>
      <c r="H221" s="4">
        <f ca="1">IF(F221&lt;PREMISSAS!$D$7,0,IFERROR(VLOOKUP(IF(LEFT(F221,2)="13",DATE(YEAR(F220),12,31),F221),IPCA!$A:$D,4,FALSE),1)*G221)</f>
        <v>0</v>
      </c>
      <c r="J221" s="21">
        <f t="shared" ca="1" si="27"/>
        <v>43708</v>
      </c>
      <c r="K221" s="4">
        <f t="shared" ca="1" si="28"/>
        <v>0</v>
      </c>
      <c r="M221" s="21">
        <f t="shared" ca="1" si="34"/>
        <v>43708</v>
      </c>
      <c r="N221" s="37">
        <f t="shared" ca="1" si="29"/>
        <v>0</v>
      </c>
      <c r="O221" s="4">
        <f ca="1">IFERROR(AVERAGEIF(N$5:$N221,"&gt;="&amp;_xlfn.PERCENTILE.EXC(N$5:$N221,0.2)),0)</f>
        <v>0</v>
      </c>
      <c r="Q221" s="21">
        <f t="shared" ca="1" si="35"/>
        <v>43708</v>
      </c>
      <c r="R221" s="37">
        <f t="shared" ca="1" si="30"/>
        <v>0</v>
      </c>
      <c r="S221" s="4">
        <f ca="1">IFERROR(AVERAGE($R$5:R221),0)</f>
        <v>0</v>
      </c>
      <c r="U221" s="21">
        <f t="shared" ca="1" si="31"/>
        <v>43708</v>
      </c>
      <c r="V221" s="4">
        <f ca="1">MIN(S221,PREMISSAS!$C$14)</f>
        <v>0</v>
      </c>
      <c r="W221" s="188"/>
      <c r="X221" s="188"/>
    </row>
    <row r="222" spans="2:24" x14ac:dyDescent="0.3">
      <c r="B222" s="21">
        <f t="shared" ca="1" si="32"/>
        <v>50982</v>
      </c>
      <c r="C222" s="22">
        <f ca="1">IF(B222="","",IF(LEFT(B222,2)="13",C221,IF(MONTH(B222)=1,C221*(1+PREMISSAS!$C$58),C221)))</f>
        <v>0</v>
      </c>
      <c r="E222" s="18">
        <v>218</v>
      </c>
      <c r="F222" s="21">
        <f t="shared" ca="1" si="33"/>
        <v>43738</v>
      </c>
      <c r="G222" s="22">
        <f ca="1">IFERROR(VLOOKUP(F222,RESULTADOS!$O$5:$P$543,2,FALSE),VLOOKUP(F222,$B$5:$C$842,2,FALSE))</f>
        <v>0</v>
      </c>
      <c r="H222" s="4">
        <f ca="1">IF(F222&lt;PREMISSAS!$D$7,0,IFERROR(VLOOKUP(IF(LEFT(F222,2)="13",DATE(YEAR(F221),12,31),F222),IPCA!$A:$D,4,FALSE),1)*G222)</f>
        <v>0</v>
      </c>
      <c r="J222" s="21">
        <f t="shared" ca="1" si="27"/>
        <v>43738</v>
      </c>
      <c r="K222" s="4">
        <f t="shared" ca="1" si="28"/>
        <v>0</v>
      </c>
      <c r="M222" s="21">
        <f t="shared" ca="1" si="34"/>
        <v>43738</v>
      </c>
      <c r="N222" s="37">
        <f t="shared" ca="1" si="29"/>
        <v>0</v>
      </c>
      <c r="O222" s="4">
        <f ca="1">IFERROR(AVERAGEIF(N$5:$N222,"&gt;="&amp;_xlfn.PERCENTILE.EXC(N$5:$N222,0.2)),0)</f>
        <v>0</v>
      </c>
      <c r="Q222" s="21">
        <f t="shared" ca="1" si="35"/>
        <v>43738</v>
      </c>
      <c r="R222" s="37">
        <f t="shared" ca="1" si="30"/>
        <v>0</v>
      </c>
      <c r="S222" s="4">
        <f ca="1">IFERROR(AVERAGE($R$5:R222),0)</f>
        <v>0</v>
      </c>
      <c r="U222" s="21">
        <f t="shared" ca="1" si="31"/>
        <v>43738</v>
      </c>
      <c r="V222" s="4">
        <f ca="1">MIN(S222,PREMISSAS!$C$14)</f>
        <v>0</v>
      </c>
      <c r="W222" s="188"/>
      <c r="X222" s="188"/>
    </row>
    <row r="223" spans="2:24" x14ac:dyDescent="0.3">
      <c r="B223" s="21">
        <f t="shared" ca="1" si="32"/>
        <v>51013</v>
      </c>
      <c r="C223" s="22">
        <f ca="1">IF(B223="","",IF(LEFT(B223,2)="13",C222,IF(MONTH(B223)=1,C222*(1+PREMISSAS!$C$58),C222)))</f>
        <v>0</v>
      </c>
      <c r="E223" s="18">
        <v>219</v>
      </c>
      <c r="F223" s="21">
        <f t="shared" ca="1" si="33"/>
        <v>43769</v>
      </c>
      <c r="G223" s="22">
        <f ca="1">IFERROR(VLOOKUP(F223,RESULTADOS!$O$5:$P$543,2,FALSE),VLOOKUP(F223,$B$5:$C$842,2,FALSE))</f>
        <v>0</v>
      </c>
      <c r="H223" s="4">
        <f ca="1">IF(F223&lt;PREMISSAS!$D$7,0,IFERROR(VLOOKUP(IF(LEFT(F223,2)="13",DATE(YEAR(F222),12,31),F223),IPCA!$A:$D,4,FALSE),1)*G223)</f>
        <v>0</v>
      </c>
      <c r="J223" s="21">
        <f t="shared" ca="1" si="27"/>
        <v>43769</v>
      </c>
      <c r="K223" s="4">
        <f t="shared" ca="1" si="28"/>
        <v>0</v>
      </c>
      <c r="M223" s="21">
        <f t="shared" ca="1" si="34"/>
        <v>43769</v>
      </c>
      <c r="N223" s="37">
        <f t="shared" ca="1" si="29"/>
        <v>0</v>
      </c>
      <c r="O223" s="4">
        <f ca="1">IFERROR(AVERAGEIF(N$5:$N223,"&gt;="&amp;_xlfn.PERCENTILE.EXC(N$5:$N223,0.2)),0)</f>
        <v>0</v>
      </c>
      <c r="Q223" s="21">
        <f t="shared" ca="1" si="35"/>
        <v>43769</v>
      </c>
      <c r="R223" s="37">
        <f t="shared" ca="1" si="30"/>
        <v>0</v>
      </c>
      <c r="S223" s="4">
        <f ca="1">IFERROR(AVERAGE($R$5:R223),0)</f>
        <v>0</v>
      </c>
      <c r="U223" s="21">
        <f t="shared" ca="1" si="31"/>
        <v>43769</v>
      </c>
      <c r="V223" s="4">
        <f ca="1">MIN(S223,PREMISSAS!$C$14)</f>
        <v>0</v>
      </c>
      <c r="W223" s="188"/>
      <c r="X223" s="188"/>
    </row>
    <row r="224" spans="2:24" x14ac:dyDescent="0.3">
      <c r="B224" s="21">
        <f t="shared" ca="1" si="32"/>
        <v>51043</v>
      </c>
      <c r="C224" s="22">
        <f ca="1">IF(B224="","",IF(LEFT(B224,2)="13",C223,IF(MONTH(B224)=1,C223*(1+PREMISSAS!$C$58),C223)))</f>
        <v>0</v>
      </c>
      <c r="E224" s="18">
        <v>220</v>
      </c>
      <c r="F224" s="21">
        <f t="shared" ca="1" si="33"/>
        <v>43799</v>
      </c>
      <c r="G224" s="22">
        <f ca="1">IFERROR(VLOOKUP(F224,RESULTADOS!$O$5:$P$543,2,FALSE),VLOOKUP(F224,$B$5:$C$842,2,FALSE))</f>
        <v>0</v>
      </c>
      <c r="H224" s="4">
        <f ca="1">IF(F224&lt;PREMISSAS!$D$7,0,IFERROR(VLOOKUP(IF(LEFT(F224,2)="13",DATE(YEAR(F223),12,31),F224),IPCA!$A:$D,4,FALSE),1)*G224)</f>
        <v>0</v>
      </c>
      <c r="J224" s="21">
        <f t="shared" ca="1" si="27"/>
        <v>43799</v>
      </c>
      <c r="K224" s="4">
        <f t="shared" ca="1" si="28"/>
        <v>0</v>
      </c>
      <c r="M224" s="21">
        <f t="shared" ca="1" si="34"/>
        <v>43799</v>
      </c>
      <c r="N224" s="37">
        <f t="shared" ca="1" si="29"/>
        <v>0</v>
      </c>
      <c r="O224" s="4">
        <f ca="1">IFERROR(AVERAGEIF(N$5:$N224,"&gt;="&amp;_xlfn.PERCENTILE.EXC(N$5:$N224,0.2)),0)</f>
        <v>0</v>
      </c>
      <c r="Q224" s="21">
        <f t="shared" ca="1" si="35"/>
        <v>43799</v>
      </c>
      <c r="R224" s="37">
        <f t="shared" ca="1" si="30"/>
        <v>0</v>
      </c>
      <c r="S224" s="4">
        <f ca="1">IFERROR(AVERAGE($R$5:R224),0)</f>
        <v>0</v>
      </c>
      <c r="U224" s="21">
        <f t="shared" ca="1" si="31"/>
        <v>43799</v>
      </c>
      <c r="V224" s="4">
        <f ca="1">MIN(S224,PREMISSAS!$C$14)</f>
        <v>0</v>
      </c>
      <c r="W224" s="188"/>
      <c r="X224" s="188"/>
    </row>
    <row r="225" spans="2:24" x14ac:dyDescent="0.3">
      <c r="B225" s="21">
        <f t="shared" ca="1" si="32"/>
        <v>51074</v>
      </c>
      <c r="C225" s="22">
        <f ca="1">IF(B225="","",IF(LEFT(B225,2)="13",C224,IF(MONTH(B225)=1,C224*(1+PREMISSAS!$C$58),C224)))</f>
        <v>0</v>
      </c>
      <c r="E225" s="18">
        <v>221</v>
      </c>
      <c r="F225" s="21" t="str">
        <f t="shared" ca="1" si="33"/>
        <v>13º 2019</v>
      </c>
      <c r="G225" s="22">
        <f ca="1">IFERROR(VLOOKUP(F225,RESULTADOS!$O$5:$P$543,2,FALSE),VLOOKUP(F225,$B$5:$C$842,2,FALSE))</f>
        <v>0</v>
      </c>
      <c r="H225" s="4">
        <f ca="1">IF(F225&lt;PREMISSAS!$D$7,0,IFERROR(VLOOKUP(IF(LEFT(F225,2)="13",DATE(YEAR(F224),12,31),F225),IPCA!$A:$D,4,FALSE),1)*G225)</f>
        <v>0</v>
      </c>
      <c r="J225" s="21" t="str">
        <f t="shared" ca="1" si="27"/>
        <v>13º 2019</v>
      </c>
      <c r="K225" s="4">
        <f t="shared" ca="1" si="28"/>
        <v>0</v>
      </c>
      <c r="M225" s="21" t="str">
        <f t="shared" ca="1" si="34"/>
        <v>13º 2019</v>
      </c>
      <c r="N225" s="37">
        <f t="shared" ca="1" si="29"/>
        <v>0</v>
      </c>
      <c r="O225" s="4">
        <f ca="1">IFERROR(AVERAGEIF(N$5:$N225,"&gt;="&amp;_xlfn.PERCENTILE.EXC(N$5:$N225,0.2)),0)</f>
        <v>0</v>
      </c>
      <c r="Q225" s="21" t="str">
        <f t="shared" ca="1" si="35"/>
        <v>13º 2019</v>
      </c>
      <c r="R225" s="37">
        <f t="shared" ca="1" si="30"/>
        <v>0</v>
      </c>
      <c r="S225" s="4">
        <f ca="1">IFERROR(AVERAGE($R$5:R225),0)</f>
        <v>0</v>
      </c>
      <c r="U225" s="21" t="str">
        <f t="shared" ca="1" si="31"/>
        <v>13º 2019</v>
      </c>
      <c r="V225" s="4">
        <f ca="1">MIN(S225,PREMISSAS!$C$14)</f>
        <v>0</v>
      </c>
      <c r="W225" s="188"/>
      <c r="X225" s="188"/>
    </row>
    <row r="226" spans="2:24" x14ac:dyDescent="0.3">
      <c r="B226" s="21">
        <f t="shared" ca="1" si="32"/>
        <v>51104</v>
      </c>
      <c r="C226" s="22">
        <f ca="1">IF(B226="","",IF(LEFT(B226,2)="13",C225,IF(MONTH(B226)=1,C225*(1+PREMISSAS!$C$58),C225)))</f>
        <v>0</v>
      </c>
      <c r="E226" s="18">
        <v>222</v>
      </c>
      <c r="F226" s="21">
        <f t="shared" ca="1" si="33"/>
        <v>43830</v>
      </c>
      <c r="G226" s="22">
        <f ca="1">IFERROR(VLOOKUP(F226,RESULTADOS!$O$5:$P$543,2,FALSE),VLOOKUP(F226,$B$5:$C$842,2,FALSE))</f>
        <v>0</v>
      </c>
      <c r="H226" s="4">
        <f ca="1">IF(F226&lt;PREMISSAS!$D$7,0,IFERROR(VLOOKUP(IF(LEFT(F226,2)="13",DATE(YEAR(F225),12,31),F226),IPCA!$A:$D,4,FALSE),1)*G226)</f>
        <v>0</v>
      </c>
      <c r="J226" s="21">
        <f t="shared" ca="1" si="27"/>
        <v>43830</v>
      </c>
      <c r="K226" s="4">
        <f t="shared" ca="1" si="28"/>
        <v>0</v>
      </c>
      <c r="M226" s="21">
        <f t="shared" ca="1" si="34"/>
        <v>43830</v>
      </c>
      <c r="N226" s="37">
        <f t="shared" ca="1" si="29"/>
        <v>0</v>
      </c>
      <c r="O226" s="4">
        <f ca="1">IFERROR(AVERAGEIF(N$5:$N226,"&gt;="&amp;_xlfn.PERCENTILE.EXC(N$5:$N226,0.2)),0)</f>
        <v>0</v>
      </c>
      <c r="Q226" s="21">
        <f t="shared" ca="1" si="35"/>
        <v>43830</v>
      </c>
      <c r="R226" s="37">
        <f t="shared" ca="1" si="30"/>
        <v>0</v>
      </c>
      <c r="S226" s="4">
        <f ca="1">IFERROR(AVERAGE($R$5:R226),0)</f>
        <v>0</v>
      </c>
      <c r="U226" s="21">
        <f t="shared" ca="1" si="31"/>
        <v>43830</v>
      </c>
      <c r="V226" s="4">
        <f ca="1">MIN(S226,PREMISSAS!$C$14)</f>
        <v>0</v>
      </c>
      <c r="W226" s="188"/>
      <c r="X226" s="188"/>
    </row>
    <row r="227" spans="2:24" x14ac:dyDescent="0.3">
      <c r="B227" s="21" t="str">
        <f t="shared" ca="1" si="32"/>
        <v>13º 2039</v>
      </c>
      <c r="C227" s="22">
        <f ca="1">IF(B227="","",IF(LEFT(B227,2)="13",C226,IF(MONTH(B227)=1,C226*(1+PREMISSAS!$C$58),C226)))</f>
        <v>0</v>
      </c>
      <c r="E227" s="18">
        <v>223</v>
      </c>
      <c r="F227" s="21">
        <f t="shared" ca="1" si="33"/>
        <v>43861</v>
      </c>
      <c r="G227" s="22">
        <f ca="1">IFERROR(VLOOKUP(F227,RESULTADOS!$O$5:$P$543,2,FALSE),VLOOKUP(F227,$B$5:$C$842,2,FALSE))</f>
        <v>0</v>
      </c>
      <c r="H227" s="4">
        <f ca="1">IF(F227&lt;PREMISSAS!$D$7,0,IFERROR(VLOOKUP(IF(LEFT(F227,2)="13",DATE(YEAR(F226),12,31),F227),IPCA!$A:$D,4,FALSE),1)*G227)</f>
        <v>0</v>
      </c>
      <c r="J227" s="21">
        <f t="shared" ca="1" si="27"/>
        <v>43861</v>
      </c>
      <c r="K227" s="4">
        <f t="shared" ca="1" si="28"/>
        <v>0</v>
      </c>
      <c r="M227" s="21">
        <f t="shared" ca="1" si="34"/>
        <v>43861</v>
      </c>
      <c r="N227" s="37">
        <f t="shared" ca="1" si="29"/>
        <v>0</v>
      </c>
      <c r="O227" s="4">
        <f ca="1">IFERROR(AVERAGEIF(N$5:$N227,"&gt;="&amp;_xlfn.PERCENTILE.EXC(N$5:$N227,0.2)),0)</f>
        <v>0</v>
      </c>
      <c r="Q227" s="21">
        <f t="shared" ca="1" si="35"/>
        <v>43861</v>
      </c>
      <c r="R227" s="37">
        <f t="shared" ca="1" si="30"/>
        <v>0</v>
      </c>
      <c r="S227" s="4">
        <f ca="1">IFERROR(AVERAGE($R$5:R227),0)</f>
        <v>0</v>
      </c>
      <c r="U227" s="21">
        <f t="shared" ca="1" si="31"/>
        <v>43861</v>
      </c>
      <c r="V227" s="4">
        <f ca="1">MIN(S227,PREMISSAS!$C$14)</f>
        <v>0</v>
      </c>
      <c r="W227" s="188"/>
      <c r="X227" s="188"/>
    </row>
    <row r="228" spans="2:24" x14ac:dyDescent="0.3">
      <c r="B228" s="21">
        <f t="shared" ca="1" si="32"/>
        <v>51135</v>
      </c>
      <c r="C228" s="22">
        <f ca="1">IF(B228="","",IF(LEFT(B228,2)="13",C227,IF(MONTH(B228)=1,C227*(1+PREMISSAS!$C$58),C227)))</f>
        <v>0</v>
      </c>
      <c r="E228" s="18">
        <v>224</v>
      </c>
      <c r="F228" s="21">
        <f t="shared" ca="1" si="33"/>
        <v>43890</v>
      </c>
      <c r="G228" s="22">
        <f ca="1">IFERROR(VLOOKUP(F228,RESULTADOS!$O$5:$P$543,2,FALSE),VLOOKUP(F228,$B$5:$C$842,2,FALSE))</f>
        <v>0</v>
      </c>
      <c r="H228" s="4">
        <f ca="1">IF(F228&lt;PREMISSAS!$D$7,0,IFERROR(VLOOKUP(IF(LEFT(F228,2)="13",DATE(YEAR(F227),12,31),F228),IPCA!$A:$D,4,FALSE),1)*G228)</f>
        <v>0</v>
      </c>
      <c r="J228" s="21">
        <f t="shared" ca="1" si="27"/>
        <v>43890</v>
      </c>
      <c r="K228" s="4">
        <f t="shared" ca="1" si="28"/>
        <v>0</v>
      </c>
      <c r="M228" s="21">
        <f t="shared" ca="1" si="34"/>
        <v>43890</v>
      </c>
      <c r="N228" s="37">
        <f t="shared" ca="1" si="29"/>
        <v>0</v>
      </c>
      <c r="O228" s="4">
        <f ca="1">IFERROR(AVERAGEIF(N$5:$N228,"&gt;="&amp;_xlfn.PERCENTILE.EXC(N$5:$N228,0.2)),0)</f>
        <v>0</v>
      </c>
      <c r="Q228" s="21">
        <f t="shared" ca="1" si="35"/>
        <v>43890</v>
      </c>
      <c r="R228" s="37">
        <f t="shared" ca="1" si="30"/>
        <v>0</v>
      </c>
      <c r="S228" s="4">
        <f ca="1">IFERROR(AVERAGE($R$5:R228),0)</f>
        <v>0</v>
      </c>
      <c r="U228" s="21">
        <f t="shared" ca="1" si="31"/>
        <v>43890</v>
      </c>
      <c r="V228" s="4">
        <f ca="1">MIN(S228,PREMISSAS!$C$14)</f>
        <v>0</v>
      </c>
      <c r="W228" s="188"/>
      <c r="X228" s="188"/>
    </row>
    <row r="229" spans="2:24" x14ac:dyDescent="0.3">
      <c r="B229" s="21">
        <f t="shared" ca="1" si="32"/>
        <v>51166</v>
      </c>
      <c r="C229" s="22">
        <f ca="1">IF(B229="","",IF(LEFT(B229,2)="13",C228,IF(MONTH(B229)=1,C228*(1+PREMISSAS!$C$58),C228)))</f>
        <v>0</v>
      </c>
      <c r="E229" s="18">
        <v>225</v>
      </c>
      <c r="F229" s="21">
        <f t="shared" ca="1" si="33"/>
        <v>43921</v>
      </c>
      <c r="G229" s="22">
        <f ca="1">IFERROR(VLOOKUP(F229,RESULTADOS!$O$5:$P$543,2,FALSE),VLOOKUP(F229,$B$5:$C$842,2,FALSE))</f>
        <v>0</v>
      </c>
      <c r="H229" s="4">
        <f ca="1">IF(F229&lt;PREMISSAS!$D$7,0,IFERROR(VLOOKUP(IF(LEFT(F229,2)="13",DATE(YEAR(F228),12,31),F229),IPCA!$A:$D,4,FALSE),1)*G229)</f>
        <v>0</v>
      </c>
      <c r="J229" s="21">
        <f t="shared" ca="1" si="27"/>
        <v>43921</v>
      </c>
      <c r="K229" s="4">
        <f t="shared" ca="1" si="28"/>
        <v>0</v>
      </c>
      <c r="M229" s="21">
        <f t="shared" ca="1" si="34"/>
        <v>43921</v>
      </c>
      <c r="N229" s="37">
        <f t="shared" ca="1" si="29"/>
        <v>0</v>
      </c>
      <c r="O229" s="4">
        <f ca="1">IFERROR(AVERAGEIF(N$5:$N229,"&gt;="&amp;_xlfn.PERCENTILE.EXC(N$5:$N229,0.2)),0)</f>
        <v>0</v>
      </c>
      <c r="Q229" s="21">
        <f t="shared" ca="1" si="35"/>
        <v>43921</v>
      </c>
      <c r="R229" s="37">
        <f t="shared" ca="1" si="30"/>
        <v>0</v>
      </c>
      <c r="S229" s="4">
        <f ca="1">IFERROR(AVERAGE($R$5:R229),0)</f>
        <v>0</v>
      </c>
      <c r="U229" s="21">
        <f t="shared" ca="1" si="31"/>
        <v>43921</v>
      </c>
      <c r="V229" s="4">
        <f ca="1">MIN(S229,PREMISSAS!$C$14)</f>
        <v>0</v>
      </c>
      <c r="W229" s="188"/>
      <c r="X229" s="188"/>
    </row>
    <row r="230" spans="2:24" x14ac:dyDescent="0.3">
      <c r="B230" s="21">
        <f t="shared" ca="1" si="32"/>
        <v>51195</v>
      </c>
      <c r="C230" s="22">
        <f ca="1">IF(B230="","",IF(LEFT(B230,2)="13",C229,IF(MONTH(B230)=1,C229*(1+PREMISSAS!$C$58),C229)))</f>
        <v>0</v>
      </c>
      <c r="E230" s="18">
        <v>226</v>
      </c>
      <c r="F230" s="21">
        <f t="shared" ca="1" si="33"/>
        <v>43951</v>
      </c>
      <c r="G230" s="22">
        <f ca="1">IFERROR(VLOOKUP(F230,RESULTADOS!$O$5:$P$543,2,FALSE),VLOOKUP(F230,$B$5:$C$842,2,FALSE))</f>
        <v>0</v>
      </c>
      <c r="H230" s="4">
        <f ca="1">IF(F230&lt;PREMISSAS!$D$7,0,IFERROR(VLOOKUP(IF(LEFT(F230,2)="13",DATE(YEAR(F229),12,31),F230),IPCA!$A:$D,4,FALSE),1)*G230)</f>
        <v>0</v>
      </c>
      <c r="J230" s="21">
        <f t="shared" ca="1" si="27"/>
        <v>43951</v>
      </c>
      <c r="K230" s="4">
        <f t="shared" ca="1" si="28"/>
        <v>0</v>
      </c>
      <c r="M230" s="21">
        <f t="shared" ca="1" si="34"/>
        <v>43951</v>
      </c>
      <c r="N230" s="37">
        <f t="shared" ca="1" si="29"/>
        <v>0</v>
      </c>
      <c r="O230" s="4">
        <f ca="1">IFERROR(AVERAGEIF(N$5:$N230,"&gt;="&amp;_xlfn.PERCENTILE.EXC(N$5:$N230,0.2)),0)</f>
        <v>0</v>
      </c>
      <c r="Q230" s="21">
        <f t="shared" ca="1" si="35"/>
        <v>43951</v>
      </c>
      <c r="R230" s="37">
        <f t="shared" ca="1" si="30"/>
        <v>0</v>
      </c>
      <c r="S230" s="4">
        <f ca="1">IFERROR(AVERAGE($R$5:R230),0)</f>
        <v>0</v>
      </c>
      <c r="U230" s="21">
        <f t="shared" ca="1" si="31"/>
        <v>43951</v>
      </c>
      <c r="V230" s="4">
        <f ca="1">MIN(S230,PREMISSAS!$C$14)</f>
        <v>0</v>
      </c>
      <c r="W230" s="188"/>
      <c r="X230" s="188"/>
    </row>
    <row r="231" spans="2:24" x14ac:dyDescent="0.3">
      <c r="B231" s="21">
        <f t="shared" ca="1" si="32"/>
        <v>51226</v>
      </c>
      <c r="C231" s="22">
        <f ca="1">IF(B231="","",IF(LEFT(B231,2)="13",C230,IF(MONTH(B231)=1,C230*(1+PREMISSAS!$C$58),C230)))</f>
        <v>0</v>
      </c>
      <c r="E231" s="18">
        <v>227</v>
      </c>
      <c r="F231" s="21">
        <f t="shared" ca="1" si="33"/>
        <v>43982</v>
      </c>
      <c r="G231" s="22">
        <f ca="1">IFERROR(VLOOKUP(F231,RESULTADOS!$O$5:$P$543,2,FALSE),VLOOKUP(F231,$B$5:$C$842,2,FALSE))</f>
        <v>0</v>
      </c>
      <c r="H231" s="4">
        <f ca="1">IF(F231&lt;PREMISSAS!$D$7,0,IFERROR(VLOOKUP(IF(LEFT(F231,2)="13",DATE(YEAR(F230),12,31),F231),IPCA!$A:$D,4,FALSE),1)*G231)</f>
        <v>0</v>
      </c>
      <c r="J231" s="21">
        <f t="shared" ca="1" si="27"/>
        <v>43982</v>
      </c>
      <c r="K231" s="4">
        <f t="shared" ca="1" si="28"/>
        <v>0</v>
      </c>
      <c r="M231" s="21">
        <f t="shared" ca="1" si="34"/>
        <v>43982</v>
      </c>
      <c r="N231" s="37">
        <f t="shared" ca="1" si="29"/>
        <v>0</v>
      </c>
      <c r="O231" s="4">
        <f ca="1">IFERROR(AVERAGEIF(N$5:$N231,"&gt;="&amp;_xlfn.PERCENTILE.EXC(N$5:$N231,0.2)),0)</f>
        <v>0</v>
      </c>
      <c r="Q231" s="21">
        <f t="shared" ca="1" si="35"/>
        <v>43982</v>
      </c>
      <c r="R231" s="37">
        <f t="shared" ca="1" si="30"/>
        <v>0</v>
      </c>
      <c r="S231" s="4">
        <f ca="1">IFERROR(AVERAGE($R$5:R231),0)</f>
        <v>0</v>
      </c>
      <c r="U231" s="21">
        <f t="shared" ca="1" si="31"/>
        <v>43982</v>
      </c>
      <c r="V231" s="4">
        <f ca="1">MIN(S231,PREMISSAS!$C$14)</f>
        <v>0</v>
      </c>
      <c r="W231" s="188"/>
      <c r="X231" s="188"/>
    </row>
    <row r="232" spans="2:24" x14ac:dyDescent="0.3">
      <c r="B232" s="21">
        <f t="shared" ca="1" si="32"/>
        <v>51256</v>
      </c>
      <c r="C232" s="22">
        <f ca="1">IF(B232="","",IF(LEFT(B232,2)="13",C231,IF(MONTH(B232)=1,C231*(1+PREMISSAS!$C$58),C231)))</f>
        <v>0</v>
      </c>
      <c r="E232" s="18">
        <v>228</v>
      </c>
      <c r="F232" s="21">
        <f t="shared" ca="1" si="33"/>
        <v>44012</v>
      </c>
      <c r="G232" s="22">
        <f ca="1">IFERROR(VLOOKUP(F232,RESULTADOS!$O$5:$P$543,2,FALSE),VLOOKUP(F232,$B$5:$C$842,2,FALSE))</f>
        <v>0</v>
      </c>
      <c r="H232" s="4">
        <f ca="1">IF(F232&lt;PREMISSAS!$D$7,0,IFERROR(VLOOKUP(IF(LEFT(F232,2)="13",DATE(YEAR(F231),12,31),F232),IPCA!$A:$D,4,FALSE),1)*G232)</f>
        <v>0</v>
      </c>
      <c r="J232" s="21">
        <f t="shared" ca="1" si="27"/>
        <v>44012</v>
      </c>
      <c r="K232" s="4">
        <f t="shared" ca="1" si="28"/>
        <v>0</v>
      </c>
      <c r="M232" s="21">
        <f t="shared" ca="1" si="34"/>
        <v>44012</v>
      </c>
      <c r="N232" s="37">
        <f t="shared" ca="1" si="29"/>
        <v>0</v>
      </c>
      <c r="O232" s="4">
        <f ca="1">IFERROR(AVERAGEIF(N$5:$N232,"&gt;="&amp;_xlfn.PERCENTILE.EXC(N$5:$N232,0.2)),0)</f>
        <v>0</v>
      </c>
      <c r="Q232" s="21">
        <f t="shared" ca="1" si="35"/>
        <v>44012</v>
      </c>
      <c r="R232" s="37">
        <f t="shared" ca="1" si="30"/>
        <v>0</v>
      </c>
      <c r="S232" s="4">
        <f ca="1">IFERROR(AVERAGE($R$5:R232),0)</f>
        <v>0</v>
      </c>
      <c r="U232" s="21">
        <f t="shared" ca="1" si="31"/>
        <v>44012</v>
      </c>
      <c r="V232" s="4">
        <f ca="1">MIN(S232,PREMISSAS!$C$14)</f>
        <v>0</v>
      </c>
      <c r="W232" s="188"/>
      <c r="X232" s="188"/>
    </row>
    <row r="233" spans="2:24" x14ac:dyDescent="0.3">
      <c r="B233" s="21">
        <f t="shared" ca="1" si="32"/>
        <v>51287</v>
      </c>
      <c r="C233" s="22">
        <f ca="1">IF(B233="","",IF(LEFT(B233,2)="13",C232,IF(MONTH(B233)=1,C232*(1+PREMISSAS!$C$58),C232)))</f>
        <v>0</v>
      </c>
      <c r="E233" s="18">
        <v>229</v>
      </c>
      <c r="F233" s="21">
        <f t="shared" ca="1" si="33"/>
        <v>44043</v>
      </c>
      <c r="G233" s="22">
        <f ca="1">IFERROR(VLOOKUP(F233,RESULTADOS!$O$5:$P$543,2,FALSE),VLOOKUP(F233,$B$5:$C$842,2,FALSE))</f>
        <v>0</v>
      </c>
      <c r="H233" s="4">
        <f ca="1">IF(F233&lt;PREMISSAS!$D$7,0,IFERROR(VLOOKUP(IF(LEFT(F233,2)="13",DATE(YEAR(F232),12,31),F233),IPCA!$A:$D,4,FALSE),1)*G233)</f>
        <v>0</v>
      </c>
      <c r="J233" s="21">
        <f t="shared" ca="1" si="27"/>
        <v>44043</v>
      </c>
      <c r="K233" s="4">
        <f t="shared" ca="1" si="28"/>
        <v>0</v>
      </c>
      <c r="M233" s="21">
        <f t="shared" ca="1" si="34"/>
        <v>44043</v>
      </c>
      <c r="N233" s="37">
        <f t="shared" ca="1" si="29"/>
        <v>0</v>
      </c>
      <c r="O233" s="4">
        <f ca="1">IFERROR(AVERAGEIF(N$5:$N233,"&gt;="&amp;_xlfn.PERCENTILE.EXC(N$5:$N233,0.2)),0)</f>
        <v>0</v>
      </c>
      <c r="Q233" s="21">
        <f t="shared" ca="1" si="35"/>
        <v>44043</v>
      </c>
      <c r="R233" s="37">
        <f t="shared" ca="1" si="30"/>
        <v>0</v>
      </c>
      <c r="S233" s="4">
        <f ca="1">IFERROR(AVERAGE($R$5:R233),0)</f>
        <v>0</v>
      </c>
      <c r="U233" s="21">
        <f t="shared" ca="1" si="31"/>
        <v>44043</v>
      </c>
      <c r="V233" s="4">
        <f ca="1">MIN(S233,PREMISSAS!$C$14)</f>
        <v>0</v>
      </c>
      <c r="W233" s="188"/>
      <c r="X233" s="188"/>
    </row>
    <row r="234" spans="2:24" x14ac:dyDescent="0.3">
      <c r="B234" s="21">
        <f t="shared" ca="1" si="32"/>
        <v>51317</v>
      </c>
      <c r="C234" s="22">
        <f ca="1">IF(B234="","",IF(LEFT(B234,2)="13",C233,IF(MONTH(B234)=1,C233*(1+PREMISSAS!$C$58),C233)))</f>
        <v>0</v>
      </c>
      <c r="E234" s="18">
        <v>230</v>
      </c>
      <c r="F234" s="21">
        <f t="shared" ca="1" si="33"/>
        <v>44074</v>
      </c>
      <c r="G234" s="22">
        <f ca="1">IFERROR(VLOOKUP(F234,RESULTADOS!$O$5:$P$543,2,FALSE),VLOOKUP(F234,$B$5:$C$842,2,FALSE))</f>
        <v>0</v>
      </c>
      <c r="H234" s="4">
        <f ca="1">IF(F234&lt;PREMISSAS!$D$7,0,IFERROR(VLOOKUP(IF(LEFT(F234,2)="13",DATE(YEAR(F233),12,31),F234),IPCA!$A:$D,4,FALSE),1)*G234)</f>
        <v>0</v>
      </c>
      <c r="J234" s="21">
        <f t="shared" ca="1" si="27"/>
        <v>44074</v>
      </c>
      <c r="K234" s="4">
        <f t="shared" ca="1" si="28"/>
        <v>0</v>
      </c>
      <c r="M234" s="21">
        <f t="shared" ca="1" si="34"/>
        <v>44074</v>
      </c>
      <c r="N234" s="37">
        <f t="shared" ca="1" si="29"/>
        <v>0</v>
      </c>
      <c r="O234" s="4">
        <f ca="1">IFERROR(AVERAGEIF(N$5:$N234,"&gt;="&amp;_xlfn.PERCENTILE.EXC(N$5:$N234,0.2)),0)</f>
        <v>0</v>
      </c>
      <c r="Q234" s="21">
        <f t="shared" ca="1" si="35"/>
        <v>44074</v>
      </c>
      <c r="R234" s="37">
        <f t="shared" ca="1" si="30"/>
        <v>0</v>
      </c>
      <c r="S234" s="4">
        <f ca="1">IFERROR(AVERAGE($R$5:R234),0)</f>
        <v>0</v>
      </c>
      <c r="U234" s="21">
        <f t="shared" ca="1" si="31"/>
        <v>44074</v>
      </c>
      <c r="V234" s="4">
        <f ca="1">MIN(S234,PREMISSAS!$C$14)</f>
        <v>0</v>
      </c>
      <c r="W234" s="188"/>
      <c r="X234" s="188"/>
    </row>
    <row r="235" spans="2:24" x14ac:dyDescent="0.3">
      <c r="B235" s="21">
        <f t="shared" ca="1" si="32"/>
        <v>51348</v>
      </c>
      <c r="C235" s="22">
        <f ca="1">IF(B235="","",IF(LEFT(B235,2)="13",C234,IF(MONTH(B235)=1,C234*(1+PREMISSAS!$C$58),C234)))</f>
        <v>0</v>
      </c>
      <c r="E235" s="18">
        <v>231</v>
      </c>
      <c r="F235" s="21">
        <f t="shared" ca="1" si="33"/>
        <v>44104</v>
      </c>
      <c r="G235" s="22">
        <f ca="1">IFERROR(VLOOKUP(F235,RESULTADOS!$O$5:$P$543,2,FALSE),VLOOKUP(F235,$B$5:$C$842,2,FALSE))</f>
        <v>0</v>
      </c>
      <c r="H235" s="4">
        <f ca="1">IF(F235&lt;PREMISSAS!$D$7,0,IFERROR(VLOOKUP(IF(LEFT(F235,2)="13",DATE(YEAR(F234),12,31),F235),IPCA!$A:$D,4,FALSE),1)*G235)</f>
        <v>0</v>
      </c>
      <c r="J235" s="21">
        <f t="shared" ca="1" si="27"/>
        <v>44104</v>
      </c>
      <c r="K235" s="4">
        <f t="shared" ca="1" si="28"/>
        <v>0</v>
      </c>
      <c r="M235" s="21">
        <f t="shared" ca="1" si="34"/>
        <v>44104</v>
      </c>
      <c r="N235" s="37">
        <f t="shared" ca="1" si="29"/>
        <v>0</v>
      </c>
      <c r="O235" s="4">
        <f ca="1">IFERROR(AVERAGEIF(N$5:$N235,"&gt;="&amp;_xlfn.PERCENTILE.EXC(N$5:$N235,0.2)),0)</f>
        <v>0</v>
      </c>
      <c r="Q235" s="21">
        <f t="shared" ca="1" si="35"/>
        <v>44104</v>
      </c>
      <c r="R235" s="37">
        <f t="shared" ca="1" si="30"/>
        <v>0</v>
      </c>
      <c r="S235" s="4">
        <f ca="1">IFERROR(AVERAGE($R$5:R235),0)</f>
        <v>0</v>
      </c>
      <c r="U235" s="21">
        <f t="shared" ca="1" si="31"/>
        <v>44104</v>
      </c>
      <c r="V235" s="4">
        <f ca="1">MIN(S235,PREMISSAS!$C$14)</f>
        <v>0</v>
      </c>
      <c r="W235" s="188"/>
      <c r="X235" s="188"/>
    </row>
    <row r="236" spans="2:24" x14ac:dyDescent="0.3">
      <c r="B236" s="21">
        <f t="shared" ca="1" si="32"/>
        <v>51379</v>
      </c>
      <c r="C236" s="22">
        <f ca="1">IF(B236="","",IF(LEFT(B236,2)="13",C235,IF(MONTH(B236)=1,C235*(1+PREMISSAS!$C$58),C235)))</f>
        <v>0</v>
      </c>
      <c r="E236" s="18">
        <v>232</v>
      </c>
      <c r="F236" s="21">
        <f t="shared" ca="1" si="33"/>
        <v>44135</v>
      </c>
      <c r="G236" s="22">
        <f ca="1">IFERROR(VLOOKUP(F236,RESULTADOS!$O$5:$P$543,2,FALSE),VLOOKUP(F236,$B$5:$C$842,2,FALSE))</f>
        <v>0</v>
      </c>
      <c r="H236" s="4">
        <f ca="1">IF(F236&lt;PREMISSAS!$D$7,0,IFERROR(VLOOKUP(IF(LEFT(F236,2)="13",DATE(YEAR(F235),12,31),F236),IPCA!$A:$D,4,FALSE),1)*G236)</f>
        <v>0</v>
      </c>
      <c r="J236" s="21">
        <f t="shared" ca="1" si="27"/>
        <v>44135</v>
      </c>
      <c r="K236" s="4">
        <f t="shared" ca="1" si="28"/>
        <v>0</v>
      </c>
      <c r="M236" s="21">
        <f t="shared" ca="1" si="34"/>
        <v>44135</v>
      </c>
      <c r="N236" s="37">
        <f t="shared" ca="1" si="29"/>
        <v>0</v>
      </c>
      <c r="O236" s="4">
        <f ca="1">IFERROR(AVERAGEIF(N$5:$N236,"&gt;="&amp;_xlfn.PERCENTILE.EXC(N$5:$N236,0.2)),0)</f>
        <v>0</v>
      </c>
      <c r="Q236" s="21">
        <f t="shared" ca="1" si="35"/>
        <v>44135</v>
      </c>
      <c r="R236" s="37">
        <f t="shared" ca="1" si="30"/>
        <v>0</v>
      </c>
      <c r="S236" s="4">
        <f ca="1">IFERROR(AVERAGE($R$5:R236),0)</f>
        <v>0</v>
      </c>
      <c r="U236" s="21">
        <f t="shared" ca="1" si="31"/>
        <v>44135</v>
      </c>
      <c r="V236" s="4">
        <f ca="1">MIN(S236,PREMISSAS!$C$14)</f>
        <v>0</v>
      </c>
      <c r="W236" s="188"/>
      <c r="X236" s="188"/>
    </row>
    <row r="237" spans="2:24" x14ac:dyDescent="0.3">
      <c r="B237" s="21">
        <f t="shared" ca="1" si="32"/>
        <v>51409</v>
      </c>
      <c r="C237" s="22">
        <f ca="1">IF(B237="","",IF(LEFT(B237,2)="13",C236,IF(MONTH(B237)=1,C236*(1+PREMISSAS!$C$58),C236)))</f>
        <v>0</v>
      </c>
      <c r="E237" s="18">
        <v>233</v>
      </c>
      <c r="F237" s="21">
        <f t="shared" ca="1" si="33"/>
        <v>44165</v>
      </c>
      <c r="G237" s="22">
        <f ca="1">IFERROR(VLOOKUP(F237,RESULTADOS!$O$5:$P$543,2,FALSE),VLOOKUP(F237,$B$5:$C$842,2,FALSE))</f>
        <v>0</v>
      </c>
      <c r="H237" s="4">
        <f ca="1">IF(F237&lt;PREMISSAS!$D$7,0,IFERROR(VLOOKUP(IF(LEFT(F237,2)="13",DATE(YEAR(F236),12,31),F237),IPCA!$A:$D,4,FALSE),1)*G237)</f>
        <v>0</v>
      </c>
      <c r="J237" s="21">
        <f t="shared" ca="1" si="27"/>
        <v>44165</v>
      </c>
      <c r="K237" s="4">
        <f t="shared" ca="1" si="28"/>
        <v>0</v>
      </c>
      <c r="M237" s="21">
        <f t="shared" ca="1" si="34"/>
        <v>44165</v>
      </c>
      <c r="N237" s="37">
        <f t="shared" ca="1" si="29"/>
        <v>0</v>
      </c>
      <c r="O237" s="4">
        <f ca="1">IFERROR(AVERAGEIF(N$5:$N237,"&gt;="&amp;_xlfn.PERCENTILE.EXC(N$5:$N237,0.2)),0)</f>
        <v>0</v>
      </c>
      <c r="Q237" s="21">
        <f t="shared" ca="1" si="35"/>
        <v>44165</v>
      </c>
      <c r="R237" s="37">
        <f t="shared" ca="1" si="30"/>
        <v>0</v>
      </c>
      <c r="S237" s="4">
        <f ca="1">IFERROR(AVERAGE($R$5:R237),0)</f>
        <v>0</v>
      </c>
      <c r="U237" s="21">
        <f t="shared" ca="1" si="31"/>
        <v>44165</v>
      </c>
      <c r="V237" s="4">
        <f ca="1">MIN(S237,PREMISSAS!$C$14)</f>
        <v>0</v>
      </c>
      <c r="W237" s="188"/>
      <c r="X237" s="188"/>
    </row>
    <row r="238" spans="2:24" x14ac:dyDescent="0.3">
      <c r="B238" s="21">
        <f t="shared" ca="1" si="32"/>
        <v>51440</v>
      </c>
      <c r="C238" s="22">
        <f ca="1">IF(B238="","",IF(LEFT(B238,2)="13",C237,IF(MONTH(B238)=1,C237*(1+PREMISSAS!$C$58),C237)))</f>
        <v>0</v>
      </c>
      <c r="E238" s="18">
        <v>234</v>
      </c>
      <c r="F238" s="21" t="str">
        <f t="shared" ca="1" si="33"/>
        <v>13º 2020</v>
      </c>
      <c r="G238" s="22">
        <f ca="1">IFERROR(VLOOKUP(F238,RESULTADOS!$O$5:$P$543,2,FALSE),VLOOKUP(F238,$B$5:$C$842,2,FALSE))</f>
        <v>0</v>
      </c>
      <c r="H238" s="4">
        <f ca="1">IF(F238&lt;PREMISSAS!$D$7,0,IFERROR(VLOOKUP(IF(LEFT(F238,2)="13",DATE(YEAR(F237),12,31),F238),IPCA!$A:$D,4,FALSE),1)*G238)</f>
        <v>0</v>
      </c>
      <c r="J238" s="21" t="str">
        <f t="shared" ca="1" si="27"/>
        <v>13º 2020</v>
      </c>
      <c r="K238" s="4">
        <f t="shared" ca="1" si="28"/>
        <v>0</v>
      </c>
      <c r="M238" s="21" t="str">
        <f t="shared" ca="1" si="34"/>
        <v>13º 2020</v>
      </c>
      <c r="N238" s="37">
        <f t="shared" ca="1" si="29"/>
        <v>0</v>
      </c>
      <c r="O238" s="4">
        <f ca="1">IFERROR(AVERAGEIF(N$5:$N238,"&gt;="&amp;_xlfn.PERCENTILE.EXC(N$5:$N238,0.2)),0)</f>
        <v>0</v>
      </c>
      <c r="Q238" s="21" t="str">
        <f t="shared" ca="1" si="35"/>
        <v>13º 2020</v>
      </c>
      <c r="R238" s="37">
        <f t="shared" ca="1" si="30"/>
        <v>0</v>
      </c>
      <c r="S238" s="4">
        <f ca="1">IFERROR(AVERAGE($R$5:R238),0)</f>
        <v>0</v>
      </c>
      <c r="U238" s="21" t="str">
        <f t="shared" ca="1" si="31"/>
        <v>13º 2020</v>
      </c>
      <c r="V238" s="4">
        <f ca="1">MIN(S238,PREMISSAS!$C$14)</f>
        <v>0</v>
      </c>
      <c r="W238" s="188"/>
      <c r="X238" s="188"/>
    </row>
    <row r="239" spans="2:24" x14ac:dyDescent="0.3">
      <c r="B239" s="21">
        <f t="shared" ca="1" si="32"/>
        <v>51470</v>
      </c>
      <c r="C239" s="22">
        <f ca="1">IF(B239="","",IF(LEFT(B239,2)="13",C238,IF(MONTH(B239)=1,C238*(1+PREMISSAS!$C$58),C238)))</f>
        <v>0</v>
      </c>
      <c r="E239" s="18">
        <v>235</v>
      </c>
      <c r="F239" s="21">
        <f t="shared" ca="1" si="33"/>
        <v>44196</v>
      </c>
      <c r="G239" s="22">
        <f ca="1">IFERROR(VLOOKUP(F239,RESULTADOS!$O$5:$P$543,2,FALSE),VLOOKUP(F239,$B$5:$C$842,2,FALSE))</f>
        <v>0</v>
      </c>
      <c r="H239" s="4">
        <f ca="1">IF(F239&lt;PREMISSAS!$D$7,0,IFERROR(VLOOKUP(IF(LEFT(F239,2)="13",DATE(YEAR(F238),12,31),F239),IPCA!$A:$D,4,FALSE),1)*G239)</f>
        <v>0</v>
      </c>
      <c r="J239" s="21">
        <f t="shared" ca="1" si="27"/>
        <v>44196</v>
      </c>
      <c r="K239" s="4">
        <f t="shared" ca="1" si="28"/>
        <v>0</v>
      </c>
      <c r="M239" s="21">
        <f t="shared" ca="1" si="34"/>
        <v>44196</v>
      </c>
      <c r="N239" s="37">
        <f t="shared" ca="1" si="29"/>
        <v>0</v>
      </c>
      <c r="O239" s="4">
        <f ca="1">IFERROR(AVERAGEIF(N$5:$N239,"&gt;="&amp;_xlfn.PERCENTILE.EXC(N$5:$N239,0.2)),0)</f>
        <v>0</v>
      </c>
      <c r="Q239" s="21">
        <f t="shared" ca="1" si="35"/>
        <v>44196</v>
      </c>
      <c r="R239" s="37">
        <f t="shared" ca="1" si="30"/>
        <v>0</v>
      </c>
      <c r="S239" s="4">
        <f ca="1">IFERROR(AVERAGE($R$5:R239),0)</f>
        <v>0</v>
      </c>
      <c r="U239" s="21">
        <f t="shared" ca="1" si="31"/>
        <v>44196</v>
      </c>
      <c r="V239" s="4">
        <f ca="1">MIN(S239,PREMISSAS!$C$14)</f>
        <v>0</v>
      </c>
      <c r="W239" s="188"/>
      <c r="X239" s="188"/>
    </row>
    <row r="240" spans="2:24" x14ac:dyDescent="0.3">
      <c r="B240" s="21" t="str">
        <f t="shared" ca="1" si="32"/>
        <v>13º 2040</v>
      </c>
      <c r="C240" s="22">
        <f ca="1">IF(B240="","",IF(LEFT(B240,2)="13",C239,IF(MONTH(B240)=1,C239*(1+PREMISSAS!$C$58),C239)))</f>
        <v>0</v>
      </c>
      <c r="E240" s="18">
        <v>236</v>
      </c>
      <c r="F240" s="21">
        <f t="shared" ca="1" si="33"/>
        <v>44227</v>
      </c>
      <c r="G240" s="22">
        <f ca="1">IFERROR(VLOOKUP(F240,RESULTADOS!$O$5:$P$543,2,FALSE),VLOOKUP(F240,$B$5:$C$842,2,FALSE))</f>
        <v>0</v>
      </c>
      <c r="H240" s="4">
        <f ca="1">IF(F240&lt;PREMISSAS!$D$7,0,IFERROR(VLOOKUP(IF(LEFT(F240,2)="13",DATE(YEAR(F239),12,31),F240),IPCA!$A:$D,4,FALSE),1)*G240)</f>
        <v>0</v>
      </c>
      <c r="J240" s="21">
        <f t="shared" ca="1" si="27"/>
        <v>44227</v>
      </c>
      <c r="K240" s="4">
        <f t="shared" ca="1" si="28"/>
        <v>0</v>
      </c>
      <c r="M240" s="21">
        <f t="shared" ca="1" si="34"/>
        <v>44227</v>
      </c>
      <c r="N240" s="37">
        <f t="shared" ca="1" si="29"/>
        <v>0</v>
      </c>
      <c r="O240" s="4">
        <f ca="1">IFERROR(AVERAGEIF(N$5:$N240,"&gt;="&amp;_xlfn.PERCENTILE.EXC(N$5:$N240,0.2)),0)</f>
        <v>0</v>
      </c>
      <c r="Q240" s="21">
        <f t="shared" ca="1" si="35"/>
        <v>44227</v>
      </c>
      <c r="R240" s="37">
        <f t="shared" ca="1" si="30"/>
        <v>0</v>
      </c>
      <c r="S240" s="4">
        <f ca="1">IFERROR(AVERAGE($R$5:R240),0)</f>
        <v>0</v>
      </c>
      <c r="U240" s="21">
        <f t="shared" ca="1" si="31"/>
        <v>44227</v>
      </c>
      <c r="V240" s="4">
        <f ca="1">MIN(S240,PREMISSAS!$C$14)</f>
        <v>0</v>
      </c>
      <c r="W240" s="188"/>
      <c r="X240" s="188"/>
    </row>
    <row r="241" spans="2:24" x14ac:dyDescent="0.3">
      <c r="B241" s="21">
        <f t="shared" ca="1" si="32"/>
        <v>51501</v>
      </c>
      <c r="C241" s="22">
        <f ca="1">IF(B241="","",IF(LEFT(B241,2)="13",C240,IF(MONTH(B241)=1,C240*(1+PREMISSAS!$C$58),C240)))</f>
        <v>0</v>
      </c>
      <c r="E241" s="18">
        <v>237</v>
      </c>
      <c r="F241" s="21">
        <f t="shared" ca="1" si="33"/>
        <v>44255</v>
      </c>
      <c r="G241" s="22">
        <f ca="1">IFERROR(VLOOKUP(F241,RESULTADOS!$O$5:$P$543,2,FALSE),VLOOKUP(F241,$B$5:$C$842,2,FALSE))</f>
        <v>0</v>
      </c>
      <c r="H241" s="4">
        <f ca="1">IF(F241&lt;PREMISSAS!$D$7,0,IFERROR(VLOOKUP(IF(LEFT(F241,2)="13",DATE(YEAR(F240),12,31),F241),IPCA!$A:$D,4,FALSE),1)*G241)</f>
        <v>0</v>
      </c>
      <c r="J241" s="21">
        <f t="shared" ca="1" si="27"/>
        <v>44255</v>
      </c>
      <c r="K241" s="4">
        <f t="shared" ca="1" si="28"/>
        <v>0</v>
      </c>
      <c r="M241" s="21">
        <f t="shared" ca="1" si="34"/>
        <v>44255</v>
      </c>
      <c r="N241" s="37">
        <f t="shared" ca="1" si="29"/>
        <v>0</v>
      </c>
      <c r="O241" s="4">
        <f ca="1">IFERROR(AVERAGEIF(N$5:$N241,"&gt;="&amp;_xlfn.PERCENTILE.EXC(N$5:$N241,0.2)),0)</f>
        <v>0</v>
      </c>
      <c r="Q241" s="21">
        <f t="shared" ca="1" si="35"/>
        <v>44255</v>
      </c>
      <c r="R241" s="37">
        <f t="shared" ca="1" si="30"/>
        <v>0</v>
      </c>
      <c r="S241" s="4">
        <f ca="1">IFERROR(AVERAGE($R$5:R241),0)</f>
        <v>0</v>
      </c>
      <c r="U241" s="21">
        <f t="shared" ca="1" si="31"/>
        <v>44255</v>
      </c>
      <c r="V241" s="4">
        <f ca="1">MIN(S241,PREMISSAS!$C$14)</f>
        <v>0</v>
      </c>
      <c r="W241" s="188"/>
      <c r="X241" s="188"/>
    </row>
    <row r="242" spans="2:24" x14ac:dyDescent="0.3">
      <c r="B242" s="21">
        <f t="shared" ca="1" si="32"/>
        <v>51532</v>
      </c>
      <c r="C242" s="22">
        <f ca="1">IF(B242="","",IF(LEFT(B242,2)="13",C241,IF(MONTH(B242)=1,C241*(1+PREMISSAS!$C$58),C241)))</f>
        <v>0</v>
      </c>
      <c r="E242" s="18">
        <v>238</v>
      </c>
      <c r="F242" s="21">
        <f t="shared" ca="1" si="33"/>
        <v>44286</v>
      </c>
      <c r="G242" s="22">
        <f ca="1">IFERROR(VLOOKUP(F242,RESULTADOS!$O$5:$P$543,2,FALSE),VLOOKUP(F242,$B$5:$C$842,2,FALSE))</f>
        <v>0</v>
      </c>
      <c r="H242" s="4">
        <f ca="1">IF(F242&lt;PREMISSAS!$D$7,0,IFERROR(VLOOKUP(IF(LEFT(F242,2)="13",DATE(YEAR(F241),12,31),F242),IPCA!$A:$D,4,FALSE),1)*G242)</f>
        <v>0</v>
      </c>
      <c r="J242" s="21">
        <f t="shared" ca="1" si="27"/>
        <v>44286</v>
      </c>
      <c r="K242" s="4">
        <f t="shared" ca="1" si="28"/>
        <v>0</v>
      </c>
      <c r="M242" s="21">
        <f t="shared" ca="1" si="34"/>
        <v>44286</v>
      </c>
      <c r="N242" s="37">
        <f t="shared" ca="1" si="29"/>
        <v>0</v>
      </c>
      <c r="O242" s="4">
        <f ca="1">IFERROR(AVERAGEIF(N$5:$N242,"&gt;="&amp;_xlfn.PERCENTILE.EXC(N$5:$N242,0.2)),0)</f>
        <v>0</v>
      </c>
      <c r="Q242" s="21">
        <f t="shared" ca="1" si="35"/>
        <v>44286</v>
      </c>
      <c r="R242" s="37">
        <f t="shared" ca="1" si="30"/>
        <v>0</v>
      </c>
      <c r="S242" s="4">
        <f ca="1">IFERROR(AVERAGE($R$5:R242),0)</f>
        <v>0</v>
      </c>
      <c r="U242" s="21">
        <f t="shared" ca="1" si="31"/>
        <v>44286</v>
      </c>
      <c r="V242" s="4">
        <f ca="1">MIN(S242,PREMISSAS!$C$14)</f>
        <v>0</v>
      </c>
      <c r="W242" s="188"/>
      <c r="X242" s="188"/>
    </row>
    <row r="243" spans="2:24" x14ac:dyDescent="0.3">
      <c r="B243" s="21">
        <f t="shared" ca="1" si="32"/>
        <v>51560</v>
      </c>
      <c r="C243" s="22">
        <f ca="1">IF(B243="","",IF(LEFT(B243,2)="13",C242,IF(MONTH(B243)=1,C242*(1+PREMISSAS!$C$58),C242)))</f>
        <v>0</v>
      </c>
      <c r="E243" s="18">
        <v>239</v>
      </c>
      <c r="F243" s="21">
        <f t="shared" ca="1" si="33"/>
        <v>44316</v>
      </c>
      <c r="G243" s="22">
        <f ca="1">IFERROR(VLOOKUP(F243,RESULTADOS!$O$5:$P$543,2,FALSE),VLOOKUP(F243,$B$5:$C$842,2,FALSE))</f>
        <v>0</v>
      </c>
      <c r="H243" s="4">
        <f ca="1">IF(F243&lt;PREMISSAS!$D$7,0,IFERROR(VLOOKUP(IF(LEFT(F243,2)="13",DATE(YEAR(F242),12,31),F243),IPCA!$A:$D,4,FALSE),1)*G243)</f>
        <v>0</v>
      </c>
      <c r="J243" s="21">
        <f t="shared" ca="1" si="27"/>
        <v>44316</v>
      </c>
      <c r="K243" s="4">
        <f t="shared" ca="1" si="28"/>
        <v>0</v>
      </c>
      <c r="M243" s="21">
        <f t="shared" ca="1" si="34"/>
        <v>44316</v>
      </c>
      <c r="N243" s="37">
        <f t="shared" ca="1" si="29"/>
        <v>0</v>
      </c>
      <c r="O243" s="4">
        <f ca="1">IFERROR(AVERAGEIF(N$5:$N243,"&gt;="&amp;_xlfn.PERCENTILE.EXC(N$5:$N243,0.2)),0)</f>
        <v>0</v>
      </c>
      <c r="Q243" s="21">
        <f t="shared" ca="1" si="35"/>
        <v>44316</v>
      </c>
      <c r="R243" s="37">
        <f t="shared" ca="1" si="30"/>
        <v>0</v>
      </c>
      <c r="S243" s="4">
        <f ca="1">IFERROR(AVERAGE($R$5:R243),0)</f>
        <v>0</v>
      </c>
      <c r="U243" s="21">
        <f t="shared" ca="1" si="31"/>
        <v>44316</v>
      </c>
      <c r="V243" s="4">
        <f ca="1">MIN(S243,PREMISSAS!$C$14)</f>
        <v>0</v>
      </c>
      <c r="W243" s="188"/>
      <c r="X243" s="188"/>
    </row>
    <row r="244" spans="2:24" x14ac:dyDescent="0.3">
      <c r="B244" s="21">
        <f t="shared" ca="1" si="32"/>
        <v>51591</v>
      </c>
      <c r="C244" s="22">
        <f ca="1">IF(B244="","",IF(LEFT(B244,2)="13",C243,IF(MONTH(B244)=1,C243*(1+PREMISSAS!$C$58),C243)))</f>
        <v>0</v>
      </c>
      <c r="E244" s="18">
        <v>240</v>
      </c>
      <c r="F244" s="21">
        <f t="shared" ca="1" si="33"/>
        <v>44347</v>
      </c>
      <c r="G244" s="22">
        <f ca="1">IFERROR(VLOOKUP(F244,RESULTADOS!$O$5:$P$543,2,FALSE),VLOOKUP(F244,$B$5:$C$842,2,FALSE))</f>
        <v>0</v>
      </c>
      <c r="H244" s="4">
        <f ca="1">IF(F244&lt;PREMISSAS!$D$7,0,IFERROR(VLOOKUP(IF(LEFT(F244,2)="13",DATE(YEAR(F243),12,31),F244),IPCA!$A:$D,4,FALSE),1)*G244)</f>
        <v>0</v>
      </c>
      <c r="J244" s="21">
        <f t="shared" ca="1" si="27"/>
        <v>44347</v>
      </c>
      <c r="K244" s="4">
        <f t="shared" ca="1" si="28"/>
        <v>0</v>
      </c>
      <c r="M244" s="21">
        <f t="shared" ca="1" si="34"/>
        <v>44347</v>
      </c>
      <c r="N244" s="37">
        <f t="shared" ca="1" si="29"/>
        <v>0</v>
      </c>
      <c r="O244" s="4">
        <f ca="1">IFERROR(AVERAGEIF(N$5:$N244,"&gt;="&amp;_xlfn.PERCENTILE.EXC(N$5:$N244,0.2)),0)</f>
        <v>0</v>
      </c>
      <c r="Q244" s="21">
        <f t="shared" ca="1" si="35"/>
        <v>44347</v>
      </c>
      <c r="R244" s="37">
        <f t="shared" ca="1" si="30"/>
        <v>0</v>
      </c>
      <c r="S244" s="4">
        <f ca="1">IFERROR(AVERAGE($R$5:R244),0)</f>
        <v>0</v>
      </c>
      <c r="U244" s="21">
        <f t="shared" ca="1" si="31"/>
        <v>44347</v>
      </c>
      <c r="V244" s="4">
        <f ca="1">MIN(S244,PREMISSAS!$C$14)</f>
        <v>0</v>
      </c>
      <c r="W244" s="188"/>
      <c r="X244" s="188"/>
    </row>
    <row r="245" spans="2:24" x14ac:dyDescent="0.3">
      <c r="B245" s="21">
        <f t="shared" ca="1" si="32"/>
        <v>51621</v>
      </c>
      <c r="C245" s="22">
        <f ca="1">IF(B245="","",IF(LEFT(B245,2)="13",C244,IF(MONTH(B245)=1,C244*(1+PREMISSAS!$C$58),C244)))</f>
        <v>0</v>
      </c>
      <c r="E245" s="18">
        <v>241</v>
      </c>
      <c r="F245" s="21">
        <f t="shared" ca="1" si="33"/>
        <v>44377</v>
      </c>
      <c r="G245" s="22">
        <f ca="1">IFERROR(VLOOKUP(F245,RESULTADOS!$O$5:$P$543,2,FALSE),VLOOKUP(F245,$B$5:$C$842,2,FALSE))</f>
        <v>0</v>
      </c>
      <c r="H245" s="4">
        <f ca="1">IF(F245&lt;PREMISSAS!$D$7,0,IFERROR(VLOOKUP(IF(LEFT(F245,2)="13",DATE(YEAR(F244),12,31),F245),IPCA!$A:$D,4,FALSE),1)*G245)</f>
        <v>0</v>
      </c>
      <c r="J245" s="21">
        <f t="shared" ca="1" si="27"/>
        <v>44377</v>
      </c>
      <c r="K245" s="4">
        <f t="shared" ca="1" si="28"/>
        <v>0</v>
      </c>
      <c r="M245" s="21">
        <f t="shared" ca="1" si="34"/>
        <v>44377</v>
      </c>
      <c r="N245" s="37">
        <f t="shared" ca="1" si="29"/>
        <v>0</v>
      </c>
      <c r="O245" s="4">
        <f ca="1">IFERROR(AVERAGEIF(N$5:$N245,"&gt;="&amp;_xlfn.PERCENTILE.EXC(N$5:$N245,0.2)),0)</f>
        <v>0</v>
      </c>
      <c r="Q245" s="21">
        <f t="shared" ca="1" si="35"/>
        <v>44377</v>
      </c>
      <c r="R245" s="37">
        <f t="shared" ca="1" si="30"/>
        <v>0</v>
      </c>
      <c r="S245" s="4">
        <f ca="1">IFERROR(AVERAGE($R$5:R245),0)</f>
        <v>0</v>
      </c>
      <c r="U245" s="21">
        <f t="shared" ca="1" si="31"/>
        <v>44377</v>
      </c>
      <c r="V245" s="4">
        <f ca="1">MIN(S245,PREMISSAS!$C$14)</f>
        <v>0</v>
      </c>
      <c r="W245" s="188"/>
      <c r="X245" s="188"/>
    </row>
    <row r="246" spans="2:24" x14ac:dyDescent="0.3">
      <c r="B246" s="21">
        <f t="shared" ca="1" si="32"/>
        <v>51652</v>
      </c>
      <c r="C246" s="22">
        <f ca="1">IF(B246="","",IF(LEFT(B246,2)="13",C245,IF(MONTH(B246)=1,C245*(1+PREMISSAS!$C$58),C245)))</f>
        <v>0</v>
      </c>
      <c r="E246" s="18">
        <v>242</v>
      </c>
      <c r="F246" s="21">
        <f t="shared" ca="1" si="33"/>
        <v>44408</v>
      </c>
      <c r="G246" s="22">
        <f ca="1">IFERROR(VLOOKUP(F246,RESULTADOS!$O$5:$P$543,2,FALSE),VLOOKUP(F246,$B$5:$C$842,2,FALSE))</f>
        <v>0</v>
      </c>
      <c r="H246" s="4">
        <f ca="1">IF(F246&lt;PREMISSAS!$D$7,0,IFERROR(VLOOKUP(IF(LEFT(F246,2)="13",DATE(YEAR(F245),12,31),F246),IPCA!$A:$D,4,FALSE),1)*G246)</f>
        <v>0</v>
      </c>
      <c r="J246" s="21">
        <f t="shared" ca="1" si="27"/>
        <v>44408</v>
      </c>
      <c r="K246" s="4">
        <f t="shared" ca="1" si="28"/>
        <v>0</v>
      </c>
      <c r="M246" s="21">
        <f t="shared" ca="1" si="34"/>
        <v>44408</v>
      </c>
      <c r="N246" s="37">
        <f t="shared" ca="1" si="29"/>
        <v>0</v>
      </c>
      <c r="O246" s="4">
        <f ca="1">IFERROR(AVERAGEIF(N$5:$N246,"&gt;="&amp;_xlfn.PERCENTILE.EXC(N$5:$N246,0.2)),0)</f>
        <v>0</v>
      </c>
      <c r="Q246" s="21">
        <f t="shared" ca="1" si="35"/>
        <v>44408</v>
      </c>
      <c r="R246" s="37">
        <f t="shared" ca="1" si="30"/>
        <v>0</v>
      </c>
      <c r="S246" s="4">
        <f ca="1">IFERROR(AVERAGE($R$5:R246),0)</f>
        <v>0</v>
      </c>
      <c r="U246" s="21">
        <f t="shared" ca="1" si="31"/>
        <v>44408</v>
      </c>
      <c r="V246" s="4">
        <f ca="1">MIN(S246,PREMISSAS!$C$14)</f>
        <v>0</v>
      </c>
      <c r="W246" s="188"/>
      <c r="X246" s="188"/>
    </row>
    <row r="247" spans="2:24" x14ac:dyDescent="0.3">
      <c r="B247" s="21">
        <f t="shared" ca="1" si="32"/>
        <v>51682</v>
      </c>
      <c r="C247" s="22">
        <f ca="1">IF(B247="","",IF(LEFT(B247,2)="13",C246,IF(MONTH(B247)=1,C246*(1+PREMISSAS!$C$58),C246)))</f>
        <v>0</v>
      </c>
      <c r="E247" s="18">
        <v>243</v>
      </c>
      <c r="F247" s="21">
        <f t="shared" ca="1" si="33"/>
        <v>44439</v>
      </c>
      <c r="G247" s="22">
        <f ca="1">IFERROR(VLOOKUP(F247,RESULTADOS!$O$5:$P$543,2,FALSE),VLOOKUP(F247,$B$5:$C$842,2,FALSE))</f>
        <v>0</v>
      </c>
      <c r="H247" s="4">
        <f ca="1">IF(F247&lt;PREMISSAS!$D$7,0,IFERROR(VLOOKUP(IF(LEFT(F247,2)="13",DATE(YEAR(F246),12,31),F247),IPCA!$A:$D,4,FALSE),1)*G247)</f>
        <v>0</v>
      </c>
      <c r="J247" s="21">
        <f t="shared" ca="1" si="27"/>
        <v>44439</v>
      </c>
      <c r="K247" s="4">
        <f t="shared" ca="1" si="28"/>
        <v>0</v>
      </c>
      <c r="M247" s="21">
        <f t="shared" ca="1" si="34"/>
        <v>44439</v>
      </c>
      <c r="N247" s="37">
        <f t="shared" ca="1" si="29"/>
        <v>0</v>
      </c>
      <c r="O247" s="4">
        <f ca="1">IFERROR(AVERAGEIF(N$5:$N247,"&gt;="&amp;_xlfn.PERCENTILE.EXC(N$5:$N247,0.2)),0)</f>
        <v>0</v>
      </c>
      <c r="Q247" s="21">
        <f t="shared" ca="1" si="35"/>
        <v>44439</v>
      </c>
      <c r="R247" s="37">
        <f t="shared" ca="1" si="30"/>
        <v>0</v>
      </c>
      <c r="S247" s="4">
        <f ca="1">IFERROR(AVERAGE($R$5:R247),0)</f>
        <v>0</v>
      </c>
      <c r="U247" s="21">
        <f t="shared" ca="1" si="31"/>
        <v>44439</v>
      </c>
      <c r="V247" s="4">
        <f ca="1">MIN(S247,PREMISSAS!$C$14)</f>
        <v>0</v>
      </c>
      <c r="W247" s="188"/>
      <c r="X247" s="188"/>
    </row>
    <row r="248" spans="2:24" x14ac:dyDescent="0.3">
      <c r="B248" s="21">
        <f t="shared" ca="1" si="32"/>
        <v>51713</v>
      </c>
      <c r="C248" s="22">
        <f ca="1">IF(B248="","",IF(LEFT(B248,2)="13",C247,IF(MONTH(B248)=1,C247*(1+PREMISSAS!$C$58),C247)))</f>
        <v>0</v>
      </c>
      <c r="E248" s="18">
        <v>244</v>
      </c>
      <c r="F248" s="21">
        <f t="shared" ca="1" si="33"/>
        <v>44469</v>
      </c>
      <c r="G248" s="22">
        <f ca="1">IFERROR(VLOOKUP(F248,RESULTADOS!$O$5:$P$543,2,FALSE),VLOOKUP(F248,$B$5:$C$842,2,FALSE))</f>
        <v>0</v>
      </c>
      <c r="H248" s="4">
        <f ca="1">IF(F248&lt;PREMISSAS!$D$7,0,IFERROR(VLOOKUP(IF(LEFT(F248,2)="13",DATE(YEAR(F247),12,31),F248),IPCA!$A:$D,4,FALSE),1)*G248)</f>
        <v>0</v>
      </c>
      <c r="J248" s="21">
        <f t="shared" ca="1" si="27"/>
        <v>44469</v>
      </c>
      <c r="K248" s="4">
        <f t="shared" ca="1" si="28"/>
        <v>0</v>
      </c>
      <c r="M248" s="21">
        <f t="shared" ca="1" si="34"/>
        <v>44469</v>
      </c>
      <c r="N248" s="37">
        <f t="shared" ca="1" si="29"/>
        <v>0</v>
      </c>
      <c r="O248" s="4">
        <f ca="1">IFERROR(AVERAGEIF(N$5:$N248,"&gt;="&amp;_xlfn.PERCENTILE.EXC(N$5:$N248,0.2)),0)</f>
        <v>0</v>
      </c>
      <c r="Q248" s="21">
        <f t="shared" ca="1" si="35"/>
        <v>44469</v>
      </c>
      <c r="R248" s="37">
        <f t="shared" ca="1" si="30"/>
        <v>0</v>
      </c>
      <c r="S248" s="4">
        <f ca="1">IFERROR(AVERAGE($R$5:R248),0)</f>
        <v>0</v>
      </c>
      <c r="U248" s="21">
        <f t="shared" ca="1" si="31"/>
        <v>44469</v>
      </c>
      <c r="V248" s="4">
        <f ca="1">MIN(S248,PREMISSAS!$C$14)</f>
        <v>0</v>
      </c>
      <c r="W248" s="188"/>
      <c r="X248" s="188"/>
    </row>
    <row r="249" spans="2:24" x14ac:dyDescent="0.3">
      <c r="B249" s="21">
        <f t="shared" ca="1" si="32"/>
        <v>51744</v>
      </c>
      <c r="C249" s="22">
        <f ca="1">IF(B249="","",IF(LEFT(B249,2)="13",C248,IF(MONTH(B249)=1,C248*(1+PREMISSAS!$C$58),C248)))</f>
        <v>0</v>
      </c>
      <c r="E249" s="18">
        <v>245</v>
      </c>
      <c r="F249" s="21">
        <f t="shared" ca="1" si="33"/>
        <v>44500</v>
      </c>
      <c r="G249" s="22">
        <f ca="1">IFERROR(VLOOKUP(F249,RESULTADOS!$O$5:$P$543,2,FALSE),VLOOKUP(F249,$B$5:$C$842,2,FALSE))</f>
        <v>0</v>
      </c>
      <c r="H249" s="4">
        <f ca="1">IF(F249&lt;PREMISSAS!$D$7,0,IFERROR(VLOOKUP(IF(LEFT(F249,2)="13",DATE(YEAR(F248),12,31),F249),IPCA!$A:$D,4,FALSE),1)*G249)</f>
        <v>0</v>
      </c>
      <c r="J249" s="21">
        <f t="shared" ca="1" si="27"/>
        <v>44500</v>
      </c>
      <c r="K249" s="4">
        <f t="shared" ca="1" si="28"/>
        <v>0</v>
      </c>
      <c r="M249" s="21">
        <f t="shared" ca="1" si="34"/>
        <v>44500</v>
      </c>
      <c r="N249" s="37">
        <f t="shared" ca="1" si="29"/>
        <v>0</v>
      </c>
      <c r="O249" s="4">
        <f ca="1">IFERROR(AVERAGEIF(N$5:$N249,"&gt;="&amp;_xlfn.PERCENTILE.EXC(N$5:$N249,0.2)),0)</f>
        <v>0</v>
      </c>
      <c r="Q249" s="21">
        <f t="shared" ca="1" si="35"/>
        <v>44500</v>
      </c>
      <c r="R249" s="37">
        <f t="shared" ca="1" si="30"/>
        <v>0</v>
      </c>
      <c r="S249" s="4">
        <f ca="1">IFERROR(AVERAGE($R$5:R249),0)</f>
        <v>0</v>
      </c>
      <c r="U249" s="21">
        <f t="shared" ca="1" si="31"/>
        <v>44500</v>
      </c>
      <c r="V249" s="4">
        <f ca="1">MIN(S249,PREMISSAS!$C$14)</f>
        <v>0</v>
      </c>
      <c r="W249" s="188"/>
      <c r="X249" s="188"/>
    </row>
    <row r="250" spans="2:24" x14ac:dyDescent="0.3">
      <c r="B250" s="21">
        <f t="shared" ca="1" si="32"/>
        <v>51774</v>
      </c>
      <c r="C250" s="22">
        <f ca="1">IF(B250="","",IF(LEFT(B250,2)="13",C249,IF(MONTH(B250)=1,C249*(1+PREMISSAS!$C$58),C249)))</f>
        <v>0</v>
      </c>
      <c r="E250" s="18">
        <v>246</v>
      </c>
      <c r="F250" s="21">
        <f t="shared" ca="1" si="33"/>
        <v>44530</v>
      </c>
      <c r="G250" s="22">
        <f ca="1">IFERROR(VLOOKUP(F250,RESULTADOS!$O$5:$P$543,2,FALSE),VLOOKUP(F250,$B$5:$C$842,2,FALSE))</f>
        <v>0</v>
      </c>
      <c r="H250" s="4">
        <f ca="1">IF(F250&lt;PREMISSAS!$D$7,0,IFERROR(VLOOKUP(IF(LEFT(F250,2)="13",DATE(YEAR(F249),12,31),F250),IPCA!$A:$D,4,FALSE),1)*G250)</f>
        <v>0</v>
      </c>
      <c r="J250" s="21">
        <f t="shared" ca="1" si="27"/>
        <v>44530</v>
      </c>
      <c r="K250" s="4">
        <f t="shared" ca="1" si="28"/>
        <v>0</v>
      </c>
      <c r="M250" s="21">
        <f t="shared" ca="1" si="34"/>
        <v>44530</v>
      </c>
      <c r="N250" s="37">
        <f t="shared" ca="1" si="29"/>
        <v>0</v>
      </c>
      <c r="O250" s="4">
        <f ca="1">IFERROR(AVERAGEIF(N$5:$N250,"&gt;="&amp;_xlfn.PERCENTILE.EXC(N$5:$N250,0.2)),0)</f>
        <v>0</v>
      </c>
      <c r="Q250" s="21">
        <f t="shared" ca="1" si="35"/>
        <v>44530</v>
      </c>
      <c r="R250" s="37">
        <f t="shared" ca="1" si="30"/>
        <v>0</v>
      </c>
      <c r="S250" s="4">
        <f ca="1">IFERROR(AVERAGE($R$5:R250),0)</f>
        <v>0</v>
      </c>
      <c r="U250" s="21">
        <f t="shared" ca="1" si="31"/>
        <v>44530</v>
      </c>
      <c r="V250" s="4">
        <f ca="1">MIN(S250,PREMISSAS!$C$14)</f>
        <v>0</v>
      </c>
      <c r="W250" s="188"/>
      <c r="X250" s="188"/>
    </row>
    <row r="251" spans="2:24" x14ac:dyDescent="0.3">
      <c r="B251" s="21">
        <f t="shared" ca="1" si="32"/>
        <v>51805</v>
      </c>
      <c r="C251" s="22">
        <f ca="1">IF(B251="","",IF(LEFT(B251,2)="13",C250,IF(MONTH(B251)=1,C250*(1+PREMISSAS!$C$58),C250)))</f>
        <v>0</v>
      </c>
      <c r="E251" s="18">
        <v>247</v>
      </c>
      <c r="F251" s="21" t="str">
        <f t="shared" ca="1" si="33"/>
        <v>13º 2021</v>
      </c>
      <c r="G251" s="22">
        <f ca="1">IFERROR(VLOOKUP(F251,RESULTADOS!$O$5:$P$543,2,FALSE),VLOOKUP(F251,$B$5:$C$842,2,FALSE))</f>
        <v>0</v>
      </c>
      <c r="H251" s="4">
        <f ca="1">IF(F251&lt;PREMISSAS!$D$7,0,IFERROR(VLOOKUP(IF(LEFT(F251,2)="13",DATE(YEAR(F250),12,31),F251),IPCA!$A:$D,4,FALSE),1)*G251)</f>
        <v>0</v>
      </c>
      <c r="J251" s="21" t="str">
        <f t="shared" ca="1" si="27"/>
        <v>13º 2021</v>
      </c>
      <c r="K251" s="4">
        <f t="shared" ca="1" si="28"/>
        <v>0</v>
      </c>
      <c r="M251" s="21" t="str">
        <f t="shared" ca="1" si="34"/>
        <v>13º 2021</v>
      </c>
      <c r="N251" s="37">
        <f t="shared" ca="1" si="29"/>
        <v>0</v>
      </c>
      <c r="O251" s="4">
        <f ca="1">IFERROR(AVERAGEIF(N$5:$N251,"&gt;="&amp;_xlfn.PERCENTILE.EXC(N$5:$N251,0.2)),0)</f>
        <v>0</v>
      </c>
      <c r="Q251" s="21" t="str">
        <f t="shared" ca="1" si="35"/>
        <v>13º 2021</v>
      </c>
      <c r="R251" s="37">
        <f t="shared" ca="1" si="30"/>
        <v>0</v>
      </c>
      <c r="S251" s="4">
        <f ca="1">IFERROR(AVERAGE($R$5:R251),0)</f>
        <v>0</v>
      </c>
      <c r="U251" s="21" t="str">
        <f t="shared" ca="1" si="31"/>
        <v>13º 2021</v>
      </c>
      <c r="V251" s="4">
        <f ca="1">MIN(S251,PREMISSAS!$C$14)</f>
        <v>0</v>
      </c>
      <c r="W251" s="188"/>
      <c r="X251" s="188"/>
    </row>
    <row r="252" spans="2:24" x14ac:dyDescent="0.3">
      <c r="B252" s="21">
        <f t="shared" ca="1" si="32"/>
        <v>51835</v>
      </c>
      <c r="C252" s="22">
        <f ca="1">IF(B252="","",IF(LEFT(B252,2)="13",C251,IF(MONTH(B252)=1,C251*(1+PREMISSAS!$C$58),C251)))</f>
        <v>0</v>
      </c>
      <c r="E252" s="18">
        <v>248</v>
      </c>
      <c r="F252" s="21">
        <f t="shared" ca="1" si="33"/>
        <v>44561</v>
      </c>
      <c r="G252" s="22">
        <f ca="1">IFERROR(VLOOKUP(F252,RESULTADOS!$O$5:$P$543,2,FALSE),VLOOKUP(F252,$B$5:$C$842,2,FALSE))</f>
        <v>0</v>
      </c>
      <c r="H252" s="4">
        <f ca="1">IF(F252&lt;PREMISSAS!$D$7,0,IFERROR(VLOOKUP(IF(LEFT(F252,2)="13",DATE(YEAR(F251),12,31),F252),IPCA!$A:$D,4,FALSE),1)*G252)</f>
        <v>0</v>
      </c>
      <c r="J252" s="21">
        <f t="shared" ca="1" si="27"/>
        <v>44561</v>
      </c>
      <c r="K252" s="4">
        <f t="shared" ca="1" si="28"/>
        <v>0</v>
      </c>
      <c r="M252" s="21">
        <f t="shared" ca="1" si="34"/>
        <v>44561</v>
      </c>
      <c r="N252" s="37">
        <f t="shared" ca="1" si="29"/>
        <v>0</v>
      </c>
      <c r="O252" s="4">
        <f ca="1">IFERROR(AVERAGEIF(N$5:$N252,"&gt;="&amp;_xlfn.PERCENTILE.EXC(N$5:$N252,0.2)),0)</f>
        <v>0</v>
      </c>
      <c r="Q252" s="21">
        <f t="shared" ca="1" si="35"/>
        <v>44561</v>
      </c>
      <c r="R252" s="37">
        <f t="shared" ca="1" si="30"/>
        <v>0</v>
      </c>
      <c r="S252" s="4">
        <f ca="1">IFERROR(AVERAGE($R$5:R252),0)</f>
        <v>0</v>
      </c>
      <c r="U252" s="21">
        <f t="shared" ca="1" si="31"/>
        <v>44561</v>
      </c>
      <c r="V252" s="4">
        <f ca="1">MIN(S252,PREMISSAS!$C$14)</f>
        <v>0</v>
      </c>
      <c r="W252" s="188"/>
      <c r="X252" s="188"/>
    </row>
    <row r="253" spans="2:24" x14ac:dyDescent="0.3">
      <c r="B253" s="21" t="str">
        <f t="shared" ca="1" si="32"/>
        <v>13º 2041</v>
      </c>
      <c r="C253" s="22">
        <f ca="1">IF(B253="","",IF(LEFT(B253,2)="13",C252,IF(MONTH(B253)=1,C252*(1+PREMISSAS!$C$58),C252)))</f>
        <v>0</v>
      </c>
      <c r="E253" s="18">
        <v>249</v>
      </c>
      <c r="F253" s="21">
        <f t="shared" ca="1" si="33"/>
        <v>44592</v>
      </c>
      <c r="G253" s="22">
        <f ca="1">IFERROR(VLOOKUP(F253,RESULTADOS!$O$5:$P$543,2,FALSE),VLOOKUP(F253,$B$5:$C$842,2,FALSE))</f>
        <v>0</v>
      </c>
      <c r="H253" s="4">
        <f ca="1">IF(F253&lt;PREMISSAS!$D$7,0,IFERROR(VLOOKUP(IF(LEFT(F253,2)="13",DATE(YEAR(F252),12,31),F253),IPCA!$A:$D,4,FALSE),1)*G253)</f>
        <v>0</v>
      </c>
      <c r="J253" s="21">
        <f t="shared" ca="1" si="27"/>
        <v>44592</v>
      </c>
      <c r="K253" s="4">
        <f t="shared" ca="1" si="28"/>
        <v>0</v>
      </c>
      <c r="M253" s="21">
        <f t="shared" ca="1" si="34"/>
        <v>44592</v>
      </c>
      <c r="N253" s="37">
        <f t="shared" ca="1" si="29"/>
        <v>0</v>
      </c>
      <c r="O253" s="4">
        <f ca="1">IFERROR(AVERAGEIF(N$5:$N253,"&gt;="&amp;_xlfn.PERCENTILE.EXC(N$5:$N253,0.2)),0)</f>
        <v>0</v>
      </c>
      <c r="Q253" s="21">
        <f t="shared" ca="1" si="35"/>
        <v>44592</v>
      </c>
      <c r="R253" s="37">
        <f t="shared" ca="1" si="30"/>
        <v>0</v>
      </c>
      <c r="S253" s="4">
        <f ca="1">IFERROR(AVERAGE($R$5:R253),0)</f>
        <v>0</v>
      </c>
      <c r="U253" s="21">
        <f t="shared" ca="1" si="31"/>
        <v>44592</v>
      </c>
      <c r="V253" s="4">
        <f ca="1">MIN(S253,PREMISSAS!$C$14)</f>
        <v>0</v>
      </c>
      <c r="W253" s="188"/>
      <c r="X253" s="188"/>
    </row>
    <row r="254" spans="2:24" x14ac:dyDescent="0.3">
      <c r="B254" s="21">
        <f t="shared" ca="1" si="32"/>
        <v>51866</v>
      </c>
      <c r="C254" s="22">
        <f ca="1">IF(B254="","",IF(LEFT(B254,2)="13",C253,IF(MONTH(B254)=1,C253*(1+PREMISSAS!$C$58),C253)))</f>
        <v>0</v>
      </c>
      <c r="E254" s="18">
        <v>250</v>
      </c>
      <c r="F254" s="21">
        <f t="shared" ca="1" si="33"/>
        <v>44620</v>
      </c>
      <c r="G254" s="22">
        <f ca="1">IFERROR(VLOOKUP(F254,RESULTADOS!$O$5:$P$543,2,FALSE),VLOOKUP(F254,$B$5:$C$842,2,FALSE))</f>
        <v>0</v>
      </c>
      <c r="H254" s="4">
        <f ca="1">IF(F254&lt;PREMISSAS!$D$7,0,IFERROR(VLOOKUP(IF(LEFT(F254,2)="13",DATE(YEAR(F253),12,31),F254),IPCA!$A:$D,4,FALSE),1)*G254)</f>
        <v>0</v>
      </c>
      <c r="J254" s="21">
        <f t="shared" ca="1" si="27"/>
        <v>44620</v>
      </c>
      <c r="K254" s="4">
        <f t="shared" ca="1" si="28"/>
        <v>0</v>
      </c>
      <c r="M254" s="21">
        <f t="shared" ca="1" si="34"/>
        <v>44620</v>
      </c>
      <c r="N254" s="37">
        <f t="shared" ca="1" si="29"/>
        <v>0</v>
      </c>
      <c r="O254" s="4">
        <f ca="1">IFERROR(AVERAGEIF(N$5:$N254,"&gt;="&amp;_xlfn.PERCENTILE.EXC(N$5:$N254,0.2)),0)</f>
        <v>0</v>
      </c>
      <c r="Q254" s="21">
        <f t="shared" ca="1" si="35"/>
        <v>44620</v>
      </c>
      <c r="R254" s="37">
        <f t="shared" ca="1" si="30"/>
        <v>0</v>
      </c>
      <c r="S254" s="4">
        <f ca="1">IFERROR(AVERAGE($R$5:R254),0)</f>
        <v>0</v>
      </c>
      <c r="U254" s="21">
        <f t="shared" ca="1" si="31"/>
        <v>44620</v>
      </c>
      <c r="V254" s="4">
        <f ca="1">MIN(S254,PREMISSAS!$C$14)</f>
        <v>0</v>
      </c>
      <c r="W254" s="188"/>
      <c r="X254" s="188"/>
    </row>
    <row r="255" spans="2:24" x14ac:dyDescent="0.3">
      <c r="B255" s="21">
        <f t="shared" ca="1" si="32"/>
        <v>51897</v>
      </c>
      <c r="C255" s="22">
        <f ca="1">IF(B255="","",IF(LEFT(B255,2)="13",C254,IF(MONTH(B255)=1,C254*(1+PREMISSAS!$C$58),C254)))</f>
        <v>0</v>
      </c>
      <c r="E255" s="18">
        <v>251</v>
      </c>
      <c r="F255" s="21">
        <f t="shared" ca="1" si="33"/>
        <v>44651</v>
      </c>
      <c r="G255" s="22">
        <f ca="1">IFERROR(VLOOKUP(F255,RESULTADOS!$O$5:$P$543,2,FALSE),VLOOKUP(F255,$B$5:$C$842,2,FALSE))</f>
        <v>0</v>
      </c>
      <c r="H255" s="4">
        <f ca="1">IF(F255&lt;PREMISSAS!$D$7,0,IFERROR(VLOOKUP(IF(LEFT(F255,2)="13",DATE(YEAR(F254),12,31),F255),IPCA!$A:$D,4,FALSE),1)*G255)</f>
        <v>0</v>
      </c>
      <c r="J255" s="21">
        <f t="shared" ca="1" si="27"/>
        <v>44651</v>
      </c>
      <c r="K255" s="4">
        <f t="shared" ca="1" si="28"/>
        <v>0</v>
      </c>
      <c r="M255" s="21">
        <f t="shared" ca="1" si="34"/>
        <v>44651</v>
      </c>
      <c r="N255" s="37">
        <f t="shared" ca="1" si="29"/>
        <v>0</v>
      </c>
      <c r="O255" s="4">
        <f ca="1">IFERROR(AVERAGEIF(N$5:$N255,"&gt;="&amp;_xlfn.PERCENTILE.EXC(N$5:$N255,0.2)),0)</f>
        <v>0</v>
      </c>
      <c r="Q255" s="21">
        <f t="shared" ca="1" si="35"/>
        <v>44651</v>
      </c>
      <c r="R255" s="37">
        <f t="shared" ca="1" si="30"/>
        <v>0</v>
      </c>
      <c r="S255" s="4">
        <f ca="1">IFERROR(AVERAGE($R$5:R255),0)</f>
        <v>0</v>
      </c>
      <c r="U255" s="21">
        <f t="shared" ca="1" si="31"/>
        <v>44651</v>
      </c>
      <c r="V255" s="4">
        <f ca="1">MIN(S255,PREMISSAS!$C$14)</f>
        <v>0</v>
      </c>
      <c r="W255" s="188"/>
      <c r="X255" s="188"/>
    </row>
    <row r="256" spans="2:24" x14ac:dyDescent="0.3">
      <c r="B256" s="21">
        <f t="shared" ca="1" si="32"/>
        <v>51925</v>
      </c>
      <c r="C256" s="22">
        <f ca="1">IF(B256="","",IF(LEFT(B256,2)="13",C255,IF(MONTH(B256)=1,C255*(1+PREMISSAS!$C$58),C255)))</f>
        <v>0</v>
      </c>
      <c r="E256" s="18">
        <v>252</v>
      </c>
      <c r="F256" s="21">
        <f t="shared" ca="1" si="33"/>
        <v>44681</v>
      </c>
      <c r="G256" s="22">
        <f ca="1">IFERROR(VLOOKUP(F256,RESULTADOS!$O$5:$P$543,2,FALSE),VLOOKUP(F256,$B$5:$C$842,2,FALSE))</f>
        <v>0</v>
      </c>
      <c r="H256" s="4">
        <f ca="1">IF(F256&lt;PREMISSAS!$D$7,0,IFERROR(VLOOKUP(IF(LEFT(F256,2)="13",DATE(YEAR(F255),12,31),F256),IPCA!$A:$D,4,FALSE),1)*G256)</f>
        <v>0</v>
      </c>
      <c r="J256" s="21">
        <f t="shared" ca="1" si="27"/>
        <v>44681</v>
      </c>
      <c r="K256" s="4">
        <f t="shared" ca="1" si="28"/>
        <v>0</v>
      </c>
      <c r="M256" s="21">
        <f t="shared" ca="1" si="34"/>
        <v>44681</v>
      </c>
      <c r="N256" s="37">
        <f t="shared" ca="1" si="29"/>
        <v>0</v>
      </c>
      <c r="O256" s="4">
        <f ca="1">IFERROR(AVERAGEIF(N$5:$N256,"&gt;="&amp;_xlfn.PERCENTILE.EXC(N$5:$N256,0.2)),0)</f>
        <v>0</v>
      </c>
      <c r="Q256" s="21">
        <f t="shared" ca="1" si="35"/>
        <v>44681</v>
      </c>
      <c r="R256" s="37">
        <f t="shared" ca="1" si="30"/>
        <v>0</v>
      </c>
      <c r="S256" s="4">
        <f ca="1">IFERROR(AVERAGE($R$5:R256),0)</f>
        <v>0</v>
      </c>
      <c r="U256" s="21">
        <f t="shared" ca="1" si="31"/>
        <v>44681</v>
      </c>
      <c r="V256" s="4">
        <f ca="1">MIN(S256,PREMISSAS!$C$14)</f>
        <v>0</v>
      </c>
      <c r="W256" s="188"/>
      <c r="X256" s="188"/>
    </row>
    <row r="257" spans="2:24" x14ac:dyDescent="0.3">
      <c r="B257" s="21">
        <f t="shared" ca="1" si="32"/>
        <v>51956</v>
      </c>
      <c r="C257" s="22">
        <f ca="1">IF(B257="","",IF(LEFT(B257,2)="13",C256,IF(MONTH(B257)=1,C256*(1+PREMISSAS!$C$58),C256)))</f>
        <v>0</v>
      </c>
      <c r="E257" s="18">
        <v>253</v>
      </c>
      <c r="F257" s="21">
        <f t="shared" ca="1" si="33"/>
        <v>44712</v>
      </c>
      <c r="G257" s="22">
        <f ca="1">IFERROR(VLOOKUP(F257,RESULTADOS!$O$5:$P$543,2,FALSE),VLOOKUP(F257,$B$5:$C$842,2,FALSE))</f>
        <v>0</v>
      </c>
      <c r="H257" s="4">
        <f ca="1">IF(F257&lt;PREMISSAS!$D$7,0,IFERROR(VLOOKUP(IF(LEFT(F257,2)="13",DATE(YEAR(F256),12,31),F257),IPCA!$A:$D,4,FALSE),1)*G257)</f>
        <v>0</v>
      </c>
      <c r="J257" s="21">
        <f t="shared" ca="1" si="27"/>
        <v>44712</v>
      </c>
      <c r="K257" s="4">
        <f t="shared" ca="1" si="28"/>
        <v>0</v>
      </c>
      <c r="M257" s="21">
        <f t="shared" ca="1" si="34"/>
        <v>44712</v>
      </c>
      <c r="N257" s="37">
        <f t="shared" ca="1" si="29"/>
        <v>0</v>
      </c>
      <c r="O257" s="4">
        <f ca="1">IFERROR(AVERAGEIF(N$5:$N257,"&gt;="&amp;_xlfn.PERCENTILE.EXC(N$5:$N257,0.2)),0)</f>
        <v>0</v>
      </c>
      <c r="Q257" s="21">
        <f t="shared" ca="1" si="35"/>
        <v>44712</v>
      </c>
      <c r="R257" s="37">
        <f t="shared" ca="1" si="30"/>
        <v>0</v>
      </c>
      <c r="S257" s="4">
        <f ca="1">IFERROR(AVERAGE($R$5:R257),0)</f>
        <v>0</v>
      </c>
      <c r="U257" s="21">
        <f t="shared" ca="1" si="31"/>
        <v>44712</v>
      </c>
      <c r="V257" s="4">
        <f ca="1">MIN(S257,PREMISSAS!$C$14)</f>
        <v>0</v>
      </c>
      <c r="W257" s="188"/>
      <c r="X257" s="188"/>
    </row>
    <row r="258" spans="2:24" x14ac:dyDescent="0.3">
      <c r="B258" s="21">
        <f t="shared" ca="1" si="32"/>
        <v>51986</v>
      </c>
      <c r="C258" s="22">
        <f ca="1">IF(B258="","",IF(LEFT(B258,2)="13",C257,IF(MONTH(B258)=1,C257*(1+PREMISSAS!$C$58),C257)))</f>
        <v>0</v>
      </c>
      <c r="E258" s="18">
        <v>254</v>
      </c>
      <c r="F258" s="21">
        <f t="shared" ca="1" si="33"/>
        <v>44742</v>
      </c>
      <c r="G258" s="22">
        <f ca="1">IFERROR(VLOOKUP(F258,RESULTADOS!$O$5:$P$543,2,FALSE),VLOOKUP(F258,$B$5:$C$842,2,FALSE))</f>
        <v>0</v>
      </c>
      <c r="H258" s="4">
        <f ca="1">IF(F258&lt;PREMISSAS!$D$7,0,IFERROR(VLOOKUP(IF(LEFT(F258,2)="13",DATE(YEAR(F257),12,31),F258),IPCA!$A:$D,4,FALSE),1)*G258)</f>
        <v>0</v>
      </c>
      <c r="J258" s="21">
        <f t="shared" ca="1" si="27"/>
        <v>44742</v>
      </c>
      <c r="K258" s="4">
        <f t="shared" ca="1" si="28"/>
        <v>0</v>
      </c>
      <c r="M258" s="21">
        <f t="shared" ca="1" si="34"/>
        <v>44742</v>
      </c>
      <c r="N258" s="37">
        <f t="shared" ca="1" si="29"/>
        <v>0</v>
      </c>
      <c r="O258" s="4">
        <f ca="1">IFERROR(AVERAGEIF(N$5:$N258,"&gt;="&amp;_xlfn.PERCENTILE.EXC(N$5:$N258,0.2)),0)</f>
        <v>0</v>
      </c>
      <c r="Q258" s="21">
        <f t="shared" ca="1" si="35"/>
        <v>44742</v>
      </c>
      <c r="R258" s="37">
        <f t="shared" ca="1" si="30"/>
        <v>0</v>
      </c>
      <c r="S258" s="4">
        <f ca="1">IFERROR(AVERAGE($R$5:R258),0)</f>
        <v>0</v>
      </c>
      <c r="U258" s="21">
        <f t="shared" ca="1" si="31"/>
        <v>44742</v>
      </c>
      <c r="V258" s="4">
        <f ca="1">MIN(S258,PREMISSAS!$C$14)</f>
        <v>0</v>
      </c>
      <c r="W258" s="188"/>
      <c r="X258" s="188"/>
    </row>
    <row r="259" spans="2:24" x14ac:dyDescent="0.3">
      <c r="B259" s="21">
        <f t="shared" ca="1" si="32"/>
        <v>52017</v>
      </c>
      <c r="C259" s="22">
        <f ca="1">IF(B259="","",IF(LEFT(B259,2)="13",C258,IF(MONTH(B259)=1,C258*(1+PREMISSAS!$C$58),C258)))</f>
        <v>0</v>
      </c>
      <c r="E259" s="18">
        <v>255</v>
      </c>
      <c r="F259" s="21">
        <f t="shared" ca="1" si="33"/>
        <v>44773</v>
      </c>
      <c r="G259" s="22">
        <f ca="1">IFERROR(VLOOKUP(F259,RESULTADOS!$O$5:$P$543,2,FALSE),VLOOKUP(F259,$B$5:$C$842,2,FALSE))</f>
        <v>0</v>
      </c>
      <c r="H259" s="4">
        <f ca="1">IF(F259&lt;PREMISSAS!$D$7,0,IFERROR(VLOOKUP(IF(LEFT(F259,2)="13",DATE(YEAR(F258),12,31),F259),IPCA!$A:$D,4,FALSE),1)*G259)</f>
        <v>0</v>
      </c>
      <c r="J259" s="21">
        <f t="shared" ca="1" si="27"/>
        <v>44773</v>
      </c>
      <c r="K259" s="4">
        <f t="shared" ca="1" si="28"/>
        <v>0</v>
      </c>
      <c r="M259" s="21">
        <f t="shared" ca="1" si="34"/>
        <v>44773</v>
      </c>
      <c r="N259" s="37">
        <f t="shared" ca="1" si="29"/>
        <v>0</v>
      </c>
      <c r="O259" s="4">
        <f ca="1">IFERROR(AVERAGEIF(N$5:$N259,"&gt;="&amp;_xlfn.PERCENTILE.EXC(N$5:$N259,0.2)),0)</f>
        <v>0</v>
      </c>
      <c r="Q259" s="21">
        <f t="shared" ca="1" si="35"/>
        <v>44773</v>
      </c>
      <c r="R259" s="37">
        <f t="shared" ca="1" si="30"/>
        <v>0</v>
      </c>
      <c r="S259" s="4">
        <f ca="1">IFERROR(AVERAGE($R$5:R259),0)</f>
        <v>0</v>
      </c>
      <c r="U259" s="21">
        <f t="shared" ca="1" si="31"/>
        <v>44773</v>
      </c>
      <c r="V259" s="4">
        <f ca="1">MIN(S259,PREMISSAS!$C$14)</f>
        <v>0</v>
      </c>
      <c r="W259" s="188"/>
      <c r="X259" s="188"/>
    </row>
    <row r="260" spans="2:24" x14ac:dyDescent="0.3">
      <c r="B260" s="21">
        <f t="shared" ca="1" si="32"/>
        <v>52047</v>
      </c>
      <c r="C260" s="22">
        <f ca="1">IF(B260="","",IF(LEFT(B260,2)="13",C259,IF(MONTH(B260)=1,C259*(1+PREMISSAS!$C$58),C259)))</f>
        <v>0</v>
      </c>
      <c r="E260" s="18">
        <v>256</v>
      </c>
      <c r="F260" s="21">
        <f t="shared" ca="1" si="33"/>
        <v>44804</v>
      </c>
      <c r="G260" s="22">
        <f ca="1">IFERROR(VLOOKUP(F260,RESULTADOS!$O$5:$P$543,2,FALSE),VLOOKUP(F260,$B$5:$C$842,2,FALSE))</f>
        <v>0</v>
      </c>
      <c r="H260" s="4">
        <f ca="1">IF(F260&lt;PREMISSAS!$D$7,0,IFERROR(VLOOKUP(IF(LEFT(F260,2)="13",DATE(YEAR(F259),12,31),F260),IPCA!$A:$D,4,FALSE),1)*G260)</f>
        <v>0</v>
      </c>
      <c r="J260" s="21">
        <f t="shared" ca="1" si="27"/>
        <v>44804</v>
      </c>
      <c r="K260" s="4">
        <f t="shared" ca="1" si="28"/>
        <v>0</v>
      </c>
      <c r="M260" s="21">
        <f t="shared" ca="1" si="34"/>
        <v>44804</v>
      </c>
      <c r="N260" s="37">
        <f t="shared" ca="1" si="29"/>
        <v>0</v>
      </c>
      <c r="O260" s="4">
        <f ca="1">IFERROR(AVERAGEIF(N$5:$N260,"&gt;="&amp;_xlfn.PERCENTILE.EXC(N$5:$N260,0.2)),0)</f>
        <v>0</v>
      </c>
      <c r="Q260" s="21">
        <f t="shared" ca="1" si="35"/>
        <v>44804</v>
      </c>
      <c r="R260" s="37">
        <f t="shared" ca="1" si="30"/>
        <v>0</v>
      </c>
      <c r="S260" s="4">
        <f ca="1">IFERROR(AVERAGE($R$5:R260),0)</f>
        <v>0</v>
      </c>
      <c r="U260" s="21">
        <f t="shared" ca="1" si="31"/>
        <v>44804</v>
      </c>
      <c r="V260" s="4">
        <f ca="1">MIN(S260,PREMISSAS!$C$14)</f>
        <v>0</v>
      </c>
      <c r="W260" s="188"/>
      <c r="X260" s="188"/>
    </row>
    <row r="261" spans="2:24" x14ac:dyDescent="0.3">
      <c r="B261" s="21">
        <f t="shared" ca="1" si="32"/>
        <v>52078</v>
      </c>
      <c r="C261" s="22">
        <f ca="1">IF(B261="","",IF(LEFT(B261,2)="13",C260,IF(MONTH(B261)=1,C260*(1+PREMISSAS!$C$58),C260)))</f>
        <v>0</v>
      </c>
      <c r="E261" s="18">
        <v>257</v>
      </c>
      <c r="F261" s="21">
        <f t="shared" ca="1" si="33"/>
        <v>44834</v>
      </c>
      <c r="G261" s="22">
        <f ca="1">IFERROR(VLOOKUP(F261,RESULTADOS!$O$5:$P$543,2,FALSE),VLOOKUP(F261,$B$5:$C$842,2,FALSE))</f>
        <v>0</v>
      </c>
      <c r="H261" s="4">
        <f ca="1">IF(F261&lt;PREMISSAS!$D$7,0,IFERROR(VLOOKUP(IF(LEFT(F261,2)="13",DATE(YEAR(F260),12,31),F261),IPCA!$A:$D,4,FALSE),1)*G261)</f>
        <v>0</v>
      </c>
      <c r="J261" s="21">
        <f t="shared" ref="J261:J324" ca="1" si="36">F261</f>
        <v>44834</v>
      </c>
      <c r="K261" s="4">
        <f t="shared" ref="K261:K324" ca="1" si="37">G261</f>
        <v>0</v>
      </c>
      <c r="M261" s="21">
        <f t="shared" ca="1" si="34"/>
        <v>44834</v>
      </c>
      <c r="N261" s="37">
        <f t="shared" ca="1" si="29"/>
        <v>0</v>
      </c>
      <c r="O261" s="4">
        <f ca="1">IFERROR(AVERAGEIF(N$5:$N261,"&gt;="&amp;_xlfn.PERCENTILE.EXC(N$5:$N261,0.2)),0)</f>
        <v>0</v>
      </c>
      <c r="Q261" s="21">
        <f t="shared" ca="1" si="35"/>
        <v>44834</v>
      </c>
      <c r="R261" s="37">
        <f t="shared" ca="1" si="30"/>
        <v>0</v>
      </c>
      <c r="S261" s="4">
        <f ca="1">IFERROR(AVERAGE($R$5:R261),0)</f>
        <v>0</v>
      </c>
      <c r="U261" s="21">
        <f t="shared" ca="1" si="31"/>
        <v>44834</v>
      </c>
      <c r="V261" s="4">
        <f ca="1">MIN(S261,PREMISSAS!$C$14)</f>
        <v>0</v>
      </c>
      <c r="W261" s="188"/>
      <c r="X261" s="188"/>
    </row>
    <row r="262" spans="2:24" x14ac:dyDescent="0.3">
      <c r="B262" s="21">
        <f t="shared" ca="1" si="32"/>
        <v>52109</v>
      </c>
      <c r="C262" s="22">
        <f ca="1">IF(B262="","",IF(LEFT(B262,2)="13",C261,IF(MONTH(B262)=1,C261*(1+PREMISSAS!$C$58),C261)))</f>
        <v>0</v>
      </c>
      <c r="E262" s="18">
        <v>258</v>
      </c>
      <c r="F262" s="21">
        <f t="shared" ca="1" si="33"/>
        <v>44865</v>
      </c>
      <c r="G262" s="22">
        <f ca="1">IFERROR(VLOOKUP(F262,RESULTADOS!$O$5:$P$543,2,FALSE),VLOOKUP(F262,$B$5:$C$842,2,FALSE))</f>
        <v>0</v>
      </c>
      <c r="H262" s="4">
        <f ca="1">IF(F262&lt;PREMISSAS!$D$7,0,IFERROR(VLOOKUP(IF(LEFT(F262,2)="13",DATE(YEAR(F261),12,31),F262),IPCA!$A:$D,4,FALSE),1)*G262)</f>
        <v>0</v>
      </c>
      <c r="J262" s="21">
        <f t="shared" ca="1" si="36"/>
        <v>44865</v>
      </c>
      <c r="K262" s="4">
        <f t="shared" ca="1" si="37"/>
        <v>0</v>
      </c>
      <c r="M262" s="21">
        <f t="shared" ca="1" si="34"/>
        <v>44865</v>
      </c>
      <c r="N262" s="37">
        <f t="shared" ref="N262:N325" ca="1" si="38">IFERROR(VLOOKUP(M262,$F$5:$H$628,3,FALSE),0)</f>
        <v>0</v>
      </c>
      <c r="O262" s="4">
        <f ca="1">IFERROR(AVERAGEIF(N$5:$N262,"&gt;="&amp;_xlfn.PERCENTILE.EXC(N$5:$N262,0.2)),0)</f>
        <v>0</v>
      </c>
      <c r="Q262" s="21">
        <f t="shared" ca="1" si="35"/>
        <v>44865</v>
      </c>
      <c r="R262" s="37">
        <f t="shared" ref="R262:R325" ca="1" si="39">IFERROR(VLOOKUP(Q262,$F$5:$H$628,3,FALSE),0)</f>
        <v>0</v>
      </c>
      <c r="S262" s="4">
        <f ca="1">IFERROR(AVERAGE($R$5:R262),0)</f>
        <v>0</v>
      </c>
      <c r="U262" s="21">
        <f t="shared" ref="U262:U325" ca="1" si="40">M262</f>
        <v>44865</v>
      </c>
      <c r="V262" s="4">
        <f ca="1">MIN(S262,PREMISSAS!$C$14)</f>
        <v>0</v>
      </c>
      <c r="W262" s="188"/>
      <c r="X262" s="188"/>
    </row>
    <row r="263" spans="2:24" x14ac:dyDescent="0.3">
      <c r="B263" s="21">
        <f t="shared" ref="B263:B326" ca="1" si="41">IFERROR(IF(LEFT(B262,2)="13",DATE(RIGHT(B262,4),12,31),IF(EOMONTH(B262,0)&gt;$F$1,"",IF(MONTH(B262)=11,"13º "&amp;YEAR(B262),EOMONTH(B262,1)))),"")</f>
        <v>52139</v>
      </c>
      <c r="C263" s="22">
        <f ca="1">IF(B263="","",IF(LEFT(B263,2)="13",C262,IF(MONTH(B263)=1,C262*(1+PREMISSAS!$C$58),C262)))</f>
        <v>0</v>
      </c>
      <c r="E263" s="18">
        <v>259</v>
      </c>
      <c r="F263" s="21">
        <f t="shared" ref="F263:F326" ca="1" si="42">IFERROR(IF(LEFT(F262,2)="13",DATE(RIGHT(F262,4),12,31),IF(EOMONTH(F262,0)&gt;$F$1,"",IF(MONTH(F262)=11,"13º "&amp;YEAR(F262),EOMONTH(F262,1)))),"")</f>
        <v>44895</v>
      </c>
      <c r="G263" s="22">
        <f ca="1">IFERROR(VLOOKUP(F263,RESULTADOS!$O$5:$P$543,2,FALSE),VLOOKUP(F263,$B$5:$C$842,2,FALSE))</f>
        <v>0</v>
      </c>
      <c r="H263" s="4">
        <f ca="1">IF(F263&lt;PREMISSAS!$D$7,0,IFERROR(VLOOKUP(IF(LEFT(F263,2)="13",DATE(YEAR(F262),12,31),F263),IPCA!$A:$D,4,FALSE),1)*G263)</f>
        <v>0</v>
      </c>
      <c r="J263" s="21">
        <f t="shared" ca="1" si="36"/>
        <v>44895</v>
      </c>
      <c r="K263" s="4">
        <f t="shared" ca="1" si="37"/>
        <v>0</v>
      </c>
      <c r="M263" s="21">
        <f t="shared" ref="M263:M326" ca="1" si="43">IFERROR(IF(LEFT(M262,2)="13",DATE(RIGHT(M262,4),12,31),IF(EOMONTH(M262,0)&gt;$F$1,"",IF(MONTH(M262)=11,"13º "&amp;YEAR(M262),EOMONTH(M262,1)))),"")</f>
        <v>44895</v>
      </c>
      <c r="N263" s="37">
        <f t="shared" ca="1" si="38"/>
        <v>0</v>
      </c>
      <c r="O263" s="4">
        <f ca="1">IFERROR(AVERAGEIF(N$5:$N263,"&gt;="&amp;_xlfn.PERCENTILE.EXC(N$5:$N263,0.2)),0)</f>
        <v>0</v>
      </c>
      <c r="Q263" s="21">
        <f t="shared" ref="Q263:Q326" ca="1" si="44">IFERROR(IF(LEFT(Q262,2)="13",DATE(RIGHT(Q262,4),12,31),IF(EOMONTH(Q262,0)&gt;$F$1,"",IF(MONTH(Q262)=11,"13º "&amp;YEAR(Q262),EOMONTH(Q262,1)))),"")</f>
        <v>44895</v>
      </c>
      <c r="R263" s="37">
        <f t="shared" ca="1" si="39"/>
        <v>0</v>
      </c>
      <c r="S263" s="4">
        <f ca="1">IFERROR(AVERAGE($R$5:R263),0)</f>
        <v>0</v>
      </c>
      <c r="U263" s="21">
        <f t="shared" ca="1" si="40"/>
        <v>44895</v>
      </c>
      <c r="V263" s="4">
        <f ca="1">MIN(S263,PREMISSAS!$C$14)</f>
        <v>0</v>
      </c>
      <c r="W263" s="188"/>
      <c r="X263" s="188"/>
    </row>
    <row r="264" spans="2:24" x14ac:dyDescent="0.3">
      <c r="B264" s="21">
        <f t="shared" ca="1" si="41"/>
        <v>52170</v>
      </c>
      <c r="C264" s="22">
        <f ca="1">IF(B264="","",IF(LEFT(B264,2)="13",C263,IF(MONTH(B264)=1,C263*(1+PREMISSAS!$C$58),C263)))</f>
        <v>0</v>
      </c>
      <c r="E264" s="18">
        <v>260</v>
      </c>
      <c r="F264" s="21" t="str">
        <f t="shared" ca="1" si="42"/>
        <v>13º 2022</v>
      </c>
      <c r="G264" s="22">
        <f ca="1">IFERROR(VLOOKUP(F264,RESULTADOS!$O$5:$P$543,2,FALSE),VLOOKUP(F264,$B$5:$C$842,2,FALSE))</f>
        <v>0</v>
      </c>
      <c r="H264" s="4">
        <f ca="1">IF(F264&lt;PREMISSAS!$D$7,0,IFERROR(VLOOKUP(IF(LEFT(F264,2)="13",DATE(YEAR(F263),12,31),F264),IPCA!$A:$D,4,FALSE),1)*G264)</f>
        <v>0</v>
      </c>
      <c r="J264" s="21" t="str">
        <f t="shared" ca="1" si="36"/>
        <v>13º 2022</v>
      </c>
      <c r="K264" s="4">
        <f t="shared" ca="1" si="37"/>
        <v>0</v>
      </c>
      <c r="M264" s="21" t="str">
        <f t="shared" ca="1" si="43"/>
        <v>13º 2022</v>
      </c>
      <c r="N264" s="37">
        <f t="shared" ca="1" si="38"/>
        <v>0</v>
      </c>
      <c r="O264" s="4">
        <f ca="1">IFERROR(AVERAGEIF(N$5:$N264,"&gt;="&amp;_xlfn.PERCENTILE.EXC(N$5:$N264,0.2)),0)</f>
        <v>0</v>
      </c>
      <c r="Q264" s="21" t="str">
        <f t="shared" ca="1" si="44"/>
        <v>13º 2022</v>
      </c>
      <c r="R264" s="37">
        <f t="shared" ca="1" si="39"/>
        <v>0</v>
      </c>
      <c r="S264" s="4">
        <f ca="1">IFERROR(AVERAGE($R$5:R264),0)</f>
        <v>0</v>
      </c>
      <c r="U264" s="21" t="str">
        <f t="shared" ca="1" si="40"/>
        <v>13º 2022</v>
      </c>
      <c r="V264" s="4">
        <f ca="1">MIN(S264,PREMISSAS!$C$14)</f>
        <v>0</v>
      </c>
      <c r="W264" s="188"/>
      <c r="X264" s="188"/>
    </row>
    <row r="265" spans="2:24" x14ac:dyDescent="0.3">
      <c r="B265" s="21">
        <f t="shared" ca="1" si="41"/>
        <v>52200</v>
      </c>
      <c r="C265" s="22">
        <f ca="1">IF(B265="","",IF(LEFT(B265,2)="13",C264,IF(MONTH(B265)=1,C264*(1+PREMISSAS!$C$58),C264)))</f>
        <v>0</v>
      </c>
      <c r="E265" s="18">
        <v>261</v>
      </c>
      <c r="F265" s="21">
        <f t="shared" ca="1" si="42"/>
        <v>44926</v>
      </c>
      <c r="G265" s="22">
        <f ca="1">IFERROR(VLOOKUP(F265,RESULTADOS!$O$5:$P$543,2,FALSE),VLOOKUP(F265,$B$5:$C$842,2,FALSE))</f>
        <v>0</v>
      </c>
      <c r="H265" s="4">
        <f ca="1">IF(F265&lt;PREMISSAS!$D$7,0,IFERROR(VLOOKUP(IF(LEFT(F265,2)="13",DATE(YEAR(F264),12,31),F265),IPCA!$A:$D,4,FALSE),1)*G265)</f>
        <v>0</v>
      </c>
      <c r="J265" s="21">
        <f t="shared" ca="1" si="36"/>
        <v>44926</v>
      </c>
      <c r="K265" s="4">
        <f t="shared" ca="1" si="37"/>
        <v>0</v>
      </c>
      <c r="M265" s="21">
        <f t="shared" ca="1" si="43"/>
        <v>44926</v>
      </c>
      <c r="N265" s="37">
        <f t="shared" ca="1" si="38"/>
        <v>0</v>
      </c>
      <c r="O265" s="4">
        <f ca="1">IFERROR(AVERAGEIF(N$5:$N265,"&gt;="&amp;_xlfn.PERCENTILE.EXC(N$5:$N265,0.2)),0)</f>
        <v>0</v>
      </c>
      <c r="Q265" s="21">
        <f t="shared" ca="1" si="44"/>
        <v>44926</v>
      </c>
      <c r="R265" s="37">
        <f t="shared" ca="1" si="39"/>
        <v>0</v>
      </c>
      <c r="S265" s="4">
        <f ca="1">IFERROR(AVERAGE($R$5:R265),0)</f>
        <v>0</v>
      </c>
      <c r="U265" s="21">
        <f t="shared" ca="1" si="40"/>
        <v>44926</v>
      </c>
      <c r="V265" s="4">
        <f ca="1">MIN(S265,PREMISSAS!$C$14)</f>
        <v>0</v>
      </c>
      <c r="W265" s="188"/>
      <c r="X265" s="188"/>
    </row>
    <row r="266" spans="2:24" x14ac:dyDescent="0.3">
      <c r="B266" s="21" t="str">
        <f t="shared" ca="1" si="41"/>
        <v/>
      </c>
      <c r="C266" s="22" t="str">
        <f ca="1">IF(B266="","",IF(LEFT(B266,2)="13",C265,IF(MONTH(B266)=1,C265*(1+PREMISSAS!$C$58),C265)))</f>
        <v/>
      </c>
      <c r="E266" s="18">
        <v>262</v>
      </c>
      <c r="F266" s="21">
        <f t="shared" ca="1" si="42"/>
        <v>44957</v>
      </c>
      <c r="G266" s="22">
        <f ca="1">IFERROR(VLOOKUP(F266,RESULTADOS!$O$5:$P$543,2,FALSE),VLOOKUP(F266,$B$5:$C$842,2,FALSE))</f>
        <v>0</v>
      </c>
      <c r="H266" s="4">
        <f ca="1">IF(F266&lt;PREMISSAS!$D$7,0,IFERROR(VLOOKUP(IF(LEFT(F266,2)="13",DATE(YEAR(F265),12,31),F266),IPCA!$A:$D,4,FALSE),1)*G266)</f>
        <v>0</v>
      </c>
      <c r="J266" s="21">
        <f t="shared" ca="1" si="36"/>
        <v>44957</v>
      </c>
      <c r="K266" s="4">
        <f t="shared" ca="1" si="37"/>
        <v>0</v>
      </c>
      <c r="M266" s="21">
        <f t="shared" ca="1" si="43"/>
        <v>44957</v>
      </c>
      <c r="N266" s="37">
        <f t="shared" ca="1" si="38"/>
        <v>0</v>
      </c>
      <c r="O266" s="4">
        <f ca="1">IFERROR(AVERAGEIF(N$5:$N266,"&gt;="&amp;_xlfn.PERCENTILE.EXC(N$5:$N266,0.2)),0)</f>
        <v>0</v>
      </c>
      <c r="Q266" s="21">
        <f t="shared" ca="1" si="44"/>
        <v>44957</v>
      </c>
      <c r="R266" s="37">
        <f t="shared" ca="1" si="39"/>
        <v>0</v>
      </c>
      <c r="S266" s="4">
        <f ca="1">IFERROR(AVERAGE($R$5:R266),0)</f>
        <v>0</v>
      </c>
      <c r="U266" s="21">
        <f t="shared" ca="1" si="40"/>
        <v>44957</v>
      </c>
      <c r="V266" s="4">
        <f ca="1">MIN(S266,PREMISSAS!$C$14)</f>
        <v>0</v>
      </c>
      <c r="W266" s="188"/>
      <c r="X266" s="188"/>
    </row>
    <row r="267" spans="2:24" x14ac:dyDescent="0.3">
      <c r="B267" s="21" t="str">
        <f t="shared" ca="1" si="41"/>
        <v/>
      </c>
      <c r="C267" s="22" t="str">
        <f ca="1">IF(B267="","",IF(LEFT(B267,2)="13",C266,IF(MONTH(B267)=1,C266*(1+PREMISSAS!$C$58),C266)))</f>
        <v/>
      </c>
      <c r="E267" s="18">
        <v>263</v>
      </c>
      <c r="F267" s="21">
        <f t="shared" ca="1" si="42"/>
        <v>44985</v>
      </c>
      <c r="G267" s="22">
        <f ca="1">IFERROR(VLOOKUP(F267,RESULTADOS!$O$5:$P$543,2,FALSE),VLOOKUP(F267,$B$5:$C$842,2,FALSE))</f>
        <v>0</v>
      </c>
      <c r="H267" s="4">
        <f ca="1">IF(F267&lt;PREMISSAS!$D$7,0,IFERROR(VLOOKUP(IF(LEFT(F267,2)="13",DATE(YEAR(F266),12,31),F267),IPCA!$A:$D,4,FALSE),1)*G267)</f>
        <v>0</v>
      </c>
      <c r="J267" s="21">
        <f t="shared" ca="1" si="36"/>
        <v>44985</v>
      </c>
      <c r="K267" s="4">
        <f t="shared" ca="1" si="37"/>
        <v>0</v>
      </c>
      <c r="M267" s="21">
        <f t="shared" ca="1" si="43"/>
        <v>44985</v>
      </c>
      <c r="N267" s="37">
        <f t="shared" ca="1" si="38"/>
        <v>0</v>
      </c>
      <c r="O267" s="4">
        <f ca="1">IFERROR(AVERAGEIF(N$5:$N267,"&gt;="&amp;_xlfn.PERCENTILE.EXC(N$5:$N267,0.2)),0)</f>
        <v>0</v>
      </c>
      <c r="Q267" s="21">
        <f t="shared" ca="1" si="44"/>
        <v>44985</v>
      </c>
      <c r="R267" s="37">
        <f t="shared" ca="1" si="39"/>
        <v>0</v>
      </c>
      <c r="S267" s="4">
        <f ca="1">IFERROR(AVERAGE($R$5:R267),0)</f>
        <v>0</v>
      </c>
      <c r="U267" s="21">
        <f t="shared" ca="1" si="40"/>
        <v>44985</v>
      </c>
      <c r="V267" s="4">
        <f ca="1">MIN(S267,PREMISSAS!$C$14)</f>
        <v>0</v>
      </c>
      <c r="W267" s="188"/>
      <c r="X267" s="188"/>
    </row>
    <row r="268" spans="2:24" x14ac:dyDescent="0.3">
      <c r="B268" s="21" t="str">
        <f t="shared" ca="1" si="41"/>
        <v/>
      </c>
      <c r="C268" s="22" t="str">
        <f ca="1">IF(B268="","",IF(LEFT(B268,2)="13",C267,IF(MONTH(B268)=1,C267*(1+PREMISSAS!$C$58),C267)))</f>
        <v/>
      </c>
      <c r="E268" s="18">
        <v>264</v>
      </c>
      <c r="F268" s="21">
        <f t="shared" ca="1" si="42"/>
        <v>45016</v>
      </c>
      <c r="G268" s="22">
        <f ca="1">IFERROR(VLOOKUP(F268,RESULTADOS!$O$5:$P$543,2,FALSE),VLOOKUP(F268,$B$5:$C$842,2,FALSE))</f>
        <v>0</v>
      </c>
      <c r="H268" s="4">
        <f ca="1">IF(F268&lt;PREMISSAS!$D$7,0,IFERROR(VLOOKUP(IF(LEFT(F268,2)="13",DATE(YEAR(F267),12,31),F268),IPCA!$A:$D,4,FALSE),1)*G268)</f>
        <v>0</v>
      </c>
      <c r="J268" s="21">
        <f t="shared" ca="1" si="36"/>
        <v>45016</v>
      </c>
      <c r="K268" s="4">
        <f t="shared" ca="1" si="37"/>
        <v>0</v>
      </c>
      <c r="M268" s="21">
        <f t="shared" ca="1" si="43"/>
        <v>45016</v>
      </c>
      <c r="N268" s="37">
        <f t="shared" ca="1" si="38"/>
        <v>0</v>
      </c>
      <c r="O268" s="4">
        <f ca="1">IFERROR(AVERAGEIF(N$5:$N268,"&gt;="&amp;_xlfn.PERCENTILE.EXC(N$5:$N268,0.2)),0)</f>
        <v>0</v>
      </c>
      <c r="Q268" s="21">
        <f t="shared" ca="1" si="44"/>
        <v>45016</v>
      </c>
      <c r="R268" s="37">
        <f t="shared" ca="1" si="39"/>
        <v>0</v>
      </c>
      <c r="S268" s="4">
        <f ca="1">IFERROR(AVERAGE($R$5:R268),0)</f>
        <v>0</v>
      </c>
      <c r="U268" s="21">
        <f t="shared" ca="1" si="40"/>
        <v>45016</v>
      </c>
      <c r="V268" s="4">
        <f ca="1">MIN(S268,PREMISSAS!$C$14)</f>
        <v>0</v>
      </c>
      <c r="W268" s="188"/>
      <c r="X268" s="188"/>
    </row>
    <row r="269" spans="2:24" x14ac:dyDescent="0.3">
      <c r="B269" s="21" t="str">
        <f t="shared" ca="1" si="41"/>
        <v/>
      </c>
      <c r="C269" s="22" t="str">
        <f ca="1">IF(B269="","",IF(LEFT(B269,2)="13",C268,IF(MONTH(B269)=1,C268*(1+PREMISSAS!$C$58),C268)))</f>
        <v/>
      </c>
      <c r="E269" s="18">
        <v>265</v>
      </c>
      <c r="F269" s="21">
        <f t="shared" ca="1" si="42"/>
        <v>45046</v>
      </c>
      <c r="G269" s="22">
        <f ca="1">IFERROR(VLOOKUP(F269,RESULTADOS!$O$5:$P$543,2,FALSE),VLOOKUP(F269,$B$5:$C$842,2,FALSE))</f>
        <v>0</v>
      </c>
      <c r="H269" s="4">
        <f ca="1">IF(F269&lt;PREMISSAS!$D$7,0,IFERROR(VLOOKUP(IF(LEFT(F269,2)="13",DATE(YEAR(F268),12,31),F269),IPCA!$A:$D,4,FALSE),1)*G269)</f>
        <v>0</v>
      </c>
      <c r="J269" s="21">
        <f t="shared" ca="1" si="36"/>
        <v>45046</v>
      </c>
      <c r="K269" s="4">
        <f t="shared" ca="1" si="37"/>
        <v>0</v>
      </c>
      <c r="M269" s="21">
        <f t="shared" ca="1" si="43"/>
        <v>45046</v>
      </c>
      <c r="N269" s="37">
        <f t="shared" ca="1" si="38"/>
        <v>0</v>
      </c>
      <c r="O269" s="4">
        <f ca="1">IFERROR(AVERAGEIF(N$5:$N269,"&gt;="&amp;_xlfn.PERCENTILE.EXC(N$5:$N269,0.2)),0)</f>
        <v>0</v>
      </c>
      <c r="Q269" s="21">
        <f t="shared" ca="1" si="44"/>
        <v>45046</v>
      </c>
      <c r="R269" s="37">
        <f t="shared" ca="1" si="39"/>
        <v>0</v>
      </c>
      <c r="S269" s="4">
        <f ca="1">IFERROR(AVERAGE($R$5:R269),0)</f>
        <v>0</v>
      </c>
      <c r="U269" s="21">
        <f t="shared" ca="1" si="40"/>
        <v>45046</v>
      </c>
      <c r="V269" s="4">
        <f ca="1">MIN(S269,PREMISSAS!$C$14)</f>
        <v>0</v>
      </c>
      <c r="W269" s="188"/>
      <c r="X269" s="188"/>
    </row>
    <row r="270" spans="2:24" x14ac:dyDescent="0.3">
      <c r="B270" s="21" t="str">
        <f t="shared" ca="1" si="41"/>
        <v/>
      </c>
      <c r="C270" s="22" t="str">
        <f ca="1">IF(B270="","",IF(LEFT(B270,2)="13",C269,IF(MONTH(B270)=1,C269*(1+PREMISSAS!$C$58),C269)))</f>
        <v/>
      </c>
      <c r="E270" s="18">
        <v>266</v>
      </c>
      <c r="F270" s="21">
        <f t="shared" ca="1" si="42"/>
        <v>45077</v>
      </c>
      <c r="G270" s="22">
        <f ca="1">IFERROR(VLOOKUP(F270,RESULTADOS!$O$5:$P$543,2,FALSE),VLOOKUP(F270,$B$5:$C$842,2,FALSE))</f>
        <v>0</v>
      </c>
      <c r="H270" s="4">
        <f ca="1">IF(F270&lt;PREMISSAS!$D$7,0,IFERROR(VLOOKUP(IF(LEFT(F270,2)="13",DATE(YEAR(F269),12,31),F270),IPCA!$A:$D,4,FALSE),1)*G270)</f>
        <v>0</v>
      </c>
      <c r="J270" s="21">
        <f t="shared" ca="1" si="36"/>
        <v>45077</v>
      </c>
      <c r="K270" s="4">
        <f t="shared" ca="1" si="37"/>
        <v>0</v>
      </c>
      <c r="M270" s="21">
        <f t="shared" ca="1" si="43"/>
        <v>45077</v>
      </c>
      <c r="N270" s="37">
        <f t="shared" ca="1" si="38"/>
        <v>0</v>
      </c>
      <c r="O270" s="4">
        <f ca="1">IFERROR(AVERAGEIF(N$5:$N270,"&gt;="&amp;_xlfn.PERCENTILE.EXC(N$5:$N270,0.2)),0)</f>
        <v>0</v>
      </c>
      <c r="Q270" s="21">
        <f t="shared" ca="1" si="44"/>
        <v>45077</v>
      </c>
      <c r="R270" s="37">
        <f t="shared" ca="1" si="39"/>
        <v>0</v>
      </c>
      <c r="S270" s="4">
        <f ca="1">IFERROR(AVERAGE($R$5:R270),0)</f>
        <v>0</v>
      </c>
      <c r="U270" s="21">
        <f t="shared" ca="1" si="40"/>
        <v>45077</v>
      </c>
      <c r="V270" s="4">
        <f ca="1">MIN(S270,PREMISSAS!$C$14)</f>
        <v>0</v>
      </c>
      <c r="W270" s="188"/>
      <c r="X270" s="188"/>
    </row>
    <row r="271" spans="2:24" x14ac:dyDescent="0.3">
      <c r="B271" s="21" t="str">
        <f t="shared" ca="1" si="41"/>
        <v/>
      </c>
      <c r="C271" s="22" t="str">
        <f ca="1">IF(B271="","",IF(LEFT(B271,2)="13",C270,IF(MONTH(B271)=1,C270*(1+PREMISSAS!$C$58),C270)))</f>
        <v/>
      </c>
      <c r="E271" s="18">
        <v>267</v>
      </c>
      <c r="F271" s="21">
        <f t="shared" ca="1" si="42"/>
        <v>45107</v>
      </c>
      <c r="G271" s="22">
        <f ca="1">IFERROR(VLOOKUP(F271,RESULTADOS!$O$5:$P$543,2,FALSE),VLOOKUP(F271,$B$5:$C$842,2,FALSE))</f>
        <v>0</v>
      </c>
      <c r="H271" s="4">
        <f ca="1">IF(F271&lt;PREMISSAS!$D$7,0,IFERROR(VLOOKUP(IF(LEFT(F271,2)="13",DATE(YEAR(F270),12,31),F271),IPCA!$A:$D,4,FALSE),1)*G271)</f>
        <v>0</v>
      </c>
      <c r="J271" s="21">
        <f t="shared" ca="1" si="36"/>
        <v>45107</v>
      </c>
      <c r="K271" s="4">
        <f t="shared" ca="1" si="37"/>
        <v>0</v>
      </c>
      <c r="M271" s="21">
        <f t="shared" ca="1" si="43"/>
        <v>45107</v>
      </c>
      <c r="N271" s="37">
        <f t="shared" ca="1" si="38"/>
        <v>0</v>
      </c>
      <c r="O271" s="4">
        <f ca="1">IFERROR(AVERAGEIF(N$5:$N271,"&gt;="&amp;_xlfn.PERCENTILE.EXC(N$5:$N271,0.2)),0)</f>
        <v>0</v>
      </c>
      <c r="Q271" s="21">
        <f t="shared" ca="1" si="44"/>
        <v>45107</v>
      </c>
      <c r="R271" s="37">
        <f t="shared" ca="1" si="39"/>
        <v>0</v>
      </c>
      <c r="S271" s="4">
        <f ca="1">IFERROR(AVERAGE($R$5:R271),0)</f>
        <v>0</v>
      </c>
      <c r="U271" s="21">
        <f t="shared" ca="1" si="40"/>
        <v>45107</v>
      </c>
      <c r="V271" s="4">
        <f ca="1">MIN(S271,PREMISSAS!$C$14)</f>
        <v>0</v>
      </c>
      <c r="W271" s="188"/>
      <c r="X271" s="188"/>
    </row>
    <row r="272" spans="2:24" x14ac:dyDescent="0.3">
      <c r="B272" s="21" t="str">
        <f t="shared" ca="1" si="41"/>
        <v/>
      </c>
      <c r="C272" s="22" t="str">
        <f ca="1">IF(B272="","",IF(LEFT(B272,2)="13",C271,IF(MONTH(B272)=1,C271*(1+PREMISSAS!$C$58),C271)))</f>
        <v/>
      </c>
      <c r="E272" s="18">
        <v>268</v>
      </c>
      <c r="F272" s="21">
        <f t="shared" ca="1" si="42"/>
        <v>45138</v>
      </c>
      <c r="G272" s="22">
        <f ca="1">IFERROR(VLOOKUP(F272,RESULTADOS!$O$5:$P$543,2,FALSE),VLOOKUP(F272,$B$5:$C$842,2,FALSE))</f>
        <v>0</v>
      </c>
      <c r="H272" s="4">
        <f ca="1">IF(F272&lt;PREMISSAS!$D$7,0,IFERROR(VLOOKUP(IF(LEFT(F272,2)="13",DATE(YEAR(F271),12,31),F272),IPCA!$A:$D,4,FALSE),1)*G272)</f>
        <v>0</v>
      </c>
      <c r="J272" s="21">
        <f t="shared" ca="1" si="36"/>
        <v>45138</v>
      </c>
      <c r="K272" s="4">
        <f t="shared" ca="1" si="37"/>
        <v>0</v>
      </c>
      <c r="M272" s="21">
        <f t="shared" ca="1" si="43"/>
        <v>45138</v>
      </c>
      <c r="N272" s="37">
        <f t="shared" ca="1" si="38"/>
        <v>0</v>
      </c>
      <c r="O272" s="4">
        <f ca="1">IFERROR(AVERAGEIF(N$5:$N272,"&gt;="&amp;_xlfn.PERCENTILE.EXC(N$5:$N272,0.2)),0)</f>
        <v>0</v>
      </c>
      <c r="Q272" s="21">
        <f t="shared" ca="1" si="44"/>
        <v>45138</v>
      </c>
      <c r="R272" s="37">
        <f t="shared" ca="1" si="39"/>
        <v>0</v>
      </c>
      <c r="S272" s="4">
        <f ca="1">IFERROR(AVERAGE($R$5:R272),0)</f>
        <v>0</v>
      </c>
      <c r="U272" s="21">
        <f t="shared" ca="1" si="40"/>
        <v>45138</v>
      </c>
      <c r="V272" s="4">
        <f ca="1">MIN(S272,PREMISSAS!$C$14)</f>
        <v>0</v>
      </c>
      <c r="W272" s="188"/>
      <c r="X272" s="188"/>
    </row>
    <row r="273" spans="2:24" x14ac:dyDescent="0.3">
      <c r="B273" s="21" t="str">
        <f t="shared" ca="1" si="41"/>
        <v/>
      </c>
      <c r="C273" s="22" t="str">
        <f ca="1">IF(B273="","",IF(LEFT(B273,2)="13",C272,IF(MONTH(B273)=1,C272*(1+PREMISSAS!$C$58),C272)))</f>
        <v/>
      </c>
      <c r="E273" s="18">
        <v>269</v>
      </c>
      <c r="F273" s="21">
        <f t="shared" ca="1" si="42"/>
        <v>45169</v>
      </c>
      <c r="G273" s="22">
        <f ca="1">IFERROR(VLOOKUP(F273,RESULTADOS!$O$5:$P$543,2,FALSE),VLOOKUP(F273,$B$5:$C$842,2,FALSE))</f>
        <v>0</v>
      </c>
      <c r="H273" s="4">
        <f ca="1">IF(F273&lt;PREMISSAS!$D$7,0,IFERROR(VLOOKUP(IF(LEFT(F273,2)="13",DATE(YEAR(F272),12,31),F273),IPCA!$A:$D,4,FALSE),1)*G273)</f>
        <v>0</v>
      </c>
      <c r="J273" s="21">
        <f t="shared" ca="1" si="36"/>
        <v>45169</v>
      </c>
      <c r="K273" s="4">
        <f t="shared" ca="1" si="37"/>
        <v>0</v>
      </c>
      <c r="M273" s="21">
        <f t="shared" ca="1" si="43"/>
        <v>45169</v>
      </c>
      <c r="N273" s="37">
        <f t="shared" ca="1" si="38"/>
        <v>0</v>
      </c>
      <c r="O273" s="4">
        <f ca="1">IFERROR(AVERAGEIF(N$5:$N273,"&gt;="&amp;_xlfn.PERCENTILE.EXC(N$5:$N273,0.2)),0)</f>
        <v>0</v>
      </c>
      <c r="Q273" s="21">
        <f t="shared" ca="1" si="44"/>
        <v>45169</v>
      </c>
      <c r="R273" s="37">
        <f t="shared" ca="1" si="39"/>
        <v>0</v>
      </c>
      <c r="S273" s="4">
        <f ca="1">IFERROR(AVERAGE($R$5:R273),0)</f>
        <v>0</v>
      </c>
      <c r="U273" s="21">
        <f t="shared" ca="1" si="40"/>
        <v>45169</v>
      </c>
      <c r="V273" s="4">
        <f ca="1">MIN(S273,PREMISSAS!$C$14)</f>
        <v>0</v>
      </c>
      <c r="W273" s="188"/>
      <c r="X273" s="188"/>
    </row>
    <row r="274" spans="2:24" x14ac:dyDescent="0.3">
      <c r="B274" s="21" t="str">
        <f t="shared" ca="1" si="41"/>
        <v/>
      </c>
      <c r="C274" s="22" t="str">
        <f ca="1">IF(B274="","",IF(LEFT(B274,2)="13",C273,IF(MONTH(B274)=1,C273*(1+PREMISSAS!$C$58),C273)))</f>
        <v/>
      </c>
      <c r="E274" s="18">
        <v>270</v>
      </c>
      <c r="F274" s="21">
        <f t="shared" ca="1" si="42"/>
        <v>45199</v>
      </c>
      <c r="G274" s="22">
        <f ca="1">IFERROR(VLOOKUP(F274,RESULTADOS!$O$5:$P$543,2,FALSE),VLOOKUP(F274,$B$5:$C$842,2,FALSE))</f>
        <v>0</v>
      </c>
      <c r="H274" s="4">
        <f ca="1">IF(F274&lt;PREMISSAS!$D$7,0,IFERROR(VLOOKUP(IF(LEFT(F274,2)="13",DATE(YEAR(F273),12,31),F274),IPCA!$A:$D,4,FALSE),1)*G274)</f>
        <v>0</v>
      </c>
      <c r="J274" s="21">
        <f t="shared" ca="1" si="36"/>
        <v>45199</v>
      </c>
      <c r="K274" s="4">
        <f t="shared" ca="1" si="37"/>
        <v>0</v>
      </c>
      <c r="M274" s="21">
        <f t="shared" ca="1" si="43"/>
        <v>45199</v>
      </c>
      <c r="N274" s="37">
        <f t="shared" ca="1" si="38"/>
        <v>0</v>
      </c>
      <c r="O274" s="4">
        <f ca="1">IFERROR(AVERAGEIF(N$5:$N274,"&gt;="&amp;_xlfn.PERCENTILE.EXC(N$5:$N274,0.2)),0)</f>
        <v>0</v>
      </c>
      <c r="Q274" s="21">
        <f t="shared" ca="1" si="44"/>
        <v>45199</v>
      </c>
      <c r="R274" s="37">
        <f t="shared" ca="1" si="39"/>
        <v>0</v>
      </c>
      <c r="S274" s="4">
        <f ca="1">IFERROR(AVERAGE($R$5:R274),0)</f>
        <v>0</v>
      </c>
      <c r="U274" s="21">
        <f t="shared" ca="1" si="40"/>
        <v>45199</v>
      </c>
      <c r="V274" s="4">
        <f ca="1">MIN(S274,PREMISSAS!$C$14)</f>
        <v>0</v>
      </c>
      <c r="W274" s="188"/>
      <c r="X274" s="188"/>
    </row>
    <row r="275" spans="2:24" x14ac:dyDescent="0.3">
      <c r="B275" s="21" t="str">
        <f t="shared" ca="1" si="41"/>
        <v/>
      </c>
      <c r="C275" s="22" t="str">
        <f ca="1">IF(B275="","",IF(LEFT(B275,2)="13",C274,IF(MONTH(B275)=1,C274*(1+PREMISSAS!$C$58),C274)))</f>
        <v/>
      </c>
      <c r="E275" s="18">
        <v>271</v>
      </c>
      <c r="F275" s="21">
        <f t="shared" ca="1" si="42"/>
        <v>45230</v>
      </c>
      <c r="G275" s="22">
        <f ca="1">IFERROR(VLOOKUP(F275,RESULTADOS!$O$5:$P$543,2,FALSE),VLOOKUP(F275,$B$5:$C$842,2,FALSE))</f>
        <v>0</v>
      </c>
      <c r="H275" s="4">
        <f ca="1">IF(F275&lt;PREMISSAS!$D$7,0,IFERROR(VLOOKUP(IF(LEFT(F275,2)="13",DATE(YEAR(F274),12,31),F275),IPCA!$A:$D,4,FALSE),1)*G275)</f>
        <v>0</v>
      </c>
      <c r="J275" s="21">
        <f t="shared" ca="1" si="36"/>
        <v>45230</v>
      </c>
      <c r="K275" s="4">
        <f t="shared" ca="1" si="37"/>
        <v>0</v>
      </c>
      <c r="M275" s="21">
        <f t="shared" ca="1" si="43"/>
        <v>45230</v>
      </c>
      <c r="N275" s="37">
        <f t="shared" ca="1" si="38"/>
        <v>0</v>
      </c>
      <c r="O275" s="4">
        <f ca="1">IFERROR(AVERAGEIF(N$5:$N275,"&gt;="&amp;_xlfn.PERCENTILE.EXC(N$5:$N275,0.2)),0)</f>
        <v>0</v>
      </c>
      <c r="Q275" s="21">
        <f t="shared" ca="1" si="44"/>
        <v>45230</v>
      </c>
      <c r="R275" s="37">
        <f t="shared" ca="1" si="39"/>
        <v>0</v>
      </c>
      <c r="S275" s="4">
        <f ca="1">IFERROR(AVERAGE($R$5:R275),0)</f>
        <v>0</v>
      </c>
      <c r="U275" s="21">
        <f t="shared" ca="1" si="40"/>
        <v>45230</v>
      </c>
      <c r="V275" s="4">
        <f ca="1">MIN(S275,PREMISSAS!$C$14)</f>
        <v>0</v>
      </c>
      <c r="W275" s="188"/>
      <c r="X275" s="188"/>
    </row>
    <row r="276" spans="2:24" x14ac:dyDescent="0.3">
      <c r="B276" s="21" t="str">
        <f t="shared" ca="1" si="41"/>
        <v/>
      </c>
      <c r="C276" s="22" t="str">
        <f ca="1">IF(B276="","",IF(LEFT(B276,2)="13",C275,IF(MONTH(B276)=1,C275*(1+PREMISSAS!$C$58),C275)))</f>
        <v/>
      </c>
      <c r="E276" s="18">
        <v>272</v>
      </c>
      <c r="F276" s="21">
        <f t="shared" ca="1" si="42"/>
        <v>45260</v>
      </c>
      <c r="G276" s="22">
        <f ca="1">IFERROR(VLOOKUP(F276,RESULTADOS!$O$5:$P$543,2,FALSE),VLOOKUP(F276,$B$5:$C$842,2,FALSE))</f>
        <v>0</v>
      </c>
      <c r="H276" s="4">
        <f ca="1">IF(F276&lt;PREMISSAS!$D$7,0,IFERROR(VLOOKUP(IF(LEFT(F276,2)="13",DATE(YEAR(F275),12,31),F276),IPCA!$A:$D,4,FALSE),1)*G276)</f>
        <v>0</v>
      </c>
      <c r="J276" s="21">
        <f t="shared" ca="1" si="36"/>
        <v>45260</v>
      </c>
      <c r="K276" s="4">
        <f t="shared" ca="1" si="37"/>
        <v>0</v>
      </c>
      <c r="M276" s="21">
        <f t="shared" ca="1" si="43"/>
        <v>45260</v>
      </c>
      <c r="N276" s="37">
        <f t="shared" ca="1" si="38"/>
        <v>0</v>
      </c>
      <c r="O276" s="4">
        <f ca="1">IFERROR(AVERAGEIF(N$5:$N276,"&gt;="&amp;_xlfn.PERCENTILE.EXC(N$5:$N276,0.2)),0)</f>
        <v>0</v>
      </c>
      <c r="Q276" s="21">
        <f t="shared" ca="1" si="44"/>
        <v>45260</v>
      </c>
      <c r="R276" s="37">
        <f t="shared" ca="1" si="39"/>
        <v>0</v>
      </c>
      <c r="S276" s="4">
        <f ca="1">IFERROR(AVERAGE($R$5:R276),0)</f>
        <v>0</v>
      </c>
      <c r="U276" s="21">
        <f t="shared" ca="1" si="40"/>
        <v>45260</v>
      </c>
      <c r="V276" s="4">
        <f ca="1">MIN(S276,PREMISSAS!$C$14)</f>
        <v>0</v>
      </c>
      <c r="W276" s="188"/>
      <c r="X276" s="188"/>
    </row>
    <row r="277" spans="2:24" x14ac:dyDescent="0.3">
      <c r="B277" s="21" t="str">
        <f t="shared" ca="1" si="41"/>
        <v/>
      </c>
      <c r="C277" s="22" t="str">
        <f ca="1">IF(B277="","",IF(LEFT(B277,2)="13",C276,IF(MONTH(B277)=1,C276*(1+PREMISSAS!$C$58),C276)))</f>
        <v/>
      </c>
      <c r="E277" s="18">
        <v>273</v>
      </c>
      <c r="F277" s="21" t="str">
        <f t="shared" ca="1" si="42"/>
        <v>13º 2023</v>
      </c>
      <c r="G277" s="22">
        <f ca="1">IFERROR(VLOOKUP(F277,RESULTADOS!$O$5:$P$543,2,FALSE),VLOOKUP(F277,$B$5:$C$842,2,FALSE))</f>
        <v>0</v>
      </c>
      <c r="H277" s="4">
        <f ca="1">IF(F277&lt;PREMISSAS!$D$7,0,IFERROR(VLOOKUP(IF(LEFT(F277,2)="13",DATE(YEAR(F276),12,31),F277),IPCA!$A:$D,4,FALSE),1)*G277)</f>
        <v>0</v>
      </c>
      <c r="J277" s="21" t="str">
        <f t="shared" ca="1" si="36"/>
        <v>13º 2023</v>
      </c>
      <c r="K277" s="4">
        <f t="shared" ca="1" si="37"/>
        <v>0</v>
      </c>
      <c r="M277" s="21" t="str">
        <f t="shared" ca="1" si="43"/>
        <v>13º 2023</v>
      </c>
      <c r="N277" s="37">
        <f t="shared" ca="1" si="38"/>
        <v>0</v>
      </c>
      <c r="O277" s="4">
        <f ca="1">IFERROR(AVERAGEIF(N$5:$N277,"&gt;="&amp;_xlfn.PERCENTILE.EXC(N$5:$N277,0.2)),0)</f>
        <v>0</v>
      </c>
      <c r="Q277" s="21" t="str">
        <f t="shared" ca="1" si="44"/>
        <v>13º 2023</v>
      </c>
      <c r="R277" s="37">
        <f t="shared" ca="1" si="39"/>
        <v>0</v>
      </c>
      <c r="S277" s="4">
        <f ca="1">IFERROR(AVERAGE($R$5:R277),0)</f>
        <v>0</v>
      </c>
      <c r="U277" s="21" t="str">
        <f t="shared" ca="1" si="40"/>
        <v>13º 2023</v>
      </c>
      <c r="V277" s="4">
        <f ca="1">MIN(S277,PREMISSAS!$C$14)</f>
        <v>0</v>
      </c>
      <c r="W277" s="188"/>
      <c r="X277" s="188"/>
    </row>
    <row r="278" spans="2:24" x14ac:dyDescent="0.3">
      <c r="B278" s="21" t="str">
        <f t="shared" ca="1" si="41"/>
        <v/>
      </c>
      <c r="C278" s="22" t="str">
        <f ca="1">IF(B278="","",IF(LEFT(B278,2)="13",C277,IF(MONTH(B278)=1,C277*(1+PREMISSAS!$C$58),C277)))</f>
        <v/>
      </c>
      <c r="E278" s="18">
        <v>274</v>
      </c>
      <c r="F278" s="21">
        <f t="shared" ca="1" si="42"/>
        <v>45291</v>
      </c>
      <c r="G278" s="22">
        <f ca="1">IFERROR(VLOOKUP(F278,RESULTADOS!$O$5:$P$543,2,FALSE),VLOOKUP(F278,$B$5:$C$842,2,FALSE))</f>
        <v>0</v>
      </c>
      <c r="H278" s="4">
        <f ca="1">IF(F278&lt;PREMISSAS!$D$7,0,IFERROR(VLOOKUP(IF(LEFT(F278,2)="13",DATE(YEAR(F277),12,31),F278),IPCA!$A:$D,4,FALSE),1)*G278)</f>
        <v>0</v>
      </c>
      <c r="J278" s="21">
        <f t="shared" ca="1" si="36"/>
        <v>45291</v>
      </c>
      <c r="K278" s="4">
        <f t="shared" ca="1" si="37"/>
        <v>0</v>
      </c>
      <c r="M278" s="21">
        <f t="shared" ca="1" si="43"/>
        <v>45291</v>
      </c>
      <c r="N278" s="37">
        <f t="shared" ca="1" si="38"/>
        <v>0</v>
      </c>
      <c r="O278" s="4">
        <f ca="1">IFERROR(AVERAGEIF(N$5:$N278,"&gt;="&amp;_xlfn.PERCENTILE.EXC(N$5:$N278,0.2)),0)</f>
        <v>0</v>
      </c>
      <c r="Q278" s="21">
        <f t="shared" ca="1" si="44"/>
        <v>45291</v>
      </c>
      <c r="R278" s="37">
        <f t="shared" ca="1" si="39"/>
        <v>0</v>
      </c>
      <c r="S278" s="4">
        <f ca="1">IFERROR(AVERAGE($R$5:R278),0)</f>
        <v>0</v>
      </c>
      <c r="U278" s="21">
        <f t="shared" ca="1" si="40"/>
        <v>45291</v>
      </c>
      <c r="V278" s="4">
        <f ca="1">MIN(S278,PREMISSAS!$C$14)</f>
        <v>0</v>
      </c>
      <c r="W278" s="188"/>
      <c r="X278" s="188"/>
    </row>
    <row r="279" spans="2:24" x14ac:dyDescent="0.3">
      <c r="B279" s="21" t="str">
        <f t="shared" ca="1" si="41"/>
        <v/>
      </c>
      <c r="C279" s="22" t="str">
        <f ca="1">IF(B279="","",IF(LEFT(B279,2)="13",C278,IF(MONTH(B279)=1,C278*(1+PREMISSAS!$C$58),C278)))</f>
        <v/>
      </c>
      <c r="E279" s="18">
        <v>275</v>
      </c>
      <c r="F279" s="21">
        <f t="shared" ca="1" si="42"/>
        <v>45322</v>
      </c>
      <c r="G279" s="22">
        <f ca="1">IFERROR(VLOOKUP(F279,RESULTADOS!$O$5:$P$543,2,FALSE),VLOOKUP(F279,$B$5:$C$842,2,FALSE))</f>
        <v>0</v>
      </c>
      <c r="H279" s="4">
        <f ca="1">IF(F279&lt;PREMISSAS!$D$7,0,IFERROR(VLOOKUP(IF(LEFT(F279,2)="13",DATE(YEAR(F278),12,31),F279),IPCA!$A:$D,4,FALSE),1)*G279)</f>
        <v>0</v>
      </c>
      <c r="J279" s="21">
        <f t="shared" ca="1" si="36"/>
        <v>45322</v>
      </c>
      <c r="K279" s="4">
        <f t="shared" ca="1" si="37"/>
        <v>0</v>
      </c>
      <c r="M279" s="21">
        <f t="shared" ca="1" si="43"/>
        <v>45322</v>
      </c>
      <c r="N279" s="37">
        <f t="shared" ca="1" si="38"/>
        <v>0</v>
      </c>
      <c r="O279" s="4">
        <f ca="1">IFERROR(AVERAGEIF(N$5:$N279,"&gt;="&amp;_xlfn.PERCENTILE.EXC(N$5:$N279,0.2)),0)</f>
        <v>0</v>
      </c>
      <c r="Q279" s="21">
        <f t="shared" ca="1" si="44"/>
        <v>45322</v>
      </c>
      <c r="R279" s="37">
        <f t="shared" ca="1" si="39"/>
        <v>0</v>
      </c>
      <c r="S279" s="4">
        <f ca="1">IFERROR(AVERAGE($R$5:R279),0)</f>
        <v>0</v>
      </c>
      <c r="U279" s="21">
        <f t="shared" ca="1" si="40"/>
        <v>45322</v>
      </c>
      <c r="V279" s="4">
        <f ca="1">MIN(S279,PREMISSAS!$C$14)</f>
        <v>0</v>
      </c>
      <c r="W279" s="188"/>
      <c r="X279" s="188"/>
    </row>
    <row r="280" spans="2:24" x14ac:dyDescent="0.3">
      <c r="B280" s="21" t="str">
        <f t="shared" ca="1" si="41"/>
        <v/>
      </c>
      <c r="C280" s="22" t="str">
        <f ca="1">IF(B280="","",IF(LEFT(B280,2)="13",C279,IF(MONTH(B280)=1,C279*(1+PREMISSAS!$C$58),C279)))</f>
        <v/>
      </c>
      <c r="E280" s="18">
        <v>276</v>
      </c>
      <c r="F280" s="21">
        <f t="shared" ca="1" si="42"/>
        <v>45351</v>
      </c>
      <c r="G280" s="22">
        <f ca="1">IFERROR(VLOOKUP(F280,RESULTADOS!$O$5:$P$543,2,FALSE),VLOOKUP(F280,$B$5:$C$842,2,FALSE))</f>
        <v>0</v>
      </c>
      <c r="H280" s="4">
        <f ca="1">IF(F280&lt;PREMISSAS!$D$7,0,IFERROR(VLOOKUP(IF(LEFT(F280,2)="13",DATE(YEAR(F279),12,31),F280),IPCA!$A:$D,4,FALSE),1)*G280)</f>
        <v>0</v>
      </c>
      <c r="J280" s="21">
        <f t="shared" ca="1" si="36"/>
        <v>45351</v>
      </c>
      <c r="K280" s="4">
        <f t="shared" ca="1" si="37"/>
        <v>0</v>
      </c>
      <c r="M280" s="21">
        <f t="shared" ca="1" si="43"/>
        <v>45351</v>
      </c>
      <c r="N280" s="37">
        <f t="shared" ca="1" si="38"/>
        <v>0</v>
      </c>
      <c r="O280" s="4">
        <f ca="1">IFERROR(AVERAGEIF(N$5:$N280,"&gt;="&amp;_xlfn.PERCENTILE.EXC(N$5:$N280,0.2)),0)</f>
        <v>0</v>
      </c>
      <c r="Q280" s="21">
        <f t="shared" ca="1" si="44"/>
        <v>45351</v>
      </c>
      <c r="R280" s="37">
        <f t="shared" ca="1" si="39"/>
        <v>0</v>
      </c>
      <c r="S280" s="4">
        <f ca="1">IFERROR(AVERAGE($R$5:R280),0)</f>
        <v>0</v>
      </c>
      <c r="U280" s="21">
        <f t="shared" ca="1" si="40"/>
        <v>45351</v>
      </c>
      <c r="V280" s="4">
        <f ca="1">MIN(S280,PREMISSAS!$C$14)</f>
        <v>0</v>
      </c>
      <c r="W280" s="188"/>
      <c r="X280" s="188"/>
    </row>
    <row r="281" spans="2:24" x14ac:dyDescent="0.3">
      <c r="B281" s="21" t="str">
        <f t="shared" ca="1" si="41"/>
        <v/>
      </c>
      <c r="C281" s="22" t="str">
        <f ca="1">IF(B281="","",IF(LEFT(B281,2)="13",C280,IF(MONTH(B281)=1,C280*(1+PREMISSAS!$C$58),C280)))</f>
        <v/>
      </c>
      <c r="E281" s="18">
        <v>277</v>
      </c>
      <c r="F281" s="21">
        <f t="shared" ca="1" si="42"/>
        <v>45382</v>
      </c>
      <c r="G281" s="22">
        <f ca="1">IFERROR(VLOOKUP(F281,RESULTADOS!$O$5:$P$543,2,FALSE),VLOOKUP(F281,$B$5:$C$842,2,FALSE))</f>
        <v>0</v>
      </c>
      <c r="H281" s="4">
        <f ca="1">IF(F281&lt;PREMISSAS!$D$7,0,IFERROR(VLOOKUP(IF(LEFT(F281,2)="13",DATE(YEAR(F280),12,31),F281),IPCA!$A:$D,4,FALSE),1)*G281)</f>
        <v>0</v>
      </c>
      <c r="J281" s="21">
        <f t="shared" ca="1" si="36"/>
        <v>45382</v>
      </c>
      <c r="K281" s="4">
        <f t="shared" ca="1" si="37"/>
        <v>0</v>
      </c>
      <c r="M281" s="21">
        <f t="shared" ca="1" si="43"/>
        <v>45382</v>
      </c>
      <c r="N281" s="37">
        <f t="shared" ca="1" si="38"/>
        <v>0</v>
      </c>
      <c r="O281" s="4">
        <f ca="1">IFERROR(AVERAGEIF(N$5:$N281,"&gt;="&amp;_xlfn.PERCENTILE.EXC(N$5:$N281,0.2)),0)</f>
        <v>0</v>
      </c>
      <c r="Q281" s="21">
        <f t="shared" ca="1" si="44"/>
        <v>45382</v>
      </c>
      <c r="R281" s="37">
        <f t="shared" ca="1" si="39"/>
        <v>0</v>
      </c>
      <c r="S281" s="4">
        <f ca="1">IFERROR(AVERAGE($R$5:R281),0)</f>
        <v>0</v>
      </c>
      <c r="U281" s="21">
        <f t="shared" ca="1" si="40"/>
        <v>45382</v>
      </c>
      <c r="V281" s="4">
        <f ca="1">MIN(S281,PREMISSAS!$C$14)</f>
        <v>0</v>
      </c>
      <c r="W281" s="188"/>
      <c r="X281" s="188"/>
    </row>
    <row r="282" spans="2:24" x14ac:dyDescent="0.3">
      <c r="B282" s="21" t="str">
        <f t="shared" ca="1" si="41"/>
        <v/>
      </c>
      <c r="C282" s="22" t="str">
        <f ca="1">IF(B282="","",IF(LEFT(B282,2)="13",C281,IF(MONTH(B282)=1,C281*(1+PREMISSAS!$C$58),C281)))</f>
        <v/>
      </c>
      <c r="E282" s="18">
        <v>278</v>
      </c>
      <c r="F282" s="21">
        <f t="shared" ca="1" si="42"/>
        <v>45412</v>
      </c>
      <c r="G282" s="22">
        <f ca="1">IFERROR(VLOOKUP(F282,RESULTADOS!$O$5:$P$543,2,FALSE),VLOOKUP(F282,$B$5:$C$842,2,FALSE))</f>
        <v>0</v>
      </c>
      <c r="H282" s="4">
        <f ca="1">IF(F282&lt;PREMISSAS!$D$7,0,IFERROR(VLOOKUP(IF(LEFT(F282,2)="13",DATE(YEAR(F281),12,31),F282),IPCA!$A:$D,4,FALSE),1)*G282)</f>
        <v>0</v>
      </c>
      <c r="J282" s="21">
        <f t="shared" ca="1" si="36"/>
        <v>45412</v>
      </c>
      <c r="K282" s="4">
        <f t="shared" ca="1" si="37"/>
        <v>0</v>
      </c>
      <c r="M282" s="21">
        <f t="shared" ca="1" si="43"/>
        <v>45412</v>
      </c>
      <c r="N282" s="37">
        <f t="shared" ca="1" si="38"/>
        <v>0</v>
      </c>
      <c r="O282" s="4">
        <f ca="1">IFERROR(AVERAGEIF(N$5:$N282,"&gt;="&amp;_xlfn.PERCENTILE.EXC(N$5:$N282,0.2)),0)</f>
        <v>0</v>
      </c>
      <c r="Q282" s="21">
        <f t="shared" ca="1" si="44"/>
        <v>45412</v>
      </c>
      <c r="R282" s="37">
        <f t="shared" ca="1" si="39"/>
        <v>0</v>
      </c>
      <c r="S282" s="4">
        <f ca="1">IFERROR(AVERAGE($R$5:R282),0)</f>
        <v>0</v>
      </c>
      <c r="U282" s="21">
        <f t="shared" ca="1" si="40"/>
        <v>45412</v>
      </c>
      <c r="V282" s="4">
        <f ca="1">MIN(S282,PREMISSAS!$C$14)</f>
        <v>0</v>
      </c>
      <c r="W282" s="188"/>
      <c r="X282" s="188"/>
    </row>
    <row r="283" spans="2:24" x14ac:dyDescent="0.3">
      <c r="B283" s="21" t="str">
        <f t="shared" ca="1" si="41"/>
        <v/>
      </c>
      <c r="C283" s="22" t="str">
        <f ca="1">IF(B283="","",IF(LEFT(B283,2)="13",C282,IF(MONTH(B283)=1,C282*(1+PREMISSAS!$C$58),C282)))</f>
        <v/>
      </c>
      <c r="E283" s="18">
        <v>279</v>
      </c>
      <c r="F283" s="21">
        <f t="shared" ca="1" si="42"/>
        <v>45443</v>
      </c>
      <c r="G283" s="22">
        <f ca="1">IFERROR(VLOOKUP(F283,RESULTADOS!$O$5:$P$543,2,FALSE),VLOOKUP(F283,$B$5:$C$842,2,FALSE))</f>
        <v>0</v>
      </c>
      <c r="H283" s="4">
        <f ca="1">IF(F283&lt;PREMISSAS!$D$7,0,IFERROR(VLOOKUP(IF(LEFT(F283,2)="13",DATE(YEAR(F282),12,31),F283),IPCA!$A:$D,4,FALSE),1)*G283)</f>
        <v>0</v>
      </c>
      <c r="J283" s="21">
        <f t="shared" ca="1" si="36"/>
        <v>45443</v>
      </c>
      <c r="K283" s="4">
        <f t="shared" ca="1" si="37"/>
        <v>0</v>
      </c>
      <c r="M283" s="21">
        <f t="shared" ca="1" si="43"/>
        <v>45443</v>
      </c>
      <c r="N283" s="37">
        <f t="shared" ca="1" si="38"/>
        <v>0</v>
      </c>
      <c r="O283" s="4">
        <f ca="1">IFERROR(AVERAGEIF(N$5:$N283,"&gt;="&amp;_xlfn.PERCENTILE.EXC(N$5:$N283,0.2)),0)</f>
        <v>0</v>
      </c>
      <c r="Q283" s="21">
        <f t="shared" ca="1" si="44"/>
        <v>45443</v>
      </c>
      <c r="R283" s="37">
        <f t="shared" ca="1" si="39"/>
        <v>0</v>
      </c>
      <c r="S283" s="4">
        <f ca="1">IFERROR(AVERAGE($R$5:R283),0)</f>
        <v>0</v>
      </c>
      <c r="U283" s="21">
        <f t="shared" ca="1" si="40"/>
        <v>45443</v>
      </c>
      <c r="V283" s="4">
        <f ca="1">MIN(S283,PREMISSAS!$C$14)</f>
        <v>0</v>
      </c>
      <c r="W283" s="188"/>
      <c r="X283" s="188"/>
    </row>
    <row r="284" spans="2:24" x14ac:dyDescent="0.3">
      <c r="B284" s="21" t="str">
        <f t="shared" ca="1" si="41"/>
        <v/>
      </c>
      <c r="C284" s="22" t="str">
        <f ca="1">IF(B284="","",IF(LEFT(B284,2)="13",C283,IF(MONTH(B284)=1,C283*(1+PREMISSAS!$C$58),C283)))</f>
        <v/>
      </c>
      <c r="E284" s="18">
        <v>280</v>
      </c>
      <c r="F284" s="21">
        <f t="shared" ca="1" si="42"/>
        <v>45473</v>
      </c>
      <c r="G284" s="22">
        <f ca="1">IFERROR(VLOOKUP(F284,RESULTADOS!$O$5:$P$543,2,FALSE),VLOOKUP(F284,$B$5:$C$842,2,FALSE))</f>
        <v>0</v>
      </c>
      <c r="H284" s="4">
        <f ca="1">IF(F284&lt;PREMISSAS!$D$7,0,IFERROR(VLOOKUP(IF(LEFT(F284,2)="13",DATE(YEAR(F283),12,31),F284),IPCA!$A:$D,4,FALSE),1)*G284)</f>
        <v>0</v>
      </c>
      <c r="J284" s="21">
        <f t="shared" ca="1" si="36"/>
        <v>45473</v>
      </c>
      <c r="K284" s="4">
        <f t="shared" ca="1" si="37"/>
        <v>0</v>
      </c>
      <c r="M284" s="21">
        <f t="shared" ca="1" si="43"/>
        <v>45473</v>
      </c>
      <c r="N284" s="37">
        <f t="shared" ca="1" si="38"/>
        <v>0</v>
      </c>
      <c r="O284" s="4">
        <f ca="1">IFERROR(AVERAGEIF(N$5:$N284,"&gt;="&amp;_xlfn.PERCENTILE.EXC(N$5:$N284,0.2)),0)</f>
        <v>0</v>
      </c>
      <c r="Q284" s="21">
        <f t="shared" ca="1" si="44"/>
        <v>45473</v>
      </c>
      <c r="R284" s="37">
        <f t="shared" ca="1" si="39"/>
        <v>0</v>
      </c>
      <c r="S284" s="4">
        <f ca="1">IFERROR(AVERAGE($R$5:R284),0)</f>
        <v>0</v>
      </c>
      <c r="U284" s="21">
        <f t="shared" ca="1" si="40"/>
        <v>45473</v>
      </c>
      <c r="V284" s="4">
        <f ca="1">MIN(S284,PREMISSAS!$C$14)</f>
        <v>0</v>
      </c>
      <c r="W284" s="188"/>
      <c r="X284" s="188"/>
    </row>
    <row r="285" spans="2:24" x14ac:dyDescent="0.3">
      <c r="B285" s="21" t="str">
        <f t="shared" ca="1" si="41"/>
        <v/>
      </c>
      <c r="C285" s="22" t="str">
        <f ca="1">IF(B285="","",IF(LEFT(B285,2)="13",C284,IF(MONTH(B285)=1,C284*(1+PREMISSAS!$C$58),C284)))</f>
        <v/>
      </c>
      <c r="E285" s="18">
        <v>281</v>
      </c>
      <c r="F285" s="21">
        <f t="shared" ca="1" si="42"/>
        <v>45504</v>
      </c>
      <c r="G285" s="22">
        <f ca="1">IFERROR(VLOOKUP(F285,RESULTADOS!$O$5:$P$543,2,FALSE),VLOOKUP(F285,$B$5:$C$842,2,FALSE))</f>
        <v>0</v>
      </c>
      <c r="H285" s="4">
        <f ca="1">IF(F285&lt;PREMISSAS!$D$7,0,IFERROR(VLOOKUP(IF(LEFT(F285,2)="13",DATE(YEAR(F284),12,31),F285),IPCA!$A:$D,4,FALSE),1)*G285)</f>
        <v>0</v>
      </c>
      <c r="J285" s="21">
        <f t="shared" ca="1" si="36"/>
        <v>45504</v>
      </c>
      <c r="K285" s="4">
        <f t="shared" ca="1" si="37"/>
        <v>0</v>
      </c>
      <c r="M285" s="21">
        <f t="shared" ca="1" si="43"/>
        <v>45504</v>
      </c>
      <c r="N285" s="37">
        <f t="shared" ca="1" si="38"/>
        <v>0</v>
      </c>
      <c r="O285" s="4">
        <f ca="1">IFERROR(AVERAGEIF(N$5:$N285,"&gt;="&amp;_xlfn.PERCENTILE.EXC(N$5:$N285,0.2)),0)</f>
        <v>0</v>
      </c>
      <c r="Q285" s="21">
        <f t="shared" ca="1" si="44"/>
        <v>45504</v>
      </c>
      <c r="R285" s="37">
        <f t="shared" ca="1" si="39"/>
        <v>0</v>
      </c>
      <c r="S285" s="4">
        <f ca="1">IFERROR(AVERAGE($R$5:R285),0)</f>
        <v>0</v>
      </c>
      <c r="U285" s="21">
        <f t="shared" ca="1" si="40"/>
        <v>45504</v>
      </c>
      <c r="V285" s="4">
        <f ca="1">MIN(S285,PREMISSAS!$C$14)</f>
        <v>0</v>
      </c>
      <c r="W285" s="188"/>
      <c r="X285" s="188"/>
    </row>
    <row r="286" spans="2:24" x14ac:dyDescent="0.3">
      <c r="B286" s="21" t="str">
        <f t="shared" ca="1" si="41"/>
        <v/>
      </c>
      <c r="C286" s="22" t="str">
        <f ca="1">IF(B286="","",IF(LEFT(B286,2)="13",C285,IF(MONTH(B286)=1,C285*(1+PREMISSAS!$C$58),C285)))</f>
        <v/>
      </c>
      <c r="E286" s="18">
        <v>282</v>
      </c>
      <c r="F286" s="21">
        <f t="shared" ca="1" si="42"/>
        <v>45535</v>
      </c>
      <c r="G286" s="22">
        <f ca="1">IFERROR(VLOOKUP(F286,RESULTADOS!$O$5:$P$543,2,FALSE),VLOOKUP(F286,$B$5:$C$842,2,FALSE))</f>
        <v>0</v>
      </c>
      <c r="H286" s="4">
        <f ca="1">IF(F286&lt;PREMISSAS!$D$7,0,IFERROR(VLOOKUP(IF(LEFT(F286,2)="13",DATE(YEAR(F285),12,31),F286),IPCA!$A:$D,4,FALSE),1)*G286)</f>
        <v>0</v>
      </c>
      <c r="J286" s="21">
        <f t="shared" ca="1" si="36"/>
        <v>45535</v>
      </c>
      <c r="K286" s="4">
        <f t="shared" ca="1" si="37"/>
        <v>0</v>
      </c>
      <c r="M286" s="21">
        <f t="shared" ca="1" si="43"/>
        <v>45535</v>
      </c>
      <c r="N286" s="37">
        <f t="shared" ca="1" si="38"/>
        <v>0</v>
      </c>
      <c r="O286" s="4">
        <f ca="1">IFERROR(AVERAGEIF(N$5:$N286,"&gt;="&amp;_xlfn.PERCENTILE.EXC(N$5:$N286,0.2)),0)</f>
        <v>0</v>
      </c>
      <c r="Q286" s="21">
        <f t="shared" ca="1" si="44"/>
        <v>45535</v>
      </c>
      <c r="R286" s="37">
        <f t="shared" ca="1" si="39"/>
        <v>0</v>
      </c>
      <c r="S286" s="4">
        <f ca="1">IFERROR(AVERAGE($R$5:R286),0)</f>
        <v>0</v>
      </c>
      <c r="U286" s="21">
        <f t="shared" ca="1" si="40"/>
        <v>45535</v>
      </c>
      <c r="V286" s="4">
        <f ca="1">MIN(S286,PREMISSAS!$C$14)</f>
        <v>0</v>
      </c>
      <c r="W286" s="188"/>
      <c r="X286" s="188"/>
    </row>
    <row r="287" spans="2:24" x14ac:dyDescent="0.3">
      <c r="B287" s="21" t="str">
        <f t="shared" ca="1" si="41"/>
        <v/>
      </c>
      <c r="C287" s="22" t="str">
        <f ca="1">IF(B287="","",IF(LEFT(B287,2)="13",C286,IF(MONTH(B287)=1,C286*(1+PREMISSAS!$C$58),C286)))</f>
        <v/>
      </c>
      <c r="E287" s="18">
        <v>283</v>
      </c>
      <c r="F287" s="21">
        <f t="shared" ca="1" si="42"/>
        <v>45565</v>
      </c>
      <c r="G287" s="22">
        <f ca="1">IFERROR(VLOOKUP(F287,RESULTADOS!$O$5:$P$543,2,FALSE),VLOOKUP(F287,$B$5:$C$842,2,FALSE))</f>
        <v>0</v>
      </c>
      <c r="H287" s="4">
        <f ca="1">IF(F287&lt;PREMISSAS!$D$7,0,IFERROR(VLOOKUP(IF(LEFT(F287,2)="13",DATE(YEAR(F286),12,31),F287),IPCA!$A:$D,4,FALSE),1)*G287)</f>
        <v>0</v>
      </c>
      <c r="J287" s="21">
        <f t="shared" ca="1" si="36"/>
        <v>45565</v>
      </c>
      <c r="K287" s="4">
        <f t="shared" ca="1" si="37"/>
        <v>0</v>
      </c>
      <c r="M287" s="21">
        <f t="shared" ca="1" si="43"/>
        <v>45565</v>
      </c>
      <c r="N287" s="37">
        <f t="shared" ca="1" si="38"/>
        <v>0</v>
      </c>
      <c r="O287" s="4">
        <f ca="1">IFERROR(AVERAGEIF(N$5:$N287,"&gt;="&amp;_xlfn.PERCENTILE.EXC(N$5:$N287,0.2)),0)</f>
        <v>0</v>
      </c>
      <c r="Q287" s="21">
        <f t="shared" ca="1" si="44"/>
        <v>45565</v>
      </c>
      <c r="R287" s="37">
        <f t="shared" ca="1" si="39"/>
        <v>0</v>
      </c>
      <c r="S287" s="4">
        <f ca="1">IFERROR(AVERAGE($R$5:R287),0)</f>
        <v>0</v>
      </c>
      <c r="U287" s="21">
        <f t="shared" ca="1" si="40"/>
        <v>45565</v>
      </c>
      <c r="V287" s="4">
        <f ca="1">MIN(S287,PREMISSAS!$C$14)</f>
        <v>0</v>
      </c>
      <c r="W287" s="188"/>
      <c r="X287" s="188"/>
    </row>
    <row r="288" spans="2:24" x14ac:dyDescent="0.3">
      <c r="B288" s="21" t="str">
        <f t="shared" ca="1" si="41"/>
        <v/>
      </c>
      <c r="C288" s="22" t="str">
        <f ca="1">IF(B288="","",IF(LEFT(B288,2)="13",C287,IF(MONTH(B288)=1,C287*(1+PREMISSAS!$C$58),C287)))</f>
        <v/>
      </c>
      <c r="E288" s="18">
        <v>284</v>
      </c>
      <c r="F288" s="21">
        <f t="shared" ca="1" si="42"/>
        <v>45596</v>
      </c>
      <c r="G288" s="22">
        <f ca="1">IFERROR(VLOOKUP(F288,RESULTADOS!$O$5:$P$543,2,FALSE),VLOOKUP(F288,$B$5:$C$842,2,FALSE))</f>
        <v>0</v>
      </c>
      <c r="H288" s="4">
        <f ca="1">IF(F288&lt;PREMISSAS!$D$7,0,IFERROR(VLOOKUP(IF(LEFT(F288,2)="13",DATE(YEAR(F287),12,31),F288),IPCA!$A:$D,4,FALSE),1)*G288)</f>
        <v>0</v>
      </c>
      <c r="J288" s="21">
        <f t="shared" ca="1" si="36"/>
        <v>45596</v>
      </c>
      <c r="K288" s="4">
        <f t="shared" ca="1" si="37"/>
        <v>0</v>
      </c>
      <c r="M288" s="21">
        <f t="shared" ca="1" si="43"/>
        <v>45596</v>
      </c>
      <c r="N288" s="37">
        <f t="shared" ca="1" si="38"/>
        <v>0</v>
      </c>
      <c r="O288" s="4">
        <f ca="1">IFERROR(AVERAGEIF(N$5:$N288,"&gt;="&amp;_xlfn.PERCENTILE.EXC(N$5:$N288,0.2)),0)</f>
        <v>0</v>
      </c>
      <c r="Q288" s="21">
        <f t="shared" ca="1" si="44"/>
        <v>45596</v>
      </c>
      <c r="R288" s="37">
        <f t="shared" ca="1" si="39"/>
        <v>0</v>
      </c>
      <c r="S288" s="4">
        <f ca="1">IFERROR(AVERAGE($R$5:R288),0)</f>
        <v>0</v>
      </c>
      <c r="U288" s="21">
        <f t="shared" ca="1" si="40"/>
        <v>45596</v>
      </c>
      <c r="V288" s="4">
        <f ca="1">MIN(S288,PREMISSAS!$C$14)</f>
        <v>0</v>
      </c>
      <c r="W288" s="188"/>
      <c r="X288" s="188"/>
    </row>
    <row r="289" spans="2:24" x14ac:dyDescent="0.3">
      <c r="B289" s="21" t="str">
        <f t="shared" ca="1" si="41"/>
        <v/>
      </c>
      <c r="C289" s="22" t="str">
        <f ca="1">IF(B289="","",IF(LEFT(B289,2)="13",C288,IF(MONTH(B289)=1,C288*(1+PREMISSAS!$C$58),C288)))</f>
        <v/>
      </c>
      <c r="E289" s="18">
        <v>285</v>
      </c>
      <c r="F289" s="21">
        <f t="shared" ca="1" si="42"/>
        <v>45626</v>
      </c>
      <c r="G289" s="22">
        <f ca="1">IFERROR(VLOOKUP(F289,RESULTADOS!$O$5:$P$543,2,FALSE),VLOOKUP(F289,$B$5:$C$842,2,FALSE))</f>
        <v>0</v>
      </c>
      <c r="H289" s="4">
        <f ca="1">IF(F289&lt;PREMISSAS!$D$7,0,IFERROR(VLOOKUP(IF(LEFT(F289,2)="13",DATE(YEAR(F288),12,31),F289),IPCA!$A:$D,4,FALSE),1)*G289)</f>
        <v>0</v>
      </c>
      <c r="J289" s="21">
        <f t="shared" ca="1" si="36"/>
        <v>45626</v>
      </c>
      <c r="K289" s="4">
        <f t="shared" ca="1" si="37"/>
        <v>0</v>
      </c>
      <c r="M289" s="21">
        <f t="shared" ca="1" si="43"/>
        <v>45626</v>
      </c>
      <c r="N289" s="37">
        <f t="shared" ca="1" si="38"/>
        <v>0</v>
      </c>
      <c r="O289" s="4">
        <f ca="1">IFERROR(AVERAGEIF(N$5:$N289,"&gt;="&amp;_xlfn.PERCENTILE.EXC(N$5:$N289,0.2)),0)</f>
        <v>0</v>
      </c>
      <c r="Q289" s="21">
        <f t="shared" ca="1" si="44"/>
        <v>45626</v>
      </c>
      <c r="R289" s="37">
        <f t="shared" ca="1" si="39"/>
        <v>0</v>
      </c>
      <c r="S289" s="4">
        <f ca="1">IFERROR(AVERAGE($R$5:R289),0)</f>
        <v>0</v>
      </c>
      <c r="U289" s="21">
        <f t="shared" ca="1" si="40"/>
        <v>45626</v>
      </c>
      <c r="V289" s="4">
        <f ca="1">MIN(S289,PREMISSAS!$C$14)</f>
        <v>0</v>
      </c>
      <c r="W289" s="188"/>
      <c r="X289" s="188"/>
    </row>
    <row r="290" spans="2:24" x14ac:dyDescent="0.3">
      <c r="B290" s="21" t="str">
        <f t="shared" ca="1" si="41"/>
        <v/>
      </c>
      <c r="C290" s="22" t="str">
        <f ca="1">IF(B290="","",IF(LEFT(B290,2)="13",C289,IF(MONTH(B290)=1,C289*(1+PREMISSAS!$C$58),C289)))</f>
        <v/>
      </c>
      <c r="E290" s="18">
        <v>286</v>
      </c>
      <c r="F290" s="21" t="str">
        <f t="shared" ca="1" si="42"/>
        <v>13º 2024</v>
      </c>
      <c r="G290" s="22">
        <f ca="1">IFERROR(VLOOKUP(F290,RESULTADOS!$O$5:$P$543,2,FALSE),VLOOKUP(F290,$B$5:$C$842,2,FALSE))</f>
        <v>0</v>
      </c>
      <c r="H290" s="4">
        <f ca="1">IF(F290&lt;PREMISSAS!$D$7,0,IFERROR(VLOOKUP(IF(LEFT(F290,2)="13",DATE(YEAR(F289),12,31),F290),IPCA!$A:$D,4,FALSE),1)*G290)</f>
        <v>0</v>
      </c>
      <c r="J290" s="21" t="str">
        <f t="shared" ca="1" si="36"/>
        <v>13º 2024</v>
      </c>
      <c r="K290" s="4">
        <f t="shared" ca="1" si="37"/>
        <v>0</v>
      </c>
      <c r="M290" s="21" t="str">
        <f t="shared" ca="1" si="43"/>
        <v>13º 2024</v>
      </c>
      <c r="N290" s="37">
        <f t="shared" ca="1" si="38"/>
        <v>0</v>
      </c>
      <c r="O290" s="4">
        <f ca="1">IFERROR(AVERAGEIF(N$5:$N290,"&gt;="&amp;_xlfn.PERCENTILE.EXC(N$5:$N290,0.2)),0)</f>
        <v>0</v>
      </c>
      <c r="Q290" s="21" t="str">
        <f t="shared" ca="1" si="44"/>
        <v>13º 2024</v>
      </c>
      <c r="R290" s="37">
        <f t="shared" ca="1" si="39"/>
        <v>0</v>
      </c>
      <c r="S290" s="4">
        <f ca="1">IFERROR(AVERAGE($R$5:R290),0)</f>
        <v>0</v>
      </c>
      <c r="U290" s="21" t="str">
        <f t="shared" ca="1" si="40"/>
        <v>13º 2024</v>
      </c>
      <c r="V290" s="4">
        <f ca="1">MIN(S290,PREMISSAS!$C$14)</f>
        <v>0</v>
      </c>
      <c r="W290" s="188"/>
      <c r="X290" s="188"/>
    </row>
    <row r="291" spans="2:24" x14ac:dyDescent="0.3">
      <c r="B291" s="21" t="str">
        <f t="shared" ca="1" si="41"/>
        <v/>
      </c>
      <c r="C291" s="22" t="str">
        <f ca="1">IF(B291="","",IF(LEFT(B291,2)="13",C290,IF(MONTH(B291)=1,C290*(1+PREMISSAS!$C$58),C290)))</f>
        <v/>
      </c>
      <c r="E291" s="18">
        <v>287</v>
      </c>
      <c r="F291" s="21">
        <f t="shared" ca="1" si="42"/>
        <v>45657</v>
      </c>
      <c r="G291" s="22">
        <f ca="1">IFERROR(VLOOKUP(F291,RESULTADOS!$O$5:$P$543,2,FALSE),VLOOKUP(F291,$B$5:$C$842,2,FALSE))</f>
        <v>0</v>
      </c>
      <c r="H291" s="4">
        <f ca="1">IF(F291&lt;PREMISSAS!$D$7,0,IFERROR(VLOOKUP(IF(LEFT(F291,2)="13",DATE(YEAR(F290),12,31),F291),IPCA!$A:$D,4,FALSE),1)*G291)</f>
        <v>0</v>
      </c>
      <c r="J291" s="21">
        <f t="shared" ca="1" si="36"/>
        <v>45657</v>
      </c>
      <c r="K291" s="4">
        <f t="shared" ca="1" si="37"/>
        <v>0</v>
      </c>
      <c r="M291" s="21">
        <f t="shared" ca="1" si="43"/>
        <v>45657</v>
      </c>
      <c r="N291" s="37">
        <f t="shared" ca="1" si="38"/>
        <v>0</v>
      </c>
      <c r="O291" s="4">
        <f ca="1">IFERROR(AVERAGEIF(N$5:$N291,"&gt;="&amp;_xlfn.PERCENTILE.EXC(N$5:$N291,0.2)),0)</f>
        <v>0</v>
      </c>
      <c r="Q291" s="21">
        <f t="shared" ca="1" si="44"/>
        <v>45657</v>
      </c>
      <c r="R291" s="37">
        <f t="shared" ca="1" si="39"/>
        <v>0</v>
      </c>
      <c r="S291" s="4">
        <f ca="1">IFERROR(AVERAGE($R$5:R291),0)</f>
        <v>0</v>
      </c>
      <c r="U291" s="21">
        <f t="shared" ca="1" si="40"/>
        <v>45657</v>
      </c>
      <c r="V291" s="4">
        <f ca="1">MIN(S291,PREMISSAS!$C$14)</f>
        <v>0</v>
      </c>
      <c r="W291" s="188"/>
      <c r="X291" s="188"/>
    </row>
    <row r="292" spans="2:24" x14ac:dyDescent="0.3">
      <c r="B292" s="21" t="str">
        <f t="shared" ca="1" si="41"/>
        <v/>
      </c>
      <c r="C292" s="22" t="str">
        <f ca="1">IF(B292="","",IF(LEFT(B292,2)="13",C291,IF(MONTH(B292)=1,C291*(1+PREMISSAS!$C$58),C291)))</f>
        <v/>
      </c>
      <c r="E292" s="18">
        <v>288</v>
      </c>
      <c r="F292" s="21">
        <f t="shared" ca="1" si="42"/>
        <v>45688</v>
      </c>
      <c r="G292" s="22">
        <f ca="1">IFERROR(VLOOKUP(F292,RESULTADOS!$O$5:$P$543,2,FALSE),VLOOKUP(F292,$B$5:$C$842,2,FALSE))</f>
        <v>0</v>
      </c>
      <c r="H292" s="4">
        <f ca="1">IF(F292&lt;PREMISSAS!$D$7,0,IFERROR(VLOOKUP(IF(LEFT(F292,2)="13",DATE(YEAR(F291),12,31),F292),IPCA!$A:$D,4,FALSE),1)*G292)</f>
        <v>0</v>
      </c>
      <c r="J292" s="21">
        <f t="shared" ca="1" si="36"/>
        <v>45688</v>
      </c>
      <c r="K292" s="4">
        <f t="shared" ca="1" si="37"/>
        <v>0</v>
      </c>
      <c r="M292" s="21">
        <f t="shared" ca="1" si="43"/>
        <v>45688</v>
      </c>
      <c r="N292" s="37">
        <f t="shared" ca="1" si="38"/>
        <v>0</v>
      </c>
      <c r="O292" s="4">
        <f ca="1">IFERROR(AVERAGEIF(N$5:$N292,"&gt;="&amp;_xlfn.PERCENTILE.EXC(N$5:$N292,0.2)),0)</f>
        <v>0</v>
      </c>
      <c r="Q292" s="21">
        <f t="shared" ca="1" si="44"/>
        <v>45688</v>
      </c>
      <c r="R292" s="37">
        <f t="shared" ca="1" si="39"/>
        <v>0</v>
      </c>
      <c r="S292" s="4">
        <f ca="1">IFERROR(AVERAGE($R$5:R292),0)</f>
        <v>0</v>
      </c>
      <c r="U292" s="21">
        <f t="shared" ca="1" si="40"/>
        <v>45688</v>
      </c>
      <c r="V292" s="4">
        <f ca="1">MIN(S292,PREMISSAS!$C$14)</f>
        <v>0</v>
      </c>
      <c r="W292" s="188"/>
      <c r="X292" s="188"/>
    </row>
    <row r="293" spans="2:24" x14ac:dyDescent="0.3">
      <c r="B293" s="21" t="str">
        <f t="shared" ca="1" si="41"/>
        <v/>
      </c>
      <c r="C293" s="22" t="str">
        <f ca="1">IF(B293="","",IF(LEFT(B293,2)="13",C292,IF(MONTH(B293)=1,C292*(1+PREMISSAS!$C$58),C292)))</f>
        <v/>
      </c>
      <c r="E293" s="18">
        <v>289</v>
      </c>
      <c r="F293" s="21">
        <f t="shared" ca="1" si="42"/>
        <v>45716</v>
      </c>
      <c r="G293" s="22">
        <f ca="1">IFERROR(VLOOKUP(F293,RESULTADOS!$O$5:$P$543,2,FALSE),VLOOKUP(F293,$B$5:$C$842,2,FALSE))</f>
        <v>0</v>
      </c>
      <c r="H293" s="4">
        <f ca="1">IF(F293&lt;PREMISSAS!$D$7,0,IFERROR(VLOOKUP(IF(LEFT(F293,2)="13",DATE(YEAR(F292),12,31),F293),IPCA!$A:$D,4,FALSE),1)*G293)</f>
        <v>0</v>
      </c>
      <c r="J293" s="21">
        <f t="shared" ca="1" si="36"/>
        <v>45716</v>
      </c>
      <c r="K293" s="4">
        <f t="shared" ca="1" si="37"/>
        <v>0</v>
      </c>
      <c r="M293" s="21">
        <f t="shared" ca="1" si="43"/>
        <v>45716</v>
      </c>
      <c r="N293" s="37">
        <f t="shared" ca="1" si="38"/>
        <v>0</v>
      </c>
      <c r="O293" s="4">
        <f ca="1">IFERROR(AVERAGEIF(N$5:$N293,"&gt;="&amp;_xlfn.PERCENTILE.EXC(N$5:$N293,0.2)),0)</f>
        <v>0</v>
      </c>
      <c r="Q293" s="21">
        <f t="shared" ca="1" si="44"/>
        <v>45716</v>
      </c>
      <c r="R293" s="37">
        <f t="shared" ca="1" si="39"/>
        <v>0</v>
      </c>
      <c r="S293" s="4">
        <f ca="1">IFERROR(AVERAGE($R$5:R293),0)</f>
        <v>0</v>
      </c>
      <c r="U293" s="21">
        <f t="shared" ca="1" si="40"/>
        <v>45716</v>
      </c>
      <c r="V293" s="4">
        <f ca="1">MIN(S293,PREMISSAS!$C$14)</f>
        <v>0</v>
      </c>
      <c r="W293" s="188"/>
      <c r="X293" s="188"/>
    </row>
    <row r="294" spans="2:24" x14ac:dyDescent="0.3">
      <c r="B294" s="21" t="str">
        <f t="shared" ca="1" si="41"/>
        <v/>
      </c>
      <c r="C294" s="22" t="str">
        <f ca="1">IF(B294="","",IF(LEFT(B294,2)="13",C293,IF(MONTH(B294)=1,C293*(1+PREMISSAS!$C$58),C293)))</f>
        <v/>
      </c>
      <c r="E294" s="18">
        <v>290</v>
      </c>
      <c r="F294" s="21">
        <f t="shared" ca="1" si="42"/>
        <v>45747</v>
      </c>
      <c r="G294" s="22">
        <f ca="1">IFERROR(VLOOKUP(F294,RESULTADOS!$O$5:$P$543,2,FALSE),VLOOKUP(F294,$B$5:$C$842,2,FALSE))</f>
        <v>0</v>
      </c>
      <c r="H294" s="4">
        <f ca="1">IF(F294&lt;PREMISSAS!$D$7,0,IFERROR(VLOOKUP(IF(LEFT(F294,2)="13",DATE(YEAR(F293),12,31),F294),IPCA!$A:$D,4,FALSE),1)*G294)</f>
        <v>0</v>
      </c>
      <c r="J294" s="21">
        <f t="shared" ca="1" si="36"/>
        <v>45747</v>
      </c>
      <c r="K294" s="4">
        <f t="shared" ca="1" si="37"/>
        <v>0</v>
      </c>
      <c r="M294" s="21">
        <f t="shared" ca="1" si="43"/>
        <v>45747</v>
      </c>
      <c r="N294" s="37">
        <f t="shared" ca="1" si="38"/>
        <v>0</v>
      </c>
      <c r="O294" s="4">
        <f ca="1">IFERROR(AVERAGEIF(N$5:$N294,"&gt;="&amp;_xlfn.PERCENTILE.EXC(N$5:$N294,0.2)),0)</f>
        <v>0</v>
      </c>
      <c r="Q294" s="21">
        <f t="shared" ca="1" si="44"/>
        <v>45747</v>
      </c>
      <c r="R294" s="37">
        <f t="shared" ca="1" si="39"/>
        <v>0</v>
      </c>
      <c r="S294" s="4">
        <f ca="1">IFERROR(AVERAGE($R$5:R294),0)</f>
        <v>0</v>
      </c>
      <c r="U294" s="21">
        <f t="shared" ca="1" si="40"/>
        <v>45747</v>
      </c>
      <c r="V294" s="4">
        <f ca="1">MIN(S294,PREMISSAS!$C$14)</f>
        <v>0</v>
      </c>
      <c r="W294" s="188"/>
      <c r="X294" s="188"/>
    </row>
    <row r="295" spans="2:24" x14ac:dyDescent="0.3">
      <c r="B295" s="21" t="str">
        <f t="shared" ca="1" si="41"/>
        <v/>
      </c>
      <c r="C295" s="22" t="str">
        <f ca="1">IF(B295="","",IF(LEFT(B295,2)="13",C294,IF(MONTH(B295)=1,C294*(1+PREMISSAS!$C$58),C294)))</f>
        <v/>
      </c>
      <c r="E295" s="18">
        <v>291</v>
      </c>
      <c r="F295" s="21">
        <f t="shared" ca="1" si="42"/>
        <v>45777</v>
      </c>
      <c r="G295" s="22">
        <f ca="1">IFERROR(VLOOKUP(F295,RESULTADOS!$O$5:$P$543,2,FALSE),VLOOKUP(F295,$B$5:$C$842,2,FALSE))</f>
        <v>0</v>
      </c>
      <c r="H295" s="4">
        <f ca="1">IF(F295&lt;PREMISSAS!$D$7,0,IFERROR(VLOOKUP(IF(LEFT(F295,2)="13",DATE(YEAR(F294),12,31),F295),IPCA!$A:$D,4,FALSE),1)*G295)</f>
        <v>0</v>
      </c>
      <c r="J295" s="21">
        <f t="shared" ca="1" si="36"/>
        <v>45777</v>
      </c>
      <c r="K295" s="4">
        <f t="shared" ca="1" si="37"/>
        <v>0</v>
      </c>
      <c r="M295" s="21">
        <f t="shared" ca="1" si="43"/>
        <v>45777</v>
      </c>
      <c r="N295" s="37">
        <f t="shared" ca="1" si="38"/>
        <v>0</v>
      </c>
      <c r="O295" s="4">
        <f ca="1">IFERROR(AVERAGEIF(N$5:$N295,"&gt;="&amp;_xlfn.PERCENTILE.EXC(N$5:$N295,0.2)),0)</f>
        <v>0</v>
      </c>
      <c r="Q295" s="21">
        <f t="shared" ca="1" si="44"/>
        <v>45777</v>
      </c>
      <c r="R295" s="37">
        <f t="shared" ca="1" si="39"/>
        <v>0</v>
      </c>
      <c r="S295" s="4">
        <f ca="1">IFERROR(AVERAGE($R$5:R295),0)</f>
        <v>0</v>
      </c>
      <c r="U295" s="21">
        <f t="shared" ca="1" si="40"/>
        <v>45777</v>
      </c>
      <c r="V295" s="4">
        <f ca="1">MIN(S295,PREMISSAS!$C$14)</f>
        <v>0</v>
      </c>
      <c r="W295" s="188"/>
      <c r="X295" s="188"/>
    </row>
    <row r="296" spans="2:24" x14ac:dyDescent="0.3">
      <c r="B296" s="21" t="str">
        <f t="shared" ca="1" si="41"/>
        <v/>
      </c>
      <c r="C296" s="22" t="str">
        <f ca="1">IF(B296="","",IF(LEFT(B296,2)="13",C295,IF(MONTH(B296)=1,C295*(1+PREMISSAS!$C$58),C295)))</f>
        <v/>
      </c>
      <c r="E296" s="18">
        <v>292</v>
      </c>
      <c r="F296" s="21">
        <f t="shared" ca="1" si="42"/>
        <v>45808</v>
      </c>
      <c r="G296" s="22">
        <f ca="1">IFERROR(VLOOKUP(F296,RESULTADOS!$O$5:$P$543,2,FALSE),VLOOKUP(F296,$B$5:$C$842,2,FALSE))</f>
        <v>0</v>
      </c>
      <c r="H296" s="4">
        <f ca="1">IF(F296&lt;PREMISSAS!$D$7,0,IFERROR(VLOOKUP(IF(LEFT(F296,2)="13",DATE(YEAR(F295),12,31),F296),IPCA!$A:$D,4,FALSE),1)*G296)</f>
        <v>0</v>
      </c>
      <c r="J296" s="21">
        <f t="shared" ca="1" si="36"/>
        <v>45808</v>
      </c>
      <c r="K296" s="4">
        <f t="shared" ca="1" si="37"/>
        <v>0</v>
      </c>
      <c r="M296" s="21">
        <f t="shared" ca="1" si="43"/>
        <v>45808</v>
      </c>
      <c r="N296" s="37">
        <f t="shared" ca="1" si="38"/>
        <v>0</v>
      </c>
      <c r="O296" s="4">
        <f ca="1">IFERROR(AVERAGEIF(N$5:$N296,"&gt;="&amp;_xlfn.PERCENTILE.EXC(N$5:$N296,0.2)),0)</f>
        <v>0</v>
      </c>
      <c r="Q296" s="21">
        <f t="shared" ca="1" si="44"/>
        <v>45808</v>
      </c>
      <c r="R296" s="37">
        <f t="shared" ca="1" si="39"/>
        <v>0</v>
      </c>
      <c r="S296" s="4">
        <f ca="1">IFERROR(AVERAGE($R$5:R296),0)</f>
        <v>0</v>
      </c>
      <c r="U296" s="21">
        <f t="shared" ca="1" si="40"/>
        <v>45808</v>
      </c>
      <c r="V296" s="4">
        <f ca="1">MIN(S296,PREMISSAS!$C$14)</f>
        <v>0</v>
      </c>
      <c r="W296" s="188"/>
      <c r="X296" s="188"/>
    </row>
    <row r="297" spans="2:24" x14ac:dyDescent="0.3">
      <c r="B297" s="21" t="str">
        <f t="shared" ca="1" si="41"/>
        <v/>
      </c>
      <c r="C297" s="22" t="str">
        <f ca="1">IF(B297="","",IF(LEFT(B297,2)="13",C296,IF(MONTH(B297)=1,C296*(1+PREMISSAS!$C$58),C296)))</f>
        <v/>
      </c>
      <c r="E297" s="18">
        <v>293</v>
      </c>
      <c r="F297" s="21">
        <f t="shared" ca="1" si="42"/>
        <v>45838</v>
      </c>
      <c r="G297" s="22">
        <f ca="1">IFERROR(VLOOKUP(F297,RESULTADOS!$O$5:$P$543,2,FALSE),VLOOKUP(F297,$B$5:$C$842,2,FALSE))</f>
        <v>0</v>
      </c>
      <c r="H297" s="4">
        <f ca="1">IF(F297&lt;PREMISSAS!$D$7,0,IFERROR(VLOOKUP(IF(LEFT(F297,2)="13",DATE(YEAR(F296),12,31),F297),IPCA!$A:$D,4,FALSE),1)*G297)</f>
        <v>0</v>
      </c>
      <c r="J297" s="21">
        <f t="shared" ca="1" si="36"/>
        <v>45838</v>
      </c>
      <c r="K297" s="4">
        <f t="shared" ca="1" si="37"/>
        <v>0</v>
      </c>
      <c r="M297" s="21">
        <f t="shared" ca="1" si="43"/>
        <v>45838</v>
      </c>
      <c r="N297" s="37">
        <f t="shared" ca="1" si="38"/>
        <v>0</v>
      </c>
      <c r="O297" s="4">
        <f ca="1">IFERROR(AVERAGEIF(N$5:$N297,"&gt;="&amp;_xlfn.PERCENTILE.EXC(N$5:$N297,0.2)),0)</f>
        <v>0</v>
      </c>
      <c r="Q297" s="21">
        <f t="shared" ca="1" si="44"/>
        <v>45838</v>
      </c>
      <c r="R297" s="37">
        <f t="shared" ca="1" si="39"/>
        <v>0</v>
      </c>
      <c r="S297" s="4">
        <f ca="1">IFERROR(AVERAGE($R$5:R297),0)</f>
        <v>0</v>
      </c>
      <c r="U297" s="21">
        <f t="shared" ca="1" si="40"/>
        <v>45838</v>
      </c>
      <c r="V297" s="4">
        <f ca="1">MIN(S297,PREMISSAS!$C$14)</f>
        <v>0</v>
      </c>
      <c r="W297" s="188"/>
      <c r="X297" s="188"/>
    </row>
    <row r="298" spans="2:24" x14ac:dyDescent="0.3">
      <c r="B298" s="21" t="str">
        <f t="shared" ca="1" si="41"/>
        <v/>
      </c>
      <c r="C298" s="22" t="str">
        <f ca="1">IF(B298="","",IF(LEFT(B298,2)="13",C297,IF(MONTH(B298)=1,C297*(1+PREMISSAS!$C$58),C297)))</f>
        <v/>
      </c>
      <c r="E298" s="18">
        <v>294</v>
      </c>
      <c r="F298" s="21">
        <f t="shared" ca="1" si="42"/>
        <v>45869</v>
      </c>
      <c r="G298" s="22">
        <f ca="1">IFERROR(VLOOKUP(F298,RESULTADOS!$O$5:$P$543,2,FALSE),VLOOKUP(F298,$B$5:$C$842,2,FALSE))</f>
        <v>0</v>
      </c>
      <c r="H298" s="4">
        <f ca="1">IF(F298&lt;PREMISSAS!$D$7,0,IFERROR(VLOOKUP(IF(LEFT(F298,2)="13",DATE(YEAR(F297),12,31),F298),IPCA!$A:$D,4,FALSE),1)*G298)</f>
        <v>0</v>
      </c>
      <c r="J298" s="21">
        <f t="shared" ca="1" si="36"/>
        <v>45869</v>
      </c>
      <c r="K298" s="4">
        <f t="shared" ca="1" si="37"/>
        <v>0</v>
      </c>
      <c r="M298" s="21">
        <f t="shared" ca="1" si="43"/>
        <v>45869</v>
      </c>
      <c r="N298" s="37">
        <f t="shared" ca="1" si="38"/>
        <v>0</v>
      </c>
      <c r="O298" s="4">
        <f ca="1">IFERROR(AVERAGEIF(N$5:$N298,"&gt;="&amp;_xlfn.PERCENTILE.EXC(N$5:$N298,0.2)),0)</f>
        <v>0</v>
      </c>
      <c r="Q298" s="21">
        <f t="shared" ca="1" si="44"/>
        <v>45869</v>
      </c>
      <c r="R298" s="37">
        <f t="shared" ca="1" si="39"/>
        <v>0</v>
      </c>
      <c r="S298" s="4">
        <f ca="1">IFERROR(AVERAGE($R$5:R298),0)</f>
        <v>0</v>
      </c>
      <c r="U298" s="21">
        <f t="shared" ca="1" si="40"/>
        <v>45869</v>
      </c>
      <c r="V298" s="4">
        <f ca="1">MIN(S298,PREMISSAS!$C$14)</f>
        <v>0</v>
      </c>
      <c r="W298" s="188"/>
      <c r="X298" s="188"/>
    </row>
    <row r="299" spans="2:24" x14ac:dyDescent="0.3">
      <c r="B299" s="21" t="str">
        <f t="shared" ca="1" si="41"/>
        <v/>
      </c>
      <c r="C299" s="22" t="str">
        <f ca="1">IF(B299="","",IF(LEFT(B299,2)="13",C298,IF(MONTH(B299)=1,C298*(1+PREMISSAS!$C$58),C298)))</f>
        <v/>
      </c>
      <c r="E299" s="18">
        <v>295</v>
      </c>
      <c r="F299" s="21">
        <f t="shared" ca="1" si="42"/>
        <v>45900</v>
      </c>
      <c r="G299" s="22">
        <f ca="1">IFERROR(VLOOKUP(F299,RESULTADOS!$O$5:$P$543,2,FALSE),VLOOKUP(F299,$B$5:$C$842,2,FALSE))</f>
        <v>0</v>
      </c>
      <c r="H299" s="4">
        <f ca="1">IF(F299&lt;PREMISSAS!$D$7,0,IFERROR(VLOOKUP(IF(LEFT(F299,2)="13",DATE(YEAR(F298),12,31),F299),IPCA!$A:$D,4,FALSE),1)*G299)</f>
        <v>0</v>
      </c>
      <c r="J299" s="21">
        <f t="shared" ca="1" si="36"/>
        <v>45900</v>
      </c>
      <c r="K299" s="4">
        <f t="shared" ca="1" si="37"/>
        <v>0</v>
      </c>
      <c r="M299" s="21">
        <f t="shared" ca="1" si="43"/>
        <v>45900</v>
      </c>
      <c r="N299" s="37">
        <f t="shared" ca="1" si="38"/>
        <v>0</v>
      </c>
      <c r="O299" s="4">
        <f ca="1">IFERROR(AVERAGEIF(N$5:$N299,"&gt;="&amp;_xlfn.PERCENTILE.EXC(N$5:$N299,0.2)),0)</f>
        <v>0</v>
      </c>
      <c r="Q299" s="21">
        <f t="shared" ca="1" si="44"/>
        <v>45900</v>
      </c>
      <c r="R299" s="37">
        <f t="shared" ca="1" si="39"/>
        <v>0</v>
      </c>
      <c r="S299" s="4">
        <f ca="1">IFERROR(AVERAGE($R$5:R299),0)</f>
        <v>0</v>
      </c>
      <c r="U299" s="21">
        <f t="shared" ca="1" si="40"/>
        <v>45900</v>
      </c>
      <c r="V299" s="4">
        <f ca="1">MIN(S299,PREMISSAS!$C$14)</f>
        <v>0</v>
      </c>
      <c r="W299" s="188"/>
      <c r="X299" s="188"/>
    </row>
    <row r="300" spans="2:24" x14ac:dyDescent="0.3">
      <c r="B300" s="21" t="str">
        <f t="shared" ca="1" si="41"/>
        <v/>
      </c>
      <c r="C300" s="22" t="str">
        <f ca="1">IF(B300="","",IF(LEFT(B300,2)="13",C299,IF(MONTH(B300)=1,C299*(1+PREMISSAS!$C$58),C299)))</f>
        <v/>
      </c>
      <c r="E300" s="18">
        <v>296</v>
      </c>
      <c r="F300" s="21">
        <f t="shared" ca="1" si="42"/>
        <v>45930</v>
      </c>
      <c r="G300" s="22">
        <f ca="1">IFERROR(VLOOKUP(F300,RESULTADOS!$O$5:$P$543,2,FALSE),VLOOKUP(F300,$B$5:$C$842,2,FALSE))</f>
        <v>0</v>
      </c>
      <c r="H300" s="4">
        <f ca="1">IF(F300&lt;PREMISSAS!$D$7,0,IFERROR(VLOOKUP(IF(LEFT(F300,2)="13",DATE(YEAR(F299),12,31),F300),IPCA!$A:$D,4,FALSE),1)*G300)</f>
        <v>0</v>
      </c>
      <c r="J300" s="21">
        <f t="shared" ca="1" si="36"/>
        <v>45930</v>
      </c>
      <c r="K300" s="4">
        <f t="shared" ca="1" si="37"/>
        <v>0</v>
      </c>
      <c r="M300" s="21">
        <f t="shared" ca="1" si="43"/>
        <v>45930</v>
      </c>
      <c r="N300" s="37">
        <f t="shared" ca="1" si="38"/>
        <v>0</v>
      </c>
      <c r="O300" s="4">
        <f ca="1">IFERROR(AVERAGEIF(N$5:$N300,"&gt;="&amp;_xlfn.PERCENTILE.EXC(N$5:$N300,0.2)),0)</f>
        <v>0</v>
      </c>
      <c r="Q300" s="21">
        <f t="shared" ca="1" si="44"/>
        <v>45930</v>
      </c>
      <c r="R300" s="37">
        <f t="shared" ca="1" si="39"/>
        <v>0</v>
      </c>
      <c r="S300" s="4">
        <f ca="1">IFERROR(AVERAGE($R$5:R300),0)</f>
        <v>0</v>
      </c>
      <c r="U300" s="21">
        <f t="shared" ca="1" si="40"/>
        <v>45930</v>
      </c>
      <c r="V300" s="4">
        <f ca="1">MIN(S300,PREMISSAS!$C$14)</f>
        <v>0</v>
      </c>
      <c r="W300" s="188"/>
      <c r="X300" s="188"/>
    </row>
    <row r="301" spans="2:24" x14ac:dyDescent="0.3">
      <c r="B301" s="21" t="str">
        <f t="shared" ca="1" si="41"/>
        <v/>
      </c>
      <c r="C301" s="22" t="str">
        <f ca="1">IF(B301="","",IF(LEFT(B301,2)="13",C300,IF(MONTH(B301)=1,C300*(1+PREMISSAS!$C$58),C300)))</f>
        <v/>
      </c>
      <c r="E301" s="18">
        <v>297</v>
      </c>
      <c r="F301" s="21">
        <f t="shared" ca="1" si="42"/>
        <v>45961</v>
      </c>
      <c r="G301" s="22">
        <f ca="1">IFERROR(VLOOKUP(F301,RESULTADOS!$O$5:$P$543,2,FALSE),VLOOKUP(F301,$B$5:$C$842,2,FALSE))</f>
        <v>0</v>
      </c>
      <c r="H301" s="4">
        <f ca="1">IF(F301&lt;PREMISSAS!$D$7,0,IFERROR(VLOOKUP(IF(LEFT(F301,2)="13",DATE(YEAR(F300),12,31),F301),IPCA!$A:$D,4,FALSE),1)*G301)</f>
        <v>0</v>
      </c>
      <c r="J301" s="21">
        <f t="shared" ca="1" si="36"/>
        <v>45961</v>
      </c>
      <c r="K301" s="4">
        <f t="shared" ca="1" si="37"/>
        <v>0</v>
      </c>
      <c r="M301" s="21">
        <f t="shared" ca="1" si="43"/>
        <v>45961</v>
      </c>
      <c r="N301" s="37">
        <f t="shared" ca="1" si="38"/>
        <v>0</v>
      </c>
      <c r="O301" s="4">
        <f ca="1">IFERROR(AVERAGEIF(N$5:$N301,"&gt;="&amp;_xlfn.PERCENTILE.EXC(N$5:$N301,0.2)),0)</f>
        <v>0</v>
      </c>
      <c r="Q301" s="21">
        <f t="shared" ca="1" si="44"/>
        <v>45961</v>
      </c>
      <c r="R301" s="37">
        <f t="shared" ca="1" si="39"/>
        <v>0</v>
      </c>
      <c r="S301" s="4">
        <f ca="1">IFERROR(AVERAGE($R$5:R301),0)</f>
        <v>0</v>
      </c>
      <c r="U301" s="21">
        <f t="shared" ca="1" si="40"/>
        <v>45961</v>
      </c>
      <c r="V301" s="4">
        <f ca="1">MIN(S301,PREMISSAS!$C$14)</f>
        <v>0</v>
      </c>
      <c r="W301" s="188"/>
      <c r="X301" s="188"/>
    </row>
    <row r="302" spans="2:24" x14ac:dyDescent="0.3">
      <c r="B302" s="21" t="str">
        <f t="shared" ca="1" si="41"/>
        <v/>
      </c>
      <c r="C302" s="22" t="str">
        <f ca="1">IF(B302="","",IF(LEFT(B302,2)="13",C301,IF(MONTH(B302)=1,C301*(1+PREMISSAS!$C$58),C301)))</f>
        <v/>
      </c>
      <c r="E302" s="18">
        <v>298</v>
      </c>
      <c r="F302" s="21">
        <f t="shared" ca="1" si="42"/>
        <v>45991</v>
      </c>
      <c r="G302" s="22">
        <f ca="1">IFERROR(VLOOKUP(F302,RESULTADOS!$O$5:$P$543,2,FALSE),VLOOKUP(F302,$B$5:$C$842,2,FALSE))</f>
        <v>0</v>
      </c>
      <c r="H302" s="4">
        <f ca="1">IF(F302&lt;PREMISSAS!$D$7,0,IFERROR(VLOOKUP(IF(LEFT(F302,2)="13",DATE(YEAR(F301),12,31),F302),IPCA!$A:$D,4,FALSE),1)*G302)</f>
        <v>0</v>
      </c>
      <c r="J302" s="21">
        <f t="shared" ca="1" si="36"/>
        <v>45991</v>
      </c>
      <c r="K302" s="4">
        <f t="shared" ca="1" si="37"/>
        <v>0</v>
      </c>
      <c r="M302" s="21">
        <f t="shared" ca="1" si="43"/>
        <v>45991</v>
      </c>
      <c r="N302" s="37">
        <f t="shared" ca="1" si="38"/>
        <v>0</v>
      </c>
      <c r="O302" s="4">
        <f ca="1">IFERROR(AVERAGEIF(N$5:$N302,"&gt;="&amp;_xlfn.PERCENTILE.EXC(N$5:$N302,0.2)),0)</f>
        <v>0</v>
      </c>
      <c r="Q302" s="21">
        <f t="shared" ca="1" si="44"/>
        <v>45991</v>
      </c>
      <c r="R302" s="37">
        <f t="shared" ca="1" si="39"/>
        <v>0</v>
      </c>
      <c r="S302" s="4">
        <f ca="1">IFERROR(AVERAGE($R$5:R302),0)</f>
        <v>0</v>
      </c>
      <c r="U302" s="21">
        <f t="shared" ca="1" si="40"/>
        <v>45991</v>
      </c>
      <c r="V302" s="4">
        <f ca="1">MIN(S302,PREMISSAS!$C$14)</f>
        <v>0</v>
      </c>
      <c r="W302" s="188"/>
      <c r="X302" s="188"/>
    </row>
    <row r="303" spans="2:24" x14ac:dyDescent="0.3">
      <c r="B303" s="21" t="str">
        <f t="shared" ca="1" si="41"/>
        <v/>
      </c>
      <c r="C303" s="22" t="str">
        <f ca="1">IF(B303="","",IF(LEFT(B303,2)="13",C302,IF(MONTH(B303)=1,C302*(1+PREMISSAS!$C$58),C302)))</f>
        <v/>
      </c>
      <c r="E303" s="18">
        <v>299</v>
      </c>
      <c r="F303" s="21" t="str">
        <f t="shared" ca="1" si="42"/>
        <v>13º 2025</v>
      </c>
      <c r="G303" s="22">
        <f ca="1">IFERROR(VLOOKUP(F303,RESULTADOS!$O$5:$P$543,2,FALSE),VLOOKUP(F303,$B$5:$C$842,2,FALSE))</f>
        <v>0</v>
      </c>
      <c r="H303" s="4">
        <f ca="1">IF(F303&lt;PREMISSAS!$D$7,0,IFERROR(VLOOKUP(IF(LEFT(F303,2)="13",DATE(YEAR(F302),12,31),F303),IPCA!$A:$D,4,FALSE),1)*G303)</f>
        <v>0</v>
      </c>
      <c r="J303" s="21" t="str">
        <f t="shared" ca="1" si="36"/>
        <v>13º 2025</v>
      </c>
      <c r="K303" s="4">
        <f t="shared" ca="1" si="37"/>
        <v>0</v>
      </c>
      <c r="M303" s="21" t="str">
        <f t="shared" ca="1" si="43"/>
        <v>13º 2025</v>
      </c>
      <c r="N303" s="37">
        <f t="shared" ca="1" si="38"/>
        <v>0</v>
      </c>
      <c r="O303" s="4">
        <f ca="1">IFERROR(AVERAGEIF(N$5:$N303,"&gt;="&amp;_xlfn.PERCENTILE.EXC(N$5:$N303,0.2)),0)</f>
        <v>0</v>
      </c>
      <c r="Q303" s="21" t="str">
        <f t="shared" ca="1" si="44"/>
        <v>13º 2025</v>
      </c>
      <c r="R303" s="37">
        <f t="shared" ca="1" si="39"/>
        <v>0</v>
      </c>
      <c r="S303" s="4">
        <f ca="1">IFERROR(AVERAGE($R$5:R303),0)</f>
        <v>0</v>
      </c>
      <c r="U303" s="21" t="str">
        <f t="shared" ca="1" si="40"/>
        <v>13º 2025</v>
      </c>
      <c r="V303" s="4">
        <f ca="1">MIN(S303,PREMISSAS!$C$14)</f>
        <v>0</v>
      </c>
      <c r="W303" s="188"/>
      <c r="X303" s="188"/>
    </row>
    <row r="304" spans="2:24" x14ac:dyDescent="0.3">
      <c r="B304" s="21" t="str">
        <f t="shared" ca="1" si="41"/>
        <v/>
      </c>
      <c r="C304" s="22" t="str">
        <f ca="1">IF(B304="","",IF(LEFT(B304,2)="13",C303,IF(MONTH(B304)=1,C303*(1+PREMISSAS!$C$58),C303)))</f>
        <v/>
      </c>
      <c r="E304" s="18">
        <v>300</v>
      </c>
      <c r="F304" s="21">
        <f t="shared" ca="1" si="42"/>
        <v>46022</v>
      </c>
      <c r="G304" s="22">
        <f ca="1">IFERROR(VLOOKUP(F304,RESULTADOS!$O$5:$P$543,2,FALSE),VLOOKUP(F304,$B$5:$C$842,2,FALSE))</f>
        <v>0</v>
      </c>
      <c r="H304" s="4">
        <f ca="1">IF(F304&lt;PREMISSAS!$D$7,0,IFERROR(VLOOKUP(IF(LEFT(F304,2)="13",DATE(YEAR(F303),12,31),F304),IPCA!$A:$D,4,FALSE),1)*G304)</f>
        <v>0</v>
      </c>
      <c r="J304" s="21">
        <f t="shared" ca="1" si="36"/>
        <v>46022</v>
      </c>
      <c r="K304" s="4">
        <f t="shared" ca="1" si="37"/>
        <v>0</v>
      </c>
      <c r="M304" s="21">
        <f t="shared" ca="1" si="43"/>
        <v>46022</v>
      </c>
      <c r="N304" s="37">
        <f t="shared" ca="1" si="38"/>
        <v>0</v>
      </c>
      <c r="O304" s="4">
        <f ca="1">IFERROR(AVERAGEIF(N$5:$N304,"&gt;="&amp;_xlfn.PERCENTILE.EXC(N$5:$N304,0.2)),0)</f>
        <v>0</v>
      </c>
      <c r="Q304" s="21">
        <f t="shared" ca="1" si="44"/>
        <v>46022</v>
      </c>
      <c r="R304" s="37">
        <f t="shared" ca="1" si="39"/>
        <v>0</v>
      </c>
      <c r="S304" s="4">
        <f ca="1">IFERROR(AVERAGE($R$5:R304),0)</f>
        <v>0</v>
      </c>
      <c r="U304" s="21">
        <f t="shared" ca="1" si="40"/>
        <v>46022</v>
      </c>
      <c r="V304" s="4">
        <f ca="1">MIN(S304,PREMISSAS!$C$14)</f>
        <v>0</v>
      </c>
      <c r="W304" s="188"/>
      <c r="X304" s="188"/>
    </row>
    <row r="305" spans="2:24" x14ac:dyDescent="0.3">
      <c r="B305" s="21" t="str">
        <f t="shared" ca="1" si="41"/>
        <v/>
      </c>
      <c r="C305" s="22" t="str">
        <f ca="1">IF(B305="","",IF(LEFT(B305,2)="13",C304,IF(MONTH(B305)=1,C304*(1+PREMISSAS!$C$58),C304)))</f>
        <v/>
      </c>
      <c r="E305" s="18">
        <v>301</v>
      </c>
      <c r="F305" s="21">
        <f t="shared" ca="1" si="42"/>
        <v>46053</v>
      </c>
      <c r="G305" s="22">
        <f ca="1">IFERROR(VLOOKUP(F305,RESULTADOS!$O$5:$P$543,2,FALSE),VLOOKUP(F305,$B$5:$C$842,2,FALSE))</f>
        <v>0</v>
      </c>
      <c r="H305" s="4">
        <f ca="1">IF(F305&lt;PREMISSAS!$D$7,0,IFERROR(VLOOKUP(IF(LEFT(F305,2)="13",DATE(YEAR(F304),12,31),F305),IPCA!$A:$D,4,FALSE),1)*G305)</f>
        <v>0</v>
      </c>
      <c r="J305" s="21">
        <f t="shared" ca="1" si="36"/>
        <v>46053</v>
      </c>
      <c r="K305" s="4">
        <f t="shared" ca="1" si="37"/>
        <v>0</v>
      </c>
      <c r="M305" s="21">
        <f t="shared" ca="1" si="43"/>
        <v>46053</v>
      </c>
      <c r="N305" s="37">
        <f t="shared" ca="1" si="38"/>
        <v>0</v>
      </c>
      <c r="O305" s="4">
        <f ca="1">IFERROR(AVERAGEIF(N$5:$N305,"&gt;="&amp;_xlfn.PERCENTILE.EXC(N$5:$N305,0.2)),0)</f>
        <v>0</v>
      </c>
      <c r="Q305" s="21">
        <f t="shared" ca="1" si="44"/>
        <v>46053</v>
      </c>
      <c r="R305" s="37">
        <f t="shared" ca="1" si="39"/>
        <v>0</v>
      </c>
      <c r="S305" s="4">
        <f ca="1">IFERROR(AVERAGE($R$5:R305),0)</f>
        <v>0</v>
      </c>
      <c r="U305" s="21">
        <f t="shared" ca="1" si="40"/>
        <v>46053</v>
      </c>
      <c r="V305" s="4">
        <f ca="1">MIN(S305,PREMISSAS!$C$14)</f>
        <v>0</v>
      </c>
      <c r="W305" s="188"/>
      <c r="X305" s="188"/>
    </row>
    <row r="306" spans="2:24" x14ac:dyDescent="0.3">
      <c r="B306" s="21" t="str">
        <f t="shared" ca="1" si="41"/>
        <v/>
      </c>
      <c r="C306" s="22" t="str">
        <f ca="1">IF(B306="","",IF(LEFT(B306,2)="13",C305,IF(MONTH(B306)=1,C305*(1+PREMISSAS!$C$58),C305)))</f>
        <v/>
      </c>
      <c r="E306" s="18">
        <v>302</v>
      </c>
      <c r="F306" s="21">
        <f t="shared" ca="1" si="42"/>
        <v>46081</v>
      </c>
      <c r="G306" s="22">
        <f ca="1">IFERROR(VLOOKUP(F306,RESULTADOS!$O$5:$P$543,2,FALSE),VLOOKUP(F306,$B$5:$C$842,2,FALSE))</f>
        <v>0</v>
      </c>
      <c r="H306" s="4">
        <f ca="1">IF(F306&lt;PREMISSAS!$D$7,0,IFERROR(VLOOKUP(IF(LEFT(F306,2)="13",DATE(YEAR(F305),12,31),F306),IPCA!$A:$D,4,FALSE),1)*G306)</f>
        <v>0</v>
      </c>
      <c r="J306" s="21">
        <f t="shared" ca="1" si="36"/>
        <v>46081</v>
      </c>
      <c r="K306" s="4">
        <f t="shared" ca="1" si="37"/>
        <v>0</v>
      </c>
      <c r="M306" s="21">
        <f t="shared" ca="1" si="43"/>
        <v>46081</v>
      </c>
      <c r="N306" s="37">
        <f t="shared" ca="1" si="38"/>
        <v>0</v>
      </c>
      <c r="O306" s="4">
        <f ca="1">IFERROR(AVERAGEIF(N$5:$N306,"&gt;="&amp;_xlfn.PERCENTILE.EXC(N$5:$N306,0.2)),0)</f>
        <v>0</v>
      </c>
      <c r="Q306" s="21">
        <f t="shared" ca="1" si="44"/>
        <v>46081</v>
      </c>
      <c r="R306" s="37">
        <f t="shared" ca="1" si="39"/>
        <v>0</v>
      </c>
      <c r="S306" s="4">
        <f ca="1">IFERROR(AVERAGE($R$5:R306),0)</f>
        <v>0</v>
      </c>
      <c r="U306" s="21">
        <f t="shared" ca="1" si="40"/>
        <v>46081</v>
      </c>
      <c r="V306" s="4">
        <f ca="1">MIN(S306,PREMISSAS!$C$14)</f>
        <v>0</v>
      </c>
      <c r="W306" s="188"/>
      <c r="X306" s="188"/>
    </row>
    <row r="307" spans="2:24" x14ac:dyDescent="0.3">
      <c r="B307" s="21" t="str">
        <f t="shared" ca="1" si="41"/>
        <v/>
      </c>
      <c r="C307" s="22" t="str">
        <f ca="1">IF(B307="","",IF(LEFT(B307,2)="13",C306,IF(MONTH(B307)=1,C306*(1+PREMISSAS!$C$58),C306)))</f>
        <v/>
      </c>
      <c r="E307" s="18">
        <v>303</v>
      </c>
      <c r="F307" s="21">
        <f t="shared" ca="1" si="42"/>
        <v>46112</v>
      </c>
      <c r="G307" s="22">
        <f ca="1">IFERROR(VLOOKUP(F307,RESULTADOS!$O$5:$P$543,2,FALSE),VLOOKUP(F307,$B$5:$C$842,2,FALSE))</f>
        <v>0</v>
      </c>
      <c r="H307" s="4">
        <f ca="1">IF(F307&lt;PREMISSAS!$D$7,0,IFERROR(VLOOKUP(IF(LEFT(F307,2)="13",DATE(YEAR(F306),12,31),F307),IPCA!$A:$D,4,FALSE),1)*G307)</f>
        <v>0</v>
      </c>
      <c r="J307" s="21">
        <f t="shared" ca="1" si="36"/>
        <v>46112</v>
      </c>
      <c r="K307" s="4">
        <f t="shared" ca="1" si="37"/>
        <v>0</v>
      </c>
      <c r="M307" s="21">
        <f t="shared" ca="1" si="43"/>
        <v>46112</v>
      </c>
      <c r="N307" s="37">
        <f t="shared" ca="1" si="38"/>
        <v>0</v>
      </c>
      <c r="O307" s="4">
        <f ca="1">IFERROR(AVERAGEIF(N$5:$N307,"&gt;="&amp;_xlfn.PERCENTILE.EXC(N$5:$N307,0.2)),0)</f>
        <v>0</v>
      </c>
      <c r="Q307" s="21">
        <f t="shared" ca="1" si="44"/>
        <v>46112</v>
      </c>
      <c r="R307" s="37">
        <f t="shared" ca="1" si="39"/>
        <v>0</v>
      </c>
      <c r="S307" s="4">
        <f ca="1">IFERROR(AVERAGE($R$5:R307),0)</f>
        <v>0</v>
      </c>
      <c r="U307" s="21">
        <f t="shared" ca="1" si="40"/>
        <v>46112</v>
      </c>
      <c r="V307" s="4">
        <f ca="1">MIN(S307,PREMISSAS!$C$14)</f>
        <v>0</v>
      </c>
      <c r="W307" s="188"/>
      <c r="X307" s="188"/>
    </row>
    <row r="308" spans="2:24" x14ac:dyDescent="0.3">
      <c r="B308" s="21" t="str">
        <f t="shared" ca="1" si="41"/>
        <v/>
      </c>
      <c r="C308" s="22" t="str">
        <f ca="1">IF(B308="","",IF(LEFT(B308,2)="13",C307,IF(MONTH(B308)=1,C307*(1+PREMISSAS!$C$58),C307)))</f>
        <v/>
      </c>
      <c r="E308" s="18">
        <v>304</v>
      </c>
      <c r="F308" s="21">
        <f t="shared" ca="1" si="42"/>
        <v>46142</v>
      </c>
      <c r="G308" s="22">
        <f ca="1">IFERROR(VLOOKUP(F308,RESULTADOS!$O$5:$P$543,2,FALSE),VLOOKUP(F308,$B$5:$C$842,2,FALSE))</f>
        <v>0</v>
      </c>
      <c r="H308" s="4">
        <f ca="1">IF(F308&lt;PREMISSAS!$D$7,0,IFERROR(VLOOKUP(IF(LEFT(F308,2)="13",DATE(YEAR(F307),12,31),F308),IPCA!$A:$D,4,FALSE),1)*G308)</f>
        <v>0</v>
      </c>
      <c r="J308" s="21">
        <f t="shared" ca="1" si="36"/>
        <v>46142</v>
      </c>
      <c r="K308" s="4">
        <f t="shared" ca="1" si="37"/>
        <v>0</v>
      </c>
      <c r="M308" s="21">
        <f t="shared" ca="1" si="43"/>
        <v>46142</v>
      </c>
      <c r="N308" s="37">
        <f t="shared" ca="1" si="38"/>
        <v>0</v>
      </c>
      <c r="O308" s="4">
        <f ca="1">IFERROR(AVERAGEIF(N$5:$N308,"&gt;="&amp;_xlfn.PERCENTILE.EXC(N$5:$N308,0.2)),0)</f>
        <v>0</v>
      </c>
      <c r="Q308" s="21">
        <f t="shared" ca="1" si="44"/>
        <v>46142</v>
      </c>
      <c r="R308" s="37">
        <f t="shared" ca="1" si="39"/>
        <v>0</v>
      </c>
      <c r="S308" s="4">
        <f ca="1">IFERROR(AVERAGE($R$5:R308),0)</f>
        <v>0</v>
      </c>
      <c r="U308" s="21">
        <f t="shared" ca="1" si="40"/>
        <v>46142</v>
      </c>
      <c r="V308" s="4">
        <f ca="1">MIN(S308,PREMISSAS!$C$14)</f>
        <v>0</v>
      </c>
      <c r="W308" s="188"/>
      <c r="X308" s="188"/>
    </row>
    <row r="309" spans="2:24" x14ac:dyDescent="0.3">
      <c r="B309" s="21" t="str">
        <f t="shared" ca="1" si="41"/>
        <v/>
      </c>
      <c r="C309" s="22" t="str">
        <f ca="1">IF(B309="","",IF(LEFT(B309,2)="13",C308,IF(MONTH(B309)=1,C308*(1+PREMISSAS!$C$58),C308)))</f>
        <v/>
      </c>
      <c r="E309" s="18">
        <v>305</v>
      </c>
      <c r="F309" s="21">
        <f t="shared" ca="1" si="42"/>
        <v>46173</v>
      </c>
      <c r="G309" s="22">
        <f ca="1">IFERROR(VLOOKUP(F309,RESULTADOS!$O$5:$P$543,2,FALSE),VLOOKUP(F309,$B$5:$C$842,2,FALSE))</f>
        <v>0</v>
      </c>
      <c r="H309" s="4">
        <f ca="1">IF(F309&lt;PREMISSAS!$D$7,0,IFERROR(VLOOKUP(IF(LEFT(F309,2)="13",DATE(YEAR(F308),12,31),F309),IPCA!$A:$D,4,FALSE),1)*G309)</f>
        <v>0</v>
      </c>
      <c r="J309" s="21">
        <f t="shared" ca="1" si="36"/>
        <v>46173</v>
      </c>
      <c r="K309" s="4">
        <f t="shared" ca="1" si="37"/>
        <v>0</v>
      </c>
      <c r="M309" s="21">
        <f t="shared" ca="1" si="43"/>
        <v>46173</v>
      </c>
      <c r="N309" s="37">
        <f t="shared" ca="1" si="38"/>
        <v>0</v>
      </c>
      <c r="O309" s="4">
        <f ca="1">IFERROR(AVERAGEIF(N$5:$N309,"&gt;="&amp;_xlfn.PERCENTILE.EXC(N$5:$N309,0.2)),0)</f>
        <v>0</v>
      </c>
      <c r="Q309" s="21">
        <f t="shared" ca="1" si="44"/>
        <v>46173</v>
      </c>
      <c r="R309" s="37">
        <f t="shared" ca="1" si="39"/>
        <v>0</v>
      </c>
      <c r="S309" s="4">
        <f ca="1">IFERROR(AVERAGE($R$5:R309),0)</f>
        <v>0</v>
      </c>
      <c r="U309" s="21">
        <f t="shared" ca="1" si="40"/>
        <v>46173</v>
      </c>
      <c r="V309" s="4">
        <f ca="1">MIN(S309,PREMISSAS!$C$14)</f>
        <v>0</v>
      </c>
      <c r="W309" s="188"/>
      <c r="X309" s="188"/>
    </row>
    <row r="310" spans="2:24" x14ac:dyDescent="0.3">
      <c r="B310" s="21" t="str">
        <f t="shared" ca="1" si="41"/>
        <v/>
      </c>
      <c r="C310" s="22" t="str">
        <f ca="1">IF(B310="","",IF(LEFT(B310,2)="13",C309,IF(MONTH(B310)=1,C309*(1+PREMISSAS!$C$58),C309)))</f>
        <v/>
      </c>
      <c r="E310" s="18">
        <v>306</v>
      </c>
      <c r="F310" s="21">
        <f t="shared" ca="1" si="42"/>
        <v>46203</v>
      </c>
      <c r="G310" s="22">
        <f ca="1">IFERROR(VLOOKUP(F310,RESULTADOS!$O$5:$P$543,2,FALSE),VLOOKUP(F310,$B$5:$C$842,2,FALSE))</f>
        <v>0</v>
      </c>
      <c r="H310" s="4">
        <f ca="1">IF(F310&lt;PREMISSAS!$D$7,0,IFERROR(VLOOKUP(IF(LEFT(F310,2)="13",DATE(YEAR(F309),12,31),F310),IPCA!$A:$D,4,FALSE),1)*G310)</f>
        <v>0</v>
      </c>
      <c r="J310" s="21">
        <f t="shared" ca="1" si="36"/>
        <v>46203</v>
      </c>
      <c r="K310" s="4">
        <f t="shared" ca="1" si="37"/>
        <v>0</v>
      </c>
      <c r="M310" s="21">
        <f t="shared" ca="1" si="43"/>
        <v>46203</v>
      </c>
      <c r="N310" s="37">
        <f t="shared" ca="1" si="38"/>
        <v>0</v>
      </c>
      <c r="O310" s="4">
        <f ca="1">IFERROR(AVERAGEIF(N$5:$N310,"&gt;="&amp;_xlfn.PERCENTILE.EXC(N$5:$N310,0.2)),0)</f>
        <v>0</v>
      </c>
      <c r="Q310" s="21">
        <f t="shared" ca="1" si="44"/>
        <v>46203</v>
      </c>
      <c r="R310" s="37">
        <f t="shared" ca="1" si="39"/>
        <v>0</v>
      </c>
      <c r="S310" s="4">
        <f ca="1">IFERROR(AVERAGE($R$5:R310),0)</f>
        <v>0</v>
      </c>
      <c r="U310" s="21">
        <f t="shared" ca="1" si="40"/>
        <v>46203</v>
      </c>
      <c r="V310" s="4">
        <f ca="1">MIN(S310,PREMISSAS!$C$14)</f>
        <v>0</v>
      </c>
      <c r="W310" s="188"/>
      <c r="X310" s="188"/>
    </row>
    <row r="311" spans="2:24" x14ac:dyDescent="0.3">
      <c r="B311" s="21" t="str">
        <f t="shared" ca="1" si="41"/>
        <v/>
      </c>
      <c r="C311" s="22" t="str">
        <f ca="1">IF(B311="","",IF(LEFT(B311,2)="13",C310,IF(MONTH(B311)=1,C310*(1+PREMISSAS!$C$58),C310)))</f>
        <v/>
      </c>
      <c r="E311" s="18">
        <v>307</v>
      </c>
      <c r="F311" s="21">
        <f t="shared" ca="1" si="42"/>
        <v>46234</v>
      </c>
      <c r="G311" s="22">
        <f ca="1">IFERROR(VLOOKUP(F311,RESULTADOS!$O$5:$P$543,2,FALSE),VLOOKUP(F311,$B$5:$C$842,2,FALSE))</f>
        <v>0</v>
      </c>
      <c r="H311" s="4">
        <f ca="1">IF(F311&lt;PREMISSAS!$D$7,0,IFERROR(VLOOKUP(IF(LEFT(F311,2)="13",DATE(YEAR(F310),12,31),F311),IPCA!$A:$D,4,FALSE),1)*G311)</f>
        <v>0</v>
      </c>
      <c r="J311" s="21">
        <f t="shared" ca="1" si="36"/>
        <v>46234</v>
      </c>
      <c r="K311" s="4">
        <f t="shared" ca="1" si="37"/>
        <v>0</v>
      </c>
      <c r="M311" s="21">
        <f t="shared" ca="1" si="43"/>
        <v>46234</v>
      </c>
      <c r="N311" s="37">
        <f t="shared" ca="1" si="38"/>
        <v>0</v>
      </c>
      <c r="O311" s="4">
        <f ca="1">IFERROR(AVERAGEIF(N$5:$N311,"&gt;="&amp;_xlfn.PERCENTILE.EXC(N$5:$N311,0.2)),0)</f>
        <v>0</v>
      </c>
      <c r="Q311" s="21">
        <f t="shared" ca="1" si="44"/>
        <v>46234</v>
      </c>
      <c r="R311" s="37">
        <f t="shared" ca="1" si="39"/>
        <v>0</v>
      </c>
      <c r="S311" s="4">
        <f ca="1">IFERROR(AVERAGE($R$5:R311),0)</f>
        <v>0</v>
      </c>
      <c r="U311" s="21">
        <f t="shared" ca="1" si="40"/>
        <v>46234</v>
      </c>
      <c r="V311" s="4">
        <f ca="1">MIN(S311,PREMISSAS!$C$14)</f>
        <v>0</v>
      </c>
      <c r="W311" s="188"/>
      <c r="X311" s="188"/>
    </row>
    <row r="312" spans="2:24" x14ac:dyDescent="0.3">
      <c r="B312" s="21" t="str">
        <f t="shared" ca="1" si="41"/>
        <v/>
      </c>
      <c r="C312" s="22" t="str">
        <f ca="1">IF(B312="","",IF(LEFT(B312,2)="13",C311,IF(MONTH(B312)=1,C311*(1+PREMISSAS!$C$58),C311)))</f>
        <v/>
      </c>
      <c r="E312" s="18">
        <v>308</v>
      </c>
      <c r="F312" s="21">
        <f t="shared" ca="1" si="42"/>
        <v>46265</v>
      </c>
      <c r="G312" s="22">
        <f ca="1">IFERROR(VLOOKUP(F312,RESULTADOS!$O$5:$P$543,2,FALSE),VLOOKUP(F312,$B$5:$C$842,2,FALSE))</f>
        <v>0</v>
      </c>
      <c r="H312" s="4">
        <f ca="1">IF(F312&lt;PREMISSAS!$D$7,0,IFERROR(VLOOKUP(IF(LEFT(F312,2)="13",DATE(YEAR(F311),12,31),F312),IPCA!$A:$D,4,FALSE),1)*G312)</f>
        <v>0</v>
      </c>
      <c r="J312" s="21">
        <f t="shared" ca="1" si="36"/>
        <v>46265</v>
      </c>
      <c r="K312" s="4">
        <f t="shared" ca="1" si="37"/>
        <v>0</v>
      </c>
      <c r="M312" s="21">
        <f t="shared" ca="1" si="43"/>
        <v>46265</v>
      </c>
      <c r="N312" s="37">
        <f t="shared" ca="1" si="38"/>
        <v>0</v>
      </c>
      <c r="O312" s="4">
        <f ca="1">IFERROR(AVERAGEIF(N$5:$N312,"&gt;="&amp;_xlfn.PERCENTILE.EXC(N$5:$N312,0.2)),0)</f>
        <v>0</v>
      </c>
      <c r="Q312" s="21">
        <f t="shared" ca="1" si="44"/>
        <v>46265</v>
      </c>
      <c r="R312" s="37">
        <f t="shared" ca="1" si="39"/>
        <v>0</v>
      </c>
      <c r="S312" s="4">
        <f ca="1">IFERROR(AVERAGE($R$5:R312),0)</f>
        <v>0</v>
      </c>
      <c r="U312" s="21">
        <f t="shared" ca="1" si="40"/>
        <v>46265</v>
      </c>
      <c r="V312" s="4">
        <f ca="1">MIN(S312,PREMISSAS!$C$14)</f>
        <v>0</v>
      </c>
      <c r="W312" s="188"/>
      <c r="X312" s="188"/>
    </row>
    <row r="313" spans="2:24" x14ac:dyDescent="0.3">
      <c r="B313" s="21" t="str">
        <f t="shared" ca="1" si="41"/>
        <v/>
      </c>
      <c r="C313" s="22" t="str">
        <f ca="1">IF(B313="","",IF(LEFT(B313,2)="13",C312,IF(MONTH(B313)=1,C312*(1+PREMISSAS!$C$58),C312)))</f>
        <v/>
      </c>
      <c r="E313" s="18">
        <v>309</v>
      </c>
      <c r="F313" s="21">
        <f t="shared" ca="1" si="42"/>
        <v>46295</v>
      </c>
      <c r="G313" s="22">
        <f ca="1">IFERROR(VLOOKUP(F313,RESULTADOS!$O$5:$P$543,2,FALSE),VLOOKUP(F313,$B$5:$C$842,2,FALSE))</f>
        <v>0</v>
      </c>
      <c r="H313" s="4">
        <f ca="1">IF(F313&lt;PREMISSAS!$D$7,0,IFERROR(VLOOKUP(IF(LEFT(F313,2)="13",DATE(YEAR(F312),12,31),F313),IPCA!$A:$D,4,FALSE),1)*G313)</f>
        <v>0</v>
      </c>
      <c r="J313" s="21">
        <f t="shared" ca="1" si="36"/>
        <v>46295</v>
      </c>
      <c r="K313" s="4">
        <f t="shared" ca="1" si="37"/>
        <v>0</v>
      </c>
      <c r="M313" s="21">
        <f t="shared" ca="1" si="43"/>
        <v>46295</v>
      </c>
      <c r="N313" s="37">
        <f t="shared" ca="1" si="38"/>
        <v>0</v>
      </c>
      <c r="O313" s="4">
        <f ca="1">IFERROR(AVERAGEIF(N$5:$N313,"&gt;="&amp;_xlfn.PERCENTILE.EXC(N$5:$N313,0.2)),0)</f>
        <v>0</v>
      </c>
      <c r="Q313" s="21">
        <f t="shared" ca="1" si="44"/>
        <v>46295</v>
      </c>
      <c r="R313" s="37">
        <f t="shared" ca="1" si="39"/>
        <v>0</v>
      </c>
      <c r="S313" s="4">
        <f ca="1">IFERROR(AVERAGE($R$5:R313),0)</f>
        <v>0</v>
      </c>
      <c r="U313" s="21">
        <f t="shared" ca="1" si="40"/>
        <v>46295</v>
      </c>
      <c r="V313" s="4">
        <f ca="1">MIN(S313,PREMISSAS!$C$14)</f>
        <v>0</v>
      </c>
      <c r="W313" s="188"/>
      <c r="X313" s="188"/>
    </row>
    <row r="314" spans="2:24" x14ac:dyDescent="0.3">
      <c r="B314" s="21" t="str">
        <f t="shared" ca="1" si="41"/>
        <v/>
      </c>
      <c r="C314" s="22" t="str">
        <f ca="1">IF(B314="","",IF(LEFT(B314,2)="13",C313,IF(MONTH(B314)=1,C313*(1+PREMISSAS!$C$58),C313)))</f>
        <v/>
      </c>
      <c r="E314" s="18">
        <v>310</v>
      </c>
      <c r="F314" s="21">
        <f t="shared" ca="1" si="42"/>
        <v>46326</v>
      </c>
      <c r="G314" s="22">
        <f ca="1">IFERROR(VLOOKUP(F314,RESULTADOS!$O$5:$P$543,2,FALSE),VLOOKUP(F314,$B$5:$C$842,2,FALSE))</f>
        <v>0</v>
      </c>
      <c r="H314" s="4">
        <f ca="1">IF(F314&lt;PREMISSAS!$D$7,0,IFERROR(VLOOKUP(IF(LEFT(F314,2)="13",DATE(YEAR(F313),12,31),F314),IPCA!$A:$D,4,FALSE),1)*G314)</f>
        <v>0</v>
      </c>
      <c r="J314" s="21">
        <f t="shared" ca="1" si="36"/>
        <v>46326</v>
      </c>
      <c r="K314" s="4">
        <f t="shared" ca="1" si="37"/>
        <v>0</v>
      </c>
      <c r="M314" s="21">
        <f t="shared" ca="1" si="43"/>
        <v>46326</v>
      </c>
      <c r="N314" s="37">
        <f t="shared" ca="1" si="38"/>
        <v>0</v>
      </c>
      <c r="O314" s="4">
        <f ca="1">IFERROR(AVERAGEIF(N$5:$N314,"&gt;="&amp;_xlfn.PERCENTILE.EXC(N$5:$N314,0.2)),0)</f>
        <v>0</v>
      </c>
      <c r="Q314" s="21">
        <f t="shared" ca="1" si="44"/>
        <v>46326</v>
      </c>
      <c r="R314" s="37">
        <f t="shared" ca="1" si="39"/>
        <v>0</v>
      </c>
      <c r="S314" s="4">
        <f ca="1">IFERROR(AVERAGE($R$5:R314),0)</f>
        <v>0</v>
      </c>
      <c r="U314" s="21">
        <f t="shared" ca="1" si="40"/>
        <v>46326</v>
      </c>
      <c r="V314" s="4">
        <f ca="1">MIN(S314,PREMISSAS!$C$14)</f>
        <v>0</v>
      </c>
      <c r="W314" s="188"/>
      <c r="X314" s="188"/>
    </row>
    <row r="315" spans="2:24" x14ac:dyDescent="0.3">
      <c r="B315" s="21" t="str">
        <f t="shared" ca="1" si="41"/>
        <v/>
      </c>
      <c r="C315" s="22" t="str">
        <f ca="1">IF(B315="","",IF(LEFT(B315,2)="13",C314,IF(MONTH(B315)=1,C314*(1+PREMISSAS!$C$58),C314)))</f>
        <v/>
      </c>
      <c r="E315" s="18">
        <v>311</v>
      </c>
      <c r="F315" s="21">
        <f t="shared" ca="1" si="42"/>
        <v>46356</v>
      </c>
      <c r="G315" s="22">
        <f ca="1">IFERROR(VLOOKUP(F315,RESULTADOS!$O$5:$P$543,2,FALSE),VLOOKUP(F315,$B$5:$C$842,2,FALSE))</f>
        <v>0</v>
      </c>
      <c r="H315" s="4">
        <f ca="1">IF(F315&lt;PREMISSAS!$D$7,0,IFERROR(VLOOKUP(IF(LEFT(F315,2)="13",DATE(YEAR(F314),12,31),F315),IPCA!$A:$D,4,FALSE),1)*G315)</f>
        <v>0</v>
      </c>
      <c r="J315" s="21">
        <f t="shared" ca="1" si="36"/>
        <v>46356</v>
      </c>
      <c r="K315" s="4">
        <f t="shared" ca="1" si="37"/>
        <v>0</v>
      </c>
      <c r="M315" s="21">
        <f t="shared" ca="1" si="43"/>
        <v>46356</v>
      </c>
      <c r="N315" s="37">
        <f t="shared" ca="1" si="38"/>
        <v>0</v>
      </c>
      <c r="O315" s="4">
        <f ca="1">IFERROR(AVERAGEIF(N$5:$N315,"&gt;="&amp;_xlfn.PERCENTILE.EXC(N$5:$N315,0.2)),0)</f>
        <v>0</v>
      </c>
      <c r="Q315" s="21">
        <f t="shared" ca="1" si="44"/>
        <v>46356</v>
      </c>
      <c r="R315" s="37">
        <f t="shared" ca="1" si="39"/>
        <v>0</v>
      </c>
      <c r="S315" s="4">
        <f ca="1">IFERROR(AVERAGE($R$5:R315),0)</f>
        <v>0</v>
      </c>
      <c r="U315" s="21">
        <f t="shared" ca="1" si="40"/>
        <v>46356</v>
      </c>
      <c r="V315" s="4">
        <f ca="1">MIN(S315,PREMISSAS!$C$14)</f>
        <v>0</v>
      </c>
      <c r="W315" s="188"/>
      <c r="X315" s="188"/>
    </row>
    <row r="316" spans="2:24" x14ac:dyDescent="0.3">
      <c r="B316" s="21" t="str">
        <f t="shared" ca="1" si="41"/>
        <v/>
      </c>
      <c r="C316" s="22" t="str">
        <f ca="1">IF(B316="","",IF(LEFT(B316,2)="13",C315,IF(MONTH(B316)=1,C315*(1+PREMISSAS!$C$58),C315)))</f>
        <v/>
      </c>
      <c r="E316" s="18">
        <v>312</v>
      </c>
      <c r="F316" s="21" t="str">
        <f t="shared" ca="1" si="42"/>
        <v>13º 2026</v>
      </c>
      <c r="G316" s="22">
        <f ca="1">IFERROR(VLOOKUP(F316,RESULTADOS!$O$5:$P$543,2,FALSE),VLOOKUP(F316,$B$5:$C$842,2,FALSE))</f>
        <v>0</v>
      </c>
      <c r="H316" s="4">
        <f ca="1">IF(F316&lt;PREMISSAS!$D$7,0,IFERROR(VLOOKUP(IF(LEFT(F316,2)="13",DATE(YEAR(F315),12,31),F316),IPCA!$A:$D,4,FALSE),1)*G316)</f>
        <v>0</v>
      </c>
      <c r="J316" s="21" t="str">
        <f t="shared" ca="1" si="36"/>
        <v>13º 2026</v>
      </c>
      <c r="K316" s="4">
        <f t="shared" ca="1" si="37"/>
        <v>0</v>
      </c>
      <c r="M316" s="21" t="str">
        <f t="shared" ca="1" si="43"/>
        <v>13º 2026</v>
      </c>
      <c r="N316" s="37">
        <f t="shared" ca="1" si="38"/>
        <v>0</v>
      </c>
      <c r="O316" s="4">
        <f ca="1">IFERROR(AVERAGEIF(N$5:$N316,"&gt;="&amp;_xlfn.PERCENTILE.EXC(N$5:$N316,0.2)),0)</f>
        <v>0</v>
      </c>
      <c r="Q316" s="21" t="str">
        <f t="shared" ca="1" si="44"/>
        <v>13º 2026</v>
      </c>
      <c r="R316" s="37">
        <f t="shared" ca="1" si="39"/>
        <v>0</v>
      </c>
      <c r="S316" s="4">
        <f ca="1">IFERROR(AVERAGE($R$5:R316),0)</f>
        <v>0</v>
      </c>
      <c r="U316" s="21" t="str">
        <f t="shared" ca="1" si="40"/>
        <v>13º 2026</v>
      </c>
      <c r="V316" s="4">
        <f ca="1">MIN(S316,PREMISSAS!$C$14)</f>
        <v>0</v>
      </c>
      <c r="W316" s="188"/>
      <c r="X316" s="188"/>
    </row>
    <row r="317" spans="2:24" x14ac:dyDescent="0.3">
      <c r="B317" s="21" t="str">
        <f t="shared" ca="1" si="41"/>
        <v/>
      </c>
      <c r="C317" s="22" t="str">
        <f ca="1">IF(B317="","",IF(LEFT(B317,2)="13",C316,IF(MONTH(B317)=1,C316*(1+PREMISSAS!$C$58),C316)))</f>
        <v/>
      </c>
      <c r="E317" s="18">
        <v>313</v>
      </c>
      <c r="F317" s="21">
        <f t="shared" ca="1" si="42"/>
        <v>46387</v>
      </c>
      <c r="G317" s="22">
        <f ca="1">IFERROR(VLOOKUP(F317,RESULTADOS!$O$5:$P$543,2,FALSE),VLOOKUP(F317,$B$5:$C$842,2,FALSE))</f>
        <v>0</v>
      </c>
      <c r="H317" s="4">
        <f ca="1">IF(F317&lt;PREMISSAS!$D$7,0,IFERROR(VLOOKUP(IF(LEFT(F317,2)="13",DATE(YEAR(F316),12,31),F317),IPCA!$A:$D,4,FALSE),1)*G317)</f>
        <v>0</v>
      </c>
      <c r="J317" s="21">
        <f t="shared" ca="1" si="36"/>
        <v>46387</v>
      </c>
      <c r="K317" s="4">
        <f t="shared" ca="1" si="37"/>
        <v>0</v>
      </c>
      <c r="M317" s="21">
        <f t="shared" ca="1" si="43"/>
        <v>46387</v>
      </c>
      <c r="N317" s="37">
        <f t="shared" ca="1" si="38"/>
        <v>0</v>
      </c>
      <c r="O317" s="4">
        <f ca="1">IFERROR(AVERAGEIF(N$5:$N317,"&gt;="&amp;_xlfn.PERCENTILE.EXC(N$5:$N317,0.2)),0)</f>
        <v>0</v>
      </c>
      <c r="Q317" s="21">
        <f t="shared" ca="1" si="44"/>
        <v>46387</v>
      </c>
      <c r="R317" s="37">
        <f t="shared" ca="1" si="39"/>
        <v>0</v>
      </c>
      <c r="S317" s="4">
        <f ca="1">IFERROR(AVERAGE($R$5:R317),0)</f>
        <v>0</v>
      </c>
      <c r="U317" s="21">
        <f t="shared" ca="1" si="40"/>
        <v>46387</v>
      </c>
      <c r="V317" s="4">
        <f ca="1">MIN(S317,PREMISSAS!$C$14)</f>
        <v>0</v>
      </c>
      <c r="W317" s="188"/>
      <c r="X317" s="188"/>
    </row>
    <row r="318" spans="2:24" x14ac:dyDescent="0.3">
      <c r="B318" s="21" t="str">
        <f t="shared" ca="1" si="41"/>
        <v/>
      </c>
      <c r="C318" s="22" t="str">
        <f ca="1">IF(B318="","",IF(LEFT(B318,2)="13",C317,IF(MONTH(B318)=1,C317*(1+PREMISSAS!$C$58),C317)))</f>
        <v/>
      </c>
      <c r="E318" s="18">
        <v>314</v>
      </c>
      <c r="F318" s="21">
        <f t="shared" ca="1" si="42"/>
        <v>46418</v>
      </c>
      <c r="G318" s="22">
        <f ca="1">IFERROR(VLOOKUP(F318,RESULTADOS!$O$5:$P$543,2,FALSE),VLOOKUP(F318,$B$5:$C$842,2,FALSE))</f>
        <v>0</v>
      </c>
      <c r="H318" s="4">
        <f ca="1">IF(F318&lt;PREMISSAS!$D$7,0,IFERROR(VLOOKUP(IF(LEFT(F318,2)="13",DATE(YEAR(F317),12,31),F318),IPCA!$A:$D,4,FALSE),1)*G318)</f>
        <v>0</v>
      </c>
      <c r="J318" s="21">
        <f t="shared" ca="1" si="36"/>
        <v>46418</v>
      </c>
      <c r="K318" s="4">
        <f t="shared" ca="1" si="37"/>
        <v>0</v>
      </c>
      <c r="M318" s="21">
        <f t="shared" ca="1" si="43"/>
        <v>46418</v>
      </c>
      <c r="N318" s="37">
        <f t="shared" ca="1" si="38"/>
        <v>0</v>
      </c>
      <c r="O318" s="4">
        <f ca="1">IFERROR(AVERAGEIF(N$5:$N318,"&gt;="&amp;_xlfn.PERCENTILE.EXC(N$5:$N318,0.2)),0)</f>
        <v>0</v>
      </c>
      <c r="Q318" s="21">
        <f t="shared" ca="1" si="44"/>
        <v>46418</v>
      </c>
      <c r="R318" s="37">
        <f t="shared" ca="1" si="39"/>
        <v>0</v>
      </c>
      <c r="S318" s="4">
        <f ca="1">IFERROR(AVERAGE($R$5:R318),0)</f>
        <v>0</v>
      </c>
      <c r="U318" s="21">
        <f t="shared" ca="1" si="40"/>
        <v>46418</v>
      </c>
      <c r="V318" s="4">
        <f ca="1">MIN(S318,PREMISSAS!$C$14)</f>
        <v>0</v>
      </c>
      <c r="W318" s="188"/>
      <c r="X318" s="188"/>
    </row>
    <row r="319" spans="2:24" x14ac:dyDescent="0.3">
      <c r="B319" s="21" t="str">
        <f t="shared" ca="1" si="41"/>
        <v/>
      </c>
      <c r="C319" s="22" t="str">
        <f ca="1">IF(B319="","",IF(LEFT(B319,2)="13",C318,IF(MONTH(B319)=1,C318*(1+PREMISSAS!$C$58),C318)))</f>
        <v/>
      </c>
      <c r="E319" s="18">
        <v>315</v>
      </c>
      <c r="F319" s="21">
        <f t="shared" ca="1" si="42"/>
        <v>46446</v>
      </c>
      <c r="G319" s="22">
        <f ca="1">IFERROR(VLOOKUP(F319,RESULTADOS!$O$5:$P$543,2,FALSE),VLOOKUP(F319,$B$5:$C$842,2,FALSE))</f>
        <v>0</v>
      </c>
      <c r="H319" s="4">
        <f ca="1">IF(F319&lt;PREMISSAS!$D$7,0,IFERROR(VLOOKUP(IF(LEFT(F319,2)="13",DATE(YEAR(F318),12,31),F319),IPCA!$A:$D,4,FALSE),1)*G319)</f>
        <v>0</v>
      </c>
      <c r="J319" s="21">
        <f t="shared" ca="1" si="36"/>
        <v>46446</v>
      </c>
      <c r="K319" s="4">
        <f t="shared" ca="1" si="37"/>
        <v>0</v>
      </c>
      <c r="M319" s="21">
        <f t="shared" ca="1" si="43"/>
        <v>46446</v>
      </c>
      <c r="N319" s="37">
        <f t="shared" ca="1" si="38"/>
        <v>0</v>
      </c>
      <c r="O319" s="4">
        <f ca="1">IFERROR(AVERAGEIF(N$5:$N319,"&gt;="&amp;_xlfn.PERCENTILE.EXC(N$5:$N319,0.2)),0)</f>
        <v>0</v>
      </c>
      <c r="Q319" s="21">
        <f t="shared" ca="1" si="44"/>
        <v>46446</v>
      </c>
      <c r="R319" s="37">
        <f t="shared" ca="1" si="39"/>
        <v>0</v>
      </c>
      <c r="S319" s="4">
        <f ca="1">IFERROR(AVERAGE($R$5:R319),0)</f>
        <v>0</v>
      </c>
      <c r="U319" s="21">
        <f t="shared" ca="1" si="40"/>
        <v>46446</v>
      </c>
      <c r="V319" s="4">
        <f ca="1">MIN(S319,PREMISSAS!$C$14)</f>
        <v>0</v>
      </c>
      <c r="W319" s="188"/>
      <c r="X319" s="188"/>
    </row>
    <row r="320" spans="2:24" x14ac:dyDescent="0.3">
      <c r="B320" s="21" t="str">
        <f t="shared" ca="1" si="41"/>
        <v/>
      </c>
      <c r="C320" s="22" t="str">
        <f ca="1">IF(B320="","",IF(LEFT(B320,2)="13",C319,IF(MONTH(B320)=1,C319*(1+PREMISSAS!$C$58),C319)))</f>
        <v/>
      </c>
      <c r="E320" s="18">
        <v>316</v>
      </c>
      <c r="F320" s="21">
        <f t="shared" ca="1" si="42"/>
        <v>46477</v>
      </c>
      <c r="G320" s="22">
        <f ca="1">IFERROR(VLOOKUP(F320,RESULTADOS!$O$5:$P$543,2,FALSE),VLOOKUP(F320,$B$5:$C$842,2,FALSE))</f>
        <v>0</v>
      </c>
      <c r="H320" s="4">
        <f ca="1">IF(F320&lt;PREMISSAS!$D$7,0,IFERROR(VLOOKUP(IF(LEFT(F320,2)="13",DATE(YEAR(F319),12,31),F320),IPCA!$A:$D,4,FALSE),1)*G320)</f>
        <v>0</v>
      </c>
      <c r="J320" s="21">
        <f t="shared" ca="1" si="36"/>
        <v>46477</v>
      </c>
      <c r="K320" s="4">
        <f t="shared" ca="1" si="37"/>
        <v>0</v>
      </c>
      <c r="M320" s="21">
        <f t="shared" ca="1" si="43"/>
        <v>46477</v>
      </c>
      <c r="N320" s="37">
        <f t="shared" ca="1" si="38"/>
        <v>0</v>
      </c>
      <c r="O320" s="4">
        <f ca="1">IFERROR(AVERAGEIF(N$5:$N320,"&gt;="&amp;_xlfn.PERCENTILE.EXC(N$5:$N320,0.2)),0)</f>
        <v>0</v>
      </c>
      <c r="Q320" s="21">
        <f t="shared" ca="1" si="44"/>
        <v>46477</v>
      </c>
      <c r="R320" s="37">
        <f t="shared" ca="1" si="39"/>
        <v>0</v>
      </c>
      <c r="S320" s="4">
        <f ca="1">IFERROR(AVERAGE($R$5:R320),0)</f>
        <v>0</v>
      </c>
      <c r="U320" s="21">
        <f t="shared" ca="1" si="40"/>
        <v>46477</v>
      </c>
      <c r="V320" s="4">
        <f ca="1">MIN(S320,PREMISSAS!$C$14)</f>
        <v>0</v>
      </c>
      <c r="W320" s="188"/>
      <c r="X320" s="188"/>
    </row>
    <row r="321" spans="2:24" x14ac:dyDescent="0.3">
      <c r="B321" s="21" t="str">
        <f t="shared" ca="1" si="41"/>
        <v/>
      </c>
      <c r="C321" s="22" t="str">
        <f ca="1">IF(B321="","",IF(LEFT(B321,2)="13",C320,IF(MONTH(B321)=1,C320*(1+PREMISSAS!$C$58),C320)))</f>
        <v/>
      </c>
      <c r="E321" s="18">
        <v>317</v>
      </c>
      <c r="F321" s="21">
        <f t="shared" ca="1" si="42"/>
        <v>46507</v>
      </c>
      <c r="G321" s="22">
        <f ca="1">IFERROR(VLOOKUP(F321,RESULTADOS!$O$5:$P$543,2,FALSE),VLOOKUP(F321,$B$5:$C$842,2,FALSE))</f>
        <v>0</v>
      </c>
      <c r="H321" s="4">
        <f ca="1">IF(F321&lt;PREMISSAS!$D$7,0,IFERROR(VLOOKUP(IF(LEFT(F321,2)="13",DATE(YEAR(F320),12,31),F321),IPCA!$A:$D,4,FALSE),1)*G321)</f>
        <v>0</v>
      </c>
      <c r="J321" s="21">
        <f t="shared" ca="1" si="36"/>
        <v>46507</v>
      </c>
      <c r="K321" s="4">
        <f t="shared" ca="1" si="37"/>
        <v>0</v>
      </c>
      <c r="M321" s="21">
        <f t="shared" ca="1" si="43"/>
        <v>46507</v>
      </c>
      <c r="N321" s="37">
        <f t="shared" ca="1" si="38"/>
        <v>0</v>
      </c>
      <c r="O321" s="4">
        <f ca="1">IFERROR(AVERAGEIF(N$5:$N321,"&gt;="&amp;_xlfn.PERCENTILE.EXC(N$5:$N321,0.2)),0)</f>
        <v>0</v>
      </c>
      <c r="Q321" s="21">
        <f t="shared" ca="1" si="44"/>
        <v>46507</v>
      </c>
      <c r="R321" s="37">
        <f t="shared" ca="1" si="39"/>
        <v>0</v>
      </c>
      <c r="S321" s="4">
        <f ca="1">IFERROR(AVERAGE($R$5:R321),0)</f>
        <v>0</v>
      </c>
      <c r="U321" s="21">
        <f t="shared" ca="1" si="40"/>
        <v>46507</v>
      </c>
      <c r="V321" s="4">
        <f ca="1">MIN(S321,PREMISSAS!$C$14)</f>
        <v>0</v>
      </c>
      <c r="W321" s="188"/>
      <c r="X321" s="188"/>
    </row>
    <row r="322" spans="2:24" x14ac:dyDescent="0.3">
      <c r="B322" s="21" t="str">
        <f t="shared" ca="1" si="41"/>
        <v/>
      </c>
      <c r="C322" s="22" t="str">
        <f ca="1">IF(B322="","",IF(LEFT(B322,2)="13",C321,IF(MONTH(B322)=1,C321*(1+PREMISSAS!$C$58),C321)))</f>
        <v/>
      </c>
      <c r="E322" s="18">
        <v>318</v>
      </c>
      <c r="F322" s="21">
        <f t="shared" ca="1" si="42"/>
        <v>46538</v>
      </c>
      <c r="G322" s="22">
        <f ca="1">IFERROR(VLOOKUP(F322,RESULTADOS!$O$5:$P$543,2,FALSE),VLOOKUP(F322,$B$5:$C$842,2,FALSE))</f>
        <v>0</v>
      </c>
      <c r="H322" s="4">
        <f ca="1">IF(F322&lt;PREMISSAS!$D$7,0,IFERROR(VLOOKUP(IF(LEFT(F322,2)="13",DATE(YEAR(F321),12,31),F322),IPCA!$A:$D,4,FALSE),1)*G322)</f>
        <v>0</v>
      </c>
      <c r="J322" s="21">
        <f t="shared" ca="1" si="36"/>
        <v>46538</v>
      </c>
      <c r="K322" s="4">
        <f t="shared" ca="1" si="37"/>
        <v>0</v>
      </c>
      <c r="M322" s="21">
        <f t="shared" ca="1" si="43"/>
        <v>46538</v>
      </c>
      <c r="N322" s="37">
        <f t="shared" ca="1" si="38"/>
        <v>0</v>
      </c>
      <c r="O322" s="4">
        <f ca="1">IFERROR(AVERAGEIF(N$5:$N322,"&gt;="&amp;_xlfn.PERCENTILE.EXC(N$5:$N322,0.2)),0)</f>
        <v>0</v>
      </c>
      <c r="Q322" s="21">
        <f t="shared" ca="1" si="44"/>
        <v>46538</v>
      </c>
      <c r="R322" s="37">
        <f t="shared" ca="1" si="39"/>
        <v>0</v>
      </c>
      <c r="S322" s="4">
        <f ca="1">IFERROR(AVERAGE($R$5:R322),0)</f>
        <v>0</v>
      </c>
      <c r="U322" s="21">
        <f t="shared" ca="1" si="40"/>
        <v>46538</v>
      </c>
      <c r="V322" s="4">
        <f ca="1">MIN(S322,PREMISSAS!$C$14)</f>
        <v>0</v>
      </c>
      <c r="W322" s="188"/>
      <c r="X322" s="188"/>
    </row>
    <row r="323" spans="2:24" x14ac:dyDescent="0.3">
      <c r="B323" s="21" t="str">
        <f t="shared" ca="1" si="41"/>
        <v/>
      </c>
      <c r="C323" s="22" t="str">
        <f ca="1">IF(B323="","",IF(LEFT(B323,2)="13",C322,IF(MONTH(B323)=1,C322*(1+PREMISSAS!$C$58),C322)))</f>
        <v/>
      </c>
      <c r="E323" s="18">
        <v>319</v>
      </c>
      <c r="F323" s="21">
        <f t="shared" ca="1" si="42"/>
        <v>46568</v>
      </c>
      <c r="G323" s="22">
        <f ca="1">IFERROR(VLOOKUP(F323,RESULTADOS!$O$5:$P$543,2,FALSE),VLOOKUP(F323,$B$5:$C$842,2,FALSE))</f>
        <v>0</v>
      </c>
      <c r="H323" s="4">
        <f ca="1">IF(F323&lt;PREMISSAS!$D$7,0,IFERROR(VLOOKUP(IF(LEFT(F323,2)="13",DATE(YEAR(F322),12,31),F323),IPCA!$A:$D,4,FALSE),1)*G323)</f>
        <v>0</v>
      </c>
      <c r="J323" s="21">
        <f t="shared" ca="1" si="36"/>
        <v>46568</v>
      </c>
      <c r="K323" s="4">
        <f t="shared" ca="1" si="37"/>
        <v>0</v>
      </c>
      <c r="M323" s="21">
        <f t="shared" ca="1" si="43"/>
        <v>46568</v>
      </c>
      <c r="N323" s="37">
        <f t="shared" ca="1" si="38"/>
        <v>0</v>
      </c>
      <c r="O323" s="4">
        <f ca="1">IFERROR(AVERAGEIF(N$5:$N323,"&gt;="&amp;_xlfn.PERCENTILE.EXC(N$5:$N323,0.2)),0)</f>
        <v>0</v>
      </c>
      <c r="Q323" s="21">
        <f t="shared" ca="1" si="44"/>
        <v>46568</v>
      </c>
      <c r="R323" s="37">
        <f t="shared" ca="1" si="39"/>
        <v>0</v>
      </c>
      <c r="S323" s="4">
        <f ca="1">IFERROR(AVERAGE($R$5:R323),0)</f>
        <v>0</v>
      </c>
      <c r="U323" s="21">
        <f t="shared" ca="1" si="40"/>
        <v>46568</v>
      </c>
      <c r="V323" s="4">
        <f ca="1">MIN(S323,PREMISSAS!$C$14)</f>
        <v>0</v>
      </c>
      <c r="W323" s="188"/>
      <c r="X323" s="188"/>
    </row>
    <row r="324" spans="2:24" x14ac:dyDescent="0.3">
      <c r="B324" s="21" t="str">
        <f t="shared" ca="1" si="41"/>
        <v/>
      </c>
      <c r="C324" s="22" t="str">
        <f ca="1">IF(B324="","",IF(LEFT(B324,2)="13",C323,IF(MONTH(B324)=1,C323*(1+PREMISSAS!$C$58),C323)))</f>
        <v/>
      </c>
      <c r="E324" s="18">
        <v>320</v>
      </c>
      <c r="F324" s="21">
        <f t="shared" ca="1" si="42"/>
        <v>46599</v>
      </c>
      <c r="G324" s="22">
        <f ca="1">IFERROR(VLOOKUP(F324,RESULTADOS!$O$5:$P$543,2,FALSE),VLOOKUP(F324,$B$5:$C$842,2,FALSE))</f>
        <v>0</v>
      </c>
      <c r="H324" s="4">
        <f ca="1">IF(F324&lt;PREMISSAS!$D$7,0,IFERROR(VLOOKUP(IF(LEFT(F324,2)="13",DATE(YEAR(F323),12,31),F324),IPCA!$A:$D,4,FALSE),1)*G324)</f>
        <v>0</v>
      </c>
      <c r="J324" s="21">
        <f t="shared" ca="1" si="36"/>
        <v>46599</v>
      </c>
      <c r="K324" s="4">
        <f t="shared" ca="1" si="37"/>
        <v>0</v>
      </c>
      <c r="M324" s="21">
        <f t="shared" ca="1" si="43"/>
        <v>46599</v>
      </c>
      <c r="N324" s="37">
        <f t="shared" ca="1" si="38"/>
        <v>0</v>
      </c>
      <c r="O324" s="4">
        <f ca="1">IFERROR(AVERAGEIF(N$5:$N324,"&gt;="&amp;_xlfn.PERCENTILE.EXC(N$5:$N324,0.2)),0)</f>
        <v>0</v>
      </c>
      <c r="Q324" s="21">
        <f t="shared" ca="1" si="44"/>
        <v>46599</v>
      </c>
      <c r="R324" s="37">
        <f t="shared" ca="1" si="39"/>
        <v>0</v>
      </c>
      <c r="S324" s="4">
        <f ca="1">IFERROR(AVERAGE($R$5:R324),0)</f>
        <v>0</v>
      </c>
      <c r="U324" s="21">
        <f t="shared" ca="1" si="40"/>
        <v>46599</v>
      </c>
      <c r="V324" s="4">
        <f ca="1">MIN(S324,PREMISSAS!$C$14)</f>
        <v>0</v>
      </c>
      <c r="W324" s="188"/>
      <c r="X324" s="188"/>
    </row>
    <row r="325" spans="2:24" x14ac:dyDescent="0.3">
      <c r="B325" s="21" t="str">
        <f t="shared" ca="1" si="41"/>
        <v/>
      </c>
      <c r="C325" s="22" t="str">
        <f ca="1">IF(B325="","",IF(LEFT(B325,2)="13",C324,IF(MONTH(B325)=1,C324*(1+PREMISSAS!$C$58),C324)))</f>
        <v/>
      </c>
      <c r="E325" s="18">
        <v>321</v>
      </c>
      <c r="F325" s="21">
        <f t="shared" ca="1" si="42"/>
        <v>46630</v>
      </c>
      <c r="G325" s="22">
        <f ca="1">IFERROR(VLOOKUP(F325,RESULTADOS!$O$5:$P$543,2,FALSE),VLOOKUP(F325,$B$5:$C$842,2,FALSE))</f>
        <v>0</v>
      </c>
      <c r="H325" s="4">
        <f ca="1">IF(F325&lt;PREMISSAS!$D$7,0,IFERROR(VLOOKUP(IF(LEFT(F325,2)="13",DATE(YEAR(F324),12,31),F325),IPCA!$A:$D,4,FALSE),1)*G325)</f>
        <v>0</v>
      </c>
      <c r="J325" s="21">
        <f t="shared" ref="J325:J388" ca="1" si="45">F325</f>
        <v>46630</v>
      </c>
      <c r="K325" s="4">
        <f t="shared" ref="K325:K388" ca="1" si="46">G325</f>
        <v>0</v>
      </c>
      <c r="M325" s="21">
        <f t="shared" ca="1" si="43"/>
        <v>46630</v>
      </c>
      <c r="N325" s="37">
        <f t="shared" ca="1" si="38"/>
        <v>0</v>
      </c>
      <c r="O325" s="4">
        <f ca="1">IFERROR(AVERAGEIF(N$5:$N325,"&gt;="&amp;_xlfn.PERCENTILE.EXC(N$5:$N325,0.2)),0)</f>
        <v>0</v>
      </c>
      <c r="Q325" s="21">
        <f t="shared" ca="1" si="44"/>
        <v>46630</v>
      </c>
      <c r="R325" s="37">
        <f t="shared" ca="1" si="39"/>
        <v>0</v>
      </c>
      <c r="S325" s="4">
        <f ca="1">IFERROR(AVERAGE($R$5:R325),0)</f>
        <v>0</v>
      </c>
      <c r="U325" s="21">
        <f t="shared" ca="1" si="40"/>
        <v>46630</v>
      </c>
      <c r="V325" s="4">
        <f ca="1">MIN(S325,PREMISSAS!$C$14)</f>
        <v>0</v>
      </c>
      <c r="W325" s="188"/>
      <c r="X325" s="188"/>
    </row>
    <row r="326" spans="2:24" x14ac:dyDescent="0.3">
      <c r="B326" s="21" t="str">
        <f t="shared" ca="1" si="41"/>
        <v/>
      </c>
      <c r="C326" s="22" t="str">
        <f ca="1">IF(B326="","",IF(LEFT(B326,2)="13",C325,IF(MONTH(B326)=1,C325*(1+PREMISSAS!$C$58),C325)))</f>
        <v/>
      </c>
      <c r="E326" s="18">
        <v>322</v>
      </c>
      <c r="F326" s="21">
        <f t="shared" ca="1" si="42"/>
        <v>46660</v>
      </c>
      <c r="G326" s="22">
        <f ca="1">IFERROR(VLOOKUP(F326,RESULTADOS!$O$5:$P$543,2,FALSE),VLOOKUP(F326,$B$5:$C$842,2,FALSE))</f>
        <v>0</v>
      </c>
      <c r="H326" s="4">
        <f ca="1">IF(F326&lt;PREMISSAS!$D$7,0,IFERROR(VLOOKUP(IF(LEFT(F326,2)="13",DATE(YEAR(F325),12,31),F326),IPCA!$A:$D,4,FALSE),1)*G326)</f>
        <v>0</v>
      </c>
      <c r="J326" s="21">
        <f t="shared" ca="1" si="45"/>
        <v>46660</v>
      </c>
      <c r="K326" s="4">
        <f t="shared" ca="1" si="46"/>
        <v>0</v>
      </c>
      <c r="M326" s="21">
        <f t="shared" ca="1" si="43"/>
        <v>46660</v>
      </c>
      <c r="N326" s="37">
        <f t="shared" ref="N326:N389" ca="1" si="47">IFERROR(VLOOKUP(M326,$F$5:$H$628,3,FALSE),0)</f>
        <v>0</v>
      </c>
      <c r="O326" s="4">
        <f ca="1">IFERROR(AVERAGEIF(N$5:$N326,"&gt;="&amp;_xlfn.PERCENTILE.EXC(N$5:$N326,0.2)),0)</f>
        <v>0</v>
      </c>
      <c r="Q326" s="21">
        <f t="shared" ca="1" si="44"/>
        <v>46660</v>
      </c>
      <c r="R326" s="37">
        <f t="shared" ref="R326:R389" ca="1" si="48">IFERROR(VLOOKUP(Q326,$F$5:$H$628,3,FALSE),0)</f>
        <v>0</v>
      </c>
      <c r="S326" s="4">
        <f ca="1">IFERROR(AVERAGE($R$5:R326),0)</f>
        <v>0</v>
      </c>
      <c r="U326" s="21">
        <f t="shared" ref="U326:U389" ca="1" si="49">M326</f>
        <v>46660</v>
      </c>
      <c r="V326" s="4">
        <f ca="1">MIN(S326,PREMISSAS!$C$14)</f>
        <v>0</v>
      </c>
      <c r="W326" s="188"/>
      <c r="X326" s="188"/>
    </row>
    <row r="327" spans="2:24" x14ac:dyDescent="0.3">
      <c r="B327" s="21" t="str">
        <f t="shared" ref="B327:B390" ca="1" si="50">IFERROR(IF(LEFT(B326,2)="13",DATE(RIGHT(B326,4),12,31),IF(EOMONTH(B326,0)&gt;$F$1,"",IF(MONTH(B326)=11,"13º "&amp;YEAR(B326),EOMONTH(B326,1)))),"")</f>
        <v/>
      </c>
      <c r="C327" s="22" t="str">
        <f ca="1">IF(B327="","",IF(LEFT(B327,2)="13",C326,IF(MONTH(B327)=1,C326*(1+PREMISSAS!$C$58),C326)))</f>
        <v/>
      </c>
      <c r="E327" s="18">
        <v>323</v>
      </c>
      <c r="F327" s="21">
        <f t="shared" ref="F327:F390" ca="1" si="51">IFERROR(IF(LEFT(F326,2)="13",DATE(RIGHT(F326,4),12,31),IF(EOMONTH(F326,0)&gt;$F$1,"",IF(MONTH(F326)=11,"13º "&amp;YEAR(F326),EOMONTH(F326,1)))),"")</f>
        <v>46691</v>
      </c>
      <c r="G327" s="22">
        <f ca="1">IFERROR(VLOOKUP(F327,RESULTADOS!$O$5:$P$543,2,FALSE),VLOOKUP(F327,$B$5:$C$842,2,FALSE))</f>
        <v>0</v>
      </c>
      <c r="H327" s="4">
        <f ca="1">IF(F327&lt;PREMISSAS!$D$7,0,IFERROR(VLOOKUP(IF(LEFT(F327,2)="13",DATE(YEAR(F326),12,31),F327),IPCA!$A:$D,4,FALSE),1)*G327)</f>
        <v>0</v>
      </c>
      <c r="J327" s="21">
        <f t="shared" ca="1" si="45"/>
        <v>46691</v>
      </c>
      <c r="K327" s="4">
        <f t="shared" ca="1" si="46"/>
        <v>0</v>
      </c>
      <c r="M327" s="21">
        <f t="shared" ref="M327:M390" ca="1" si="52">IFERROR(IF(LEFT(M326,2)="13",DATE(RIGHT(M326,4),12,31),IF(EOMONTH(M326,0)&gt;$F$1,"",IF(MONTH(M326)=11,"13º "&amp;YEAR(M326),EOMONTH(M326,1)))),"")</f>
        <v>46691</v>
      </c>
      <c r="N327" s="37">
        <f t="shared" ca="1" si="47"/>
        <v>0</v>
      </c>
      <c r="O327" s="4">
        <f ca="1">IFERROR(AVERAGEIF(N$5:$N327,"&gt;="&amp;_xlfn.PERCENTILE.EXC(N$5:$N327,0.2)),0)</f>
        <v>0</v>
      </c>
      <c r="Q327" s="21">
        <f t="shared" ref="Q327:Q390" ca="1" si="53">IFERROR(IF(LEFT(Q326,2)="13",DATE(RIGHT(Q326,4),12,31),IF(EOMONTH(Q326,0)&gt;$F$1,"",IF(MONTH(Q326)=11,"13º "&amp;YEAR(Q326),EOMONTH(Q326,1)))),"")</f>
        <v>46691</v>
      </c>
      <c r="R327" s="37">
        <f t="shared" ca="1" si="48"/>
        <v>0</v>
      </c>
      <c r="S327" s="4">
        <f ca="1">IFERROR(AVERAGE($R$5:R327),0)</f>
        <v>0</v>
      </c>
      <c r="U327" s="21">
        <f t="shared" ca="1" si="49"/>
        <v>46691</v>
      </c>
      <c r="V327" s="4">
        <f ca="1">MIN(S327,PREMISSAS!$C$14)</f>
        <v>0</v>
      </c>
      <c r="W327" s="188"/>
      <c r="X327" s="188"/>
    </row>
    <row r="328" spans="2:24" x14ac:dyDescent="0.3">
      <c r="B328" s="21" t="str">
        <f t="shared" ca="1" si="50"/>
        <v/>
      </c>
      <c r="C328" s="22" t="str">
        <f ca="1">IF(B328="","",IF(LEFT(B328,2)="13",C327,IF(MONTH(B328)=1,C327*(1+PREMISSAS!$C$58),C327)))</f>
        <v/>
      </c>
      <c r="E328" s="18">
        <v>324</v>
      </c>
      <c r="F328" s="21">
        <f t="shared" ca="1" si="51"/>
        <v>46721</v>
      </c>
      <c r="G328" s="22">
        <f ca="1">IFERROR(VLOOKUP(F328,RESULTADOS!$O$5:$P$543,2,FALSE),VLOOKUP(F328,$B$5:$C$842,2,FALSE))</f>
        <v>0</v>
      </c>
      <c r="H328" s="4">
        <f ca="1">IF(F328&lt;PREMISSAS!$D$7,0,IFERROR(VLOOKUP(IF(LEFT(F328,2)="13",DATE(YEAR(F327),12,31),F328),IPCA!$A:$D,4,FALSE),1)*G328)</f>
        <v>0</v>
      </c>
      <c r="J328" s="21">
        <f t="shared" ca="1" si="45"/>
        <v>46721</v>
      </c>
      <c r="K328" s="4">
        <f t="shared" ca="1" si="46"/>
        <v>0</v>
      </c>
      <c r="M328" s="21">
        <f t="shared" ca="1" si="52"/>
        <v>46721</v>
      </c>
      <c r="N328" s="37">
        <f t="shared" ca="1" si="47"/>
        <v>0</v>
      </c>
      <c r="O328" s="4">
        <f ca="1">IFERROR(AVERAGEIF(N$5:$N328,"&gt;="&amp;_xlfn.PERCENTILE.EXC(N$5:$N328,0.2)),0)</f>
        <v>0</v>
      </c>
      <c r="Q328" s="21">
        <f t="shared" ca="1" si="53"/>
        <v>46721</v>
      </c>
      <c r="R328" s="37">
        <f t="shared" ca="1" si="48"/>
        <v>0</v>
      </c>
      <c r="S328" s="4">
        <f ca="1">IFERROR(AVERAGE($R$5:R328),0)</f>
        <v>0</v>
      </c>
      <c r="U328" s="21">
        <f t="shared" ca="1" si="49"/>
        <v>46721</v>
      </c>
      <c r="V328" s="4">
        <f ca="1">MIN(S328,PREMISSAS!$C$14)</f>
        <v>0</v>
      </c>
      <c r="W328" s="188"/>
      <c r="X328" s="188"/>
    </row>
    <row r="329" spans="2:24" x14ac:dyDescent="0.3">
      <c r="B329" s="21" t="str">
        <f t="shared" ca="1" si="50"/>
        <v/>
      </c>
      <c r="C329" s="22" t="str">
        <f ca="1">IF(B329="","",IF(LEFT(B329,2)="13",C328,IF(MONTH(B329)=1,C328*(1+PREMISSAS!$C$58),C328)))</f>
        <v/>
      </c>
      <c r="E329" s="18">
        <v>325</v>
      </c>
      <c r="F329" s="21" t="str">
        <f t="shared" ca="1" si="51"/>
        <v>13º 2027</v>
      </c>
      <c r="G329" s="22">
        <f ca="1">IFERROR(VLOOKUP(F329,RESULTADOS!$O$5:$P$543,2,FALSE),VLOOKUP(F329,$B$5:$C$842,2,FALSE))</f>
        <v>0</v>
      </c>
      <c r="H329" s="4">
        <f ca="1">IF(F329&lt;PREMISSAS!$D$7,0,IFERROR(VLOOKUP(IF(LEFT(F329,2)="13",DATE(YEAR(F328),12,31),F329),IPCA!$A:$D,4,FALSE),1)*G329)</f>
        <v>0</v>
      </c>
      <c r="J329" s="21" t="str">
        <f t="shared" ca="1" si="45"/>
        <v>13º 2027</v>
      </c>
      <c r="K329" s="4">
        <f t="shared" ca="1" si="46"/>
        <v>0</v>
      </c>
      <c r="M329" s="21" t="str">
        <f t="shared" ca="1" si="52"/>
        <v>13º 2027</v>
      </c>
      <c r="N329" s="37">
        <f t="shared" ca="1" si="47"/>
        <v>0</v>
      </c>
      <c r="O329" s="4">
        <f ca="1">IFERROR(AVERAGEIF(N$5:$N329,"&gt;="&amp;_xlfn.PERCENTILE.EXC(N$5:$N329,0.2)),0)</f>
        <v>0</v>
      </c>
      <c r="Q329" s="21" t="str">
        <f t="shared" ca="1" si="53"/>
        <v>13º 2027</v>
      </c>
      <c r="R329" s="37">
        <f t="shared" ca="1" si="48"/>
        <v>0</v>
      </c>
      <c r="S329" s="4">
        <f ca="1">IFERROR(AVERAGE($R$5:R329),0)</f>
        <v>0</v>
      </c>
      <c r="U329" s="21" t="str">
        <f t="shared" ca="1" si="49"/>
        <v>13º 2027</v>
      </c>
      <c r="V329" s="4">
        <f ca="1">MIN(S329,PREMISSAS!$C$14)</f>
        <v>0</v>
      </c>
      <c r="W329" s="188"/>
      <c r="X329" s="188"/>
    </row>
    <row r="330" spans="2:24" x14ac:dyDescent="0.3">
      <c r="B330" s="21" t="str">
        <f t="shared" ca="1" si="50"/>
        <v/>
      </c>
      <c r="C330" s="22" t="str">
        <f ca="1">IF(B330="","",IF(LEFT(B330,2)="13",C329,IF(MONTH(B330)=1,C329*(1+PREMISSAS!$C$58),C329)))</f>
        <v/>
      </c>
      <c r="E330" s="18">
        <v>326</v>
      </c>
      <c r="F330" s="21">
        <f t="shared" ca="1" si="51"/>
        <v>46752</v>
      </c>
      <c r="G330" s="22">
        <f ca="1">IFERROR(VLOOKUP(F330,RESULTADOS!$O$5:$P$543,2,FALSE),VLOOKUP(F330,$B$5:$C$842,2,FALSE))</f>
        <v>0</v>
      </c>
      <c r="H330" s="4">
        <f ca="1">IF(F330&lt;PREMISSAS!$D$7,0,IFERROR(VLOOKUP(IF(LEFT(F330,2)="13",DATE(YEAR(F329),12,31),F330),IPCA!$A:$D,4,FALSE),1)*G330)</f>
        <v>0</v>
      </c>
      <c r="J330" s="21">
        <f t="shared" ca="1" si="45"/>
        <v>46752</v>
      </c>
      <c r="K330" s="4">
        <f t="shared" ca="1" si="46"/>
        <v>0</v>
      </c>
      <c r="M330" s="21">
        <f t="shared" ca="1" si="52"/>
        <v>46752</v>
      </c>
      <c r="N330" s="37">
        <f t="shared" ca="1" si="47"/>
        <v>0</v>
      </c>
      <c r="O330" s="4">
        <f ca="1">IFERROR(AVERAGEIF(N$5:$N330,"&gt;="&amp;_xlfn.PERCENTILE.EXC(N$5:$N330,0.2)),0)</f>
        <v>0</v>
      </c>
      <c r="Q330" s="21">
        <f t="shared" ca="1" si="53"/>
        <v>46752</v>
      </c>
      <c r="R330" s="37">
        <f t="shared" ca="1" si="48"/>
        <v>0</v>
      </c>
      <c r="S330" s="4">
        <f ca="1">IFERROR(AVERAGE($R$5:R330),0)</f>
        <v>0</v>
      </c>
      <c r="U330" s="21">
        <f t="shared" ca="1" si="49"/>
        <v>46752</v>
      </c>
      <c r="V330" s="4">
        <f ca="1">MIN(S330,PREMISSAS!$C$14)</f>
        <v>0</v>
      </c>
      <c r="W330" s="188"/>
      <c r="X330" s="188"/>
    </row>
    <row r="331" spans="2:24" x14ac:dyDescent="0.3">
      <c r="B331" s="21" t="str">
        <f t="shared" ca="1" si="50"/>
        <v/>
      </c>
      <c r="C331" s="22" t="str">
        <f ca="1">IF(B331="","",IF(LEFT(B331,2)="13",C330,IF(MONTH(B331)=1,C330*(1+PREMISSAS!$C$58),C330)))</f>
        <v/>
      </c>
      <c r="E331" s="18">
        <v>327</v>
      </c>
      <c r="F331" s="21">
        <f t="shared" ca="1" si="51"/>
        <v>46783</v>
      </c>
      <c r="G331" s="22">
        <f ca="1">IFERROR(VLOOKUP(F331,RESULTADOS!$O$5:$P$543,2,FALSE),VLOOKUP(F331,$B$5:$C$842,2,FALSE))</f>
        <v>0</v>
      </c>
      <c r="H331" s="4">
        <f ca="1">IF(F331&lt;PREMISSAS!$D$7,0,IFERROR(VLOOKUP(IF(LEFT(F331,2)="13",DATE(YEAR(F330),12,31),F331),IPCA!$A:$D,4,FALSE),1)*G331)</f>
        <v>0</v>
      </c>
      <c r="J331" s="21">
        <f t="shared" ca="1" si="45"/>
        <v>46783</v>
      </c>
      <c r="K331" s="4">
        <f t="shared" ca="1" si="46"/>
        <v>0</v>
      </c>
      <c r="M331" s="21">
        <f t="shared" ca="1" si="52"/>
        <v>46783</v>
      </c>
      <c r="N331" s="37">
        <f t="shared" ca="1" si="47"/>
        <v>0</v>
      </c>
      <c r="O331" s="4">
        <f ca="1">IFERROR(AVERAGEIF(N$5:$N331,"&gt;="&amp;_xlfn.PERCENTILE.EXC(N$5:$N331,0.2)),0)</f>
        <v>0</v>
      </c>
      <c r="Q331" s="21">
        <f t="shared" ca="1" si="53"/>
        <v>46783</v>
      </c>
      <c r="R331" s="37">
        <f t="shared" ca="1" si="48"/>
        <v>0</v>
      </c>
      <c r="S331" s="4">
        <f ca="1">IFERROR(AVERAGE($R$5:R331),0)</f>
        <v>0</v>
      </c>
      <c r="U331" s="21">
        <f t="shared" ca="1" si="49"/>
        <v>46783</v>
      </c>
      <c r="V331" s="4">
        <f ca="1">MIN(S331,PREMISSAS!$C$14)</f>
        <v>0</v>
      </c>
      <c r="W331" s="188"/>
      <c r="X331" s="188"/>
    </row>
    <row r="332" spans="2:24" x14ac:dyDescent="0.3">
      <c r="B332" s="21" t="str">
        <f t="shared" ca="1" si="50"/>
        <v/>
      </c>
      <c r="C332" s="22" t="str">
        <f ca="1">IF(B332="","",IF(LEFT(B332,2)="13",C331,IF(MONTH(B332)=1,C331*(1+PREMISSAS!$C$58),C331)))</f>
        <v/>
      </c>
      <c r="E332" s="18">
        <v>328</v>
      </c>
      <c r="F332" s="21">
        <f t="shared" ca="1" si="51"/>
        <v>46812</v>
      </c>
      <c r="G332" s="22">
        <f ca="1">IFERROR(VLOOKUP(F332,RESULTADOS!$O$5:$P$543,2,FALSE),VLOOKUP(F332,$B$5:$C$842,2,FALSE))</f>
        <v>0</v>
      </c>
      <c r="H332" s="4">
        <f ca="1">IF(F332&lt;PREMISSAS!$D$7,0,IFERROR(VLOOKUP(IF(LEFT(F332,2)="13",DATE(YEAR(F331),12,31),F332),IPCA!$A:$D,4,FALSE),1)*G332)</f>
        <v>0</v>
      </c>
      <c r="J332" s="21">
        <f t="shared" ca="1" si="45"/>
        <v>46812</v>
      </c>
      <c r="K332" s="4">
        <f t="shared" ca="1" si="46"/>
        <v>0</v>
      </c>
      <c r="M332" s="21">
        <f t="shared" ca="1" si="52"/>
        <v>46812</v>
      </c>
      <c r="N332" s="37">
        <f t="shared" ca="1" si="47"/>
        <v>0</v>
      </c>
      <c r="O332" s="4">
        <f ca="1">IFERROR(AVERAGEIF(N$5:$N332,"&gt;="&amp;_xlfn.PERCENTILE.EXC(N$5:$N332,0.2)),0)</f>
        <v>0</v>
      </c>
      <c r="Q332" s="21">
        <f t="shared" ca="1" si="53"/>
        <v>46812</v>
      </c>
      <c r="R332" s="37">
        <f t="shared" ca="1" si="48"/>
        <v>0</v>
      </c>
      <c r="S332" s="4">
        <f ca="1">IFERROR(AVERAGE($R$5:R332),0)</f>
        <v>0</v>
      </c>
      <c r="U332" s="21">
        <f t="shared" ca="1" si="49"/>
        <v>46812</v>
      </c>
      <c r="V332" s="4">
        <f ca="1">MIN(S332,PREMISSAS!$C$14)</f>
        <v>0</v>
      </c>
      <c r="W332" s="188"/>
      <c r="X332" s="188"/>
    </row>
    <row r="333" spans="2:24" x14ac:dyDescent="0.3">
      <c r="B333" s="21" t="str">
        <f t="shared" ca="1" si="50"/>
        <v/>
      </c>
      <c r="C333" s="22" t="str">
        <f ca="1">IF(B333="","",IF(LEFT(B333,2)="13",C332,IF(MONTH(B333)=1,C332*(1+PREMISSAS!$C$58),C332)))</f>
        <v/>
      </c>
      <c r="E333" s="18">
        <v>329</v>
      </c>
      <c r="F333" s="21">
        <f t="shared" ca="1" si="51"/>
        <v>46843</v>
      </c>
      <c r="G333" s="22">
        <f ca="1">IFERROR(VLOOKUP(F333,RESULTADOS!$O$5:$P$543,2,FALSE),VLOOKUP(F333,$B$5:$C$842,2,FALSE))</f>
        <v>0</v>
      </c>
      <c r="H333" s="4">
        <f ca="1">IF(F333&lt;PREMISSAS!$D$7,0,IFERROR(VLOOKUP(IF(LEFT(F333,2)="13",DATE(YEAR(F332),12,31),F333),IPCA!$A:$D,4,FALSE),1)*G333)</f>
        <v>0</v>
      </c>
      <c r="J333" s="21">
        <f t="shared" ca="1" si="45"/>
        <v>46843</v>
      </c>
      <c r="K333" s="4">
        <f t="shared" ca="1" si="46"/>
        <v>0</v>
      </c>
      <c r="M333" s="21">
        <f t="shared" ca="1" si="52"/>
        <v>46843</v>
      </c>
      <c r="N333" s="37">
        <f t="shared" ca="1" si="47"/>
        <v>0</v>
      </c>
      <c r="O333" s="4">
        <f ca="1">IFERROR(AVERAGEIF(N$5:$N333,"&gt;="&amp;_xlfn.PERCENTILE.EXC(N$5:$N333,0.2)),0)</f>
        <v>0</v>
      </c>
      <c r="Q333" s="21">
        <f t="shared" ca="1" si="53"/>
        <v>46843</v>
      </c>
      <c r="R333" s="37">
        <f t="shared" ca="1" si="48"/>
        <v>0</v>
      </c>
      <c r="S333" s="4">
        <f ca="1">IFERROR(AVERAGE($R$5:R333),0)</f>
        <v>0</v>
      </c>
      <c r="U333" s="21">
        <f t="shared" ca="1" si="49"/>
        <v>46843</v>
      </c>
      <c r="V333" s="4">
        <f ca="1">MIN(S333,PREMISSAS!$C$14)</f>
        <v>0</v>
      </c>
      <c r="W333" s="188"/>
      <c r="X333" s="188"/>
    </row>
    <row r="334" spans="2:24" x14ac:dyDescent="0.3">
      <c r="B334" s="21" t="str">
        <f t="shared" ca="1" si="50"/>
        <v/>
      </c>
      <c r="C334" s="22" t="str">
        <f ca="1">IF(B334="","",IF(LEFT(B334,2)="13",C333,IF(MONTH(B334)=1,C333*(1+PREMISSAS!$C$58),C333)))</f>
        <v/>
      </c>
      <c r="E334" s="18">
        <v>330</v>
      </c>
      <c r="F334" s="21">
        <f t="shared" ca="1" si="51"/>
        <v>46873</v>
      </c>
      <c r="G334" s="22">
        <f ca="1">IFERROR(VLOOKUP(F334,RESULTADOS!$O$5:$P$543,2,FALSE),VLOOKUP(F334,$B$5:$C$842,2,FALSE))</f>
        <v>0</v>
      </c>
      <c r="H334" s="4">
        <f ca="1">IF(F334&lt;PREMISSAS!$D$7,0,IFERROR(VLOOKUP(IF(LEFT(F334,2)="13",DATE(YEAR(F333),12,31),F334),IPCA!$A:$D,4,FALSE),1)*G334)</f>
        <v>0</v>
      </c>
      <c r="J334" s="21">
        <f t="shared" ca="1" si="45"/>
        <v>46873</v>
      </c>
      <c r="K334" s="4">
        <f t="shared" ca="1" si="46"/>
        <v>0</v>
      </c>
      <c r="M334" s="21">
        <f t="shared" ca="1" si="52"/>
        <v>46873</v>
      </c>
      <c r="N334" s="37">
        <f t="shared" ca="1" si="47"/>
        <v>0</v>
      </c>
      <c r="O334" s="4">
        <f ca="1">IFERROR(AVERAGEIF(N$5:$N334,"&gt;="&amp;_xlfn.PERCENTILE.EXC(N$5:$N334,0.2)),0)</f>
        <v>0</v>
      </c>
      <c r="Q334" s="21">
        <f t="shared" ca="1" si="53"/>
        <v>46873</v>
      </c>
      <c r="R334" s="37">
        <f t="shared" ca="1" si="48"/>
        <v>0</v>
      </c>
      <c r="S334" s="4">
        <f ca="1">IFERROR(AVERAGE($R$5:R334),0)</f>
        <v>0</v>
      </c>
      <c r="U334" s="21">
        <f t="shared" ca="1" si="49"/>
        <v>46873</v>
      </c>
      <c r="V334" s="4">
        <f ca="1">MIN(S334,PREMISSAS!$C$14)</f>
        <v>0</v>
      </c>
      <c r="W334" s="188"/>
      <c r="X334" s="188"/>
    </row>
    <row r="335" spans="2:24" x14ac:dyDescent="0.3">
      <c r="B335" s="21" t="str">
        <f t="shared" ca="1" si="50"/>
        <v/>
      </c>
      <c r="C335" s="22" t="str">
        <f ca="1">IF(B335="","",IF(LEFT(B335,2)="13",C334,IF(MONTH(B335)=1,C334*(1+PREMISSAS!$C$58),C334)))</f>
        <v/>
      </c>
      <c r="E335" s="18">
        <v>331</v>
      </c>
      <c r="F335" s="21">
        <f t="shared" ca="1" si="51"/>
        <v>46904</v>
      </c>
      <c r="G335" s="22">
        <f ca="1">IFERROR(VLOOKUP(F335,RESULTADOS!$O$5:$P$543,2,FALSE),VLOOKUP(F335,$B$5:$C$842,2,FALSE))</f>
        <v>0</v>
      </c>
      <c r="H335" s="4">
        <f ca="1">IF(F335&lt;PREMISSAS!$D$7,0,IFERROR(VLOOKUP(IF(LEFT(F335,2)="13",DATE(YEAR(F334),12,31),F335),IPCA!$A:$D,4,FALSE),1)*G335)</f>
        <v>0</v>
      </c>
      <c r="J335" s="21">
        <f t="shared" ca="1" si="45"/>
        <v>46904</v>
      </c>
      <c r="K335" s="4">
        <f t="shared" ca="1" si="46"/>
        <v>0</v>
      </c>
      <c r="M335" s="21">
        <f t="shared" ca="1" si="52"/>
        <v>46904</v>
      </c>
      <c r="N335" s="37">
        <f t="shared" ca="1" si="47"/>
        <v>0</v>
      </c>
      <c r="O335" s="4">
        <f ca="1">IFERROR(AVERAGEIF(N$5:$N335,"&gt;="&amp;_xlfn.PERCENTILE.EXC(N$5:$N335,0.2)),0)</f>
        <v>0</v>
      </c>
      <c r="Q335" s="21">
        <f t="shared" ca="1" si="53"/>
        <v>46904</v>
      </c>
      <c r="R335" s="37">
        <f t="shared" ca="1" si="48"/>
        <v>0</v>
      </c>
      <c r="S335" s="4">
        <f ca="1">IFERROR(AVERAGE($R$5:R335),0)</f>
        <v>0</v>
      </c>
      <c r="U335" s="21">
        <f t="shared" ca="1" si="49"/>
        <v>46904</v>
      </c>
      <c r="V335" s="4">
        <f ca="1">MIN(S335,PREMISSAS!$C$14)</f>
        <v>0</v>
      </c>
      <c r="W335" s="188"/>
      <c r="X335" s="188"/>
    </row>
    <row r="336" spans="2:24" x14ac:dyDescent="0.3">
      <c r="B336" s="21" t="str">
        <f t="shared" ca="1" si="50"/>
        <v/>
      </c>
      <c r="C336" s="22" t="str">
        <f ca="1">IF(B336="","",IF(LEFT(B336,2)="13",C335,IF(MONTH(B336)=1,C335*(1+PREMISSAS!$C$58),C335)))</f>
        <v/>
      </c>
      <c r="E336" s="18">
        <v>332</v>
      </c>
      <c r="F336" s="21">
        <f t="shared" ca="1" si="51"/>
        <v>46934</v>
      </c>
      <c r="G336" s="22">
        <f ca="1">IFERROR(VLOOKUP(F336,RESULTADOS!$O$5:$P$543,2,FALSE),VLOOKUP(F336,$B$5:$C$842,2,FALSE))</f>
        <v>0</v>
      </c>
      <c r="H336" s="4">
        <f ca="1">IF(F336&lt;PREMISSAS!$D$7,0,IFERROR(VLOOKUP(IF(LEFT(F336,2)="13",DATE(YEAR(F335),12,31),F336),IPCA!$A:$D,4,FALSE),1)*G336)</f>
        <v>0</v>
      </c>
      <c r="J336" s="21">
        <f t="shared" ca="1" si="45"/>
        <v>46934</v>
      </c>
      <c r="K336" s="4">
        <f t="shared" ca="1" si="46"/>
        <v>0</v>
      </c>
      <c r="M336" s="21">
        <f t="shared" ca="1" si="52"/>
        <v>46934</v>
      </c>
      <c r="N336" s="37">
        <f t="shared" ca="1" si="47"/>
        <v>0</v>
      </c>
      <c r="O336" s="4">
        <f ca="1">IFERROR(AVERAGEIF(N$5:$N336,"&gt;="&amp;_xlfn.PERCENTILE.EXC(N$5:$N336,0.2)),0)</f>
        <v>0</v>
      </c>
      <c r="Q336" s="21">
        <f t="shared" ca="1" si="53"/>
        <v>46934</v>
      </c>
      <c r="R336" s="37">
        <f t="shared" ca="1" si="48"/>
        <v>0</v>
      </c>
      <c r="S336" s="4">
        <f ca="1">IFERROR(AVERAGE($R$5:R336),0)</f>
        <v>0</v>
      </c>
      <c r="U336" s="21">
        <f t="shared" ca="1" si="49"/>
        <v>46934</v>
      </c>
      <c r="V336" s="4">
        <f ca="1">MIN(S336,PREMISSAS!$C$14)</f>
        <v>0</v>
      </c>
      <c r="W336" s="188"/>
      <c r="X336" s="188"/>
    </row>
    <row r="337" spans="2:24" x14ac:dyDescent="0.3">
      <c r="B337" s="21" t="str">
        <f t="shared" ca="1" si="50"/>
        <v/>
      </c>
      <c r="C337" s="22" t="str">
        <f ca="1">IF(B337="","",IF(LEFT(B337,2)="13",C336,IF(MONTH(B337)=1,C336*(1+PREMISSAS!$C$58),C336)))</f>
        <v/>
      </c>
      <c r="E337" s="18">
        <v>333</v>
      </c>
      <c r="F337" s="21">
        <f t="shared" ca="1" si="51"/>
        <v>46965</v>
      </c>
      <c r="G337" s="22">
        <f ca="1">IFERROR(VLOOKUP(F337,RESULTADOS!$O$5:$P$543,2,FALSE),VLOOKUP(F337,$B$5:$C$842,2,FALSE))</f>
        <v>0</v>
      </c>
      <c r="H337" s="4">
        <f ca="1">IF(F337&lt;PREMISSAS!$D$7,0,IFERROR(VLOOKUP(IF(LEFT(F337,2)="13",DATE(YEAR(F336),12,31),F337),IPCA!$A:$D,4,FALSE),1)*G337)</f>
        <v>0</v>
      </c>
      <c r="J337" s="21">
        <f t="shared" ca="1" si="45"/>
        <v>46965</v>
      </c>
      <c r="K337" s="4">
        <f t="shared" ca="1" si="46"/>
        <v>0</v>
      </c>
      <c r="M337" s="21">
        <f t="shared" ca="1" si="52"/>
        <v>46965</v>
      </c>
      <c r="N337" s="37">
        <f t="shared" ca="1" si="47"/>
        <v>0</v>
      </c>
      <c r="O337" s="4">
        <f ca="1">IFERROR(AVERAGEIF(N$5:$N337,"&gt;="&amp;_xlfn.PERCENTILE.EXC(N$5:$N337,0.2)),0)</f>
        <v>0</v>
      </c>
      <c r="Q337" s="21">
        <f t="shared" ca="1" si="53"/>
        <v>46965</v>
      </c>
      <c r="R337" s="37">
        <f t="shared" ca="1" si="48"/>
        <v>0</v>
      </c>
      <c r="S337" s="4">
        <f ca="1">IFERROR(AVERAGE($R$5:R337),0)</f>
        <v>0</v>
      </c>
      <c r="U337" s="21">
        <f t="shared" ca="1" si="49"/>
        <v>46965</v>
      </c>
      <c r="V337" s="4">
        <f ca="1">MIN(S337,PREMISSAS!$C$14)</f>
        <v>0</v>
      </c>
      <c r="W337" s="188"/>
      <c r="X337" s="188"/>
    </row>
    <row r="338" spans="2:24" x14ac:dyDescent="0.3">
      <c r="B338" s="21" t="str">
        <f t="shared" ca="1" si="50"/>
        <v/>
      </c>
      <c r="C338" s="22" t="str">
        <f ca="1">IF(B338="","",IF(LEFT(B338,2)="13",C337,IF(MONTH(B338)=1,C337*(1+PREMISSAS!$C$58),C337)))</f>
        <v/>
      </c>
      <c r="E338" s="18">
        <v>334</v>
      </c>
      <c r="F338" s="21">
        <f t="shared" ca="1" si="51"/>
        <v>46996</v>
      </c>
      <c r="G338" s="22">
        <f ca="1">IFERROR(VLOOKUP(F338,RESULTADOS!$O$5:$P$543,2,FALSE),VLOOKUP(F338,$B$5:$C$842,2,FALSE))</f>
        <v>0</v>
      </c>
      <c r="H338" s="4">
        <f ca="1">IF(F338&lt;PREMISSAS!$D$7,0,IFERROR(VLOOKUP(IF(LEFT(F338,2)="13",DATE(YEAR(F337),12,31),F338),IPCA!$A:$D,4,FALSE),1)*G338)</f>
        <v>0</v>
      </c>
      <c r="J338" s="21">
        <f t="shared" ca="1" si="45"/>
        <v>46996</v>
      </c>
      <c r="K338" s="4">
        <f t="shared" ca="1" si="46"/>
        <v>0</v>
      </c>
      <c r="M338" s="21">
        <f t="shared" ca="1" si="52"/>
        <v>46996</v>
      </c>
      <c r="N338" s="37">
        <f t="shared" ca="1" si="47"/>
        <v>0</v>
      </c>
      <c r="O338" s="4">
        <f ca="1">IFERROR(AVERAGEIF(N$5:$N338,"&gt;="&amp;_xlfn.PERCENTILE.EXC(N$5:$N338,0.2)),0)</f>
        <v>0</v>
      </c>
      <c r="Q338" s="21">
        <f t="shared" ca="1" si="53"/>
        <v>46996</v>
      </c>
      <c r="R338" s="37">
        <f t="shared" ca="1" si="48"/>
        <v>0</v>
      </c>
      <c r="S338" s="4">
        <f ca="1">IFERROR(AVERAGE($R$5:R338),0)</f>
        <v>0</v>
      </c>
      <c r="U338" s="21">
        <f t="shared" ca="1" si="49"/>
        <v>46996</v>
      </c>
      <c r="V338" s="4">
        <f ca="1">MIN(S338,PREMISSAS!$C$14)</f>
        <v>0</v>
      </c>
      <c r="W338" s="188"/>
      <c r="X338" s="188"/>
    </row>
    <row r="339" spans="2:24" x14ac:dyDescent="0.3">
      <c r="B339" s="21" t="str">
        <f t="shared" ca="1" si="50"/>
        <v/>
      </c>
      <c r="C339" s="22" t="str">
        <f ca="1">IF(B339="","",IF(LEFT(B339,2)="13",C338,IF(MONTH(B339)=1,C338*(1+PREMISSAS!$C$58),C338)))</f>
        <v/>
      </c>
      <c r="E339" s="18">
        <v>335</v>
      </c>
      <c r="F339" s="21">
        <f t="shared" ca="1" si="51"/>
        <v>47026</v>
      </c>
      <c r="G339" s="22">
        <f ca="1">IFERROR(VLOOKUP(F339,RESULTADOS!$O$5:$P$543,2,FALSE),VLOOKUP(F339,$B$5:$C$842,2,FALSE))</f>
        <v>0</v>
      </c>
      <c r="H339" s="4">
        <f ca="1">IF(F339&lt;PREMISSAS!$D$7,0,IFERROR(VLOOKUP(IF(LEFT(F339,2)="13",DATE(YEAR(F338),12,31),F339),IPCA!$A:$D,4,FALSE),1)*G339)</f>
        <v>0</v>
      </c>
      <c r="J339" s="21">
        <f t="shared" ca="1" si="45"/>
        <v>47026</v>
      </c>
      <c r="K339" s="4">
        <f t="shared" ca="1" si="46"/>
        <v>0</v>
      </c>
      <c r="M339" s="21">
        <f t="shared" ca="1" si="52"/>
        <v>47026</v>
      </c>
      <c r="N339" s="37">
        <f t="shared" ca="1" si="47"/>
        <v>0</v>
      </c>
      <c r="O339" s="4">
        <f ca="1">IFERROR(AVERAGEIF(N$5:$N339,"&gt;="&amp;_xlfn.PERCENTILE.EXC(N$5:$N339,0.2)),0)</f>
        <v>0</v>
      </c>
      <c r="Q339" s="21">
        <f t="shared" ca="1" si="53"/>
        <v>47026</v>
      </c>
      <c r="R339" s="37">
        <f t="shared" ca="1" si="48"/>
        <v>0</v>
      </c>
      <c r="S339" s="4">
        <f ca="1">IFERROR(AVERAGE($R$5:R339),0)</f>
        <v>0</v>
      </c>
      <c r="U339" s="21">
        <f t="shared" ca="1" si="49"/>
        <v>47026</v>
      </c>
      <c r="V339" s="4">
        <f ca="1">MIN(S339,PREMISSAS!$C$14)</f>
        <v>0</v>
      </c>
      <c r="W339" s="188"/>
      <c r="X339" s="188"/>
    </row>
    <row r="340" spans="2:24" x14ac:dyDescent="0.3">
      <c r="B340" s="21" t="str">
        <f t="shared" ca="1" si="50"/>
        <v/>
      </c>
      <c r="C340" s="22" t="str">
        <f ca="1">IF(B340="","",IF(LEFT(B340,2)="13",C339,IF(MONTH(B340)=1,C339*(1+PREMISSAS!$C$58),C339)))</f>
        <v/>
      </c>
      <c r="E340" s="18">
        <v>336</v>
      </c>
      <c r="F340" s="21">
        <f t="shared" ca="1" si="51"/>
        <v>47057</v>
      </c>
      <c r="G340" s="22">
        <f ca="1">IFERROR(VLOOKUP(F340,RESULTADOS!$O$5:$P$543,2,FALSE),VLOOKUP(F340,$B$5:$C$842,2,FALSE))</f>
        <v>0</v>
      </c>
      <c r="H340" s="4">
        <f ca="1">IF(F340&lt;PREMISSAS!$D$7,0,IFERROR(VLOOKUP(IF(LEFT(F340,2)="13",DATE(YEAR(F339),12,31),F340),IPCA!$A:$D,4,FALSE),1)*G340)</f>
        <v>0</v>
      </c>
      <c r="J340" s="21">
        <f t="shared" ca="1" si="45"/>
        <v>47057</v>
      </c>
      <c r="K340" s="4">
        <f t="shared" ca="1" si="46"/>
        <v>0</v>
      </c>
      <c r="M340" s="21">
        <f t="shared" ca="1" si="52"/>
        <v>47057</v>
      </c>
      <c r="N340" s="37">
        <f t="shared" ca="1" si="47"/>
        <v>0</v>
      </c>
      <c r="O340" s="4">
        <f ca="1">IFERROR(AVERAGEIF(N$5:$N340,"&gt;="&amp;_xlfn.PERCENTILE.EXC(N$5:$N340,0.2)),0)</f>
        <v>0</v>
      </c>
      <c r="Q340" s="21">
        <f t="shared" ca="1" si="53"/>
        <v>47057</v>
      </c>
      <c r="R340" s="37">
        <f t="shared" ca="1" si="48"/>
        <v>0</v>
      </c>
      <c r="S340" s="4">
        <f ca="1">IFERROR(AVERAGE($R$5:R340),0)</f>
        <v>0</v>
      </c>
      <c r="U340" s="21">
        <f t="shared" ca="1" si="49"/>
        <v>47057</v>
      </c>
      <c r="V340" s="4">
        <f ca="1">MIN(S340,PREMISSAS!$C$14)</f>
        <v>0</v>
      </c>
      <c r="W340" s="188"/>
      <c r="X340" s="188"/>
    </row>
    <row r="341" spans="2:24" x14ac:dyDescent="0.3">
      <c r="B341" s="21" t="str">
        <f t="shared" ca="1" si="50"/>
        <v/>
      </c>
      <c r="C341" s="22" t="str">
        <f ca="1">IF(B341="","",IF(LEFT(B341,2)="13",C340,IF(MONTH(B341)=1,C340*(1+PREMISSAS!$C$58),C340)))</f>
        <v/>
      </c>
      <c r="E341" s="18">
        <v>337</v>
      </c>
      <c r="F341" s="21">
        <f t="shared" ca="1" si="51"/>
        <v>47087</v>
      </c>
      <c r="G341" s="22">
        <f ca="1">IFERROR(VLOOKUP(F341,RESULTADOS!$O$5:$P$543,2,FALSE),VLOOKUP(F341,$B$5:$C$842,2,FALSE))</f>
        <v>0</v>
      </c>
      <c r="H341" s="4">
        <f ca="1">IF(F341&lt;PREMISSAS!$D$7,0,IFERROR(VLOOKUP(IF(LEFT(F341,2)="13",DATE(YEAR(F340),12,31),F341),IPCA!$A:$D,4,FALSE),1)*G341)</f>
        <v>0</v>
      </c>
      <c r="J341" s="21">
        <f t="shared" ca="1" si="45"/>
        <v>47087</v>
      </c>
      <c r="K341" s="4">
        <f t="shared" ca="1" si="46"/>
        <v>0</v>
      </c>
      <c r="M341" s="21">
        <f t="shared" ca="1" si="52"/>
        <v>47087</v>
      </c>
      <c r="N341" s="37">
        <f t="shared" ca="1" si="47"/>
        <v>0</v>
      </c>
      <c r="O341" s="4">
        <f ca="1">IFERROR(AVERAGEIF(N$5:$N341,"&gt;="&amp;_xlfn.PERCENTILE.EXC(N$5:$N341,0.2)),0)</f>
        <v>0</v>
      </c>
      <c r="Q341" s="21">
        <f t="shared" ca="1" si="53"/>
        <v>47087</v>
      </c>
      <c r="R341" s="37">
        <f t="shared" ca="1" si="48"/>
        <v>0</v>
      </c>
      <c r="S341" s="4">
        <f ca="1">IFERROR(AVERAGE($R$5:R341),0)</f>
        <v>0</v>
      </c>
      <c r="U341" s="21">
        <f t="shared" ca="1" si="49"/>
        <v>47087</v>
      </c>
      <c r="V341" s="4">
        <f ca="1">MIN(S341,PREMISSAS!$C$14)</f>
        <v>0</v>
      </c>
      <c r="W341" s="188"/>
      <c r="X341" s="188"/>
    </row>
    <row r="342" spans="2:24" x14ac:dyDescent="0.3">
      <c r="B342" s="21" t="str">
        <f t="shared" ca="1" si="50"/>
        <v/>
      </c>
      <c r="C342" s="22" t="str">
        <f ca="1">IF(B342="","",IF(LEFT(B342,2)="13",C341,IF(MONTH(B342)=1,C341*(1+PREMISSAS!$C$58),C341)))</f>
        <v/>
      </c>
      <c r="E342" s="18">
        <v>338</v>
      </c>
      <c r="F342" s="21" t="str">
        <f t="shared" ca="1" si="51"/>
        <v>13º 2028</v>
      </c>
      <c r="G342" s="22">
        <f ca="1">IFERROR(VLOOKUP(F342,RESULTADOS!$O$5:$P$543,2,FALSE),VLOOKUP(F342,$B$5:$C$842,2,FALSE))</f>
        <v>0</v>
      </c>
      <c r="H342" s="4">
        <f ca="1">IF(F342&lt;PREMISSAS!$D$7,0,IFERROR(VLOOKUP(IF(LEFT(F342,2)="13",DATE(YEAR(F341),12,31),F342),IPCA!$A:$D,4,FALSE),1)*G342)</f>
        <v>0</v>
      </c>
      <c r="J342" s="21" t="str">
        <f t="shared" ca="1" si="45"/>
        <v>13º 2028</v>
      </c>
      <c r="K342" s="4">
        <f t="shared" ca="1" si="46"/>
        <v>0</v>
      </c>
      <c r="M342" s="21" t="str">
        <f t="shared" ca="1" si="52"/>
        <v>13º 2028</v>
      </c>
      <c r="N342" s="37">
        <f t="shared" ca="1" si="47"/>
        <v>0</v>
      </c>
      <c r="O342" s="4">
        <f ca="1">IFERROR(AVERAGEIF(N$5:$N342,"&gt;="&amp;_xlfn.PERCENTILE.EXC(N$5:$N342,0.2)),0)</f>
        <v>0</v>
      </c>
      <c r="Q342" s="21" t="str">
        <f t="shared" ca="1" si="53"/>
        <v>13º 2028</v>
      </c>
      <c r="R342" s="37">
        <f t="shared" ca="1" si="48"/>
        <v>0</v>
      </c>
      <c r="S342" s="4">
        <f ca="1">IFERROR(AVERAGE($R$5:R342),0)</f>
        <v>0</v>
      </c>
      <c r="U342" s="21" t="str">
        <f t="shared" ca="1" si="49"/>
        <v>13º 2028</v>
      </c>
      <c r="V342" s="4">
        <f ca="1">MIN(S342,PREMISSAS!$C$14)</f>
        <v>0</v>
      </c>
      <c r="W342" s="188"/>
      <c r="X342" s="188"/>
    </row>
    <row r="343" spans="2:24" x14ac:dyDescent="0.3">
      <c r="B343" s="21" t="str">
        <f t="shared" ca="1" si="50"/>
        <v/>
      </c>
      <c r="C343" s="22" t="str">
        <f ca="1">IF(B343="","",IF(LEFT(B343,2)="13",C342,IF(MONTH(B343)=1,C342*(1+PREMISSAS!$C$58),C342)))</f>
        <v/>
      </c>
      <c r="E343" s="18">
        <v>339</v>
      </c>
      <c r="F343" s="21">
        <f t="shared" ca="1" si="51"/>
        <v>47118</v>
      </c>
      <c r="G343" s="22">
        <f ca="1">IFERROR(VLOOKUP(F343,RESULTADOS!$O$5:$P$543,2,FALSE),VLOOKUP(F343,$B$5:$C$842,2,FALSE))</f>
        <v>0</v>
      </c>
      <c r="H343" s="4">
        <f ca="1">IF(F343&lt;PREMISSAS!$D$7,0,IFERROR(VLOOKUP(IF(LEFT(F343,2)="13",DATE(YEAR(F342),12,31),F343),IPCA!$A:$D,4,FALSE),1)*G343)</f>
        <v>0</v>
      </c>
      <c r="J343" s="21">
        <f t="shared" ca="1" si="45"/>
        <v>47118</v>
      </c>
      <c r="K343" s="4">
        <f t="shared" ca="1" si="46"/>
        <v>0</v>
      </c>
      <c r="M343" s="21">
        <f t="shared" ca="1" si="52"/>
        <v>47118</v>
      </c>
      <c r="N343" s="37">
        <f t="shared" ca="1" si="47"/>
        <v>0</v>
      </c>
      <c r="O343" s="4">
        <f ca="1">IFERROR(AVERAGEIF(N$5:$N343,"&gt;="&amp;_xlfn.PERCENTILE.EXC(N$5:$N343,0.2)),0)</f>
        <v>0</v>
      </c>
      <c r="Q343" s="21">
        <f t="shared" ca="1" si="53"/>
        <v>47118</v>
      </c>
      <c r="R343" s="37">
        <f t="shared" ca="1" si="48"/>
        <v>0</v>
      </c>
      <c r="S343" s="4">
        <f ca="1">IFERROR(AVERAGE($R$5:R343),0)</f>
        <v>0</v>
      </c>
      <c r="U343" s="21">
        <f t="shared" ca="1" si="49"/>
        <v>47118</v>
      </c>
      <c r="V343" s="4">
        <f ca="1">MIN(S343,PREMISSAS!$C$14)</f>
        <v>0</v>
      </c>
      <c r="W343" s="188"/>
      <c r="X343" s="188"/>
    </row>
    <row r="344" spans="2:24" x14ac:dyDescent="0.3">
      <c r="B344" s="21" t="str">
        <f t="shared" ca="1" si="50"/>
        <v/>
      </c>
      <c r="C344" s="22" t="str">
        <f ca="1">IF(B344="","",IF(LEFT(B344,2)="13",C343,IF(MONTH(B344)=1,C343*(1+PREMISSAS!$C$58),C343)))</f>
        <v/>
      </c>
      <c r="E344" s="18">
        <v>340</v>
      </c>
      <c r="F344" s="21">
        <f t="shared" ca="1" si="51"/>
        <v>47149</v>
      </c>
      <c r="G344" s="22">
        <f ca="1">IFERROR(VLOOKUP(F344,RESULTADOS!$O$5:$P$543,2,FALSE),VLOOKUP(F344,$B$5:$C$842,2,FALSE))</f>
        <v>0</v>
      </c>
      <c r="H344" s="4">
        <f ca="1">IF(F344&lt;PREMISSAS!$D$7,0,IFERROR(VLOOKUP(IF(LEFT(F344,2)="13",DATE(YEAR(F343),12,31),F344),IPCA!$A:$D,4,FALSE),1)*G344)</f>
        <v>0</v>
      </c>
      <c r="J344" s="21">
        <f t="shared" ca="1" si="45"/>
        <v>47149</v>
      </c>
      <c r="K344" s="4">
        <f t="shared" ca="1" si="46"/>
        <v>0</v>
      </c>
      <c r="M344" s="21">
        <f t="shared" ca="1" si="52"/>
        <v>47149</v>
      </c>
      <c r="N344" s="37">
        <f t="shared" ca="1" si="47"/>
        <v>0</v>
      </c>
      <c r="O344" s="4">
        <f ca="1">IFERROR(AVERAGEIF(N$5:$N344,"&gt;="&amp;_xlfn.PERCENTILE.EXC(N$5:$N344,0.2)),0)</f>
        <v>0</v>
      </c>
      <c r="Q344" s="21">
        <f t="shared" ca="1" si="53"/>
        <v>47149</v>
      </c>
      <c r="R344" s="37">
        <f t="shared" ca="1" si="48"/>
        <v>0</v>
      </c>
      <c r="S344" s="4">
        <f ca="1">IFERROR(AVERAGE($R$5:R344),0)</f>
        <v>0</v>
      </c>
      <c r="U344" s="21">
        <f t="shared" ca="1" si="49"/>
        <v>47149</v>
      </c>
      <c r="V344" s="4">
        <f ca="1">MIN(S344,PREMISSAS!$C$14)</f>
        <v>0</v>
      </c>
      <c r="W344" s="188"/>
      <c r="X344" s="188"/>
    </row>
    <row r="345" spans="2:24" x14ac:dyDescent="0.3">
      <c r="B345" s="21" t="str">
        <f t="shared" ca="1" si="50"/>
        <v/>
      </c>
      <c r="C345" s="22" t="str">
        <f ca="1">IF(B345="","",IF(LEFT(B345,2)="13",C344,IF(MONTH(B345)=1,C344*(1+PREMISSAS!$C$58),C344)))</f>
        <v/>
      </c>
      <c r="E345" s="18">
        <v>341</v>
      </c>
      <c r="F345" s="21">
        <f t="shared" ca="1" si="51"/>
        <v>47177</v>
      </c>
      <c r="G345" s="22">
        <f ca="1">IFERROR(VLOOKUP(F345,RESULTADOS!$O$5:$P$543,2,FALSE),VLOOKUP(F345,$B$5:$C$842,2,FALSE))</f>
        <v>0</v>
      </c>
      <c r="H345" s="4">
        <f ca="1">IF(F345&lt;PREMISSAS!$D$7,0,IFERROR(VLOOKUP(IF(LEFT(F345,2)="13",DATE(YEAR(F344),12,31),F345),IPCA!$A:$D,4,FALSE),1)*G345)</f>
        <v>0</v>
      </c>
      <c r="J345" s="21">
        <f t="shared" ca="1" si="45"/>
        <v>47177</v>
      </c>
      <c r="K345" s="4">
        <f t="shared" ca="1" si="46"/>
        <v>0</v>
      </c>
      <c r="M345" s="21">
        <f t="shared" ca="1" si="52"/>
        <v>47177</v>
      </c>
      <c r="N345" s="37">
        <f t="shared" ca="1" si="47"/>
        <v>0</v>
      </c>
      <c r="O345" s="4">
        <f ca="1">IFERROR(AVERAGEIF(N$5:$N345,"&gt;="&amp;_xlfn.PERCENTILE.EXC(N$5:$N345,0.2)),0)</f>
        <v>0</v>
      </c>
      <c r="Q345" s="21">
        <f t="shared" ca="1" si="53"/>
        <v>47177</v>
      </c>
      <c r="R345" s="37">
        <f t="shared" ca="1" si="48"/>
        <v>0</v>
      </c>
      <c r="S345" s="4">
        <f ca="1">IFERROR(AVERAGE($R$5:R345),0)</f>
        <v>0</v>
      </c>
      <c r="U345" s="21">
        <f t="shared" ca="1" si="49"/>
        <v>47177</v>
      </c>
      <c r="V345" s="4">
        <f ca="1">MIN(S345,PREMISSAS!$C$14)</f>
        <v>0</v>
      </c>
      <c r="W345" s="188"/>
      <c r="X345" s="188"/>
    </row>
    <row r="346" spans="2:24" x14ac:dyDescent="0.3">
      <c r="B346" s="21" t="str">
        <f t="shared" ca="1" si="50"/>
        <v/>
      </c>
      <c r="C346" s="22" t="str">
        <f ca="1">IF(B346="","",IF(LEFT(B346,2)="13",C345,IF(MONTH(B346)=1,C345*(1+PREMISSAS!$C$58),C345)))</f>
        <v/>
      </c>
      <c r="E346" s="18">
        <v>342</v>
      </c>
      <c r="F346" s="21">
        <f t="shared" ca="1" si="51"/>
        <v>47208</v>
      </c>
      <c r="G346" s="22">
        <f ca="1">IFERROR(VLOOKUP(F346,RESULTADOS!$O$5:$P$543,2,FALSE),VLOOKUP(F346,$B$5:$C$842,2,FALSE))</f>
        <v>0</v>
      </c>
      <c r="H346" s="4">
        <f ca="1">IF(F346&lt;PREMISSAS!$D$7,0,IFERROR(VLOOKUP(IF(LEFT(F346,2)="13",DATE(YEAR(F345),12,31),F346),IPCA!$A:$D,4,FALSE),1)*G346)</f>
        <v>0</v>
      </c>
      <c r="J346" s="21">
        <f t="shared" ca="1" si="45"/>
        <v>47208</v>
      </c>
      <c r="K346" s="4">
        <f t="shared" ca="1" si="46"/>
        <v>0</v>
      </c>
      <c r="M346" s="21">
        <f t="shared" ca="1" si="52"/>
        <v>47208</v>
      </c>
      <c r="N346" s="37">
        <f t="shared" ca="1" si="47"/>
        <v>0</v>
      </c>
      <c r="O346" s="4">
        <f ca="1">IFERROR(AVERAGEIF(N$5:$N346,"&gt;="&amp;_xlfn.PERCENTILE.EXC(N$5:$N346,0.2)),0)</f>
        <v>0</v>
      </c>
      <c r="Q346" s="21">
        <f t="shared" ca="1" si="53"/>
        <v>47208</v>
      </c>
      <c r="R346" s="37">
        <f t="shared" ca="1" si="48"/>
        <v>0</v>
      </c>
      <c r="S346" s="4">
        <f ca="1">IFERROR(AVERAGE($R$5:R346),0)</f>
        <v>0</v>
      </c>
      <c r="U346" s="21">
        <f t="shared" ca="1" si="49"/>
        <v>47208</v>
      </c>
      <c r="V346" s="4">
        <f ca="1">MIN(S346,PREMISSAS!$C$14)</f>
        <v>0</v>
      </c>
      <c r="W346" s="188"/>
      <c r="X346" s="188"/>
    </row>
    <row r="347" spans="2:24" x14ac:dyDescent="0.3">
      <c r="B347" s="21" t="str">
        <f t="shared" ca="1" si="50"/>
        <v/>
      </c>
      <c r="C347" s="22" t="str">
        <f ca="1">IF(B347="","",IF(LEFT(B347,2)="13",C346,IF(MONTH(B347)=1,C346*(1+PREMISSAS!$C$58),C346)))</f>
        <v/>
      </c>
      <c r="E347" s="18">
        <v>343</v>
      </c>
      <c r="F347" s="21">
        <f t="shared" ca="1" si="51"/>
        <v>47238</v>
      </c>
      <c r="G347" s="22">
        <f ca="1">IFERROR(VLOOKUP(F347,RESULTADOS!$O$5:$P$543,2,FALSE),VLOOKUP(F347,$B$5:$C$842,2,FALSE))</f>
        <v>0</v>
      </c>
      <c r="H347" s="4">
        <f ca="1">IF(F347&lt;PREMISSAS!$D$7,0,IFERROR(VLOOKUP(IF(LEFT(F347,2)="13",DATE(YEAR(F346),12,31),F347),IPCA!$A:$D,4,FALSE),1)*G347)</f>
        <v>0</v>
      </c>
      <c r="J347" s="21">
        <f t="shared" ca="1" si="45"/>
        <v>47238</v>
      </c>
      <c r="K347" s="4">
        <f t="shared" ca="1" si="46"/>
        <v>0</v>
      </c>
      <c r="M347" s="21">
        <f t="shared" ca="1" si="52"/>
        <v>47238</v>
      </c>
      <c r="N347" s="37">
        <f t="shared" ca="1" si="47"/>
        <v>0</v>
      </c>
      <c r="O347" s="4">
        <f ca="1">IFERROR(AVERAGEIF(N$5:$N347,"&gt;="&amp;_xlfn.PERCENTILE.EXC(N$5:$N347,0.2)),0)</f>
        <v>0</v>
      </c>
      <c r="Q347" s="21">
        <f t="shared" ca="1" si="53"/>
        <v>47238</v>
      </c>
      <c r="R347" s="37">
        <f t="shared" ca="1" si="48"/>
        <v>0</v>
      </c>
      <c r="S347" s="4">
        <f ca="1">IFERROR(AVERAGE($R$5:R347),0)</f>
        <v>0</v>
      </c>
      <c r="U347" s="21">
        <f t="shared" ca="1" si="49"/>
        <v>47238</v>
      </c>
      <c r="V347" s="4">
        <f ca="1">MIN(S347,PREMISSAS!$C$14)</f>
        <v>0</v>
      </c>
      <c r="W347" s="188"/>
      <c r="X347" s="188"/>
    </row>
    <row r="348" spans="2:24" x14ac:dyDescent="0.3">
      <c r="B348" s="21" t="str">
        <f t="shared" ca="1" si="50"/>
        <v/>
      </c>
      <c r="C348" s="22" t="str">
        <f ca="1">IF(B348="","",IF(LEFT(B348,2)="13",C347,IF(MONTH(B348)=1,C347*(1+PREMISSAS!$C$58),C347)))</f>
        <v/>
      </c>
      <c r="E348" s="18">
        <v>344</v>
      </c>
      <c r="F348" s="21">
        <f t="shared" ca="1" si="51"/>
        <v>47269</v>
      </c>
      <c r="G348" s="22">
        <f ca="1">IFERROR(VLOOKUP(F348,RESULTADOS!$O$5:$P$543,2,FALSE),VLOOKUP(F348,$B$5:$C$842,2,FALSE))</f>
        <v>0</v>
      </c>
      <c r="H348" s="4">
        <f ca="1">IF(F348&lt;PREMISSAS!$D$7,0,IFERROR(VLOOKUP(IF(LEFT(F348,2)="13",DATE(YEAR(F347),12,31),F348),IPCA!$A:$D,4,FALSE),1)*G348)</f>
        <v>0</v>
      </c>
      <c r="J348" s="21">
        <f t="shared" ca="1" si="45"/>
        <v>47269</v>
      </c>
      <c r="K348" s="4">
        <f t="shared" ca="1" si="46"/>
        <v>0</v>
      </c>
      <c r="M348" s="21">
        <f t="shared" ca="1" si="52"/>
        <v>47269</v>
      </c>
      <c r="N348" s="37">
        <f t="shared" ca="1" si="47"/>
        <v>0</v>
      </c>
      <c r="O348" s="4">
        <f ca="1">IFERROR(AVERAGEIF(N$5:$N348,"&gt;="&amp;_xlfn.PERCENTILE.EXC(N$5:$N348,0.2)),0)</f>
        <v>0</v>
      </c>
      <c r="Q348" s="21">
        <f t="shared" ca="1" si="53"/>
        <v>47269</v>
      </c>
      <c r="R348" s="37">
        <f t="shared" ca="1" si="48"/>
        <v>0</v>
      </c>
      <c r="S348" s="4">
        <f ca="1">IFERROR(AVERAGE($R$5:R348),0)</f>
        <v>0</v>
      </c>
      <c r="U348" s="21">
        <f t="shared" ca="1" si="49"/>
        <v>47269</v>
      </c>
      <c r="V348" s="4">
        <f ca="1">MIN(S348,PREMISSAS!$C$14)</f>
        <v>0</v>
      </c>
      <c r="W348" s="188"/>
      <c r="X348" s="188"/>
    </row>
    <row r="349" spans="2:24" x14ac:dyDescent="0.3">
      <c r="B349" s="21" t="str">
        <f t="shared" ca="1" si="50"/>
        <v/>
      </c>
      <c r="C349" s="22" t="str">
        <f ca="1">IF(B349="","",IF(LEFT(B349,2)="13",C348,IF(MONTH(B349)=1,C348*(1+PREMISSAS!$C$58),C348)))</f>
        <v/>
      </c>
      <c r="E349" s="18">
        <v>345</v>
      </c>
      <c r="F349" s="21">
        <f t="shared" ca="1" si="51"/>
        <v>47299</v>
      </c>
      <c r="G349" s="22">
        <f ca="1">IFERROR(VLOOKUP(F349,RESULTADOS!$O$5:$P$543,2,FALSE),VLOOKUP(F349,$B$5:$C$842,2,FALSE))</f>
        <v>0</v>
      </c>
      <c r="H349" s="4">
        <f ca="1">IF(F349&lt;PREMISSAS!$D$7,0,IFERROR(VLOOKUP(IF(LEFT(F349,2)="13",DATE(YEAR(F348),12,31),F349),IPCA!$A:$D,4,FALSE),1)*G349)</f>
        <v>0</v>
      </c>
      <c r="J349" s="21">
        <f t="shared" ca="1" si="45"/>
        <v>47299</v>
      </c>
      <c r="K349" s="4">
        <f t="shared" ca="1" si="46"/>
        <v>0</v>
      </c>
      <c r="M349" s="21">
        <f t="shared" ca="1" si="52"/>
        <v>47299</v>
      </c>
      <c r="N349" s="37">
        <f t="shared" ca="1" si="47"/>
        <v>0</v>
      </c>
      <c r="O349" s="4">
        <f ca="1">IFERROR(AVERAGEIF(N$5:$N349,"&gt;="&amp;_xlfn.PERCENTILE.EXC(N$5:$N349,0.2)),0)</f>
        <v>0</v>
      </c>
      <c r="Q349" s="21">
        <f t="shared" ca="1" si="53"/>
        <v>47299</v>
      </c>
      <c r="R349" s="37">
        <f t="shared" ca="1" si="48"/>
        <v>0</v>
      </c>
      <c r="S349" s="4">
        <f ca="1">IFERROR(AVERAGE($R$5:R349),0)</f>
        <v>0</v>
      </c>
      <c r="U349" s="21">
        <f t="shared" ca="1" si="49"/>
        <v>47299</v>
      </c>
      <c r="V349" s="4">
        <f ca="1">MIN(S349,PREMISSAS!$C$14)</f>
        <v>0</v>
      </c>
      <c r="W349" s="188"/>
      <c r="X349" s="188"/>
    </row>
    <row r="350" spans="2:24" x14ac:dyDescent="0.3">
      <c r="B350" s="21" t="str">
        <f t="shared" ca="1" si="50"/>
        <v/>
      </c>
      <c r="C350" s="22" t="str">
        <f ca="1">IF(B350="","",IF(LEFT(B350,2)="13",C349,IF(MONTH(B350)=1,C349*(1+PREMISSAS!$C$58),C349)))</f>
        <v/>
      </c>
      <c r="E350" s="18">
        <v>346</v>
      </c>
      <c r="F350" s="21">
        <f t="shared" ca="1" si="51"/>
        <v>47330</v>
      </c>
      <c r="G350" s="22">
        <f ca="1">IFERROR(VLOOKUP(F350,RESULTADOS!$O$5:$P$543,2,FALSE),VLOOKUP(F350,$B$5:$C$842,2,FALSE))</f>
        <v>0</v>
      </c>
      <c r="H350" s="4">
        <f ca="1">IF(F350&lt;PREMISSAS!$D$7,0,IFERROR(VLOOKUP(IF(LEFT(F350,2)="13",DATE(YEAR(F349),12,31),F350),IPCA!$A:$D,4,FALSE),1)*G350)</f>
        <v>0</v>
      </c>
      <c r="J350" s="21">
        <f t="shared" ca="1" si="45"/>
        <v>47330</v>
      </c>
      <c r="K350" s="4">
        <f t="shared" ca="1" si="46"/>
        <v>0</v>
      </c>
      <c r="M350" s="21">
        <f t="shared" ca="1" si="52"/>
        <v>47330</v>
      </c>
      <c r="N350" s="37">
        <f t="shared" ca="1" si="47"/>
        <v>0</v>
      </c>
      <c r="O350" s="4">
        <f ca="1">IFERROR(AVERAGEIF(N$5:$N350,"&gt;="&amp;_xlfn.PERCENTILE.EXC(N$5:$N350,0.2)),0)</f>
        <v>0</v>
      </c>
      <c r="Q350" s="21">
        <f t="shared" ca="1" si="53"/>
        <v>47330</v>
      </c>
      <c r="R350" s="37">
        <f t="shared" ca="1" si="48"/>
        <v>0</v>
      </c>
      <c r="S350" s="4">
        <f ca="1">IFERROR(AVERAGE($R$5:R350),0)</f>
        <v>0</v>
      </c>
      <c r="U350" s="21">
        <f t="shared" ca="1" si="49"/>
        <v>47330</v>
      </c>
      <c r="V350" s="4">
        <f ca="1">MIN(S350,PREMISSAS!$C$14)</f>
        <v>0</v>
      </c>
      <c r="W350" s="188"/>
      <c r="X350" s="188"/>
    </row>
    <row r="351" spans="2:24" x14ac:dyDescent="0.3">
      <c r="B351" s="21" t="str">
        <f t="shared" ca="1" si="50"/>
        <v/>
      </c>
      <c r="C351" s="22" t="str">
        <f ca="1">IF(B351="","",IF(LEFT(B351,2)="13",C350,IF(MONTH(B351)=1,C350*(1+PREMISSAS!$C$58),C350)))</f>
        <v/>
      </c>
      <c r="E351" s="18">
        <v>347</v>
      </c>
      <c r="F351" s="21">
        <f t="shared" ca="1" si="51"/>
        <v>47361</v>
      </c>
      <c r="G351" s="22">
        <f ca="1">IFERROR(VLOOKUP(F351,RESULTADOS!$O$5:$P$543,2,FALSE),VLOOKUP(F351,$B$5:$C$842,2,FALSE))</f>
        <v>0</v>
      </c>
      <c r="H351" s="4">
        <f ca="1">IF(F351&lt;PREMISSAS!$D$7,0,IFERROR(VLOOKUP(IF(LEFT(F351,2)="13",DATE(YEAR(F350),12,31),F351),IPCA!$A:$D,4,FALSE),1)*G351)</f>
        <v>0</v>
      </c>
      <c r="J351" s="21">
        <f t="shared" ca="1" si="45"/>
        <v>47361</v>
      </c>
      <c r="K351" s="4">
        <f t="shared" ca="1" si="46"/>
        <v>0</v>
      </c>
      <c r="M351" s="21">
        <f t="shared" ca="1" si="52"/>
        <v>47361</v>
      </c>
      <c r="N351" s="37">
        <f t="shared" ca="1" si="47"/>
        <v>0</v>
      </c>
      <c r="O351" s="4">
        <f ca="1">IFERROR(AVERAGEIF(N$5:$N351,"&gt;="&amp;_xlfn.PERCENTILE.EXC(N$5:$N351,0.2)),0)</f>
        <v>0</v>
      </c>
      <c r="Q351" s="21">
        <f t="shared" ca="1" si="53"/>
        <v>47361</v>
      </c>
      <c r="R351" s="37">
        <f t="shared" ca="1" si="48"/>
        <v>0</v>
      </c>
      <c r="S351" s="4">
        <f ca="1">IFERROR(AVERAGE($R$5:R351),0)</f>
        <v>0</v>
      </c>
      <c r="U351" s="21">
        <f t="shared" ca="1" si="49"/>
        <v>47361</v>
      </c>
      <c r="V351" s="4">
        <f ca="1">MIN(S351,PREMISSAS!$C$14)</f>
        <v>0</v>
      </c>
      <c r="W351" s="188"/>
      <c r="X351" s="188"/>
    </row>
    <row r="352" spans="2:24" x14ac:dyDescent="0.3">
      <c r="B352" s="21" t="str">
        <f t="shared" ca="1" si="50"/>
        <v/>
      </c>
      <c r="C352" s="22" t="str">
        <f ca="1">IF(B352="","",IF(LEFT(B352,2)="13",C351,IF(MONTH(B352)=1,C351*(1+PREMISSAS!$C$58),C351)))</f>
        <v/>
      </c>
      <c r="E352" s="18">
        <v>348</v>
      </c>
      <c r="F352" s="21">
        <f t="shared" ca="1" si="51"/>
        <v>47391</v>
      </c>
      <c r="G352" s="22">
        <f ca="1">IFERROR(VLOOKUP(F352,RESULTADOS!$O$5:$P$543,2,FALSE),VLOOKUP(F352,$B$5:$C$842,2,FALSE))</f>
        <v>0</v>
      </c>
      <c r="H352" s="4">
        <f ca="1">IF(F352&lt;PREMISSAS!$D$7,0,IFERROR(VLOOKUP(IF(LEFT(F352,2)="13",DATE(YEAR(F351),12,31),F352),IPCA!$A:$D,4,FALSE),1)*G352)</f>
        <v>0</v>
      </c>
      <c r="J352" s="21">
        <f t="shared" ca="1" si="45"/>
        <v>47391</v>
      </c>
      <c r="K352" s="4">
        <f t="shared" ca="1" si="46"/>
        <v>0</v>
      </c>
      <c r="M352" s="21">
        <f t="shared" ca="1" si="52"/>
        <v>47391</v>
      </c>
      <c r="N352" s="37">
        <f t="shared" ca="1" si="47"/>
        <v>0</v>
      </c>
      <c r="O352" s="4">
        <f ca="1">IFERROR(AVERAGEIF(N$5:$N352,"&gt;="&amp;_xlfn.PERCENTILE.EXC(N$5:$N352,0.2)),0)</f>
        <v>0</v>
      </c>
      <c r="Q352" s="21">
        <f t="shared" ca="1" si="53"/>
        <v>47391</v>
      </c>
      <c r="R352" s="37">
        <f t="shared" ca="1" si="48"/>
        <v>0</v>
      </c>
      <c r="S352" s="4">
        <f ca="1">IFERROR(AVERAGE($R$5:R352),0)</f>
        <v>0</v>
      </c>
      <c r="U352" s="21">
        <f t="shared" ca="1" si="49"/>
        <v>47391</v>
      </c>
      <c r="V352" s="4">
        <f ca="1">MIN(S352,PREMISSAS!$C$14)</f>
        <v>0</v>
      </c>
      <c r="W352" s="188"/>
      <c r="X352" s="188"/>
    </row>
    <row r="353" spans="2:24" x14ac:dyDescent="0.3">
      <c r="B353" s="21" t="str">
        <f t="shared" ca="1" si="50"/>
        <v/>
      </c>
      <c r="C353" s="22" t="str">
        <f ca="1">IF(B353="","",IF(LEFT(B353,2)="13",C352,IF(MONTH(B353)=1,C352*(1+PREMISSAS!$C$58),C352)))</f>
        <v/>
      </c>
      <c r="E353" s="18">
        <v>349</v>
      </c>
      <c r="F353" s="21">
        <f t="shared" ca="1" si="51"/>
        <v>47422</v>
      </c>
      <c r="G353" s="22">
        <f ca="1">IFERROR(VLOOKUP(F353,RESULTADOS!$O$5:$P$543,2,FALSE),VLOOKUP(F353,$B$5:$C$842,2,FALSE))</f>
        <v>0</v>
      </c>
      <c r="H353" s="4">
        <f ca="1">IF(F353&lt;PREMISSAS!$D$7,0,IFERROR(VLOOKUP(IF(LEFT(F353,2)="13",DATE(YEAR(F352),12,31),F353),IPCA!$A:$D,4,FALSE),1)*G353)</f>
        <v>0</v>
      </c>
      <c r="J353" s="21">
        <f t="shared" ca="1" si="45"/>
        <v>47422</v>
      </c>
      <c r="K353" s="4">
        <f t="shared" ca="1" si="46"/>
        <v>0</v>
      </c>
      <c r="M353" s="21">
        <f t="shared" ca="1" si="52"/>
        <v>47422</v>
      </c>
      <c r="N353" s="37">
        <f t="shared" ca="1" si="47"/>
        <v>0</v>
      </c>
      <c r="O353" s="4">
        <f ca="1">IFERROR(AVERAGEIF(N$5:$N353,"&gt;="&amp;_xlfn.PERCENTILE.EXC(N$5:$N353,0.2)),0)</f>
        <v>0</v>
      </c>
      <c r="Q353" s="21">
        <f t="shared" ca="1" si="53"/>
        <v>47422</v>
      </c>
      <c r="R353" s="37">
        <f t="shared" ca="1" si="48"/>
        <v>0</v>
      </c>
      <c r="S353" s="4">
        <f ca="1">IFERROR(AVERAGE($R$5:R353),0)</f>
        <v>0</v>
      </c>
      <c r="U353" s="21">
        <f t="shared" ca="1" si="49"/>
        <v>47422</v>
      </c>
      <c r="V353" s="4">
        <f ca="1">MIN(S353,PREMISSAS!$C$14)</f>
        <v>0</v>
      </c>
      <c r="W353" s="188"/>
      <c r="X353" s="188"/>
    </row>
    <row r="354" spans="2:24" x14ac:dyDescent="0.3">
      <c r="B354" s="21" t="str">
        <f t="shared" ca="1" si="50"/>
        <v/>
      </c>
      <c r="C354" s="22" t="str">
        <f ca="1">IF(B354="","",IF(LEFT(B354,2)="13",C353,IF(MONTH(B354)=1,C353*(1+PREMISSAS!$C$58),C353)))</f>
        <v/>
      </c>
      <c r="E354" s="18">
        <v>350</v>
      </c>
      <c r="F354" s="21">
        <f t="shared" ca="1" si="51"/>
        <v>47452</v>
      </c>
      <c r="G354" s="22">
        <f ca="1">IFERROR(VLOOKUP(F354,RESULTADOS!$O$5:$P$543,2,FALSE),VLOOKUP(F354,$B$5:$C$842,2,FALSE))</f>
        <v>0</v>
      </c>
      <c r="H354" s="4">
        <f ca="1">IF(F354&lt;PREMISSAS!$D$7,0,IFERROR(VLOOKUP(IF(LEFT(F354,2)="13",DATE(YEAR(F353),12,31),F354),IPCA!$A:$D,4,FALSE),1)*G354)</f>
        <v>0</v>
      </c>
      <c r="J354" s="21">
        <f t="shared" ca="1" si="45"/>
        <v>47452</v>
      </c>
      <c r="K354" s="4">
        <f t="shared" ca="1" si="46"/>
        <v>0</v>
      </c>
      <c r="M354" s="21">
        <f t="shared" ca="1" si="52"/>
        <v>47452</v>
      </c>
      <c r="N354" s="37">
        <f t="shared" ca="1" si="47"/>
        <v>0</v>
      </c>
      <c r="O354" s="4">
        <f ca="1">IFERROR(AVERAGEIF(N$5:$N354,"&gt;="&amp;_xlfn.PERCENTILE.EXC(N$5:$N354,0.2)),0)</f>
        <v>0</v>
      </c>
      <c r="Q354" s="21">
        <f t="shared" ca="1" si="53"/>
        <v>47452</v>
      </c>
      <c r="R354" s="37">
        <f t="shared" ca="1" si="48"/>
        <v>0</v>
      </c>
      <c r="S354" s="4">
        <f ca="1">IFERROR(AVERAGE($R$5:R354),0)</f>
        <v>0</v>
      </c>
      <c r="U354" s="21">
        <f t="shared" ca="1" si="49"/>
        <v>47452</v>
      </c>
      <c r="V354" s="4">
        <f ca="1">MIN(S354,PREMISSAS!$C$14)</f>
        <v>0</v>
      </c>
      <c r="W354" s="188"/>
      <c r="X354" s="188"/>
    </row>
    <row r="355" spans="2:24" x14ac:dyDescent="0.3">
      <c r="B355" s="21" t="str">
        <f t="shared" ca="1" si="50"/>
        <v/>
      </c>
      <c r="C355" s="22" t="str">
        <f ca="1">IF(B355="","",IF(LEFT(B355,2)="13",C354,IF(MONTH(B355)=1,C354*(1+PREMISSAS!$C$58),C354)))</f>
        <v/>
      </c>
      <c r="E355" s="18">
        <v>351</v>
      </c>
      <c r="F355" s="21" t="str">
        <f t="shared" ca="1" si="51"/>
        <v>13º 2029</v>
      </c>
      <c r="G355" s="22">
        <f ca="1">IFERROR(VLOOKUP(F355,RESULTADOS!$O$5:$P$543,2,FALSE),VLOOKUP(F355,$B$5:$C$842,2,FALSE))</f>
        <v>0</v>
      </c>
      <c r="H355" s="4">
        <f ca="1">IF(F355&lt;PREMISSAS!$D$7,0,IFERROR(VLOOKUP(IF(LEFT(F355,2)="13",DATE(YEAR(F354),12,31),F355),IPCA!$A:$D,4,FALSE),1)*G355)</f>
        <v>0</v>
      </c>
      <c r="J355" s="21" t="str">
        <f t="shared" ca="1" si="45"/>
        <v>13º 2029</v>
      </c>
      <c r="K355" s="4">
        <f t="shared" ca="1" si="46"/>
        <v>0</v>
      </c>
      <c r="M355" s="21" t="str">
        <f t="shared" ca="1" si="52"/>
        <v>13º 2029</v>
      </c>
      <c r="N355" s="37">
        <f t="shared" ca="1" si="47"/>
        <v>0</v>
      </c>
      <c r="O355" s="4">
        <f ca="1">IFERROR(AVERAGEIF(N$5:$N355,"&gt;="&amp;_xlfn.PERCENTILE.EXC(N$5:$N355,0.2)),0)</f>
        <v>0</v>
      </c>
      <c r="Q355" s="21" t="str">
        <f t="shared" ca="1" si="53"/>
        <v>13º 2029</v>
      </c>
      <c r="R355" s="37">
        <f t="shared" ca="1" si="48"/>
        <v>0</v>
      </c>
      <c r="S355" s="4">
        <f ca="1">IFERROR(AVERAGE($R$5:R355),0)</f>
        <v>0</v>
      </c>
      <c r="U355" s="21" t="str">
        <f t="shared" ca="1" si="49"/>
        <v>13º 2029</v>
      </c>
      <c r="V355" s="4">
        <f ca="1">MIN(S355,PREMISSAS!$C$14)</f>
        <v>0</v>
      </c>
      <c r="W355" s="188"/>
      <c r="X355" s="188"/>
    </row>
    <row r="356" spans="2:24" x14ac:dyDescent="0.3">
      <c r="B356" s="21" t="str">
        <f t="shared" ca="1" si="50"/>
        <v/>
      </c>
      <c r="C356" s="22" t="str">
        <f ca="1">IF(B356="","",IF(LEFT(B356,2)="13",C355,IF(MONTH(B356)=1,C355*(1+PREMISSAS!$C$58),C355)))</f>
        <v/>
      </c>
      <c r="E356" s="18">
        <v>352</v>
      </c>
      <c r="F356" s="21">
        <f t="shared" ca="1" si="51"/>
        <v>47483</v>
      </c>
      <c r="G356" s="22">
        <f ca="1">IFERROR(VLOOKUP(F356,RESULTADOS!$O$5:$P$543,2,FALSE),VLOOKUP(F356,$B$5:$C$842,2,FALSE))</f>
        <v>0</v>
      </c>
      <c r="H356" s="4">
        <f ca="1">IF(F356&lt;PREMISSAS!$D$7,0,IFERROR(VLOOKUP(IF(LEFT(F356,2)="13",DATE(YEAR(F355),12,31),F356),IPCA!$A:$D,4,FALSE),1)*G356)</f>
        <v>0</v>
      </c>
      <c r="J356" s="21">
        <f t="shared" ca="1" si="45"/>
        <v>47483</v>
      </c>
      <c r="K356" s="4">
        <f t="shared" ca="1" si="46"/>
        <v>0</v>
      </c>
      <c r="M356" s="21">
        <f t="shared" ca="1" si="52"/>
        <v>47483</v>
      </c>
      <c r="N356" s="37">
        <f t="shared" ca="1" si="47"/>
        <v>0</v>
      </c>
      <c r="O356" s="4">
        <f ca="1">IFERROR(AVERAGEIF(N$5:$N356,"&gt;="&amp;_xlfn.PERCENTILE.EXC(N$5:$N356,0.2)),0)</f>
        <v>0</v>
      </c>
      <c r="Q356" s="21">
        <f t="shared" ca="1" si="53"/>
        <v>47483</v>
      </c>
      <c r="R356" s="37">
        <f t="shared" ca="1" si="48"/>
        <v>0</v>
      </c>
      <c r="S356" s="4">
        <f ca="1">IFERROR(AVERAGE($R$5:R356),0)</f>
        <v>0</v>
      </c>
      <c r="U356" s="21">
        <f t="shared" ca="1" si="49"/>
        <v>47483</v>
      </c>
      <c r="V356" s="4">
        <f ca="1">MIN(S356,PREMISSAS!$C$14)</f>
        <v>0</v>
      </c>
      <c r="W356" s="188"/>
      <c r="X356" s="188"/>
    </row>
    <row r="357" spans="2:24" x14ac:dyDescent="0.3">
      <c r="B357" s="21" t="str">
        <f t="shared" ca="1" si="50"/>
        <v/>
      </c>
      <c r="C357" s="22" t="str">
        <f ca="1">IF(B357="","",IF(LEFT(B357,2)="13",C356,IF(MONTH(B357)=1,C356*(1+PREMISSAS!$C$58),C356)))</f>
        <v/>
      </c>
      <c r="E357" s="18">
        <v>353</v>
      </c>
      <c r="F357" s="21">
        <f t="shared" ca="1" si="51"/>
        <v>47514</v>
      </c>
      <c r="G357" s="22">
        <f ca="1">IFERROR(VLOOKUP(F357,RESULTADOS!$O$5:$P$543,2,FALSE),VLOOKUP(F357,$B$5:$C$842,2,FALSE))</f>
        <v>0</v>
      </c>
      <c r="H357" s="4">
        <f ca="1">IF(F357&lt;PREMISSAS!$D$7,0,IFERROR(VLOOKUP(IF(LEFT(F357,2)="13",DATE(YEAR(F356),12,31),F357),IPCA!$A:$D,4,FALSE),1)*G357)</f>
        <v>0</v>
      </c>
      <c r="J357" s="21">
        <f t="shared" ca="1" si="45"/>
        <v>47514</v>
      </c>
      <c r="K357" s="4">
        <f t="shared" ca="1" si="46"/>
        <v>0</v>
      </c>
      <c r="M357" s="21">
        <f t="shared" ca="1" si="52"/>
        <v>47514</v>
      </c>
      <c r="N357" s="37">
        <f t="shared" ca="1" si="47"/>
        <v>0</v>
      </c>
      <c r="O357" s="4">
        <f ca="1">IFERROR(AVERAGEIF(N$5:$N357,"&gt;="&amp;_xlfn.PERCENTILE.EXC(N$5:$N357,0.2)),0)</f>
        <v>0</v>
      </c>
      <c r="Q357" s="21">
        <f t="shared" ca="1" si="53"/>
        <v>47514</v>
      </c>
      <c r="R357" s="37">
        <f t="shared" ca="1" si="48"/>
        <v>0</v>
      </c>
      <c r="S357" s="4">
        <f ca="1">IFERROR(AVERAGE($R$5:R357),0)</f>
        <v>0</v>
      </c>
      <c r="U357" s="21">
        <f t="shared" ca="1" si="49"/>
        <v>47514</v>
      </c>
      <c r="V357" s="4">
        <f ca="1">MIN(S357,PREMISSAS!$C$14)</f>
        <v>0</v>
      </c>
      <c r="W357" s="188"/>
      <c r="X357" s="188"/>
    </row>
    <row r="358" spans="2:24" x14ac:dyDescent="0.3">
      <c r="B358" s="21" t="str">
        <f t="shared" ca="1" si="50"/>
        <v/>
      </c>
      <c r="C358" s="22" t="str">
        <f ca="1">IF(B358="","",IF(LEFT(B358,2)="13",C357,IF(MONTH(B358)=1,C357*(1+PREMISSAS!$C$58),C357)))</f>
        <v/>
      </c>
      <c r="E358" s="18">
        <v>354</v>
      </c>
      <c r="F358" s="21">
        <f t="shared" ca="1" si="51"/>
        <v>47542</v>
      </c>
      <c r="G358" s="22">
        <f ca="1">IFERROR(VLOOKUP(F358,RESULTADOS!$O$5:$P$543,2,FALSE),VLOOKUP(F358,$B$5:$C$842,2,FALSE))</f>
        <v>0</v>
      </c>
      <c r="H358" s="4">
        <f ca="1">IF(F358&lt;PREMISSAS!$D$7,0,IFERROR(VLOOKUP(IF(LEFT(F358,2)="13",DATE(YEAR(F357),12,31),F358),IPCA!$A:$D,4,FALSE),1)*G358)</f>
        <v>0</v>
      </c>
      <c r="J358" s="21">
        <f t="shared" ca="1" si="45"/>
        <v>47542</v>
      </c>
      <c r="K358" s="4">
        <f t="shared" ca="1" si="46"/>
        <v>0</v>
      </c>
      <c r="M358" s="21">
        <f t="shared" ca="1" si="52"/>
        <v>47542</v>
      </c>
      <c r="N358" s="37">
        <f t="shared" ca="1" si="47"/>
        <v>0</v>
      </c>
      <c r="O358" s="4">
        <f ca="1">IFERROR(AVERAGEIF(N$5:$N358,"&gt;="&amp;_xlfn.PERCENTILE.EXC(N$5:$N358,0.2)),0)</f>
        <v>0</v>
      </c>
      <c r="Q358" s="21">
        <f t="shared" ca="1" si="53"/>
        <v>47542</v>
      </c>
      <c r="R358" s="37">
        <f t="shared" ca="1" si="48"/>
        <v>0</v>
      </c>
      <c r="S358" s="4">
        <f ca="1">IFERROR(AVERAGE($R$5:R358),0)</f>
        <v>0</v>
      </c>
      <c r="U358" s="21">
        <f t="shared" ca="1" si="49"/>
        <v>47542</v>
      </c>
      <c r="V358" s="4">
        <f ca="1">MIN(S358,PREMISSAS!$C$14)</f>
        <v>0</v>
      </c>
      <c r="W358" s="188"/>
      <c r="X358" s="188"/>
    </row>
    <row r="359" spans="2:24" x14ac:dyDescent="0.3">
      <c r="B359" s="21" t="str">
        <f t="shared" ca="1" si="50"/>
        <v/>
      </c>
      <c r="C359" s="22" t="str">
        <f ca="1">IF(B359="","",IF(LEFT(B359,2)="13",C358,IF(MONTH(B359)=1,C358*(1+PREMISSAS!$C$58),C358)))</f>
        <v/>
      </c>
      <c r="E359" s="18">
        <v>355</v>
      </c>
      <c r="F359" s="21">
        <f t="shared" ca="1" si="51"/>
        <v>47573</v>
      </c>
      <c r="G359" s="22">
        <f ca="1">IFERROR(VLOOKUP(F359,RESULTADOS!$O$5:$P$543,2,FALSE),VLOOKUP(F359,$B$5:$C$842,2,FALSE))</f>
        <v>0</v>
      </c>
      <c r="H359" s="4">
        <f ca="1">IF(F359&lt;PREMISSAS!$D$7,0,IFERROR(VLOOKUP(IF(LEFT(F359,2)="13",DATE(YEAR(F358),12,31),F359),IPCA!$A:$D,4,FALSE),1)*G359)</f>
        <v>0</v>
      </c>
      <c r="J359" s="21">
        <f t="shared" ca="1" si="45"/>
        <v>47573</v>
      </c>
      <c r="K359" s="4">
        <f t="shared" ca="1" si="46"/>
        <v>0</v>
      </c>
      <c r="M359" s="21">
        <f t="shared" ca="1" si="52"/>
        <v>47573</v>
      </c>
      <c r="N359" s="37">
        <f t="shared" ca="1" si="47"/>
        <v>0</v>
      </c>
      <c r="O359" s="4">
        <f ca="1">IFERROR(AVERAGEIF(N$5:$N359,"&gt;="&amp;_xlfn.PERCENTILE.EXC(N$5:$N359,0.2)),0)</f>
        <v>0</v>
      </c>
      <c r="Q359" s="21">
        <f t="shared" ca="1" si="53"/>
        <v>47573</v>
      </c>
      <c r="R359" s="37">
        <f t="shared" ca="1" si="48"/>
        <v>0</v>
      </c>
      <c r="S359" s="4">
        <f ca="1">IFERROR(AVERAGE($R$5:R359),0)</f>
        <v>0</v>
      </c>
      <c r="U359" s="21">
        <f t="shared" ca="1" si="49"/>
        <v>47573</v>
      </c>
      <c r="V359" s="4">
        <f ca="1">MIN(S359,PREMISSAS!$C$14)</f>
        <v>0</v>
      </c>
      <c r="W359" s="188"/>
      <c r="X359" s="188"/>
    </row>
    <row r="360" spans="2:24" x14ac:dyDescent="0.3">
      <c r="B360" s="21" t="str">
        <f t="shared" ca="1" si="50"/>
        <v/>
      </c>
      <c r="C360" s="22" t="str">
        <f ca="1">IF(B360="","",IF(LEFT(B360,2)="13",C359,IF(MONTH(B360)=1,C359*(1+PREMISSAS!$C$58),C359)))</f>
        <v/>
      </c>
      <c r="E360" s="18">
        <v>356</v>
      </c>
      <c r="F360" s="21">
        <f t="shared" ca="1" si="51"/>
        <v>47603</v>
      </c>
      <c r="G360" s="22">
        <f ca="1">IFERROR(VLOOKUP(F360,RESULTADOS!$O$5:$P$543,2,FALSE),VLOOKUP(F360,$B$5:$C$842,2,FALSE))</f>
        <v>0</v>
      </c>
      <c r="H360" s="4">
        <f ca="1">IF(F360&lt;PREMISSAS!$D$7,0,IFERROR(VLOOKUP(IF(LEFT(F360,2)="13",DATE(YEAR(F359),12,31),F360),IPCA!$A:$D,4,FALSE),1)*G360)</f>
        <v>0</v>
      </c>
      <c r="J360" s="21">
        <f t="shared" ca="1" si="45"/>
        <v>47603</v>
      </c>
      <c r="K360" s="4">
        <f t="shared" ca="1" si="46"/>
        <v>0</v>
      </c>
      <c r="M360" s="21">
        <f t="shared" ca="1" si="52"/>
        <v>47603</v>
      </c>
      <c r="N360" s="37">
        <f t="shared" ca="1" si="47"/>
        <v>0</v>
      </c>
      <c r="O360" s="4">
        <f ca="1">IFERROR(AVERAGEIF(N$5:$N360,"&gt;="&amp;_xlfn.PERCENTILE.EXC(N$5:$N360,0.2)),0)</f>
        <v>0</v>
      </c>
      <c r="Q360" s="21">
        <f t="shared" ca="1" si="53"/>
        <v>47603</v>
      </c>
      <c r="R360" s="37">
        <f t="shared" ca="1" si="48"/>
        <v>0</v>
      </c>
      <c r="S360" s="4">
        <f ca="1">IFERROR(AVERAGE($R$5:R360),0)</f>
        <v>0</v>
      </c>
      <c r="U360" s="21">
        <f t="shared" ca="1" si="49"/>
        <v>47603</v>
      </c>
      <c r="V360" s="4">
        <f ca="1">MIN(S360,PREMISSAS!$C$14)</f>
        <v>0</v>
      </c>
      <c r="W360" s="188"/>
      <c r="X360" s="188"/>
    </row>
    <row r="361" spans="2:24" x14ac:dyDescent="0.3">
      <c r="B361" s="21" t="str">
        <f t="shared" ca="1" si="50"/>
        <v/>
      </c>
      <c r="C361" s="22" t="str">
        <f ca="1">IF(B361="","",IF(LEFT(B361,2)="13",C360,IF(MONTH(B361)=1,C360*(1+PREMISSAS!$C$58),C360)))</f>
        <v/>
      </c>
      <c r="E361" s="18">
        <v>357</v>
      </c>
      <c r="F361" s="21">
        <f t="shared" ca="1" si="51"/>
        <v>47634</v>
      </c>
      <c r="G361" s="22">
        <f ca="1">IFERROR(VLOOKUP(F361,RESULTADOS!$O$5:$P$543,2,FALSE),VLOOKUP(F361,$B$5:$C$842,2,FALSE))</f>
        <v>0</v>
      </c>
      <c r="H361" s="4">
        <f ca="1">IF(F361&lt;PREMISSAS!$D$7,0,IFERROR(VLOOKUP(IF(LEFT(F361,2)="13",DATE(YEAR(F360),12,31),F361),IPCA!$A:$D,4,FALSE),1)*G361)</f>
        <v>0</v>
      </c>
      <c r="J361" s="21">
        <f t="shared" ca="1" si="45"/>
        <v>47634</v>
      </c>
      <c r="K361" s="4">
        <f t="shared" ca="1" si="46"/>
        <v>0</v>
      </c>
      <c r="M361" s="21">
        <f t="shared" ca="1" si="52"/>
        <v>47634</v>
      </c>
      <c r="N361" s="37">
        <f t="shared" ca="1" si="47"/>
        <v>0</v>
      </c>
      <c r="O361" s="4">
        <f ca="1">IFERROR(AVERAGEIF(N$5:$N361,"&gt;="&amp;_xlfn.PERCENTILE.EXC(N$5:$N361,0.2)),0)</f>
        <v>0</v>
      </c>
      <c r="Q361" s="21">
        <f t="shared" ca="1" si="53"/>
        <v>47634</v>
      </c>
      <c r="R361" s="37">
        <f t="shared" ca="1" si="48"/>
        <v>0</v>
      </c>
      <c r="S361" s="4">
        <f ca="1">IFERROR(AVERAGE($R$5:R361),0)</f>
        <v>0</v>
      </c>
      <c r="U361" s="21">
        <f t="shared" ca="1" si="49"/>
        <v>47634</v>
      </c>
      <c r="V361" s="4">
        <f ca="1">MIN(S361,PREMISSAS!$C$14)</f>
        <v>0</v>
      </c>
      <c r="W361" s="188"/>
      <c r="X361" s="188"/>
    </row>
    <row r="362" spans="2:24" x14ac:dyDescent="0.3">
      <c r="B362" s="21" t="str">
        <f t="shared" ca="1" si="50"/>
        <v/>
      </c>
      <c r="C362" s="22" t="str">
        <f ca="1">IF(B362="","",IF(LEFT(B362,2)="13",C361,IF(MONTH(B362)=1,C361*(1+PREMISSAS!$C$58),C361)))</f>
        <v/>
      </c>
      <c r="E362" s="18">
        <v>358</v>
      </c>
      <c r="F362" s="21">
        <f t="shared" ca="1" si="51"/>
        <v>47664</v>
      </c>
      <c r="G362" s="22">
        <f ca="1">IFERROR(VLOOKUP(F362,RESULTADOS!$O$5:$P$543,2,FALSE),VLOOKUP(F362,$B$5:$C$842,2,FALSE))</f>
        <v>0</v>
      </c>
      <c r="H362" s="4">
        <f ca="1">IF(F362&lt;PREMISSAS!$D$7,0,IFERROR(VLOOKUP(IF(LEFT(F362,2)="13",DATE(YEAR(F361),12,31),F362),IPCA!$A:$D,4,FALSE),1)*G362)</f>
        <v>0</v>
      </c>
      <c r="J362" s="21">
        <f t="shared" ca="1" si="45"/>
        <v>47664</v>
      </c>
      <c r="K362" s="4">
        <f t="shared" ca="1" si="46"/>
        <v>0</v>
      </c>
      <c r="M362" s="21">
        <f t="shared" ca="1" si="52"/>
        <v>47664</v>
      </c>
      <c r="N362" s="37">
        <f t="shared" ca="1" si="47"/>
        <v>0</v>
      </c>
      <c r="O362" s="4">
        <f ca="1">IFERROR(AVERAGEIF(N$5:$N362,"&gt;="&amp;_xlfn.PERCENTILE.EXC(N$5:$N362,0.2)),0)</f>
        <v>0</v>
      </c>
      <c r="Q362" s="21">
        <f t="shared" ca="1" si="53"/>
        <v>47664</v>
      </c>
      <c r="R362" s="37">
        <f t="shared" ca="1" si="48"/>
        <v>0</v>
      </c>
      <c r="S362" s="4">
        <f ca="1">IFERROR(AVERAGE($R$5:R362),0)</f>
        <v>0</v>
      </c>
      <c r="U362" s="21">
        <f t="shared" ca="1" si="49"/>
        <v>47664</v>
      </c>
      <c r="V362" s="4">
        <f ca="1">MIN(S362,PREMISSAS!$C$14)</f>
        <v>0</v>
      </c>
      <c r="W362" s="188"/>
      <c r="X362" s="188"/>
    </row>
    <row r="363" spans="2:24" x14ac:dyDescent="0.3">
      <c r="B363" s="21" t="str">
        <f t="shared" ca="1" si="50"/>
        <v/>
      </c>
      <c r="C363" s="22" t="str">
        <f ca="1">IF(B363="","",IF(LEFT(B363,2)="13",C362,IF(MONTH(B363)=1,C362*(1+PREMISSAS!$C$58),C362)))</f>
        <v/>
      </c>
      <c r="E363" s="18">
        <v>359</v>
      </c>
      <c r="F363" s="21">
        <f t="shared" ca="1" si="51"/>
        <v>47695</v>
      </c>
      <c r="G363" s="22">
        <f ca="1">IFERROR(VLOOKUP(F363,RESULTADOS!$O$5:$P$543,2,FALSE),VLOOKUP(F363,$B$5:$C$842,2,FALSE))</f>
        <v>0</v>
      </c>
      <c r="H363" s="4">
        <f ca="1">IF(F363&lt;PREMISSAS!$D$7,0,IFERROR(VLOOKUP(IF(LEFT(F363,2)="13",DATE(YEAR(F362),12,31),F363),IPCA!$A:$D,4,FALSE),1)*G363)</f>
        <v>0</v>
      </c>
      <c r="J363" s="21">
        <f t="shared" ca="1" si="45"/>
        <v>47695</v>
      </c>
      <c r="K363" s="4">
        <f t="shared" ca="1" si="46"/>
        <v>0</v>
      </c>
      <c r="M363" s="21">
        <f t="shared" ca="1" si="52"/>
        <v>47695</v>
      </c>
      <c r="N363" s="37">
        <f t="shared" ca="1" si="47"/>
        <v>0</v>
      </c>
      <c r="O363" s="4">
        <f ca="1">IFERROR(AVERAGEIF(N$5:$N363,"&gt;="&amp;_xlfn.PERCENTILE.EXC(N$5:$N363,0.2)),0)</f>
        <v>0</v>
      </c>
      <c r="Q363" s="21">
        <f t="shared" ca="1" si="53"/>
        <v>47695</v>
      </c>
      <c r="R363" s="37">
        <f t="shared" ca="1" si="48"/>
        <v>0</v>
      </c>
      <c r="S363" s="4">
        <f ca="1">IFERROR(AVERAGE($R$5:R363),0)</f>
        <v>0</v>
      </c>
      <c r="U363" s="21">
        <f t="shared" ca="1" si="49"/>
        <v>47695</v>
      </c>
      <c r="V363" s="4">
        <f ca="1">MIN(S363,PREMISSAS!$C$14)</f>
        <v>0</v>
      </c>
      <c r="W363" s="188"/>
      <c r="X363" s="188"/>
    </row>
    <row r="364" spans="2:24" x14ac:dyDescent="0.3">
      <c r="B364" s="21" t="str">
        <f t="shared" ca="1" si="50"/>
        <v/>
      </c>
      <c r="C364" s="22" t="str">
        <f ca="1">IF(B364="","",IF(LEFT(B364,2)="13",C363,IF(MONTH(B364)=1,C363*(1+PREMISSAS!$C$58),C363)))</f>
        <v/>
      </c>
      <c r="E364" s="18">
        <v>360</v>
      </c>
      <c r="F364" s="21">
        <f t="shared" ca="1" si="51"/>
        <v>47726</v>
      </c>
      <c r="G364" s="22">
        <f ca="1">IFERROR(VLOOKUP(F364,RESULTADOS!$O$5:$P$543,2,FALSE),VLOOKUP(F364,$B$5:$C$842,2,FALSE))</f>
        <v>0</v>
      </c>
      <c r="H364" s="4">
        <f ca="1">IF(F364&lt;PREMISSAS!$D$7,0,IFERROR(VLOOKUP(IF(LEFT(F364,2)="13",DATE(YEAR(F363),12,31),F364),IPCA!$A:$D,4,FALSE),1)*G364)</f>
        <v>0</v>
      </c>
      <c r="J364" s="21">
        <f t="shared" ca="1" si="45"/>
        <v>47726</v>
      </c>
      <c r="K364" s="4">
        <f t="shared" ca="1" si="46"/>
        <v>0</v>
      </c>
      <c r="M364" s="21">
        <f t="shared" ca="1" si="52"/>
        <v>47726</v>
      </c>
      <c r="N364" s="37">
        <f t="shared" ca="1" si="47"/>
        <v>0</v>
      </c>
      <c r="O364" s="4">
        <f ca="1">IFERROR(AVERAGEIF(N$5:$N364,"&gt;="&amp;_xlfn.PERCENTILE.EXC(N$5:$N364,0.2)),0)</f>
        <v>0</v>
      </c>
      <c r="Q364" s="21">
        <f t="shared" ca="1" si="53"/>
        <v>47726</v>
      </c>
      <c r="R364" s="37">
        <f t="shared" ca="1" si="48"/>
        <v>0</v>
      </c>
      <c r="S364" s="4">
        <f ca="1">IFERROR(AVERAGE($R$5:R364),0)</f>
        <v>0</v>
      </c>
      <c r="U364" s="21">
        <f t="shared" ca="1" si="49"/>
        <v>47726</v>
      </c>
      <c r="V364" s="4">
        <f ca="1">MIN(S364,PREMISSAS!$C$14)</f>
        <v>0</v>
      </c>
      <c r="W364" s="188"/>
      <c r="X364" s="188"/>
    </row>
    <row r="365" spans="2:24" x14ac:dyDescent="0.3">
      <c r="B365" s="21" t="str">
        <f t="shared" ca="1" si="50"/>
        <v/>
      </c>
      <c r="C365" s="22" t="str">
        <f ca="1">IF(B365="","",IF(LEFT(B365,2)="13",C364,IF(MONTH(B365)=1,C364*(1+PREMISSAS!$C$58),C364)))</f>
        <v/>
      </c>
      <c r="E365" s="18">
        <v>361</v>
      </c>
      <c r="F365" s="21">
        <f t="shared" ca="1" si="51"/>
        <v>47756</v>
      </c>
      <c r="G365" s="22">
        <f ca="1">IFERROR(VLOOKUP(F365,RESULTADOS!$O$5:$P$543,2,FALSE),VLOOKUP(F365,$B$5:$C$842,2,FALSE))</f>
        <v>0</v>
      </c>
      <c r="H365" s="4">
        <f ca="1">IF(F365&lt;PREMISSAS!$D$7,0,IFERROR(VLOOKUP(IF(LEFT(F365,2)="13",DATE(YEAR(F364),12,31),F365),IPCA!$A:$D,4,FALSE),1)*G365)</f>
        <v>0</v>
      </c>
      <c r="J365" s="21">
        <f t="shared" ca="1" si="45"/>
        <v>47756</v>
      </c>
      <c r="K365" s="4">
        <f t="shared" ca="1" si="46"/>
        <v>0</v>
      </c>
      <c r="M365" s="21">
        <f t="shared" ca="1" si="52"/>
        <v>47756</v>
      </c>
      <c r="N365" s="37">
        <f t="shared" ca="1" si="47"/>
        <v>0</v>
      </c>
      <c r="O365" s="4">
        <f ca="1">IFERROR(AVERAGEIF(N$5:$N365,"&gt;="&amp;_xlfn.PERCENTILE.EXC(N$5:$N365,0.2)),0)</f>
        <v>0</v>
      </c>
      <c r="Q365" s="21">
        <f t="shared" ca="1" si="53"/>
        <v>47756</v>
      </c>
      <c r="R365" s="37">
        <f t="shared" ca="1" si="48"/>
        <v>0</v>
      </c>
      <c r="S365" s="4">
        <f ca="1">IFERROR(AVERAGE($R$5:R365),0)</f>
        <v>0</v>
      </c>
      <c r="U365" s="21">
        <f t="shared" ca="1" si="49"/>
        <v>47756</v>
      </c>
      <c r="V365" s="4">
        <f ca="1">MIN(S365,PREMISSAS!$C$14)</f>
        <v>0</v>
      </c>
      <c r="W365" s="188"/>
      <c r="X365" s="188"/>
    </row>
    <row r="366" spans="2:24" x14ac:dyDescent="0.3">
      <c r="B366" s="21" t="str">
        <f t="shared" ca="1" si="50"/>
        <v/>
      </c>
      <c r="C366" s="22" t="str">
        <f ca="1">IF(B366="","",IF(LEFT(B366,2)="13",C365,IF(MONTH(B366)=1,C365*(1+PREMISSAS!$C$58),C365)))</f>
        <v/>
      </c>
      <c r="E366" s="18">
        <v>362</v>
      </c>
      <c r="F366" s="21">
        <f t="shared" ca="1" si="51"/>
        <v>47787</v>
      </c>
      <c r="G366" s="22">
        <f ca="1">IFERROR(VLOOKUP(F366,RESULTADOS!$O$5:$P$543,2,FALSE),VLOOKUP(F366,$B$5:$C$842,2,FALSE))</f>
        <v>0</v>
      </c>
      <c r="H366" s="4">
        <f ca="1">IF(F366&lt;PREMISSAS!$D$7,0,IFERROR(VLOOKUP(IF(LEFT(F366,2)="13",DATE(YEAR(F365),12,31),F366),IPCA!$A:$D,4,FALSE),1)*G366)</f>
        <v>0</v>
      </c>
      <c r="J366" s="21">
        <f t="shared" ca="1" si="45"/>
        <v>47787</v>
      </c>
      <c r="K366" s="4">
        <f t="shared" ca="1" si="46"/>
        <v>0</v>
      </c>
      <c r="M366" s="21">
        <f t="shared" ca="1" si="52"/>
        <v>47787</v>
      </c>
      <c r="N366" s="37">
        <f t="shared" ca="1" si="47"/>
        <v>0</v>
      </c>
      <c r="O366" s="4">
        <f ca="1">IFERROR(AVERAGEIF(N$5:$N366,"&gt;="&amp;_xlfn.PERCENTILE.EXC(N$5:$N366,0.2)),0)</f>
        <v>0</v>
      </c>
      <c r="Q366" s="21">
        <f t="shared" ca="1" si="53"/>
        <v>47787</v>
      </c>
      <c r="R366" s="37">
        <f t="shared" ca="1" si="48"/>
        <v>0</v>
      </c>
      <c r="S366" s="4">
        <f ca="1">IFERROR(AVERAGE($R$5:R366),0)</f>
        <v>0</v>
      </c>
      <c r="U366" s="21">
        <f t="shared" ca="1" si="49"/>
        <v>47787</v>
      </c>
      <c r="V366" s="4">
        <f ca="1">MIN(S366,PREMISSAS!$C$14)</f>
        <v>0</v>
      </c>
      <c r="W366" s="188"/>
      <c r="X366" s="188"/>
    </row>
    <row r="367" spans="2:24" x14ac:dyDescent="0.3">
      <c r="B367" s="21" t="str">
        <f t="shared" ca="1" si="50"/>
        <v/>
      </c>
      <c r="C367" s="22" t="str">
        <f ca="1">IF(B367="","",IF(LEFT(B367,2)="13",C366,IF(MONTH(B367)=1,C366*(1+PREMISSAS!$C$58),C366)))</f>
        <v/>
      </c>
      <c r="E367" s="18">
        <v>363</v>
      </c>
      <c r="F367" s="21">
        <f t="shared" ca="1" si="51"/>
        <v>47817</v>
      </c>
      <c r="G367" s="22">
        <f ca="1">IFERROR(VLOOKUP(F367,RESULTADOS!$O$5:$P$543,2,FALSE),VLOOKUP(F367,$B$5:$C$842,2,FALSE))</f>
        <v>0</v>
      </c>
      <c r="H367" s="4">
        <f ca="1">IF(F367&lt;PREMISSAS!$D$7,0,IFERROR(VLOOKUP(IF(LEFT(F367,2)="13",DATE(YEAR(F366),12,31),F367),IPCA!$A:$D,4,FALSE),1)*G367)</f>
        <v>0</v>
      </c>
      <c r="J367" s="21">
        <f t="shared" ca="1" si="45"/>
        <v>47817</v>
      </c>
      <c r="K367" s="4">
        <f t="shared" ca="1" si="46"/>
        <v>0</v>
      </c>
      <c r="M367" s="21">
        <f t="shared" ca="1" si="52"/>
        <v>47817</v>
      </c>
      <c r="N367" s="37">
        <f t="shared" ca="1" si="47"/>
        <v>0</v>
      </c>
      <c r="O367" s="4">
        <f ca="1">IFERROR(AVERAGEIF(N$5:$N367,"&gt;="&amp;_xlfn.PERCENTILE.EXC(N$5:$N367,0.2)),0)</f>
        <v>0</v>
      </c>
      <c r="Q367" s="21">
        <f t="shared" ca="1" si="53"/>
        <v>47817</v>
      </c>
      <c r="R367" s="37">
        <f t="shared" ca="1" si="48"/>
        <v>0</v>
      </c>
      <c r="S367" s="4">
        <f ca="1">IFERROR(AVERAGE($R$5:R367),0)</f>
        <v>0</v>
      </c>
      <c r="U367" s="21">
        <f t="shared" ca="1" si="49"/>
        <v>47817</v>
      </c>
      <c r="V367" s="4">
        <f ca="1">MIN(S367,PREMISSAS!$C$14)</f>
        <v>0</v>
      </c>
      <c r="W367" s="188"/>
      <c r="X367" s="188"/>
    </row>
    <row r="368" spans="2:24" x14ac:dyDescent="0.3">
      <c r="B368" s="21" t="str">
        <f t="shared" ca="1" si="50"/>
        <v/>
      </c>
      <c r="C368" s="22" t="str">
        <f ca="1">IF(B368="","",IF(LEFT(B368,2)="13",C367,IF(MONTH(B368)=1,C367*(1+PREMISSAS!$C$58),C367)))</f>
        <v/>
      </c>
      <c r="E368" s="18">
        <v>364</v>
      </c>
      <c r="F368" s="21" t="str">
        <f t="shared" ca="1" si="51"/>
        <v>13º 2030</v>
      </c>
      <c r="G368" s="22">
        <f ca="1">IFERROR(VLOOKUP(F368,RESULTADOS!$O$5:$P$543,2,FALSE),VLOOKUP(F368,$B$5:$C$842,2,FALSE))</f>
        <v>0</v>
      </c>
      <c r="H368" s="4">
        <f ca="1">IF(F368&lt;PREMISSAS!$D$7,0,IFERROR(VLOOKUP(IF(LEFT(F368,2)="13",DATE(YEAR(F367),12,31),F368),IPCA!$A:$D,4,FALSE),1)*G368)</f>
        <v>0</v>
      </c>
      <c r="J368" s="21" t="str">
        <f t="shared" ca="1" si="45"/>
        <v>13º 2030</v>
      </c>
      <c r="K368" s="4">
        <f t="shared" ca="1" si="46"/>
        <v>0</v>
      </c>
      <c r="M368" s="21" t="str">
        <f t="shared" ca="1" si="52"/>
        <v>13º 2030</v>
      </c>
      <c r="N368" s="37">
        <f t="shared" ca="1" si="47"/>
        <v>0</v>
      </c>
      <c r="O368" s="4">
        <f ca="1">IFERROR(AVERAGEIF(N$5:$N368,"&gt;="&amp;_xlfn.PERCENTILE.EXC(N$5:$N368,0.2)),0)</f>
        <v>0</v>
      </c>
      <c r="Q368" s="21" t="str">
        <f t="shared" ca="1" si="53"/>
        <v>13º 2030</v>
      </c>
      <c r="R368" s="37">
        <f t="shared" ca="1" si="48"/>
        <v>0</v>
      </c>
      <c r="S368" s="4">
        <f ca="1">IFERROR(AVERAGE($R$5:R368),0)</f>
        <v>0</v>
      </c>
      <c r="U368" s="21" t="str">
        <f t="shared" ca="1" si="49"/>
        <v>13º 2030</v>
      </c>
      <c r="V368" s="4">
        <f ca="1">MIN(S368,PREMISSAS!$C$14)</f>
        <v>0</v>
      </c>
      <c r="W368" s="188"/>
      <c r="X368" s="188"/>
    </row>
    <row r="369" spans="2:24" x14ac:dyDescent="0.3">
      <c r="B369" s="21" t="str">
        <f t="shared" ca="1" si="50"/>
        <v/>
      </c>
      <c r="C369" s="22" t="str">
        <f ca="1">IF(B369="","",IF(LEFT(B369,2)="13",C368,IF(MONTH(B369)=1,C368*(1+PREMISSAS!$C$58),C368)))</f>
        <v/>
      </c>
      <c r="E369" s="18">
        <v>365</v>
      </c>
      <c r="F369" s="21">
        <f t="shared" ca="1" si="51"/>
        <v>47848</v>
      </c>
      <c r="G369" s="22">
        <f ca="1">IFERROR(VLOOKUP(F369,RESULTADOS!$O$5:$P$543,2,FALSE),VLOOKUP(F369,$B$5:$C$842,2,FALSE))</f>
        <v>0</v>
      </c>
      <c r="H369" s="4">
        <f ca="1">IF(F369&lt;PREMISSAS!$D$7,0,IFERROR(VLOOKUP(IF(LEFT(F369,2)="13",DATE(YEAR(F368),12,31),F369),IPCA!$A:$D,4,FALSE),1)*G369)</f>
        <v>0</v>
      </c>
      <c r="J369" s="21">
        <f t="shared" ca="1" si="45"/>
        <v>47848</v>
      </c>
      <c r="K369" s="4">
        <f t="shared" ca="1" si="46"/>
        <v>0</v>
      </c>
      <c r="M369" s="21">
        <f t="shared" ca="1" si="52"/>
        <v>47848</v>
      </c>
      <c r="N369" s="37">
        <f t="shared" ca="1" si="47"/>
        <v>0</v>
      </c>
      <c r="O369" s="4">
        <f ca="1">IFERROR(AVERAGEIF(N$5:$N369,"&gt;="&amp;_xlfn.PERCENTILE.EXC(N$5:$N369,0.2)),0)</f>
        <v>0</v>
      </c>
      <c r="Q369" s="21">
        <f t="shared" ca="1" si="53"/>
        <v>47848</v>
      </c>
      <c r="R369" s="37">
        <f t="shared" ca="1" si="48"/>
        <v>0</v>
      </c>
      <c r="S369" s="4">
        <f ca="1">IFERROR(AVERAGE($R$5:R369),0)</f>
        <v>0</v>
      </c>
      <c r="U369" s="21">
        <f t="shared" ca="1" si="49"/>
        <v>47848</v>
      </c>
      <c r="V369" s="4">
        <f ca="1">MIN(S369,PREMISSAS!$C$14)</f>
        <v>0</v>
      </c>
      <c r="W369" s="188"/>
      <c r="X369" s="188"/>
    </row>
    <row r="370" spans="2:24" x14ac:dyDescent="0.3">
      <c r="B370" s="21" t="str">
        <f t="shared" ca="1" si="50"/>
        <v/>
      </c>
      <c r="C370" s="22" t="str">
        <f ca="1">IF(B370="","",IF(LEFT(B370,2)="13",C369,IF(MONTH(B370)=1,C369*(1+PREMISSAS!$C$58),C369)))</f>
        <v/>
      </c>
      <c r="E370" s="18">
        <v>366</v>
      </c>
      <c r="F370" s="21">
        <f t="shared" ca="1" si="51"/>
        <v>47879</v>
      </c>
      <c r="G370" s="22">
        <f ca="1">IFERROR(VLOOKUP(F370,RESULTADOS!$O$5:$P$543,2,FALSE),VLOOKUP(F370,$B$5:$C$842,2,FALSE))</f>
        <v>0</v>
      </c>
      <c r="H370" s="4">
        <f ca="1">IF(F370&lt;PREMISSAS!$D$7,0,IFERROR(VLOOKUP(IF(LEFT(F370,2)="13",DATE(YEAR(F369),12,31),F370),IPCA!$A:$D,4,FALSE),1)*G370)</f>
        <v>0</v>
      </c>
      <c r="J370" s="21">
        <f t="shared" ca="1" si="45"/>
        <v>47879</v>
      </c>
      <c r="K370" s="4">
        <f t="shared" ca="1" si="46"/>
        <v>0</v>
      </c>
      <c r="M370" s="21">
        <f t="shared" ca="1" si="52"/>
        <v>47879</v>
      </c>
      <c r="N370" s="37">
        <f t="shared" ca="1" si="47"/>
        <v>0</v>
      </c>
      <c r="O370" s="4">
        <f ca="1">IFERROR(AVERAGEIF(N$5:$N370,"&gt;="&amp;_xlfn.PERCENTILE.EXC(N$5:$N370,0.2)),0)</f>
        <v>0</v>
      </c>
      <c r="Q370" s="21">
        <f t="shared" ca="1" si="53"/>
        <v>47879</v>
      </c>
      <c r="R370" s="37">
        <f t="shared" ca="1" si="48"/>
        <v>0</v>
      </c>
      <c r="S370" s="4">
        <f ca="1">IFERROR(AVERAGE($R$5:R370),0)</f>
        <v>0</v>
      </c>
      <c r="U370" s="21">
        <f t="shared" ca="1" si="49"/>
        <v>47879</v>
      </c>
      <c r="V370" s="4">
        <f ca="1">MIN(S370,PREMISSAS!$C$14)</f>
        <v>0</v>
      </c>
      <c r="W370" s="188"/>
      <c r="X370" s="188"/>
    </row>
    <row r="371" spans="2:24" x14ac:dyDescent="0.3">
      <c r="B371" s="21" t="str">
        <f t="shared" ca="1" si="50"/>
        <v/>
      </c>
      <c r="C371" s="22" t="str">
        <f ca="1">IF(B371="","",IF(LEFT(B371,2)="13",C370,IF(MONTH(B371)=1,C370*(1+PREMISSAS!$C$58),C370)))</f>
        <v/>
      </c>
      <c r="E371" s="18">
        <v>367</v>
      </c>
      <c r="F371" s="21">
        <f t="shared" ca="1" si="51"/>
        <v>47907</v>
      </c>
      <c r="G371" s="22">
        <f ca="1">IFERROR(VLOOKUP(F371,RESULTADOS!$O$5:$P$543,2,FALSE),VLOOKUP(F371,$B$5:$C$842,2,FALSE))</f>
        <v>0</v>
      </c>
      <c r="H371" s="4">
        <f ca="1">IF(F371&lt;PREMISSAS!$D$7,0,IFERROR(VLOOKUP(IF(LEFT(F371,2)="13",DATE(YEAR(F370),12,31),F371),IPCA!$A:$D,4,FALSE),1)*G371)</f>
        <v>0</v>
      </c>
      <c r="J371" s="21">
        <f t="shared" ca="1" si="45"/>
        <v>47907</v>
      </c>
      <c r="K371" s="4">
        <f t="shared" ca="1" si="46"/>
        <v>0</v>
      </c>
      <c r="M371" s="21">
        <f t="shared" ca="1" si="52"/>
        <v>47907</v>
      </c>
      <c r="N371" s="37">
        <f t="shared" ca="1" si="47"/>
        <v>0</v>
      </c>
      <c r="O371" s="4">
        <f ca="1">IFERROR(AVERAGEIF(N$5:$N371,"&gt;="&amp;_xlfn.PERCENTILE.EXC(N$5:$N371,0.2)),0)</f>
        <v>0</v>
      </c>
      <c r="Q371" s="21">
        <f t="shared" ca="1" si="53"/>
        <v>47907</v>
      </c>
      <c r="R371" s="37">
        <f t="shared" ca="1" si="48"/>
        <v>0</v>
      </c>
      <c r="S371" s="4">
        <f ca="1">IFERROR(AVERAGE($R$5:R371),0)</f>
        <v>0</v>
      </c>
      <c r="U371" s="21">
        <f t="shared" ca="1" si="49"/>
        <v>47907</v>
      </c>
      <c r="V371" s="4">
        <f ca="1">MIN(S371,PREMISSAS!$C$14)</f>
        <v>0</v>
      </c>
      <c r="W371" s="188"/>
      <c r="X371" s="188"/>
    </row>
    <row r="372" spans="2:24" x14ac:dyDescent="0.3">
      <c r="B372" s="21" t="str">
        <f t="shared" ca="1" si="50"/>
        <v/>
      </c>
      <c r="C372" s="22" t="str">
        <f ca="1">IF(B372="","",IF(LEFT(B372,2)="13",C371,IF(MONTH(B372)=1,C371*(1+PREMISSAS!$C$58),C371)))</f>
        <v/>
      </c>
      <c r="E372" s="18">
        <v>368</v>
      </c>
      <c r="F372" s="21">
        <f t="shared" ca="1" si="51"/>
        <v>47938</v>
      </c>
      <c r="G372" s="22">
        <f ca="1">IFERROR(VLOOKUP(F372,RESULTADOS!$O$5:$P$543,2,FALSE),VLOOKUP(F372,$B$5:$C$842,2,FALSE))</f>
        <v>0</v>
      </c>
      <c r="H372" s="4">
        <f ca="1">IF(F372&lt;PREMISSAS!$D$7,0,IFERROR(VLOOKUP(IF(LEFT(F372,2)="13",DATE(YEAR(F371),12,31),F372),IPCA!$A:$D,4,FALSE),1)*G372)</f>
        <v>0</v>
      </c>
      <c r="J372" s="21">
        <f t="shared" ca="1" si="45"/>
        <v>47938</v>
      </c>
      <c r="K372" s="4">
        <f t="shared" ca="1" si="46"/>
        <v>0</v>
      </c>
      <c r="M372" s="21">
        <f t="shared" ca="1" si="52"/>
        <v>47938</v>
      </c>
      <c r="N372" s="37">
        <f t="shared" ca="1" si="47"/>
        <v>0</v>
      </c>
      <c r="O372" s="4">
        <f ca="1">IFERROR(AVERAGEIF(N$5:$N372,"&gt;="&amp;_xlfn.PERCENTILE.EXC(N$5:$N372,0.2)),0)</f>
        <v>0</v>
      </c>
      <c r="Q372" s="21">
        <f t="shared" ca="1" si="53"/>
        <v>47938</v>
      </c>
      <c r="R372" s="37">
        <f t="shared" ca="1" si="48"/>
        <v>0</v>
      </c>
      <c r="S372" s="4">
        <f ca="1">IFERROR(AVERAGE($R$5:R372),0)</f>
        <v>0</v>
      </c>
      <c r="U372" s="21">
        <f t="shared" ca="1" si="49"/>
        <v>47938</v>
      </c>
      <c r="V372" s="4">
        <f ca="1">MIN(S372,PREMISSAS!$C$14)</f>
        <v>0</v>
      </c>
      <c r="W372" s="188"/>
      <c r="X372" s="188"/>
    </row>
    <row r="373" spans="2:24" x14ac:dyDescent="0.3">
      <c r="B373" s="21" t="str">
        <f t="shared" ca="1" si="50"/>
        <v/>
      </c>
      <c r="C373" s="22" t="str">
        <f ca="1">IF(B373="","",IF(LEFT(B373,2)="13",C372,IF(MONTH(B373)=1,C372*(1+PREMISSAS!$C$58),C372)))</f>
        <v/>
      </c>
      <c r="E373" s="18">
        <v>369</v>
      </c>
      <c r="F373" s="21">
        <f t="shared" ca="1" si="51"/>
        <v>47968</v>
      </c>
      <c r="G373" s="22">
        <f ca="1">IFERROR(VLOOKUP(F373,RESULTADOS!$O$5:$P$543,2,FALSE),VLOOKUP(F373,$B$5:$C$842,2,FALSE))</f>
        <v>0</v>
      </c>
      <c r="H373" s="4">
        <f ca="1">IF(F373&lt;PREMISSAS!$D$7,0,IFERROR(VLOOKUP(IF(LEFT(F373,2)="13",DATE(YEAR(F372),12,31),F373),IPCA!$A:$D,4,FALSE),1)*G373)</f>
        <v>0</v>
      </c>
      <c r="J373" s="21">
        <f t="shared" ca="1" si="45"/>
        <v>47968</v>
      </c>
      <c r="K373" s="4">
        <f t="shared" ca="1" si="46"/>
        <v>0</v>
      </c>
      <c r="M373" s="21">
        <f t="shared" ca="1" si="52"/>
        <v>47968</v>
      </c>
      <c r="N373" s="37">
        <f t="shared" ca="1" si="47"/>
        <v>0</v>
      </c>
      <c r="O373" s="4">
        <f ca="1">IFERROR(AVERAGEIF(N$5:$N373,"&gt;="&amp;_xlfn.PERCENTILE.EXC(N$5:$N373,0.2)),0)</f>
        <v>0</v>
      </c>
      <c r="Q373" s="21">
        <f t="shared" ca="1" si="53"/>
        <v>47968</v>
      </c>
      <c r="R373" s="37">
        <f t="shared" ca="1" si="48"/>
        <v>0</v>
      </c>
      <c r="S373" s="4">
        <f ca="1">IFERROR(AVERAGE($R$5:R373),0)</f>
        <v>0</v>
      </c>
      <c r="U373" s="21">
        <f t="shared" ca="1" si="49"/>
        <v>47968</v>
      </c>
      <c r="V373" s="4">
        <f ca="1">MIN(S373,PREMISSAS!$C$14)</f>
        <v>0</v>
      </c>
      <c r="W373" s="188"/>
      <c r="X373" s="188"/>
    </row>
    <row r="374" spans="2:24" x14ac:dyDescent="0.3">
      <c r="B374" s="21" t="str">
        <f t="shared" ca="1" si="50"/>
        <v/>
      </c>
      <c r="C374" s="22" t="str">
        <f ca="1">IF(B374="","",IF(LEFT(B374,2)="13",C373,IF(MONTH(B374)=1,C373*(1+PREMISSAS!$C$58),C373)))</f>
        <v/>
      </c>
      <c r="E374" s="18">
        <v>370</v>
      </c>
      <c r="F374" s="21">
        <f t="shared" ca="1" si="51"/>
        <v>47999</v>
      </c>
      <c r="G374" s="22">
        <f ca="1">IFERROR(VLOOKUP(F374,RESULTADOS!$O$5:$P$543,2,FALSE),VLOOKUP(F374,$B$5:$C$842,2,FALSE))</f>
        <v>0</v>
      </c>
      <c r="H374" s="4">
        <f ca="1">IF(F374&lt;PREMISSAS!$D$7,0,IFERROR(VLOOKUP(IF(LEFT(F374,2)="13",DATE(YEAR(F373),12,31),F374),IPCA!$A:$D,4,FALSE),1)*G374)</f>
        <v>0</v>
      </c>
      <c r="J374" s="21">
        <f t="shared" ca="1" si="45"/>
        <v>47999</v>
      </c>
      <c r="K374" s="4">
        <f t="shared" ca="1" si="46"/>
        <v>0</v>
      </c>
      <c r="M374" s="21">
        <f t="shared" ca="1" si="52"/>
        <v>47999</v>
      </c>
      <c r="N374" s="37">
        <f t="shared" ca="1" si="47"/>
        <v>0</v>
      </c>
      <c r="O374" s="4">
        <f ca="1">IFERROR(AVERAGEIF(N$5:$N374,"&gt;="&amp;_xlfn.PERCENTILE.EXC(N$5:$N374,0.2)),0)</f>
        <v>0</v>
      </c>
      <c r="Q374" s="21">
        <f t="shared" ca="1" si="53"/>
        <v>47999</v>
      </c>
      <c r="R374" s="37">
        <f t="shared" ca="1" si="48"/>
        <v>0</v>
      </c>
      <c r="S374" s="4">
        <f ca="1">IFERROR(AVERAGE($R$5:R374),0)</f>
        <v>0</v>
      </c>
      <c r="U374" s="21">
        <f t="shared" ca="1" si="49"/>
        <v>47999</v>
      </c>
      <c r="V374" s="4">
        <f ca="1">MIN(S374,PREMISSAS!$C$14)</f>
        <v>0</v>
      </c>
      <c r="W374" s="188"/>
      <c r="X374" s="188"/>
    </row>
    <row r="375" spans="2:24" x14ac:dyDescent="0.3">
      <c r="B375" s="21" t="str">
        <f t="shared" ca="1" si="50"/>
        <v/>
      </c>
      <c r="C375" s="22" t="str">
        <f ca="1">IF(B375="","",IF(LEFT(B375,2)="13",C374,IF(MONTH(B375)=1,C374*(1+PREMISSAS!$C$58),C374)))</f>
        <v/>
      </c>
      <c r="E375" s="18">
        <v>371</v>
      </c>
      <c r="F375" s="21">
        <f t="shared" ca="1" si="51"/>
        <v>48029</v>
      </c>
      <c r="G375" s="22">
        <f ca="1">IFERROR(VLOOKUP(F375,RESULTADOS!$O$5:$P$543,2,FALSE),VLOOKUP(F375,$B$5:$C$842,2,FALSE))</f>
        <v>0</v>
      </c>
      <c r="H375" s="4">
        <f ca="1">IF(F375&lt;PREMISSAS!$D$7,0,IFERROR(VLOOKUP(IF(LEFT(F375,2)="13",DATE(YEAR(F374),12,31),F375),IPCA!$A:$D,4,FALSE),1)*G375)</f>
        <v>0</v>
      </c>
      <c r="J375" s="21">
        <f t="shared" ca="1" si="45"/>
        <v>48029</v>
      </c>
      <c r="K375" s="4">
        <f t="shared" ca="1" si="46"/>
        <v>0</v>
      </c>
      <c r="M375" s="21">
        <f t="shared" ca="1" si="52"/>
        <v>48029</v>
      </c>
      <c r="N375" s="37">
        <f t="shared" ca="1" si="47"/>
        <v>0</v>
      </c>
      <c r="O375" s="4">
        <f ca="1">IFERROR(AVERAGEIF(N$5:$N375,"&gt;="&amp;_xlfn.PERCENTILE.EXC(N$5:$N375,0.2)),0)</f>
        <v>0</v>
      </c>
      <c r="Q375" s="21">
        <f t="shared" ca="1" si="53"/>
        <v>48029</v>
      </c>
      <c r="R375" s="37">
        <f t="shared" ca="1" si="48"/>
        <v>0</v>
      </c>
      <c r="S375" s="4">
        <f ca="1">IFERROR(AVERAGE($R$5:R375),0)</f>
        <v>0</v>
      </c>
      <c r="U375" s="21">
        <f t="shared" ca="1" si="49"/>
        <v>48029</v>
      </c>
      <c r="V375" s="4">
        <f ca="1">MIN(S375,PREMISSAS!$C$14)</f>
        <v>0</v>
      </c>
      <c r="W375" s="188"/>
      <c r="X375" s="188"/>
    </row>
    <row r="376" spans="2:24" x14ac:dyDescent="0.3">
      <c r="B376" s="21" t="str">
        <f t="shared" ca="1" si="50"/>
        <v/>
      </c>
      <c r="C376" s="22" t="str">
        <f ca="1">IF(B376="","",IF(LEFT(B376,2)="13",C375,IF(MONTH(B376)=1,C375*(1+PREMISSAS!$C$58),C375)))</f>
        <v/>
      </c>
      <c r="E376" s="18">
        <v>372</v>
      </c>
      <c r="F376" s="21">
        <f t="shared" ca="1" si="51"/>
        <v>48060</v>
      </c>
      <c r="G376" s="22">
        <f ca="1">IFERROR(VLOOKUP(F376,RESULTADOS!$O$5:$P$543,2,FALSE),VLOOKUP(F376,$B$5:$C$842,2,FALSE))</f>
        <v>0</v>
      </c>
      <c r="H376" s="4">
        <f ca="1">IF(F376&lt;PREMISSAS!$D$7,0,IFERROR(VLOOKUP(IF(LEFT(F376,2)="13",DATE(YEAR(F375),12,31),F376),IPCA!$A:$D,4,FALSE),1)*G376)</f>
        <v>0</v>
      </c>
      <c r="J376" s="21">
        <f t="shared" ca="1" si="45"/>
        <v>48060</v>
      </c>
      <c r="K376" s="4">
        <f t="shared" ca="1" si="46"/>
        <v>0</v>
      </c>
      <c r="M376" s="21">
        <f t="shared" ca="1" si="52"/>
        <v>48060</v>
      </c>
      <c r="N376" s="37">
        <f t="shared" ca="1" si="47"/>
        <v>0</v>
      </c>
      <c r="O376" s="4">
        <f ca="1">IFERROR(AVERAGEIF(N$5:$N376,"&gt;="&amp;_xlfn.PERCENTILE.EXC(N$5:$N376,0.2)),0)</f>
        <v>0</v>
      </c>
      <c r="Q376" s="21">
        <f t="shared" ca="1" si="53"/>
        <v>48060</v>
      </c>
      <c r="R376" s="37">
        <f t="shared" ca="1" si="48"/>
        <v>0</v>
      </c>
      <c r="S376" s="4">
        <f ca="1">IFERROR(AVERAGE($R$5:R376),0)</f>
        <v>0</v>
      </c>
      <c r="U376" s="21">
        <f t="shared" ca="1" si="49"/>
        <v>48060</v>
      </c>
      <c r="V376" s="4">
        <f ca="1">MIN(S376,PREMISSAS!$C$14)</f>
        <v>0</v>
      </c>
      <c r="W376" s="188"/>
      <c r="X376" s="188"/>
    </row>
    <row r="377" spans="2:24" x14ac:dyDescent="0.3">
      <c r="B377" s="21" t="str">
        <f t="shared" ca="1" si="50"/>
        <v/>
      </c>
      <c r="C377" s="22" t="str">
        <f ca="1">IF(B377="","",IF(LEFT(B377,2)="13",C376,IF(MONTH(B377)=1,C376*(1+PREMISSAS!$C$58),C376)))</f>
        <v/>
      </c>
      <c r="E377" s="18">
        <v>373</v>
      </c>
      <c r="F377" s="21">
        <f t="shared" ca="1" si="51"/>
        <v>48091</v>
      </c>
      <c r="G377" s="22">
        <f ca="1">IFERROR(VLOOKUP(F377,RESULTADOS!$O$5:$P$543,2,FALSE),VLOOKUP(F377,$B$5:$C$842,2,FALSE))</f>
        <v>0</v>
      </c>
      <c r="H377" s="4">
        <f ca="1">IF(F377&lt;PREMISSAS!$D$7,0,IFERROR(VLOOKUP(IF(LEFT(F377,2)="13",DATE(YEAR(F376),12,31),F377),IPCA!$A:$D,4,FALSE),1)*G377)</f>
        <v>0</v>
      </c>
      <c r="J377" s="21">
        <f t="shared" ca="1" si="45"/>
        <v>48091</v>
      </c>
      <c r="K377" s="4">
        <f t="shared" ca="1" si="46"/>
        <v>0</v>
      </c>
      <c r="M377" s="21">
        <f t="shared" ca="1" si="52"/>
        <v>48091</v>
      </c>
      <c r="N377" s="37">
        <f t="shared" ca="1" si="47"/>
        <v>0</v>
      </c>
      <c r="O377" s="4">
        <f ca="1">IFERROR(AVERAGEIF(N$5:$N377,"&gt;="&amp;_xlfn.PERCENTILE.EXC(N$5:$N377,0.2)),0)</f>
        <v>0</v>
      </c>
      <c r="Q377" s="21">
        <f t="shared" ca="1" si="53"/>
        <v>48091</v>
      </c>
      <c r="R377" s="37">
        <f t="shared" ca="1" si="48"/>
        <v>0</v>
      </c>
      <c r="S377" s="4">
        <f ca="1">IFERROR(AVERAGE($R$5:R377),0)</f>
        <v>0</v>
      </c>
      <c r="U377" s="21">
        <f t="shared" ca="1" si="49"/>
        <v>48091</v>
      </c>
      <c r="V377" s="4">
        <f ca="1">MIN(S377,PREMISSAS!$C$14)</f>
        <v>0</v>
      </c>
      <c r="W377" s="188"/>
      <c r="X377" s="188"/>
    </row>
    <row r="378" spans="2:24" x14ac:dyDescent="0.3">
      <c r="B378" s="21" t="str">
        <f t="shared" ca="1" si="50"/>
        <v/>
      </c>
      <c r="C378" s="22" t="str">
        <f ca="1">IF(B378="","",IF(LEFT(B378,2)="13",C377,IF(MONTH(B378)=1,C377*(1+PREMISSAS!$C$58),C377)))</f>
        <v/>
      </c>
      <c r="E378" s="18">
        <v>374</v>
      </c>
      <c r="F378" s="21">
        <f t="shared" ca="1" si="51"/>
        <v>48121</v>
      </c>
      <c r="G378" s="22">
        <f ca="1">IFERROR(VLOOKUP(F378,RESULTADOS!$O$5:$P$543,2,FALSE),VLOOKUP(F378,$B$5:$C$842,2,FALSE))</f>
        <v>0</v>
      </c>
      <c r="H378" s="4">
        <f ca="1">IF(F378&lt;PREMISSAS!$D$7,0,IFERROR(VLOOKUP(IF(LEFT(F378,2)="13",DATE(YEAR(F377),12,31),F378),IPCA!$A:$D,4,FALSE),1)*G378)</f>
        <v>0</v>
      </c>
      <c r="J378" s="21">
        <f t="shared" ca="1" si="45"/>
        <v>48121</v>
      </c>
      <c r="K378" s="4">
        <f t="shared" ca="1" si="46"/>
        <v>0</v>
      </c>
      <c r="M378" s="21">
        <f t="shared" ca="1" si="52"/>
        <v>48121</v>
      </c>
      <c r="N378" s="37">
        <f t="shared" ca="1" si="47"/>
        <v>0</v>
      </c>
      <c r="O378" s="4">
        <f ca="1">IFERROR(AVERAGEIF(N$5:$N378,"&gt;="&amp;_xlfn.PERCENTILE.EXC(N$5:$N378,0.2)),0)</f>
        <v>0</v>
      </c>
      <c r="Q378" s="21">
        <f t="shared" ca="1" si="53"/>
        <v>48121</v>
      </c>
      <c r="R378" s="37">
        <f t="shared" ca="1" si="48"/>
        <v>0</v>
      </c>
      <c r="S378" s="4">
        <f ca="1">IFERROR(AVERAGE($R$5:R378),0)</f>
        <v>0</v>
      </c>
      <c r="U378" s="21">
        <f t="shared" ca="1" si="49"/>
        <v>48121</v>
      </c>
      <c r="V378" s="4">
        <f ca="1">MIN(S378,PREMISSAS!$C$14)</f>
        <v>0</v>
      </c>
      <c r="W378" s="188"/>
      <c r="X378" s="188"/>
    </row>
    <row r="379" spans="2:24" x14ac:dyDescent="0.3">
      <c r="B379" s="21" t="str">
        <f t="shared" ca="1" si="50"/>
        <v/>
      </c>
      <c r="C379" s="22" t="str">
        <f ca="1">IF(B379="","",IF(LEFT(B379,2)="13",C378,IF(MONTH(B379)=1,C378*(1+PREMISSAS!$C$58),C378)))</f>
        <v/>
      </c>
      <c r="E379" s="18">
        <v>375</v>
      </c>
      <c r="F379" s="21">
        <f t="shared" ca="1" si="51"/>
        <v>48152</v>
      </c>
      <c r="G379" s="22">
        <f ca="1">IFERROR(VLOOKUP(F379,RESULTADOS!$O$5:$P$543,2,FALSE),VLOOKUP(F379,$B$5:$C$842,2,FALSE))</f>
        <v>0</v>
      </c>
      <c r="H379" s="4">
        <f ca="1">IF(F379&lt;PREMISSAS!$D$7,0,IFERROR(VLOOKUP(IF(LEFT(F379,2)="13",DATE(YEAR(F378),12,31),F379),IPCA!$A:$D,4,FALSE),1)*G379)</f>
        <v>0</v>
      </c>
      <c r="J379" s="21">
        <f t="shared" ca="1" si="45"/>
        <v>48152</v>
      </c>
      <c r="K379" s="4">
        <f t="shared" ca="1" si="46"/>
        <v>0</v>
      </c>
      <c r="M379" s="21">
        <f t="shared" ca="1" si="52"/>
        <v>48152</v>
      </c>
      <c r="N379" s="37">
        <f t="shared" ca="1" si="47"/>
        <v>0</v>
      </c>
      <c r="O379" s="4">
        <f ca="1">IFERROR(AVERAGEIF(N$5:$N379,"&gt;="&amp;_xlfn.PERCENTILE.EXC(N$5:$N379,0.2)),0)</f>
        <v>0</v>
      </c>
      <c r="Q379" s="21">
        <f t="shared" ca="1" si="53"/>
        <v>48152</v>
      </c>
      <c r="R379" s="37">
        <f t="shared" ca="1" si="48"/>
        <v>0</v>
      </c>
      <c r="S379" s="4">
        <f ca="1">IFERROR(AVERAGE($R$5:R379),0)</f>
        <v>0</v>
      </c>
      <c r="U379" s="21">
        <f t="shared" ca="1" si="49"/>
        <v>48152</v>
      </c>
      <c r="V379" s="4">
        <f ca="1">MIN(S379,PREMISSAS!$C$14)</f>
        <v>0</v>
      </c>
      <c r="W379" s="188"/>
      <c r="X379" s="188"/>
    </row>
    <row r="380" spans="2:24" x14ac:dyDescent="0.3">
      <c r="B380" s="21" t="str">
        <f t="shared" ca="1" si="50"/>
        <v/>
      </c>
      <c r="C380" s="22" t="str">
        <f ca="1">IF(B380="","",IF(LEFT(B380,2)="13",C379,IF(MONTH(B380)=1,C379*(1+PREMISSAS!$C$58),C379)))</f>
        <v/>
      </c>
      <c r="E380" s="18">
        <v>376</v>
      </c>
      <c r="F380" s="21">
        <f t="shared" ca="1" si="51"/>
        <v>48182</v>
      </c>
      <c r="G380" s="22">
        <f ca="1">IFERROR(VLOOKUP(F380,RESULTADOS!$O$5:$P$543,2,FALSE),VLOOKUP(F380,$B$5:$C$842,2,FALSE))</f>
        <v>0</v>
      </c>
      <c r="H380" s="4">
        <f ca="1">IF(F380&lt;PREMISSAS!$D$7,0,IFERROR(VLOOKUP(IF(LEFT(F380,2)="13",DATE(YEAR(F379),12,31),F380),IPCA!$A:$D,4,FALSE),1)*G380)</f>
        <v>0</v>
      </c>
      <c r="J380" s="21">
        <f t="shared" ca="1" si="45"/>
        <v>48182</v>
      </c>
      <c r="K380" s="4">
        <f t="shared" ca="1" si="46"/>
        <v>0</v>
      </c>
      <c r="M380" s="21">
        <f t="shared" ca="1" si="52"/>
        <v>48182</v>
      </c>
      <c r="N380" s="37">
        <f t="shared" ca="1" si="47"/>
        <v>0</v>
      </c>
      <c r="O380" s="4">
        <f ca="1">IFERROR(AVERAGEIF(N$5:$N380,"&gt;="&amp;_xlfn.PERCENTILE.EXC(N$5:$N380,0.2)),0)</f>
        <v>0</v>
      </c>
      <c r="Q380" s="21">
        <f t="shared" ca="1" si="53"/>
        <v>48182</v>
      </c>
      <c r="R380" s="37">
        <f t="shared" ca="1" si="48"/>
        <v>0</v>
      </c>
      <c r="S380" s="4">
        <f ca="1">IFERROR(AVERAGE($R$5:R380),0)</f>
        <v>0</v>
      </c>
      <c r="U380" s="21">
        <f t="shared" ca="1" si="49"/>
        <v>48182</v>
      </c>
      <c r="V380" s="4">
        <f ca="1">MIN(S380,PREMISSAS!$C$14)</f>
        <v>0</v>
      </c>
      <c r="W380" s="188"/>
      <c r="X380" s="188"/>
    </row>
    <row r="381" spans="2:24" x14ac:dyDescent="0.3">
      <c r="B381" s="21" t="str">
        <f t="shared" ca="1" si="50"/>
        <v/>
      </c>
      <c r="C381" s="22" t="str">
        <f ca="1">IF(B381="","",IF(LEFT(B381,2)="13",C380,IF(MONTH(B381)=1,C380*(1+PREMISSAS!$C$58),C380)))</f>
        <v/>
      </c>
      <c r="E381" s="18">
        <v>377</v>
      </c>
      <c r="F381" s="21" t="str">
        <f t="shared" ca="1" si="51"/>
        <v>13º 2031</v>
      </c>
      <c r="G381" s="22">
        <f ca="1">IFERROR(VLOOKUP(F381,RESULTADOS!$O$5:$P$543,2,FALSE),VLOOKUP(F381,$B$5:$C$842,2,FALSE))</f>
        <v>0</v>
      </c>
      <c r="H381" s="4">
        <f ca="1">IF(F381&lt;PREMISSAS!$D$7,0,IFERROR(VLOOKUP(IF(LEFT(F381,2)="13",DATE(YEAR(F380),12,31),F381),IPCA!$A:$D,4,FALSE),1)*G381)</f>
        <v>0</v>
      </c>
      <c r="J381" s="21" t="str">
        <f t="shared" ca="1" si="45"/>
        <v>13º 2031</v>
      </c>
      <c r="K381" s="4">
        <f t="shared" ca="1" si="46"/>
        <v>0</v>
      </c>
      <c r="M381" s="21" t="str">
        <f t="shared" ca="1" si="52"/>
        <v>13º 2031</v>
      </c>
      <c r="N381" s="37">
        <f t="shared" ca="1" si="47"/>
        <v>0</v>
      </c>
      <c r="O381" s="4">
        <f ca="1">IFERROR(AVERAGEIF(N$5:$N381,"&gt;="&amp;_xlfn.PERCENTILE.EXC(N$5:$N381,0.2)),0)</f>
        <v>0</v>
      </c>
      <c r="Q381" s="21" t="str">
        <f t="shared" ca="1" si="53"/>
        <v>13º 2031</v>
      </c>
      <c r="R381" s="37">
        <f t="shared" ca="1" si="48"/>
        <v>0</v>
      </c>
      <c r="S381" s="4">
        <f ca="1">IFERROR(AVERAGE($R$5:R381),0)</f>
        <v>0</v>
      </c>
      <c r="U381" s="21" t="str">
        <f t="shared" ca="1" si="49"/>
        <v>13º 2031</v>
      </c>
      <c r="V381" s="4">
        <f ca="1">MIN(S381,PREMISSAS!$C$14)</f>
        <v>0</v>
      </c>
      <c r="W381" s="188"/>
      <c r="X381" s="188"/>
    </row>
    <row r="382" spans="2:24" x14ac:dyDescent="0.3">
      <c r="B382" s="21" t="str">
        <f t="shared" ca="1" si="50"/>
        <v/>
      </c>
      <c r="C382" s="22" t="str">
        <f ca="1">IF(B382="","",IF(LEFT(B382,2)="13",C381,IF(MONTH(B382)=1,C381*(1+PREMISSAS!$C$58),C381)))</f>
        <v/>
      </c>
      <c r="E382" s="18">
        <v>378</v>
      </c>
      <c r="F382" s="21">
        <f t="shared" ca="1" si="51"/>
        <v>48213</v>
      </c>
      <c r="G382" s="22">
        <f ca="1">IFERROR(VLOOKUP(F382,RESULTADOS!$O$5:$P$543,2,FALSE),VLOOKUP(F382,$B$5:$C$842,2,FALSE))</f>
        <v>0</v>
      </c>
      <c r="H382" s="4">
        <f ca="1">IF(F382&lt;PREMISSAS!$D$7,0,IFERROR(VLOOKUP(IF(LEFT(F382,2)="13",DATE(YEAR(F381),12,31),F382),IPCA!$A:$D,4,FALSE),1)*G382)</f>
        <v>0</v>
      </c>
      <c r="J382" s="21">
        <f t="shared" ca="1" si="45"/>
        <v>48213</v>
      </c>
      <c r="K382" s="4">
        <f t="shared" ca="1" si="46"/>
        <v>0</v>
      </c>
      <c r="M382" s="21">
        <f t="shared" ca="1" si="52"/>
        <v>48213</v>
      </c>
      <c r="N382" s="37">
        <f t="shared" ca="1" si="47"/>
        <v>0</v>
      </c>
      <c r="O382" s="4">
        <f ca="1">IFERROR(AVERAGEIF(N$5:$N382,"&gt;="&amp;_xlfn.PERCENTILE.EXC(N$5:$N382,0.2)),0)</f>
        <v>0</v>
      </c>
      <c r="Q382" s="21">
        <f t="shared" ca="1" si="53"/>
        <v>48213</v>
      </c>
      <c r="R382" s="37">
        <f t="shared" ca="1" si="48"/>
        <v>0</v>
      </c>
      <c r="S382" s="4">
        <f ca="1">IFERROR(AVERAGE($R$5:R382),0)</f>
        <v>0</v>
      </c>
      <c r="U382" s="21">
        <f t="shared" ca="1" si="49"/>
        <v>48213</v>
      </c>
      <c r="V382" s="4">
        <f ca="1">MIN(S382,PREMISSAS!$C$14)</f>
        <v>0</v>
      </c>
      <c r="W382" s="188"/>
      <c r="X382" s="188"/>
    </row>
    <row r="383" spans="2:24" x14ac:dyDescent="0.3">
      <c r="B383" s="21" t="str">
        <f t="shared" ca="1" si="50"/>
        <v/>
      </c>
      <c r="C383" s="22" t="str">
        <f ca="1">IF(B383="","",IF(LEFT(B383,2)="13",C382,IF(MONTH(B383)=1,C382*(1+PREMISSAS!$C$58),C382)))</f>
        <v/>
      </c>
      <c r="E383" s="18">
        <v>379</v>
      </c>
      <c r="F383" s="21">
        <f t="shared" ca="1" si="51"/>
        <v>48244</v>
      </c>
      <c r="G383" s="22">
        <f ca="1">IFERROR(VLOOKUP(F383,RESULTADOS!$O$5:$P$543,2,FALSE),VLOOKUP(F383,$B$5:$C$842,2,FALSE))</f>
        <v>0</v>
      </c>
      <c r="H383" s="4">
        <f ca="1">IF(F383&lt;PREMISSAS!$D$7,0,IFERROR(VLOOKUP(IF(LEFT(F383,2)="13",DATE(YEAR(F382),12,31),F383),IPCA!$A:$D,4,FALSE),1)*G383)</f>
        <v>0</v>
      </c>
      <c r="J383" s="21">
        <f t="shared" ca="1" si="45"/>
        <v>48244</v>
      </c>
      <c r="K383" s="4">
        <f t="shared" ca="1" si="46"/>
        <v>0</v>
      </c>
      <c r="M383" s="21">
        <f t="shared" ca="1" si="52"/>
        <v>48244</v>
      </c>
      <c r="N383" s="37">
        <f t="shared" ca="1" si="47"/>
        <v>0</v>
      </c>
      <c r="O383" s="4">
        <f ca="1">IFERROR(AVERAGEIF(N$5:$N383,"&gt;="&amp;_xlfn.PERCENTILE.EXC(N$5:$N383,0.2)),0)</f>
        <v>0</v>
      </c>
      <c r="Q383" s="21">
        <f t="shared" ca="1" si="53"/>
        <v>48244</v>
      </c>
      <c r="R383" s="37">
        <f t="shared" ca="1" si="48"/>
        <v>0</v>
      </c>
      <c r="S383" s="4">
        <f ca="1">IFERROR(AVERAGE($R$5:R383),0)</f>
        <v>0</v>
      </c>
      <c r="U383" s="21">
        <f t="shared" ca="1" si="49"/>
        <v>48244</v>
      </c>
      <c r="V383" s="4">
        <f ca="1">MIN(S383,PREMISSAS!$C$14)</f>
        <v>0</v>
      </c>
      <c r="W383" s="188"/>
      <c r="X383" s="188"/>
    </row>
    <row r="384" spans="2:24" x14ac:dyDescent="0.3">
      <c r="B384" s="21" t="str">
        <f t="shared" ca="1" si="50"/>
        <v/>
      </c>
      <c r="C384" s="22" t="str">
        <f ca="1">IF(B384="","",IF(LEFT(B384,2)="13",C383,IF(MONTH(B384)=1,C383*(1+PREMISSAS!$C$58),C383)))</f>
        <v/>
      </c>
      <c r="E384" s="18">
        <v>380</v>
      </c>
      <c r="F384" s="21">
        <f t="shared" ca="1" si="51"/>
        <v>48273</v>
      </c>
      <c r="G384" s="22">
        <f ca="1">IFERROR(VLOOKUP(F384,RESULTADOS!$O$5:$P$543,2,FALSE),VLOOKUP(F384,$B$5:$C$842,2,FALSE))</f>
        <v>0</v>
      </c>
      <c r="H384" s="4">
        <f ca="1">IF(F384&lt;PREMISSAS!$D$7,0,IFERROR(VLOOKUP(IF(LEFT(F384,2)="13",DATE(YEAR(F383),12,31),F384),IPCA!$A:$D,4,FALSE),1)*G384)</f>
        <v>0</v>
      </c>
      <c r="J384" s="21">
        <f t="shared" ca="1" si="45"/>
        <v>48273</v>
      </c>
      <c r="K384" s="4">
        <f t="shared" ca="1" si="46"/>
        <v>0</v>
      </c>
      <c r="M384" s="21">
        <f t="shared" ca="1" si="52"/>
        <v>48273</v>
      </c>
      <c r="N384" s="37">
        <f t="shared" ca="1" si="47"/>
        <v>0</v>
      </c>
      <c r="O384" s="4">
        <f ca="1">IFERROR(AVERAGEIF(N$5:$N384,"&gt;="&amp;_xlfn.PERCENTILE.EXC(N$5:$N384,0.2)),0)</f>
        <v>0</v>
      </c>
      <c r="Q384" s="21">
        <f t="shared" ca="1" si="53"/>
        <v>48273</v>
      </c>
      <c r="R384" s="37">
        <f t="shared" ca="1" si="48"/>
        <v>0</v>
      </c>
      <c r="S384" s="4">
        <f ca="1">IFERROR(AVERAGE($R$5:R384),0)</f>
        <v>0</v>
      </c>
      <c r="U384" s="21">
        <f t="shared" ca="1" si="49"/>
        <v>48273</v>
      </c>
      <c r="V384" s="4">
        <f ca="1">MIN(S384,PREMISSAS!$C$14)</f>
        <v>0</v>
      </c>
      <c r="W384" s="188"/>
      <c r="X384" s="188"/>
    </row>
    <row r="385" spans="2:24" x14ac:dyDescent="0.3">
      <c r="B385" s="21" t="str">
        <f t="shared" ca="1" si="50"/>
        <v/>
      </c>
      <c r="C385" s="22" t="str">
        <f ca="1">IF(B385="","",IF(LEFT(B385,2)="13",C384,IF(MONTH(B385)=1,C384*(1+PREMISSAS!$C$58),C384)))</f>
        <v/>
      </c>
      <c r="E385" s="18">
        <v>381</v>
      </c>
      <c r="F385" s="21">
        <f t="shared" ca="1" si="51"/>
        <v>48304</v>
      </c>
      <c r="G385" s="22">
        <f ca="1">IFERROR(VLOOKUP(F385,RESULTADOS!$O$5:$P$543,2,FALSE),VLOOKUP(F385,$B$5:$C$842,2,FALSE))</f>
        <v>0</v>
      </c>
      <c r="H385" s="4">
        <f ca="1">IF(F385&lt;PREMISSAS!$D$7,0,IFERROR(VLOOKUP(IF(LEFT(F385,2)="13",DATE(YEAR(F384),12,31),F385),IPCA!$A:$D,4,FALSE),1)*G385)</f>
        <v>0</v>
      </c>
      <c r="J385" s="21">
        <f t="shared" ca="1" si="45"/>
        <v>48304</v>
      </c>
      <c r="K385" s="4">
        <f t="shared" ca="1" si="46"/>
        <v>0</v>
      </c>
      <c r="M385" s="21">
        <f t="shared" ca="1" si="52"/>
        <v>48304</v>
      </c>
      <c r="N385" s="37">
        <f t="shared" ca="1" si="47"/>
        <v>0</v>
      </c>
      <c r="O385" s="4">
        <f ca="1">IFERROR(AVERAGEIF(N$5:$N385,"&gt;="&amp;_xlfn.PERCENTILE.EXC(N$5:$N385,0.2)),0)</f>
        <v>0</v>
      </c>
      <c r="Q385" s="21">
        <f t="shared" ca="1" si="53"/>
        <v>48304</v>
      </c>
      <c r="R385" s="37">
        <f t="shared" ca="1" si="48"/>
        <v>0</v>
      </c>
      <c r="S385" s="4">
        <f ca="1">IFERROR(AVERAGE($R$5:R385),0)</f>
        <v>0</v>
      </c>
      <c r="U385" s="21">
        <f t="shared" ca="1" si="49"/>
        <v>48304</v>
      </c>
      <c r="V385" s="4">
        <f ca="1">MIN(S385,PREMISSAS!$C$14)</f>
        <v>0</v>
      </c>
      <c r="W385" s="188"/>
      <c r="X385" s="188"/>
    </row>
    <row r="386" spans="2:24" x14ac:dyDescent="0.3">
      <c r="B386" s="21" t="str">
        <f t="shared" ca="1" si="50"/>
        <v/>
      </c>
      <c r="C386" s="22" t="str">
        <f ca="1">IF(B386="","",IF(LEFT(B386,2)="13",C385,IF(MONTH(B386)=1,C385*(1+PREMISSAS!$C$58),C385)))</f>
        <v/>
      </c>
      <c r="E386" s="18">
        <v>382</v>
      </c>
      <c r="F386" s="21">
        <f t="shared" ca="1" si="51"/>
        <v>48334</v>
      </c>
      <c r="G386" s="22">
        <f ca="1">IFERROR(VLOOKUP(F386,RESULTADOS!$O$5:$P$543,2,FALSE),VLOOKUP(F386,$B$5:$C$842,2,FALSE))</f>
        <v>0</v>
      </c>
      <c r="H386" s="4">
        <f ca="1">IF(F386&lt;PREMISSAS!$D$7,0,IFERROR(VLOOKUP(IF(LEFT(F386,2)="13",DATE(YEAR(F385),12,31),F386),IPCA!$A:$D,4,FALSE),1)*G386)</f>
        <v>0</v>
      </c>
      <c r="J386" s="21">
        <f t="shared" ca="1" si="45"/>
        <v>48334</v>
      </c>
      <c r="K386" s="4">
        <f t="shared" ca="1" si="46"/>
        <v>0</v>
      </c>
      <c r="M386" s="21">
        <f t="shared" ca="1" si="52"/>
        <v>48334</v>
      </c>
      <c r="N386" s="37">
        <f t="shared" ca="1" si="47"/>
        <v>0</v>
      </c>
      <c r="O386" s="4">
        <f ca="1">IFERROR(AVERAGEIF(N$5:$N386,"&gt;="&amp;_xlfn.PERCENTILE.EXC(N$5:$N386,0.2)),0)</f>
        <v>0</v>
      </c>
      <c r="Q386" s="21">
        <f t="shared" ca="1" si="53"/>
        <v>48334</v>
      </c>
      <c r="R386" s="37">
        <f t="shared" ca="1" si="48"/>
        <v>0</v>
      </c>
      <c r="S386" s="4">
        <f ca="1">IFERROR(AVERAGE($R$5:R386),0)</f>
        <v>0</v>
      </c>
      <c r="U386" s="21">
        <f t="shared" ca="1" si="49"/>
        <v>48334</v>
      </c>
      <c r="V386" s="4">
        <f ca="1">MIN(S386,PREMISSAS!$C$14)</f>
        <v>0</v>
      </c>
      <c r="W386" s="188"/>
      <c r="X386" s="188"/>
    </row>
    <row r="387" spans="2:24" x14ac:dyDescent="0.3">
      <c r="B387" s="21" t="str">
        <f t="shared" ca="1" si="50"/>
        <v/>
      </c>
      <c r="C387" s="22" t="str">
        <f ca="1">IF(B387="","",IF(LEFT(B387,2)="13",C386,IF(MONTH(B387)=1,C386*(1+PREMISSAS!$C$58),C386)))</f>
        <v/>
      </c>
      <c r="E387" s="18">
        <v>383</v>
      </c>
      <c r="F387" s="21">
        <f t="shared" ca="1" si="51"/>
        <v>48365</v>
      </c>
      <c r="G387" s="22">
        <f ca="1">IFERROR(VLOOKUP(F387,RESULTADOS!$O$5:$P$543,2,FALSE),VLOOKUP(F387,$B$5:$C$842,2,FALSE))</f>
        <v>0</v>
      </c>
      <c r="H387" s="4">
        <f ca="1">IF(F387&lt;PREMISSAS!$D$7,0,IFERROR(VLOOKUP(IF(LEFT(F387,2)="13",DATE(YEAR(F386),12,31),F387),IPCA!$A:$D,4,FALSE),1)*G387)</f>
        <v>0</v>
      </c>
      <c r="J387" s="21">
        <f t="shared" ca="1" si="45"/>
        <v>48365</v>
      </c>
      <c r="K387" s="4">
        <f t="shared" ca="1" si="46"/>
        <v>0</v>
      </c>
      <c r="M387" s="21">
        <f t="shared" ca="1" si="52"/>
        <v>48365</v>
      </c>
      <c r="N387" s="37">
        <f t="shared" ca="1" si="47"/>
        <v>0</v>
      </c>
      <c r="O387" s="4">
        <f ca="1">IFERROR(AVERAGEIF(N$5:$N387,"&gt;="&amp;_xlfn.PERCENTILE.EXC(N$5:$N387,0.2)),0)</f>
        <v>0</v>
      </c>
      <c r="Q387" s="21">
        <f t="shared" ca="1" si="53"/>
        <v>48365</v>
      </c>
      <c r="R387" s="37">
        <f t="shared" ca="1" si="48"/>
        <v>0</v>
      </c>
      <c r="S387" s="4">
        <f ca="1">IFERROR(AVERAGE($R$5:R387),0)</f>
        <v>0</v>
      </c>
      <c r="U387" s="21">
        <f t="shared" ca="1" si="49"/>
        <v>48365</v>
      </c>
      <c r="V387" s="4">
        <f ca="1">MIN(S387,PREMISSAS!$C$14)</f>
        <v>0</v>
      </c>
      <c r="W387" s="188"/>
      <c r="X387" s="188"/>
    </row>
    <row r="388" spans="2:24" x14ac:dyDescent="0.3">
      <c r="B388" s="21" t="str">
        <f t="shared" ca="1" si="50"/>
        <v/>
      </c>
      <c r="C388" s="22" t="str">
        <f ca="1">IF(B388="","",IF(LEFT(B388,2)="13",C387,IF(MONTH(B388)=1,C387*(1+PREMISSAS!$C$58),C387)))</f>
        <v/>
      </c>
      <c r="E388" s="18">
        <v>384</v>
      </c>
      <c r="F388" s="21">
        <f t="shared" ca="1" si="51"/>
        <v>48395</v>
      </c>
      <c r="G388" s="22">
        <f ca="1">IFERROR(VLOOKUP(F388,RESULTADOS!$O$5:$P$543,2,FALSE),VLOOKUP(F388,$B$5:$C$842,2,FALSE))</f>
        <v>0</v>
      </c>
      <c r="H388" s="4">
        <f ca="1">IF(F388&lt;PREMISSAS!$D$7,0,IFERROR(VLOOKUP(IF(LEFT(F388,2)="13",DATE(YEAR(F387),12,31),F388),IPCA!$A:$D,4,FALSE),1)*G388)</f>
        <v>0</v>
      </c>
      <c r="J388" s="21">
        <f t="shared" ca="1" si="45"/>
        <v>48395</v>
      </c>
      <c r="K388" s="4">
        <f t="shared" ca="1" si="46"/>
        <v>0</v>
      </c>
      <c r="M388" s="21">
        <f t="shared" ca="1" si="52"/>
        <v>48395</v>
      </c>
      <c r="N388" s="37">
        <f t="shared" ca="1" si="47"/>
        <v>0</v>
      </c>
      <c r="O388" s="4">
        <f ca="1">IFERROR(AVERAGEIF(N$5:$N388,"&gt;="&amp;_xlfn.PERCENTILE.EXC(N$5:$N388,0.2)),0)</f>
        <v>0</v>
      </c>
      <c r="Q388" s="21">
        <f t="shared" ca="1" si="53"/>
        <v>48395</v>
      </c>
      <c r="R388" s="37">
        <f t="shared" ca="1" si="48"/>
        <v>0</v>
      </c>
      <c r="S388" s="4">
        <f ca="1">IFERROR(AVERAGE($R$5:R388),0)</f>
        <v>0</v>
      </c>
      <c r="U388" s="21">
        <f t="shared" ca="1" si="49"/>
        <v>48395</v>
      </c>
      <c r="V388" s="4">
        <f ca="1">MIN(S388,PREMISSAS!$C$14)</f>
        <v>0</v>
      </c>
      <c r="W388" s="188"/>
      <c r="X388" s="188"/>
    </row>
    <row r="389" spans="2:24" x14ac:dyDescent="0.3">
      <c r="B389" s="21" t="str">
        <f t="shared" ca="1" si="50"/>
        <v/>
      </c>
      <c r="C389" s="22" t="str">
        <f ca="1">IF(B389="","",IF(LEFT(B389,2)="13",C388,IF(MONTH(B389)=1,C388*(1+PREMISSAS!$C$58),C388)))</f>
        <v/>
      </c>
      <c r="E389" s="18">
        <v>385</v>
      </c>
      <c r="F389" s="21">
        <f t="shared" ca="1" si="51"/>
        <v>48426</v>
      </c>
      <c r="G389" s="22">
        <f ca="1">IFERROR(VLOOKUP(F389,RESULTADOS!$O$5:$P$543,2,FALSE),VLOOKUP(F389,$B$5:$C$842,2,FALSE))</f>
        <v>0</v>
      </c>
      <c r="H389" s="4">
        <f ca="1">IF(F389&lt;PREMISSAS!$D$7,0,IFERROR(VLOOKUP(IF(LEFT(F389,2)="13",DATE(YEAR(F388),12,31),F389),IPCA!$A:$D,4,FALSE),1)*G389)</f>
        <v>0</v>
      </c>
      <c r="J389" s="21">
        <f t="shared" ref="J389:J452" ca="1" si="54">F389</f>
        <v>48426</v>
      </c>
      <c r="K389" s="4">
        <f t="shared" ref="K389:K452" ca="1" si="55">G389</f>
        <v>0</v>
      </c>
      <c r="M389" s="21">
        <f t="shared" ca="1" si="52"/>
        <v>48426</v>
      </c>
      <c r="N389" s="37">
        <f t="shared" ca="1" si="47"/>
        <v>0</v>
      </c>
      <c r="O389" s="4">
        <f ca="1">IFERROR(AVERAGEIF(N$5:$N389,"&gt;="&amp;_xlfn.PERCENTILE.EXC(N$5:$N389,0.2)),0)</f>
        <v>0</v>
      </c>
      <c r="Q389" s="21">
        <f t="shared" ca="1" si="53"/>
        <v>48426</v>
      </c>
      <c r="R389" s="37">
        <f t="shared" ca="1" si="48"/>
        <v>0</v>
      </c>
      <c r="S389" s="4">
        <f ca="1">IFERROR(AVERAGE($R$5:R389),0)</f>
        <v>0</v>
      </c>
      <c r="U389" s="21">
        <f t="shared" ca="1" si="49"/>
        <v>48426</v>
      </c>
      <c r="V389" s="4">
        <f ca="1">MIN(S389,PREMISSAS!$C$14)</f>
        <v>0</v>
      </c>
      <c r="W389" s="188"/>
      <c r="X389" s="188"/>
    </row>
    <row r="390" spans="2:24" x14ac:dyDescent="0.3">
      <c r="B390" s="21" t="str">
        <f t="shared" ca="1" si="50"/>
        <v/>
      </c>
      <c r="C390" s="22" t="str">
        <f ca="1">IF(B390="","",IF(LEFT(B390,2)="13",C389,IF(MONTH(B390)=1,C389*(1+PREMISSAS!$C$58),C389)))</f>
        <v/>
      </c>
      <c r="E390" s="18">
        <v>386</v>
      </c>
      <c r="F390" s="21">
        <f t="shared" ca="1" si="51"/>
        <v>48457</v>
      </c>
      <c r="G390" s="22">
        <f ca="1">IFERROR(VLOOKUP(F390,RESULTADOS!$O$5:$P$543,2,FALSE),VLOOKUP(F390,$B$5:$C$842,2,FALSE))</f>
        <v>0</v>
      </c>
      <c r="H390" s="4">
        <f ca="1">IF(F390&lt;PREMISSAS!$D$7,0,IFERROR(VLOOKUP(IF(LEFT(F390,2)="13",DATE(YEAR(F389),12,31),F390),IPCA!$A:$D,4,FALSE),1)*G390)</f>
        <v>0</v>
      </c>
      <c r="J390" s="21">
        <f t="shared" ca="1" si="54"/>
        <v>48457</v>
      </c>
      <c r="K390" s="4">
        <f t="shared" ca="1" si="55"/>
        <v>0</v>
      </c>
      <c r="M390" s="21">
        <f t="shared" ca="1" si="52"/>
        <v>48457</v>
      </c>
      <c r="N390" s="37">
        <f t="shared" ref="N390:N453" ca="1" si="56">IFERROR(VLOOKUP(M390,$F$5:$H$628,3,FALSE),0)</f>
        <v>0</v>
      </c>
      <c r="O390" s="4">
        <f ca="1">IFERROR(AVERAGEIF(N$5:$N390,"&gt;="&amp;_xlfn.PERCENTILE.EXC(N$5:$N390,0.2)),0)</f>
        <v>0</v>
      </c>
      <c r="Q390" s="21">
        <f t="shared" ca="1" si="53"/>
        <v>48457</v>
      </c>
      <c r="R390" s="37">
        <f t="shared" ref="R390:R453" ca="1" si="57">IFERROR(VLOOKUP(Q390,$F$5:$H$628,3,FALSE),0)</f>
        <v>0</v>
      </c>
      <c r="S390" s="4">
        <f ca="1">IFERROR(AVERAGE($R$5:R390),0)</f>
        <v>0</v>
      </c>
      <c r="U390" s="21">
        <f t="shared" ref="U390:U453" ca="1" si="58">M390</f>
        <v>48457</v>
      </c>
      <c r="V390" s="4">
        <f ca="1">MIN(S390,PREMISSAS!$C$14)</f>
        <v>0</v>
      </c>
      <c r="W390" s="188"/>
      <c r="X390" s="188"/>
    </row>
    <row r="391" spans="2:24" x14ac:dyDescent="0.3">
      <c r="B391" s="21" t="str">
        <f t="shared" ref="B391:B454" ca="1" si="59">IFERROR(IF(LEFT(B390,2)="13",DATE(RIGHT(B390,4),12,31),IF(EOMONTH(B390,0)&gt;$F$1,"",IF(MONTH(B390)=11,"13º "&amp;YEAR(B390),EOMONTH(B390,1)))),"")</f>
        <v/>
      </c>
      <c r="C391" s="22" t="str">
        <f ca="1">IF(B391="","",IF(LEFT(B391,2)="13",C390,IF(MONTH(B391)=1,C390*(1+PREMISSAS!$C$58),C390)))</f>
        <v/>
      </c>
      <c r="E391" s="18">
        <v>387</v>
      </c>
      <c r="F391" s="21">
        <f t="shared" ref="F391:F454" ca="1" si="60">IFERROR(IF(LEFT(F390,2)="13",DATE(RIGHT(F390,4),12,31),IF(EOMONTH(F390,0)&gt;$F$1,"",IF(MONTH(F390)=11,"13º "&amp;YEAR(F390),EOMONTH(F390,1)))),"")</f>
        <v>48487</v>
      </c>
      <c r="G391" s="22">
        <f ca="1">IFERROR(VLOOKUP(F391,RESULTADOS!$O$5:$P$543,2,FALSE),VLOOKUP(F391,$B$5:$C$842,2,FALSE))</f>
        <v>0</v>
      </c>
      <c r="H391" s="4">
        <f ca="1">IF(F391&lt;PREMISSAS!$D$7,0,IFERROR(VLOOKUP(IF(LEFT(F391,2)="13",DATE(YEAR(F390),12,31),F391),IPCA!$A:$D,4,FALSE),1)*G391)</f>
        <v>0</v>
      </c>
      <c r="J391" s="21">
        <f t="shared" ca="1" si="54"/>
        <v>48487</v>
      </c>
      <c r="K391" s="4">
        <f t="shared" ca="1" si="55"/>
        <v>0</v>
      </c>
      <c r="M391" s="21">
        <f t="shared" ref="M391:M454" ca="1" si="61">IFERROR(IF(LEFT(M390,2)="13",DATE(RIGHT(M390,4),12,31),IF(EOMONTH(M390,0)&gt;$F$1,"",IF(MONTH(M390)=11,"13º "&amp;YEAR(M390),EOMONTH(M390,1)))),"")</f>
        <v>48487</v>
      </c>
      <c r="N391" s="37">
        <f t="shared" ca="1" si="56"/>
        <v>0</v>
      </c>
      <c r="O391" s="4">
        <f ca="1">IFERROR(AVERAGEIF(N$5:$N391,"&gt;="&amp;_xlfn.PERCENTILE.EXC(N$5:$N391,0.2)),0)</f>
        <v>0</v>
      </c>
      <c r="Q391" s="21">
        <f t="shared" ref="Q391:Q454" ca="1" si="62">IFERROR(IF(LEFT(Q390,2)="13",DATE(RIGHT(Q390,4),12,31),IF(EOMONTH(Q390,0)&gt;$F$1,"",IF(MONTH(Q390)=11,"13º "&amp;YEAR(Q390),EOMONTH(Q390,1)))),"")</f>
        <v>48487</v>
      </c>
      <c r="R391" s="37">
        <f t="shared" ca="1" si="57"/>
        <v>0</v>
      </c>
      <c r="S391" s="4">
        <f ca="1">IFERROR(AVERAGE($R$5:R391),0)</f>
        <v>0</v>
      </c>
      <c r="U391" s="21">
        <f t="shared" ca="1" si="58"/>
        <v>48487</v>
      </c>
      <c r="V391" s="4">
        <f ca="1">MIN(S391,PREMISSAS!$C$14)</f>
        <v>0</v>
      </c>
      <c r="W391" s="188"/>
      <c r="X391" s="188"/>
    </row>
    <row r="392" spans="2:24" x14ac:dyDescent="0.3">
      <c r="B392" s="21" t="str">
        <f t="shared" ca="1" si="59"/>
        <v/>
      </c>
      <c r="C392" s="22" t="str">
        <f ca="1">IF(B392="","",IF(LEFT(B392,2)="13",C391,IF(MONTH(B392)=1,C391*(1+PREMISSAS!$C$58),C391)))</f>
        <v/>
      </c>
      <c r="E392" s="18">
        <v>388</v>
      </c>
      <c r="F392" s="21">
        <f t="shared" ca="1" si="60"/>
        <v>48518</v>
      </c>
      <c r="G392" s="22">
        <f ca="1">IFERROR(VLOOKUP(F392,RESULTADOS!$O$5:$P$543,2,FALSE),VLOOKUP(F392,$B$5:$C$842,2,FALSE))</f>
        <v>0</v>
      </c>
      <c r="H392" s="4">
        <f ca="1">IF(F392&lt;PREMISSAS!$D$7,0,IFERROR(VLOOKUP(IF(LEFT(F392,2)="13",DATE(YEAR(F391),12,31),F392),IPCA!$A:$D,4,FALSE),1)*G392)</f>
        <v>0</v>
      </c>
      <c r="J392" s="21">
        <f t="shared" ca="1" si="54"/>
        <v>48518</v>
      </c>
      <c r="K392" s="4">
        <f t="shared" ca="1" si="55"/>
        <v>0</v>
      </c>
      <c r="M392" s="21">
        <f t="shared" ca="1" si="61"/>
        <v>48518</v>
      </c>
      <c r="N392" s="37">
        <f t="shared" ca="1" si="56"/>
        <v>0</v>
      </c>
      <c r="O392" s="4">
        <f ca="1">IFERROR(AVERAGEIF(N$5:$N392,"&gt;="&amp;_xlfn.PERCENTILE.EXC(N$5:$N392,0.2)),0)</f>
        <v>0</v>
      </c>
      <c r="Q392" s="21">
        <f t="shared" ca="1" si="62"/>
        <v>48518</v>
      </c>
      <c r="R392" s="37">
        <f t="shared" ca="1" si="57"/>
        <v>0</v>
      </c>
      <c r="S392" s="4">
        <f ca="1">IFERROR(AVERAGE($R$5:R392),0)</f>
        <v>0</v>
      </c>
      <c r="U392" s="21">
        <f t="shared" ca="1" si="58"/>
        <v>48518</v>
      </c>
      <c r="V392" s="4">
        <f ca="1">MIN(S392,PREMISSAS!$C$14)</f>
        <v>0</v>
      </c>
      <c r="W392" s="188"/>
      <c r="X392" s="188"/>
    </row>
    <row r="393" spans="2:24" x14ac:dyDescent="0.3">
      <c r="B393" s="21" t="str">
        <f t="shared" ca="1" si="59"/>
        <v/>
      </c>
      <c r="C393" s="22" t="str">
        <f ca="1">IF(B393="","",IF(LEFT(B393,2)="13",C392,IF(MONTH(B393)=1,C392*(1+PREMISSAS!$C$58),C392)))</f>
        <v/>
      </c>
      <c r="E393" s="18">
        <v>389</v>
      </c>
      <c r="F393" s="21">
        <f t="shared" ca="1" si="60"/>
        <v>48548</v>
      </c>
      <c r="G393" s="22">
        <f ca="1">IFERROR(VLOOKUP(F393,RESULTADOS!$O$5:$P$543,2,FALSE),VLOOKUP(F393,$B$5:$C$842,2,FALSE))</f>
        <v>0</v>
      </c>
      <c r="H393" s="4">
        <f ca="1">IF(F393&lt;PREMISSAS!$D$7,0,IFERROR(VLOOKUP(IF(LEFT(F393,2)="13",DATE(YEAR(F392),12,31),F393),IPCA!$A:$D,4,FALSE),1)*G393)</f>
        <v>0</v>
      </c>
      <c r="J393" s="21">
        <f t="shared" ca="1" si="54"/>
        <v>48548</v>
      </c>
      <c r="K393" s="4">
        <f t="shared" ca="1" si="55"/>
        <v>0</v>
      </c>
      <c r="M393" s="21">
        <f t="shared" ca="1" si="61"/>
        <v>48548</v>
      </c>
      <c r="N393" s="37">
        <f t="shared" ca="1" si="56"/>
        <v>0</v>
      </c>
      <c r="O393" s="4">
        <f ca="1">IFERROR(AVERAGEIF(N$5:$N393,"&gt;="&amp;_xlfn.PERCENTILE.EXC(N$5:$N393,0.2)),0)</f>
        <v>0</v>
      </c>
      <c r="Q393" s="21">
        <f t="shared" ca="1" si="62"/>
        <v>48548</v>
      </c>
      <c r="R393" s="37">
        <f t="shared" ca="1" si="57"/>
        <v>0</v>
      </c>
      <c r="S393" s="4">
        <f ca="1">IFERROR(AVERAGE($R$5:R393),0)</f>
        <v>0</v>
      </c>
      <c r="U393" s="21">
        <f t="shared" ca="1" si="58"/>
        <v>48548</v>
      </c>
      <c r="V393" s="4">
        <f ca="1">MIN(S393,PREMISSAS!$C$14)</f>
        <v>0</v>
      </c>
      <c r="W393" s="188"/>
      <c r="X393" s="188"/>
    </row>
    <row r="394" spans="2:24" x14ac:dyDescent="0.3">
      <c r="B394" s="21" t="str">
        <f t="shared" ca="1" si="59"/>
        <v/>
      </c>
      <c r="C394" s="22" t="str">
        <f ca="1">IF(B394="","",IF(LEFT(B394,2)="13",C393,IF(MONTH(B394)=1,C393*(1+PREMISSAS!$C$58),C393)))</f>
        <v/>
      </c>
      <c r="E394" s="18">
        <v>390</v>
      </c>
      <c r="F394" s="21" t="str">
        <f t="shared" ca="1" si="60"/>
        <v>13º 2032</v>
      </c>
      <c r="G394" s="22">
        <f ca="1">IFERROR(VLOOKUP(F394,RESULTADOS!$O$5:$P$543,2,FALSE),VLOOKUP(F394,$B$5:$C$842,2,FALSE))</f>
        <v>0</v>
      </c>
      <c r="H394" s="4">
        <f ca="1">IF(F394&lt;PREMISSAS!$D$7,0,IFERROR(VLOOKUP(IF(LEFT(F394,2)="13",DATE(YEAR(F393),12,31),F394),IPCA!$A:$D,4,FALSE),1)*G394)</f>
        <v>0</v>
      </c>
      <c r="J394" s="21" t="str">
        <f t="shared" ca="1" si="54"/>
        <v>13º 2032</v>
      </c>
      <c r="K394" s="4">
        <f t="shared" ca="1" si="55"/>
        <v>0</v>
      </c>
      <c r="M394" s="21" t="str">
        <f t="shared" ca="1" si="61"/>
        <v>13º 2032</v>
      </c>
      <c r="N394" s="37">
        <f t="shared" ca="1" si="56"/>
        <v>0</v>
      </c>
      <c r="O394" s="4">
        <f ca="1">IFERROR(AVERAGEIF(N$5:$N394,"&gt;="&amp;_xlfn.PERCENTILE.EXC(N$5:$N394,0.2)),0)</f>
        <v>0</v>
      </c>
      <c r="Q394" s="21" t="str">
        <f t="shared" ca="1" si="62"/>
        <v>13º 2032</v>
      </c>
      <c r="R394" s="37">
        <f t="shared" ca="1" si="57"/>
        <v>0</v>
      </c>
      <c r="S394" s="4">
        <f ca="1">IFERROR(AVERAGE($R$5:R394),0)</f>
        <v>0</v>
      </c>
      <c r="U394" s="21" t="str">
        <f t="shared" ca="1" si="58"/>
        <v>13º 2032</v>
      </c>
      <c r="V394" s="4">
        <f ca="1">MIN(S394,PREMISSAS!$C$14)</f>
        <v>0</v>
      </c>
      <c r="W394" s="188"/>
      <c r="X394" s="188"/>
    </row>
    <row r="395" spans="2:24" x14ac:dyDescent="0.3">
      <c r="B395" s="21" t="str">
        <f t="shared" ca="1" si="59"/>
        <v/>
      </c>
      <c r="C395" s="22" t="str">
        <f ca="1">IF(B395="","",IF(LEFT(B395,2)="13",C394,IF(MONTH(B395)=1,C394*(1+PREMISSAS!$C$58),C394)))</f>
        <v/>
      </c>
      <c r="E395" s="18">
        <v>391</v>
      </c>
      <c r="F395" s="21">
        <f t="shared" ca="1" si="60"/>
        <v>48579</v>
      </c>
      <c r="G395" s="22">
        <f ca="1">IFERROR(VLOOKUP(F395,RESULTADOS!$O$5:$P$543,2,FALSE),VLOOKUP(F395,$B$5:$C$842,2,FALSE))</f>
        <v>0</v>
      </c>
      <c r="H395" s="4">
        <f ca="1">IF(F395&lt;PREMISSAS!$D$7,0,IFERROR(VLOOKUP(IF(LEFT(F395,2)="13",DATE(YEAR(F394),12,31),F395),IPCA!$A:$D,4,FALSE),1)*G395)</f>
        <v>0</v>
      </c>
      <c r="J395" s="21">
        <f t="shared" ca="1" si="54"/>
        <v>48579</v>
      </c>
      <c r="K395" s="4">
        <f t="shared" ca="1" si="55"/>
        <v>0</v>
      </c>
      <c r="M395" s="21">
        <f t="shared" ca="1" si="61"/>
        <v>48579</v>
      </c>
      <c r="N395" s="37">
        <f t="shared" ca="1" si="56"/>
        <v>0</v>
      </c>
      <c r="O395" s="4">
        <f ca="1">IFERROR(AVERAGEIF(N$5:$N395,"&gt;="&amp;_xlfn.PERCENTILE.EXC(N$5:$N395,0.2)),0)</f>
        <v>0</v>
      </c>
      <c r="Q395" s="21">
        <f t="shared" ca="1" si="62"/>
        <v>48579</v>
      </c>
      <c r="R395" s="37">
        <f t="shared" ca="1" si="57"/>
        <v>0</v>
      </c>
      <c r="S395" s="4">
        <f ca="1">IFERROR(AVERAGE($R$5:R395),0)</f>
        <v>0</v>
      </c>
      <c r="U395" s="21">
        <f t="shared" ca="1" si="58"/>
        <v>48579</v>
      </c>
      <c r="V395" s="4">
        <f ca="1">MIN(S395,PREMISSAS!$C$14)</f>
        <v>0</v>
      </c>
      <c r="W395" s="188"/>
      <c r="X395" s="188"/>
    </row>
    <row r="396" spans="2:24" x14ac:dyDescent="0.3">
      <c r="B396" s="21" t="str">
        <f t="shared" ca="1" si="59"/>
        <v/>
      </c>
      <c r="C396" s="22" t="str">
        <f ca="1">IF(B396="","",IF(LEFT(B396,2)="13",C395,IF(MONTH(B396)=1,C395*(1+PREMISSAS!$C$58),C395)))</f>
        <v/>
      </c>
      <c r="E396" s="18">
        <v>392</v>
      </c>
      <c r="F396" s="21">
        <f t="shared" ca="1" si="60"/>
        <v>48610</v>
      </c>
      <c r="G396" s="22">
        <f ca="1">IFERROR(VLOOKUP(F396,RESULTADOS!$O$5:$P$543,2,FALSE),VLOOKUP(F396,$B$5:$C$842,2,FALSE))</f>
        <v>0</v>
      </c>
      <c r="H396" s="4">
        <f ca="1">IF(F396&lt;PREMISSAS!$D$7,0,IFERROR(VLOOKUP(IF(LEFT(F396,2)="13",DATE(YEAR(F395),12,31),F396),IPCA!$A:$D,4,FALSE),1)*G396)</f>
        <v>0</v>
      </c>
      <c r="J396" s="21">
        <f t="shared" ca="1" si="54"/>
        <v>48610</v>
      </c>
      <c r="K396" s="4">
        <f t="shared" ca="1" si="55"/>
        <v>0</v>
      </c>
      <c r="M396" s="21">
        <f t="shared" ca="1" si="61"/>
        <v>48610</v>
      </c>
      <c r="N396" s="37">
        <f t="shared" ca="1" si="56"/>
        <v>0</v>
      </c>
      <c r="O396" s="4">
        <f ca="1">IFERROR(AVERAGEIF(N$5:$N396,"&gt;="&amp;_xlfn.PERCENTILE.EXC(N$5:$N396,0.2)),0)</f>
        <v>0</v>
      </c>
      <c r="Q396" s="21">
        <f t="shared" ca="1" si="62"/>
        <v>48610</v>
      </c>
      <c r="R396" s="37">
        <f t="shared" ca="1" si="57"/>
        <v>0</v>
      </c>
      <c r="S396" s="4">
        <f ca="1">IFERROR(AVERAGE($R$5:R396),0)</f>
        <v>0</v>
      </c>
      <c r="U396" s="21">
        <f t="shared" ca="1" si="58"/>
        <v>48610</v>
      </c>
      <c r="V396" s="4">
        <f ca="1">MIN(S396,PREMISSAS!$C$14)</f>
        <v>0</v>
      </c>
      <c r="W396" s="188"/>
      <c r="X396" s="188"/>
    </row>
    <row r="397" spans="2:24" x14ac:dyDescent="0.3">
      <c r="B397" s="21" t="str">
        <f t="shared" ca="1" si="59"/>
        <v/>
      </c>
      <c r="C397" s="22" t="str">
        <f ca="1">IF(B397="","",IF(LEFT(B397,2)="13",C396,IF(MONTH(B397)=1,C396*(1+PREMISSAS!$C$58),C396)))</f>
        <v/>
      </c>
      <c r="E397" s="18">
        <v>393</v>
      </c>
      <c r="F397" s="21">
        <f t="shared" ca="1" si="60"/>
        <v>48638</v>
      </c>
      <c r="G397" s="22">
        <f ca="1">IFERROR(VLOOKUP(F397,RESULTADOS!$O$5:$P$543,2,FALSE),VLOOKUP(F397,$B$5:$C$842,2,FALSE))</f>
        <v>0</v>
      </c>
      <c r="H397" s="4">
        <f ca="1">IF(F397&lt;PREMISSAS!$D$7,0,IFERROR(VLOOKUP(IF(LEFT(F397,2)="13",DATE(YEAR(F396),12,31),F397),IPCA!$A:$D,4,FALSE),1)*G397)</f>
        <v>0</v>
      </c>
      <c r="J397" s="21">
        <f t="shared" ca="1" si="54"/>
        <v>48638</v>
      </c>
      <c r="K397" s="4">
        <f t="shared" ca="1" si="55"/>
        <v>0</v>
      </c>
      <c r="M397" s="21">
        <f t="shared" ca="1" si="61"/>
        <v>48638</v>
      </c>
      <c r="N397" s="37">
        <f t="shared" ca="1" si="56"/>
        <v>0</v>
      </c>
      <c r="O397" s="4">
        <f ca="1">IFERROR(AVERAGEIF(N$5:$N397,"&gt;="&amp;_xlfn.PERCENTILE.EXC(N$5:$N397,0.2)),0)</f>
        <v>0</v>
      </c>
      <c r="Q397" s="21">
        <f t="shared" ca="1" si="62"/>
        <v>48638</v>
      </c>
      <c r="R397" s="37">
        <f t="shared" ca="1" si="57"/>
        <v>0</v>
      </c>
      <c r="S397" s="4">
        <f ca="1">IFERROR(AVERAGE($R$5:R397),0)</f>
        <v>0</v>
      </c>
      <c r="U397" s="21">
        <f t="shared" ca="1" si="58"/>
        <v>48638</v>
      </c>
      <c r="V397" s="4">
        <f ca="1">MIN(S397,PREMISSAS!$C$14)</f>
        <v>0</v>
      </c>
      <c r="W397" s="188"/>
      <c r="X397" s="188"/>
    </row>
    <row r="398" spans="2:24" x14ac:dyDescent="0.3">
      <c r="B398" s="21" t="str">
        <f t="shared" ca="1" si="59"/>
        <v/>
      </c>
      <c r="C398" s="22" t="str">
        <f ca="1">IF(B398="","",IF(LEFT(B398,2)="13",C397,IF(MONTH(B398)=1,C397*(1+PREMISSAS!$C$58),C397)))</f>
        <v/>
      </c>
      <c r="E398" s="18">
        <v>394</v>
      </c>
      <c r="F398" s="21">
        <f t="shared" ca="1" si="60"/>
        <v>48669</v>
      </c>
      <c r="G398" s="22">
        <f ca="1">IFERROR(VLOOKUP(F398,RESULTADOS!$O$5:$P$543,2,FALSE),VLOOKUP(F398,$B$5:$C$842,2,FALSE))</f>
        <v>0</v>
      </c>
      <c r="H398" s="4">
        <f ca="1">IF(F398&lt;PREMISSAS!$D$7,0,IFERROR(VLOOKUP(IF(LEFT(F398,2)="13",DATE(YEAR(F397),12,31),F398),IPCA!$A:$D,4,FALSE),1)*G398)</f>
        <v>0</v>
      </c>
      <c r="J398" s="21">
        <f t="shared" ca="1" si="54"/>
        <v>48669</v>
      </c>
      <c r="K398" s="4">
        <f t="shared" ca="1" si="55"/>
        <v>0</v>
      </c>
      <c r="M398" s="21">
        <f t="shared" ca="1" si="61"/>
        <v>48669</v>
      </c>
      <c r="N398" s="37">
        <f t="shared" ca="1" si="56"/>
        <v>0</v>
      </c>
      <c r="O398" s="4">
        <f ca="1">IFERROR(AVERAGEIF(N$5:$N398,"&gt;="&amp;_xlfn.PERCENTILE.EXC(N$5:$N398,0.2)),0)</f>
        <v>0</v>
      </c>
      <c r="Q398" s="21">
        <f t="shared" ca="1" si="62"/>
        <v>48669</v>
      </c>
      <c r="R398" s="37">
        <f t="shared" ca="1" si="57"/>
        <v>0</v>
      </c>
      <c r="S398" s="4">
        <f ca="1">IFERROR(AVERAGE($R$5:R398),0)</f>
        <v>0</v>
      </c>
      <c r="U398" s="21">
        <f t="shared" ca="1" si="58"/>
        <v>48669</v>
      </c>
      <c r="V398" s="4">
        <f ca="1">MIN(S398,PREMISSAS!$C$14)</f>
        <v>0</v>
      </c>
      <c r="W398" s="188"/>
      <c r="X398" s="188"/>
    </row>
    <row r="399" spans="2:24" x14ac:dyDescent="0.3">
      <c r="B399" s="21" t="str">
        <f t="shared" ca="1" si="59"/>
        <v/>
      </c>
      <c r="C399" s="22" t="str">
        <f ca="1">IF(B399="","",IF(LEFT(B399,2)="13",C398,IF(MONTH(B399)=1,C398*(1+PREMISSAS!$C$58),C398)))</f>
        <v/>
      </c>
      <c r="E399" s="18">
        <v>395</v>
      </c>
      <c r="F399" s="21">
        <f t="shared" ca="1" si="60"/>
        <v>48699</v>
      </c>
      <c r="G399" s="22">
        <f ca="1">IFERROR(VLOOKUP(F399,RESULTADOS!$O$5:$P$543,2,FALSE),VLOOKUP(F399,$B$5:$C$842,2,FALSE))</f>
        <v>0</v>
      </c>
      <c r="H399" s="4">
        <f ca="1">IF(F399&lt;PREMISSAS!$D$7,0,IFERROR(VLOOKUP(IF(LEFT(F399,2)="13",DATE(YEAR(F398),12,31),F399),IPCA!$A:$D,4,FALSE),1)*G399)</f>
        <v>0</v>
      </c>
      <c r="J399" s="21">
        <f t="shared" ca="1" si="54"/>
        <v>48699</v>
      </c>
      <c r="K399" s="4">
        <f t="shared" ca="1" si="55"/>
        <v>0</v>
      </c>
      <c r="M399" s="21">
        <f t="shared" ca="1" si="61"/>
        <v>48699</v>
      </c>
      <c r="N399" s="37">
        <f t="shared" ca="1" si="56"/>
        <v>0</v>
      </c>
      <c r="O399" s="4">
        <f ca="1">IFERROR(AVERAGEIF(N$5:$N399,"&gt;="&amp;_xlfn.PERCENTILE.EXC(N$5:$N399,0.2)),0)</f>
        <v>0</v>
      </c>
      <c r="Q399" s="21">
        <f t="shared" ca="1" si="62"/>
        <v>48699</v>
      </c>
      <c r="R399" s="37">
        <f t="shared" ca="1" si="57"/>
        <v>0</v>
      </c>
      <c r="S399" s="4">
        <f ca="1">IFERROR(AVERAGE($R$5:R399),0)</f>
        <v>0</v>
      </c>
      <c r="U399" s="21">
        <f t="shared" ca="1" si="58"/>
        <v>48699</v>
      </c>
      <c r="V399" s="4">
        <f ca="1">MIN(S399,PREMISSAS!$C$14)</f>
        <v>0</v>
      </c>
      <c r="W399" s="188"/>
      <c r="X399" s="188"/>
    </row>
    <row r="400" spans="2:24" x14ac:dyDescent="0.3">
      <c r="B400" s="21" t="str">
        <f t="shared" ca="1" si="59"/>
        <v/>
      </c>
      <c r="C400" s="22" t="str">
        <f ca="1">IF(B400="","",IF(LEFT(B400,2)="13",C399,IF(MONTH(B400)=1,C399*(1+PREMISSAS!$C$58),C399)))</f>
        <v/>
      </c>
      <c r="E400" s="18">
        <v>396</v>
      </c>
      <c r="F400" s="21">
        <f t="shared" ca="1" si="60"/>
        <v>48730</v>
      </c>
      <c r="G400" s="22">
        <f ca="1">IFERROR(VLOOKUP(F400,RESULTADOS!$O$5:$P$543,2,FALSE),VLOOKUP(F400,$B$5:$C$842,2,FALSE))</f>
        <v>0</v>
      </c>
      <c r="H400" s="4">
        <f ca="1">IF(F400&lt;PREMISSAS!$D$7,0,IFERROR(VLOOKUP(IF(LEFT(F400,2)="13",DATE(YEAR(F399),12,31),F400),IPCA!$A:$D,4,FALSE),1)*G400)</f>
        <v>0</v>
      </c>
      <c r="J400" s="21">
        <f t="shared" ca="1" si="54"/>
        <v>48730</v>
      </c>
      <c r="K400" s="4">
        <f t="shared" ca="1" si="55"/>
        <v>0</v>
      </c>
      <c r="M400" s="21">
        <f t="shared" ca="1" si="61"/>
        <v>48730</v>
      </c>
      <c r="N400" s="37">
        <f t="shared" ca="1" si="56"/>
        <v>0</v>
      </c>
      <c r="O400" s="4">
        <f ca="1">IFERROR(AVERAGEIF(N$5:$N400,"&gt;="&amp;_xlfn.PERCENTILE.EXC(N$5:$N400,0.2)),0)</f>
        <v>0</v>
      </c>
      <c r="Q400" s="21">
        <f t="shared" ca="1" si="62"/>
        <v>48730</v>
      </c>
      <c r="R400" s="37">
        <f t="shared" ca="1" si="57"/>
        <v>0</v>
      </c>
      <c r="S400" s="4">
        <f ca="1">IFERROR(AVERAGE($R$5:R400),0)</f>
        <v>0</v>
      </c>
      <c r="U400" s="21">
        <f t="shared" ca="1" si="58"/>
        <v>48730</v>
      </c>
      <c r="V400" s="4">
        <f ca="1">MIN(S400,PREMISSAS!$C$14)</f>
        <v>0</v>
      </c>
      <c r="W400" s="188"/>
      <c r="X400" s="188"/>
    </row>
    <row r="401" spans="2:24" x14ac:dyDescent="0.3">
      <c r="B401" s="21" t="str">
        <f t="shared" ca="1" si="59"/>
        <v/>
      </c>
      <c r="C401" s="22" t="str">
        <f ca="1">IF(B401="","",IF(LEFT(B401,2)="13",C400,IF(MONTH(B401)=1,C400*(1+PREMISSAS!$C$58),C400)))</f>
        <v/>
      </c>
      <c r="E401" s="18">
        <v>397</v>
      </c>
      <c r="F401" s="21">
        <f t="shared" ca="1" si="60"/>
        <v>48760</v>
      </c>
      <c r="G401" s="22">
        <f ca="1">IFERROR(VLOOKUP(F401,RESULTADOS!$O$5:$P$543,2,FALSE),VLOOKUP(F401,$B$5:$C$842,2,FALSE))</f>
        <v>0</v>
      </c>
      <c r="H401" s="4">
        <f ca="1">IF(F401&lt;PREMISSAS!$D$7,0,IFERROR(VLOOKUP(IF(LEFT(F401,2)="13",DATE(YEAR(F400),12,31),F401),IPCA!$A:$D,4,FALSE),1)*G401)</f>
        <v>0</v>
      </c>
      <c r="J401" s="21">
        <f t="shared" ca="1" si="54"/>
        <v>48760</v>
      </c>
      <c r="K401" s="4">
        <f t="shared" ca="1" si="55"/>
        <v>0</v>
      </c>
      <c r="M401" s="21">
        <f t="shared" ca="1" si="61"/>
        <v>48760</v>
      </c>
      <c r="N401" s="37">
        <f t="shared" ca="1" si="56"/>
        <v>0</v>
      </c>
      <c r="O401" s="4">
        <f ca="1">IFERROR(AVERAGEIF(N$5:$N401,"&gt;="&amp;_xlfn.PERCENTILE.EXC(N$5:$N401,0.2)),0)</f>
        <v>0</v>
      </c>
      <c r="Q401" s="21">
        <f t="shared" ca="1" si="62"/>
        <v>48760</v>
      </c>
      <c r="R401" s="37">
        <f t="shared" ca="1" si="57"/>
        <v>0</v>
      </c>
      <c r="S401" s="4">
        <f ca="1">IFERROR(AVERAGE($R$5:R401),0)</f>
        <v>0</v>
      </c>
      <c r="U401" s="21">
        <f t="shared" ca="1" si="58"/>
        <v>48760</v>
      </c>
      <c r="V401" s="4">
        <f ca="1">MIN(S401,PREMISSAS!$C$14)</f>
        <v>0</v>
      </c>
      <c r="W401" s="188"/>
      <c r="X401" s="188"/>
    </row>
    <row r="402" spans="2:24" x14ac:dyDescent="0.3">
      <c r="B402" s="21" t="str">
        <f t="shared" ca="1" si="59"/>
        <v/>
      </c>
      <c r="C402" s="22" t="str">
        <f ca="1">IF(B402="","",IF(LEFT(B402,2)="13",C401,IF(MONTH(B402)=1,C401*(1+PREMISSAS!$C$58),C401)))</f>
        <v/>
      </c>
      <c r="E402" s="18">
        <v>398</v>
      </c>
      <c r="F402" s="21">
        <f t="shared" ca="1" si="60"/>
        <v>48791</v>
      </c>
      <c r="G402" s="22">
        <f ca="1">IFERROR(VLOOKUP(F402,RESULTADOS!$O$5:$P$543,2,FALSE),VLOOKUP(F402,$B$5:$C$842,2,FALSE))</f>
        <v>0</v>
      </c>
      <c r="H402" s="4">
        <f ca="1">IF(F402&lt;PREMISSAS!$D$7,0,IFERROR(VLOOKUP(IF(LEFT(F402,2)="13",DATE(YEAR(F401),12,31),F402),IPCA!$A:$D,4,FALSE),1)*G402)</f>
        <v>0</v>
      </c>
      <c r="J402" s="21">
        <f t="shared" ca="1" si="54"/>
        <v>48791</v>
      </c>
      <c r="K402" s="4">
        <f t="shared" ca="1" si="55"/>
        <v>0</v>
      </c>
      <c r="M402" s="21">
        <f t="shared" ca="1" si="61"/>
        <v>48791</v>
      </c>
      <c r="N402" s="37">
        <f t="shared" ca="1" si="56"/>
        <v>0</v>
      </c>
      <c r="O402" s="4">
        <f ca="1">IFERROR(AVERAGEIF(N$5:$N402,"&gt;="&amp;_xlfn.PERCENTILE.EXC(N$5:$N402,0.2)),0)</f>
        <v>0</v>
      </c>
      <c r="Q402" s="21">
        <f t="shared" ca="1" si="62"/>
        <v>48791</v>
      </c>
      <c r="R402" s="37">
        <f t="shared" ca="1" si="57"/>
        <v>0</v>
      </c>
      <c r="S402" s="4">
        <f ca="1">IFERROR(AVERAGE($R$5:R402),0)</f>
        <v>0</v>
      </c>
      <c r="U402" s="21">
        <f t="shared" ca="1" si="58"/>
        <v>48791</v>
      </c>
      <c r="V402" s="4">
        <f ca="1">MIN(S402,PREMISSAS!$C$14)</f>
        <v>0</v>
      </c>
      <c r="W402" s="188"/>
      <c r="X402" s="188"/>
    </row>
    <row r="403" spans="2:24" x14ac:dyDescent="0.3">
      <c r="B403" s="21" t="str">
        <f t="shared" ca="1" si="59"/>
        <v/>
      </c>
      <c r="C403" s="22" t="str">
        <f ca="1">IF(B403="","",IF(LEFT(B403,2)="13",C402,IF(MONTH(B403)=1,C402*(1+PREMISSAS!$C$58),C402)))</f>
        <v/>
      </c>
      <c r="E403" s="18">
        <v>399</v>
      </c>
      <c r="F403" s="21">
        <f t="shared" ca="1" si="60"/>
        <v>48822</v>
      </c>
      <c r="G403" s="22">
        <f ca="1">IFERROR(VLOOKUP(F403,RESULTADOS!$O$5:$P$543,2,FALSE),VLOOKUP(F403,$B$5:$C$842,2,FALSE))</f>
        <v>0</v>
      </c>
      <c r="H403" s="4">
        <f ca="1">IF(F403&lt;PREMISSAS!$D$7,0,IFERROR(VLOOKUP(IF(LEFT(F403,2)="13",DATE(YEAR(F402),12,31),F403),IPCA!$A:$D,4,FALSE),1)*G403)</f>
        <v>0</v>
      </c>
      <c r="J403" s="21">
        <f t="shared" ca="1" si="54"/>
        <v>48822</v>
      </c>
      <c r="K403" s="4">
        <f t="shared" ca="1" si="55"/>
        <v>0</v>
      </c>
      <c r="M403" s="21">
        <f t="shared" ca="1" si="61"/>
        <v>48822</v>
      </c>
      <c r="N403" s="37">
        <f t="shared" ca="1" si="56"/>
        <v>0</v>
      </c>
      <c r="O403" s="4">
        <f ca="1">IFERROR(AVERAGEIF(N$5:$N403,"&gt;="&amp;_xlfn.PERCENTILE.EXC(N$5:$N403,0.2)),0)</f>
        <v>0</v>
      </c>
      <c r="Q403" s="21">
        <f t="shared" ca="1" si="62"/>
        <v>48822</v>
      </c>
      <c r="R403" s="37">
        <f t="shared" ca="1" si="57"/>
        <v>0</v>
      </c>
      <c r="S403" s="4">
        <f ca="1">IFERROR(AVERAGE($R$5:R403),0)</f>
        <v>0</v>
      </c>
      <c r="U403" s="21">
        <f t="shared" ca="1" si="58"/>
        <v>48822</v>
      </c>
      <c r="V403" s="4">
        <f ca="1">MIN(S403,PREMISSAS!$C$14)</f>
        <v>0</v>
      </c>
      <c r="W403" s="188"/>
      <c r="X403" s="188"/>
    </row>
    <row r="404" spans="2:24" x14ac:dyDescent="0.3">
      <c r="B404" s="21" t="str">
        <f t="shared" ca="1" si="59"/>
        <v/>
      </c>
      <c r="C404" s="22" t="str">
        <f ca="1">IF(B404="","",IF(LEFT(B404,2)="13",C403,IF(MONTH(B404)=1,C403*(1+PREMISSAS!$C$58),C403)))</f>
        <v/>
      </c>
      <c r="E404" s="18">
        <v>400</v>
      </c>
      <c r="F404" s="21">
        <f t="shared" ca="1" si="60"/>
        <v>48852</v>
      </c>
      <c r="G404" s="22">
        <f ca="1">IFERROR(VLOOKUP(F404,RESULTADOS!$O$5:$P$543,2,FALSE),VLOOKUP(F404,$B$5:$C$842,2,FALSE))</f>
        <v>0</v>
      </c>
      <c r="H404" s="4">
        <f ca="1">IF(F404&lt;PREMISSAS!$D$7,0,IFERROR(VLOOKUP(IF(LEFT(F404,2)="13",DATE(YEAR(F403),12,31),F404),IPCA!$A:$D,4,FALSE),1)*G404)</f>
        <v>0</v>
      </c>
      <c r="J404" s="21">
        <f t="shared" ca="1" si="54"/>
        <v>48852</v>
      </c>
      <c r="K404" s="4">
        <f t="shared" ca="1" si="55"/>
        <v>0</v>
      </c>
      <c r="M404" s="21">
        <f t="shared" ca="1" si="61"/>
        <v>48852</v>
      </c>
      <c r="N404" s="37">
        <f t="shared" ca="1" si="56"/>
        <v>0</v>
      </c>
      <c r="O404" s="4">
        <f ca="1">IFERROR(AVERAGEIF(N$5:$N404,"&gt;="&amp;_xlfn.PERCENTILE.EXC(N$5:$N404,0.2)),0)</f>
        <v>0</v>
      </c>
      <c r="Q404" s="21">
        <f t="shared" ca="1" si="62"/>
        <v>48852</v>
      </c>
      <c r="R404" s="37">
        <f t="shared" ca="1" si="57"/>
        <v>0</v>
      </c>
      <c r="S404" s="4">
        <f ca="1">IFERROR(AVERAGE($R$5:R404),0)</f>
        <v>0</v>
      </c>
      <c r="U404" s="21">
        <f t="shared" ca="1" si="58"/>
        <v>48852</v>
      </c>
      <c r="V404" s="4">
        <f ca="1">MIN(S404,PREMISSAS!$C$14)</f>
        <v>0</v>
      </c>
      <c r="W404" s="188"/>
      <c r="X404" s="188"/>
    </row>
    <row r="405" spans="2:24" x14ac:dyDescent="0.3">
      <c r="B405" s="21" t="str">
        <f t="shared" ca="1" si="59"/>
        <v/>
      </c>
      <c r="C405" s="22" t="str">
        <f ca="1">IF(B405="","",IF(LEFT(B405,2)="13",C404,IF(MONTH(B405)=1,C404*(1+PREMISSAS!$C$58),C404)))</f>
        <v/>
      </c>
      <c r="E405" s="18">
        <v>401</v>
      </c>
      <c r="F405" s="21">
        <f t="shared" ca="1" si="60"/>
        <v>48883</v>
      </c>
      <c r="G405" s="22">
        <f ca="1">IFERROR(VLOOKUP(F405,RESULTADOS!$O$5:$P$543,2,FALSE),VLOOKUP(F405,$B$5:$C$842,2,FALSE))</f>
        <v>0</v>
      </c>
      <c r="H405" s="4">
        <f ca="1">IF(F405&lt;PREMISSAS!$D$7,0,IFERROR(VLOOKUP(IF(LEFT(F405,2)="13",DATE(YEAR(F404),12,31),F405),IPCA!$A:$D,4,FALSE),1)*G405)</f>
        <v>0</v>
      </c>
      <c r="J405" s="21">
        <f t="shared" ca="1" si="54"/>
        <v>48883</v>
      </c>
      <c r="K405" s="4">
        <f t="shared" ca="1" si="55"/>
        <v>0</v>
      </c>
      <c r="M405" s="21">
        <f t="shared" ca="1" si="61"/>
        <v>48883</v>
      </c>
      <c r="N405" s="37">
        <f t="shared" ca="1" si="56"/>
        <v>0</v>
      </c>
      <c r="O405" s="4">
        <f ca="1">IFERROR(AVERAGEIF(N$5:$N405,"&gt;="&amp;_xlfn.PERCENTILE.EXC(N$5:$N405,0.2)),0)</f>
        <v>0</v>
      </c>
      <c r="Q405" s="21">
        <f t="shared" ca="1" si="62"/>
        <v>48883</v>
      </c>
      <c r="R405" s="37">
        <f t="shared" ca="1" si="57"/>
        <v>0</v>
      </c>
      <c r="S405" s="4">
        <f ca="1">IFERROR(AVERAGE($R$5:R405),0)</f>
        <v>0</v>
      </c>
      <c r="U405" s="21">
        <f t="shared" ca="1" si="58"/>
        <v>48883</v>
      </c>
      <c r="V405" s="4">
        <f ca="1">MIN(S405,PREMISSAS!$C$14)</f>
        <v>0</v>
      </c>
      <c r="W405" s="188"/>
      <c r="X405" s="188"/>
    </row>
    <row r="406" spans="2:24" x14ac:dyDescent="0.3">
      <c r="B406" s="21" t="str">
        <f t="shared" ca="1" si="59"/>
        <v/>
      </c>
      <c r="C406" s="22" t="str">
        <f ca="1">IF(B406="","",IF(LEFT(B406,2)="13",C405,IF(MONTH(B406)=1,C405*(1+PREMISSAS!$C$58),C405)))</f>
        <v/>
      </c>
      <c r="E406" s="18">
        <v>402</v>
      </c>
      <c r="F406" s="21">
        <f t="shared" ca="1" si="60"/>
        <v>48913</v>
      </c>
      <c r="G406" s="22">
        <f ca="1">IFERROR(VLOOKUP(F406,RESULTADOS!$O$5:$P$543,2,FALSE),VLOOKUP(F406,$B$5:$C$842,2,FALSE))</f>
        <v>0</v>
      </c>
      <c r="H406" s="4">
        <f ca="1">IF(F406&lt;PREMISSAS!$D$7,0,IFERROR(VLOOKUP(IF(LEFT(F406,2)="13",DATE(YEAR(F405),12,31),F406),IPCA!$A:$D,4,FALSE),1)*G406)</f>
        <v>0</v>
      </c>
      <c r="J406" s="21">
        <f t="shared" ca="1" si="54"/>
        <v>48913</v>
      </c>
      <c r="K406" s="4">
        <f t="shared" ca="1" si="55"/>
        <v>0</v>
      </c>
      <c r="M406" s="21">
        <f t="shared" ca="1" si="61"/>
        <v>48913</v>
      </c>
      <c r="N406" s="37">
        <f t="shared" ca="1" si="56"/>
        <v>0</v>
      </c>
      <c r="O406" s="4">
        <f ca="1">IFERROR(AVERAGEIF(N$5:$N406,"&gt;="&amp;_xlfn.PERCENTILE.EXC(N$5:$N406,0.2)),0)</f>
        <v>0</v>
      </c>
      <c r="Q406" s="21">
        <f t="shared" ca="1" si="62"/>
        <v>48913</v>
      </c>
      <c r="R406" s="37">
        <f t="shared" ca="1" si="57"/>
        <v>0</v>
      </c>
      <c r="S406" s="4">
        <f ca="1">IFERROR(AVERAGE($R$5:R406),0)</f>
        <v>0</v>
      </c>
      <c r="U406" s="21">
        <f t="shared" ca="1" si="58"/>
        <v>48913</v>
      </c>
      <c r="V406" s="4">
        <f ca="1">MIN(S406,PREMISSAS!$C$14)</f>
        <v>0</v>
      </c>
      <c r="W406" s="188"/>
      <c r="X406" s="188"/>
    </row>
    <row r="407" spans="2:24" x14ac:dyDescent="0.3">
      <c r="B407" s="21" t="str">
        <f t="shared" ca="1" si="59"/>
        <v/>
      </c>
      <c r="C407" s="22" t="str">
        <f ca="1">IF(B407="","",IF(LEFT(B407,2)="13",C406,IF(MONTH(B407)=1,C406*(1+PREMISSAS!$C$58),C406)))</f>
        <v/>
      </c>
      <c r="E407" s="18">
        <v>403</v>
      </c>
      <c r="F407" s="21" t="str">
        <f t="shared" ca="1" si="60"/>
        <v>13º 2033</v>
      </c>
      <c r="G407" s="22">
        <f ca="1">IFERROR(VLOOKUP(F407,RESULTADOS!$O$5:$P$543,2,FALSE),VLOOKUP(F407,$B$5:$C$842,2,FALSE))</f>
        <v>0</v>
      </c>
      <c r="H407" s="4">
        <f ca="1">IF(F407&lt;PREMISSAS!$D$7,0,IFERROR(VLOOKUP(IF(LEFT(F407,2)="13",DATE(YEAR(F406),12,31),F407),IPCA!$A:$D,4,FALSE),1)*G407)</f>
        <v>0</v>
      </c>
      <c r="J407" s="21" t="str">
        <f t="shared" ca="1" si="54"/>
        <v>13º 2033</v>
      </c>
      <c r="K407" s="4">
        <f t="shared" ca="1" si="55"/>
        <v>0</v>
      </c>
      <c r="M407" s="21" t="str">
        <f t="shared" ca="1" si="61"/>
        <v>13º 2033</v>
      </c>
      <c r="N407" s="37">
        <f t="shared" ca="1" si="56"/>
        <v>0</v>
      </c>
      <c r="O407" s="4">
        <f ca="1">IFERROR(AVERAGEIF(N$5:$N407,"&gt;="&amp;_xlfn.PERCENTILE.EXC(N$5:$N407,0.2)),0)</f>
        <v>0</v>
      </c>
      <c r="Q407" s="21" t="str">
        <f t="shared" ca="1" si="62"/>
        <v>13º 2033</v>
      </c>
      <c r="R407" s="37">
        <f t="shared" ca="1" si="57"/>
        <v>0</v>
      </c>
      <c r="S407" s="4">
        <f ca="1">IFERROR(AVERAGE($R$5:R407),0)</f>
        <v>0</v>
      </c>
      <c r="U407" s="21" t="str">
        <f t="shared" ca="1" si="58"/>
        <v>13º 2033</v>
      </c>
      <c r="V407" s="4">
        <f ca="1">MIN(S407,PREMISSAS!$C$14)</f>
        <v>0</v>
      </c>
      <c r="W407" s="188"/>
      <c r="X407" s="188"/>
    </row>
    <row r="408" spans="2:24" x14ac:dyDescent="0.3">
      <c r="B408" s="21" t="str">
        <f t="shared" ca="1" si="59"/>
        <v/>
      </c>
      <c r="C408" s="22" t="str">
        <f ca="1">IF(B408="","",IF(LEFT(B408,2)="13",C407,IF(MONTH(B408)=1,C407*(1+PREMISSAS!$C$58),C407)))</f>
        <v/>
      </c>
      <c r="E408" s="18">
        <v>404</v>
      </c>
      <c r="F408" s="21">
        <f t="shared" ca="1" si="60"/>
        <v>48944</v>
      </c>
      <c r="G408" s="22">
        <f ca="1">IFERROR(VLOOKUP(F408,RESULTADOS!$O$5:$P$543,2,FALSE),VLOOKUP(F408,$B$5:$C$842,2,FALSE))</f>
        <v>0</v>
      </c>
      <c r="H408" s="4">
        <f ca="1">IF(F408&lt;PREMISSAS!$D$7,0,IFERROR(VLOOKUP(IF(LEFT(F408,2)="13",DATE(YEAR(F407),12,31),F408),IPCA!$A:$D,4,FALSE),1)*G408)</f>
        <v>0</v>
      </c>
      <c r="J408" s="21">
        <f t="shared" ca="1" si="54"/>
        <v>48944</v>
      </c>
      <c r="K408" s="4">
        <f t="shared" ca="1" si="55"/>
        <v>0</v>
      </c>
      <c r="M408" s="21">
        <f t="shared" ca="1" si="61"/>
        <v>48944</v>
      </c>
      <c r="N408" s="37">
        <f t="shared" ca="1" si="56"/>
        <v>0</v>
      </c>
      <c r="O408" s="4">
        <f ca="1">IFERROR(AVERAGEIF(N$5:$N408,"&gt;="&amp;_xlfn.PERCENTILE.EXC(N$5:$N408,0.2)),0)</f>
        <v>0</v>
      </c>
      <c r="Q408" s="21">
        <f t="shared" ca="1" si="62"/>
        <v>48944</v>
      </c>
      <c r="R408" s="37">
        <f t="shared" ca="1" si="57"/>
        <v>0</v>
      </c>
      <c r="S408" s="4">
        <f ca="1">IFERROR(AVERAGE($R$5:R408),0)</f>
        <v>0</v>
      </c>
      <c r="U408" s="21">
        <f t="shared" ca="1" si="58"/>
        <v>48944</v>
      </c>
      <c r="V408" s="4">
        <f ca="1">MIN(S408,PREMISSAS!$C$14)</f>
        <v>0</v>
      </c>
      <c r="W408" s="188"/>
      <c r="X408" s="188"/>
    </row>
    <row r="409" spans="2:24" x14ac:dyDescent="0.3">
      <c r="B409" s="21" t="str">
        <f t="shared" ca="1" si="59"/>
        <v/>
      </c>
      <c r="C409" s="22" t="str">
        <f ca="1">IF(B409="","",IF(LEFT(B409,2)="13",C408,IF(MONTH(B409)=1,C408*(1+PREMISSAS!$C$58),C408)))</f>
        <v/>
      </c>
      <c r="E409" s="18">
        <v>405</v>
      </c>
      <c r="F409" s="21">
        <f t="shared" ca="1" si="60"/>
        <v>48975</v>
      </c>
      <c r="G409" s="22">
        <f ca="1">IFERROR(VLOOKUP(F409,RESULTADOS!$O$5:$P$543,2,FALSE),VLOOKUP(F409,$B$5:$C$842,2,FALSE))</f>
        <v>0</v>
      </c>
      <c r="H409" s="4">
        <f ca="1">IF(F409&lt;PREMISSAS!$D$7,0,IFERROR(VLOOKUP(IF(LEFT(F409,2)="13",DATE(YEAR(F408),12,31),F409),IPCA!$A:$D,4,FALSE),1)*G409)</f>
        <v>0</v>
      </c>
      <c r="J409" s="21">
        <f t="shared" ca="1" si="54"/>
        <v>48975</v>
      </c>
      <c r="K409" s="4">
        <f t="shared" ca="1" si="55"/>
        <v>0</v>
      </c>
      <c r="M409" s="21">
        <f t="shared" ca="1" si="61"/>
        <v>48975</v>
      </c>
      <c r="N409" s="37">
        <f t="shared" ca="1" si="56"/>
        <v>0</v>
      </c>
      <c r="O409" s="4">
        <f ca="1">IFERROR(AVERAGEIF(N$5:$N409,"&gt;="&amp;_xlfn.PERCENTILE.EXC(N$5:$N409,0.2)),0)</f>
        <v>0</v>
      </c>
      <c r="Q409" s="21">
        <f t="shared" ca="1" si="62"/>
        <v>48975</v>
      </c>
      <c r="R409" s="37">
        <f t="shared" ca="1" si="57"/>
        <v>0</v>
      </c>
      <c r="S409" s="4">
        <f ca="1">IFERROR(AVERAGE($R$5:R409),0)</f>
        <v>0</v>
      </c>
      <c r="U409" s="21">
        <f t="shared" ca="1" si="58"/>
        <v>48975</v>
      </c>
      <c r="V409" s="4">
        <f ca="1">MIN(S409,PREMISSAS!$C$14)</f>
        <v>0</v>
      </c>
      <c r="W409" s="188"/>
      <c r="X409" s="188"/>
    </row>
    <row r="410" spans="2:24" x14ac:dyDescent="0.3">
      <c r="B410" s="21" t="str">
        <f t="shared" ca="1" si="59"/>
        <v/>
      </c>
      <c r="C410" s="22" t="str">
        <f ca="1">IF(B410="","",IF(LEFT(B410,2)="13",C409,IF(MONTH(B410)=1,C409*(1+PREMISSAS!$C$58),C409)))</f>
        <v/>
      </c>
      <c r="E410" s="18">
        <v>406</v>
      </c>
      <c r="F410" s="21">
        <f t="shared" ca="1" si="60"/>
        <v>49003</v>
      </c>
      <c r="G410" s="22">
        <f ca="1">IFERROR(VLOOKUP(F410,RESULTADOS!$O$5:$P$543,2,FALSE),VLOOKUP(F410,$B$5:$C$842,2,FALSE))</f>
        <v>0</v>
      </c>
      <c r="H410" s="4">
        <f ca="1">IF(F410&lt;PREMISSAS!$D$7,0,IFERROR(VLOOKUP(IF(LEFT(F410,2)="13",DATE(YEAR(F409),12,31),F410),IPCA!$A:$D,4,FALSE),1)*G410)</f>
        <v>0</v>
      </c>
      <c r="J410" s="21">
        <f t="shared" ca="1" si="54"/>
        <v>49003</v>
      </c>
      <c r="K410" s="4">
        <f t="shared" ca="1" si="55"/>
        <v>0</v>
      </c>
      <c r="M410" s="21">
        <f t="shared" ca="1" si="61"/>
        <v>49003</v>
      </c>
      <c r="N410" s="37">
        <f t="shared" ca="1" si="56"/>
        <v>0</v>
      </c>
      <c r="O410" s="4">
        <f ca="1">IFERROR(AVERAGEIF(N$5:$N410,"&gt;="&amp;_xlfn.PERCENTILE.EXC(N$5:$N410,0.2)),0)</f>
        <v>0</v>
      </c>
      <c r="Q410" s="21">
        <f t="shared" ca="1" si="62"/>
        <v>49003</v>
      </c>
      <c r="R410" s="37">
        <f t="shared" ca="1" si="57"/>
        <v>0</v>
      </c>
      <c r="S410" s="4">
        <f ca="1">IFERROR(AVERAGE($R$5:R410),0)</f>
        <v>0</v>
      </c>
      <c r="U410" s="21">
        <f t="shared" ca="1" si="58"/>
        <v>49003</v>
      </c>
      <c r="V410" s="4">
        <f ca="1">MIN(S410,PREMISSAS!$C$14)</f>
        <v>0</v>
      </c>
      <c r="W410" s="188"/>
      <c r="X410" s="188"/>
    </row>
    <row r="411" spans="2:24" x14ac:dyDescent="0.3">
      <c r="B411" s="21" t="str">
        <f t="shared" ca="1" si="59"/>
        <v/>
      </c>
      <c r="C411" s="22" t="str">
        <f ca="1">IF(B411="","",IF(LEFT(B411,2)="13",C410,IF(MONTH(B411)=1,C410*(1+PREMISSAS!$C$58),C410)))</f>
        <v/>
      </c>
      <c r="E411" s="18">
        <v>407</v>
      </c>
      <c r="F411" s="21">
        <f t="shared" ca="1" si="60"/>
        <v>49034</v>
      </c>
      <c r="G411" s="22">
        <f ca="1">IFERROR(VLOOKUP(F411,RESULTADOS!$O$5:$P$543,2,FALSE),VLOOKUP(F411,$B$5:$C$842,2,FALSE))</f>
        <v>0</v>
      </c>
      <c r="H411" s="4">
        <f ca="1">IF(F411&lt;PREMISSAS!$D$7,0,IFERROR(VLOOKUP(IF(LEFT(F411,2)="13",DATE(YEAR(F410),12,31),F411),IPCA!$A:$D,4,FALSE),1)*G411)</f>
        <v>0</v>
      </c>
      <c r="J411" s="21">
        <f t="shared" ca="1" si="54"/>
        <v>49034</v>
      </c>
      <c r="K411" s="4">
        <f t="shared" ca="1" si="55"/>
        <v>0</v>
      </c>
      <c r="M411" s="21">
        <f t="shared" ca="1" si="61"/>
        <v>49034</v>
      </c>
      <c r="N411" s="37">
        <f t="shared" ca="1" si="56"/>
        <v>0</v>
      </c>
      <c r="O411" s="4">
        <f ca="1">IFERROR(AVERAGEIF(N$5:$N411,"&gt;="&amp;_xlfn.PERCENTILE.EXC(N$5:$N411,0.2)),0)</f>
        <v>0</v>
      </c>
      <c r="Q411" s="21">
        <f t="shared" ca="1" si="62"/>
        <v>49034</v>
      </c>
      <c r="R411" s="37">
        <f t="shared" ca="1" si="57"/>
        <v>0</v>
      </c>
      <c r="S411" s="4">
        <f ca="1">IFERROR(AVERAGE($R$5:R411),0)</f>
        <v>0</v>
      </c>
      <c r="U411" s="21">
        <f t="shared" ca="1" si="58"/>
        <v>49034</v>
      </c>
      <c r="V411" s="4">
        <f ca="1">MIN(S411,PREMISSAS!$C$14)</f>
        <v>0</v>
      </c>
      <c r="W411" s="188"/>
      <c r="X411" s="188"/>
    </row>
    <row r="412" spans="2:24" x14ac:dyDescent="0.3">
      <c r="B412" s="21" t="str">
        <f t="shared" ca="1" si="59"/>
        <v/>
      </c>
      <c r="C412" s="22" t="str">
        <f ca="1">IF(B412="","",IF(LEFT(B412,2)="13",C411,IF(MONTH(B412)=1,C411*(1+PREMISSAS!$C$58),C411)))</f>
        <v/>
      </c>
      <c r="E412" s="18">
        <v>408</v>
      </c>
      <c r="F412" s="21">
        <f t="shared" ca="1" si="60"/>
        <v>49064</v>
      </c>
      <c r="G412" s="22">
        <f ca="1">IFERROR(VLOOKUP(F412,RESULTADOS!$O$5:$P$543,2,FALSE),VLOOKUP(F412,$B$5:$C$842,2,FALSE))</f>
        <v>0</v>
      </c>
      <c r="H412" s="4">
        <f ca="1">IF(F412&lt;PREMISSAS!$D$7,0,IFERROR(VLOOKUP(IF(LEFT(F412,2)="13",DATE(YEAR(F411),12,31),F412),IPCA!$A:$D,4,FALSE),1)*G412)</f>
        <v>0</v>
      </c>
      <c r="J412" s="21">
        <f t="shared" ca="1" si="54"/>
        <v>49064</v>
      </c>
      <c r="K412" s="4">
        <f t="shared" ca="1" si="55"/>
        <v>0</v>
      </c>
      <c r="M412" s="21">
        <f t="shared" ca="1" si="61"/>
        <v>49064</v>
      </c>
      <c r="N412" s="37">
        <f t="shared" ca="1" si="56"/>
        <v>0</v>
      </c>
      <c r="O412" s="4">
        <f ca="1">IFERROR(AVERAGEIF(N$5:$N412,"&gt;="&amp;_xlfn.PERCENTILE.EXC(N$5:$N412,0.2)),0)</f>
        <v>0</v>
      </c>
      <c r="Q412" s="21">
        <f t="shared" ca="1" si="62"/>
        <v>49064</v>
      </c>
      <c r="R412" s="37">
        <f t="shared" ca="1" si="57"/>
        <v>0</v>
      </c>
      <c r="S412" s="4">
        <f ca="1">IFERROR(AVERAGE($R$5:R412),0)</f>
        <v>0</v>
      </c>
      <c r="U412" s="21">
        <f t="shared" ca="1" si="58"/>
        <v>49064</v>
      </c>
      <c r="V412" s="4">
        <f ca="1">MIN(S412,PREMISSAS!$C$14)</f>
        <v>0</v>
      </c>
      <c r="W412" s="188"/>
      <c r="X412" s="188"/>
    </row>
    <row r="413" spans="2:24" x14ac:dyDescent="0.3">
      <c r="B413" s="21" t="str">
        <f t="shared" ca="1" si="59"/>
        <v/>
      </c>
      <c r="C413" s="22" t="str">
        <f ca="1">IF(B413="","",IF(LEFT(B413,2)="13",C412,IF(MONTH(B413)=1,C412*(1+PREMISSAS!$C$58),C412)))</f>
        <v/>
      </c>
      <c r="E413" s="18">
        <v>409</v>
      </c>
      <c r="F413" s="21">
        <f t="shared" ca="1" si="60"/>
        <v>49095</v>
      </c>
      <c r="G413" s="22">
        <f ca="1">IFERROR(VLOOKUP(F413,RESULTADOS!$O$5:$P$543,2,FALSE),VLOOKUP(F413,$B$5:$C$842,2,FALSE))</f>
        <v>0</v>
      </c>
      <c r="H413" s="4">
        <f ca="1">IF(F413&lt;PREMISSAS!$D$7,0,IFERROR(VLOOKUP(IF(LEFT(F413,2)="13",DATE(YEAR(F412),12,31),F413),IPCA!$A:$D,4,FALSE),1)*G413)</f>
        <v>0</v>
      </c>
      <c r="J413" s="21">
        <f t="shared" ca="1" si="54"/>
        <v>49095</v>
      </c>
      <c r="K413" s="4">
        <f t="shared" ca="1" si="55"/>
        <v>0</v>
      </c>
      <c r="M413" s="21">
        <f t="shared" ca="1" si="61"/>
        <v>49095</v>
      </c>
      <c r="N413" s="37">
        <f t="shared" ca="1" si="56"/>
        <v>0</v>
      </c>
      <c r="O413" s="4">
        <f ca="1">IFERROR(AVERAGEIF(N$5:$N413,"&gt;="&amp;_xlfn.PERCENTILE.EXC(N$5:$N413,0.2)),0)</f>
        <v>0</v>
      </c>
      <c r="Q413" s="21">
        <f t="shared" ca="1" si="62"/>
        <v>49095</v>
      </c>
      <c r="R413" s="37">
        <f t="shared" ca="1" si="57"/>
        <v>0</v>
      </c>
      <c r="S413" s="4">
        <f ca="1">IFERROR(AVERAGE($R$5:R413),0)</f>
        <v>0</v>
      </c>
      <c r="U413" s="21">
        <f t="shared" ca="1" si="58"/>
        <v>49095</v>
      </c>
      <c r="V413" s="4">
        <f ca="1">MIN(S413,PREMISSAS!$C$14)</f>
        <v>0</v>
      </c>
      <c r="W413" s="188"/>
      <c r="X413" s="188"/>
    </row>
    <row r="414" spans="2:24" x14ac:dyDescent="0.3">
      <c r="B414" s="21" t="str">
        <f t="shared" ca="1" si="59"/>
        <v/>
      </c>
      <c r="C414" s="22" t="str">
        <f ca="1">IF(B414="","",IF(LEFT(B414,2)="13",C413,IF(MONTH(B414)=1,C413*(1+PREMISSAS!$C$58),C413)))</f>
        <v/>
      </c>
      <c r="E414" s="18">
        <v>410</v>
      </c>
      <c r="F414" s="21">
        <f t="shared" ca="1" si="60"/>
        <v>49125</v>
      </c>
      <c r="G414" s="22">
        <f ca="1">IFERROR(VLOOKUP(F414,RESULTADOS!$O$5:$P$543,2,FALSE),VLOOKUP(F414,$B$5:$C$842,2,FALSE))</f>
        <v>0</v>
      </c>
      <c r="H414" s="4">
        <f ca="1">IF(F414&lt;PREMISSAS!$D$7,0,IFERROR(VLOOKUP(IF(LEFT(F414,2)="13",DATE(YEAR(F413),12,31),F414),IPCA!$A:$D,4,FALSE),1)*G414)</f>
        <v>0</v>
      </c>
      <c r="J414" s="21">
        <f t="shared" ca="1" si="54"/>
        <v>49125</v>
      </c>
      <c r="K414" s="4">
        <f t="shared" ca="1" si="55"/>
        <v>0</v>
      </c>
      <c r="M414" s="21">
        <f t="shared" ca="1" si="61"/>
        <v>49125</v>
      </c>
      <c r="N414" s="37">
        <f t="shared" ca="1" si="56"/>
        <v>0</v>
      </c>
      <c r="O414" s="4">
        <f ca="1">IFERROR(AVERAGEIF(N$5:$N414,"&gt;="&amp;_xlfn.PERCENTILE.EXC(N$5:$N414,0.2)),0)</f>
        <v>0</v>
      </c>
      <c r="Q414" s="21">
        <f t="shared" ca="1" si="62"/>
        <v>49125</v>
      </c>
      <c r="R414" s="37">
        <f t="shared" ca="1" si="57"/>
        <v>0</v>
      </c>
      <c r="S414" s="4">
        <f ca="1">IFERROR(AVERAGE($R$5:R414),0)</f>
        <v>0</v>
      </c>
      <c r="U414" s="21">
        <f t="shared" ca="1" si="58"/>
        <v>49125</v>
      </c>
      <c r="V414" s="4">
        <f ca="1">MIN(S414,PREMISSAS!$C$14)</f>
        <v>0</v>
      </c>
      <c r="W414" s="188"/>
      <c r="X414" s="188"/>
    </row>
    <row r="415" spans="2:24" x14ac:dyDescent="0.3">
      <c r="B415" s="21" t="str">
        <f t="shared" ca="1" si="59"/>
        <v/>
      </c>
      <c r="C415" s="22" t="str">
        <f ca="1">IF(B415="","",IF(LEFT(B415,2)="13",C414,IF(MONTH(B415)=1,C414*(1+PREMISSAS!$C$58),C414)))</f>
        <v/>
      </c>
      <c r="E415" s="18">
        <v>411</v>
      </c>
      <c r="F415" s="21">
        <f t="shared" ca="1" si="60"/>
        <v>49156</v>
      </c>
      <c r="G415" s="22">
        <f ca="1">IFERROR(VLOOKUP(F415,RESULTADOS!$O$5:$P$543,2,FALSE),VLOOKUP(F415,$B$5:$C$842,2,FALSE))</f>
        <v>0</v>
      </c>
      <c r="H415" s="4">
        <f ca="1">IF(F415&lt;PREMISSAS!$D$7,0,IFERROR(VLOOKUP(IF(LEFT(F415,2)="13",DATE(YEAR(F414),12,31),F415),IPCA!$A:$D,4,FALSE),1)*G415)</f>
        <v>0</v>
      </c>
      <c r="J415" s="21">
        <f t="shared" ca="1" si="54"/>
        <v>49156</v>
      </c>
      <c r="K415" s="4">
        <f t="shared" ca="1" si="55"/>
        <v>0</v>
      </c>
      <c r="M415" s="21">
        <f t="shared" ca="1" si="61"/>
        <v>49156</v>
      </c>
      <c r="N415" s="37">
        <f t="shared" ca="1" si="56"/>
        <v>0</v>
      </c>
      <c r="O415" s="4">
        <f ca="1">IFERROR(AVERAGEIF(N$5:$N415,"&gt;="&amp;_xlfn.PERCENTILE.EXC(N$5:$N415,0.2)),0)</f>
        <v>0</v>
      </c>
      <c r="Q415" s="21">
        <f t="shared" ca="1" si="62"/>
        <v>49156</v>
      </c>
      <c r="R415" s="37">
        <f t="shared" ca="1" si="57"/>
        <v>0</v>
      </c>
      <c r="S415" s="4">
        <f ca="1">IFERROR(AVERAGE($R$5:R415),0)</f>
        <v>0</v>
      </c>
      <c r="U415" s="21">
        <f t="shared" ca="1" si="58"/>
        <v>49156</v>
      </c>
      <c r="V415" s="4">
        <f ca="1">MIN(S415,PREMISSAS!$C$14)</f>
        <v>0</v>
      </c>
      <c r="W415" s="188"/>
      <c r="X415" s="188"/>
    </row>
    <row r="416" spans="2:24" x14ac:dyDescent="0.3">
      <c r="B416" s="21" t="str">
        <f t="shared" ca="1" si="59"/>
        <v/>
      </c>
      <c r="C416" s="22" t="str">
        <f ca="1">IF(B416="","",IF(LEFT(B416,2)="13",C415,IF(MONTH(B416)=1,C415*(1+PREMISSAS!$C$58),C415)))</f>
        <v/>
      </c>
      <c r="E416" s="18">
        <v>412</v>
      </c>
      <c r="F416" s="21">
        <f t="shared" ca="1" si="60"/>
        <v>49187</v>
      </c>
      <c r="G416" s="22">
        <f ca="1">IFERROR(VLOOKUP(F416,RESULTADOS!$O$5:$P$543,2,FALSE),VLOOKUP(F416,$B$5:$C$842,2,FALSE))</f>
        <v>0</v>
      </c>
      <c r="H416" s="4">
        <f ca="1">IF(F416&lt;PREMISSAS!$D$7,0,IFERROR(VLOOKUP(IF(LEFT(F416,2)="13",DATE(YEAR(F415),12,31),F416),IPCA!$A:$D,4,FALSE),1)*G416)</f>
        <v>0</v>
      </c>
      <c r="J416" s="21">
        <f t="shared" ca="1" si="54"/>
        <v>49187</v>
      </c>
      <c r="K416" s="4">
        <f t="shared" ca="1" si="55"/>
        <v>0</v>
      </c>
      <c r="M416" s="21">
        <f t="shared" ca="1" si="61"/>
        <v>49187</v>
      </c>
      <c r="N416" s="37">
        <f t="shared" ca="1" si="56"/>
        <v>0</v>
      </c>
      <c r="O416" s="4">
        <f ca="1">IFERROR(AVERAGEIF(N$5:$N416,"&gt;="&amp;_xlfn.PERCENTILE.EXC(N$5:$N416,0.2)),0)</f>
        <v>0</v>
      </c>
      <c r="Q416" s="21">
        <f t="shared" ca="1" si="62"/>
        <v>49187</v>
      </c>
      <c r="R416" s="37">
        <f t="shared" ca="1" si="57"/>
        <v>0</v>
      </c>
      <c r="S416" s="4">
        <f ca="1">IFERROR(AVERAGE($R$5:R416),0)</f>
        <v>0</v>
      </c>
      <c r="U416" s="21">
        <f t="shared" ca="1" si="58"/>
        <v>49187</v>
      </c>
      <c r="V416" s="4">
        <f ca="1">MIN(S416,PREMISSAS!$C$14)</f>
        <v>0</v>
      </c>
      <c r="W416" s="188"/>
      <c r="X416" s="188"/>
    </row>
    <row r="417" spans="2:24" x14ac:dyDescent="0.3">
      <c r="B417" s="21" t="str">
        <f t="shared" ca="1" si="59"/>
        <v/>
      </c>
      <c r="C417" s="22" t="str">
        <f ca="1">IF(B417="","",IF(LEFT(B417,2)="13",C416,IF(MONTH(B417)=1,C416*(1+PREMISSAS!$C$58),C416)))</f>
        <v/>
      </c>
      <c r="E417" s="18">
        <v>413</v>
      </c>
      <c r="F417" s="21">
        <f t="shared" ca="1" si="60"/>
        <v>49217</v>
      </c>
      <c r="G417" s="22">
        <f ca="1">IFERROR(VLOOKUP(F417,RESULTADOS!$O$5:$P$543,2,FALSE),VLOOKUP(F417,$B$5:$C$842,2,FALSE))</f>
        <v>0</v>
      </c>
      <c r="H417" s="4">
        <f ca="1">IF(F417&lt;PREMISSAS!$D$7,0,IFERROR(VLOOKUP(IF(LEFT(F417,2)="13",DATE(YEAR(F416),12,31),F417),IPCA!$A:$D,4,FALSE),1)*G417)</f>
        <v>0</v>
      </c>
      <c r="J417" s="21">
        <f t="shared" ca="1" si="54"/>
        <v>49217</v>
      </c>
      <c r="K417" s="4">
        <f t="shared" ca="1" si="55"/>
        <v>0</v>
      </c>
      <c r="M417" s="21">
        <f t="shared" ca="1" si="61"/>
        <v>49217</v>
      </c>
      <c r="N417" s="37">
        <f t="shared" ca="1" si="56"/>
        <v>0</v>
      </c>
      <c r="O417" s="4">
        <f ca="1">IFERROR(AVERAGEIF(N$5:$N417,"&gt;="&amp;_xlfn.PERCENTILE.EXC(N$5:$N417,0.2)),0)</f>
        <v>0</v>
      </c>
      <c r="Q417" s="21">
        <f t="shared" ca="1" si="62"/>
        <v>49217</v>
      </c>
      <c r="R417" s="37">
        <f t="shared" ca="1" si="57"/>
        <v>0</v>
      </c>
      <c r="S417" s="4">
        <f ca="1">IFERROR(AVERAGE($R$5:R417),0)</f>
        <v>0</v>
      </c>
      <c r="U417" s="21">
        <f t="shared" ca="1" si="58"/>
        <v>49217</v>
      </c>
      <c r="V417" s="4">
        <f ca="1">MIN(S417,PREMISSAS!$C$14)</f>
        <v>0</v>
      </c>
      <c r="W417" s="188"/>
      <c r="X417" s="188"/>
    </row>
    <row r="418" spans="2:24" x14ac:dyDescent="0.3">
      <c r="B418" s="21" t="str">
        <f t="shared" ca="1" si="59"/>
        <v/>
      </c>
      <c r="C418" s="22" t="str">
        <f ca="1">IF(B418="","",IF(LEFT(B418,2)="13",C417,IF(MONTH(B418)=1,C417*(1+PREMISSAS!$C$58),C417)))</f>
        <v/>
      </c>
      <c r="E418" s="18">
        <v>414</v>
      </c>
      <c r="F418" s="21">
        <f t="shared" ca="1" si="60"/>
        <v>49248</v>
      </c>
      <c r="G418" s="22">
        <f ca="1">IFERROR(VLOOKUP(F418,RESULTADOS!$O$5:$P$543,2,FALSE),VLOOKUP(F418,$B$5:$C$842,2,FALSE))</f>
        <v>0</v>
      </c>
      <c r="H418" s="4">
        <f ca="1">IF(F418&lt;PREMISSAS!$D$7,0,IFERROR(VLOOKUP(IF(LEFT(F418,2)="13",DATE(YEAR(F417),12,31),F418),IPCA!$A:$D,4,FALSE),1)*G418)</f>
        <v>0</v>
      </c>
      <c r="J418" s="21">
        <f t="shared" ca="1" si="54"/>
        <v>49248</v>
      </c>
      <c r="K418" s="4">
        <f t="shared" ca="1" si="55"/>
        <v>0</v>
      </c>
      <c r="M418" s="21">
        <f t="shared" ca="1" si="61"/>
        <v>49248</v>
      </c>
      <c r="N418" s="37">
        <f t="shared" ca="1" si="56"/>
        <v>0</v>
      </c>
      <c r="O418" s="4">
        <f ca="1">IFERROR(AVERAGEIF(N$5:$N418,"&gt;="&amp;_xlfn.PERCENTILE.EXC(N$5:$N418,0.2)),0)</f>
        <v>0</v>
      </c>
      <c r="Q418" s="21">
        <f t="shared" ca="1" si="62"/>
        <v>49248</v>
      </c>
      <c r="R418" s="37">
        <f t="shared" ca="1" si="57"/>
        <v>0</v>
      </c>
      <c r="S418" s="4">
        <f ca="1">IFERROR(AVERAGE($R$5:R418),0)</f>
        <v>0</v>
      </c>
      <c r="U418" s="21">
        <f t="shared" ca="1" si="58"/>
        <v>49248</v>
      </c>
      <c r="V418" s="4">
        <f ca="1">MIN(S418,PREMISSAS!$C$14)</f>
        <v>0</v>
      </c>
      <c r="W418" s="188"/>
      <c r="X418" s="188"/>
    </row>
    <row r="419" spans="2:24" x14ac:dyDescent="0.3">
      <c r="B419" s="21" t="str">
        <f t="shared" ca="1" si="59"/>
        <v/>
      </c>
      <c r="C419" s="22" t="str">
        <f ca="1">IF(B419="","",IF(LEFT(B419,2)="13",C418,IF(MONTH(B419)=1,C418*(1+PREMISSAS!$C$58),C418)))</f>
        <v/>
      </c>
      <c r="E419" s="18">
        <v>415</v>
      </c>
      <c r="F419" s="21">
        <f t="shared" ca="1" si="60"/>
        <v>49278</v>
      </c>
      <c r="G419" s="22">
        <f ca="1">IFERROR(VLOOKUP(F419,RESULTADOS!$O$5:$P$543,2,FALSE),VLOOKUP(F419,$B$5:$C$842,2,FALSE))</f>
        <v>0</v>
      </c>
      <c r="H419" s="4">
        <f ca="1">IF(F419&lt;PREMISSAS!$D$7,0,IFERROR(VLOOKUP(IF(LEFT(F419,2)="13",DATE(YEAR(F418),12,31),F419),IPCA!$A:$D,4,FALSE),1)*G419)</f>
        <v>0</v>
      </c>
      <c r="J419" s="21">
        <f t="shared" ca="1" si="54"/>
        <v>49278</v>
      </c>
      <c r="K419" s="4">
        <f t="shared" ca="1" si="55"/>
        <v>0</v>
      </c>
      <c r="M419" s="21">
        <f t="shared" ca="1" si="61"/>
        <v>49278</v>
      </c>
      <c r="N419" s="37">
        <f t="shared" ca="1" si="56"/>
        <v>0</v>
      </c>
      <c r="O419" s="4">
        <f ca="1">IFERROR(AVERAGEIF(N$5:$N419,"&gt;="&amp;_xlfn.PERCENTILE.EXC(N$5:$N419,0.2)),0)</f>
        <v>0</v>
      </c>
      <c r="Q419" s="21">
        <f t="shared" ca="1" si="62"/>
        <v>49278</v>
      </c>
      <c r="R419" s="37">
        <f t="shared" ca="1" si="57"/>
        <v>0</v>
      </c>
      <c r="S419" s="4">
        <f ca="1">IFERROR(AVERAGE($R$5:R419),0)</f>
        <v>0</v>
      </c>
      <c r="U419" s="21">
        <f t="shared" ca="1" si="58"/>
        <v>49278</v>
      </c>
      <c r="V419" s="4">
        <f ca="1">MIN(S419,PREMISSAS!$C$14)</f>
        <v>0</v>
      </c>
      <c r="W419" s="188"/>
      <c r="X419" s="188"/>
    </row>
    <row r="420" spans="2:24" x14ac:dyDescent="0.3">
      <c r="B420" s="21" t="str">
        <f t="shared" ca="1" si="59"/>
        <v/>
      </c>
      <c r="C420" s="22" t="str">
        <f ca="1">IF(B420="","",IF(LEFT(B420,2)="13",C419,IF(MONTH(B420)=1,C419*(1+PREMISSAS!$C$58),C419)))</f>
        <v/>
      </c>
      <c r="E420" s="18">
        <v>416</v>
      </c>
      <c r="F420" s="21" t="str">
        <f t="shared" ca="1" si="60"/>
        <v>13º 2034</v>
      </c>
      <c r="G420" s="22">
        <f ca="1">IFERROR(VLOOKUP(F420,RESULTADOS!$O$5:$P$543,2,FALSE),VLOOKUP(F420,$B$5:$C$842,2,FALSE))</f>
        <v>0</v>
      </c>
      <c r="H420" s="4">
        <f ca="1">IF(F420&lt;PREMISSAS!$D$7,0,IFERROR(VLOOKUP(IF(LEFT(F420,2)="13",DATE(YEAR(F419),12,31),F420),IPCA!$A:$D,4,FALSE),1)*G420)</f>
        <v>0</v>
      </c>
      <c r="J420" s="21" t="str">
        <f t="shared" ca="1" si="54"/>
        <v>13º 2034</v>
      </c>
      <c r="K420" s="4">
        <f t="shared" ca="1" si="55"/>
        <v>0</v>
      </c>
      <c r="M420" s="21" t="str">
        <f t="shared" ca="1" si="61"/>
        <v>13º 2034</v>
      </c>
      <c r="N420" s="37">
        <f t="shared" ca="1" si="56"/>
        <v>0</v>
      </c>
      <c r="O420" s="4">
        <f ca="1">IFERROR(AVERAGEIF(N$5:$N420,"&gt;="&amp;_xlfn.PERCENTILE.EXC(N$5:$N420,0.2)),0)</f>
        <v>0</v>
      </c>
      <c r="Q420" s="21" t="str">
        <f t="shared" ca="1" si="62"/>
        <v>13º 2034</v>
      </c>
      <c r="R420" s="37">
        <f t="shared" ca="1" si="57"/>
        <v>0</v>
      </c>
      <c r="S420" s="4">
        <f ca="1">IFERROR(AVERAGE($R$5:R420),0)</f>
        <v>0</v>
      </c>
      <c r="U420" s="21" t="str">
        <f t="shared" ca="1" si="58"/>
        <v>13º 2034</v>
      </c>
      <c r="V420" s="4">
        <f ca="1">MIN(S420,PREMISSAS!$C$14)</f>
        <v>0</v>
      </c>
      <c r="W420" s="188"/>
      <c r="X420" s="188"/>
    </row>
    <row r="421" spans="2:24" x14ac:dyDescent="0.3">
      <c r="B421" s="21" t="str">
        <f t="shared" ca="1" si="59"/>
        <v/>
      </c>
      <c r="C421" s="22" t="str">
        <f ca="1">IF(B421="","",IF(LEFT(B421,2)="13",C420,IF(MONTH(B421)=1,C420*(1+PREMISSAS!$C$58),C420)))</f>
        <v/>
      </c>
      <c r="E421" s="18">
        <v>417</v>
      </c>
      <c r="F421" s="21">
        <f t="shared" ca="1" si="60"/>
        <v>49309</v>
      </c>
      <c r="G421" s="22">
        <f ca="1">IFERROR(VLOOKUP(F421,RESULTADOS!$O$5:$P$543,2,FALSE),VLOOKUP(F421,$B$5:$C$842,2,FALSE))</f>
        <v>0</v>
      </c>
      <c r="H421" s="4">
        <f ca="1">IF(F421&lt;PREMISSAS!$D$7,0,IFERROR(VLOOKUP(IF(LEFT(F421,2)="13",DATE(YEAR(F420),12,31),F421),IPCA!$A:$D,4,FALSE),1)*G421)</f>
        <v>0</v>
      </c>
      <c r="J421" s="21">
        <f t="shared" ca="1" si="54"/>
        <v>49309</v>
      </c>
      <c r="K421" s="4">
        <f t="shared" ca="1" si="55"/>
        <v>0</v>
      </c>
      <c r="M421" s="21">
        <f t="shared" ca="1" si="61"/>
        <v>49309</v>
      </c>
      <c r="N421" s="37">
        <f t="shared" ca="1" si="56"/>
        <v>0</v>
      </c>
      <c r="O421" s="4">
        <f ca="1">IFERROR(AVERAGEIF(N$5:$N421,"&gt;="&amp;_xlfn.PERCENTILE.EXC(N$5:$N421,0.2)),0)</f>
        <v>0</v>
      </c>
      <c r="Q421" s="21">
        <f t="shared" ca="1" si="62"/>
        <v>49309</v>
      </c>
      <c r="R421" s="37">
        <f t="shared" ca="1" si="57"/>
        <v>0</v>
      </c>
      <c r="S421" s="4">
        <f ca="1">IFERROR(AVERAGE($R$5:R421),0)</f>
        <v>0</v>
      </c>
      <c r="U421" s="21">
        <f t="shared" ca="1" si="58"/>
        <v>49309</v>
      </c>
      <c r="V421" s="4">
        <f ca="1">MIN(S421,PREMISSAS!$C$14)</f>
        <v>0</v>
      </c>
      <c r="W421" s="188"/>
      <c r="X421" s="188"/>
    </row>
    <row r="422" spans="2:24" x14ac:dyDescent="0.3">
      <c r="B422" s="21" t="str">
        <f t="shared" ca="1" si="59"/>
        <v/>
      </c>
      <c r="C422" s="22" t="str">
        <f ca="1">IF(B422="","",IF(LEFT(B422,2)="13",C421,IF(MONTH(B422)=1,C421*(1+PREMISSAS!$C$58),C421)))</f>
        <v/>
      </c>
      <c r="E422" s="18">
        <v>418</v>
      </c>
      <c r="F422" s="21">
        <f t="shared" ca="1" si="60"/>
        <v>49340</v>
      </c>
      <c r="G422" s="22">
        <f ca="1">IFERROR(VLOOKUP(F422,RESULTADOS!$O$5:$P$543,2,FALSE),VLOOKUP(F422,$B$5:$C$842,2,FALSE))</f>
        <v>0</v>
      </c>
      <c r="H422" s="4">
        <f ca="1">IF(F422&lt;PREMISSAS!$D$7,0,IFERROR(VLOOKUP(IF(LEFT(F422,2)="13",DATE(YEAR(F421),12,31),F422),IPCA!$A:$D,4,FALSE),1)*G422)</f>
        <v>0</v>
      </c>
      <c r="J422" s="21">
        <f t="shared" ca="1" si="54"/>
        <v>49340</v>
      </c>
      <c r="K422" s="4">
        <f t="shared" ca="1" si="55"/>
        <v>0</v>
      </c>
      <c r="M422" s="21">
        <f t="shared" ca="1" si="61"/>
        <v>49340</v>
      </c>
      <c r="N422" s="37">
        <f t="shared" ca="1" si="56"/>
        <v>0</v>
      </c>
      <c r="O422" s="4">
        <f ca="1">IFERROR(AVERAGEIF(N$5:$N422,"&gt;="&amp;_xlfn.PERCENTILE.EXC(N$5:$N422,0.2)),0)</f>
        <v>0</v>
      </c>
      <c r="Q422" s="21">
        <f t="shared" ca="1" si="62"/>
        <v>49340</v>
      </c>
      <c r="R422" s="37">
        <f t="shared" ca="1" si="57"/>
        <v>0</v>
      </c>
      <c r="S422" s="4">
        <f ca="1">IFERROR(AVERAGE($R$5:R422),0)</f>
        <v>0</v>
      </c>
      <c r="U422" s="21">
        <f t="shared" ca="1" si="58"/>
        <v>49340</v>
      </c>
      <c r="V422" s="4">
        <f ca="1">MIN(S422,PREMISSAS!$C$14)</f>
        <v>0</v>
      </c>
      <c r="W422" s="188"/>
      <c r="X422" s="188"/>
    </row>
    <row r="423" spans="2:24" x14ac:dyDescent="0.3">
      <c r="B423" s="21" t="str">
        <f t="shared" ca="1" si="59"/>
        <v/>
      </c>
      <c r="C423" s="22" t="str">
        <f ca="1">IF(B423="","",IF(LEFT(B423,2)="13",C422,IF(MONTH(B423)=1,C422*(1+PREMISSAS!$C$58),C422)))</f>
        <v/>
      </c>
      <c r="E423" s="18">
        <v>419</v>
      </c>
      <c r="F423" s="21">
        <f t="shared" ca="1" si="60"/>
        <v>49368</v>
      </c>
      <c r="G423" s="22">
        <f ca="1">IFERROR(VLOOKUP(F423,RESULTADOS!$O$5:$P$543,2,FALSE),VLOOKUP(F423,$B$5:$C$842,2,FALSE))</f>
        <v>0</v>
      </c>
      <c r="H423" s="4">
        <f ca="1">IF(F423&lt;PREMISSAS!$D$7,0,IFERROR(VLOOKUP(IF(LEFT(F423,2)="13",DATE(YEAR(F422),12,31),F423),IPCA!$A:$D,4,FALSE),1)*G423)</f>
        <v>0</v>
      </c>
      <c r="J423" s="21">
        <f t="shared" ca="1" si="54"/>
        <v>49368</v>
      </c>
      <c r="K423" s="4">
        <f t="shared" ca="1" si="55"/>
        <v>0</v>
      </c>
      <c r="M423" s="21">
        <f t="shared" ca="1" si="61"/>
        <v>49368</v>
      </c>
      <c r="N423" s="37">
        <f t="shared" ca="1" si="56"/>
        <v>0</v>
      </c>
      <c r="O423" s="4">
        <f ca="1">IFERROR(AVERAGEIF(N$5:$N423,"&gt;="&amp;_xlfn.PERCENTILE.EXC(N$5:$N423,0.2)),0)</f>
        <v>0</v>
      </c>
      <c r="Q423" s="21">
        <f t="shared" ca="1" si="62"/>
        <v>49368</v>
      </c>
      <c r="R423" s="37">
        <f t="shared" ca="1" si="57"/>
        <v>0</v>
      </c>
      <c r="S423" s="4">
        <f ca="1">IFERROR(AVERAGE($R$5:R423),0)</f>
        <v>0</v>
      </c>
      <c r="U423" s="21">
        <f t="shared" ca="1" si="58"/>
        <v>49368</v>
      </c>
      <c r="V423" s="4">
        <f ca="1">MIN(S423,PREMISSAS!$C$14)</f>
        <v>0</v>
      </c>
      <c r="W423" s="188"/>
      <c r="X423" s="188"/>
    </row>
    <row r="424" spans="2:24" x14ac:dyDescent="0.3">
      <c r="B424" s="21" t="str">
        <f t="shared" ca="1" si="59"/>
        <v/>
      </c>
      <c r="C424" s="22" t="str">
        <f ca="1">IF(B424="","",IF(LEFT(B424,2)="13",C423,IF(MONTH(B424)=1,C423*(1+PREMISSAS!$C$58),C423)))</f>
        <v/>
      </c>
      <c r="E424" s="18">
        <v>420</v>
      </c>
      <c r="F424" s="21">
        <f t="shared" ca="1" si="60"/>
        <v>49399</v>
      </c>
      <c r="G424" s="22">
        <f ca="1">IFERROR(VLOOKUP(F424,RESULTADOS!$O$5:$P$543,2,FALSE),VLOOKUP(F424,$B$5:$C$842,2,FALSE))</f>
        <v>0</v>
      </c>
      <c r="H424" s="4">
        <f ca="1">IF(F424&lt;PREMISSAS!$D$7,0,IFERROR(VLOOKUP(IF(LEFT(F424,2)="13",DATE(YEAR(F423),12,31),F424),IPCA!$A:$D,4,FALSE),1)*G424)</f>
        <v>0</v>
      </c>
      <c r="J424" s="21">
        <f t="shared" ca="1" si="54"/>
        <v>49399</v>
      </c>
      <c r="K424" s="4">
        <f t="shared" ca="1" si="55"/>
        <v>0</v>
      </c>
      <c r="M424" s="21">
        <f t="shared" ca="1" si="61"/>
        <v>49399</v>
      </c>
      <c r="N424" s="37">
        <f t="shared" ca="1" si="56"/>
        <v>0</v>
      </c>
      <c r="O424" s="4">
        <f ca="1">IFERROR(AVERAGEIF(N$5:$N424,"&gt;="&amp;_xlfn.PERCENTILE.EXC(N$5:$N424,0.2)),0)</f>
        <v>0</v>
      </c>
      <c r="Q424" s="21">
        <f t="shared" ca="1" si="62"/>
        <v>49399</v>
      </c>
      <c r="R424" s="37">
        <f t="shared" ca="1" si="57"/>
        <v>0</v>
      </c>
      <c r="S424" s="4">
        <f ca="1">IFERROR(AVERAGE($R$5:R424),0)</f>
        <v>0</v>
      </c>
      <c r="U424" s="21">
        <f t="shared" ca="1" si="58"/>
        <v>49399</v>
      </c>
      <c r="V424" s="4">
        <f ca="1">MIN(S424,PREMISSAS!$C$14)</f>
        <v>0</v>
      </c>
      <c r="W424" s="188"/>
      <c r="X424" s="188"/>
    </row>
    <row r="425" spans="2:24" x14ac:dyDescent="0.3">
      <c r="B425" s="21" t="str">
        <f t="shared" ca="1" si="59"/>
        <v/>
      </c>
      <c r="C425" s="22" t="str">
        <f ca="1">IF(B425="","",IF(LEFT(B425,2)="13",C424,IF(MONTH(B425)=1,C424*(1+PREMISSAS!$C$58),C424)))</f>
        <v/>
      </c>
      <c r="E425" s="18">
        <v>421</v>
      </c>
      <c r="F425" s="21">
        <f t="shared" ca="1" si="60"/>
        <v>49429</v>
      </c>
      <c r="G425" s="22">
        <f ca="1">IFERROR(VLOOKUP(F425,RESULTADOS!$O$5:$P$543,2,FALSE),VLOOKUP(F425,$B$5:$C$842,2,FALSE))</f>
        <v>0</v>
      </c>
      <c r="H425" s="4">
        <f ca="1">IF(F425&lt;PREMISSAS!$D$7,0,IFERROR(VLOOKUP(IF(LEFT(F425,2)="13",DATE(YEAR(F424),12,31),F425),IPCA!$A:$D,4,FALSE),1)*G425)</f>
        <v>0</v>
      </c>
      <c r="J425" s="21">
        <f t="shared" ca="1" si="54"/>
        <v>49429</v>
      </c>
      <c r="K425" s="4">
        <f t="shared" ca="1" si="55"/>
        <v>0</v>
      </c>
      <c r="M425" s="21">
        <f t="shared" ca="1" si="61"/>
        <v>49429</v>
      </c>
      <c r="N425" s="37">
        <f t="shared" ca="1" si="56"/>
        <v>0</v>
      </c>
      <c r="O425" s="4">
        <f ca="1">IFERROR(AVERAGEIF(N$5:$N425,"&gt;="&amp;_xlfn.PERCENTILE.EXC(N$5:$N425,0.2)),0)</f>
        <v>0</v>
      </c>
      <c r="Q425" s="21">
        <f t="shared" ca="1" si="62"/>
        <v>49429</v>
      </c>
      <c r="R425" s="37">
        <f t="shared" ca="1" si="57"/>
        <v>0</v>
      </c>
      <c r="S425" s="4">
        <f ca="1">IFERROR(AVERAGE($R$5:R425),0)</f>
        <v>0</v>
      </c>
      <c r="U425" s="21">
        <f t="shared" ca="1" si="58"/>
        <v>49429</v>
      </c>
      <c r="V425" s="4">
        <f ca="1">MIN(S425,PREMISSAS!$C$14)</f>
        <v>0</v>
      </c>
      <c r="W425" s="188"/>
      <c r="X425" s="188"/>
    </row>
    <row r="426" spans="2:24" x14ac:dyDescent="0.3">
      <c r="B426" s="21" t="str">
        <f t="shared" ca="1" si="59"/>
        <v/>
      </c>
      <c r="C426" s="22" t="str">
        <f ca="1">IF(B426="","",IF(LEFT(B426,2)="13",C425,IF(MONTH(B426)=1,C425*(1+PREMISSAS!$C$58),C425)))</f>
        <v/>
      </c>
      <c r="E426" s="18">
        <v>422</v>
      </c>
      <c r="F426" s="21">
        <f t="shared" ca="1" si="60"/>
        <v>49460</v>
      </c>
      <c r="G426" s="22">
        <f ca="1">IFERROR(VLOOKUP(F426,RESULTADOS!$O$5:$P$543,2,FALSE),VLOOKUP(F426,$B$5:$C$842,2,FALSE))</f>
        <v>0</v>
      </c>
      <c r="H426" s="4">
        <f ca="1">IF(F426&lt;PREMISSAS!$D$7,0,IFERROR(VLOOKUP(IF(LEFT(F426,2)="13",DATE(YEAR(F425),12,31),F426),IPCA!$A:$D,4,FALSE),1)*G426)</f>
        <v>0</v>
      </c>
      <c r="J426" s="21">
        <f t="shared" ca="1" si="54"/>
        <v>49460</v>
      </c>
      <c r="K426" s="4">
        <f t="shared" ca="1" si="55"/>
        <v>0</v>
      </c>
      <c r="M426" s="21">
        <f t="shared" ca="1" si="61"/>
        <v>49460</v>
      </c>
      <c r="N426" s="37">
        <f t="shared" ca="1" si="56"/>
        <v>0</v>
      </c>
      <c r="O426" s="4">
        <f ca="1">IFERROR(AVERAGEIF(N$5:$N426,"&gt;="&amp;_xlfn.PERCENTILE.EXC(N$5:$N426,0.2)),0)</f>
        <v>0</v>
      </c>
      <c r="Q426" s="21">
        <f t="shared" ca="1" si="62"/>
        <v>49460</v>
      </c>
      <c r="R426" s="37">
        <f t="shared" ca="1" si="57"/>
        <v>0</v>
      </c>
      <c r="S426" s="4">
        <f ca="1">IFERROR(AVERAGE($R$5:R426),0)</f>
        <v>0</v>
      </c>
      <c r="U426" s="21">
        <f t="shared" ca="1" si="58"/>
        <v>49460</v>
      </c>
      <c r="V426" s="4">
        <f ca="1">MIN(S426,PREMISSAS!$C$14)</f>
        <v>0</v>
      </c>
      <c r="W426" s="188"/>
      <c r="X426" s="188"/>
    </row>
    <row r="427" spans="2:24" x14ac:dyDescent="0.3">
      <c r="B427" s="21" t="str">
        <f t="shared" ca="1" si="59"/>
        <v/>
      </c>
      <c r="C427" s="22" t="str">
        <f ca="1">IF(B427="","",IF(LEFT(B427,2)="13",C426,IF(MONTH(B427)=1,C426*(1+PREMISSAS!$C$58),C426)))</f>
        <v/>
      </c>
      <c r="E427" s="18">
        <v>423</v>
      </c>
      <c r="F427" s="21">
        <f t="shared" ca="1" si="60"/>
        <v>49490</v>
      </c>
      <c r="G427" s="22">
        <f ca="1">IFERROR(VLOOKUP(F427,RESULTADOS!$O$5:$P$543,2,FALSE),VLOOKUP(F427,$B$5:$C$842,2,FALSE))</f>
        <v>0</v>
      </c>
      <c r="H427" s="4">
        <f ca="1">IF(F427&lt;PREMISSAS!$D$7,0,IFERROR(VLOOKUP(IF(LEFT(F427,2)="13",DATE(YEAR(F426),12,31),F427),IPCA!$A:$D,4,FALSE),1)*G427)</f>
        <v>0</v>
      </c>
      <c r="J427" s="21">
        <f t="shared" ca="1" si="54"/>
        <v>49490</v>
      </c>
      <c r="K427" s="4">
        <f t="shared" ca="1" si="55"/>
        <v>0</v>
      </c>
      <c r="M427" s="21">
        <f t="shared" ca="1" si="61"/>
        <v>49490</v>
      </c>
      <c r="N427" s="37">
        <f t="shared" ca="1" si="56"/>
        <v>0</v>
      </c>
      <c r="O427" s="4">
        <f ca="1">IFERROR(AVERAGEIF(N$5:$N427,"&gt;="&amp;_xlfn.PERCENTILE.EXC(N$5:$N427,0.2)),0)</f>
        <v>0</v>
      </c>
      <c r="Q427" s="21">
        <f t="shared" ca="1" si="62"/>
        <v>49490</v>
      </c>
      <c r="R427" s="37">
        <f t="shared" ca="1" si="57"/>
        <v>0</v>
      </c>
      <c r="S427" s="4">
        <f ca="1">IFERROR(AVERAGE($R$5:R427),0)</f>
        <v>0</v>
      </c>
      <c r="U427" s="21">
        <f t="shared" ca="1" si="58"/>
        <v>49490</v>
      </c>
      <c r="V427" s="4">
        <f ca="1">MIN(S427,PREMISSAS!$C$14)</f>
        <v>0</v>
      </c>
      <c r="W427" s="188"/>
      <c r="X427" s="188"/>
    </row>
    <row r="428" spans="2:24" x14ac:dyDescent="0.3">
      <c r="B428" s="21" t="str">
        <f t="shared" ca="1" si="59"/>
        <v/>
      </c>
      <c r="C428" s="22" t="str">
        <f ca="1">IF(B428="","",IF(LEFT(B428,2)="13",C427,IF(MONTH(B428)=1,C427*(1+PREMISSAS!$C$58),C427)))</f>
        <v/>
      </c>
      <c r="E428" s="18">
        <v>424</v>
      </c>
      <c r="F428" s="21">
        <f t="shared" ca="1" si="60"/>
        <v>49521</v>
      </c>
      <c r="G428" s="22">
        <f ca="1">IFERROR(VLOOKUP(F428,RESULTADOS!$O$5:$P$543,2,FALSE),VLOOKUP(F428,$B$5:$C$842,2,FALSE))</f>
        <v>0</v>
      </c>
      <c r="H428" s="4">
        <f ca="1">IF(F428&lt;PREMISSAS!$D$7,0,IFERROR(VLOOKUP(IF(LEFT(F428,2)="13",DATE(YEAR(F427),12,31),F428),IPCA!$A:$D,4,FALSE),1)*G428)</f>
        <v>0</v>
      </c>
      <c r="J428" s="21">
        <f t="shared" ca="1" si="54"/>
        <v>49521</v>
      </c>
      <c r="K428" s="4">
        <f t="shared" ca="1" si="55"/>
        <v>0</v>
      </c>
      <c r="M428" s="21">
        <f t="shared" ca="1" si="61"/>
        <v>49521</v>
      </c>
      <c r="N428" s="37">
        <f t="shared" ca="1" si="56"/>
        <v>0</v>
      </c>
      <c r="O428" s="4">
        <f ca="1">IFERROR(AVERAGEIF(N$5:$N428,"&gt;="&amp;_xlfn.PERCENTILE.EXC(N$5:$N428,0.2)),0)</f>
        <v>0</v>
      </c>
      <c r="Q428" s="21">
        <f t="shared" ca="1" si="62"/>
        <v>49521</v>
      </c>
      <c r="R428" s="37">
        <f t="shared" ca="1" si="57"/>
        <v>0</v>
      </c>
      <c r="S428" s="4">
        <f ca="1">IFERROR(AVERAGE($R$5:R428),0)</f>
        <v>0</v>
      </c>
      <c r="U428" s="21">
        <f t="shared" ca="1" si="58"/>
        <v>49521</v>
      </c>
      <c r="V428" s="4">
        <f ca="1">MIN(S428,PREMISSAS!$C$14)</f>
        <v>0</v>
      </c>
      <c r="W428" s="188"/>
      <c r="X428" s="188"/>
    </row>
    <row r="429" spans="2:24" x14ac:dyDescent="0.3">
      <c r="B429" s="21" t="str">
        <f t="shared" ca="1" si="59"/>
        <v/>
      </c>
      <c r="C429" s="22" t="str">
        <f ca="1">IF(B429="","",IF(LEFT(B429,2)="13",C428,IF(MONTH(B429)=1,C428*(1+PREMISSAS!$C$58),C428)))</f>
        <v/>
      </c>
      <c r="E429" s="18">
        <v>425</v>
      </c>
      <c r="F429" s="21">
        <f t="shared" ca="1" si="60"/>
        <v>49552</v>
      </c>
      <c r="G429" s="22">
        <f ca="1">IFERROR(VLOOKUP(F429,RESULTADOS!$O$5:$P$543,2,FALSE),VLOOKUP(F429,$B$5:$C$842,2,FALSE))</f>
        <v>0</v>
      </c>
      <c r="H429" s="4">
        <f ca="1">IF(F429&lt;PREMISSAS!$D$7,0,IFERROR(VLOOKUP(IF(LEFT(F429,2)="13",DATE(YEAR(F428),12,31),F429),IPCA!$A:$D,4,FALSE),1)*G429)</f>
        <v>0</v>
      </c>
      <c r="J429" s="21">
        <f t="shared" ca="1" si="54"/>
        <v>49552</v>
      </c>
      <c r="K429" s="4">
        <f t="shared" ca="1" si="55"/>
        <v>0</v>
      </c>
      <c r="M429" s="21">
        <f t="shared" ca="1" si="61"/>
        <v>49552</v>
      </c>
      <c r="N429" s="37">
        <f t="shared" ca="1" si="56"/>
        <v>0</v>
      </c>
      <c r="O429" s="4">
        <f ca="1">IFERROR(AVERAGEIF(N$5:$N429,"&gt;="&amp;_xlfn.PERCENTILE.EXC(N$5:$N429,0.2)),0)</f>
        <v>0</v>
      </c>
      <c r="Q429" s="21">
        <f t="shared" ca="1" si="62"/>
        <v>49552</v>
      </c>
      <c r="R429" s="37">
        <f t="shared" ca="1" si="57"/>
        <v>0</v>
      </c>
      <c r="S429" s="4">
        <f ca="1">IFERROR(AVERAGE($R$5:R429),0)</f>
        <v>0</v>
      </c>
      <c r="U429" s="21">
        <f t="shared" ca="1" si="58"/>
        <v>49552</v>
      </c>
      <c r="V429" s="4">
        <f ca="1">MIN(S429,PREMISSAS!$C$14)</f>
        <v>0</v>
      </c>
      <c r="W429" s="188"/>
      <c r="X429" s="188"/>
    </row>
    <row r="430" spans="2:24" x14ac:dyDescent="0.3">
      <c r="B430" s="21" t="str">
        <f t="shared" ca="1" si="59"/>
        <v/>
      </c>
      <c r="C430" s="22" t="str">
        <f ca="1">IF(B430="","",IF(LEFT(B430,2)="13",C429,IF(MONTH(B430)=1,C429*(1+PREMISSAS!$C$58),C429)))</f>
        <v/>
      </c>
      <c r="E430" s="18">
        <v>426</v>
      </c>
      <c r="F430" s="21">
        <f t="shared" ca="1" si="60"/>
        <v>49582</v>
      </c>
      <c r="G430" s="22">
        <f ca="1">IFERROR(VLOOKUP(F430,RESULTADOS!$O$5:$P$543,2,FALSE),VLOOKUP(F430,$B$5:$C$842,2,FALSE))</f>
        <v>0</v>
      </c>
      <c r="H430" s="4">
        <f ca="1">IF(F430&lt;PREMISSAS!$D$7,0,IFERROR(VLOOKUP(IF(LEFT(F430,2)="13",DATE(YEAR(F429),12,31),F430),IPCA!$A:$D,4,FALSE),1)*G430)</f>
        <v>0</v>
      </c>
      <c r="J430" s="21">
        <f t="shared" ca="1" si="54"/>
        <v>49582</v>
      </c>
      <c r="K430" s="4">
        <f t="shared" ca="1" si="55"/>
        <v>0</v>
      </c>
      <c r="M430" s="21">
        <f t="shared" ca="1" si="61"/>
        <v>49582</v>
      </c>
      <c r="N430" s="37">
        <f t="shared" ca="1" si="56"/>
        <v>0</v>
      </c>
      <c r="O430" s="4">
        <f ca="1">IFERROR(AVERAGEIF(N$5:$N430,"&gt;="&amp;_xlfn.PERCENTILE.EXC(N$5:$N430,0.2)),0)</f>
        <v>0</v>
      </c>
      <c r="Q430" s="21">
        <f t="shared" ca="1" si="62"/>
        <v>49582</v>
      </c>
      <c r="R430" s="37">
        <f t="shared" ca="1" si="57"/>
        <v>0</v>
      </c>
      <c r="S430" s="4">
        <f ca="1">IFERROR(AVERAGE($R$5:R430),0)</f>
        <v>0</v>
      </c>
      <c r="U430" s="21">
        <f t="shared" ca="1" si="58"/>
        <v>49582</v>
      </c>
      <c r="V430" s="4">
        <f ca="1">MIN(S430,PREMISSAS!$C$14)</f>
        <v>0</v>
      </c>
      <c r="W430" s="188"/>
      <c r="X430" s="188"/>
    </row>
    <row r="431" spans="2:24" x14ac:dyDescent="0.3">
      <c r="B431" s="21" t="str">
        <f t="shared" ca="1" si="59"/>
        <v/>
      </c>
      <c r="C431" s="22" t="str">
        <f ca="1">IF(B431="","",IF(LEFT(B431,2)="13",C430,IF(MONTH(B431)=1,C430*(1+PREMISSAS!$C$58),C430)))</f>
        <v/>
      </c>
      <c r="E431" s="18">
        <v>427</v>
      </c>
      <c r="F431" s="21">
        <f t="shared" ca="1" si="60"/>
        <v>49613</v>
      </c>
      <c r="G431" s="22">
        <f ca="1">IFERROR(VLOOKUP(F431,RESULTADOS!$O$5:$P$543,2,FALSE),VLOOKUP(F431,$B$5:$C$842,2,FALSE))</f>
        <v>0</v>
      </c>
      <c r="H431" s="4">
        <f ca="1">IF(F431&lt;PREMISSAS!$D$7,0,IFERROR(VLOOKUP(IF(LEFT(F431,2)="13",DATE(YEAR(F430),12,31),F431),IPCA!$A:$D,4,FALSE),1)*G431)</f>
        <v>0</v>
      </c>
      <c r="J431" s="21">
        <f t="shared" ca="1" si="54"/>
        <v>49613</v>
      </c>
      <c r="K431" s="4">
        <f t="shared" ca="1" si="55"/>
        <v>0</v>
      </c>
      <c r="M431" s="21">
        <f t="shared" ca="1" si="61"/>
        <v>49613</v>
      </c>
      <c r="N431" s="37">
        <f t="shared" ca="1" si="56"/>
        <v>0</v>
      </c>
      <c r="O431" s="4">
        <f ca="1">IFERROR(AVERAGEIF(N$5:$N431,"&gt;="&amp;_xlfn.PERCENTILE.EXC(N$5:$N431,0.2)),0)</f>
        <v>0</v>
      </c>
      <c r="Q431" s="21">
        <f t="shared" ca="1" si="62"/>
        <v>49613</v>
      </c>
      <c r="R431" s="37">
        <f t="shared" ca="1" si="57"/>
        <v>0</v>
      </c>
      <c r="S431" s="4">
        <f ca="1">IFERROR(AVERAGE($R$5:R431),0)</f>
        <v>0</v>
      </c>
      <c r="U431" s="21">
        <f t="shared" ca="1" si="58"/>
        <v>49613</v>
      </c>
      <c r="V431" s="4">
        <f ca="1">MIN(S431,PREMISSAS!$C$14)</f>
        <v>0</v>
      </c>
      <c r="W431" s="188"/>
      <c r="X431" s="188"/>
    </row>
    <row r="432" spans="2:24" x14ac:dyDescent="0.3">
      <c r="B432" s="21" t="str">
        <f t="shared" ca="1" si="59"/>
        <v/>
      </c>
      <c r="C432" s="22" t="str">
        <f ca="1">IF(B432="","",IF(LEFT(B432,2)="13",C431,IF(MONTH(B432)=1,C431*(1+PREMISSAS!$C$58),C431)))</f>
        <v/>
      </c>
      <c r="E432" s="18">
        <v>428</v>
      </c>
      <c r="F432" s="21">
        <f t="shared" ca="1" si="60"/>
        <v>49643</v>
      </c>
      <c r="G432" s="22">
        <f ca="1">IFERROR(VLOOKUP(F432,RESULTADOS!$O$5:$P$543,2,FALSE),VLOOKUP(F432,$B$5:$C$842,2,FALSE))</f>
        <v>0</v>
      </c>
      <c r="H432" s="4">
        <f ca="1">IF(F432&lt;PREMISSAS!$D$7,0,IFERROR(VLOOKUP(IF(LEFT(F432,2)="13",DATE(YEAR(F431),12,31),F432),IPCA!$A:$D,4,FALSE),1)*G432)</f>
        <v>0</v>
      </c>
      <c r="J432" s="21">
        <f t="shared" ca="1" si="54"/>
        <v>49643</v>
      </c>
      <c r="K432" s="4">
        <f t="shared" ca="1" si="55"/>
        <v>0</v>
      </c>
      <c r="M432" s="21">
        <f t="shared" ca="1" si="61"/>
        <v>49643</v>
      </c>
      <c r="N432" s="37">
        <f t="shared" ca="1" si="56"/>
        <v>0</v>
      </c>
      <c r="O432" s="4">
        <f ca="1">IFERROR(AVERAGEIF(N$5:$N432,"&gt;="&amp;_xlfn.PERCENTILE.EXC(N$5:$N432,0.2)),0)</f>
        <v>0</v>
      </c>
      <c r="Q432" s="21">
        <f t="shared" ca="1" si="62"/>
        <v>49643</v>
      </c>
      <c r="R432" s="37">
        <f t="shared" ca="1" si="57"/>
        <v>0</v>
      </c>
      <c r="S432" s="4">
        <f ca="1">IFERROR(AVERAGE($R$5:R432),0)</f>
        <v>0</v>
      </c>
      <c r="U432" s="21">
        <f t="shared" ca="1" si="58"/>
        <v>49643</v>
      </c>
      <c r="V432" s="4">
        <f ca="1">MIN(S432,PREMISSAS!$C$14)</f>
        <v>0</v>
      </c>
      <c r="W432" s="188"/>
      <c r="X432" s="188"/>
    </row>
    <row r="433" spans="2:24" x14ac:dyDescent="0.3">
      <c r="B433" s="21" t="str">
        <f t="shared" ca="1" si="59"/>
        <v/>
      </c>
      <c r="C433" s="22" t="str">
        <f ca="1">IF(B433="","",IF(LEFT(B433,2)="13",C432,IF(MONTH(B433)=1,C432*(1+PREMISSAS!$C$58),C432)))</f>
        <v/>
      </c>
      <c r="E433" s="18">
        <v>429</v>
      </c>
      <c r="F433" s="21" t="str">
        <f t="shared" ca="1" si="60"/>
        <v>13º 2035</v>
      </c>
      <c r="G433" s="22">
        <f ca="1">IFERROR(VLOOKUP(F433,RESULTADOS!$O$5:$P$543,2,FALSE),VLOOKUP(F433,$B$5:$C$842,2,FALSE))</f>
        <v>0</v>
      </c>
      <c r="H433" s="4">
        <f ca="1">IF(F433&lt;PREMISSAS!$D$7,0,IFERROR(VLOOKUP(IF(LEFT(F433,2)="13",DATE(YEAR(F432),12,31),F433),IPCA!$A:$D,4,FALSE),1)*G433)</f>
        <v>0</v>
      </c>
      <c r="J433" s="21" t="str">
        <f t="shared" ca="1" si="54"/>
        <v>13º 2035</v>
      </c>
      <c r="K433" s="4">
        <f t="shared" ca="1" si="55"/>
        <v>0</v>
      </c>
      <c r="M433" s="21" t="str">
        <f t="shared" ca="1" si="61"/>
        <v>13º 2035</v>
      </c>
      <c r="N433" s="37">
        <f t="shared" ca="1" si="56"/>
        <v>0</v>
      </c>
      <c r="O433" s="4">
        <f ca="1">IFERROR(AVERAGEIF(N$5:$N433,"&gt;="&amp;_xlfn.PERCENTILE.EXC(N$5:$N433,0.2)),0)</f>
        <v>0</v>
      </c>
      <c r="Q433" s="21" t="str">
        <f t="shared" ca="1" si="62"/>
        <v>13º 2035</v>
      </c>
      <c r="R433" s="37">
        <f t="shared" ca="1" si="57"/>
        <v>0</v>
      </c>
      <c r="S433" s="4">
        <f ca="1">IFERROR(AVERAGE($R$5:R433),0)</f>
        <v>0</v>
      </c>
      <c r="U433" s="21" t="str">
        <f t="shared" ca="1" si="58"/>
        <v>13º 2035</v>
      </c>
      <c r="V433" s="4">
        <f ca="1">MIN(S433,PREMISSAS!$C$14)</f>
        <v>0</v>
      </c>
      <c r="W433" s="188"/>
      <c r="X433" s="188"/>
    </row>
    <row r="434" spans="2:24" x14ac:dyDescent="0.3">
      <c r="B434" s="21" t="str">
        <f t="shared" ca="1" si="59"/>
        <v/>
      </c>
      <c r="C434" s="22" t="str">
        <f ca="1">IF(B434="","",IF(LEFT(B434,2)="13",C433,IF(MONTH(B434)=1,C433*(1+PREMISSAS!$C$58),C433)))</f>
        <v/>
      </c>
      <c r="E434" s="18">
        <v>430</v>
      </c>
      <c r="F434" s="21">
        <f t="shared" ca="1" si="60"/>
        <v>49674</v>
      </c>
      <c r="G434" s="22">
        <f ca="1">IFERROR(VLOOKUP(F434,RESULTADOS!$O$5:$P$543,2,FALSE),VLOOKUP(F434,$B$5:$C$842,2,FALSE))</f>
        <v>0</v>
      </c>
      <c r="H434" s="4">
        <f ca="1">IF(F434&lt;PREMISSAS!$D$7,0,IFERROR(VLOOKUP(IF(LEFT(F434,2)="13",DATE(YEAR(F433),12,31),F434),IPCA!$A:$D,4,FALSE),1)*G434)</f>
        <v>0</v>
      </c>
      <c r="J434" s="21">
        <f t="shared" ca="1" si="54"/>
        <v>49674</v>
      </c>
      <c r="K434" s="4">
        <f t="shared" ca="1" si="55"/>
        <v>0</v>
      </c>
      <c r="M434" s="21">
        <f t="shared" ca="1" si="61"/>
        <v>49674</v>
      </c>
      <c r="N434" s="37">
        <f t="shared" ca="1" si="56"/>
        <v>0</v>
      </c>
      <c r="O434" s="4">
        <f ca="1">IFERROR(AVERAGEIF(N$5:$N434,"&gt;="&amp;_xlfn.PERCENTILE.EXC(N$5:$N434,0.2)),0)</f>
        <v>0</v>
      </c>
      <c r="Q434" s="21">
        <f t="shared" ca="1" si="62"/>
        <v>49674</v>
      </c>
      <c r="R434" s="37">
        <f t="shared" ca="1" si="57"/>
        <v>0</v>
      </c>
      <c r="S434" s="4">
        <f ca="1">IFERROR(AVERAGE($R$5:R434),0)</f>
        <v>0</v>
      </c>
      <c r="U434" s="21">
        <f t="shared" ca="1" si="58"/>
        <v>49674</v>
      </c>
      <c r="V434" s="4">
        <f ca="1">MIN(S434,PREMISSAS!$C$14)</f>
        <v>0</v>
      </c>
      <c r="W434" s="188"/>
      <c r="X434" s="188"/>
    </row>
    <row r="435" spans="2:24" x14ac:dyDescent="0.3">
      <c r="B435" s="21" t="str">
        <f t="shared" ca="1" si="59"/>
        <v/>
      </c>
      <c r="C435" s="22" t="str">
        <f ca="1">IF(B435="","",IF(LEFT(B435,2)="13",C434,IF(MONTH(B435)=1,C434*(1+PREMISSAS!$C$58),C434)))</f>
        <v/>
      </c>
      <c r="E435" s="18">
        <v>431</v>
      </c>
      <c r="F435" s="21">
        <f t="shared" ca="1" si="60"/>
        <v>49705</v>
      </c>
      <c r="G435" s="22">
        <f ca="1">IFERROR(VLOOKUP(F435,RESULTADOS!$O$5:$P$543,2,FALSE),VLOOKUP(F435,$B$5:$C$842,2,FALSE))</f>
        <v>0</v>
      </c>
      <c r="H435" s="4">
        <f ca="1">IF(F435&lt;PREMISSAS!$D$7,0,IFERROR(VLOOKUP(IF(LEFT(F435,2)="13",DATE(YEAR(F434),12,31),F435),IPCA!$A:$D,4,FALSE),1)*G435)</f>
        <v>0</v>
      </c>
      <c r="J435" s="21">
        <f t="shared" ca="1" si="54"/>
        <v>49705</v>
      </c>
      <c r="K435" s="4">
        <f t="shared" ca="1" si="55"/>
        <v>0</v>
      </c>
      <c r="M435" s="21">
        <f t="shared" ca="1" si="61"/>
        <v>49705</v>
      </c>
      <c r="N435" s="37">
        <f t="shared" ca="1" si="56"/>
        <v>0</v>
      </c>
      <c r="O435" s="4">
        <f ca="1">IFERROR(AVERAGEIF(N$5:$N435,"&gt;="&amp;_xlfn.PERCENTILE.EXC(N$5:$N435,0.2)),0)</f>
        <v>0</v>
      </c>
      <c r="Q435" s="21">
        <f t="shared" ca="1" si="62"/>
        <v>49705</v>
      </c>
      <c r="R435" s="37">
        <f t="shared" ca="1" si="57"/>
        <v>0</v>
      </c>
      <c r="S435" s="4">
        <f ca="1">IFERROR(AVERAGE($R$5:R435),0)</f>
        <v>0</v>
      </c>
      <c r="U435" s="21">
        <f t="shared" ca="1" si="58"/>
        <v>49705</v>
      </c>
      <c r="V435" s="4">
        <f ca="1">MIN(S435,PREMISSAS!$C$14)</f>
        <v>0</v>
      </c>
      <c r="W435" s="188"/>
      <c r="X435" s="188"/>
    </row>
    <row r="436" spans="2:24" x14ac:dyDescent="0.3">
      <c r="B436" s="21" t="str">
        <f t="shared" ca="1" si="59"/>
        <v/>
      </c>
      <c r="C436" s="22" t="str">
        <f ca="1">IF(B436="","",IF(LEFT(B436,2)="13",C435,IF(MONTH(B436)=1,C435*(1+PREMISSAS!$C$58),C435)))</f>
        <v/>
      </c>
      <c r="E436" s="18">
        <v>432</v>
      </c>
      <c r="F436" s="21">
        <f t="shared" ca="1" si="60"/>
        <v>49734</v>
      </c>
      <c r="G436" s="22">
        <f ca="1">IFERROR(VLOOKUP(F436,RESULTADOS!$O$5:$P$543,2,FALSE),VLOOKUP(F436,$B$5:$C$842,2,FALSE))</f>
        <v>0</v>
      </c>
      <c r="H436" s="4">
        <f ca="1">IF(F436&lt;PREMISSAS!$D$7,0,IFERROR(VLOOKUP(IF(LEFT(F436,2)="13",DATE(YEAR(F435),12,31),F436),IPCA!$A:$D,4,FALSE),1)*G436)</f>
        <v>0</v>
      </c>
      <c r="J436" s="21">
        <f t="shared" ca="1" si="54"/>
        <v>49734</v>
      </c>
      <c r="K436" s="4">
        <f t="shared" ca="1" si="55"/>
        <v>0</v>
      </c>
      <c r="M436" s="21">
        <f t="shared" ca="1" si="61"/>
        <v>49734</v>
      </c>
      <c r="N436" s="37">
        <f t="shared" ca="1" si="56"/>
        <v>0</v>
      </c>
      <c r="O436" s="4">
        <f ca="1">IFERROR(AVERAGEIF(N$5:$N436,"&gt;="&amp;_xlfn.PERCENTILE.EXC(N$5:$N436,0.2)),0)</f>
        <v>0</v>
      </c>
      <c r="Q436" s="21">
        <f t="shared" ca="1" si="62"/>
        <v>49734</v>
      </c>
      <c r="R436" s="37">
        <f t="shared" ca="1" si="57"/>
        <v>0</v>
      </c>
      <c r="S436" s="4">
        <f ca="1">IFERROR(AVERAGE($R$5:R436),0)</f>
        <v>0</v>
      </c>
      <c r="U436" s="21">
        <f t="shared" ca="1" si="58"/>
        <v>49734</v>
      </c>
      <c r="V436" s="4">
        <f ca="1">MIN(S436,PREMISSAS!$C$14)</f>
        <v>0</v>
      </c>
      <c r="W436" s="188"/>
      <c r="X436" s="188"/>
    </row>
    <row r="437" spans="2:24" x14ac:dyDescent="0.3">
      <c r="B437" s="21" t="str">
        <f t="shared" ca="1" si="59"/>
        <v/>
      </c>
      <c r="C437" s="22" t="str">
        <f ca="1">IF(B437="","",IF(LEFT(B437,2)="13",C436,IF(MONTH(B437)=1,C436*(1+PREMISSAS!$C$58),C436)))</f>
        <v/>
      </c>
      <c r="E437" s="18">
        <v>433</v>
      </c>
      <c r="F437" s="21">
        <f t="shared" ca="1" si="60"/>
        <v>49765</v>
      </c>
      <c r="G437" s="22">
        <f ca="1">IFERROR(VLOOKUP(F437,RESULTADOS!$O$5:$P$543,2,FALSE),VLOOKUP(F437,$B$5:$C$842,2,FALSE))</f>
        <v>0</v>
      </c>
      <c r="H437" s="4">
        <f ca="1">IF(F437&lt;PREMISSAS!$D$7,0,IFERROR(VLOOKUP(IF(LEFT(F437,2)="13",DATE(YEAR(F436),12,31),F437),IPCA!$A:$D,4,FALSE),1)*G437)</f>
        <v>0</v>
      </c>
      <c r="J437" s="21">
        <f t="shared" ca="1" si="54"/>
        <v>49765</v>
      </c>
      <c r="K437" s="4">
        <f t="shared" ca="1" si="55"/>
        <v>0</v>
      </c>
      <c r="M437" s="21">
        <f t="shared" ca="1" si="61"/>
        <v>49765</v>
      </c>
      <c r="N437" s="37">
        <f t="shared" ca="1" si="56"/>
        <v>0</v>
      </c>
      <c r="O437" s="4">
        <f ca="1">IFERROR(AVERAGEIF(N$5:$N437,"&gt;="&amp;_xlfn.PERCENTILE.EXC(N$5:$N437,0.2)),0)</f>
        <v>0</v>
      </c>
      <c r="Q437" s="21">
        <f t="shared" ca="1" si="62"/>
        <v>49765</v>
      </c>
      <c r="R437" s="37">
        <f t="shared" ca="1" si="57"/>
        <v>0</v>
      </c>
      <c r="S437" s="4">
        <f ca="1">IFERROR(AVERAGE($R$5:R437),0)</f>
        <v>0</v>
      </c>
      <c r="U437" s="21">
        <f t="shared" ca="1" si="58"/>
        <v>49765</v>
      </c>
      <c r="V437" s="4">
        <f ca="1">MIN(S437,PREMISSAS!$C$14)</f>
        <v>0</v>
      </c>
      <c r="W437" s="188"/>
      <c r="X437" s="188"/>
    </row>
    <row r="438" spans="2:24" x14ac:dyDescent="0.3">
      <c r="B438" s="21" t="str">
        <f t="shared" ca="1" si="59"/>
        <v/>
      </c>
      <c r="C438" s="22" t="str">
        <f ca="1">IF(B438="","",IF(LEFT(B438,2)="13",C437,IF(MONTH(B438)=1,C437*(1+PREMISSAS!$C$58),C437)))</f>
        <v/>
      </c>
      <c r="E438" s="18">
        <v>434</v>
      </c>
      <c r="F438" s="21">
        <f t="shared" ca="1" si="60"/>
        <v>49795</v>
      </c>
      <c r="G438" s="22">
        <f ca="1">IFERROR(VLOOKUP(F438,RESULTADOS!$O$5:$P$543,2,FALSE),VLOOKUP(F438,$B$5:$C$842,2,FALSE))</f>
        <v>0</v>
      </c>
      <c r="H438" s="4">
        <f ca="1">IF(F438&lt;PREMISSAS!$D$7,0,IFERROR(VLOOKUP(IF(LEFT(F438,2)="13",DATE(YEAR(F437),12,31),F438),IPCA!$A:$D,4,FALSE),1)*G438)</f>
        <v>0</v>
      </c>
      <c r="J438" s="21">
        <f t="shared" ca="1" si="54"/>
        <v>49795</v>
      </c>
      <c r="K438" s="4">
        <f t="shared" ca="1" si="55"/>
        <v>0</v>
      </c>
      <c r="M438" s="21">
        <f t="shared" ca="1" si="61"/>
        <v>49795</v>
      </c>
      <c r="N438" s="37">
        <f t="shared" ca="1" si="56"/>
        <v>0</v>
      </c>
      <c r="O438" s="4">
        <f ca="1">IFERROR(AVERAGEIF(N$5:$N438,"&gt;="&amp;_xlfn.PERCENTILE.EXC(N$5:$N438,0.2)),0)</f>
        <v>0</v>
      </c>
      <c r="Q438" s="21">
        <f t="shared" ca="1" si="62"/>
        <v>49795</v>
      </c>
      <c r="R438" s="37">
        <f t="shared" ca="1" si="57"/>
        <v>0</v>
      </c>
      <c r="S438" s="4">
        <f ca="1">IFERROR(AVERAGE($R$5:R438),0)</f>
        <v>0</v>
      </c>
      <c r="U438" s="21">
        <f t="shared" ca="1" si="58"/>
        <v>49795</v>
      </c>
      <c r="V438" s="4">
        <f ca="1">MIN(S438,PREMISSAS!$C$14)</f>
        <v>0</v>
      </c>
      <c r="W438" s="188"/>
      <c r="X438" s="188"/>
    </row>
    <row r="439" spans="2:24" x14ac:dyDescent="0.3">
      <c r="B439" s="21" t="str">
        <f t="shared" ca="1" si="59"/>
        <v/>
      </c>
      <c r="C439" s="22" t="str">
        <f ca="1">IF(B439="","",IF(LEFT(B439,2)="13",C438,IF(MONTH(B439)=1,C438*(1+PREMISSAS!$C$58),C438)))</f>
        <v/>
      </c>
      <c r="E439" s="18">
        <v>435</v>
      </c>
      <c r="F439" s="21">
        <f t="shared" ca="1" si="60"/>
        <v>49826</v>
      </c>
      <c r="G439" s="22">
        <f ca="1">IFERROR(VLOOKUP(F439,RESULTADOS!$O$5:$P$543,2,FALSE),VLOOKUP(F439,$B$5:$C$842,2,FALSE))</f>
        <v>0</v>
      </c>
      <c r="H439" s="4">
        <f ca="1">IF(F439&lt;PREMISSAS!$D$7,0,IFERROR(VLOOKUP(IF(LEFT(F439,2)="13",DATE(YEAR(F438),12,31),F439),IPCA!$A:$D,4,FALSE),1)*G439)</f>
        <v>0</v>
      </c>
      <c r="J439" s="21">
        <f t="shared" ca="1" si="54"/>
        <v>49826</v>
      </c>
      <c r="K439" s="4">
        <f t="shared" ca="1" si="55"/>
        <v>0</v>
      </c>
      <c r="M439" s="21">
        <f t="shared" ca="1" si="61"/>
        <v>49826</v>
      </c>
      <c r="N439" s="37">
        <f t="shared" ca="1" si="56"/>
        <v>0</v>
      </c>
      <c r="O439" s="4">
        <f ca="1">IFERROR(AVERAGEIF(N$5:$N439,"&gt;="&amp;_xlfn.PERCENTILE.EXC(N$5:$N439,0.2)),0)</f>
        <v>0</v>
      </c>
      <c r="Q439" s="21">
        <f t="shared" ca="1" si="62"/>
        <v>49826</v>
      </c>
      <c r="R439" s="37">
        <f t="shared" ca="1" si="57"/>
        <v>0</v>
      </c>
      <c r="S439" s="4">
        <f ca="1">IFERROR(AVERAGE($R$5:R439),0)</f>
        <v>0</v>
      </c>
      <c r="U439" s="21">
        <f t="shared" ca="1" si="58"/>
        <v>49826</v>
      </c>
      <c r="V439" s="4">
        <f ca="1">MIN(S439,PREMISSAS!$C$14)</f>
        <v>0</v>
      </c>
      <c r="W439" s="188"/>
      <c r="X439" s="188"/>
    </row>
    <row r="440" spans="2:24" x14ac:dyDescent="0.3">
      <c r="B440" s="21" t="str">
        <f t="shared" ca="1" si="59"/>
        <v/>
      </c>
      <c r="C440" s="22" t="str">
        <f ca="1">IF(B440="","",IF(LEFT(B440,2)="13",C439,IF(MONTH(B440)=1,C439*(1+PREMISSAS!$C$58),C439)))</f>
        <v/>
      </c>
      <c r="E440" s="18">
        <v>436</v>
      </c>
      <c r="F440" s="21">
        <f t="shared" ca="1" si="60"/>
        <v>49856</v>
      </c>
      <c r="G440" s="22">
        <f ca="1">IFERROR(VLOOKUP(F440,RESULTADOS!$O$5:$P$543,2,FALSE),VLOOKUP(F440,$B$5:$C$842,2,FALSE))</f>
        <v>0</v>
      </c>
      <c r="H440" s="4">
        <f ca="1">IF(F440&lt;PREMISSAS!$D$7,0,IFERROR(VLOOKUP(IF(LEFT(F440,2)="13",DATE(YEAR(F439),12,31),F440),IPCA!$A:$D,4,FALSE),1)*G440)</f>
        <v>0</v>
      </c>
      <c r="J440" s="21">
        <f t="shared" ca="1" si="54"/>
        <v>49856</v>
      </c>
      <c r="K440" s="4">
        <f t="shared" ca="1" si="55"/>
        <v>0</v>
      </c>
      <c r="M440" s="21">
        <f t="shared" ca="1" si="61"/>
        <v>49856</v>
      </c>
      <c r="N440" s="37">
        <f t="shared" ca="1" si="56"/>
        <v>0</v>
      </c>
      <c r="O440" s="4">
        <f ca="1">IFERROR(AVERAGEIF(N$5:$N440,"&gt;="&amp;_xlfn.PERCENTILE.EXC(N$5:$N440,0.2)),0)</f>
        <v>0</v>
      </c>
      <c r="Q440" s="21">
        <f t="shared" ca="1" si="62"/>
        <v>49856</v>
      </c>
      <c r="R440" s="37">
        <f t="shared" ca="1" si="57"/>
        <v>0</v>
      </c>
      <c r="S440" s="4">
        <f ca="1">IFERROR(AVERAGE($R$5:R440),0)</f>
        <v>0</v>
      </c>
      <c r="U440" s="21">
        <f t="shared" ca="1" si="58"/>
        <v>49856</v>
      </c>
      <c r="V440" s="4">
        <f ca="1">MIN(S440,PREMISSAS!$C$14)</f>
        <v>0</v>
      </c>
      <c r="W440" s="188"/>
      <c r="X440" s="188"/>
    </row>
    <row r="441" spans="2:24" x14ac:dyDescent="0.3">
      <c r="B441" s="21" t="str">
        <f t="shared" ca="1" si="59"/>
        <v/>
      </c>
      <c r="C441" s="22" t="str">
        <f ca="1">IF(B441="","",IF(LEFT(B441,2)="13",C440,IF(MONTH(B441)=1,C440*(1+PREMISSAS!$C$58),C440)))</f>
        <v/>
      </c>
      <c r="E441" s="18">
        <v>437</v>
      </c>
      <c r="F441" s="21">
        <f t="shared" ca="1" si="60"/>
        <v>49887</v>
      </c>
      <c r="G441" s="22">
        <f ca="1">IFERROR(VLOOKUP(F441,RESULTADOS!$O$5:$P$543,2,FALSE),VLOOKUP(F441,$B$5:$C$842,2,FALSE))</f>
        <v>0</v>
      </c>
      <c r="H441" s="4">
        <f ca="1">IF(F441&lt;PREMISSAS!$D$7,0,IFERROR(VLOOKUP(IF(LEFT(F441,2)="13",DATE(YEAR(F440),12,31),F441),IPCA!$A:$D,4,FALSE),1)*G441)</f>
        <v>0</v>
      </c>
      <c r="J441" s="21">
        <f t="shared" ca="1" si="54"/>
        <v>49887</v>
      </c>
      <c r="K441" s="4">
        <f t="shared" ca="1" si="55"/>
        <v>0</v>
      </c>
      <c r="M441" s="21">
        <f t="shared" ca="1" si="61"/>
        <v>49887</v>
      </c>
      <c r="N441" s="37">
        <f t="shared" ca="1" si="56"/>
        <v>0</v>
      </c>
      <c r="O441" s="4">
        <f ca="1">IFERROR(AVERAGEIF(N$5:$N441,"&gt;="&amp;_xlfn.PERCENTILE.EXC(N$5:$N441,0.2)),0)</f>
        <v>0</v>
      </c>
      <c r="Q441" s="21">
        <f t="shared" ca="1" si="62"/>
        <v>49887</v>
      </c>
      <c r="R441" s="37">
        <f t="shared" ca="1" si="57"/>
        <v>0</v>
      </c>
      <c r="S441" s="4">
        <f ca="1">IFERROR(AVERAGE($R$5:R441),0)</f>
        <v>0</v>
      </c>
      <c r="U441" s="21">
        <f t="shared" ca="1" si="58"/>
        <v>49887</v>
      </c>
      <c r="V441" s="4">
        <f ca="1">MIN(S441,PREMISSAS!$C$14)</f>
        <v>0</v>
      </c>
      <c r="W441" s="188"/>
      <c r="X441" s="188"/>
    </row>
    <row r="442" spans="2:24" x14ac:dyDescent="0.3">
      <c r="B442" s="21" t="str">
        <f t="shared" ca="1" si="59"/>
        <v/>
      </c>
      <c r="C442" s="22" t="str">
        <f ca="1">IF(B442="","",IF(LEFT(B442,2)="13",C441,IF(MONTH(B442)=1,C441*(1+PREMISSAS!$C$58),C441)))</f>
        <v/>
      </c>
      <c r="E442" s="18">
        <v>438</v>
      </c>
      <c r="F442" s="21">
        <f t="shared" ca="1" si="60"/>
        <v>49918</v>
      </c>
      <c r="G442" s="22">
        <f ca="1">IFERROR(VLOOKUP(F442,RESULTADOS!$O$5:$P$543,2,FALSE),VLOOKUP(F442,$B$5:$C$842,2,FALSE))</f>
        <v>0</v>
      </c>
      <c r="H442" s="4">
        <f ca="1">IF(F442&lt;PREMISSAS!$D$7,0,IFERROR(VLOOKUP(IF(LEFT(F442,2)="13",DATE(YEAR(F441),12,31),F442),IPCA!$A:$D,4,FALSE),1)*G442)</f>
        <v>0</v>
      </c>
      <c r="J442" s="21">
        <f t="shared" ca="1" si="54"/>
        <v>49918</v>
      </c>
      <c r="K442" s="4">
        <f t="shared" ca="1" si="55"/>
        <v>0</v>
      </c>
      <c r="M442" s="21">
        <f t="shared" ca="1" si="61"/>
        <v>49918</v>
      </c>
      <c r="N442" s="37">
        <f t="shared" ca="1" si="56"/>
        <v>0</v>
      </c>
      <c r="O442" s="4">
        <f ca="1">IFERROR(AVERAGEIF(N$5:$N442,"&gt;="&amp;_xlfn.PERCENTILE.EXC(N$5:$N442,0.2)),0)</f>
        <v>0</v>
      </c>
      <c r="Q442" s="21">
        <f t="shared" ca="1" si="62"/>
        <v>49918</v>
      </c>
      <c r="R442" s="37">
        <f t="shared" ca="1" si="57"/>
        <v>0</v>
      </c>
      <c r="S442" s="4">
        <f ca="1">IFERROR(AVERAGE($R$5:R442),0)</f>
        <v>0</v>
      </c>
      <c r="U442" s="21">
        <f t="shared" ca="1" si="58"/>
        <v>49918</v>
      </c>
      <c r="V442" s="4">
        <f ca="1">MIN(S442,PREMISSAS!$C$14)</f>
        <v>0</v>
      </c>
      <c r="W442" s="188"/>
      <c r="X442" s="188"/>
    </row>
    <row r="443" spans="2:24" x14ac:dyDescent="0.3">
      <c r="B443" s="21" t="str">
        <f t="shared" ca="1" si="59"/>
        <v/>
      </c>
      <c r="C443" s="22" t="str">
        <f ca="1">IF(B443="","",IF(LEFT(B443,2)="13",C442,IF(MONTH(B443)=1,C442*(1+PREMISSAS!$C$58),C442)))</f>
        <v/>
      </c>
      <c r="E443" s="18">
        <v>439</v>
      </c>
      <c r="F443" s="21">
        <f t="shared" ca="1" si="60"/>
        <v>49948</v>
      </c>
      <c r="G443" s="22">
        <f ca="1">IFERROR(VLOOKUP(F443,RESULTADOS!$O$5:$P$543,2,FALSE),VLOOKUP(F443,$B$5:$C$842,2,FALSE))</f>
        <v>0</v>
      </c>
      <c r="H443" s="4">
        <f ca="1">IF(F443&lt;PREMISSAS!$D$7,0,IFERROR(VLOOKUP(IF(LEFT(F443,2)="13",DATE(YEAR(F442),12,31),F443),IPCA!$A:$D,4,FALSE),1)*G443)</f>
        <v>0</v>
      </c>
      <c r="J443" s="21">
        <f t="shared" ca="1" si="54"/>
        <v>49948</v>
      </c>
      <c r="K443" s="4">
        <f t="shared" ca="1" si="55"/>
        <v>0</v>
      </c>
      <c r="M443" s="21">
        <f t="shared" ca="1" si="61"/>
        <v>49948</v>
      </c>
      <c r="N443" s="37">
        <f t="shared" ca="1" si="56"/>
        <v>0</v>
      </c>
      <c r="O443" s="4">
        <f ca="1">IFERROR(AVERAGEIF(N$5:$N443,"&gt;="&amp;_xlfn.PERCENTILE.EXC(N$5:$N443,0.2)),0)</f>
        <v>0</v>
      </c>
      <c r="Q443" s="21">
        <f t="shared" ca="1" si="62"/>
        <v>49948</v>
      </c>
      <c r="R443" s="37">
        <f t="shared" ca="1" si="57"/>
        <v>0</v>
      </c>
      <c r="S443" s="4">
        <f ca="1">IFERROR(AVERAGE($R$5:R443),0)</f>
        <v>0</v>
      </c>
      <c r="U443" s="21">
        <f t="shared" ca="1" si="58"/>
        <v>49948</v>
      </c>
      <c r="V443" s="4">
        <f ca="1">MIN(S443,PREMISSAS!$C$14)</f>
        <v>0</v>
      </c>
      <c r="W443" s="188"/>
      <c r="X443" s="188"/>
    </row>
    <row r="444" spans="2:24" x14ac:dyDescent="0.3">
      <c r="B444" s="21" t="str">
        <f t="shared" ca="1" si="59"/>
        <v/>
      </c>
      <c r="C444" s="22" t="str">
        <f ca="1">IF(B444="","",IF(LEFT(B444,2)="13",C443,IF(MONTH(B444)=1,C443*(1+PREMISSAS!$C$58),C443)))</f>
        <v/>
      </c>
      <c r="E444" s="18">
        <v>440</v>
      </c>
      <c r="F444" s="21">
        <f t="shared" ca="1" si="60"/>
        <v>49979</v>
      </c>
      <c r="G444" s="22">
        <f ca="1">IFERROR(VLOOKUP(F444,RESULTADOS!$O$5:$P$543,2,FALSE),VLOOKUP(F444,$B$5:$C$842,2,FALSE))</f>
        <v>0</v>
      </c>
      <c r="H444" s="4">
        <f ca="1">IF(F444&lt;PREMISSAS!$D$7,0,IFERROR(VLOOKUP(IF(LEFT(F444,2)="13",DATE(YEAR(F443),12,31),F444),IPCA!$A:$D,4,FALSE),1)*G444)</f>
        <v>0</v>
      </c>
      <c r="J444" s="21">
        <f t="shared" ca="1" si="54"/>
        <v>49979</v>
      </c>
      <c r="K444" s="4">
        <f t="shared" ca="1" si="55"/>
        <v>0</v>
      </c>
      <c r="M444" s="21">
        <f t="shared" ca="1" si="61"/>
        <v>49979</v>
      </c>
      <c r="N444" s="37">
        <f t="shared" ca="1" si="56"/>
        <v>0</v>
      </c>
      <c r="O444" s="4">
        <f ca="1">IFERROR(AVERAGEIF(N$5:$N444,"&gt;="&amp;_xlfn.PERCENTILE.EXC(N$5:$N444,0.2)),0)</f>
        <v>0</v>
      </c>
      <c r="Q444" s="21">
        <f t="shared" ca="1" si="62"/>
        <v>49979</v>
      </c>
      <c r="R444" s="37">
        <f t="shared" ca="1" si="57"/>
        <v>0</v>
      </c>
      <c r="S444" s="4">
        <f ca="1">IFERROR(AVERAGE($R$5:R444),0)</f>
        <v>0</v>
      </c>
      <c r="U444" s="21">
        <f t="shared" ca="1" si="58"/>
        <v>49979</v>
      </c>
      <c r="V444" s="4">
        <f ca="1">MIN(S444,PREMISSAS!$C$14)</f>
        <v>0</v>
      </c>
      <c r="W444" s="188"/>
      <c r="X444" s="188"/>
    </row>
    <row r="445" spans="2:24" x14ac:dyDescent="0.3">
      <c r="B445" s="21" t="str">
        <f t="shared" ca="1" si="59"/>
        <v/>
      </c>
      <c r="C445" s="22" t="str">
        <f ca="1">IF(B445="","",IF(LEFT(B445,2)="13",C444,IF(MONTH(B445)=1,C444*(1+PREMISSAS!$C$58),C444)))</f>
        <v/>
      </c>
      <c r="E445" s="18">
        <v>441</v>
      </c>
      <c r="F445" s="21">
        <f t="shared" ca="1" si="60"/>
        <v>50009</v>
      </c>
      <c r="G445" s="22">
        <f ca="1">IFERROR(VLOOKUP(F445,RESULTADOS!$O$5:$P$543,2,FALSE),VLOOKUP(F445,$B$5:$C$842,2,FALSE))</f>
        <v>0</v>
      </c>
      <c r="H445" s="4">
        <f ca="1">IF(F445&lt;PREMISSAS!$D$7,0,IFERROR(VLOOKUP(IF(LEFT(F445,2)="13",DATE(YEAR(F444),12,31),F445),IPCA!$A:$D,4,FALSE),1)*G445)</f>
        <v>0</v>
      </c>
      <c r="J445" s="21">
        <f t="shared" ca="1" si="54"/>
        <v>50009</v>
      </c>
      <c r="K445" s="4">
        <f t="shared" ca="1" si="55"/>
        <v>0</v>
      </c>
      <c r="M445" s="21">
        <f t="shared" ca="1" si="61"/>
        <v>50009</v>
      </c>
      <c r="N445" s="37">
        <f t="shared" ca="1" si="56"/>
        <v>0</v>
      </c>
      <c r="O445" s="4">
        <f ca="1">IFERROR(AVERAGEIF(N$5:$N445,"&gt;="&amp;_xlfn.PERCENTILE.EXC(N$5:$N445,0.2)),0)</f>
        <v>0</v>
      </c>
      <c r="Q445" s="21">
        <f t="shared" ca="1" si="62"/>
        <v>50009</v>
      </c>
      <c r="R445" s="37">
        <f t="shared" ca="1" si="57"/>
        <v>0</v>
      </c>
      <c r="S445" s="4">
        <f ca="1">IFERROR(AVERAGE($R$5:R445),0)</f>
        <v>0</v>
      </c>
      <c r="U445" s="21">
        <f t="shared" ca="1" si="58"/>
        <v>50009</v>
      </c>
      <c r="V445" s="4">
        <f ca="1">MIN(S445,PREMISSAS!$C$14)</f>
        <v>0</v>
      </c>
      <c r="W445" s="188"/>
      <c r="X445" s="188"/>
    </row>
    <row r="446" spans="2:24" x14ac:dyDescent="0.3">
      <c r="B446" s="21" t="str">
        <f t="shared" ca="1" si="59"/>
        <v/>
      </c>
      <c r="C446" s="22" t="str">
        <f ca="1">IF(B446="","",IF(LEFT(B446,2)="13",C445,IF(MONTH(B446)=1,C445*(1+PREMISSAS!$C$58),C445)))</f>
        <v/>
      </c>
      <c r="E446" s="18">
        <v>442</v>
      </c>
      <c r="F446" s="21" t="str">
        <f t="shared" ca="1" si="60"/>
        <v>13º 2036</v>
      </c>
      <c r="G446" s="22">
        <f ca="1">IFERROR(VLOOKUP(F446,RESULTADOS!$O$5:$P$543,2,FALSE),VLOOKUP(F446,$B$5:$C$842,2,FALSE))</f>
        <v>0</v>
      </c>
      <c r="H446" s="4">
        <f ca="1">IF(F446&lt;PREMISSAS!$D$7,0,IFERROR(VLOOKUP(IF(LEFT(F446,2)="13",DATE(YEAR(F445),12,31),F446),IPCA!$A:$D,4,FALSE),1)*G446)</f>
        <v>0</v>
      </c>
      <c r="J446" s="21" t="str">
        <f t="shared" ca="1" si="54"/>
        <v>13º 2036</v>
      </c>
      <c r="K446" s="4">
        <f t="shared" ca="1" si="55"/>
        <v>0</v>
      </c>
      <c r="M446" s="21" t="str">
        <f t="shared" ca="1" si="61"/>
        <v>13º 2036</v>
      </c>
      <c r="N446" s="37">
        <f t="shared" ca="1" si="56"/>
        <v>0</v>
      </c>
      <c r="O446" s="4">
        <f ca="1">IFERROR(AVERAGEIF(N$5:$N446,"&gt;="&amp;_xlfn.PERCENTILE.EXC(N$5:$N446,0.2)),0)</f>
        <v>0</v>
      </c>
      <c r="Q446" s="21" t="str">
        <f t="shared" ca="1" si="62"/>
        <v>13º 2036</v>
      </c>
      <c r="R446" s="37">
        <f t="shared" ca="1" si="57"/>
        <v>0</v>
      </c>
      <c r="S446" s="4">
        <f ca="1">IFERROR(AVERAGE($R$5:R446),0)</f>
        <v>0</v>
      </c>
      <c r="U446" s="21" t="str">
        <f t="shared" ca="1" si="58"/>
        <v>13º 2036</v>
      </c>
      <c r="V446" s="4">
        <f ca="1">MIN(S446,PREMISSAS!$C$14)</f>
        <v>0</v>
      </c>
      <c r="W446" s="188"/>
      <c r="X446" s="188"/>
    </row>
    <row r="447" spans="2:24" x14ac:dyDescent="0.3">
      <c r="B447" s="21" t="str">
        <f t="shared" ca="1" si="59"/>
        <v/>
      </c>
      <c r="C447" s="22" t="str">
        <f ca="1">IF(B447="","",IF(LEFT(B447,2)="13",C446,IF(MONTH(B447)=1,C446*(1+PREMISSAS!$C$58),C446)))</f>
        <v/>
      </c>
      <c r="E447" s="18">
        <v>443</v>
      </c>
      <c r="F447" s="21">
        <f t="shared" ca="1" si="60"/>
        <v>50040</v>
      </c>
      <c r="G447" s="22">
        <f ca="1">IFERROR(VLOOKUP(F447,RESULTADOS!$O$5:$P$543,2,FALSE),VLOOKUP(F447,$B$5:$C$842,2,FALSE))</f>
        <v>0</v>
      </c>
      <c r="H447" s="4">
        <f ca="1">IF(F447&lt;PREMISSAS!$D$7,0,IFERROR(VLOOKUP(IF(LEFT(F447,2)="13",DATE(YEAR(F446),12,31),F447),IPCA!$A:$D,4,FALSE),1)*G447)</f>
        <v>0</v>
      </c>
      <c r="J447" s="21">
        <f t="shared" ca="1" si="54"/>
        <v>50040</v>
      </c>
      <c r="K447" s="4">
        <f t="shared" ca="1" si="55"/>
        <v>0</v>
      </c>
      <c r="M447" s="21">
        <f t="shared" ca="1" si="61"/>
        <v>50040</v>
      </c>
      <c r="N447" s="37">
        <f t="shared" ca="1" si="56"/>
        <v>0</v>
      </c>
      <c r="O447" s="4">
        <f ca="1">IFERROR(AVERAGEIF(N$5:$N447,"&gt;="&amp;_xlfn.PERCENTILE.EXC(N$5:$N447,0.2)),0)</f>
        <v>0</v>
      </c>
      <c r="Q447" s="21">
        <f t="shared" ca="1" si="62"/>
        <v>50040</v>
      </c>
      <c r="R447" s="37">
        <f t="shared" ca="1" si="57"/>
        <v>0</v>
      </c>
      <c r="S447" s="4">
        <f ca="1">IFERROR(AVERAGE($R$5:R447),0)</f>
        <v>0</v>
      </c>
      <c r="U447" s="21">
        <f t="shared" ca="1" si="58"/>
        <v>50040</v>
      </c>
      <c r="V447" s="4">
        <f ca="1">MIN(S447,PREMISSAS!$C$14)</f>
        <v>0</v>
      </c>
      <c r="W447" s="188"/>
      <c r="X447" s="188"/>
    </row>
    <row r="448" spans="2:24" x14ac:dyDescent="0.3">
      <c r="B448" s="21" t="str">
        <f t="shared" ca="1" si="59"/>
        <v/>
      </c>
      <c r="C448" s="22" t="str">
        <f ca="1">IF(B448="","",IF(LEFT(B448,2)="13",C447,IF(MONTH(B448)=1,C447*(1+PREMISSAS!$C$58),C447)))</f>
        <v/>
      </c>
      <c r="E448" s="18">
        <v>444</v>
      </c>
      <c r="F448" s="21">
        <f t="shared" ca="1" si="60"/>
        <v>50071</v>
      </c>
      <c r="G448" s="22">
        <f ca="1">IFERROR(VLOOKUP(F448,RESULTADOS!$O$5:$P$543,2,FALSE),VLOOKUP(F448,$B$5:$C$842,2,FALSE))</f>
        <v>0</v>
      </c>
      <c r="H448" s="4">
        <f ca="1">IF(F448&lt;PREMISSAS!$D$7,0,IFERROR(VLOOKUP(IF(LEFT(F448,2)="13",DATE(YEAR(F447),12,31),F448),IPCA!$A:$D,4,FALSE),1)*G448)</f>
        <v>0</v>
      </c>
      <c r="J448" s="21">
        <f t="shared" ca="1" si="54"/>
        <v>50071</v>
      </c>
      <c r="K448" s="4">
        <f t="shared" ca="1" si="55"/>
        <v>0</v>
      </c>
      <c r="M448" s="21">
        <f t="shared" ca="1" si="61"/>
        <v>50071</v>
      </c>
      <c r="N448" s="37">
        <f t="shared" ca="1" si="56"/>
        <v>0</v>
      </c>
      <c r="O448" s="4">
        <f ca="1">IFERROR(AVERAGEIF(N$5:$N448,"&gt;="&amp;_xlfn.PERCENTILE.EXC(N$5:$N448,0.2)),0)</f>
        <v>0</v>
      </c>
      <c r="Q448" s="21">
        <f t="shared" ca="1" si="62"/>
        <v>50071</v>
      </c>
      <c r="R448" s="37">
        <f t="shared" ca="1" si="57"/>
        <v>0</v>
      </c>
      <c r="S448" s="4">
        <f ca="1">IFERROR(AVERAGE($R$5:R448),0)</f>
        <v>0</v>
      </c>
      <c r="U448" s="21">
        <f t="shared" ca="1" si="58"/>
        <v>50071</v>
      </c>
      <c r="V448" s="4">
        <f ca="1">MIN(S448,PREMISSAS!$C$14)</f>
        <v>0</v>
      </c>
      <c r="W448" s="188"/>
      <c r="X448" s="188"/>
    </row>
    <row r="449" spans="2:24" x14ac:dyDescent="0.3">
      <c r="B449" s="21" t="str">
        <f t="shared" ca="1" si="59"/>
        <v/>
      </c>
      <c r="C449" s="22" t="str">
        <f ca="1">IF(B449="","",IF(LEFT(B449,2)="13",C448,IF(MONTH(B449)=1,C448*(1+PREMISSAS!$C$58),C448)))</f>
        <v/>
      </c>
      <c r="E449" s="18">
        <v>445</v>
      </c>
      <c r="F449" s="21">
        <f t="shared" ca="1" si="60"/>
        <v>50099</v>
      </c>
      <c r="G449" s="22">
        <f ca="1">IFERROR(VLOOKUP(F449,RESULTADOS!$O$5:$P$543,2,FALSE),VLOOKUP(F449,$B$5:$C$842,2,FALSE))</f>
        <v>0</v>
      </c>
      <c r="H449" s="4">
        <f ca="1">IF(F449&lt;PREMISSAS!$D$7,0,IFERROR(VLOOKUP(IF(LEFT(F449,2)="13",DATE(YEAR(F448),12,31),F449),IPCA!$A:$D,4,FALSE),1)*G449)</f>
        <v>0</v>
      </c>
      <c r="J449" s="21">
        <f t="shared" ca="1" si="54"/>
        <v>50099</v>
      </c>
      <c r="K449" s="4">
        <f t="shared" ca="1" si="55"/>
        <v>0</v>
      </c>
      <c r="M449" s="21">
        <f t="shared" ca="1" si="61"/>
        <v>50099</v>
      </c>
      <c r="N449" s="37">
        <f t="shared" ca="1" si="56"/>
        <v>0</v>
      </c>
      <c r="O449" s="4">
        <f ca="1">IFERROR(AVERAGEIF(N$5:$N449,"&gt;="&amp;_xlfn.PERCENTILE.EXC(N$5:$N449,0.2)),0)</f>
        <v>0</v>
      </c>
      <c r="Q449" s="21">
        <f t="shared" ca="1" si="62"/>
        <v>50099</v>
      </c>
      <c r="R449" s="37">
        <f t="shared" ca="1" si="57"/>
        <v>0</v>
      </c>
      <c r="S449" s="4">
        <f ca="1">IFERROR(AVERAGE($R$5:R449),0)</f>
        <v>0</v>
      </c>
      <c r="U449" s="21">
        <f t="shared" ca="1" si="58"/>
        <v>50099</v>
      </c>
      <c r="V449" s="4">
        <f ca="1">MIN(S449,PREMISSAS!$C$14)</f>
        <v>0</v>
      </c>
      <c r="W449" s="188"/>
      <c r="X449" s="188"/>
    </row>
    <row r="450" spans="2:24" x14ac:dyDescent="0.3">
      <c r="B450" s="21" t="str">
        <f t="shared" ca="1" si="59"/>
        <v/>
      </c>
      <c r="C450" s="22" t="str">
        <f ca="1">IF(B450="","",IF(LEFT(B450,2)="13",C449,IF(MONTH(B450)=1,C449*(1+PREMISSAS!$C$58),C449)))</f>
        <v/>
      </c>
      <c r="E450" s="18">
        <v>446</v>
      </c>
      <c r="F450" s="21">
        <f t="shared" ca="1" si="60"/>
        <v>50130</v>
      </c>
      <c r="G450" s="22">
        <f ca="1">IFERROR(VLOOKUP(F450,RESULTADOS!$O$5:$P$543,2,FALSE),VLOOKUP(F450,$B$5:$C$842,2,FALSE))</f>
        <v>0</v>
      </c>
      <c r="H450" s="4">
        <f ca="1">IF(F450&lt;PREMISSAS!$D$7,0,IFERROR(VLOOKUP(IF(LEFT(F450,2)="13",DATE(YEAR(F449),12,31),F450),IPCA!$A:$D,4,FALSE),1)*G450)</f>
        <v>0</v>
      </c>
      <c r="J450" s="21">
        <f t="shared" ca="1" si="54"/>
        <v>50130</v>
      </c>
      <c r="K450" s="4">
        <f t="shared" ca="1" si="55"/>
        <v>0</v>
      </c>
      <c r="M450" s="21">
        <f t="shared" ca="1" si="61"/>
        <v>50130</v>
      </c>
      <c r="N450" s="37">
        <f t="shared" ca="1" si="56"/>
        <v>0</v>
      </c>
      <c r="O450" s="4">
        <f ca="1">IFERROR(AVERAGEIF(N$5:$N450,"&gt;="&amp;_xlfn.PERCENTILE.EXC(N$5:$N450,0.2)),0)</f>
        <v>0</v>
      </c>
      <c r="Q450" s="21">
        <f t="shared" ca="1" si="62"/>
        <v>50130</v>
      </c>
      <c r="R450" s="37">
        <f t="shared" ca="1" si="57"/>
        <v>0</v>
      </c>
      <c r="S450" s="4">
        <f ca="1">IFERROR(AVERAGE($R$5:R450),0)</f>
        <v>0</v>
      </c>
      <c r="U450" s="21">
        <f t="shared" ca="1" si="58"/>
        <v>50130</v>
      </c>
      <c r="V450" s="4">
        <f ca="1">MIN(S450,PREMISSAS!$C$14)</f>
        <v>0</v>
      </c>
      <c r="W450" s="188"/>
      <c r="X450" s="188"/>
    </row>
    <row r="451" spans="2:24" x14ac:dyDescent="0.3">
      <c r="B451" s="21" t="str">
        <f t="shared" ca="1" si="59"/>
        <v/>
      </c>
      <c r="C451" s="22" t="str">
        <f ca="1">IF(B451="","",IF(LEFT(B451,2)="13",C450,IF(MONTH(B451)=1,C450*(1+PREMISSAS!$C$58),C450)))</f>
        <v/>
      </c>
      <c r="E451" s="18">
        <v>447</v>
      </c>
      <c r="F451" s="21">
        <f t="shared" ca="1" si="60"/>
        <v>50160</v>
      </c>
      <c r="G451" s="22">
        <f ca="1">IFERROR(VLOOKUP(F451,RESULTADOS!$O$5:$P$543,2,FALSE),VLOOKUP(F451,$B$5:$C$842,2,FALSE))</f>
        <v>0</v>
      </c>
      <c r="H451" s="4">
        <f ca="1">IF(F451&lt;PREMISSAS!$D$7,0,IFERROR(VLOOKUP(IF(LEFT(F451,2)="13",DATE(YEAR(F450),12,31),F451),IPCA!$A:$D,4,FALSE),1)*G451)</f>
        <v>0</v>
      </c>
      <c r="J451" s="21">
        <f t="shared" ca="1" si="54"/>
        <v>50160</v>
      </c>
      <c r="K451" s="4">
        <f t="shared" ca="1" si="55"/>
        <v>0</v>
      </c>
      <c r="M451" s="21">
        <f t="shared" ca="1" si="61"/>
        <v>50160</v>
      </c>
      <c r="N451" s="37">
        <f t="shared" ca="1" si="56"/>
        <v>0</v>
      </c>
      <c r="O451" s="4">
        <f ca="1">IFERROR(AVERAGEIF(N$5:$N451,"&gt;="&amp;_xlfn.PERCENTILE.EXC(N$5:$N451,0.2)),0)</f>
        <v>0</v>
      </c>
      <c r="Q451" s="21">
        <f t="shared" ca="1" si="62"/>
        <v>50160</v>
      </c>
      <c r="R451" s="37">
        <f t="shared" ca="1" si="57"/>
        <v>0</v>
      </c>
      <c r="S451" s="4">
        <f ca="1">IFERROR(AVERAGE($R$5:R451),0)</f>
        <v>0</v>
      </c>
      <c r="U451" s="21">
        <f t="shared" ca="1" si="58"/>
        <v>50160</v>
      </c>
      <c r="V451" s="4">
        <f ca="1">MIN(S451,PREMISSAS!$C$14)</f>
        <v>0</v>
      </c>
      <c r="W451" s="188"/>
      <c r="X451" s="188"/>
    </row>
    <row r="452" spans="2:24" x14ac:dyDescent="0.3">
      <c r="B452" s="21" t="str">
        <f t="shared" ca="1" si="59"/>
        <v/>
      </c>
      <c r="C452" s="22" t="str">
        <f ca="1">IF(B452="","",IF(LEFT(B452,2)="13",C451,IF(MONTH(B452)=1,C451*(1+PREMISSAS!$C$58),C451)))</f>
        <v/>
      </c>
      <c r="E452" s="18">
        <v>448</v>
      </c>
      <c r="F452" s="21">
        <f t="shared" ca="1" si="60"/>
        <v>50191</v>
      </c>
      <c r="G452" s="22">
        <f ca="1">IFERROR(VLOOKUP(F452,RESULTADOS!$O$5:$P$543,2,FALSE),VLOOKUP(F452,$B$5:$C$842,2,FALSE))</f>
        <v>0</v>
      </c>
      <c r="H452" s="4">
        <f ca="1">IF(F452&lt;PREMISSAS!$D$7,0,IFERROR(VLOOKUP(IF(LEFT(F452,2)="13",DATE(YEAR(F451),12,31),F452),IPCA!$A:$D,4,FALSE),1)*G452)</f>
        <v>0</v>
      </c>
      <c r="J452" s="21">
        <f t="shared" ca="1" si="54"/>
        <v>50191</v>
      </c>
      <c r="K452" s="4">
        <f t="shared" ca="1" si="55"/>
        <v>0</v>
      </c>
      <c r="M452" s="21">
        <f t="shared" ca="1" si="61"/>
        <v>50191</v>
      </c>
      <c r="N452" s="37">
        <f t="shared" ca="1" si="56"/>
        <v>0</v>
      </c>
      <c r="O452" s="4">
        <f ca="1">IFERROR(AVERAGEIF(N$5:$N452,"&gt;="&amp;_xlfn.PERCENTILE.EXC(N$5:$N452,0.2)),0)</f>
        <v>0</v>
      </c>
      <c r="Q452" s="21">
        <f t="shared" ca="1" si="62"/>
        <v>50191</v>
      </c>
      <c r="R452" s="37">
        <f t="shared" ca="1" si="57"/>
        <v>0</v>
      </c>
      <c r="S452" s="4">
        <f ca="1">IFERROR(AVERAGE($R$5:R452),0)</f>
        <v>0</v>
      </c>
      <c r="U452" s="21">
        <f t="shared" ca="1" si="58"/>
        <v>50191</v>
      </c>
      <c r="V452" s="4">
        <f ca="1">MIN(S452,PREMISSAS!$C$14)</f>
        <v>0</v>
      </c>
      <c r="W452" s="188"/>
      <c r="X452" s="188"/>
    </row>
    <row r="453" spans="2:24" x14ac:dyDescent="0.3">
      <c r="B453" s="21" t="str">
        <f t="shared" ca="1" si="59"/>
        <v/>
      </c>
      <c r="C453" s="22" t="str">
        <f ca="1">IF(B453="","",IF(LEFT(B453,2)="13",C452,IF(MONTH(B453)=1,C452*(1+PREMISSAS!$C$58),C452)))</f>
        <v/>
      </c>
      <c r="E453" s="18">
        <v>449</v>
      </c>
      <c r="F453" s="21">
        <f t="shared" ca="1" si="60"/>
        <v>50221</v>
      </c>
      <c r="G453" s="22">
        <f ca="1">IFERROR(VLOOKUP(F453,RESULTADOS!$O$5:$P$543,2,FALSE),VLOOKUP(F453,$B$5:$C$842,2,FALSE))</f>
        <v>0</v>
      </c>
      <c r="H453" s="4">
        <f ca="1">IF(F453&lt;PREMISSAS!$D$7,0,IFERROR(VLOOKUP(IF(LEFT(F453,2)="13",DATE(YEAR(F452),12,31),F453),IPCA!$A:$D,4,FALSE),1)*G453)</f>
        <v>0</v>
      </c>
      <c r="J453" s="21">
        <f t="shared" ref="J453:J516" ca="1" si="63">F453</f>
        <v>50221</v>
      </c>
      <c r="K453" s="4">
        <f t="shared" ref="K453:K516" ca="1" si="64">G453</f>
        <v>0</v>
      </c>
      <c r="M453" s="21">
        <f t="shared" ca="1" si="61"/>
        <v>50221</v>
      </c>
      <c r="N453" s="37">
        <f t="shared" ca="1" si="56"/>
        <v>0</v>
      </c>
      <c r="O453" s="4">
        <f ca="1">IFERROR(AVERAGEIF(N$5:$N453,"&gt;="&amp;_xlfn.PERCENTILE.EXC(N$5:$N453,0.2)),0)</f>
        <v>0</v>
      </c>
      <c r="Q453" s="21">
        <f t="shared" ca="1" si="62"/>
        <v>50221</v>
      </c>
      <c r="R453" s="37">
        <f t="shared" ca="1" si="57"/>
        <v>0</v>
      </c>
      <c r="S453" s="4">
        <f ca="1">IFERROR(AVERAGE($R$5:R453),0)</f>
        <v>0</v>
      </c>
      <c r="U453" s="21">
        <f t="shared" ca="1" si="58"/>
        <v>50221</v>
      </c>
      <c r="V453" s="4">
        <f ca="1">MIN(S453,PREMISSAS!$C$14)</f>
        <v>0</v>
      </c>
      <c r="W453" s="188"/>
      <c r="X453" s="188"/>
    </row>
    <row r="454" spans="2:24" x14ac:dyDescent="0.3">
      <c r="B454" s="21" t="str">
        <f t="shared" ca="1" si="59"/>
        <v/>
      </c>
      <c r="C454" s="22" t="str">
        <f ca="1">IF(B454="","",IF(LEFT(B454,2)="13",C453,IF(MONTH(B454)=1,C453*(1+PREMISSAS!$C$58),C453)))</f>
        <v/>
      </c>
      <c r="E454" s="18">
        <v>450</v>
      </c>
      <c r="F454" s="21">
        <f t="shared" ca="1" si="60"/>
        <v>50252</v>
      </c>
      <c r="G454" s="22">
        <f ca="1">IFERROR(VLOOKUP(F454,RESULTADOS!$O$5:$P$543,2,FALSE),VLOOKUP(F454,$B$5:$C$842,2,FALSE))</f>
        <v>0</v>
      </c>
      <c r="H454" s="4">
        <f ca="1">IF(F454&lt;PREMISSAS!$D$7,0,IFERROR(VLOOKUP(IF(LEFT(F454,2)="13",DATE(YEAR(F453),12,31),F454),IPCA!$A:$D,4,FALSE),1)*G454)</f>
        <v>0</v>
      </c>
      <c r="J454" s="21">
        <f t="shared" ca="1" si="63"/>
        <v>50252</v>
      </c>
      <c r="K454" s="4">
        <f t="shared" ca="1" si="64"/>
        <v>0</v>
      </c>
      <c r="M454" s="21">
        <f t="shared" ca="1" si="61"/>
        <v>50252</v>
      </c>
      <c r="N454" s="37">
        <f t="shared" ref="N454:N517" ca="1" si="65">IFERROR(VLOOKUP(M454,$F$5:$H$628,3,FALSE),0)</f>
        <v>0</v>
      </c>
      <c r="O454" s="4">
        <f ca="1">IFERROR(AVERAGEIF(N$5:$N454,"&gt;="&amp;_xlfn.PERCENTILE.EXC(N$5:$N454,0.2)),0)</f>
        <v>0</v>
      </c>
      <c r="Q454" s="21">
        <f t="shared" ca="1" si="62"/>
        <v>50252</v>
      </c>
      <c r="R454" s="37">
        <f t="shared" ref="R454:R517" ca="1" si="66">IFERROR(VLOOKUP(Q454,$F$5:$H$628,3,FALSE),0)</f>
        <v>0</v>
      </c>
      <c r="S454" s="4">
        <f ca="1">IFERROR(AVERAGE($R$5:R454),0)</f>
        <v>0</v>
      </c>
      <c r="U454" s="21">
        <f t="shared" ref="U454:U517" ca="1" si="67">M454</f>
        <v>50252</v>
      </c>
      <c r="V454" s="4">
        <f ca="1">MIN(S454,PREMISSAS!$C$14)</f>
        <v>0</v>
      </c>
      <c r="W454" s="188"/>
      <c r="X454" s="188"/>
    </row>
    <row r="455" spans="2:24" x14ac:dyDescent="0.3">
      <c r="B455" s="21" t="str">
        <f t="shared" ref="B455:B518" ca="1" si="68">IFERROR(IF(LEFT(B454,2)="13",DATE(RIGHT(B454,4),12,31),IF(EOMONTH(B454,0)&gt;$F$1,"",IF(MONTH(B454)=11,"13º "&amp;YEAR(B454),EOMONTH(B454,1)))),"")</f>
        <v/>
      </c>
      <c r="C455" s="22" t="str">
        <f ca="1">IF(B455="","",IF(LEFT(B455,2)="13",C454,IF(MONTH(B455)=1,C454*(1+PREMISSAS!$C$58),C454)))</f>
        <v/>
      </c>
      <c r="E455" s="18">
        <v>451</v>
      </c>
      <c r="F455" s="21">
        <f t="shared" ref="F455:F518" ca="1" si="69">IFERROR(IF(LEFT(F454,2)="13",DATE(RIGHT(F454,4),12,31),IF(EOMONTH(F454,0)&gt;$F$1,"",IF(MONTH(F454)=11,"13º "&amp;YEAR(F454),EOMONTH(F454,1)))),"")</f>
        <v>50283</v>
      </c>
      <c r="G455" s="22">
        <f ca="1">IFERROR(VLOOKUP(F455,RESULTADOS!$O$5:$P$543,2,FALSE),VLOOKUP(F455,$B$5:$C$842,2,FALSE))</f>
        <v>0</v>
      </c>
      <c r="H455" s="4">
        <f ca="1">IF(F455&lt;PREMISSAS!$D$7,0,IFERROR(VLOOKUP(IF(LEFT(F455,2)="13",DATE(YEAR(F454),12,31),F455),IPCA!$A:$D,4,FALSE),1)*G455)</f>
        <v>0</v>
      </c>
      <c r="J455" s="21">
        <f t="shared" ca="1" si="63"/>
        <v>50283</v>
      </c>
      <c r="K455" s="4">
        <f t="shared" ca="1" si="64"/>
        <v>0</v>
      </c>
      <c r="M455" s="21">
        <f t="shared" ref="M455:M518" ca="1" si="70">IFERROR(IF(LEFT(M454,2)="13",DATE(RIGHT(M454,4),12,31),IF(EOMONTH(M454,0)&gt;$F$1,"",IF(MONTH(M454)=11,"13º "&amp;YEAR(M454),EOMONTH(M454,1)))),"")</f>
        <v>50283</v>
      </c>
      <c r="N455" s="37">
        <f t="shared" ca="1" si="65"/>
        <v>0</v>
      </c>
      <c r="O455" s="4">
        <f ca="1">IFERROR(AVERAGEIF(N$5:$N455,"&gt;="&amp;_xlfn.PERCENTILE.EXC(N$5:$N455,0.2)),0)</f>
        <v>0</v>
      </c>
      <c r="Q455" s="21">
        <f t="shared" ref="Q455:Q518" ca="1" si="71">IFERROR(IF(LEFT(Q454,2)="13",DATE(RIGHT(Q454,4),12,31),IF(EOMONTH(Q454,0)&gt;$F$1,"",IF(MONTH(Q454)=11,"13º "&amp;YEAR(Q454),EOMONTH(Q454,1)))),"")</f>
        <v>50283</v>
      </c>
      <c r="R455" s="37">
        <f t="shared" ca="1" si="66"/>
        <v>0</v>
      </c>
      <c r="S455" s="4">
        <f ca="1">IFERROR(AVERAGE($R$5:R455),0)</f>
        <v>0</v>
      </c>
      <c r="U455" s="21">
        <f t="shared" ca="1" si="67"/>
        <v>50283</v>
      </c>
      <c r="V455" s="4">
        <f ca="1">MIN(S455,PREMISSAS!$C$14)</f>
        <v>0</v>
      </c>
      <c r="W455" s="188"/>
      <c r="X455" s="188"/>
    </row>
    <row r="456" spans="2:24" x14ac:dyDescent="0.3">
      <c r="B456" s="21" t="str">
        <f t="shared" ca="1" si="68"/>
        <v/>
      </c>
      <c r="C456" s="22" t="str">
        <f ca="1">IF(B456="","",IF(LEFT(B456,2)="13",C455,IF(MONTH(B456)=1,C455*(1+PREMISSAS!$C$58),C455)))</f>
        <v/>
      </c>
      <c r="E456" s="18">
        <v>452</v>
      </c>
      <c r="F456" s="21">
        <f t="shared" ca="1" si="69"/>
        <v>50313</v>
      </c>
      <c r="G456" s="22">
        <f ca="1">IFERROR(VLOOKUP(F456,RESULTADOS!$O$5:$P$543,2,FALSE),VLOOKUP(F456,$B$5:$C$842,2,FALSE))</f>
        <v>0</v>
      </c>
      <c r="H456" s="4">
        <f ca="1">IF(F456&lt;PREMISSAS!$D$7,0,IFERROR(VLOOKUP(IF(LEFT(F456,2)="13",DATE(YEAR(F455),12,31),F456),IPCA!$A:$D,4,FALSE),1)*G456)</f>
        <v>0</v>
      </c>
      <c r="J456" s="21">
        <f t="shared" ca="1" si="63"/>
        <v>50313</v>
      </c>
      <c r="K456" s="4">
        <f t="shared" ca="1" si="64"/>
        <v>0</v>
      </c>
      <c r="M456" s="21">
        <f t="shared" ca="1" si="70"/>
        <v>50313</v>
      </c>
      <c r="N456" s="37">
        <f t="shared" ca="1" si="65"/>
        <v>0</v>
      </c>
      <c r="O456" s="4">
        <f ca="1">IFERROR(AVERAGEIF(N$5:$N456,"&gt;="&amp;_xlfn.PERCENTILE.EXC(N$5:$N456,0.2)),0)</f>
        <v>0</v>
      </c>
      <c r="Q456" s="21">
        <f t="shared" ca="1" si="71"/>
        <v>50313</v>
      </c>
      <c r="R456" s="37">
        <f t="shared" ca="1" si="66"/>
        <v>0</v>
      </c>
      <c r="S456" s="4">
        <f ca="1">IFERROR(AVERAGE($R$5:R456),0)</f>
        <v>0</v>
      </c>
      <c r="U456" s="21">
        <f t="shared" ca="1" si="67"/>
        <v>50313</v>
      </c>
      <c r="V456" s="4">
        <f ca="1">MIN(S456,PREMISSAS!$C$14)</f>
        <v>0</v>
      </c>
      <c r="W456" s="188"/>
      <c r="X456" s="188"/>
    </row>
    <row r="457" spans="2:24" x14ac:dyDescent="0.3">
      <c r="B457" s="21" t="str">
        <f t="shared" ca="1" si="68"/>
        <v/>
      </c>
      <c r="C457" s="22" t="str">
        <f ca="1">IF(B457="","",IF(LEFT(B457,2)="13",C456,IF(MONTH(B457)=1,C456*(1+PREMISSAS!$C$58),C456)))</f>
        <v/>
      </c>
      <c r="E457" s="18">
        <v>453</v>
      </c>
      <c r="F457" s="21">
        <f t="shared" ca="1" si="69"/>
        <v>50344</v>
      </c>
      <c r="G457" s="22">
        <f ca="1">IFERROR(VLOOKUP(F457,RESULTADOS!$O$5:$P$543,2,FALSE),VLOOKUP(F457,$B$5:$C$842,2,FALSE))</f>
        <v>0</v>
      </c>
      <c r="H457" s="4">
        <f ca="1">IF(F457&lt;PREMISSAS!$D$7,0,IFERROR(VLOOKUP(IF(LEFT(F457,2)="13",DATE(YEAR(F456),12,31),F457),IPCA!$A:$D,4,FALSE),1)*G457)</f>
        <v>0</v>
      </c>
      <c r="J457" s="21">
        <f t="shared" ca="1" si="63"/>
        <v>50344</v>
      </c>
      <c r="K457" s="4">
        <f t="shared" ca="1" si="64"/>
        <v>0</v>
      </c>
      <c r="M457" s="21">
        <f t="shared" ca="1" si="70"/>
        <v>50344</v>
      </c>
      <c r="N457" s="37">
        <f t="shared" ca="1" si="65"/>
        <v>0</v>
      </c>
      <c r="O457" s="4">
        <f ca="1">IFERROR(AVERAGEIF(N$5:$N457,"&gt;="&amp;_xlfn.PERCENTILE.EXC(N$5:$N457,0.2)),0)</f>
        <v>0</v>
      </c>
      <c r="Q457" s="21">
        <f t="shared" ca="1" si="71"/>
        <v>50344</v>
      </c>
      <c r="R457" s="37">
        <f t="shared" ca="1" si="66"/>
        <v>0</v>
      </c>
      <c r="S457" s="4">
        <f ca="1">IFERROR(AVERAGE($R$5:R457),0)</f>
        <v>0</v>
      </c>
      <c r="U457" s="21">
        <f t="shared" ca="1" si="67"/>
        <v>50344</v>
      </c>
      <c r="V457" s="4">
        <f ca="1">MIN(S457,PREMISSAS!$C$14)</f>
        <v>0</v>
      </c>
      <c r="W457" s="188"/>
      <c r="X457" s="188"/>
    </row>
    <row r="458" spans="2:24" x14ac:dyDescent="0.3">
      <c r="B458" s="21" t="str">
        <f t="shared" ca="1" si="68"/>
        <v/>
      </c>
      <c r="C458" s="22" t="str">
        <f ca="1">IF(B458="","",IF(LEFT(B458,2)="13",C457,IF(MONTH(B458)=1,C457*(1+PREMISSAS!$C$58),C457)))</f>
        <v/>
      </c>
      <c r="E458" s="18">
        <v>454</v>
      </c>
      <c r="F458" s="21">
        <f t="shared" ca="1" si="69"/>
        <v>50374</v>
      </c>
      <c r="G458" s="22">
        <f ca="1">IFERROR(VLOOKUP(F458,RESULTADOS!$O$5:$P$543,2,FALSE),VLOOKUP(F458,$B$5:$C$842,2,FALSE))</f>
        <v>0</v>
      </c>
      <c r="H458" s="4">
        <f ca="1">IF(F458&lt;PREMISSAS!$D$7,0,IFERROR(VLOOKUP(IF(LEFT(F458,2)="13",DATE(YEAR(F457),12,31),F458),IPCA!$A:$D,4,FALSE),1)*G458)</f>
        <v>0</v>
      </c>
      <c r="J458" s="21">
        <f t="shared" ca="1" si="63"/>
        <v>50374</v>
      </c>
      <c r="K458" s="4">
        <f t="shared" ca="1" si="64"/>
        <v>0</v>
      </c>
      <c r="M458" s="21">
        <f t="shared" ca="1" si="70"/>
        <v>50374</v>
      </c>
      <c r="N458" s="37">
        <f t="shared" ca="1" si="65"/>
        <v>0</v>
      </c>
      <c r="O458" s="4">
        <f ca="1">IFERROR(AVERAGEIF(N$5:$N458,"&gt;="&amp;_xlfn.PERCENTILE.EXC(N$5:$N458,0.2)),0)</f>
        <v>0</v>
      </c>
      <c r="Q458" s="21">
        <f t="shared" ca="1" si="71"/>
        <v>50374</v>
      </c>
      <c r="R458" s="37">
        <f t="shared" ca="1" si="66"/>
        <v>0</v>
      </c>
      <c r="S458" s="4">
        <f ca="1">IFERROR(AVERAGE($R$5:R458),0)</f>
        <v>0</v>
      </c>
      <c r="U458" s="21">
        <f t="shared" ca="1" si="67"/>
        <v>50374</v>
      </c>
      <c r="V458" s="4">
        <f ca="1">MIN(S458,PREMISSAS!$C$14)</f>
        <v>0</v>
      </c>
      <c r="W458" s="188"/>
      <c r="X458" s="188"/>
    </row>
    <row r="459" spans="2:24" x14ac:dyDescent="0.3">
      <c r="B459" s="21" t="str">
        <f t="shared" ca="1" si="68"/>
        <v/>
      </c>
      <c r="C459" s="22" t="str">
        <f ca="1">IF(B459="","",IF(LEFT(B459,2)="13",C458,IF(MONTH(B459)=1,C458*(1+PREMISSAS!$C$58),C458)))</f>
        <v/>
      </c>
      <c r="E459" s="18">
        <v>455</v>
      </c>
      <c r="F459" s="21" t="str">
        <f t="shared" ca="1" si="69"/>
        <v>13º 2037</v>
      </c>
      <c r="G459" s="22">
        <f ca="1">IFERROR(VLOOKUP(F459,RESULTADOS!$O$5:$P$543,2,FALSE),VLOOKUP(F459,$B$5:$C$842,2,FALSE))</f>
        <v>0</v>
      </c>
      <c r="H459" s="4">
        <f ca="1">IF(F459&lt;PREMISSAS!$D$7,0,IFERROR(VLOOKUP(IF(LEFT(F459,2)="13",DATE(YEAR(F458),12,31),F459),IPCA!$A:$D,4,FALSE),1)*G459)</f>
        <v>0</v>
      </c>
      <c r="J459" s="21" t="str">
        <f t="shared" ca="1" si="63"/>
        <v>13º 2037</v>
      </c>
      <c r="K459" s="4">
        <f t="shared" ca="1" si="64"/>
        <v>0</v>
      </c>
      <c r="M459" s="21" t="str">
        <f t="shared" ca="1" si="70"/>
        <v>13º 2037</v>
      </c>
      <c r="N459" s="37">
        <f t="shared" ca="1" si="65"/>
        <v>0</v>
      </c>
      <c r="O459" s="4">
        <f ca="1">IFERROR(AVERAGEIF(N$5:$N459,"&gt;="&amp;_xlfn.PERCENTILE.EXC(N$5:$N459,0.2)),0)</f>
        <v>0</v>
      </c>
      <c r="Q459" s="21" t="str">
        <f t="shared" ca="1" si="71"/>
        <v>13º 2037</v>
      </c>
      <c r="R459" s="37">
        <f t="shared" ca="1" si="66"/>
        <v>0</v>
      </c>
      <c r="S459" s="4">
        <f ca="1">IFERROR(AVERAGE($R$5:R459),0)</f>
        <v>0</v>
      </c>
      <c r="U459" s="21" t="str">
        <f t="shared" ca="1" si="67"/>
        <v>13º 2037</v>
      </c>
      <c r="V459" s="4">
        <f ca="1">MIN(S459,PREMISSAS!$C$14)</f>
        <v>0</v>
      </c>
      <c r="W459" s="188"/>
      <c r="X459" s="188"/>
    </row>
    <row r="460" spans="2:24" x14ac:dyDescent="0.3">
      <c r="B460" s="21" t="str">
        <f t="shared" ca="1" si="68"/>
        <v/>
      </c>
      <c r="C460" s="22" t="str">
        <f ca="1">IF(B460="","",IF(LEFT(B460,2)="13",C459,IF(MONTH(B460)=1,C459*(1+PREMISSAS!$C$58),C459)))</f>
        <v/>
      </c>
      <c r="E460" s="18">
        <v>456</v>
      </c>
      <c r="F460" s="21">
        <f t="shared" ca="1" si="69"/>
        <v>50405</v>
      </c>
      <c r="G460" s="22">
        <f ca="1">IFERROR(VLOOKUP(F460,RESULTADOS!$O$5:$P$543,2,FALSE),VLOOKUP(F460,$B$5:$C$842,2,FALSE))</f>
        <v>0</v>
      </c>
      <c r="H460" s="4">
        <f ca="1">IF(F460&lt;PREMISSAS!$D$7,0,IFERROR(VLOOKUP(IF(LEFT(F460,2)="13",DATE(YEAR(F459),12,31),F460),IPCA!$A:$D,4,FALSE),1)*G460)</f>
        <v>0</v>
      </c>
      <c r="J460" s="21">
        <f t="shared" ca="1" si="63"/>
        <v>50405</v>
      </c>
      <c r="K460" s="4">
        <f t="shared" ca="1" si="64"/>
        <v>0</v>
      </c>
      <c r="M460" s="21">
        <f t="shared" ca="1" si="70"/>
        <v>50405</v>
      </c>
      <c r="N460" s="37">
        <f t="shared" ca="1" si="65"/>
        <v>0</v>
      </c>
      <c r="O460" s="4">
        <f ca="1">IFERROR(AVERAGEIF(N$5:$N460,"&gt;="&amp;_xlfn.PERCENTILE.EXC(N$5:$N460,0.2)),0)</f>
        <v>0</v>
      </c>
      <c r="Q460" s="21">
        <f t="shared" ca="1" si="71"/>
        <v>50405</v>
      </c>
      <c r="R460" s="37">
        <f t="shared" ca="1" si="66"/>
        <v>0</v>
      </c>
      <c r="S460" s="4">
        <f ca="1">IFERROR(AVERAGE($R$5:R460),0)</f>
        <v>0</v>
      </c>
      <c r="U460" s="21">
        <f t="shared" ca="1" si="67"/>
        <v>50405</v>
      </c>
      <c r="V460" s="4">
        <f ca="1">MIN(S460,PREMISSAS!$C$14)</f>
        <v>0</v>
      </c>
      <c r="W460" s="188"/>
      <c r="X460" s="188"/>
    </row>
    <row r="461" spans="2:24" x14ac:dyDescent="0.3">
      <c r="B461" s="21" t="str">
        <f t="shared" ca="1" si="68"/>
        <v/>
      </c>
      <c r="C461" s="22" t="str">
        <f ca="1">IF(B461="","",IF(LEFT(B461,2)="13",C460,IF(MONTH(B461)=1,C460*(1+PREMISSAS!$C$58),C460)))</f>
        <v/>
      </c>
      <c r="E461" s="18">
        <v>457</v>
      </c>
      <c r="F461" s="21">
        <f t="shared" ca="1" si="69"/>
        <v>50436</v>
      </c>
      <c r="G461" s="22">
        <f ca="1">IFERROR(VLOOKUP(F461,RESULTADOS!$O$5:$P$543,2,FALSE),VLOOKUP(F461,$B$5:$C$842,2,FALSE))</f>
        <v>0</v>
      </c>
      <c r="H461" s="4">
        <f ca="1">IF(F461&lt;PREMISSAS!$D$7,0,IFERROR(VLOOKUP(IF(LEFT(F461,2)="13",DATE(YEAR(F460),12,31),F461),IPCA!$A:$D,4,FALSE),1)*G461)</f>
        <v>0</v>
      </c>
      <c r="J461" s="21">
        <f t="shared" ca="1" si="63"/>
        <v>50436</v>
      </c>
      <c r="K461" s="4">
        <f t="shared" ca="1" si="64"/>
        <v>0</v>
      </c>
      <c r="M461" s="21">
        <f t="shared" ca="1" si="70"/>
        <v>50436</v>
      </c>
      <c r="N461" s="37">
        <f t="shared" ca="1" si="65"/>
        <v>0</v>
      </c>
      <c r="O461" s="4">
        <f ca="1">IFERROR(AVERAGEIF(N$5:$N461,"&gt;="&amp;_xlfn.PERCENTILE.EXC(N$5:$N461,0.2)),0)</f>
        <v>0</v>
      </c>
      <c r="Q461" s="21">
        <f t="shared" ca="1" si="71"/>
        <v>50436</v>
      </c>
      <c r="R461" s="37">
        <f t="shared" ca="1" si="66"/>
        <v>0</v>
      </c>
      <c r="S461" s="4">
        <f ca="1">IFERROR(AVERAGE($R$5:R461),0)</f>
        <v>0</v>
      </c>
      <c r="U461" s="21">
        <f t="shared" ca="1" si="67"/>
        <v>50436</v>
      </c>
      <c r="V461" s="4">
        <f ca="1">MIN(S461,PREMISSAS!$C$14)</f>
        <v>0</v>
      </c>
      <c r="W461" s="188"/>
      <c r="X461" s="188"/>
    </row>
    <row r="462" spans="2:24" x14ac:dyDescent="0.3">
      <c r="B462" s="21" t="str">
        <f t="shared" ca="1" si="68"/>
        <v/>
      </c>
      <c r="C462" s="22" t="str">
        <f ca="1">IF(B462="","",IF(LEFT(B462,2)="13",C461,IF(MONTH(B462)=1,C461*(1+PREMISSAS!$C$58),C461)))</f>
        <v/>
      </c>
      <c r="E462" s="18">
        <v>458</v>
      </c>
      <c r="F462" s="21">
        <f t="shared" ca="1" si="69"/>
        <v>50464</v>
      </c>
      <c r="G462" s="22">
        <f ca="1">IFERROR(VLOOKUP(F462,RESULTADOS!$O$5:$P$543,2,FALSE),VLOOKUP(F462,$B$5:$C$842,2,FALSE))</f>
        <v>0</v>
      </c>
      <c r="H462" s="4">
        <f ca="1">IF(F462&lt;PREMISSAS!$D$7,0,IFERROR(VLOOKUP(IF(LEFT(F462,2)="13",DATE(YEAR(F461),12,31),F462),IPCA!$A:$D,4,FALSE),1)*G462)</f>
        <v>0</v>
      </c>
      <c r="J462" s="21">
        <f t="shared" ca="1" si="63"/>
        <v>50464</v>
      </c>
      <c r="K462" s="4">
        <f t="shared" ca="1" si="64"/>
        <v>0</v>
      </c>
      <c r="M462" s="21">
        <f t="shared" ca="1" si="70"/>
        <v>50464</v>
      </c>
      <c r="N462" s="37">
        <f t="shared" ca="1" si="65"/>
        <v>0</v>
      </c>
      <c r="O462" s="4">
        <f ca="1">IFERROR(AVERAGEIF(N$5:$N462,"&gt;="&amp;_xlfn.PERCENTILE.EXC(N$5:$N462,0.2)),0)</f>
        <v>0</v>
      </c>
      <c r="Q462" s="21">
        <f t="shared" ca="1" si="71"/>
        <v>50464</v>
      </c>
      <c r="R462" s="37">
        <f t="shared" ca="1" si="66"/>
        <v>0</v>
      </c>
      <c r="S462" s="4">
        <f ca="1">IFERROR(AVERAGE($R$5:R462),0)</f>
        <v>0</v>
      </c>
      <c r="U462" s="21">
        <f t="shared" ca="1" si="67"/>
        <v>50464</v>
      </c>
      <c r="V462" s="4">
        <f ca="1">MIN(S462,PREMISSAS!$C$14)</f>
        <v>0</v>
      </c>
      <c r="W462" s="188"/>
      <c r="X462" s="188"/>
    </row>
    <row r="463" spans="2:24" x14ac:dyDescent="0.3">
      <c r="B463" s="21" t="str">
        <f t="shared" ca="1" si="68"/>
        <v/>
      </c>
      <c r="C463" s="22" t="str">
        <f ca="1">IF(B463="","",IF(LEFT(B463,2)="13",C462,IF(MONTH(B463)=1,C462*(1+PREMISSAS!$C$58),C462)))</f>
        <v/>
      </c>
      <c r="E463" s="18">
        <v>459</v>
      </c>
      <c r="F463" s="21">
        <f t="shared" ca="1" si="69"/>
        <v>50495</v>
      </c>
      <c r="G463" s="22">
        <f ca="1">IFERROR(VLOOKUP(F463,RESULTADOS!$O$5:$P$543,2,FALSE),VLOOKUP(F463,$B$5:$C$842,2,FALSE))</f>
        <v>0</v>
      </c>
      <c r="H463" s="4">
        <f ca="1">IF(F463&lt;PREMISSAS!$D$7,0,IFERROR(VLOOKUP(IF(LEFT(F463,2)="13",DATE(YEAR(F462),12,31),F463),IPCA!$A:$D,4,FALSE),1)*G463)</f>
        <v>0</v>
      </c>
      <c r="J463" s="21">
        <f t="shared" ca="1" si="63"/>
        <v>50495</v>
      </c>
      <c r="K463" s="4">
        <f t="shared" ca="1" si="64"/>
        <v>0</v>
      </c>
      <c r="M463" s="21">
        <f t="shared" ca="1" si="70"/>
        <v>50495</v>
      </c>
      <c r="N463" s="37">
        <f t="shared" ca="1" si="65"/>
        <v>0</v>
      </c>
      <c r="O463" s="4">
        <f ca="1">IFERROR(AVERAGEIF(N$5:$N463,"&gt;="&amp;_xlfn.PERCENTILE.EXC(N$5:$N463,0.2)),0)</f>
        <v>0</v>
      </c>
      <c r="Q463" s="21">
        <f t="shared" ca="1" si="71"/>
        <v>50495</v>
      </c>
      <c r="R463" s="37">
        <f t="shared" ca="1" si="66"/>
        <v>0</v>
      </c>
      <c r="S463" s="4">
        <f ca="1">IFERROR(AVERAGE($R$5:R463),0)</f>
        <v>0</v>
      </c>
      <c r="U463" s="21">
        <f t="shared" ca="1" si="67"/>
        <v>50495</v>
      </c>
      <c r="V463" s="4">
        <f ca="1">MIN(S463,PREMISSAS!$C$14)</f>
        <v>0</v>
      </c>
      <c r="W463" s="188"/>
      <c r="X463" s="188"/>
    </row>
    <row r="464" spans="2:24" x14ac:dyDescent="0.3">
      <c r="B464" s="21" t="str">
        <f t="shared" ca="1" si="68"/>
        <v/>
      </c>
      <c r="C464" s="22" t="str">
        <f ca="1">IF(B464="","",IF(LEFT(B464,2)="13",C463,IF(MONTH(B464)=1,C463*(1+PREMISSAS!$C$58),C463)))</f>
        <v/>
      </c>
      <c r="E464" s="18">
        <v>460</v>
      </c>
      <c r="F464" s="21">
        <f t="shared" ca="1" si="69"/>
        <v>50525</v>
      </c>
      <c r="G464" s="22">
        <f ca="1">IFERROR(VLOOKUP(F464,RESULTADOS!$O$5:$P$543,2,FALSE),VLOOKUP(F464,$B$5:$C$842,2,FALSE))</f>
        <v>0</v>
      </c>
      <c r="H464" s="4">
        <f ca="1">IF(F464&lt;PREMISSAS!$D$7,0,IFERROR(VLOOKUP(IF(LEFT(F464,2)="13",DATE(YEAR(F463),12,31),F464),IPCA!$A:$D,4,FALSE),1)*G464)</f>
        <v>0</v>
      </c>
      <c r="J464" s="21">
        <f t="shared" ca="1" si="63"/>
        <v>50525</v>
      </c>
      <c r="K464" s="4">
        <f t="shared" ca="1" si="64"/>
        <v>0</v>
      </c>
      <c r="M464" s="21">
        <f t="shared" ca="1" si="70"/>
        <v>50525</v>
      </c>
      <c r="N464" s="37">
        <f t="shared" ca="1" si="65"/>
        <v>0</v>
      </c>
      <c r="O464" s="4">
        <f ca="1">IFERROR(AVERAGEIF(N$5:$N464,"&gt;="&amp;_xlfn.PERCENTILE.EXC(N$5:$N464,0.2)),0)</f>
        <v>0</v>
      </c>
      <c r="Q464" s="21">
        <f t="shared" ca="1" si="71"/>
        <v>50525</v>
      </c>
      <c r="R464" s="37">
        <f t="shared" ca="1" si="66"/>
        <v>0</v>
      </c>
      <c r="S464" s="4">
        <f ca="1">IFERROR(AVERAGE($R$5:R464),0)</f>
        <v>0</v>
      </c>
      <c r="U464" s="21">
        <f t="shared" ca="1" si="67"/>
        <v>50525</v>
      </c>
      <c r="V464" s="4">
        <f ca="1">MIN(S464,PREMISSAS!$C$14)</f>
        <v>0</v>
      </c>
      <c r="W464" s="188"/>
      <c r="X464" s="188"/>
    </row>
    <row r="465" spans="2:26" x14ac:dyDescent="0.3">
      <c r="B465" s="21" t="str">
        <f t="shared" ca="1" si="68"/>
        <v/>
      </c>
      <c r="C465" s="22" t="str">
        <f ca="1">IF(B465="","",IF(LEFT(B465,2)="13",C464,IF(MONTH(B465)=1,C464*(1+PREMISSAS!$C$58),C464)))</f>
        <v/>
      </c>
      <c r="E465" s="18">
        <v>461</v>
      </c>
      <c r="F465" s="21">
        <f t="shared" ca="1" si="69"/>
        <v>50556</v>
      </c>
      <c r="G465" s="22">
        <f ca="1">IFERROR(VLOOKUP(F465,RESULTADOS!$O$5:$P$543,2,FALSE),VLOOKUP(F465,$B$5:$C$842,2,FALSE))</f>
        <v>0</v>
      </c>
      <c r="H465" s="4">
        <f ca="1">IF(F465&lt;PREMISSAS!$D$7,0,IFERROR(VLOOKUP(IF(LEFT(F465,2)="13",DATE(YEAR(F464),12,31),F465),IPCA!$A:$D,4,FALSE),1)*G465)</f>
        <v>0</v>
      </c>
      <c r="J465" s="21">
        <f t="shared" ca="1" si="63"/>
        <v>50556</v>
      </c>
      <c r="K465" s="4">
        <f t="shared" ca="1" si="64"/>
        <v>0</v>
      </c>
      <c r="M465" s="21">
        <f t="shared" ca="1" si="70"/>
        <v>50556</v>
      </c>
      <c r="N465" s="37">
        <f t="shared" ca="1" si="65"/>
        <v>0</v>
      </c>
      <c r="O465" s="4">
        <f ca="1">IFERROR(AVERAGEIF(N$5:$N465,"&gt;="&amp;_xlfn.PERCENTILE.EXC(N$5:$N465,0.2)),0)</f>
        <v>0</v>
      </c>
      <c r="Q465" s="21">
        <f t="shared" ca="1" si="71"/>
        <v>50556</v>
      </c>
      <c r="R465" s="37">
        <f t="shared" ca="1" si="66"/>
        <v>0</v>
      </c>
      <c r="S465" s="4">
        <f ca="1">IFERROR(AVERAGE($R$5:R465),0)</f>
        <v>0</v>
      </c>
      <c r="U465" s="21">
        <f t="shared" ca="1" si="67"/>
        <v>50556</v>
      </c>
      <c r="V465" s="4">
        <f ca="1">MIN(S465,PREMISSAS!$C$14)</f>
        <v>0</v>
      </c>
      <c r="W465" s="188"/>
      <c r="X465" s="188"/>
    </row>
    <row r="466" spans="2:26" x14ac:dyDescent="0.3">
      <c r="B466" s="21" t="str">
        <f t="shared" ca="1" si="68"/>
        <v/>
      </c>
      <c r="C466" s="22" t="str">
        <f ca="1">IF(B466="","",IF(LEFT(B466,2)="13",C465,IF(MONTH(B466)=1,C465*(1+PREMISSAS!$C$58),C465)))</f>
        <v/>
      </c>
      <c r="E466" s="18">
        <v>462</v>
      </c>
      <c r="F466" s="21">
        <f t="shared" ca="1" si="69"/>
        <v>50586</v>
      </c>
      <c r="G466" s="22">
        <f ca="1">IFERROR(VLOOKUP(F466,RESULTADOS!$O$5:$P$543,2,FALSE),VLOOKUP(F466,$B$5:$C$842,2,FALSE))</f>
        <v>0</v>
      </c>
      <c r="H466" s="4">
        <f ca="1">IF(F466&lt;PREMISSAS!$D$7,0,IFERROR(VLOOKUP(IF(LEFT(F466,2)="13",DATE(YEAR(F465),12,31),F466),IPCA!$A:$D,4,FALSE),1)*G466)</f>
        <v>0</v>
      </c>
      <c r="J466" s="21">
        <f t="shared" ca="1" si="63"/>
        <v>50586</v>
      </c>
      <c r="K466" s="4">
        <f t="shared" ca="1" si="64"/>
        <v>0</v>
      </c>
      <c r="M466" s="21">
        <f t="shared" ca="1" si="70"/>
        <v>50586</v>
      </c>
      <c r="N466" s="37">
        <f t="shared" ca="1" si="65"/>
        <v>0</v>
      </c>
      <c r="O466" s="4">
        <f ca="1">IFERROR(AVERAGEIF(N$5:$N466,"&gt;="&amp;_xlfn.PERCENTILE.EXC(N$5:$N466,0.2)),0)</f>
        <v>0</v>
      </c>
      <c r="Q466" s="21">
        <f t="shared" ca="1" si="71"/>
        <v>50586</v>
      </c>
      <c r="R466" s="37">
        <f t="shared" ca="1" si="66"/>
        <v>0</v>
      </c>
      <c r="S466" s="4">
        <f ca="1">IFERROR(AVERAGE($R$5:R466),0)</f>
        <v>0</v>
      </c>
      <c r="U466" s="21">
        <f t="shared" ca="1" si="67"/>
        <v>50586</v>
      </c>
      <c r="V466" s="4">
        <f ca="1">MIN(S466,PREMISSAS!$C$14)</f>
        <v>0</v>
      </c>
      <c r="W466" s="188"/>
      <c r="X466" s="188"/>
    </row>
    <row r="467" spans="2:26" x14ac:dyDescent="0.3">
      <c r="B467" s="21" t="str">
        <f t="shared" ca="1" si="68"/>
        <v/>
      </c>
      <c r="C467" s="22" t="str">
        <f ca="1">IF(B467="","",IF(LEFT(B467,2)="13",C466,IF(MONTH(B467)=1,C466*(1+PREMISSAS!$C$58),C466)))</f>
        <v/>
      </c>
      <c r="E467" s="18">
        <v>463</v>
      </c>
      <c r="F467" s="21">
        <f t="shared" ca="1" si="69"/>
        <v>50617</v>
      </c>
      <c r="G467" s="22">
        <f ca="1">IFERROR(VLOOKUP(F467,RESULTADOS!$O$5:$P$543,2,FALSE),VLOOKUP(F467,$B$5:$C$842,2,FALSE))</f>
        <v>0</v>
      </c>
      <c r="H467" s="4">
        <f ca="1">IF(F467&lt;PREMISSAS!$D$7,0,IFERROR(VLOOKUP(IF(LEFT(F467,2)="13",DATE(YEAR(F466),12,31),F467),IPCA!$A:$D,4,FALSE),1)*G467)</f>
        <v>0</v>
      </c>
      <c r="J467" s="21">
        <f t="shared" ca="1" si="63"/>
        <v>50617</v>
      </c>
      <c r="K467" s="4">
        <f t="shared" ca="1" si="64"/>
        <v>0</v>
      </c>
      <c r="M467" s="21">
        <f t="shared" ca="1" si="70"/>
        <v>50617</v>
      </c>
      <c r="N467" s="37">
        <f t="shared" ca="1" si="65"/>
        <v>0</v>
      </c>
      <c r="O467" s="4">
        <f ca="1">IFERROR(AVERAGEIF(N$5:$N467,"&gt;="&amp;_xlfn.PERCENTILE.EXC(N$5:$N467,0.2)),0)</f>
        <v>0</v>
      </c>
      <c r="Q467" s="21">
        <f t="shared" ca="1" si="71"/>
        <v>50617</v>
      </c>
      <c r="R467" s="37">
        <f t="shared" ca="1" si="66"/>
        <v>0</v>
      </c>
      <c r="S467" s="4">
        <f ca="1">IFERROR(AVERAGE($R$5:R467),0)</f>
        <v>0</v>
      </c>
      <c r="U467" s="21">
        <f t="shared" ca="1" si="67"/>
        <v>50617</v>
      </c>
      <c r="V467" s="4">
        <f ca="1">MIN(S467,PREMISSAS!$C$14)</f>
        <v>0</v>
      </c>
      <c r="W467" s="188"/>
      <c r="X467" s="188"/>
    </row>
    <row r="468" spans="2:26" x14ac:dyDescent="0.3">
      <c r="B468" s="21" t="str">
        <f t="shared" ca="1" si="68"/>
        <v/>
      </c>
      <c r="C468" s="22" t="str">
        <f ca="1">IF(B468="","",IF(LEFT(B468,2)="13",C467,IF(MONTH(B468)=1,C467*(1+PREMISSAS!$C$58),C467)))</f>
        <v/>
      </c>
      <c r="E468" s="18">
        <v>464</v>
      </c>
      <c r="F468" s="21">
        <f t="shared" ca="1" si="69"/>
        <v>50648</v>
      </c>
      <c r="G468" s="22">
        <f ca="1">IFERROR(VLOOKUP(F468,RESULTADOS!$O$5:$P$543,2,FALSE),VLOOKUP(F468,$B$5:$C$842,2,FALSE))</f>
        <v>0</v>
      </c>
      <c r="H468" s="4">
        <f ca="1">IF(F468&lt;PREMISSAS!$D$7,0,IFERROR(VLOOKUP(IF(LEFT(F468,2)="13",DATE(YEAR(F467),12,31),F468),IPCA!$A:$D,4,FALSE),1)*G468)</f>
        <v>0</v>
      </c>
      <c r="J468" s="21">
        <f t="shared" ca="1" si="63"/>
        <v>50648</v>
      </c>
      <c r="K468" s="4">
        <f t="shared" ca="1" si="64"/>
        <v>0</v>
      </c>
      <c r="M468" s="21">
        <f t="shared" ca="1" si="70"/>
        <v>50648</v>
      </c>
      <c r="N468" s="37">
        <f t="shared" ca="1" si="65"/>
        <v>0</v>
      </c>
      <c r="O468" s="4">
        <f ca="1">IFERROR(AVERAGEIF(N$5:$N468,"&gt;="&amp;_xlfn.PERCENTILE.EXC(N$5:$N468,0.2)),0)</f>
        <v>0</v>
      </c>
      <c r="Q468" s="21">
        <f t="shared" ca="1" si="71"/>
        <v>50648</v>
      </c>
      <c r="R468" s="37">
        <f t="shared" ca="1" si="66"/>
        <v>0</v>
      </c>
      <c r="S468" s="4">
        <f ca="1">IFERROR(AVERAGE($R$5:R468),0)</f>
        <v>0</v>
      </c>
      <c r="U468" s="21">
        <f t="shared" ca="1" si="67"/>
        <v>50648</v>
      </c>
      <c r="V468" s="4">
        <f ca="1">MIN(S468,PREMISSAS!$C$14)</f>
        <v>0</v>
      </c>
      <c r="W468" s="188"/>
      <c r="X468" s="188"/>
    </row>
    <row r="469" spans="2:26" x14ac:dyDescent="0.3">
      <c r="B469" s="21" t="str">
        <f t="shared" ca="1" si="68"/>
        <v/>
      </c>
      <c r="C469" s="22" t="str">
        <f ca="1">IF(B469="","",IF(LEFT(B469,2)="13",C468,IF(MONTH(B469)=1,C468*(1+PREMISSAS!$C$58),C468)))</f>
        <v/>
      </c>
      <c r="E469" s="18">
        <v>465</v>
      </c>
      <c r="F469" s="21">
        <f t="shared" ca="1" si="69"/>
        <v>50678</v>
      </c>
      <c r="G469" s="22">
        <f ca="1">IFERROR(VLOOKUP(F469,RESULTADOS!$O$5:$P$543,2,FALSE),VLOOKUP(F469,$B$5:$C$842,2,FALSE))</f>
        <v>0</v>
      </c>
      <c r="H469" s="4">
        <f ca="1">IF(F469&lt;PREMISSAS!$D$7,0,IFERROR(VLOOKUP(IF(LEFT(F469,2)="13",DATE(YEAR(F468),12,31),F469),IPCA!$A:$D,4,FALSE),1)*G469)</f>
        <v>0</v>
      </c>
      <c r="J469" s="21">
        <f t="shared" ca="1" si="63"/>
        <v>50678</v>
      </c>
      <c r="K469" s="4">
        <f t="shared" ca="1" si="64"/>
        <v>0</v>
      </c>
      <c r="M469" s="21">
        <f t="shared" ca="1" si="70"/>
        <v>50678</v>
      </c>
      <c r="N469" s="37">
        <f t="shared" ca="1" si="65"/>
        <v>0</v>
      </c>
      <c r="O469" s="4">
        <f ca="1">IFERROR(AVERAGEIF(N$5:$N469,"&gt;="&amp;_xlfn.PERCENTILE.EXC(N$5:$N469,0.2)),0)</f>
        <v>0</v>
      </c>
      <c r="Q469" s="21">
        <f t="shared" ca="1" si="71"/>
        <v>50678</v>
      </c>
      <c r="R469" s="37">
        <f t="shared" ca="1" si="66"/>
        <v>0</v>
      </c>
      <c r="S469" s="4">
        <f ca="1">IFERROR(AVERAGE($R$5:R469),0)</f>
        <v>0</v>
      </c>
      <c r="U469" s="21">
        <f t="shared" ca="1" si="67"/>
        <v>50678</v>
      </c>
      <c r="V469" s="4">
        <f ca="1">MIN(S469,PREMISSAS!$C$14)</f>
        <v>0</v>
      </c>
      <c r="W469" s="188"/>
      <c r="X469" s="188"/>
    </row>
    <row r="470" spans="2:26" x14ac:dyDescent="0.3">
      <c r="B470" s="21" t="str">
        <f t="shared" ca="1" si="68"/>
        <v/>
      </c>
      <c r="C470" s="22" t="str">
        <f ca="1">IF(B470="","",IF(LEFT(B470,2)="13",C469,IF(MONTH(B470)=1,C469*(1+PREMISSAS!$C$58),C469)))</f>
        <v/>
      </c>
      <c r="E470" s="18">
        <v>466</v>
      </c>
      <c r="F470" s="21">
        <f t="shared" ca="1" si="69"/>
        <v>50709</v>
      </c>
      <c r="G470" s="22">
        <f ca="1">IFERROR(VLOOKUP(F470,RESULTADOS!$O$5:$P$543,2,FALSE),VLOOKUP(F470,$B$5:$C$842,2,FALSE))</f>
        <v>0</v>
      </c>
      <c r="H470" s="4">
        <f ca="1">IF(F470&lt;PREMISSAS!$D$7,0,IFERROR(VLOOKUP(IF(LEFT(F470,2)="13",DATE(YEAR(F469),12,31),F470),IPCA!$A:$D,4,FALSE),1)*G470)</f>
        <v>0</v>
      </c>
      <c r="J470" s="21">
        <f t="shared" ca="1" si="63"/>
        <v>50709</v>
      </c>
      <c r="K470" s="4">
        <f t="shared" ca="1" si="64"/>
        <v>0</v>
      </c>
      <c r="M470" s="21">
        <f t="shared" ca="1" si="70"/>
        <v>50709</v>
      </c>
      <c r="N470" s="37">
        <f t="shared" ca="1" si="65"/>
        <v>0</v>
      </c>
      <c r="O470" s="4">
        <f ca="1">IFERROR(AVERAGEIF(N$5:$N470,"&gt;="&amp;_xlfn.PERCENTILE.EXC(N$5:$N470,0.2)),0)</f>
        <v>0</v>
      </c>
      <c r="Q470" s="21">
        <f t="shared" ca="1" si="71"/>
        <v>50709</v>
      </c>
      <c r="R470" s="37">
        <f t="shared" ca="1" si="66"/>
        <v>0</v>
      </c>
      <c r="S470" s="4">
        <f ca="1">IFERROR(AVERAGE($R$5:R470),0)</f>
        <v>0</v>
      </c>
      <c r="U470" s="21">
        <f t="shared" ca="1" si="67"/>
        <v>50709</v>
      </c>
      <c r="V470" s="4">
        <f ca="1">MIN(S470,PREMISSAS!$C$14)</f>
        <v>0</v>
      </c>
      <c r="W470" s="188"/>
      <c r="X470" s="188"/>
    </row>
    <row r="471" spans="2:26" x14ac:dyDescent="0.3">
      <c r="B471" s="21" t="str">
        <f t="shared" ca="1" si="68"/>
        <v/>
      </c>
      <c r="C471" s="22" t="str">
        <f ca="1">IF(B471="","",IF(LEFT(B471,2)="13",C470,IF(MONTH(B471)=1,C470*(1+PREMISSAS!$C$58),C470)))</f>
        <v/>
      </c>
      <c r="E471" s="18">
        <v>467</v>
      </c>
      <c r="F471" s="21">
        <f t="shared" ca="1" si="69"/>
        <v>50739</v>
      </c>
      <c r="G471" s="22">
        <f ca="1">IFERROR(VLOOKUP(F471,RESULTADOS!$O$5:$P$543,2,FALSE),VLOOKUP(F471,$B$5:$C$842,2,FALSE))</f>
        <v>0</v>
      </c>
      <c r="H471" s="4">
        <f ca="1">IF(F471&lt;PREMISSAS!$D$7,0,IFERROR(VLOOKUP(IF(LEFT(F471,2)="13",DATE(YEAR(F470),12,31),F471),IPCA!$A:$D,4,FALSE),1)*G471)</f>
        <v>0</v>
      </c>
      <c r="J471" s="21">
        <f t="shared" ca="1" si="63"/>
        <v>50739</v>
      </c>
      <c r="K471" s="4">
        <f t="shared" ca="1" si="64"/>
        <v>0</v>
      </c>
      <c r="M471" s="21">
        <f t="shared" ca="1" si="70"/>
        <v>50739</v>
      </c>
      <c r="N471" s="37">
        <f t="shared" ca="1" si="65"/>
        <v>0</v>
      </c>
      <c r="O471" s="4">
        <f ca="1">IFERROR(AVERAGEIF(N$5:$N471,"&gt;="&amp;_xlfn.PERCENTILE.EXC(N$5:$N471,0.2)),0)</f>
        <v>0</v>
      </c>
      <c r="Q471" s="21">
        <f t="shared" ca="1" si="71"/>
        <v>50739</v>
      </c>
      <c r="R471" s="37">
        <f t="shared" ca="1" si="66"/>
        <v>0</v>
      </c>
      <c r="S471" s="4">
        <f ca="1">IFERROR(AVERAGE($R$5:R471),0)</f>
        <v>0</v>
      </c>
      <c r="U471" s="21">
        <f t="shared" ca="1" si="67"/>
        <v>50739</v>
      </c>
      <c r="V471" s="4">
        <f ca="1">MIN(S471,PREMISSAS!$C$14)</f>
        <v>0</v>
      </c>
      <c r="W471" s="188"/>
      <c r="X471" s="188"/>
    </row>
    <row r="472" spans="2:26" x14ac:dyDescent="0.3">
      <c r="B472" s="21" t="str">
        <f t="shared" ca="1" si="68"/>
        <v/>
      </c>
      <c r="C472" s="22" t="str">
        <f ca="1">IF(B472="","",IF(LEFT(B472,2)="13",C471,IF(MONTH(B472)=1,C471*(1+PREMISSAS!$C$58),C471)))</f>
        <v/>
      </c>
      <c r="E472" s="18">
        <v>468</v>
      </c>
      <c r="F472" s="21" t="str">
        <f t="shared" ca="1" si="69"/>
        <v>13º 2038</v>
      </c>
      <c r="G472" s="22">
        <f ca="1">IFERROR(VLOOKUP(F472,RESULTADOS!$O$5:$P$543,2,FALSE),VLOOKUP(F472,$B$5:$C$842,2,FALSE))</f>
        <v>0</v>
      </c>
      <c r="H472" s="4">
        <f ca="1">IF(F472&lt;PREMISSAS!$D$7,0,IFERROR(VLOOKUP(IF(LEFT(F472,2)="13",DATE(YEAR(F471),12,31),F472),IPCA!$A:$D,4,FALSE),1)*G472)</f>
        <v>0</v>
      </c>
      <c r="J472" s="21" t="str">
        <f t="shared" ca="1" si="63"/>
        <v>13º 2038</v>
      </c>
      <c r="K472" s="4">
        <f t="shared" ca="1" si="64"/>
        <v>0</v>
      </c>
      <c r="M472" s="21" t="str">
        <f t="shared" ca="1" si="70"/>
        <v>13º 2038</v>
      </c>
      <c r="N472" s="37">
        <f t="shared" ca="1" si="65"/>
        <v>0</v>
      </c>
      <c r="O472" s="4">
        <f ca="1">IFERROR(AVERAGEIF(N$5:$N472,"&gt;="&amp;_xlfn.PERCENTILE.EXC(N$5:$N472,0.2)),0)</f>
        <v>0</v>
      </c>
      <c r="Q472" s="21" t="str">
        <f t="shared" ca="1" si="71"/>
        <v>13º 2038</v>
      </c>
      <c r="R472" s="37">
        <f t="shared" ca="1" si="66"/>
        <v>0</v>
      </c>
      <c r="S472" s="4">
        <f ca="1">IFERROR(AVERAGE($R$5:R472),0)</f>
        <v>0</v>
      </c>
      <c r="U472" s="21" t="str">
        <f t="shared" ca="1" si="67"/>
        <v>13º 2038</v>
      </c>
      <c r="V472" s="4">
        <f ca="1">MIN(S472,PREMISSAS!$C$14)</f>
        <v>0</v>
      </c>
      <c r="W472" s="188"/>
      <c r="X472" s="188"/>
    </row>
    <row r="473" spans="2:26" x14ac:dyDescent="0.3">
      <c r="B473" s="21" t="str">
        <f t="shared" ca="1" si="68"/>
        <v/>
      </c>
      <c r="C473" s="22" t="str">
        <f ca="1">IF(B473="","",IF(LEFT(B473,2)="13",C472,IF(MONTH(B473)=1,C472*(1+PREMISSAS!$C$58),C472)))</f>
        <v/>
      </c>
      <c r="E473" s="18">
        <v>469</v>
      </c>
      <c r="F473" s="21">
        <f t="shared" ca="1" si="69"/>
        <v>50770</v>
      </c>
      <c r="G473" s="22">
        <f ca="1">IFERROR(VLOOKUP(F473,RESULTADOS!$O$5:$P$543,2,FALSE),VLOOKUP(F473,$B$5:$C$842,2,FALSE))</f>
        <v>0</v>
      </c>
      <c r="H473" s="4">
        <f ca="1">IF(F473&lt;PREMISSAS!$D$7,0,IFERROR(VLOOKUP(IF(LEFT(F473,2)="13",DATE(YEAR(F472),12,31),F473),IPCA!$A:$D,4,FALSE),1)*G473)</f>
        <v>0</v>
      </c>
      <c r="J473" s="21">
        <f t="shared" ca="1" si="63"/>
        <v>50770</v>
      </c>
      <c r="K473" s="4">
        <f t="shared" ca="1" si="64"/>
        <v>0</v>
      </c>
      <c r="M473" s="21">
        <f t="shared" ca="1" si="70"/>
        <v>50770</v>
      </c>
      <c r="N473" s="37">
        <f t="shared" ca="1" si="65"/>
        <v>0</v>
      </c>
      <c r="O473" s="4">
        <f ca="1">IFERROR(AVERAGEIF(N$5:$N473,"&gt;="&amp;_xlfn.PERCENTILE.EXC(N$5:$N473,0.2)),0)</f>
        <v>0</v>
      </c>
      <c r="Q473" s="21">
        <f t="shared" ca="1" si="71"/>
        <v>50770</v>
      </c>
      <c r="R473" s="37">
        <f t="shared" ca="1" si="66"/>
        <v>0</v>
      </c>
      <c r="S473" s="4">
        <f ca="1">IFERROR(AVERAGE($R$5:R473),0)</f>
        <v>0</v>
      </c>
      <c r="U473" s="21">
        <f t="shared" ca="1" si="67"/>
        <v>50770</v>
      </c>
      <c r="V473" s="4">
        <f ca="1">MIN(S473,PREMISSAS!$C$14)</f>
        <v>0</v>
      </c>
      <c r="W473" s="188"/>
      <c r="X473" s="188"/>
    </row>
    <row r="474" spans="2:26" x14ac:dyDescent="0.3">
      <c r="B474" s="21" t="str">
        <f t="shared" ca="1" si="68"/>
        <v/>
      </c>
      <c r="C474" s="22" t="str">
        <f ca="1">IF(B474="","",IF(LEFT(B474,2)="13",C473,IF(MONTH(B474)=1,C473*(1+PREMISSAS!$C$58),C473)))</f>
        <v/>
      </c>
      <c r="E474" s="18">
        <v>470</v>
      </c>
      <c r="F474" s="21">
        <f t="shared" ca="1" si="69"/>
        <v>50801</v>
      </c>
      <c r="G474" s="22">
        <f ca="1">IFERROR(VLOOKUP(F474,RESULTADOS!$O$5:$P$543,2,FALSE),VLOOKUP(F474,$B$5:$C$842,2,FALSE))</f>
        <v>0</v>
      </c>
      <c r="H474" s="4">
        <f ca="1">IF(F474&lt;PREMISSAS!$D$7,0,IFERROR(VLOOKUP(IF(LEFT(F474,2)="13",DATE(YEAR(F473),12,31),F474),IPCA!$A:$D,4,FALSE),1)*G474)</f>
        <v>0</v>
      </c>
      <c r="J474" s="21">
        <f t="shared" ca="1" si="63"/>
        <v>50801</v>
      </c>
      <c r="K474" s="4">
        <f t="shared" ca="1" si="64"/>
        <v>0</v>
      </c>
      <c r="M474" s="21">
        <f t="shared" ca="1" si="70"/>
        <v>50801</v>
      </c>
      <c r="N474" s="37">
        <f t="shared" ca="1" si="65"/>
        <v>0</v>
      </c>
      <c r="O474" s="4">
        <f ca="1">IFERROR(AVERAGEIF(N$5:$N474,"&gt;="&amp;_xlfn.PERCENTILE.EXC(N$5:$N474,0.2)),0)</f>
        <v>0</v>
      </c>
      <c r="Q474" s="21">
        <f t="shared" ca="1" si="71"/>
        <v>50801</v>
      </c>
      <c r="R474" s="37">
        <f t="shared" ca="1" si="66"/>
        <v>0</v>
      </c>
      <c r="S474" s="4">
        <f ca="1">IFERROR(AVERAGE($R$5:R474),0)</f>
        <v>0</v>
      </c>
      <c r="U474" s="21">
        <f t="shared" ca="1" si="67"/>
        <v>50801</v>
      </c>
      <c r="V474" s="4">
        <f ca="1">MIN(S474,PREMISSAS!$C$14)</f>
        <v>0</v>
      </c>
      <c r="W474" s="188"/>
      <c r="X474" s="188"/>
    </row>
    <row r="475" spans="2:26" x14ac:dyDescent="0.3">
      <c r="B475" s="21" t="str">
        <f t="shared" ca="1" si="68"/>
        <v/>
      </c>
      <c r="C475" s="22" t="str">
        <f ca="1">IF(B475="","",IF(LEFT(B475,2)="13",C474,IF(MONTH(B475)=1,C474*(1+PREMISSAS!$C$58),C474)))</f>
        <v/>
      </c>
      <c r="E475" s="18">
        <v>471</v>
      </c>
      <c r="F475" s="21">
        <f t="shared" ca="1" si="69"/>
        <v>50829</v>
      </c>
      <c r="G475" s="22">
        <f ca="1">IFERROR(VLOOKUP(F475,RESULTADOS!$O$5:$P$543,2,FALSE),VLOOKUP(F475,$B$5:$C$842,2,FALSE))</f>
        <v>0</v>
      </c>
      <c r="H475" s="4">
        <f ca="1">IF(F475&lt;PREMISSAS!$D$7,0,IFERROR(VLOOKUP(IF(LEFT(F475,2)="13",DATE(YEAR(F474),12,31),F475),IPCA!$A:$D,4,FALSE),1)*G475)</f>
        <v>0</v>
      </c>
      <c r="J475" s="21">
        <f t="shared" ca="1" si="63"/>
        <v>50829</v>
      </c>
      <c r="K475" s="4">
        <f t="shared" ca="1" si="64"/>
        <v>0</v>
      </c>
      <c r="M475" s="21">
        <f t="shared" ca="1" si="70"/>
        <v>50829</v>
      </c>
      <c r="N475" s="37">
        <f t="shared" ca="1" si="65"/>
        <v>0</v>
      </c>
      <c r="O475" s="4">
        <f ca="1">IFERROR(AVERAGEIF(N$5:$N475,"&gt;="&amp;_xlfn.PERCENTILE.EXC(N$5:$N475,0.2)),0)</f>
        <v>0</v>
      </c>
      <c r="Q475" s="21">
        <f t="shared" ca="1" si="71"/>
        <v>50829</v>
      </c>
      <c r="R475" s="37">
        <f t="shared" ca="1" si="66"/>
        <v>0</v>
      </c>
      <c r="S475" s="4">
        <f ca="1">IFERROR(AVERAGE($R$5:R475),0)</f>
        <v>0</v>
      </c>
      <c r="U475" s="21">
        <f t="shared" ca="1" si="67"/>
        <v>50829</v>
      </c>
      <c r="V475" s="4">
        <f ca="1">MIN(S475,PREMISSAS!$C$14)</f>
        <v>0</v>
      </c>
      <c r="W475" s="188"/>
      <c r="X475" s="188"/>
    </row>
    <row r="476" spans="2:26" x14ac:dyDescent="0.3">
      <c r="B476" s="21" t="str">
        <f t="shared" ca="1" si="68"/>
        <v/>
      </c>
      <c r="C476" s="22" t="str">
        <f ca="1">IF(B476="","",IF(LEFT(B476,2)="13",C475,IF(MONTH(B476)=1,C475*(1+PREMISSAS!$C$58),C475)))</f>
        <v/>
      </c>
      <c r="E476" s="18">
        <v>472</v>
      </c>
      <c r="F476" s="21">
        <f t="shared" ca="1" si="69"/>
        <v>50860</v>
      </c>
      <c r="G476" s="22">
        <f ca="1">IFERROR(VLOOKUP(F476,RESULTADOS!$O$5:$P$543,2,FALSE),VLOOKUP(F476,$B$5:$C$842,2,FALSE))</f>
        <v>0</v>
      </c>
      <c r="H476" s="4">
        <f ca="1">IF(F476&lt;PREMISSAS!$D$7,0,IFERROR(VLOOKUP(IF(LEFT(F476,2)="13",DATE(YEAR(F475),12,31),F476),IPCA!$A:$D,4,FALSE),1)*G476)</f>
        <v>0</v>
      </c>
      <c r="J476" s="21">
        <f t="shared" ca="1" si="63"/>
        <v>50860</v>
      </c>
      <c r="K476" s="4">
        <f t="shared" ca="1" si="64"/>
        <v>0</v>
      </c>
      <c r="M476" s="21">
        <f t="shared" ca="1" si="70"/>
        <v>50860</v>
      </c>
      <c r="N476" s="37">
        <f t="shared" ca="1" si="65"/>
        <v>0</v>
      </c>
      <c r="O476" s="4">
        <f ca="1">IFERROR(AVERAGEIF(N$5:$N476,"&gt;="&amp;_xlfn.PERCENTILE.EXC(N$5:$N476,0.2)),0)</f>
        <v>0</v>
      </c>
      <c r="Q476" s="21">
        <f t="shared" ca="1" si="71"/>
        <v>50860</v>
      </c>
      <c r="R476" s="37">
        <f t="shared" ca="1" si="66"/>
        <v>0</v>
      </c>
      <c r="S476" s="4">
        <f ca="1">IFERROR(AVERAGE($R$5:R476),0)</f>
        <v>0</v>
      </c>
      <c r="U476" s="21">
        <f t="shared" ca="1" si="67"/>
        <v>50860</v>
      </c>
      <c r="V476" s="4">
        <f ca="1">MIN(S476,PREMISSAS!$C$14)</f>
        <v>0</v>
      </c>
      <c r="W476" s="188"/>
      <c r="X476" s="188"/>
    </row>
    <row r="477" spans="2:26" x14ac:dyDescent="0.3">
      <c r="B477" s="21" t="str">
        <f t="shared" ca="1" si="68"/>
        <v/>
      </c>
      <c r="C477" s="22" t="str">
        <f ca="1">IF(B477="","",IF(LEFT(B477,2)="13",C476,IF(MONTH(B477)=1,C476*(1+PREMISSAS!$C$58),C476)))</f>
        <v/>
      </c>
      <c r="E477" s="18">
        <v>473</v>
      </c>
      <c r="F477" s="21">
        <f t="shared" ca="1" si="69"/>
        <v>50890</v>
      </c>
      <c r="G477" s="22">
        <f ca="1">IFERROR(VLOOKUP(F477,RESULTADOS!$O$5:$P$543,2,FALSE),VLOOKUP(F477,$B$5:$C$842,2,FALSE))</f>
        <v>0</v>
      </c>
      <c r="H477" s="4">
        <f ca="1">IF(F477&lt;PREMISSAS!$D$7,0,IFERROR(VLOOKUP(IF(LEFT(F477,2)="13",DATE(YEAR(F476),12,31),F477),IPCA!$A:$D,4,FALSE),1)*G477)</f>
        <v>0</v>
      </c>
      <c r="J477" s="21">
        <f t="shared" ca="1" si="63"/>
        <v>50890</v>
      </c>
      <c r="K477" s="4">
        <f t="shared" ca="1" si="64"/>
        <v>0</v>
      </c>
      <c r="M477" s="21">
        <f t="shared" ca="1" si="70"/>
        <v>50890</v>
      </c>
      <c r="N477" s="37">
        <f t="shared" ca="1" si="65"/>
        <v>0</v>
      </c>
      <c r="O477" s="4">
        <f ca="1">IFERROR(AVERAGEIF(N$5:$N477,"&gt;="&amp;_xlfn.PERCENTILE.EXC(N$5:$N477,0.2)),0)</f>
        <v>0</v>
      </c>
      <c r="Q477" s="21">
        <f t="shared" ca="1" si="71"/>
        <v>50890</v>
      </c>
      <c r="R477" s="37">
        <f t="shared" ca="1" si="66"/>
        <v>0</v>
      </c>
      <c r="S477" s="4">
        <f ca="1">IFERROR(AVERAGE($R$5:R477),0)</f>
        <v>0</v>
      </c>
      <c r="U477" s="21">
        <f t="shared" ca="1" si="67"/>
        <v>50890</v>
      </c>
      <c r="V477" s="4">
        <f ca="1">MIN(S477,PREMISSAS!$C$14)</f>
        <v>0</v>
      </c>
      <c r="W477" s="188"/>
      <c r="X477" s="188"/>
      <c r="Y477" s="188"/>
      <c r="Z477" s="189"/>
    </row>
    <row r="478" spans="2:26" x14ac:dyDescent="0.3">
      <c r="B478" s="21" t="str">
        <f t="shared" ca="1" si="68"/>
        <v/>
      </c>
      <c r="C478" s="22" t="str">
        <f ca="1">IF(B478="","",IF(LEFT(B478,2)="13",C477,IF(MONTH(B478)=1,C477*(1+PREMISSAS!$C$58),C477)))</f>
        <v/>
      </c>
      <c r="E478" s="18">
        <v>474</v>
      </c>
      <c r="F478" s="21">
        <f t="shared" ca="1" si="69"/>
        <v>50921</v>
      </c>
      <c r="G478" s="22">
        <f ca="1">IFERROR(VLOOKUP(F478,RESULTADOS!$O$5:$P$543,2,FALSE),VLOOKUP(F478,$B$5:$C$842,2,FALSE))</f>
        <v>0</v>
      </c>
      <c r="H478" s="4">
        <f ca="1">IF(F478&lt;PREMISSAS!$D$7,0,IFERROR(VLOOKUP(IF(LEFT(F478,2)="13",DATE(YEAR(F477),12,31),F478),IPCA!$A:$D,4,FALSE),1)*G478)</f>
        <v>0</v>
      </c>
      <c r="J478" s="21">
        <f t="shared" ca="1" si="63"/>
        <v>50921</v>
      </c>
      <c r="K478" s="4">
        <f t="shared" ca="1" si="64"/>
        <v>0</v>
      </c>
      <c r="M478" s="21">
        <f t="shared" ca="1" si="70"/>
        <v>50921</v>
      </c>
      <c r="N478" s="37">
        <f t="shared" ca="1" si="65"/>
        <v>0</v>
      </c>
      <c r="O478" s="4">
        <f ca="1">IFERROR(AVERAGEIF(N$5:$N478,"&gt;="&amp;_xlfn.PERCENTILE.EXC(N$5:$N478,0.2)),0)</f>
        <v>0</v>
      </c>
      <c r="Q478" s="21">
        <f t="shared" ca="1" si="71"/>
        <v>50921</v>
      </c>
      <c r="R478" s="37">
        <f t="shared" ca="1" si="66"/>
        <v>0</v>
      </c>
      <c r="S478" s="4">
        <f ca="1">IFERROR(AVERAGE($R$5:R478),0)</f>
        <v>0</v>
      </c>
      <c r="U478" s="21">
        <f t="shared" ca="1" si="67"/>
        <v>50921</v>
      </c>
      <c r="V478" s="4">
        <f ca="1">MIN(S478,PREMISSAS!$C$14)</f>
        <v>0</v>
      </c>
      <c r="W478" s="188"/>
      <c r="X478" s="188"/>
    </row>
    <row r="479" spans="2:26" x14ac:dyDescent="0.3">
      <c r="B479" s="21" t="str">
        <f t="shared" ca="1" si="68"/>
        <v/>
      </c>
      <c r="C479" s="22" t="str">
        <f ca="1">IF(B479="","",IF(LEFT(B479,2)="13",C478,IF(MONTH(B479)=1,C478*(1+PREMISSAS!$C$58),C478)))</f>
        <v/>
      </c>
      <c r="E479" s="18">
        <v>475</v>
      </c>
      <c r="F479" s="21">
        <f t="shared" ca="1" si="69"/>
        <v>50951</v>
      </c>
      <c r="G479" s="22">
        <f ca="1">IFERROR(VLOOKUP(F479,RESULTADOS!$O$5:$P$543,2,FALSE),VLOOKUP(F479,$B$5:$C$842,2,FALSE))</f>
        <v>0</v>
      </c>
      <c r="H479" s="4">
        <f ca="1">IF(F479&lt;PREMISSAS!$D$7,0,IFERROR(VLOOKUP(IF(LEFT(F479,2)="13",DATE(YEAR(F478),12,31),F479),IPCA!$A:$D,4,FALSE),1)*G479)</f>
        <v>0</v>
      </c>
      <c r="J479" s="21">
        <f t="shared" ca="1" si="63"/>
        <v>50951</v>
      </c>
      <c r="K479" s="4">
        <f t="shared" ca="1" si="64"/>
        <v>0</v>
      </c>
      <c r="M479" s="21">
        <f t="shared" ca="1" si="70"/>
        <v>50951</v>
      </c>
      <c r="N479" s="37">
        <f t="shared" ca="1" si="65"/>
        <v>0</v>
      </c>
      <c r="O479" s="4">
        <f ca="1">IFERROR(AVERAGEIF(N$5:$N479,"&gt;="&amp;_xlfn.PERCENTILE.EXC(N$5:$N479,0.2)),0)</f>
        <v>0</v>
      </c>
      <c r="Q479" s="21">
        <f t="shared" ca="1" si="71"/>
        <v>50951</v>
      </c>
      <c r="R479" s="37">
        <f t="shared" ca="1" si="66"/>
        <v>0</v>
      </c>
      <c r="S479" s="4">
        <f ca="1">IFERROR(AVERAGE($R$5:R479),0)</f>
        <v>0</v>
      </c>
      <c r="U479" s="21">
        <f t="shared" ca="1" si="67"/>
        <v>50951</v>
      </c>
      <c r="V479" s="4">
        <f ca="1">MIN(S479,PREMISSAS!$C$14)</f>
        <v>0</v>
      </c>
      <c r="W479" s="188"/>
      <c r="X479" s="188"/>
    </row>
    <row r="480" spans="2:26" x14ac:dyDescent="0.3">
      <c r="B480" s="21" t="str">
        <f t="shared" ca="1" si="68"/>
        <v/>
      </c>
      <c r="C480" s="22" t="str">
        <f ca="1">IF(B480="","",IF(LEFT(B480,2)="13",C479,IF(MONTH(B480)=1,C479*(1+PREMISSAS!$C$58),C479)))</f>
        <v/>
      </c>
      <c r="E480" s="18">
        <v>476</v>
      </c>
      <c r="F480" s="21">
        <f t="shared" ca="1" si="69"/>
        <v>50982</v>
      </c>
      <c r="G480" s="22">
        <f ca="1">IFERROR(VLOOKUP(F480,RESULTADOS!$O$5:$P$543,2,FALSE),VLOOKUP(F480,$B$5:$C$842,2,FALSE))</f>
        <v>0</v>
      </c>
      <c r="H480" s="4">
        <f ca="1">IF(F480&lt;PREMISSAS!$D$7,0,IFERROR(VLOOKUP(IF(LEFT(F480,2)="13",DATE(YEAR(F479),12,31),F480),IPCA!$A:$D,4,FALSE),1)*G480)</f>
        <v>0</v>
      </c>
      <c r="J480" s="21">
        <f t="shared" ca="1" si="63"/>
        <v>50982</v>
      </c>
      <c r="K480" s="4">
        <f t="shared" ca="1" si="64"/>
        <v>0</v>
      </c>
      <c r="M480" s="21">
        <f t="shared" ca="1" si="70"/>
        <v>50982</v>
      </c>
      <c r="N480" s="37">
        <f t="shared" ca="1" si="65"/>
        <v>0</v>
      </c>
      <c r="O480" s="4">
        <f ca="1">IFERROR(AVERAGEIF(N$5:$N480,"&gt;="&amp;_xlfn.PERCENTILE.EXC(N$5:$N480,0.2)),0)</f>
        <v>0</v>
      </c>
      <c r="Q480" s="21">
        <f t="shared" ca="1" si="71"/>
        <v>50982</v>
      </c>
      <c r="R480" s="37">
        <f t="shared" ca="1" si="66"/>
        <v>0</v>
      </c>
      <c r="S480" s="4">
        <f ca="1">IFERROR(AVERAGE($R$5:R480),0)</f>
        <v>0</v>
      </c>
      <c r="U480" s="21">
        <f t="shared" ca="1" si="67"/>
        <v>50982</v>
      </c>
      <c r="V480" s="4">
        <f ca="1">MIN(S480,PREMISSAS!$C$14)</f>
        <v>0</v>
      </c>
      <c r="W480" s="188"/>
      <c r="X480" s="188"/>
    </row>
    <row r="481" spans="2:24" x14ac:dyDescent="0.3">
      <c r="B481" s="21" t="str">
        <f t="shared" ca="1" si="68"/>
        <v/>
      </c>
      <c r="C481" s="22" t="str">
        <f ca="1">IF(B481="","",IF(LEFT(B481,2)="13",C480,IF(MONTH(B481)=1,C480*(1+PREMISSAS!$C$58),C480)))</f>
        <v/>
      </c>
      <c r="E481" s="18">
        <v>477</v>
      </c>
      <c r="F481" s="21">
        <f t="shared" ca="1" si="69"/>
        <v>51013</v>
      </c>
      <c r="G481" s="22">
        <f ca="1">IFERROR(VLOOKUP(F481,RESULTADOS!$O$5:$P$543,2,FALSE),VLOOKUP(F481,$B$5:$C$842,2,FALSE))</f>
        <v>0</v>
      </c>
      <c r="H481" s="4">
        <f ca="1">IF(F481&lt;PREMISSAS!$D$7,0,IFERROR(VLOOKUP(IF(LEFT(F481,2)="13",DATE(YEAR(F480),12,31),F481),IPCA!$A:$D,4,FALSE),1)*G481)</f>
        <v>0</v>
      </c>
      <c r="J481" s="21">
        <f t="shared" ca="1" si="63"/>
        <v>51013</v>
      </c>
      <c r="K481" s="4">
        <f t="shared" ca="1" si="64"/>
        <v>0</v>
      </c>
      <c r="M481" s="21">
        <f t="shared" ca="1" si="70"/>
        <v>51013</v>
      </c>
      <c r="N481" s="37">
        <f t="shared" ca="1" si="65"/>
        <v>0</v>
      </c>
      <c r="O481" s="4">
        <f ca="1">IFERROR(AVERAGEIF(N$5:$N481,"&gt;="&amp;_xlfn.PERCENTILE.EXC(N$5:$N481,0.2)),0)</f>
        <v>0</v>
      </c>
      <c r="Q481" s="21">
        <f t="shared" ca="1" si="71"/>
        <v>51013</v>
      </c>
      <c r="R481" s="37">
        <f t="shared" ca="1" si="66"/>
        <v>0</v>
      </c>
      <c r="S481" s="4">
        <f ca="1">IFERROR(AVERAGE($R$5:R481),0)</f>
        <v>0</v>
      </c>
      <c r="U481" s="21">
        <f t="shared" ca="1" si="67"/>
        <v>51013</v>
      </c>
      <c r="V481" s="4">
        <f ca="1">MIN(S481,PREMISSAS!$C$14)</f>
        <v>0</v>
      </c>
      <c r="W481" s="188"/>
      <c r="X481" s="188"/>
    </row>
    <row r="482" spans="2:24" x14ac:dyDescent="0.3">
      <c r="B482" s="21" t="str">
        <f t="shared" ca="1" si="68"/>
        <v/>
      </c>
      <c r="C482" s="22" t="str">
        <f ca="1">IF(B482="","",IF(LEFT(B482,2)="13",C481,IF(MONTH(B482)=1,C481*(1+PREMISSAS!$C$58),C481)))</f>
        <v/>
      </c>
      <c r="E482" s="18">
        <v>478</v>
      </c>
      <c r="F482" s="21">
        <f t="shared" ca="1" si="69"/>
        <v>51043</v>
      </c>
      <c r="G482" s="22">
        <f ca="1">IFERROR(VLOOKUP(F482,RESULTADOS!$O$5:$P$543,2,FALSE),VLOOKUP(F482,$B$5:$C$842,2,FALSE))</f>
        <v>0</v>
      </c>
      <c r="H482" s="4">
        <f ca="1">IF(F482&lt;PREMISSAS!$D$7,0,IFERROR(VLOOKUP(IF(LEFT(F482,2)="13",DATE(YEAR(F481),12,31),F482),IPCA!$A:$D,4,FALSE),1)*G482)</f>
        <v>0</v>
      </c>
      <c r="J482" s="21">
        <f t="shared" ca="1" si="63"/>
        <v>51043</v>
      </c>
      <c r="K482" s="4">
        <f t="shared" ca="1" si="64"/>
        <v>0</v>
      </c>
      <c r="M482" s="21">
        <f t="shared" ca="1" si="70"/>
        <v>51043</v>
      </c>
      <c r="N482" s="37">
        <f t="shared" ca="1" si="65"/>
        <v>0</v>
      </c>
      <c r="O482" s="4">
        <f ca="1">IFERROR(AVERAGEIF(N$5:$N482,"&gt;="&amp;_xlfn.PERCENTILE.EXC(N$5:$N482,0.2)),0)</f>
        <v>0</v>
      </c>
      <c r="Q482" s="21">
        <f t="shared" ca="1" si="71"/>
        <v>51043</v>
      </c>
      <c r="R482" s="37">
        <f t="shared" ca="1" si="66"/>
        <v>0</v>
      </c>
      <c r="S482" s="4">
        <f ca="1">IFERROR(AVERAGE($R$5:R482),0)</f>
        <v>0</v>
      </c>
      <c r="U482" s="21">
        <f t="shared" ca="1" si="67"/>
        <v>51043</v>
      </c>
      <c r="V482" s="4">
        <f ca="1">MIN(S482,PREMISSAS!$C$14)</f>
        <v>0</v>
      </c>
      <c r="W482" s="188"/>
      <c r="X482" s="188"/>
    </row>
    <row r="483" spans="2:24" x14ac:dyDescent="0.3">
      <c r="B483" s="21" t="str">
        <f t="shared" ca="1" si="68"/>
        <v/>
      </c>
      <c r="C483" s="22" t="str">
        <f ca="1">IF(B483="","",IF(LEFT(B483,2)="13",C482,IF(MONTH(B483)=1,C482*(1+PREMISSAS!$C$58),C482)))</f>
        <v/>
      </c>
      <c r="E483" s="18">
        <v>479</v>
      </c>
      <c r="F483" s="21">
        <f t="shared" ca="1" si="69"/>
        <v>51074</v>
      </c>
      <c r="G483" s="22">
        <f ca="1">IFERROR(VLOOKUP(F483,RESULTADOS!$O$5:$P$543,2,FALSE),VLOOKUP(F483,$B$5:$C$842,2,FALSE))</f>
        <v>0</v>
      </c>
      <c r="H483" s="4">
        <f ca="1">IF(F483&lt;PREMISSAS!$D$7,0,IFERROR(VLOOKUP(IF(LEFT(F483,2)="13",DATE(YEAR(F482),12,31),F483),IPCA!$A:$D,4,FALSE),1)*G483)</f>
        <v>0</v>
      </c>
      <c r="J483" s="21">
        <f t="shared" ca="1" si="63"/>
        <v>51074</v>
      </c>
      <c r="K483" s="4">
        <f t="shared" ca="1" si="64"/>
        <v>0</v>
      </c>
      <c r="M483" s="21">
        <f t="shared" ca="1" si="70"/>
        <v>51074</v>
      </c>
      <c r="N483" s="37">
        <f t="shared" ca="1" si="65"/>
        <v>0</v>
      </c>
      <c r="O483" s="4">
        <f ca="1">IFERROR(AVERAGEIF(N$5:$N483,"&gt;="&amp;_xlfn.PERCENTILE.EXC(N$5:$N483,0.2)),0)</f>
        <v>0</v>
      </c>
      <c r="Q483" s="21">
        <f t="shared" ca="1" si="71"/>
        <v>51074</v>
      </c>
      <c r="R483" s="37">
        <f t="shared" ca="1" si="66"/>
        <v>0</v>
      </c>
      <c r="S483" s="4">
        <f ca="1">IFERROR(AVERAGE($R$5:R483),0)</f>
        <v>0</v>
      </c>
      <c r="U483" s="21">
        <f t="shared" ca="1" si="67"/>
        <v>51074</v>
      </c>
      <c r="V483" s="4">
        <f ca="1">MIN(S483,PREMISSAS!$C$14)</f>
        <v>0</v>
      </c>
      <c r="W483" s="188"/>
      <c r="X483" s="188"/>
    </row>
    <row r="484" spans="2:24" x14ac:dyDescent="0.3">
      <c r="B484" s="21" t="str">
        <f t="shared" ca="1" si="68"/>
        <v/>
      </c>
      <c r="C484" s="22" t="str">
        <f ca="1">IF(B484="","",IF(LEFT(B484,2)="13",C483,IF(MONTH(B484)=1,C483*(1+PREMISSAS!$C$58),C483)))</f>
        <v/>
      </c>
      <c r="E484" s="18">
        <v>480</v>
      </c>
      <c r="F484" s="21">
        <f t="shared" ca="1" si="69"/>
        <v>51104</v>
      </c>
      <c r="G484" s="22">
        <f ca="1">IFERROR(VLOOKUP(F484,RESULTADOS!$O$5:$P$543,2,FALSE),VLOOKUP(F484,$B$5:$C$842,2,FALSE))</f>
        <v>0</v>
      </c>
      <c r="H484" s="4">
        <f ca="1">IF(F484&lt;PREMISSAS!$D$7,0,IFERROR(VLOOKUP(IF(LEFT(F484,2)="13",DATE(YEAR(F483),12,31),F484),IPCA!$A:$D,4,FALSE),1)*G484)</f>
        <v>0</v>
      </c>
      <c r="J484" s="21">
        <f t="shared" ca="1" si="63"/>
        <v>51104</v>
      </c>
      <c r="K484" s="4">
        <f t="shared" ca="1" si="64"/>
        <v>0</v>
      </c>
      <c r="M484" s="21">
        <f t="shared" ca="1" si="70"/>
        <v>51104</v>
      </c>
      <c r="N484" s="37">
        <f t="shared" ca="1" si="65"/>
        <v>0</v>
      </c>
      <c r="O484" s="4">
        <f ca="1">IFERROR(AVERAGEIF(N$5:$N484,"&gt;="&amp;_xlfn.PERCENTILE.EXC(N$5:$N484,0.2)),0)</f>
        <v>0</v>
      </c>
      <c r="Q484" s="21">
        <f t="shared" ca="1" si="71"/>
        <v>51104</v>
      </c>
      <c r="R484" s="37">
        <f t="shared" ca="1" si="66"/>
        <v>0</v>
      </c>
      <c r="S484" s="4">
        <f ca="1">IFERROR(AVERAGE($R$5:R484),0)</f>
        <v>0</v>
      </c>
      <c r="U484" s="21">
        <f t="shared" ca="1" si="67"/>
        <v>51104</v>
      </c>
      <c r="V484" s="4">
        <f ca="1">MIN(S484,PREMISSAS!$C$14)</f>
        <v>0</v>
      </c>
      <c r="W484" s="188"/>
      <c r="X484" s="188"/>
    </row>
    <row r="485" spans="2:24" x14ac:dyDescent="0.3">
      <c r="B485" s="21" t="str">
        <f t="shared" ca="1" si="68"/>
        <v/>
      </c>
      <c r="C485" s="22" t="str">
        <f ca="1">IF(B485="","",IF(LEFT(B485,2)="13",C484,IF(MONTH(B485)=1,C484*(1+PREMISSAS!$C$58),C484)))</f>
        <v/>
      </c>
      <c r="E485" s="18">
        <v>481</v>
      </c>
      <c r="F485" s="21" t="str">
        <f t="shared" ca="1" si="69"/>
        <v>13º 2039</v>
      </c>
      <c r="G485" s="22">
        <f ca="1">IFERROR(VLOOKUP(F485,RESULTADOS!$O$5:$P$543,2,FALSE),VLOOKUP(F485,$B$5:$C$842,2,FALSE))</f>
        <v>0</v>
      </c>
      <c r="H485" s="4">
        <f ca="1">IF(F485&lt;PREMISSAS!$D$7,0,IFERROR(VLOOKUP(IF(LEFT(F485,2)="13",DATE(YEAR(F484),12,31),F485),IPCA!$A:$D,4,FALSE),1)*G485)</f>
        <v>0</v>
      </c>
      <c r="J485" s="21" t="str">
        <f t="shared" ca="1" si="63"/>
        <v>13º 2039</v>
      </c>
      <c r="K485" s="4">
        <f t="shared" ca="1" si="64"/>
        <v>0</v>
      </c>
      <c r="M485" s="21" t="str">
        <f t="shared" ca="1" si="70"/>
        <v>13º 2039</v>
      </c>
      <c r="N485" s="37">
        <f t="shared" ca="1" si="65"/>
        <v>0</v>
      </c>
      <c r="O485" s="4">
        <f ca="1">IFERROR(AVERAGEIF(N$5:$N485,"&gt;="&amp;_xlfn.PERCENTILE.EXC(N$5:$N485,0.2)),0)</f>
        <v>0</v>
      </c>
      <c r="Q485" s="21" t="str">
        <f t="shared" ca="1" si="71"/>
        <v>13º 2039</v>
      </c>
      <c r="R485" s="37">
        <f t="shared" ca="1" si="66"/>
        <v>0</v>
      </c>
      <c r="S485" s="4">
        <f ca="1">IFERROR(AVERAGE($R$5:R485),0)</f>
        <v>0</v>
      </c>
      <c r="U485" s="21" t="str">
        <f t="shared" ca="1" si="67"/>
        <v>13º 2039</v>
      </c>
      <c r="V485" s="4">
        <f ca="1">MIN(S485,PREMISSAS!$C$14)</f>
        <v>0</v>
      </c>
      <c r="W485" s="188"/>
      <c r="X485" s="188"/>
    </row>
    <row r="486" spans="2:24" x14ac:dyDescent="0.3">
      <c r="B486" s="21" t="str">
        <f t="shared" ca="1" si="68"/>
        <v/>
      </c>
      <c r="C486" s="22" t="str">
        <f ca="1">IF(B486="","",IF(LEFT(B486,2)="13",C485,IF(MONTH(B486)=1,C485*(1+PREMISSAS!$C$58),C485)))</f>
        <v/>
      </c>
      <c r="E486" s="18">
        <v>482</v>
      </c>
      <c r="F486" s="21">
        <f t="shared" ca="1" si="69"/>
        <v>51135</v>
      </c>
      <c r="G486" s="22">
        <f ca="1">IFERROR(VLOOKUP(F486,RESULTADOS!$O$5:$P$543,2,FALSE),VLOOKUP(F486,$B$5:$C$842,2,FALSE))</f>
        <v>0</v>
      </c>
      <c r="H486" s="4">
        <f ca="1">IF(F486&lt;PREMISSAS!$D$7,0,IFERROR(VLOOKUP(IF(LEFT(F486,2)="13",DATE(YEAR(F485),12,31),F486),IPCA!$A:$D,4,FALSE),1)*G486)</f>
        <v>0</v>
      </c>
      <c r="J486" s="21">
        <f t="shared" ca="1" si="63"/>
        <v>51135</v>
      </c>
      <c r="K486" s="4">
        <f t="shared" ca="1" si="64"/>
        <v>0</v>
      </c>
      <c r="M486" s="21">
        <f t="shared" ca="1" si="70"/>
        <v>51135</v>
      </c>
      <c r="N486" s="37">
        <f t="shared" ca="1" si="65"/>
        <v>0</v>
      </c>
      <c r="O486" s="4">
        <f ca="1">IFERROR(AVERAGEIF(N$5:$N486,"&gt;="&amp;_xlfn.PERCENTILE.EXC(N$5:$N486,0.2)),0)</f>
        <v>0</v>
      </c>
      <c r="Q486" s="21">
        <f t="shared" ca="1" si="71"/>
        <v>51135</v>
      </c>
      <c r="R486" s="37">
        <f t="shared" ca="1" si="66"/>
        <v>0</v>
      </c>
      <c r="S486" s="4">
        <f ca="1">IFERROR(AVERAGE($R$5:R486),0)</f>
        <v>0</v>
      </c>
      <c r="U486" s="21">
        <f t="shared" ca="1" si="67"/>
        <v>51135</v>
      </c>
      <c r="V486" s="4">
        <f ca="1">MIN(S486,PREMISSAS!$C$14)</f>
        <v>0</v>
      </c>
      <c r="W486" s="188"/>
      <c r="X486" s="188"/>
    </row>
    <row r="487" spans="2:24" x14ac:dyDescent="0.3">
      <c r="B487" s="21" t="str">
        <f t="shared" ca="1" si="68"/>
        <v/>
      </c>
      <c r="C487" s="22" t="str">
        <f ca="1">IF(B487="","",IF(LEFT(B487,2)="13",C486,IF(MONTH(B487)=1,C486*(1+PREMISSAS!$C$58),C486)))</f>
        <v/>
      </c>
      <c r="E487" s="18">
        <v>483</v>
      </c>
      <c r="F487" s="21">
        <f t="shared" ca="1" si="69"/>
        <v>51166</v>
      </c>
      <c r="G487" s="22">
        <f ca="1">IFERROR(VLOOKUP(F487,RESULTADOS!$O$5:$P$543,2,FALSE),VLOOKUP(F487,$B$5:$C$842,2,FALSE))</f>
        <v>0</v>
      </c>
      <c r="H487" s="4">
        <f ca="1">IF(F487&lt;PREMISSAS!$D$7,0,IFERROR(VLOOKUP(IF(LEFT(F487,2)="13",DATE(YEAR(F486),12,31),F487),IPCA!$A:$D,4,FALSE),1)*G487)</f>
        <v>0</v>
      </c>
      <c r="J487" s="21">
        <f t="shared" ca="1" si="63"/>
        <v>51166</v>
      </c>
      <c r="K487" s="4">
        <f t="shared" ca="1" si="64"/>
        <v>0</v>
      </c>
      <c r="M487" s="21">
        <f t="shared" ca="1" si="70"/>
        <v>51166</v>
      </c>
      <c r="N487" s="37">
        <f t="shared" ca="1" si="65"/>
        <v>0</v>
      </c>
      <c r="O487" s="4">
        <f ca="1">IFERROR(AVERAGEIF(N$5:$N487,"&gt;="&amp;_xlfn.PERCENTILE.EXC(N$5:$N487,0.2)),0)</f>
        <v>0</v>
      </c>
      <c r="Q487" s="21">
        <f t="shared" ca="1" si="71"/>
        <v>51166</v>
      </c>
      <c r="R487" s="37">
        <f t="shared" ca="1" si="66"/>
        <v>0</v>
      </c>
      <c r="S487" s="4">
        <f ca="1">IFERROR(AVERAGE($R$5:R487),0)</f>
        <v>0</v>
      </c>
      <c r="U487" s="21">
        <f t="shared" ca="1" si="67"/>
        <v>51166</v>
      </c>
      <c r="V487" s="4">
        <f ca="1">MIN(S487,PREMISSAS!$C$14)</f>
        <v>0</v>
      </c>
      <c r="W487" s="188"/>
      <c r="X487" s="188"/>
    </row>
    <row r="488" spans="2:24" x14ac:dyDescent="0.3">
      <c r="B488" s="21" t="str">
        <f t="shared" ca="1" si="68"/>
        <v/>
      </c>
      <c r="C488" s="22" t="str">
        <f ca="1">IF(B488="","",IF(LEFT(B488,2)="13",C487,IF(MONTH(B488)=1,C487*(1+PREMISSAS!$C$58),C487)))</f>
        <v/>
      </c>
      <c r="E488" s="18">
        <v>484</v>
      </c>
      <c r="F488" s="21">
        <f t="shared" ca="1" si="69"/>
        <v>51195</v>
      </c>
      <c r="G488" s="22">
        <f ca="1">IFERROR(VLOOKUP(F488,RESULTADOS!$O$5:$P$543,2,FALSE),VLOOKUP(F488,$B$5:$C$842,2,FALSE))</f>
        <v>0</v>
      </c>
      <c r="H488" s="4">
        <f ca="1">IF(F488&lt;PREMISSAS!$D$7,0,IFERROR(VLOOKUP(IF(LEFT(F488,2)="13",DATE(YEAR(F487),12,31),F488),IPCA!$A:$D,4,FALSE),1)*G488)</f>
        <v>0</v>
      </c>
      <c r="J488" s="21">
        <f t="shared" ca="1" si="63"/>
        <v>51195</v>
      </c>
      <c r="K488" s="4">
        <f t="shared" ca="1" si="64"/>
        <v>0</v>
      </c>
      <c r="M488" s="21">
        <f t="shared" ca="1" si="70"/>
        <v>51195</v>
      </c>
      <c r="N488" s="37">
        <f t="shared" ca="1" si="65"/>
        <v>0</v>
      </c>
      <c r="O488" s="4">
        <f ca="1">IFERROR(AVERAGEIF(N$5:$N488,"&gt;="&amp;_xlfn.PERCENTILE.EXC(N$5:$N488,0.2)),0)</f>
        <v>0</v>
      </c>
      <c r="Q488" s="21">
        <f t="shared" ca="1" si="71"/>
        <v>51195</v>
      </c>
      <c r="R488" s="37">
        <f t="shared" ca="1" si="66"/>
        <v>0</v>
      </c>
      <c r="S488" s="4">
        <f ca="1">IFERROR(AVERAGE($R$5:R488),0)</f>
        <v>0</v>
      </c>
      <c r="U488" s="21">
        <f t="shared" ca="1" si="67"/>
        <v>51195</v>
      </c>
      <c r="V488" s="4">
        <f ca="1">MIN(S488,PREMISSAS!$C$14)</f>
        <v>0</v>
      </c>
      <c r="W488" s="188"/>
      <c r="X488" s="188"/>
    </row>
    <row r="489" spans="2:24" x14ac:dyDescent="0.3">
      <c r="B489" s="21" t="str">
        <f t="shared" ca="1" si="68"/>
        <v/>
      </c>
      <c r="C489" s="22" t="str">
        <f ca="1">IF(B489="","",IF(LEFT(B489,2)="13",C488,IF(MONTH(B489)=1,C488*(1+PREMISSAS!$C$58),C488)))</f>
        <v/>
      </c>
      <c r="E489" s="18">
        <v>485</v>
      </c>
      <c r="F489" s="21">
        <f t="shared" ca="1" si="69"/>
        <v>51226</v>
      </c>
      <c r="G489" s="22">
        <f ca="1">IFERROR(VLOOKUP(F489,RESULTADOS!$O$5:$P$543,2,FALSE),VLOOKUP(F489,$B$5:$C$842,2,FALSE))</f>
        <v>0</v>
      </c>
      <c r="H489" s="4">
        <f ca="1">IF(F489&lt;PREMISSAS!$D$7,0,IFERROR(VLOOKUP(IF(LEFT(F489,2)="13",DATE(YEAR(F488),12,31),F489),IPCA!$A:$D,4,FALSE),1)*G489)</f>
        <v>0</v>
      </c>
      <c r="J489" s="21">
        <f t="shared" ca="1" si="63"/>
        <v>51226</v>
      </c>
      <c r="K489" s="4">
        <f t="shared" ca="1" si="64"/>
        <v>0</v>
      </c>
      <c r="M489" s="21">
        <f t="shared" ca="1" si="70"/>
        <v>51226</v>
      </c>
      <c r="N489" s="37">
        <f t="shared" ca="1" si="65"/>
        <v>0</v>
      </c>
      <c r="O489" s="4">
        <f ca="1">IFERROR(AVERAGEIF(N$5:$N489,"&gt;="&amp;_xlfn.PERCENTILE.EXC(N$5:$N489,0.2)),0)</f>
        <v>0</v>
      </c>
      <c r="Q489" s="21">
        <f t="shared" ca="1" si="71"/>
        <v>51226</v>
      </c>
      <c r="R489" s="37">
        <f t="shared" ca="1" si="66"/>
        <v>0</v>
      </c>
      <c r="S489" s="4">
        <f ca="1">IFERROR(AVERAGE($R$5:R489),0)</f>
        <v>0</v>
      </c>
      <c r="U489" s="21">
        <f t="shared" ca="1" si="67"/>
        <v>51226</v>
      </c>
      <c r="V489" s="4">
        <f ca="1">MIN(S489,PREMISSAS!$C$14)</f>
        <v>0</v>
      </c>
      <c r="W489" s="188"/>
      <c r="X489" s="188"/>
    </row>
    <row r="490" spans="2:24" x14ac:dyDescent="0.3">
      <c r="B490" s="21" t="str">
        <f t="shared" ca="1" si="68"/>
        <v/>
      </c>
      <c r="C490" s="22" t="str">
        <f ca="1">IF(B490="","",IF(LEFT(B490,2)="13",C489,IF(MONTH(B490)=1,C489*(1+PREMISSAS!$C$58),C489)))</f>
        <v/>
      </c>
      <c r="E490" s="18">
        <v>486</v>
      </c>
      <c r="F490" s="21">
        <f t="shared" ca="1" si="69"/>
        <v>51256</v>
      </c>
      <c r="G490" s="22">
        <f ca="1">IFERROR(VLOOKUP(F490,RESULTADOS!$O$5:$P$543,2,FALSE),VLOOKUP(F490,$B$5:$C$842,2,FALSE))</f>
        <v>0</v>
      </c>
      <c r="H490" s="4">
        <f ca="1">IF(F490&lt;PREMISSAS!$D$7,0,IFERROR(VLOOKUP(IF(LEFT(F490,2)="13",DATE(YEAR(F489),12,31),F490),IPCA!$A:$D,4,FALSE),1)*G490)</f>
        <v>0</v>
      </c>
      <c r="J490" s="21">
        <f t="shared" ca="1" si="63"/>
        <v>51256</v>
      </c>
      <c r="K490" s="4">
        <f t="shared" ca="1" si="64"/>
        <v>0</v>
      </c>
      <c r="M490" s="21">
        <f t="shared" ca="1" si="70"/>
        <v>51256</v>
      </c>
      <c r="N490" s="37">
        <f t="shared" ca="1" si="65"/>
        <v>0</v>
      </c>
      <c r="O490" s="4">
        <f ca="1">IFERROR(AVERAGEIF(N$5:$N490,"&gt;="&amp;_xlfn.PERCENTILE.EXC(N$5:$N490,0.2)),0)</f>
        <v>0</v>
      </c>
      <c r="Q490" s="21">
        <f t="shared" ca="1" si="71"/>
        <v>51256</v>
      </c>
      <c r="R490" s="37">
        <f t="shared" ca="1" si="66"/>
        <v>0</v>
      </c>
      <c r="S490" s="4">
        <f ca="1">IFERROR(AVERAGE($R$5:R490),0)</f>
        <v>0</v>
      </c>
      <c r="U490" s="21">
        <f t="shared" ca="1" si="67"/>
        <v>51256</v>
      </c>
      <c r="V490" s="4">
        <f ca="1">MIN(S490,PREMISSAS!$C$14)</f>
        <v>0</v>
      </c>
      <c r="W490" s="188"/>
      <c r="X490" s="188"/>
    </row>
    <row r="491" spans="2:24" x14ac:dyDescent="0.3">
      <c r="B491" s="21" t="str">
        <f t="shared" ca="1" si="68"/>
        <v/>
      </c>
      <c r="C491" s="22" t="str">
        <f ca="1">IF(B491="","",IF(LEFT(B491,2)="13",C490,IF(MONTH(B491)=1,C490*(1+PREMISSAS!$C$58),C490)))</f>
        <v/>
      </c>
      <c r="E491" s="18">
        <v>487</v>
      </c>
      <c r="F491" s="21">
        <f t="shared" ca="1" si="69"/>
        <v>51287</v>
      </c>
      <c r="G491" s="22">
        <f ca="1">IFERROR(VLOOKUP(F491,RESULTADOS!$O$5:$P$543,2,FALSE),VLOOKUP(F491,$B$5:$C$842,2,FALSE))</f>
        <v>0</v>
      </c>
      <c r="H491" s="4">
        <f ca="1">IF(F491&lt;PREMISSAS!$D$7,0,IFERROR(VLOOKUP(IF(LEFT(F491,2)="13",DATE(YEAR(F490),12,31),F491),IPCA!$A:$D,4,FALSE),1)*G491)</f>
        <v>0</v>
      </c>
      <c r="J491" s="21">
        <f t="shared" ca="1" si="63"/>
        <v>51287</v>
      </c>
      <c r="K491" s="4">
        <f t="shared" ca="1" si="64"/>
        <v>0</v>
      </c>
      <c r="M491" s="21">
        <f t="shared" ca="1" si="70"/>
        <v>51287</v>
      </c>
      <c r="N491" s="37">
        <f t="shared" ca="1" si="65"/>
        <v>0</v>
      </c>
      <c r="O491" s="4">
        <f ca="1">IFERROR(AVERAGEIF(N$5:$N491,"&gt;="&amp;_xlfn.PERCENTILE.EXC(N$5:$N491,0.2)),0)</f>
        <v>0</v>
      </c>
      <c r="Q491" s="21">
        <f t="shared" ca="1" si="71"/>
        <v>51287</v>
      </c>
      <c r="R491" s="37">
        <f t="shared" ca="1" si="66"/>
        <v>0</v>
      </c>
      <c r="S491" s="4">
        <f ca="1">IFERROR(AVERAGE($R$5:R491),0)</f>
        <v>0</v>
      </c>
      <c r="U491" s="21">
        <f t="shared" ca="1" si="67"/>
        <v>51287</v>
      </c>
      <c r="V491" s="4">
        <f ca="1">MIN(S491,PREMISSAS!$C$14)</f>
        <v>0</v>
      </c>
      <c r="W491" s="188"/>
      <c r="X491" s="188"/>
    </row>
    <row r="492" spans="2:24" x14ac:dyDescent="0.3">
      <c r="B492" s="21" t="str">
        <f t="shared" ca="1" si="68"/>
        <v/>
      </c>
      <c r="C492" s="22" t="str">
        <f ca="1">IF(B492="","",IF(LEFT(B492,2)="13",C491,IF(MONTH(B492)=1,C491*(1+PREMISSAS!$C$58),C491)))</f>
        <v/>
      </c>
      <c r="E492" s="18">
        <v>488</v>
      </c>
      <c r="F492" s="21">
        <f t="shared" ca="1" si="69"/>
        <v>51317</v>
      </c>
      <c r="G492" s="22">
        <f ca="1">IFERROR(VLOOKUP(F492,RESULTADOS!$O$5:$P$543,2,FALSE),VLOOKUP(F492,$B$5:$C$842,2,FALSE))</f>
        <v>0</v>
      </c>
      <c r="H492" s="4">
        <f ca="1">IF(F492&lt;PREMISSAS!$D$7,0,IFERROR(VLOOKUP(IF(LEFT(F492,2)="13",DATE(YEAR(F491),12,31),F492),IPCA!$A:$D,4,FALSE),1)*G492)</f>
        <v>0</v>
      </c>
      <c r="J492" s="21">
        <f t="shared" ca="1" si="63"/>
        <v>51317</v>
      </c>
      <c r="K492" s="4">
        <f t="shared" ca="1" si="64"/>
        <v>0</v>
      </c>
      <c r="M492" s="21">
        <f t="shared" ca="1" si="70"/>
        <v>51317</v>
      </c>
      <c r="N492" s="37">
        <f t="shared" ca="1" si="65"/>
        <v>0</v>
      </c>
      <c r="O492" s="4">
        <f ca="1">IFERROR(AVERAGEIF(N$5:$N492,"&gt;="&amp;_xlfn.PERCENTILE.EXC(N$5:$N492,0.2)),0)</f>
        <v>0</v>
      </c>
      <c r="Q492" s="21">
        <f t="shared" ca="1" si="71"/>
        <v>51317</v>
      </c>
      <c r="R492" s="37">
        <f t="shared" ca="1" si="66"/>
        <v>0</v>
      </c>
      <c r="S492" s="4">
        <f ca="1">IFERROR(AVERAGE($R$5:R492),0)</f>
        <v>0</v>
      </c>
      <c r="U492" s="21">
        <f t="shared" ca="1" si="67"/>
        <v>51317</v>
      </c>
      <c r="V492" s="4">
        <f ca="1">MIN(S492,PREMISSAS!$C$14)</f>
        <v>0</v>
      </c>
      <c r="W492" s="188"/>
      <c r="X492" s="188"/>
    </row>
    <row r="493" spans="2:24" x14ac:dyDescent="0.3">
      <c r="B493" s="21" t="str">
        <f t="shared" ca="1" si="68"/>
        <v/>
      </c>
      <c r="C493" s="22" t="str">
        <f ca="1">IF(B493="","",IF(LEFT(B493,2)="13",C492,IF(MONTH(B493)=1,C492*(1+PREMISSAS!$C$58),C492)))</f>
        <v/>
      </c>
      <c r="E493" s="18">
        <v>489</v>
      </c>
      <c r="F493" s="21">
        <f t="shared" ca="1" si="69"/>
        <v>51348</v>
      </c>
      <c r="G493" s="22">
        <f ca="1">IFERROR(VLOOKUP(F493,RESULTADOS!$O$5:$P$543,2,FALSE),VLOOKUP(F493,$B$5:$C$842,2,FALSE))</f>
        <v>0</v>
      </c>
      <c r="H493" s="4">
        <f ca="1">IF(F493&lt;PREMISSAS!$D$7,0,IFERROR(VLOOKUP(IF(LEFT(F493,2)="13",DATE(YEAR(F492),12,31),F493),IPCA!$A:$D,4,FALSE),1)*G493)</f>
        <v>0</v>
      </c>
      <c r="J493" s="21">
        <f t="shared" ca="1" si="63"/>
        <v>51348</v>
      </c>
      <c r="K493" s="4">
        <f t="shared" ca="1" si="64"/>
        <v>0</v>
      </c>
      <c r="M493" s="21">
        <f t="shared" ca="1" si="70"/>
        <v>51348</v>
      </c>
      <c r="N493" s="37">
        <f t="shared" ca="1" si="65"/>
        <v>0</v>
      </c>
      <c r="O493" s="4">
        <f ca="1">IFERROR(AVERAGEIF(N$5:$N493,"&gt;="&amp;_xlfn.PERCENTILE.EXC(N$5:$N493,0.2)),0)</f>
        <v>0</v>
      </c>
      <c r="Q493" s="21">
        <f t="shared" ca="1" si="71"/>
        <v>51348</v>
      </c>
      <c r="R493" s="37">
        <f t="shared" ca="1" si="66"/>
        <v>0</v>
      </c>
      <c r="S493" s="4">
        <f ca="1">IFERROR(AVERAGE($R$5:R493),0)</f>
        <v>0</v>
      </c>
      <c r="U493" s="21">
        <f t="shared" ca="1" si="67"/>
        <v>51348</v>
      </c>
      <c r="V493" s="4">
        <f ca="1">MIN(S493,PREMISSAS!$C$14)</f>
        <v>0</v>
      </c>
      <c r="W493" s="188"/>
      <c r="X493" s="188"/>
    </row>
    <row r="494" spans="2:24" x14ac:dyDescent="0.3">
      <c r="B494" s="21" t="str">
        <f t="shared" ca="1" si="68"/>
        <v/>
      </c>
      <c r="C494" s="22" t="str">
        <f ca="1">IF(B494="","",IF(LEFT(B494,2)="13",C493,IF(MONTH(B494)=1,C493*(1+PREMISSAS!$C$58),C493)))</f>
        <v/>
      </c>
      <c r="E494" s="18">
        <v>490</v>
      </c>
      <c r="F494" s="21">
        <f t="shared" ca="1" si="69"/>
        <v>51379</v>
      </c>
      <c r="G494" s="22">
        <f ca="1">IFERROR(VLOOKUP(F494,RESULTADOS!$O$5:$P$543,2,FALSE),VLOOKUP(F494,$B$5:$C$842,2,FALSE))</f>
        <v>0</v>
      </c>
      <c r="H494" s="4">
        <f ca="1">IF(F494&lt;PREMISSAS!$D$7,0,IFERROR(VLOOKUP(IF(LEFT(F494,2)="13",DATE(YEAR(F493),12,31),F494),IPCA!$A:$D,4,FALSE),1)*G494)</f>
        <v>0</v>
      </c>
      <c r="J494" s="21">
        <f t="shared" ca="1" si="63"/>
        <v>51379</v>
      </c>
      <c r="K494" s="4">
        <f t="shared" ca="1" si="64"/>
        <v>0</v>
      </c>
      <c r="M494" s="21">
        <f t="shared" ca="1" si="70"/>
        <v>51379</v>
      </c>
      <c r="N494" s="37">
        <f t="shared" ca="1" si="65"/>
        <v>0</v>
      </c>
      <c r="O494" s="4">
        <f ca="1">IFERROR(AVERAGEIF(N$5:$N494,"&gt;="&amp;_xlfn.PERCENTILE.EXC(N$5:$N494,0.2)),0)</f>
        <v>0</v>
      </c>
      <c r="Q494" s="21">
        <f t="shared" ca="1" si="71"/>
        <v>51379</v>
      </c>
      <c r="R494" s="37">
        <f t="shared" ca="1" si="66"/>
        <v>0</v>
      </c>
      <c r="S494" s="4">
        <f ca="1">IFERROR(AVERAGE($R$5:R494),0)</f>
        <v>0</v>
      </c>
      <c r="U494" s="21">
        <f t="shared" ca="1" si="67"/>
        <v>51379</v>
      </c>
      <c r="V494" s="4">
        <f ca="1">MIN(S494,PREMISSAS!$C$14)</f>
        <v>0</v>
      </c>
      <c r="W494" s="188"/>
      <c r="X494" s="188"/>
    </row>
    <row r="495" spans="2:24" x14ac:dyDescent="0.3">
      <c r="B495" s="21" t="str">
        <f t="shared" ca="1" si="68"/>
        <v/>
      </c>
      <c r="C495" s="22" t="str">
        <f ca="1">IF(B495="","",IF(LEFT(B495,2)="13",C494,IF(MONTH(B495)=1,C494*(1+PREMISSAS!$C$58),C494)))</f>
        <v/>
      </c>
      <c r="E495" s="18">
        <v>491</v>
      </c>
      <c r="F495" s="21">
        <f t="shared" ca="1" si="69"/>
        <v>51409</v>
      </c>
      <c r="G495" s="22">
        <f ca="1">IFERROR(VLOOKUP(F495,RESULTADOS!$O$5:$P$543,2,FALSE),VLOOKUP(F495,$B$5:$C$842,2,FALSE))</f>
        <v>0</v>
      </c>
      <c r="H495" s="4">
        <f ca="1">IF(F495&lt;PREMISSAS!$D$7,0,IFERROR(VLOOKUP(IF(LEFT(F495,2)="13",DATE(YEAR(F494),12,31),F495),IPCA!$A:$D,4,FALSE),1)*G495)</f>
        <v>0</v>
      </c>
      <c r="J495" s="21">
        <f t="shared" ca="1" si="63"/>
        <v>51409</v>
      </c>
      <c r="K495" s="4">
        <f t="shared" ca="1" si="64"/>
        <v>0</v>
      </c>
      <c r="M495" s="21">
        <f t="shared" ca="1" si="70"/>
        <v>51409</v>
      </c>
      <c r="N495" s="37">
        <f t="shared" ca="1" si="65"/>
        <v>0</v>
      </c>
      <c r="O495" s="4">
        <f ca="1">IFERROR(AVERAGEIF(N$5:$N495,"&gt;="&amp;_xlfn.PERCENTILE.EXC(N$5:$N495,0.2)),0)</f>
        <v>0</v>
      </c>
      <c r="Q495" s="21">
        <f t="shared" ca="1" si="71"/>
        <v>51409</v>
      </c>
      <c r="R495" s="37">
        <f t="shared" ca="1" si="66"/>
        <v>0</v>
      </c>
      <c r="S495" s="4">
        <f ca="1">IFERROR(AVERAGE($R$5:R495),0)</f>
        <v>0</v>
      </c>
      <c r="U495" s="21">
        <f t="shared" ca="1" si="67"/>
        <v>51409</v>
      </c>
      <c r="V495" s="4">
        <f ca="1">MIN(S495,PREMISSAS!$C$14)</f>
        <v>0</v>
      </c>
      <c r="W495" s="188"/>
      <c r="X495" s="188"/>
    </row>
    <row r="496" spans="2:24" x14ac:dyDescent="0.3">
      <c r="B496" s="21" t="str">
        <f t="shared" ca="1" si="68"/>
        <v/>
      </c>
      <c r="C496" s="22" t="str">
        <f ca="1">IF(B496="","",IF(LEFT(B496,2)="13",C495,IF(MONTH(B496)=1,C495*(1+PREMISSAS!$C$58),C495)))</f>
        <v/>
      </c>
      <c r="E496" s="18">
        <v>492</v>
      </c>
      <c r="F496" s="21">
        <f t="shared" ca="1" si="69"/>
        <v>51440</v>
      </c>
      <c r="G496" s="22">
        <f ca="1">IFERROR(VLOOKUP(F496,RESULTADOS!$O$5:$P$543,2,FALSE),VLOOKUP(F496,$B$5:$C$842,2,FALSE))</f>
        <v>0</v>
      </c>
      <c r="H496" s="4">
        <f ca="1">IF(F496&lt;PREMISSAS!$D$7,0,IFERROR(VLOOKUP(IF(LEFT(F496,2)="13",DATE(YEAR(F495),12,31),F496),IPCA!$A:$D,4,FALSE),1)*G496)</f>
        <v>0</v>
      </c>
      <c r="J496" s="21">
        <f t="shared" ca="1" si="63"/>
        <v>51440</v>
      </c>
      <c r="K496" s="4">
        <f t="shared" ca="1" si="64"/>
        <v>0</v>
      </c>
      <c r="M496" s="21">
        <f t="shared" ca="1" si="70"/>
        <v>51440</v>
      </c>
      <c r="N496" s="37">
        <f t="shared" ca="1" si="65"/>
        <v>0</v>
      </c>
      <c r="O496" s="4">
        <f ca="1">IFERROR(AVERAGEIF(N$5:$N496,"&gt;="&amp;_xlfn.PERCENTILE.EXC(N$5:$N496,0.2)),0)</f>
        <v>0</v>
      </c>
      <c r="Q496" s="21">
        <f t="shared" ca="1" si="71"/>
        <v>51440</v>
      </c>
      <c r="R496" s="37">
        <f t="shared" ca="1" si="66"/>
        <v>0</v>
      </c>
      <c r="S496" s="4">
        <f ca="1">IFERROR(AVERAGE($R$5:R496),0)</f>
        <v>0</v>
      </c>
      <c r="U496" s="21">
        <f t="shared" ca="1" si="67"/>
        <v>51440</v>
      </c>
      <c r="V496" s="4">
        <f ca="1">MIN(S496,PREMISSAS!$C$14)</f>
        <v>0</v>
      </c>
      <c r="W496" s="188"/>
      <c r="X496" s="188"/>
    </row>
    <row r="497" spans="2:24" x14ac:dyDescent="0.3">
      <c r="B497" s="21" t="str">
        <f t="shared" ca="1" si="68"/>
        <v/>
      </c>
      <c r="C497" s="22" t="str">
        <f ca="1">IF(B497="","",IF(LEFT(B497,2)="13",C496,IF(MONTH(B497)=1,C496*(1+PREMISSAS!$C$58),C496)))</f>
        <v/>
      </c>
      <c r="E497" s="18">
        <v>493</v>
      </c>
      <c r="F497" s="21">
        <f t="shared" ca="1" si="69"/>
        <v>51470</v>
      </c>
      <c r="G497" s="22">
        <f ca="1">IFERROR(VLOOKUP(F497,RESULTADOS!$O$5:$P$543,2,FALSE),VLOOKUP(F497,$B$5:$C$842,2,FALSE))</f>
        <v>0</v>
      </c>
      <c r="H497" s="4">
        <f ca="1">IF(F497&lt;PREMISSAS!$D$7,0,IFERROR(VLOOKUP(IF(LEFT(F497,2)="13",DATE(YEAR(F496),12,31),F497),IPCA!$A:$D,4,FALSE),1)*G497)</f>
        <v>0</v>
      </c>
      <c r="J497" s="21">
        <f t="shared" ca="1" si="63"/>
        <v>51470</v>
      </c>
      <c r="K497" s="4">
        <f t="shared" ca="1" si="64"/>
        <v>0</v>
      </c>
      <c r="M497" s="21">
        <f t="shared" ca="1" si="70"/>
        <v>51470</v>
      </c>
      <c r="N497" s="37">
        <f t="shared" ca="1" si="65"/>
        <v>0</v>
      </c>
      <c r="O497" s="4">
        <f ca="1">IFERROR(AVERAGEIF(N$5:$N497,"&gt;="&amp;_xlfn.PERCENTILE.EXC(N$5:$N497,0.2)),0)</f>
        <v>0</v>
      </c>
      <c r="Q497" s="21">
        <f t="shared" ca="1" si="71"/>
        <v>51470</v>
      </c>
      <c r="R497" s="37">
        <f t="shared" ca="1" si="66"/>
        <v>0</v>
      </c>
      <c r="S497" s="4">
        <f ca="1">IFERROR(AVERAGE($R$5:R497),0)</f>
        <v>0</v>
      </c>
      <c r="U497" s="21">
        <f t="shared" ca="1" si="67"/>
        <v>51470</v>
      </c>
      <c r="V497" s="4">
        <f ca="1">MIN(S497,PREMISSAS!$C$14)</f>
        <v>0</v>
      </c>
      <c r="W497" s="188"/>
      <c r="X497" s="188"/>
    </row>
    <row r="498" spans="2:24" x14ac:dyDescent="0.3">
      <c r="B498" s="21" t="str">
        <f t="shared" ca="1" si="68"/>
        <v/>
      </c>
      <c r="C498" s="22" t="str">
        <f ca="1">IF(B498="","",IF(LEFT(B498,2)="13",C497,IF(MONTH(B498)=1,C497*(1+PREMISSAS!$C$58),C497)))</f>
        <v/>
      </c>
      <c r="E498" s="18">
        <v>494</v>
      </c>
      <c r="F498" s="21" t="str">
        <f t="shared" ca="1" si="69"/>
        <v>13º 2040</v>
      </c>
      <c r="G498" s="22">
        <f ca="1">IFERROR(VLOOKUP(F498,RESULTADOS!$O$5:$P$543,2,FALSE),VLOOKUP(F498,$B$5:$C$842,2,FALSE))</f>
        <v>0</v>
      </c>
      <c r="H498" s="4">
        <f ca="1">IF(F498&lt;PREMISSAS!$D$7,0,IFERROR(VLOOKUP(IF(LEFT(F498,2)="13",DATE(YEAR(F497),12,31),F498),IPCA!$A:$D,4,FALSE),1)*G498)</f>
        <v>0</v>
      </c>
      <c r="J498" s="21" t="str">
        <f t="shared" ca="1" si="63"/>
        <v>13º 2040</v>
      </c>
      <c r="K498" s="4">
        <f t="shared" ca="1" si="64"/>
        <v>0</v>
      </c>
      <c r="M498" s="21" t="str">
        <f t="shared" ca="1" si="70"/>
        <v>13º 2040</v>
      </c>
      <c r="N498" s="37">
        <f t="shared" ca="1" si="65"/>
        <v>0</v>
      </c>
      <c r="O498" s="4">
        <f ca="1">IFERROR(AVERAGEIF(N$5:$N498,"&gt;="&amp;_xlfn.PERCENTILE.EXC(N$5:$N498,0.2)),0)</f>
        <v>0</v>
      </c>
      <c r="Q498" s="21" t="str">
        <f t="shared" ca="1" si="71"/>
        <v>13º 2040</v>
      </c>
      <c r="R498" s="37">
        <f t="shared" ca="1" si="66"/>
        <v>0</v>
      </c>
      <c r="S498" s="4">
        <f ca="1">IFERROR(AVERAGE($R$5:R498),0)</f>
        <v>0</v>
      </c>
      <c r="U498" s="21" t="str">
        <f t="shared" ca="1" si="67"/>
        <v>13º 2040</v>
      </c>
      <c r="V498" s="4">
        <f ca="1">MIN(S498,PREMISSAS!$C$14)</f>
        <v>0</v>
      </c>
      <c r="W498" s="188"/>
      <c r="X498" s="188"/>
    </row>
    <row r="499" spans="2:24" x14ac:dyDescent="0.3">
      <c r="B499" s="21" t="str">
        <f t="shared" ca="1" si="68"/>
        <v/>
      </c>
      <c r="C499" s="22" t="str">
        <f ca="1">IF(B499="","",IF(LEFT(B499,2)="13",C498,IF(MONTH(B499)=1,C498*(1+PREMISSAS!$C$58),C498)))</f>
        <v/>
      </c>
      <c r="E499" s="18">
        <v>495</v>
      </c>
      <c r="F499" s="21">
        <f t="shared" ca="1" si="69"/>
        <v>51501</v>
      </c>
      <c r="G499" s="22">
        <f ca="1">IFERROR(VLOOKUP(F499,RESULTADOS!$O$5:$P$543,2,FALSE),VLOOKUP(F499,$B$5:$C$842,2,FALSE))</f>
        <v>0</v>
      </c>
      <c r="H499" s="4">
        <f ca="1">IF(F499&lt;PREMISSAS!$D$7,0,IFERROR(VLOOKUP(IF(LEFT(F499,2)="13",DATE(YEAR(F498),12,31),F499),IPCA!$A:$D,4,FALSE),1)*G499)</f>
        <v>0</v>
      </c>
      <c r="J499" s="21">
        <f t="shared" ca="1" si="63"/>
        <v>51501</v>
      </c>
      <c r="K499" s="4">
        <f t="shared" ca="1" si="64"/>
        <v>0</v>
      </c>
      <c r="M499" s="21">
        <f t="shared" ca="1" si="70"/>
        <v>51501</v>
      </c>
      <c r="N499" s="37">
        <f t="shared" ca="1" si="65"/>
        <v>0</v>
      </c>
      <c r="O499" s="4">
        <f ca="1">IFERROR(AVERAGEIF(N$5:$N499,"&gt;="&amp;_xlfn.PERCENTILE.EXC(N$5:$N499,0.2)),0)</f>
        <v>0</v>
      </c>
      <c r="Q499" s="21">
        <f t="shared" ca="1" si="71"/>
        <v>51501</v>
      </c>
      <c r="R499" s="37">
        <f t="shared" ca="1" si="66"/>
        <v>0</v>
      </c>
      <c r="S499" s="4">
        <f ca="1">IFERROR(AVERAGE($R$5:R499),0)</f>
        <v>0</v>
      </c>
      <c r="U499" s="21">
        <f t="shared" ca="1" si="67"/>
        <v>51501</v>
      </c>
      <c r="V499" s="4">
        <f ca="1">MIN(S499,PREMISSAS!$C$14)</f>
        <v>0</v>
      </c>
      <c r="W499" s="188"/>
      <c r="X499" s="188"/>
    </row>
    <row r="500" spans="2:24" x14ac:dyDescent="0.3">
      <c r="B500" s="21" t="str">
        <f t="shared" ca="1" si="68"/>
        <v/>
      </c>
      <c r="C500" s="22" t="str">
        <f ca="1">IF(B500="","",IF(LEFT(B500,2)="13",C499,IF(MONTH(B500)=1,C499*(1+PREMISSAS!$C$58),C499)))</f>
        <v/>
      </c>
      <c r="E500" s="18">
        <v>496</v>
      </c>
      <c r="F500" s="21">
        <f t="shared" ca="1" si="69"/>
        <v>51532</v>
      </c>
      <c r="G500" s="22">
        <f ca="1">IFERROR(VLOOKUP(F500,RESULTADOS!$O$5:$P$543,2,FALSE),VLOOKUP(F500,$B$5:$C$842,2,FALSE))</f>
        <v>0</v>
      </c>
      <c r="H500" s="4">
        <f ca="1">IF(F500&lt;PREMISSAS!$D$7,0,IFERROR(VLOOKUP(IF(LEFT(F500,2)="13",DATE(YEAR(F499),12,31),F500),IPCA!$A:$D,4,FALSE),1)*G500)</f>
        <v>0</v>
      </c>
      <c r="J500" s="21">
        <f t="shared" ca="1" si="63"/>
        <v>51532</v>
      </c>
      <c r="K500" s="4">
        <f t="shared" ca="1" si="64"/>
        <v>0</v>
      </c>
      <c r="M500" s="21">
        <f t="shared" ca="1" si="70"/>
        <v>51532</v>
      </c>
      <c r="N500" s="37">
        <f t="shared" ca="1" si="65"/>
        <v>0</v>
      </c>
      <c r="O500" s="4">
        <f ca="1">IFERROR(AVERAGEIF(N$5:$N500,"&gt;="&amp;_xlfn.PERCENTILE.EXC(N$5:$N500,0.2)),0)</f>
        <v>0</v>
      </c>
      <c r="Q500" s="21">
        <f t="shared" ca="1" si="71"/>
        <v>51532</v>
      </c>
      <c r="R500" s="37">
        <f t="shared" ca="1" si="66"/>
        <v>0</v>
      </c>
      <c r="S500" s="4">
        <f ca="1">IFERROR(AVERAGE($R$5:R500),0)</f>
        <v>0</v>
      </c>
      <c r="U500" s="21">
        <f t="shared" ca="1" si="67"/>
        <v>51532</v>
      </c>
      <c r="V500" s="4">
        <f ca="1">MIN(S500,PREMISSAS!$C$14)</f>
        <v>0</v>
      </c>
      <c r="W500" s="188"/>
      <c r="X500" s="188"/>
    </row>
    <row r="501" spans="2:24" x14ac:dyDescent="0.3">
      <c r="B501" s="21" t="str">
        <f t="shared" ca="1" si="68"/>
        <v/>
      </c>
      <c r="C501" s="22" t="str">
        <f ca="1">IF(B501="","",IF(LEFT(B501,2)="13",C500,IF(MONTH(B501)=1,C500*(1+PREMISSAS!$C$58),C500)))</f>
        <v/>
      </c>
      <c r="E501" s="18">
        <v>497</v>
      </c>
      <c r="F501" s="21">
        <f t="shared" ca="1" si="69"/>
        <v>51560</v>
      </c>
      <c r="G501" s="22">
        <f ca="1">IFERROR(VLOOKUP(F501,RESULTADOS!$O$5:$P$543,2,FALSE),VLOOKUP(F501,$B$5:$C$842,2,FALSE))</f>
        <v>0</v>
      </c>
      <c r="H501" s="4">
        <f ca="1">IF(F501&lt;PREMISSAS!$D$7,0,IFERROR(VLOOKUP(IF(LEFT(F501,2)="13",DATE(YEAR(F500),12,31),F501),IPCA!$A:$D,4,FALSE),1)*G501)</f>
        <v>0</v>
      </c>
      <c r="J501" s="21">
        <f t="shared" ca="1" si="63"/>
        <v>51560</v>
      </c>
      <c r="K501" s="4">
        <f t="shared" ca="1" si="64"/>
        <v>0</v>
      </c>
      <c r="M501" s="21">
        <f t="shared" ca="1" si="70"/>
        <v>51560</v>
      </c>
      <c r="N501" s="37">
        <f t="shared" ca="1" si="65"/>
        <v>0</v>
      </c>
      <c r="O501" s="4">
        <f ca="1">IFERROR(AVERAGEIF(N$5:$N501,"&gt;="&amp;_xlfn.PERCENTILE.EXC(N$5:$N501,0.2)),0)</f>
        <v>0</v>
      </c>
      <c r="Q501" s="21">
        <f t="shared" ca="1" si="71"/>
        <v>51560</v>
      </c>
      <c r="R501" s="37">
        <f t="shared" ca="1" si="66"/>
        <v>0</v>
      </c>
      <c r="S501" s="4">
        <f ca="1">IFERROR(AVERAGE($R$5:R501),0)</f>
        <v>0</v>
      </c>
      <c r="U501" s="21">
        <f t="shared" ca="1" si="67"/>
        <v>51560</v>
      </c>
      <c r="V501" s="4">
        <f ca="1">MIN(S501,PREMISSAS!$C$14)</f>
        <v>0</v>
      </c>
      <c r="W501" s="188"/>
      <c r="X501" s="188"/>
    </row>
    <row r="502" spans="2:24" x14ac:dyDescent="0.3">
      <c r="B502" s="21" t="str">
        <f t="shared" ca="1" si="68"/>
        <v/>
      </c>
      <c r="C502" s="22" t="str">
        <f ca="1">IF(B502="","",IF(LEFT(B502,2)="13",C501,IF(MONTH(B502)=1,C501*(1+PREMISSAS!$C$58),C501)))</f>
        <v/>
      </c>
      <c r="E502" s="18">
        <v>498</v>
      </c>
      <c r="F502" s="21">
        <f t="shared" ca="1" si="69"/>
        <v>51591</v>
      </c>
      <c r="G502" s="22">
        <f ca="1">IFERROR(VLOOKUP(F502,RESULTADOS!$O$5:$P$543,2,FALSE),VLOOKUP(F502,$B$5:$C$842,2,FALSE))</f>
        <v>0</v>
      </c>
      <c r="H502" s="4">
        <f ca="1">IF(F502&lt;PREMISSAS!$D$7,0,IFERROR(VLOOKUP(IF(LEFT(F502,2)="13",DATE(YEAR(F501),12,31),F502),IPCA!$A:$D,4,FALSE),1)*G502)</f>
        <v>0</v>
      </c>
      <c r="J502" s="21">
        <f t="shared" ca="1" si="63"/>
        <v>51591</v>
      </c>
      <c r="K502" s="4">
        <f t="shared" ca="1" si="64"/>
        <v>0</v>
      </c>
      <c r="M502" s="21">
        <f t="shared" ca="1" si="70"/>
        <v>51591</v>
      </c>
      <c r="N502" s="37">
        <f t="shared" ca="1" si="65"/>
        <v>0</v>
      </c>
      <c r="O502" s="4">
        <f ca="1">IFERROR(AVERAGEIF(N$5:$N502,"&gt;="&amp;_xlfn.PERCENTILE.EXC(N$5:$N502,0.2)),0)</f>
        <v>0</v>
      </c>
      <c r="Q502" s="21">
        <f t="shared" ca="1" si="71"/>
        <v>51591</v>
      </c>
      <c r="R502" s="37">
        <f t="shared" ca="1" si="66"/>
        <v>0</v>
      </c>
      <c r="S502" s="4">
        <f ca="1">IFERROR(AVERAGE($R$5:R502),0)</f>
        <v>0</v>
      </c>
      <c r="U502" s="21">
        <f t="shared" ca="1" si="67"/>
        <v>51591</v>
      </c>
      <c r="V502" s="4">
        <f ca="1">MIN(S502,PREMISSAS!$C$14)</f>
        <v>0</v>
      </c>
      <c r="W502" s="188"/>
      <c r="X502" s="188"/>
    </row>
    <row r="503" spans="2:24" x14ac:dyDescent="0.3">
      <c r="B503" s="21" t="str">
        <f t="shared" ca="1" si="68"/>
        <v/>
      </c>
      <c r="C503" s="22" t="str">
        <f ca="1">IF(B503="","",IF(LEFT(B503,2)="13",C502,IF(MONTH(B503)=1,C502*(1+PREMISSAS!$C$58),C502)))</f>
        <v/>
      </c>
      <c r="E503" s="18">
        <v>499</v>
      </c>
      <c r="F503" s="21">
        <f t="shared" ca="1" si="69"/>
        <v>51621</v>
      </c>
      <c r="G503" s="22">
        <f ca="1">IFERROR(VLOOKUP(F503,RESULTADOS!$O$5:$P$543,2,FALSE),VLOOKUP(F503,$B$5:$C$842,2,FALSE))</f>
        <v>0</v>
      </c>
      <c r="H503" s="4">
        <f ca="1">IF(F503&lt;PREMISSAS!$D$7,0,IFERROR(VLOOKUP(IF(LEFT(F503,2)="13",DATE(YEAR(F502),12,31),F503),IPCA!$A:$D,4,FALSE),1)*G503)</f>
        <v>0</v>
      </c>
      <c r="J503" s="21">
        <f t="shared" ca="1" si="63"/>
        <v>51621</v>
      </c>
      <c r="K503" s="4">
        <f t="shared" ca="1" si="64"/>
        <v>0</v>
      </c>
      <c r="M503" s="21">
        <f t="shared" ca="1" si="70"/>
        <v>51621</v>
      </c>
      <c r="N503" s="37">
        <f t="shared" ca="1" si="65"/>
        <v>0</v>
      </c>
      <c r="O503" s="4">
        <f ca="1">IFERROR(AVERAGEIF(N$5:$N503,"&gt;="&amp;_xlfn.PERCENTILE.EXC(N$5:$N503,0.2)),0)</f>
        <v>0</v>
      </c>
      <c r="Q503" s="21">
        <f t="shared" ca="1" si="71"/>
        <v>51621</v>
      </c>
      <c r="R503" s="37">
        <f t="shared" ca="1" si="66"/>
        <v>0</v>
      </c>
      <c r="S503" s="4">
        <f ca="1">IFERROR(AVERAGE($R$5:R503),0)</f>
        <v>0</v>
      </c>
      <c r="U503" s="21">
        <f t="shared" ca="1" si="67"/>
        <v>51621</v>
      </c>
      <c r="V503" s="4">
        <f ca="1">MIN(S503,PREMISSAS!$C$14)</f>
        <v>0</v>
      </c>
      <c r="W503" s="188"/>
      <c r="X503" s="188"/>
    </row>
    <row r="504" spans="2:24" x14ac:dyDescent="0.3">
      <c r="B504" s="21" t="str">
        <f t="shared" ca="1" si="68"/>
        <v/>
      </c>
      <c r="C504" s="22" t="str">
        <f ca="1">IF(B504="","",IF(LEFT(B504,2)="13",C503,IF(MONTH(B504)=1,C503*(1+PREMISSAS!$C$58),C503)))</f>
        <v/>
      </c>
      <c r="E504" s="18">
        <v>500</v>
      </c>
      <c r="F504" s="21">
        <f t="shared" ca="1" si="69"/>
        <v>51652</v>
      </c>
      <c r="G504" s="22">
        <f ca="1">IFERROR(VLOOKUP(F504,RESULTADOS!$O$5:$P$543,2,FALSE),VLOOKUP(F504,$B$5:$C$842,2,FALSE))</f>
        <v>0</v>
      </c>
      <c r="H504" s="4">
        <f ca="1">IF(F504&lt;PREMISSAS!$D$7,0,IFERROR(VLOOKUP(IF(LEFT(F504,2)="13",DATE(YEAR(F503),12,31),F504),IPCA!$A:$D,4,FALSE),1)*G504)</f>
        <v>0</v>
      </c>
      <c r="J504" s="21">
        <f t="shared" ca="1" si="63"/>
        <v>51652</v>
      </c>
      <c r="K504" s="4">
        <f t="shared" ca="1" si="64"/>
        <v>0</v>
      </c>
      <c r="M504" s="21">
        <f t="shared" ca="1" si="70"/>
        <v>51652</v>
      </c>
      <c r="N504" s="37">
        <f t="shared" ca="1" si="65"/>
        <v>0</v>
      </c>
      <c r="O504" s="4">
        <f ca="1">IFERROR(AVERAGEIF(N$5:$N504,"&gt;="&amp;_xlfn.PERCENTILE.EXC(N$5:$N504,0.2)),0)</f>
        <v>0</v>
      </c>
      <c r="Q504" s="21">
        <f t="shared" ca="1" si="71"/>
        <v>51652</v>
      </c>
      <c r="R504" s="37">
        <f t="shared" ca="1" si="66"/>
        <v>0</v>
      </c>
      <c r="S504" s="4">
        <f ca="1">IFERROR(AVERAGE($R$5:R504),0)</f>
        <v>0</v>
      </c>
      <c r="U504" s="21">
        <f t="shared" ca="1" si="67"/>
        <v>51652</v>
      </c>
      <c r="V504" s="4">
        <f ca="1">MIN(S504,PREMISSAS!$C$14)</f>
        <v>0</v>
      </c>
      <c r="W504" s="188"/>
      <c r="X504" s="188"/>
    </row>
    <row r="505" spans="2:24" x14ac:dyDescent="0.3">
      <c r="B505" s="21" t="str">
        <f t="shared" ca="1" si="68"/>
        <v/>
      </c>
      <c r="C505" s="22" t="str">
        <f ca="1">IF(B505="","",IF(LEFT(B505,2)="13",C504,IF(MONTH(B505)=1,C504*(1+PREMISSAS!$C$58),C504)))</f>
        <v/>
      </c>
      <c r="E505" s="18">
        <v>501</v>
      </c>
      <c r="F505" s="21">
        <f t="shared" ca="1" si="69"/>
        <v>51682</v>
      </c>
      <c r="G505" s="22">
        <f ca="1">IFERROR(VLOOKUP(F505,RESULTADOS!$O$5:$P$543,2,FALSE),VLOOKUP(F505,$B$5:$C$842,2,FALSE))</f>
        <v>0</v>
      </c>
      <c r="H505" s="4">
        <f ca="1">IF(F505&lt;PREMISSAS!$D$7,0,IFERROR(VLOOKUP(IF(LEFT(F505,2)="13",DATE(YEAR(F504),12,31),F505),IPCA!$A:$D,4,FALSE),1)*G505)</f>
        <v>0</v>
      </c>
      <c r="J505" s="21">
        <f t="shared" ca="1" si="63"/>
        <v>51682</v>
      </c>
      <c r="K505" s="4">
        <f t="shared" ca="1" si="64"/>
        <v>0</v>
      </c>
      <c r="M505" s="21">
        <f t="shared" ca="1" si="70"/>
        <v>51682</v>
      </c>
      <c r="N505" s="37">
        <f t="shared" ca="1" si="65"/>
        <v>0</v>
      </c>
      <c r="O505" s="4">
        <f ca="1">IFERROR(AVERAGEIF(N$5:$N505,"&gt;="&amp;_xlfn.PERCENTILE.EXC(N$5:$N505,0.2)),0)</f>
        <v>0</v>
      </c>
      <c r="Q505" s="21">
        <f t="shared" ca="1" si="71"/>
        <v>51682</v>
      </c>
      <c r="R505" s="37">
        <f t="shared" ca="1" si="66"/>
        <v>0</v>
      </c>
      <c r="S505" s="4">
        <f ca="1">IFERROR(AVERAGE($R$5:R505),0)</f>
        <v>0</v>
      </c>
      <c r="U505" s="21">
        <f t="shared" ca="1" si="67"/>
        <v>51682</v>
      </c>
      <c r="V505" s="4">
        <f ca="1">MIN(S505,PREMISSAS!$C$14)</f>
        <v>0</v>
      </c>
      <c r="W505" s="188"/>
      <c r="X505" s="188"/>
    </row>
    <row r="506" spans="2:24" x14ac:dyDescent="0.3">
      <c r="B506" s="21" t="str">
        <f t="shared" ca="1" si="68"/>
        <v/>
      </c>
      <c r="C506" s="22" t="str">
        <f ca="1">IF(B506="","",IF(LEFT(B506,2)="13",C505,IF(MONTH(B506)=1,C505*(1+PREMISSAS!$C$58),C505)))</f>
        <v/>
      </c>
      <c r="E506" s="18">
        <v>502</v>
      </c>
      <c r="F506" s="21">
        <f t="shared" ca="1" si="69"/>
        <v>51713</v>
      </c>
      <c r="G506" s="22">
        <f ca="1">IFERROR(VLOOKUP(F506,RESULTADOS!$O$5:$P$543,2,FALSE),VLOOKUP(F506,$B$5:$C$842,2,FALSE))</f>
        <v>0</v>
      </c>
      <c r="H506" s="4">
        <f ca="1">IF(F506&lt;PREMISSAS!$D$7,0,IFERROR(VLOOKUP(IF(LEFT(F506,2)="13",DATE(YEAR(F505),12,31),F506),IPCA!$A:$D,4,FALSE),1)*G506)</f>
        <v>0</v>
      </c>
      <c r="J506" s="21">
        <f t="shared" ca="1" si="63"/>
        <v>51713</v>
      </c>
      <c r="K506" s="4">
        <f t="shared" ca="1" si="64"/>
        <v>0</v>
      </c>
      <c r="M506" s="21">
        <f t="shared" ca="1" si="70"/>
        <v>51713</v>
      </c>
      <c r="N506" s="37">
        <f t="shared" ca="1" si="65"/>
        <v>0</v>
      </c>
      <c r="O506" s="4">
        <f ca="1">IFERROR(AVERAGEIF(N$5:$N506,"&gt;="&amp;_xlfn.PERCENTILE.EXC(N$5:$N506,0.2)),0)</f>
        <v>0</v>
      </c>
      <c r="Q506" s="21">
        <f t="shared" ca="1" si="71"/>
        <v>51713</v>
      </c>
      <c r="R506" s="37">
        <f t="shared" ca="1" si="66"/>
        <v>0</v>
      </c>
      <c r="S506" s="4">
        <f ca="1">IFERROR(AVERAGE($R$5:R506),0)</f>
        <v>0</v>
      </c>
      <c r="U506" s="21">
        <f t="shared" ca="1" si="67"/>
        <v>51713</v>
      </c>
      <c r="V506" s="4">
        <f ca="1">MIN(S506,PREMISSAS!$C$14)</f>
        <v>0</v>
      </c>
      <c r="W506" s="188"/>
      <c r="X506" s="188"/>
    </row>
    <row r="507" spans="2:24" x14ac:dyDescent="0.3">
      <c r="B507" s="21" t="str">
        <f t="shared" ca="1" si="68"/>
        <v/>
      </c>
      <c r="C507" s="22" t="str">
        <f ca="1">IF(B507="","",IF(LEFT(B507,2)="13",C506,IF(MONTH(B507)=1,C506*(1+PREMISSAS!$C$58),C506)))</f>
        <v/>
      </c>
      <c r="E507" s="18">
        <v>503</v>
      </c>
      <c r="F507" s="21">
        <f t="shared" ca="1" si="69"/>
        <v>51744</v>
      </c>
      <c r="G507" s="22">
        <f ca="1">IFERROR(VLOOKUP(F507,RESULTADOS!$O$5:$P$543,2,FALSE),VLOOKUP(F507,$B$5:$C$842,2,FALSE))</f>
        <v>0</v>
      </c>
      <c r="H507" s="4">
        <f ca="1">IF(F507&lt;PREMISSAS!$D$7,0,IFERROR(VLOOKUP(IF(LEFT(F507,2)="13",DATE(YEAR(F506),12,31),F507),IPCA!$A:$D,4,FALSE),1)*G507)</f>
        <v>0</v>
      </c>
      <c r="J507" s="21">
        <f t="shared" ca="1" si="63"/>
        <v>51744</v>
      </c>
      <c r="K507" s="4">
        <f t="shared" ca="1" si="64"/>
        <v>0</v>
      </c>
      <c r="M507" s="21">
        <f t="shared" ca="1" si="70"/>
        <v>51744</v>
      </c>
      <c r="N507" s="37">
        <f t="shared" ca="1" si="65"/>
        <v>0</v>
      </c>
      <c r="O507" s="4">
        <f ca="1">IFERROR(AVERAGEIF(N$5:$N507,"&gt;="&amp;_xlfn.PERCENTILE.EXC(N$5:$N507,0.2)),0)</f>
        <v>0</v>
      </c>
      <c r="Q507" s="21">
        <f t="shared" ca="1" si="71"/>
        <v>51744</v>
      </c>
      <c r="R507" s="37">
        <f t="shared" ca="1" si="66"/>
        <v>0</v>
      </c>
      <c r="S507" s="4">
        <f ca="1">IFERROR(AVERAGE($R$5:R507),0)</f>
        <v>0</v>
      </c>
      <c r="U507" s="21">
        <f t="shared" ca="1" si="67"/>
        <v>51744</v>
      </c>
      <c r="V507" s="4">
        <f ca="1">MIN(S507,PREMISSAS!$C$14)</f>
        <v>0</v>
      </c>
      <c r="W507" s="188"/>
      <c r="X507" s="188"/>
    </row>
    <row r="508" spans="2:24" x14ac:dyDescent="0.3">
      <c r="B508" s="21" t="str">
        <f t="shared" ca="1" si="68"/>
        <v/>
      </c>
      <c r="C508" s="22" t="str">
        <f ca="1">IF(B508="","",IF(LEFT(B508,2)="13",C507,IF(MONTH(B508)=1,C507*(1+PREMISSAS!$C$58),C507)))</f>
        <v/>
      </c>
      <c r="E508" s="18">
        <v>504</v>
      </c>
      <c r="F508" s="21">
        <f t="shared" ca="1" si="69"/>
        <v>51774</v>
      </c>
      <c r="G508" s="22">
        <f ca="1">IFERROR(VLOOKUP(F508,RESULTADOS!$O$5:$P$543,2,FALSE),VLOOKUP(F508,$B$5:$C$842,2,FALSE))</f>
        <v>0</v>
      </c>
      <c r="H508" s="4">
        <f ca="1">IF(F508&lt;PREMISSAS!$D$7,0,IFERROR(VLOOKUP(IF(LEFT(F508,2)="13",DATE(YEAR(F507),12,31),F508),IPCA!$A:$D,4,FALSE),1)*G508)</f>
        <v>0</v>
      </c>
      <c r="J508" s="21">
        <f t="shared" ca="1" si="63"/>
        <v>51774</v>
      </c>
      <c r="K508" s="4">
        <f t="shared" ca="1" si="64"/>
        <v>0</v>
      </c>
      <c r="M508" s="21">
        <f t="shared" ca="1" si="70"/>
        <v>51774</v>
      </c>
      <c r="N508" s="37">
        <f t="shared" ca="1" si="65"/>
        <v>0</v>
      </c>
      <c r="O508" s="4">
        <f ca="1">IFERROR(AVERAGEIF(N$5:$N508,"&gt;="&amp;_xlfn.PERCENTILE.EXC(N$5:$N508,0.2)),0)</f>
        <v>0</v>
      </c>
      <c r="Q508" s="21">
        <f t="shared" ca="1" si="71"/>
        <v>51774</v>
      </c>
      <c r="R508" s="37">
        <f t="shared" ca="1" si="66"/>
        <v>0</v>
      </c>
      <c r="S508" s="4">
        <f ca="1">IFERROR(AVERAGE($R$5:R508),0)</f>
        <v>0</v>
      </c>
      <c r="U508" s="21">
        <f t="shared" ca="1" si="67"/>
        <v>51774</v>
      </c>
      <c r="V508" s="4">
        <f ca="1">MIN(S508,PREMISSAS!$C$14)</f>
        <v>0</v>
      </c>
      <c r="W508" s="188"/>
      <c r="X508" s="188"/>
    </row>
    <row r="509" spans="2:24" x14ac:dyDescent="0.3">
      <c r="B509" s="21" t="str">
        <f t="shared" ca="1" si="68"/>
        <v/>
      </c>
      <c r="C509" s="22" t="str">
        <f ca="1">IF(B509="","",IF(LEFT(B509,2)="13",C508,IF(MONTH(B509)=1,C508*(1+PREMISSAS!$C$58),C508)))</f>
        <v/>
      </c>
      <c r="E509" s="18">
        <v>505</v>
      </c>
      <c r="F509" s="21">
        <f t="shared" ca="1" si="69"/>
        <v>51805</v>
      </c>
      <c r="G509" s="22">
        <f ca="1">IFERROR(VLOOKUP(F509,RESULTADOS!$O$5:$P$543,2,FALSE),VLOOKUP(F509,$B$5:$C$842,2,FALSE))</f>
        <v>0</v>
      </c>
      <c r="H509" s="4">
        <f ca="1">IF(F509&lt;PREMISSAS!$D$7,0,IFERROR(VLOOKUP(IF(LEFT(F509,2)="13",DATE(YEAR(F508),12,31),F509),IPCA!$A:$D,4,FALSE),1)*G509)</f>
        <v>0</v>
      </c>
      <c r="J509" s="21">
        <f t="shared" ca="1" si="63"/>
        <v>51805</v>
      </c>
      <c r="K509" s="4">
        <f t="shared" ca="1" si="64"/>
        <v>0</v>
      </c>
      <c r="M509" s="21">
        <f t="shared" ca="1" si="70"/>
        <v>51805</v>
      </c>
      <c r="N509" s="37">
        <f t="shared" ca="1" si="65"/>
        <v>0</v>
      </c>
      <c r="O509" s="4">
        <f ca="1">IFERROR(AVERAGEIF(N$5:$N509,"&gt;="&amp;_xlfn.PERCENTILE.EXC(N$5:$N509,0.2)),0)</f>
        <v>0</v>
      </c>
      <c r="Q509" s="21">
        <f t="shared" ca="1" si="71"/>
        <v>51805</v>
      </c>
      <c r="R509" s="37">
        <f t="shared" ca="1" si="66"/>
        <v>0</v>
      </c>
      <c r="S509" s="4">
        <f ca="1">IFERROR(AVERAGE($R$5:R509),0)</f>
        <v>0</v>
      </c>
      <c r="U509" s="21">
        <f t="shared" ca="1" si="67"/>
        <v>51805</v>
      </c>
      <c r="V509" s="4">
        <f ca="1">MIN(S509,PREMISSAS!$C$14)</f>
        <v>0</v>
      </c>
      <c r="W509" s="188"/>
      <c r="X509" s="188"/>
    </row>
    <row r="510" spans="2:24" x14ac:dyDescent="0.3">
      <c r="B510" s="21" t="str">
        <f t="shared" ca="1" si="68"/>
        <v/>
      </c>
      <c r="C510" s="22" t="str">
        <f ca="1">IF(B510="","",IF(LEFT(B510,2)="13",C509,IF(MONTH(B510)=1,C509*(1+PREMISSAS!$C$58),C509)))</f>
        <v/>
      </c>
      <c r="E510" s="18">
        <v>506</v>
      </c>
      <c r="F510" s="21">
        <f t="shared" ca="1" si="69"/>
        <v>51835</v>
      </c>
      <c r="G510" s="22">
        <f ca="1">IFERROR(VLOOKUP(F510,RESULTADOS!$O$5:$P$543,2,FALSE),VLOOKUP(F510,$B$5:$C$842,2,FALSE))</f>
        <v>0</v>
      </c>
      <c r="H510" s="4">
        <f ca="1">IF(F510&lt;PREMISSAS!$D$7,0,IFERROR(VLOOKUP(IF(LEFT(F510,2)="13",DATE(YEAR(F509),12,31),F510),IPCA!$A:$D,4,FALSE),1)*G510)</f>
        <v>0</v>
      </c>
      <c r="J510" s="21">
        <f t="shared" ca="1" si="63"/>
        <v>51835</v>
      </c>
      <c r="K510" s="4">
        <f t="shared" ca="1" si="64"/>
        <v>0</v>
      </c>
      <c r="M510" s="21">
        <f t="shared" ca="1" si="70"/>
        <v>51835</v>
      </c>
      <c r="N510" s="37">
        <f t="shared" ca="1" si="65"/>
        <v>0</v>
      </c>
      <c r="O510" s="4">
        <f ca="1">IFERROR(AVERAGEIF(N$5:$N510,"&gt;="&amp;_xlfn.PERCENTILE.EXC(N$5:$N510,0.2)),0)</f>
        <v>0</v>
      </c>
      <c r="Q510" s="21">
        <f t="shared" ca="1" si="71"/>
        <v>51835</v>
      </c>
      <c r="R510" s="37">
        <f t="shared" ca="1" si="66"/>
        <v>0</v>
      </c>
      <c r="S510" s="4">
        <f ca="1">IFERROR(AVERAGE($R$5:R510),0)</f>
        <v>0</v>
      </c>
      <c r="U510" s="21">
        <f t="shared" ca="1" si="67"/>
        <v>51835</v>
      </c>
      <c r="V510" s="4">
        <f ca="1">MIN(S510,PREMISSAS!$C$14)</f>
        <v>0</v>
      </c>
      <c r="W510" s="188"/>
      <c r="X510" s="188"/>
    </row>
    <row r="511" spans="2:24" x14ac:dyDescent="0.3">
      <c r="B511" s="21" t="str">
        <f t="shared" ca="1" si="68"/>
        <v/>
      </c>
      <c r="C511" s="22" t="str">
        <f ca="1">IF(B511="","",IF(LEFT(B511,2)="13",C510,IF(MONTH(B511)=1,C510*(1+PREMISSAS!$C$58),C510)))</f>
        <v/>
      </c>
      <c r="E511" s="18">
        <v>507</v>
      </c>
      <c r="F511" s="21" t="str">
        <f t="shared" ca="1" si="69"/>
        <v>13º 2041</v>
      </c>
      <c r="G511" s="22">
        <f ca="1">IFERROR(VLOOKUP(F511,RESULTADOS!$O$5:$P$543,2,FALSE),VLOOKUP(F511,$B$5:$C$842,2,FALSE))</f>
        <v>0</v>
      </c>
      <c r="H511" s="4">
        <f ca="1">IF(F511&lt;PREMISSAS!$D$7,0,IFERROR(VLOOKUP(IF(LEFT(F511,2)="13",DATE(YEAR(F510),12,31),F511),IPCA!$A:$D,4,FALSE),1)*G511)</f>
        <v>0</v>
      </c>
      <c r="J511" s="21" t="str">
        <f t="shared" ca="1" si="63"/>
        <v>13º 2041</v>
      </c>
      <c r="K511" s="4">
        <f t="shared" ca="1" si="64"/>
        <v>0</v>
      </c>
      <c r="M511" s="21" t="str">
        <f t="shared" ca="1" si="70"/>
        <v>13º 2041</v>
      </c>
      <c r="N511" s="37">
        <f t="shared" ca="1" si="65"/>
        <v>0</v>
      </c>
      <c r="O511" s="4">
        <f ca="1">IFERROR(AVERAGEIF(N$5:$N511,"&gt;="&amp;_xlfn.PERCENTILE.EXC(N$5:$N511,0.2)),0)</f>
        <v>0</v>
      </c>
      <c r="Q511" s="21" t="str">
        <f t="shared" ca="1" si="71"/>
        <v>13º 2041</v>
      </c>
      <c r="R511" s="37">
        <f t="shared" ca="1" si="66"/>
        <v>0</v>
      </c>
      <c r="S511" s="4">
        <f ca="1">IFERROR(AVERAGE($R$5:R511),0)</f>
        <v>0</v>
      </c>
      <c r="U511" s="21" t="str">
        <f t="shared" ca="1" si="67"/>
        <v>13º 2041</v>
      </c>
      <c r="V511" s="4">
        <f ca="1">MIN(S511,PREMISSAS!$C$14)</f>
        <v>0</v>
      </c>
      <c r="W511" s="188"/>
      <c r="X511" s="188"/>
    </row>
    <row r="512" spans="2:24" x14ac:dyDescent="0.3">
      <c r="B512" s="21" t="str">
        <f t="shared" ca="1" si="68"/>
        <v/>
      </c>
      <c r="C512" s="22" t="str">
        <f ca="1">IF(B512="","",IF(LEFT(B512,2)="13",C511,IF(MONTH(B512)=1,C511*(1+PREMISSAS!$C$58),C511)))</f>
        <v/>
      </c>
      <c r="E512" s="18">
        <v>508</v>
      </c>
      <c r="F512" s="21">
        <f t="shared" ca="1" si="69"/>
        <v>51866</v>
      </c>
      <c r="G512" s="22">
        <f ca="1">IFERROR(VLOOKUP(F512,RESULTADOS!$O$5:$P$543,2,FALSE),VLOOKUP(F512,$B$5:$C$842,2,FALSE))</f>
        <v>0</v>
      </c>
      <c r="H512" s="4">
        <f ca="1">IF(F512&lt;PREMISSAS!$D$7,0,IFERROR(VLOOKUP(IF(LEFT(F512,2)="13",DATE(YEAR(F511),12,31),F512),IPCA!$A:$D,4,FALSE),1)*G512)</f>
        <v>0</v>
      </c>
      <c r="J512" s="21">
        <f t="shared" ca="1" si="63"/>
        <v>51866</v>
      </c>
      <c r="K512" s="4">
        <f t="shared" ca="1" si="64"/>
        <v>0</v>
      </c>
      <c r="M512" s="21">
        <f t="shared" ca="1" si="70"/>
        <v>51866</v>
      </c>
      <c r="N512" s="37">
        <f t="shared" ca="1" si="65"/>
        <v>0</v>
      </c>
      <c r="O512" s="4">
        <f ca="1">IFERROR(AVERAGEIF(N$5:$N512,"&gt;="&amp;_xlfn.PERCENTILE.EXC(N$5:$N512,0.2)),0)</f>
        <v>0</v>
      </c>
      <c r="Q512" s="21">
        <f t="shared" ca="1" si="71"/>
        <v>51866</v>
      </c>
      <c r="R512" s="37">
        <f t="shared" ca="1" si="66"/>
        <v>0</v>
      </c>
      <c r="S512" s="4">
        <f ca="1">IFERROR(AVERAGE($R$5:R512),0)</f>
        <v>0</v>
      </c>
      <c r="U512" s="21">
        <f t="shared" ca="1" si="67"/>
        <v>51866</v>
      </c>
      <c r="V512" s="4">
        <f ca="1">MIN(S512,PREMISSAS!$C$14)</f>
        <v>0</v>
      </c>
      <c r="W512" s="188"/>
      <c r="X512" s="188"/>
    </row>
    <row r="513" spans="2:24" x14ac:dyDescent="0.3">
      <c r="B513" s="21" t="str">
        <f t="shared" ca="1" si="68"/>
        <v/>
      </c>
      <c r="C513" s="22" t="str">
        <f ca="1">IF(B513="","",IF(LEFT(B513,2)="13",C512,IF(MONTH(B513)=1,C512*(1+PREMISSAS!$C$58),C512)))</f>
        <v/>
      </c>
      <c r="E513" s="18">
        <v>509</v>
      </c>
      <c r="F513" s="21">
        <f t="shared" ca="1" si="69"/>
        <v>51897</v>
      </c>
      <c r="G513" s="22">
        <f ca="1">IFERROR(VLOOKUP(F513,RESULTADOS!$O$5:$P$543,2,FALSE),VLOOKUP(F513,$B$5:$C$842,2,FALSE))</f>
        <v>0</v>
      </c>
      <c r="H513" s="4">
        <f ca="1">IF(F513&lt;PREMISSAS!$D$7,0,IFERROR(VLOOKUP(IF(LEFT(F513,2)="13",DATE(YEAR(F512),12,31),F513),IPCA!$A:$D,4,FALSE),1)*G513)</f>
        <v>0</v>
      </c>
      <c r="J513" s="21">
        <f t="shared" ca="1" si="63"/>
        <v>51897</v>
      </c>
      <c r="K513" s="4">
        <f t="shared" ca="1" si="64"/>
        <v>0</v>
      </c>
      <c r="M513" s="21">
        <f t="shared" ca="1" si="70"/>
        <v>51897</v>
      </c>
      <c r="N513" s="37">
        <f t="shared" ca="1" si="65"/>
        <v>0</v>
      </c>
      <c r="O513" s="4">
        <f ca="1">IFERROR(AVERAGEIF(N$5:$N513,"&gt;="&amp;_xlfn.PERCENTILE.EXC(N$5:$N513,0.2)),0)</f>
        <v>0</v>
      </c>
      <c r="Q513" s="21">
        <f t="shared" ca="1" si="71"/>
        <v>51897</v>
      </c>
      <c r="R513" s="37">
        <f t="shared" ca="1" si="66"/>
        <v>0</v>
      </c>
      <c r="S513" s="4">
        <f ca="1">IFERROR(AVERAGE($R$5:R513),0)</f>
        <v>0</v>
      </c>
      <c r="U513" s="21">
        <f t="shared" ca="1" si="67"/>
        <v>51897</v>
      </c>
      <c r="V513" s="4">
        <f ca="1">MIN(S513,PREMISSAS!$C$14)</f>
        <v>0</v>
      </c>
      <c r="W513" s="188"/>
      <c r="X513" s="188"/>
    </row>
    <row r="514" spans="2:24" x14ac:dyDescent="0.3">
      <c r="B514" s="21" t="str">
        <f t="shared" ca="1" si="68"/>
        <v/>
      </c>
      <c r="C514" s="22" t="str">
        <f ca="1">IF(B514="","",IF(LEFT(B514,2)="13",C513,IF(MONTH(B514)=1,C513*(1+PREMISSAS!$C$58),C513)))</f>
        <v/>
      </c>
      <c r="E514" s="18">
        <v>510</v>
      </c>
      <c r="F514" s="21">
        <f t="shared" ca="1" si="69"/>
        <v>51925</v>
      </c>
      <c r="G514" s="22">
        <f ca="1">IFERROR(VLOOKUP(F514,RESULTADOS!$O$5:$P$543,2,FALSE),VLOOKUP(F514,$B$5:$C$842,2,FALSE))</f>
        <v>0</v>
      </c>
      <c r="H514" s="4">
        <f ca="1">IF(F514&lt;PREMISSAS!$D$7,0,IFERROR(VLOOKUP(IF(LEFT(F514,2)="13",DATE(YEAR(F513),12,31),F514),IPCA!$A:$D,4,FALSE),1)*G514)</f>
        <v>0</v>
      </c>
      <c r="J514" s="21">
        <f t="shared" ca="1" si="63"/>
        <v>51925</v>
      </c>
      <c r="K514" s="4">
        <f t="shared" ca="1" si="64"/>
        <v>0</v>
      </c>
      <c r="M514" s="21">
        <f t="shared" ca="1" si="70"/>
        <v>51925</v>
      </c>
      <c r="N514" s="37">
        <f t="shared" ca="1" si="65"/>
        <v>0</v>
      </c>
      <c r="O514" s="4">
        <f ca="1">IFERROR(AVERAGEIF(N$5:$N514,"&gt;="&amp;_xlfn.PERCENTILE.EXC(N$5:$N514,0.2)),0)</f>
        <v>0</v>
      </c>
      <c r="Q514" s="21">
        <f t="shared" ca="1" si="71"/>
        <v>51925</v>
      </c>
      <c r="R514" s="37">
        <f t="shared" ca="1" si="66"/>
        <v>0</v>
      </c>
      <c r="S514" s="4">
        <f ca="1">IFERROR(AVERAGE($R$5:R514),0)</f>
        <v>0</v>
      </c>
      <c r="U514" s="21">
        <f t="shared" ca="1" si="67"/>
        <v>51925</v>
      </c>
      <c r="V514" s="4">
        <f ca="1">MIN(S514,PREMISSAS!$C$14)</f>
        <v>0</v>
      </c>
      <c r="W514" s="188"/>
      <c r="X514" s="188"/>
    </row>
    <row r="515" spans="2:24" x14ac:dyDescent="0.3">
      <c r="B515" s="21" t="str">
        <f t="shared" ca="1" si="68"/>
        <v/>
      </c>
      <c r="C515" s="22" t="str">
        <f ca="1">IF(B515="","",IF(LEFT(B515,2)="13",C514,IF(MONTH(B515)=1,C514*(1+PREMISSAS!$C$58),C514)))</f>
        <v/>
      </c>
      <c r="E515" s="18">
        <v>511</v>
      </c>
      <c r="F515" s="21">
        <f t="shared" ca="1" si="69"/>
        <v>51956</v>
      </c>
      <c r="G515" s="22">
        <f ca="1">IFERROR(VLOOKUP(F515,RESULTADOS!$O$5:$P$543,2,FALSE),VLOOKUP(F515,$B$5:$C$842,2,FALSE))</f>
        <v>0</v>
      </c>
      <c r="H515" s="4">
        <f ca="1">IF(F515&lt;PREMISSAS!$D$7,0,IFERROR(VLOOKUP(IF(LEFT(F515,2)="13",DATE(YEAR(F514),12,31),F515),IPCA!$A:$D,4,FALSE),1)*G515)</f>
        <v>0</v>
      </c>
      <c r="J515" s="21">
        <f t="shared" ca="1" si="63"/>
        <v>51956</v>
      </c>
      <c r="K515" s="4">
        <f t="shared" ca="1" si="64"/>
        <v>0</v>
      </c>
      <c r="M515" s="21">
        <f t="shared" ca="1" si="70"/>
        <v>51956</v>
      </c>
      <c r="N515" s="37">
        <f t="shared" ca="1" si="65"/>
        <v>0</v>
      </c>
      <c r="O515" s="4">
        <f ca="1">IFERROR(AVERAGEIF(N$5:$N515,"&gt;="&amp;_xlfn.PERCENTILE.EXC(N$5:$N515,0.2)),0)</f>
        <v>0</v>
      </c>
      <c r="Q515" s="21">
        <f t="shared" ca="1" si="71"/>
        <v>51956</v>
      </c>
      <c r="R515" s="37">
        <f t="shared" ca="1" si="66"/>
        <v>0</v>
      </c>
      <c r="S515" s="4">
        <f ca="1">IFERROR(AVERAGE($R$5:R515),0)</f>
        <v>0</v>
      </c>
      <c r="U515" s="21">
        <f t="shared" ca="1" si="67"/>
        <v>51956</v>
      </c>
      <c r="V515" s="4">
        <f ca="1">MIN(S515,PREMISSAS!$C$14)</f>
        <v>0</v>
      </c>
      <c r="W515" s="188"/>
      <c r="X515" s="188"/>
    </row>
    <row r="516" spans="2:24" x14ac:dyDescent="0.3">
      <c r="B516" s="21" t="str">
        <f t="shared" ca="1" si="68"/>
        <v/>
      </c>
      <c r="C516" s="22" t="str">
        <f ca="1">IF(B516="","",IF(LEFT(B516,2)="13",C515,IF(MONTH(B516)=1,C515*(1+PREMISSAS!$C$58),C515)))</f>
        <v/>
      </c>
      <c r="E516" s="18">
        <v>512</v>
      </c>
      <c r="F516" s="21">
        <f t="shared" ca="1" si="69"/>
        <v>51986</v>
      </c>
      <c r="G516" s="22">
        <f ca="1">IFERROR(VLOOKUP(F516,RESULTADOS!$O$5:$P$543,2,FALSE),VLOOKUP(F516,$B$5:$C$842,2,FALSE))</f>
        <v>0</v>
      </c>
      <c r="H516" s="4">
        <f ca="1">IF(F516&lt;PREMISSAS!$D$7,0,IFERROR(VLOOKUP(IF(LEFT(F516,2)="13",DATE(YEAR(F515),12,31),F516),IPCA!$A:$D,4,FALSE),1)*G516)</f>
        <v>0</v>
      </c>
      <c r="J516" s="21">
        <f t="shared" ca="1" si="63"/>
        <v>51986</v>
      </c>
      <c r="K516" s="4">
        <f t="shared" ca="1" si="64"/>
        <v>0</v>
      </c>
      <c r="M516" s="21">
        <f t="shared" ca="1" si="70"/>
        <v>51986</v>
      </c>
      <c r="N516" s="37">
        <f t="shared" ca="1" si="65"/>
        <v>0</v>
      </c>
      <c r="O516" s="4">
        <f ca="1">IFERROR(AVERAGEIF(N$5:$N516,"&gt;="&amp;_xlfn.PERCENTILE.EXC(N$5:$N516,0.2)),0)</f>
        <v>0</v>
      </c>
      <c r="Q516" s="21">
        <f t="shared" ca="1" si="71"/>
        <v>51986</v>
      </c>
      <c r="R516" s="37">
        <f t="shared" ca="1" si="66"/>
        <v>0</v>
      </c>
      <c r="S516" s="4">
        <f ca="1">IFERROR(AVERAGE($R$5:R516),0)</f>
        <v>0</v>
      </c>
      <c r="U516" s="21">
        <f t="shared" ca="1" si="67"/>
        <v>51986</v>
      </c>
      <c r="V516" s="4">
        <f ca="1">MIN(S516,PREMISSAS!$C$14)</f>
        <v>0</v>
      </c>
      <c r="W516" s="188"/>
      <c r="X516" s="188"/>
    </row>
    <row r="517" spans="2:24" x14ac:dyDescent="0.3">
      <c r="B517" s="21" t="str">
        <f t="shared" ca="1" si="68"/>
        <v/>
      </c>
      <c r="C517" s="22" t="str">
        <f ca="1">IF(B517="","",IF(LEFT(B517,2)="13",C516,IF(MONTH(B517)=1,C516*(1+PREMISSAS!$C$58),C516)))</f>
        <v/>
      </c>
      <c r="E517" s="18">
        <v>513</v>
      </c>
      <c r="F517" s="21">
        <f t="shared" ca="1" si="69"/>
        <v>52017</v>
      </c>
      <c r="G517" s="22">
        <f ca="1">IFERROR(VLOOKUP(F517,RESULTADOS!$O$5:$P$543,2,FALSE),VLOOKUP(F517,$B$5:$C$842,2,FALSE))</f>
        <v>0</v>
      </c>
      <c r="H517" s="4">
        <f ca="1">IF(F517&lt;PREMISSAS!$D$7,0,IFERROR(VLOOKUP(IF(LEFT(F517,2)="13",DATE(YEAR(F516),12,31),F517),IPCA!$A:$D,4,FALSE),1)*G517)</f>
        <v>0</v>
      </c>
      <c r="J517" s="21">
        <f t="shared" ref="J517:J580" ca="1" si="72">F517</f>
        <v>52017</v>
      </c>
      <c r="K517" s="4">
        <f t="shared" ref="K517:K580" ca="1" si="73">G517</f>
        <v>0</v>
      </c>
      <c r="M517" s="21">
        <f t="shared" ca="1" si="70"/>
        <v>52017</v>
      </c>
      <c r="N517" s="37">
        <f t="shared" ca="1" si="65"/>
        <v>0</v>
      </c>
      <c r="O517" s="4">
        <f ca="1">IFERROR(AVERAGEIF(N$5:$N517,"&gt;="&amp;_xlfn.PERCENTILE.EXC(N$5:$N517,0.2)),0)</f>
        <v>0</v>
      </c>
      <c r="Q517" s="21">
        <f t="shared" ca="1" si="71"/>
        <v>52017</v>
      </c>
      <c r="R517" s="37">
        <f t="shared" ca="1" si="66"/>
        <v>0</v>
      </c>
      <c r="S517" s="4">
        <f ca="1">IFERROR(AVERAGE($R$5:R517),0)</f>
        <v>0</v>
      </c>
      <c r="U517" s="21">
        <f t="shared" ca="1" si="67"/>
        <v>52017</v>
      </c>
      <c r="V517" s="4">
        <f ca="1">MIN(S517,PREMISSAS!$C$14)</f>
        <v>0</v>
      </c>
      <c r="W517" s="188"/>
      <c r="X517" s="188"/>
    </row>
    <row r="518" spans="2:24" x14ac:dyDescent="0.3">
      <c r="B518" s="21" t="str">
        <f t="shared" ca="1" si="68"/>
        <v/>
      </c>
      <c r="C518" s="22" t="str">
        <f ca="1">IF(B518="","",IF(LEFT(B518,2)="13",C517,IF(MONTH(B518)=1,C517*(1+PREMISSAS!$C$58),C517)))</f>
        <v/>
      </c>
      <c r="E518" s="18">
        <v>514</v>
      </c>
      <c r="F518" s="21">
        <f t="shared" ca="1" si="69"/>
        <v>52047</v>
      </c>
      <c r="G518" s="22">
        <f ca="1">IFERROR(VLOOKUP(F518,RESULTADOS!$O$5:$P$543,2,FALSE),VLOOKUP(F518,$B$5:$C$842,2,FALSE))</f>
        <v>0</v>
      </c>
      <c r="H518" s="4">
        <f ca="1">IF(F518&lt;PREMISSAS!$D$7,0,IFERROR(VLOOKUP(IF(LEFT(F518,2)="13",DATE(YEAR(F517),12,31),F518),IPCA!$A:$D,4,FALSE),1)*G518)</f>
        <v>0</v>
      </c>
      <c r="J518" s="21">
        <f t="shared" ca="1" si="72"/>
        <v>52047</v>
      </c>
      <c r="K518" s="4">
        <f t="shared" ca="1" si="73"/>
        <v>0</v>
      </c>
      <c r="M518" s="21">
        <f t="shared" ca="1" si="70"/>
        <v>52047</v>
      </c>
      <c r="N518" s="37">
        <f t="shared" ref="N518:N581" ca="1" si="74">IFERROR(VLOOKUP(M518,$F$5:$H$628,3,FALSE),0)</f>
        <v>0</v>
      </c>
      <c r="O518" s="4">
        <f ca="1">IFERROR(AVERAGEIF(N$5:$N518,"&gt;="&amp;_xlfn.PERCENTILE.EXC(N$5:$N518,0.2)),0)</f>
        <v>0</v>
      </c>
      <c r="Q518" s="21">
        <f t="shared" ca="1" si="71"/>
        <v>52047</v>
      </c>
      <c r="R518" s="37">
        <f t="shared" ref="R518:R581" ca="1" si="75">IFERROR(VLOOKUP(Q518,$F$5:$H$628,3,FALSE),0)</f>
        <v>0</v>
      </c>
      <c r="S518" s="4">
        <f ca="1">IFERROR(AVERAGE($R$5:R518),0)</f>
        <v>0</v>
      </c>
      <c r="U518" s="21">
        <f t="shared" ref="U518:U581" ca="1" si="76">M518</f>
        <v>52047</v>
      </c>
      <c r="V518" s="4">
        <f ca="1">MIN(S518,PREMISSAS!$C$14)</f>
        <v>0</v>
      </c>
      <c r="W518" s="188"/>
      <c r="X518" s="188"/>
    </row>
    <row r="519" spans="2:24" x14ac:dyDescent="0.3">
      <c r="B519" s="21" t="str">
        <f t="shared" ref="B519:B582" ca="1" si="77">IFERROR(IF(LEFT(B518,2)="13",DATE(RIGHT(B518,4),12,31),IF(EOMONTH(B518,0)&gt;$F$1,"",IF(MONTH(B518)=11,"13º "&amp;YEAR(B518),EOMONTH(B518,1)))),"")</f>
        <v/>
      </c>
      <c r="C519" s="22" t="str">
        <f ca="1">IF(B519="","",IF(LEFT(B519,2)="13",C518,IF(MONTH(B519)=1,C518*(1+PREMISSAS!$C$58),C518)))</f>
        <v/>
      </c>
      <c r="E519" s="18">
        <v>515</v>
      </c>
      <c r="F519" s="21">
        <f t="shared" ref="F519:F582" ca="1" si="78">IFERROR(IF(LEFT(F518,2)="13",DATE(RIGHT(F518,4),12,31),IF(EOMONTH(F518,0)&gt;$F$1,"",IF(MONTH(F518)=11,"13º "&amp;YEAR(F518),EOMONTH(F518,1)))),"")</f>
        <v>52078</v>
      </c>
      <c r="G519" s="22">
        <f ca="1">IFERROR(VLOOKUP(F519,RESULTADOS!$O$5:$P$543,2,FALSE),VLOOKUP(F519,$B$5:$C$842,2,FALSE))</f>
        <v>0</v>
      </c>
      <c r="H519" s="4">
        <f ca="1">IF(F519&lt;PREMISSAS!$D$7,0,IFERROR(VLOOKUP(IF(LEFT(F519,2)="13",DATE(YEAR(F518),12,31),F519),IPCA!$A:$D,4,FALSE),1)*G519)</f>
        <v>0</v>
      </c>
      <c r="J519" s="21">
        <f t="shared" ca="1" si="72"/>
        <v>52078</v>
      </c>
      <c r="K519" s="4">
        <f t="shared" ca="1" si="73"/>
        <v>0</v>
      </c>
      <c r="M519" s="21">
        <f t="shared" ref="M519:M582" ca="1" si="79">IFERROR(IF(LEFT(M518,2)="13",DATE(RIGHT(M518,4),12,31),IF(EOMONTH(M518,0)&gt;$F$1,"",IF(MONTH(M518)=11,"13º "&amp;YEAR(M518),EOMONTH(M518,1)))),"")</f>
        <v>52078</v>
      </c>
      <c r="N519" s="37">
        <f t="shared" ca="1" si="74"/>
        <v>0</v>
      </c>
      <c r="O519" s="4">
        <f ca="1">IFERROR(AVERAGEIF(N$5:$N519,"&gt;="&amp;_xlfn.PERCENTILE.EXC(N$5:$N519,0.2)),0)</f>
        <v>0</v>
      </c>
      <c r="Q519" s="21">
        <f t="shared" ref="Q519:Q582" ca="1" si="80">IFERROR(IF(LEFT(Q518,2)="13",DATE(RIGHT(Q518,4),12,31),IF(EOMONTH(Q518,0)&gt;$F$1,"",IF(MONTH(Q518)=11,"13º "&amp;YEAR(Q518),EOMONTH(Q518,1)))),"")</f>
        <v>52078</v>
      </c>
      <c r="R519" s="37">
        <f t="shared" ca="1" si="75"/>
        <v>0</v>
      </c>
      <c r="S519" s="4">
        <f ca="1">IFERROR(AVERAGE($R$5:R519),0)</f>
        <v>0</v>
      </c>
      <c r="U519" s="21">
        <f t="shared" ca="1" si="76"/>
        <v>52078</v>
      </c>
      <c r="V519" s="4">
        <f ca="1">MIN(S519,PREMISSAS!$C$14)</f>
        <v>0</v>
      </c>
      <c r="W519" s="188"/>
      <c r="X519" s="188"/>
    </row>
    <row r="520" spans="2:24" x14ac:dyDescent="0.3">
      <c r="B520" s="21" t="str">
        <f t="shared" ca="1" si="77"/>
        <v/>
      </c>
      <c r="C520" s="22" t="str">
        <f ca="1">IF(B520="","",IF(LEFT(B520,2)="13",C519,IF(MONTH(B520)=1,C519*(1+PREMISSAS!$C$58),C519)))</f>
        <v/>
      </c>
      <c r="E520" s="18">
        <v>516</v>
      </c>
      <c r="F520" s="21">
        <f t="shared" ca="1" si="78"/>
        <v>52109</v>
      </c>
      <c r="G520" s="22">
        <f ca="1">IFERROR(VLOOKUP(F520,RESULTADOS!$O$5:$P$543,2,FALSE),VLOOKUP(F520,$B$5:$C$842,2,FALSE))</f>
        <v>0</v>
      </c>
      <c r="H520" s="4">
        <f ca="1">IF(F520&lt;PREMISSAS!$D$7,0,IFERROR(VLOOKUP(IF(LEFT(F520,2)="13",DATE(YEAR(F519),12,31),F520),IPCA!$A:$D,4,FALSE),1)*G520)</f>
        <v>0</v>
      </c>
      <c r="J520" s="21">
        <f t="shared" ca="1" si="72"/>
        <v>52109</v>
      </c>
      <c r="K520" s="4">
        <f t="shared" ca="1" si="73"/>
        <v>0</v>
      </c>
      <c r="M520" s="21">
        <f t="shared" ca="1" si="79"/>
        <v>52109</v>
      </c>
      <c r="N520" s="37">
        <f t="shared" ca="1" si="74"/>
        <v>0</v>
      </c>
      <c r="O520" s="4">
        <f ca="1">IFERROR(AVERAGEIF(N$5:$N520,"&gt;="&amp;_xlfn.PERCENTILE.EXC(N$5:$N520,0.2)),0)</f>
        <v>0</v>
      </c>
      <c r="Q520" s="21">
        <f t="shared" ca="1" si="80"/>
        <v>52109</v>
      </c>
      <c r="R520" s="37">
        <f t="shared" ca="1" si="75"/>
        <v>0</v>
      </c>
      <c r="S520" s="4">
        <f ca="1">IFERROR(AVERAGE($R$5:R520),0)</f>
        <v>0</v>
      </c>
      <c r="U520" s="21">
        <f t="shared" ca="1" si="76"/>
        <v>52109</v>
      </c>
      <c r="V520" s="4">
        <f ca="1">MIN(S520,PREMISSAS!$C$14)</f>
        <v>0</v>
      </c>
      <c r="W520" s="188"/>
      <c r="X520" s="188"/>
    </row>
    <row r="521" spans="2:24" x14ac:dyDescent="0.3">
      <c r="B521" s="21" t="str">
        <f t="shared" ca="1" si="77"/>
        <v/>
      </c>
      <c r="C521" s="22" t="str">
        <f ca="1">IF(B521="","",IF(LEFT(B521,2)="13",C520,IF(MONTH(B521)=1,C520*(1+PREMISSAS!$C$58),C520)))</f>
        <v/>
      </c>
      <c r="E521" s="18">
        <v>517</v>
      </c>
      <c r="F521" s="21">
        <f t="shared" ca="1" si="78"/>
        <v>52139</v>
      </c>
      <c r="G521" s="22">
        <f ca="1">IFERROR(VLOOKUP(F521,RESULTADOS!$O$5:$P$543,2,FALSE),VLOOKUP(F521,$B$5:$C$842,2,FALSE))</f>
        <v>0</v>
      </c>
      <c r="H521" s="4">
        <f ca="1">IF(F521&lt;PREMISSAS!$D$7,0,IFERROR(VLOOKUP(IF(LEFT(F521,2)="13",DATE(YEAR(F520),12,31),F521),IPCA!$A:$D,4,FALSE),1)*G521)</f>
        <v>0</v>
      </c>
      <c r="J521" s="21">
        <f t="shared" ca="1" si="72"/>
        <v>52139</v>
      </c>
      <c r="K521" s="4">
        <f t="shared" ca="1" si="73"/>
        <v>0</v>
      </c>
      <c r="M521" s="21">
        <f t="shared" ca="1" si="79"/>
        <v>52139</v>
      </c>
      <c r="N521" s="37">
        <f t="shared" ca="1" si="74"/>
        <v>0</v>
      </c>
      <c r="O521" s="4">
        <f ca="1">IFERROR(AVERAGEIF(N$5:$N521,"&gt;="&amp;_xlfn.PERCENTILE.EXC(N$5:$N521,0.2)),0)</f>
        <v>0</v>
      </c>
      <c r="Q521" s="21">
        <f t="shared" ca="1" si="80"/>
        <v>52139</v>
      </c>
      <c r="R521" s="37">
        <f t="shared" ca="1" si="75"/>
        <v>0</v>
      </c>
      <c r="S521" s="4">
        <f ca="1">IFERROR(AVERAGE($R$5:R521),0)</f>
        <v>0</v>
      </c>
      <c r="U521" s="21">
        <f t="shared" ca="1" si="76"/>
        <v>52139</v>
      </c>
      <c r="V521" s="4">
        <f ca="1">MIN(S521,PREMISSAS!$C$14)</f>
        <v>0</v>
      </c>
      <c r="W521" s="188"/>
      <c r="X521" s="188"/>
    </row>
    <row r="522" spans="2:24" x14ac:dyDescent="0.3">
      <c r="B522" s="21" t="str">
        <f t="shared" ca="1" si="77"/>
        <v/>
      </c>
      <c r="C522" s="22" t="str">
        <f ca="1">IF(B522="","",IF(LEFT(B522,2)="13",C521,IF(MONTH(B522)=1,C521*(1+PREMISSAS!$C$58),C521)))</f>
        <v/>
      </c>
      <c r="E522" s="18">
        <v>518</v>
      </c>
      <c r="F522" s="21">
        <f t="shared" ca="1" si="78"/>
        <v>52170</v>
      </c>
      <c r="G522" s="22">
        <f ca="1">IFERROR(VLOOKUP(F522,RESULTADOS!$O$5:$P$543,2,FALSE),VLOOKUP(F522,$B$5:$C$842,2,FALSE))</f>
        <v>0</v>
      </c>
      <c r="H522" s="4">
        <f ca="1">IF(F522&lt;PREMISSAS!$D$7,0,IFERROR(VLOOKUP(IF(LEFT(F522,2)="13",DATE(YEAR(F521),12,31),F522),IPCA!$A:$D,4,FALSE),1)*G522)</f>
        <v>0</v>
      </c>
      <c r="J522" s="21">
        <f t="shared" ca="1" si="72"/>
        <v>52170</v>
      </c>
      <c r="K522" s="4">
        <f t="shared" ca="1" si="73"/>
        <v>0</v>
      </c>
      <c r="M522" s="21">
        <f t="shared" ca="1" si="79"/>
        <v>52170</v>
      </c>
      <c r="N522" s="37">
        <f t="shared" ca="1" si="74"/>
        <v>0</v>
      </c>
      <c r="O522" s="4">
        <f ca="1">IFERROR(AVERAGEIF(N$5:$N522,"&gt;="&amp;_xlfn.PERCENTILE.EXC(N$5:$N522,0.2)),0)</f>
        <v>0</v>
      </c>
      <c r="Q522" s="21">
        <f t="shared" ca="1" si="80"/>
        <v>52170</v>
      </c>
      <c r="R522" s="37">
        <f t="shared" ca="1" si="75"/>
        <v>0</v>
      </c>
      <c r="S522" s="4">
        <f ca="1">IFERROR(AVERAGE($R$5:R522),0)</f>
        <v>0</v>
      </c>
      <c r="U522" s="21">
        <f t="shared" ca="1" si="76"/>
        <v>52170</v>
      </c>
      <c r="V522" s="4">
        <f ca="1">MIN(S522,PREMISSAS!$C$14)</f>
        <v>0</v>
      </c>
      <c r="W522" s="188"/>
      <c r="X522" s="188"/>
    </row>
    <row r="523" spans="2:24" x14ac:dyDescent="0.3">
      <c r="B523" s="21" t="str">
        <f t="shared" ca="1" si="77"/>
        <v/>
      </c>
      <c r="C523" s="22" t="str">
        <f ca="1">IF(B523="","",IF(LEFT(B523,2)="13",C522,IF(MONTH(B523)=1,C522*(1+PREMISSAS!$C$58),C522)))</f>
        <v/>
      </c>
      <c r="E523" s="18">
        <v>519</v>
      </c>
      <c r="F523" s="21">
        <f t="shared" ca="1" si="78"/>
        <v>52200</v>
      </c>
      <c r="G523" s="22">
        <f ca="1">IFERROR(VLOOKUP(F523,RESULTADOS!$O$5:$P$543,2,FALSE),VLOOKUP(F523,$B$5:$C$842,2,FALSE))</f>
        <v>0</v>
      </c>
      <c r="H523" s="4">
        <f ca="1">IF(F523&lt;PREMISSAS!$D$7,0,IFERROR(VLOOKUP(IF(LEFT(F523,2)="13",DATE(YEAR(F522),12,31),F523),IPCA!$A:$D,4,FALSE),1)*G523)</f>
        <v>0</v>
      </c>
      <c r="J523" s="21">
        <f t="shared" ca="1" si="72"/>
        <v>52200</v>
      </c>
      <c r="K523" s="4">
        <f t="shared" ca="1" si="73"/>
        <v>0</v>
      </c>
      <c r="M523" s="21">
        <f t="shared" ca="1" si="79"/>
        <v>52200</v>
      </c>
      <c r="N523" s="37">
        <f t="shared" ca="1" si="74"/>
        <v>0</v>
      </c>
      <c r="O523" s="4">
        <f ca="1">IFERROR(AVERAGEIF(N$5:$N523,"&gt;="&amp;_xlfn.PERCENTILE.EXC(N$5:$N523,0.2)),0)</f>
        <v>0</v>
      </c>
      <c r="Q523" s="21">
        <f t="shared" ca="1" si="80"/>
        <v>52200</v>
      </c>
      <c r="R523" s="37">
        <f t="shared" ca="1" si="75"/>
        <v>0</v>
      </c>
      <c r="S523" s="4">
        <f ca="1">IFERROR(AVERAGE($R$5:R523),0)</f>
        <v>0</v>
      </c>
      <c r="U523" s="21">
        <f t="shared" ca="1" si="76"/>
        <v>52200</v>
      </c>
      <c r="V523" s="4">
        <f ca="1">MIN(S523,PREMISSAS!$C$14)</f>
        <v>0</v>
      </c>
      <c r="W523" s="188"/>
      <c r="X523" s="188"/>
    </row>
    <row r="524" spans="2:24" x14ac:dyDescent="0.3">
      <c r="B524" s="21" t="str">
        <f t="shared" ca="1" si="77"/>
        <v/>
      </c>
      <c r="C524" s="22" t="str">
        <f ca="1">IF(B524="","",IF(LEFT(B524,2)="13",C523,IF(MONTH(B524)=1,C523*(1+PREMISSAS!$C$58),C523)))</f>
        <v/>
      </c>
      <c r="E524" s="18">
        <v>520</v>
      </c>
      <c r="F524" s="21" t="str">
        <f t="shared" ca="1" si="78"/>
        <v/>
      </c>
      <c r="G524" s="22" t="str">
        <f ca="1">IFERROR(VLOOKUP(F524,RESULTADOS!$O$5:$P$543,2,FALSE),VLOOKUP(F524,$B$5:$C$842,2,FALSE))</f>
        <v/>
      </c>
      <c r="H524" s="4" t="e">
        <f ca="1">IF(F524&lt;PREMISSAS!$D$7,0,IFERROR(VLOOKUP(IF(LEFT(F524,2)="13",DATE(YEAR(F523),12,31),F524),IPCA!$A:$D,4,FALSE),1)*G524)</f>
        <v>#VALUE!</v>
      </c>
      <c r="J524" s="21" t="str">
        <f t="shared" ca="1" si="72"/>
        <v/>
      </c>
      <c r="K524" s="4" t="str">
        <f t="shared" ca="1" si="73"/>
        <v/>
      </c>
      <c r="M524" s="21" t="str">
        <f t="shared" ca="1" si="79"/>
        <v/>
      </c>
      <c r="N524" s="37">
        <f t="shared" ca="1" si="74"/>
        <v>0</v>
      </c>
      <c r="O524" s="4">
        <f ca="1">IFERROR(AVERAGEIF(N$5:$N524,"&gt;="&amp;_xlfn.PERCENTILE.EXC(N$5:$N524,0.2)),0)</f>
        <v>0</v>
      </c>
      <c r="Q524" s="21" t="str">
        <f t="shared" ca="1" si="80"/>
        <v/>
      </c>
      <c r="R524" s="37">
        <f t="shared" ca="1" si="75"/>
        <v>0</v>
      </c>
      <c r="S524" s="4">
        <f ca="1">IFERROR(AVERAGE($R$5:R524),0)</f>
        <v>0</v>
      </c>
      <c r="U524" s="21" t="str">
        <f t="shared" ca="1" si="76"/>
        <v/>
      </c>
      <c r="V524" s="4">
        <f ca="1">MIN(S524,PREMISSAS!$C$14)</f>
        <v>0</v>
      </c>
      <c r="W524" s="188"/>
      <c r="X524" s="188"/>
    </row>
    <row r="525" spans="2:24" x14ac:dyDescent="0.3">
      <c r="B525" s="21" t="str">
        <f t="shared" ca="1" si="77"/>
        <v/>
      </c>
      <c r="C525" s="22" t="str">
        <f ca="1">IF(B525="","",IF(LEFT(B525,2)="13",C524,IF(MONTH(B525)=1,C524*(1+PREMISSAS!$C$58),C524)))</f>
        <v/>
      </c>
      <c r="E525" s="18">
        <v>521</v>
      </c>
      <c r="F525" s="21" t="str">
        <f t="shared" ca="1" si="78"/>
        <v/>
      </c>
      <c r="G525" s="22" t="str">
        <f ca="1">IFERROR(VLOOKUP(F525,RESULTADOS!$O$5:$P$543,2,FALSE),VLOOKUP(F525,$B$5:$C$842,2,FALSE))</f>
        <v/>
      </c>
      <c r="H525" s="4" t="e">
        <f ca="1">IF(F525&lt;PREMISSAS!$D$7,0,IFERROR(VLOOKUP(IF(LEFT(F525,2)="13",DATE(YEAR(F524),12,31),F525),IPCA!$A:$D,4,FALSE),1)*G525)</f>
        <v>#VALUE!</v>
      </c>
      <c r="J525" s="21" t="str">
        <f t="shared" ca="1" si="72"/>
        <v/>
      </c>
      <c r="K525" s="4" t="str">
        <f t="shared" ca="1" si="73"/>
        <v/>
      </c>
      <c r="M525" s="21" t="str">
        <f t="shared" ca="1" si="79"/>
        <v/>
      </c>
      <c r="N525" s="37">
        <f t="shared" ca="1" si="74"/>
        <v>0</v>
      </c>
      <c r="O525" s="4">
        <f ca="1">IFERROR(AVERAGEIF(N$5:$N525,"&gt;="&amp;_xlfn.PERCENTILE.EXC(N$5:$N525,0.2)),0)</f>
        <v>0</v>
      </c>
      <c r="Q525" s="21" t="str">
        <f t="shared" ca="1" si="80"/>
        <v/>
      </c>
      <c r="R525" s="37">
        <f t="shared" ca="1" si="75"/>
        <v>0</v>
      </c>
      <c r="S525" s="4">
        <f ca="1">IFERROR(AVERAGE($R$5:R525),0)</f>
        <v>0</v>
      </c>
      <c r="U525" s="21" t="str">
        <f t="shared" ca="1" si="76"/>
        <v/>
      </c>
      <c r="V525" s="4">
        <f ca="1">MIN(S525,PREMISSAS!$C$14)</f>
        <v>0</v>
      </c>
      <c r="W525" s="188"/>
      <c r="X525" s="188"/>
    </row>
    <row r="526" spans="2:24" x14ac:dyDescent="0.3">
      <c r="B526" s="21" t="str">
        <f t="shared" ca="1" si="77"/>
        <v/>
      </c>
      <c r="C526" s="22" t="str">
        <f ca="1">IF(B526="","",IF(LEFT(B526,2)="13",C525,IF(MONTH(B526)=1,C525*(1+PREMISSAS!$C$58),C525)))</f>
        <v/>
      </c>
      <c r="E526" s="18">
        <v>522</v>
      </c>
      <c r="F526" s="21" t="str">
        <f t="shared" ca="1" si="78"/>
        <v/>
      </c>
      <c r="G526" s="22" t="str">
        <f ca="1">IFERROR(VLOOKUP(F526,RESULTADOS!$O$5:$P$543,2,FALSE),VLOOKUP(F526,$B$5:$C$842,2,FALSE))</f>
        <v/>
      </c>
      <c r="H526" s="4" t="e">
        <f ca="1">IF(F526&lt;PREMISSAS!$D$7,0,IFERROR(VLOOKUP(IF(LEFT(F526,2)="13",DATE(YEAR(F525),12,31),F526),IPCA!$A:$D,4,FALSE),1)*G526)</f>
        <v>#VALUE!</v>
      </c>
      <c r="J526" s="21" t="str">
        <f t="shared" ca="1" si="72"/>
        <v/>
      </c>
      <c r="K526" s="4" t="str">
        <f t="shared" ca="1" si="73"/>
        <v/>
      </c>
      <c r="M526" s="21" t="str">
        <f t="shared" ca="1" si="79"/>
        <v/>
      </c>
      <c r="N526" s="37">
        <f t="shared" ca="1" si="74"/>
        <v>0</v>
      </c>
      <c r="O526" s="4">
        <f ca="1">IFERROR(AVERAGEIF(N$5:$N526,"&gt;="&amp;_xlfn.PERCENTILE.EXC(N$5:$N526,0.2)),0)</f>
        <v>0</v>
      </c>
      <c r="Q526" s="21" t="str">
        <f t="shared" ca="1" si="80"/>
        <v/>
      </c>
      <c r="R526" s="37">
        <f t="shared" ca="1" si="75"/>
        <v>0</v>
      </c>
      <c r="S526" s="4">
        <f ca="1">IFERROR(AVERAGE($R$5:R526),0)</f>
        <v>0</v>
      </c>
      <c r="U526" s="21" t="str">
        <f t="shared" ca="1" si="76"/>
        <v/>
      </c>
      <c r="V526" s="4">
        <f ca="1">MIN(S526,PREMISSAS!$C$14)</f>
        <v>0</v>
      </c>
      <c r="W526" s="188"/>
      <c r="X526" s="188"/>
    </row>
    <row r="527" spans="2:24" x14ac:dyDescent="0.3">
      <c r="B527" s="21" t="str">
        <f t="shared" ca="1" si="77"/>
        <v/>
      </c>
      <c r="C527" s="22" t="str">
        <f ca="1">IF(B527="","",IF(LEFT(B527,2)="13",C526,IF(MONTH(B527)=1,C526*(1+PREMISSAS!$C$58),C526)))</f>
        <v/>
      </c>
      <c r="E527" s="18">
        <v>523</v>
      </c>
      <c r="F527" s="21" t="str">
        <f t="shared" ca="1" si="78"/>
        <v/>
      </c>
      <c r="G527" s="22" t="str">
        <f ca="1">IFERROR(VLOOKUP(F527,RESULTADOS!$O$5:$P$543,2,FALSE),VLOOKUP(F527,$B$5:$C$842,2,FALSE))</f>
        <v/>
      </c>
      <c r="H527" s="4" t="e">
        <f ca="1">IF(F527&lt;PREMISSAS!$D$7,0,IFERROR(VLOOKUP(IF(LEFT(F527,2)="13",DATE(YEAR(F526),12,31),F527),IPCA!$A:$D,4,FALSE),1)*G527)</f>
        <v>#VALUE!</v>
      </c>
      <c r="J527" s="21" t="str">
        <f t="shared" ca="1" si="72"/>
        <v/>
      </c>
      <c r="K527" s="4" t="str">
        <f t="shared" ca="1" si="73"/>
        <v/>
      </c>
      <c r="M527" s="21" t="str">
        <f t="shared" ca="1" si="79"/>
        <v/>
      </c>
      <c r="N527" s="37">
        <f t="shared" ca="1" si="74"/>
        <v>0</v>
      </c>
      <c r="O527" s="4">
        <f ca="1">IFERROR(AVERAGEIF(N$5:$N527,"&gt;="&amp;_xlfn.PERCENTILE.EXC(N$5:$N527,0.2)),0)</f>
        <v>0</v>
      </c>
      <c r="Q527" s="21" t="str">
        <f t="shared" ca="1" si="80"/>
        <v/>
      </c>
      <c r="R527" s="37">
        <f t="shared" ca="1" si="75"/>
        <v>0</v>
      </c>
      <c r="S527" s="4">
        <f ca="1">IFERROR(AVERAGE($R$5:R527),0)</f>
        <v>0</v>
      </c>
      <c r="U527" s="21" t="str">
        <f t="shared" ca="1" si="76"/>
        <v/>
      </c>
      <c r="V527" s="4">
        <f ca="1">MIN(S527,PREMISSAS!$C$14)</f>
        <v>0</v>
      </c>
      <c r="W527" s="188"/>
      <c r="X527" s="188"/>
    </row>
    <row r="528" spans="2:24" x14ac:dyDescent="0.3">
      <c r="B528" s="21" t="str">
        <f t="shared" ca="1" si="77"/>
        <v/>
      </c>
      <c r="C528" s="22" t="str">
        <f ca="1">IF(B528="","",IF(LEFT(B528,2)="13",C527,IF(MONTH(B528)=1,C527*(1+PREMISSAS!$C$58),C527)))</f>
        <v/>
      </c>
      <c r="E528" s="18">
        <v>524</v>
      </c>
      <c r="F528" s="21" t="str">
        <f t="shared" ca="1" si="78"/>
        <v/>
      </c>
      <c r="G528" s="22" t="str">
        <f ca="1">IFERROR(VLOOKUP(F528,RESULTADOS!$O$5:$P$543,2,FALSE),VLOOKUP(F528,$B$5:$C$842,2,FALSE))</f>
        <v/>
      </c>
      <c r="H528" s="4" t="e">
        <f ca="1">IF(F528&lt;PREMISSAS!$D$7,0,IFERROR(VLOOKUP(IF(LEFT(F528,2)="13",DATE(YEAR(F527),12,31),F528),IPCA!$A:$D,4,FALSE),1)*G528)</f>
        <v>#VALUE!</v>
      </c>
      <c r="J528" s="21" t="str">
        <f t="shared" ca="1" si="72"/>
        <v/>
      </c>
      <c r="K528" s="4" t="str">
        <f t="shared" ca="1" si="73"/>
        <v/>
      </c>
      <c r="M528" s="21" t="str">
        <f t="shared" ca="1" si="79"/>
        <v/>
      </c>
      <c r="N528" s="37">
        <f t="shared" ca="1" si="74"/>
        <v>0</v>
      </c>
      <c r="O528" s="4">
        <f ca="1">IFERROR(AVERAGEIF(N$5:$N528,"&gt;="&amp;_xlfn.PERCENTILE.EXC(N$5:$N528,0.2)),0)</f>
        <v>0</v>
      </c>
      <c r="Q528" s="21" t="str">
        <f t="shared" ca="1" si="80"/>
        <v/>
      </c>
      <c r="R528" s="37">
        <f t="shared" ca="1" si="75"/>
        <v>0</v>
      </c>
      <c r="S528" s="4">
        <f ca="1">IFERROR(AVERAGE($R$5:R528),0)</f>
        <v>0</v>
      </c>
      <c r="U528" s="21" t="str">
        <f t="shared" ca="1" si="76"/>
        <v/>
      </c>
      <c r="V528" s="4">
        <f ca="1">MIN(S528,PREMISSAS!$C$14)</f>
        <v>0</v>
      </c>
      <c r="W528" s="188"/>
      <c r="X528" s="188"/>
    </row>
    <row r="529" spans="2:24" x14ac:dyDescent="0.3">
      <c r="B529" s="21" t="str">
        <f t="shared" ca="1" si="77"/>
        <v/>
      </c>
      <c r="C529" s="22" t="str">
        <f ca="1">IF(B529="","",IF(LEFT(B529,2)="13",C528,IF(MONTH(B529)=1,C528*(1+PREMISSAS!$C$58),C528)))</f>
        <v/>
      </c>
      <c r="E529" s="18">
        <v>525</v>
      </c>
      <c r="F529" s="21" t="str">
        <f t="shared" ca="1" si="78"/>
        <v/>
      </c>
      <c r="G529" s="22" t="str">
        <f ca="1">IFERROR(VLOOKUP(F529,RESULTADOS!$O$5:$P$543,2,FALSE),VLOOKUP(F529,$B$5:$C$842,2,FALSE))</f>
        <v/>
      </c>
      <c r="H529" s="4" t="e">
        <f ca="1">IF(F529&lt;PREMISSAS!$D$7,0,IFERROR(VLOOKUP(IF(LEFT(F529,2)="13",DATE(YEAR(F528),12,31),F529),IPCA!$A:$D,4,FALSE),1)*G529)</f>
        <v>#VALUE!</v>
      </c>
      <c r="J529" s="21" t="str">
        <f t="shared" ca="1" si="72"/>
        <v/>
      </c>
      <c r="K529" s="4" t="str">
        <f t="shared" ca="1" si="73"/>
        <v/>
      </c>
      <c r="M529" s="21" t="str">
        <f t="shared" ca="1" si="79"/>
        <v/>
      </c>
      <c r="N529" s="37">
        <f t="shared" ca="1" si="74"/>
        <v>0</v>
      </c>
      <c r="O529" s="4">
        <f ca="1">IFERROR(AVERAGEIF(N$5:$N529,"&gt;="&amp;_xlfn.PERCENTILE.EXC(N$5:$N529,0.2)),0)</f>
        <v>0</v>
      </c>
      <c r="Q529" s="21" t="str">
        <f t="shared" ca="1" si="80"/>
        <v/>
      </c>
      <c r="R529" s="37">
        <f t="shared" ca="1" si="75"/>
        <v>0</v>
      </c>
      <c r="S529" s="4">
        <f ca="1">IFERROR(AVERAGE($R$5:R529),0)</f>
        <v>0</v>
      </c>
      <c r="U529" s="21" t="str">
        <f t="shared" ca="1" si="76"/>
        <v/>
      </c>
      <c r="V529" s="4">
        <f ca="1">MIN(S529,PREMISSAS!$C$14)</f>
        <v>0</v>
      </c>
      <c r="W529" s="188"/>
      <c r="X529" s="188"/>
    </row>
    <row r="530" spans="2:24" x14ac:dyDescent="0.3">
      <c r="B530" s="21" t="str">
        <f t="shared" ca="1" si="77"/>
        <v/>
      </c>
      <c r="C530" s="22" t="str">
        <f ca="1">IF(B530="","",IF(LEFT(B530,2)="13",C529,IF(MONTH(B530)=1,C529*(1+PREMISSAS!$C$58),C529)))</f>
        <v/>
      </c>
      <c r="E530" s="18">
        <v>526</v>
      </c>
      <c r="F530" s="21" t="str">
        <f t="shared" ca="1" si="78"/>
        <v/>
      </c>
      <c r="G530" s="22" t="str">
        <f ca="1">IFERROR(VLOOKUP(F530,RESULTADOS!$O$5:$P$543,2,FALSE),VLOOKUP(F530,$B$5:$C$842,2,FALSE))</f>
        <v/>
      </c>
      <c r="H530" s="4" t="e">
        <f ca="1">IF(F530&lt;PREMISSAS!$D$7,0,IFERROR(VLOOKUP(IF(LEFT(F530,2)="13",DATE(YEAR(F529),12,31),F530),IPCA!$A:$D,4,FALSE),1)*G530)</f>
        <v>#VALUE!</v>
      </c>
      <c r="J530" s="21" t="str">
        <f t="shared" ca="1" si="72"/>
        <v/>
      </c>
      <c r="K530" s="4" t="str">
        <f t="shared" ca="1" si="73"/>
        <v/>
      </c>
      <c r="M530" s="21" t="str">
        <f t="shared" ca="1" si="79"/>
        <v/>
      </c>
      <c r="N530" s="37">
        <f t="shared" ca="1" si="74"/>
        <v>0</v>
      </c>
      <c r="O530" s="4">
        <f ca="1">IFERROR(AVERAGEIF(N$5:$N530,"&gt;="&amp;_xlfn.PERCENTILE.EXC(N$5:$N530,0.2)),0)</f>
        <v>0</v>
      </c>
      <c r="Q530" s="21" t="str">
        <f t="shared" ca="1" si="80"/>
        <v/>
      </c>
      <c r="R530" s="37">
        <f t="shared" ca="1" si="75"/>
        <v>0</v>
      </c>
      <c r="S530" s="4">
        <f ca="1">IFERROR(AVERAGE($R$5:R530),0)</f>
        <v>0</v>
      </c>
      <c r="U530" s="21" t="str">
        <f t="shared" ca="1" si="76"/>
        <v/>
      </c>
      <c r="V530" s="4">
        <f ca="1">MIN(S530,PREMISSAS!$C$14)</f>
        <v>0</v>
      </c>
      <c r="W530" s="188"/>
      <c r="X530" s="188"/>
    </row>
    <row r="531" spans="2:24" x14ac:dyDescent="0.3">
      <c r="B531" s="21" t="str">
        <f t="shared" ca="1" si="77"/>
        <v/>
      </c>
      <c r="C531" s="22" t="str">
        <f ca="1">IF(B531="","",IF(LEFT(B531,2)="13",C530,IF(MONTH(B531)=1,C530*(1+PREMISSAS!$C$58),C530)))</f>
        <v/>
      </c>
      <c r="E531" s="18">
        <v>527</v>
      </c>
      <c r="F531" s="21" t="str">
        <f t="shared" ca="1" si="78"/>
        <v/>
      </c>
      <c r="G531" s="22" t="str">
        <f ca="1">IFERROR(VLOOKUP(F531,RESULTADOS!$O$5:$P$543,2,FALSE),VLOOKUP(F531,$B$5:$C$842,2,FALSE))</f>
        <v/>
      </c>
      <c r="H531" s="4" t="e">
        <f ca="1">IF(F531&lt;PREMISSAS!$D$7,0,IFERROR(VLOOKUP(IF(LEFT(F531,2)="13",DATE(YEAR(F530),12,31),F531),IPCA!$A:$D,4,FALSE),1)*G531)</f>
        <v>#VALUE!</v>
      </c>
      <c r="J531" s="21" t="str">
        <f t="shared" ca="1" si="72"/>
        <v/>
      </c>
      <c r="K531" s="4" t="str">
        <f t="shared" ca="1" si="73"/>
        <v/>
      </c>
      <c r="M531" s="21" t="str">
        <f t="shared" ca="1" si="79"/>
        <v/>
      </c>
      <c r="N531" s="37">
        <f t="shared" ca="1" si="74"/>
        <v>0</v>
      </c>
      <c r="O531" s="4">
        <f ca="1">IFERROR(AVERAGEIF(N$5:$N531,"&gt;="&amp;_xlfn.PERCENTILE.EXC(N$5:$N531,0.2)),0)</f>
        <v>0</v>
      </c>
      <c r="Q531" s="21" t="str">
        <f t="shared" ca="1" si="80"/>
        <v/>
      </c>
      <c r="R531" s="37">
        <f t="shared" ca="1" si="75"/>
        <v>0</v>
      </c>
      <c r="S531" s="4">
        <f ca="1">IFERROR(AVERAGE($R$5:R531),0)</f>
        <v>0</v>
      </c>
      <c r="U531" s="21" t="str">
        <f t="shared" ca="1" si="76"/>
        <v/>
      </c>
      <c r="V531" s="4">
        <f ca="1">MIN(S531,PREMISSAS!$C$14)</f>
        <v>0</v>
      </c>
      <c r="W531" s="188"/>
      <c r="X531" s="188"/>
    </row>
    <row r="532" spans="2:24" x14ac:dyDescent="0.3">
      <c r="B532" s="21" t="str">
        <f t="shared" ca="1" si="77"/>
        <v/>
      </c>
      <c r="C532" s="22" t="str">
        <f ca="1">IF(B532="","",IF(LEFT(B532,2)="13",C531,IF(MONTH(B532)=1,C531*(1+PREMISSAS!$C$58),C531)))</f>
        <v/>
      </c>
      <c r="E532" s="18">
        <v>528</v>
      </c>
      <c r="F532" s="21" t="str">
        <f t="shared" ca="1" si="78"/>
        <v/>
      </c>
      <c r="G532" s="22" t="str">
        <f ca="1">IFERROR(VLOOKUP(F532,RESULTADOS!$O$5:$P$543,2,FALSE),VLOOKUP(F532,$B$5:$C$842,2,FALSE))</f>
        <v/>
      </c>
      <c r="H532" s="4" t="e">
        <f ca="1">IF(F532&lt;PREMISSAS!$D$7,0,IFERROR(VLOOKUP(IF(LEFT(F532,2)="13",DATE(YEAR(F531),12,31),F532),IPCA!$A:$D,4,FALSE),1)*G532)</f>
        <v>#VALUE!</v>
      </c>
      <c r="J532" s="21" t="str">
        <f t="shared" ca="1" si="72"/>
        <v/>
      </c>
      <c r="K532" s="4" t="str">
        <f t="shared" ca="1" si="73"/>
        <v/>
      </c>
      <c r="M532" s="21" t="str">
        <f t="shared" ca="1" si="79"/>
        <v/>
      </c>
      <c r="N532" s="37">
        <f t="shared" ca="1" si="74"/>
        <v>0</v>
      </c>
      <c r="O532" s="4">
        <f ca="1">IFERROR(AVERAGEIF(N$5:$N532,"&gt;="&amp;_xlfn.PERCENTILE.EXC(N$5:$N532,0.2)),0)</f>
        <v>0</v>
      </c>
      <c r="Q532" s="21" t="str">
        <f t="shared" ca="1" si="80"/>
        <v/>
      </c>
      <c r="R532" s="37">
        <f t="shared" ca="1" si="75"/>
        <v>0</v>
      </c>
      <c r="S532" s="4">
        <f ca="1">IFERROR(AVERAGE($R$5:R532),0)</f>
        <v>0</v>
      </c>
      <c r="U532" s="21" t="str">
        <f t="shared" ca="1" si="76"/>
        <v/>
      </c>
      <c r="V532" s="4">
        <f ca="1">MIN(S532,PREMISSAS!$C$14)</f>
        <v>0</v>
      </c>
      <c r="W532" s="188"/>
      <c r="X532" s="188"/>
    </row>
    <row r="533" spans="2:24" x14ac:dyDescent="0.3">
      <c r="B533" s="21" t="str">
        <f t="shared" ca="1" si="77"/>
        <v/>
      </c>
      <c r="C533" s="22" t="str">
        <f ca="1">IF(B533="","",IF(LEFT(B533,2)="13",C532,IF(MONTH(B533)=1,C532*(1+PREMISSAS!$C$58),C532)))</f>
        <v/>
      </c>
      <c r="E533" s="18">
        <v>529</v>
      </c>
      <c r="F533" s="21" t="str">
        <f t="shared" ca="1" si="78"/>
        <v/>
      </c>
      <c r="G533" s="22" t="str">
        <f ca="1">IFERROR(VLOOKUP(F533,RESULTADOS!$O$5:$P$543,2,FALSE),VLOOKUP(F533,$B$5:$C$842,2,FALSE))</f>
        <v/>
      </c>
      <c r="H533" s="4" t="e">
        <f ca="1">IF(F533&lt;PREMISSAS!$D$7,0,IFERROR(VLOOKUP(IF(LEFT(F533,2)="13",DATE(YEAR(F532),12,31),F533),IPCA!$A:$D,4,FALSE),1)*G533)</f>
        <v>#VALUE!</v>
      </c>
      <c r="J533" s="21" t="str">
        <f t="shared" ca="1" si="72"/>
        <v/>
      </c>
      <c r="K533" s="4" t="str">
        <f t="shared" ca="1" si="73"/>
        <v/>
      </c>
      <c r="M533" s="21" t="str">
        <f t="shared" ca="1" si="79"/>
        <v/>
      </c>
      <c r="N533" s="37">
        <f t="shared" ca="1" si="74"/>
        <v>0</v>
      </c>
      <c r="O533" s="4">
        <f ca="1">IFERROR(AVERAGEIF(N$5:$N533,"&gt;="&amp;_xlfn.PERCENTILE.EXC(N$5:$N533,0.2)),0)</f>
        <v>0</v>
      </c>
      <c r="Q533" s="21" t="str">
        <f t="shared" ca="1" si="80"/>
        <v/>
      </c>
      <c r="R533" s="37">
        <f t="shared" ca="1" si="75"/>
        <v>0</v>
      </c>
      <c r="S533" s="4">
        <f ca="1">IFERROR(AVERAGE($R$5:R533),0)</f>
        <v>0</v>
      </c>
      <c r="U533" s="21" t="str">
        <f t="shared" ca="1" si="76"/>
        <v/>
      </c>
      <c r="V533" s="4">
        <f ca="1">MIN(S533,PREMISSAS!$C$14)</f>
        <v>0</v>
      </c>
      <c r="W533" s="188"/>
      <c r="X533" s="188"/>
    </row>
    <row r="534" spans="2:24" x14ac:dyDescent="0.3">
      <c r="B534" s="21" t="str">
        <f t="shared" ca="1" si="77"/>
        <v/>
      </c>
      <c r="C534" s="22" t="str">
        <f ca="1">IF(B534="","",IF(LEFT(B534,2)="13",C533,IF(MONTH(B534)=1,C533*(1+PREMISSAS!$C$58),C533)))</f>
        <v/>
      </c>
      <c r="E534" s="18">
        <v>530</v>
      </c>
      <c r="F534" s="21" t="str">
        <f t="shared" ca="1" si="78"/>
        <v/>
      </c>
      <c r="G534" s="22" t="str">
        <f ca="1">IFERROR(VLOOKUP(F534,RESULTADOS!$O$5:$P$543,2,FALSE),VLOOKUP(F534,$B$5:$C$842,2,FALSE))</f>
        <v/>
      </c>
      <c r="H534" s="4" t="e">
        <f ca="1">IF(F534&lt;PREMISSAS!$D$7,0,IFERROR(VLOOKUP(IF(LEFT(F534,2)="13",DATE(YEAR(F533),12,31),F534),IPCA!$A:$D,4,FALSE),1)*G534)</f>
        <v>#VALUE!</v>
      </c>
      <c r="J534" s="21" t="str">
        <f t="shared" ca="1" si="72"/>
        <v/>
      </c>
      <c r="K534" s="4" t="str">
        <f t="shared" ca="1" si="73"/>
        <v/>
      </c>
      <c r="M534" s="21" t="str">
        <f t="shared" ca="1" si="79"/>
        <v/>
      </c>
      <c r="N534" s="37">
        <f t="shared" ca="1" si="74"/>
        <v>0</v>
      </c>
      <c r="O534" s="4">
        <f ca="1">IFERROR(AVERAGEIF(N$5:$N534,"&gt;="&amp;_xlfn.PERCENTILE.EXC(N$5:$N534,0.2)),0)</f>
        <v>0</v>
      </c>
      <c r="Q534" s="21" t="str">
        <f t="shared" ca="1" si="80"/>
        <v/>
      </c>
      <c r="R534" s="37">
        <f t="shared" ca="1" si="75"/>
        <v>0</v>
      </c>
      <c r="S534" s="4">
        <f ca="1">IFERROR(AVERAGE($R$5:R534),0)</f>
        <v>0</v>
      </c>
      <c r="U534" s="21" t="str">
        <f t="shared" ca="1" si="76"/>
        <v/>
      </c>
      <c r="V534" s="4">
        <f ca="1">MIN(S534,PREMISSAS!$C$14)</f>
        <v>0</v>
      </c>
      <c r="W534" s="188"/>
      <c r="X534" s="188"/>
    </row>
    <row r="535" spans="2:24" x14ac:dyDescent="0.3">
      <c r="B535" s="21" t="str">
        <f t="shared" ca="1" si="77"/>
        <v/>
      </c>
      <c r="C535" s="22" t="str">
        <f ca="1">IF(B535="","",IF(LEFT(B535,2)="13",C534,IF(MONTH(B535)=1,C534*(1+PREMISSAS!$C$58),C534)))</f>
        <v/>
      </c>
      <c r="E535" s="18">
        <v>531</v>
      </c>
      <c r="F535" s="21" t="str">
        <f t="shared" ca="1" si="78"/>
        <v/>
      </c>
      <c r="G535" s="22" t="str">
        <f ca="1">IFERROR(VLOOKUP(F535,RESULTADOS!$O$5:$P$543,2,FALSE),VLOOKUP(F535,$B$5:$C$842,2,FALSE))</f>
        <v/>
      </c>
      <c r="H535" s="4" t="e">
        <f ca="1">IF(F535&lt;PREMISSAS!$D$7,0,IFERROR(VLOOKUP(IF(LEFT(F535,2)="13",DATE(YEAR(F534),12,31),F535),IPCA!$A:$D,4,FALSE),1)*G535)</f>
        <v>#VALUE!</v>
      </c>
      <c r="J535" s="21" t="str">
        <f t="shared" ca="1" si="72"/>
        <v/>
      </c>
      <c r="K535" s="4" t="str">
        <f t="shared" ca="1" si="73"/>
        <v/>
      </c>
      <c r="M535" s="21" t="str">
        <f t="shared" ca="1" si="79"/>
        <v/>
      </c>
      <c r="N535" s="37">
        <f t="shared" ca="1" si="74"/>
        <v>0</v>
      </c>
      <c r="O535" s="4">
        <f ca="1">IFERROR(AVERAGEIF(N$5:$N535,"&gt;="&amp;_xlfn.PERCENTILE.EXC(N$5:$N535,0.2)),0)</f>
        <v>0</v>
      </c>
      <c r="Q535" s="21" t="str">
        <f t="shared" ca="1" si="80"/>
        <v/>
      </c>
      <c r="R535" s="37">
        <f t="shared" ca="1" si="75"/>
        <v>0</v>
      </c>
      <c r="S535" s="4">
        <f ca="1">IFERROR(AVERAGE($R$5:R535),0)</f>
        <v>0</v>
      </c>
      <c r="U535" s="21" t="str">
        <f t="shared" ca="1" si="76"/>
        <v/>
      </c>
      <c r="V535" s="4">
        <f ca="1">MIN(S535,PREMISSAS!$C$14)</f>
        <v>0</v>
      </c>
      <c r="W535" s="188"/>
      <c r="X535" s="188"/>
    </row>
    <row r="536" spans="2:24" x14ac:dyDescent="0.3">
      <c r="B536" s="21" t="str">
        <f t="shared" ca="1" si="77"/>
        <v/>
      </c>
      <c r="C536" s="22" t="str">
        <f ca="1">IF(B536="","",IF(LEFT(B536,2)="13",C535,IF(MONTH(B536)=1,C535*(1+PREMISSAS!$C$58),C535)))</f>
        <v/>
      </c>
      <c r="E536" s="18">
        <v>532</v>
      </c>
      <c r="F536" s="21" t="str">
        <f t="shared" ca="1" si="78"/>
        <v/>
      </c>
      <c r="G536" s="22" t="str">
        <f ca="1">IFERROR(VLOOKUP(F536,RESULTADOS!$O$5:$P$543,2,FALSE),VLOOKUP(F536,$B$5:$C$842,2,FALSE))</f>
        <v/>
      </c>
      <c r="H536" s="4" t="e">
        <f ca="1">IF(F536&lt;PREMISSAS!$D$7,0,IFERROR(VLOOKUP(IF(LEFT(F536,2)="13",DATE(YEAR(F535),12,31),F536),IPCA!$A:$D,4,FALSE),1)*G536)</f>
        <v>#VALUE!</v>
      </c>
      <c r="J536" s="21" t="str">
        <f t="shared" ca="1" si="72"/>
        <v/>
      </c>
      <c r="K536" s="4" t="str">
        <f t="shared" ca="1" si="73"/>
        <v/>
      </c>
      <c r="M536" s="21" t="str">
        <f t="shared" ca="1" si="79"/>
        <v/>
      </c>
      <c r="N536" s="37">
        <f t="shared" ca="1" si="74"/>
        <v>0</v>
      </c>
      <c r="O536" s="4">
        <f ca="1">IFERROR(AVERAGEIF(N$5:$N536,"&gt;="&amp;_xlfn.PERCENTILE.EXC(N$5:$N536,0.2)),0)</f>
        <v>0</v>
      </c>
      <c r="Q536" s="21" t="str">
        <f t="shared" ca="1" si="80"/>
        <v/>
      </c>
      <c r="R536" s="37">
        <f t="shared" ca="1" si="75"/>
        <v>0</v>
      </c>
      <c r="S536" s="4">
        <f ca="1">IFERROR(AVERAGE($R$5:R536),0)</f>
        <v>0</v>
      </c>
      <c r="U536" s="21" t="str">
        <f t="shared" ca="1" si="76"/>
        <v/>
      </c>
      <c r="V536" s="4">
        <f ca="1">MIN(S536,PREMISSAS!$C$14)</f>
        <v>0</v>
      </c>
      <c r="W536" s="188"/>
      <c r="X536" s="188"/>
    </row>
    <row r="537" spans="2:24" x14ac:dyDescent="0.3">
      <c r="B537" s="21" t="str">
        <f t="shared" ca="1" si="77"/>
        <v/>
      </c>
      <c r="C537" s="22" t="str">
        <f ca="1">IF(B537="","",IF(LEFT(B537,2)="13",C536,IF(MONTH(B537)=1,C536*(1+PREMISSAS!$C$58),C536)))</f>
        <v/>
      </c>
      <c r="E537" s="18">
        <v>533</v>
      </c>
      <c r="F537" s="21" t="str">
        <f t="shared" ca="1" si="78"/>
        <v/>
      </c>
      <c r="G537" s="22" t="str">
        <f ca="1">IFERROR(VLOOKUP(F537,RESULTADOS!$O$5:$P$543,2,FALSE),VLOOKUP(F537,$B$5:$C$842,2,FALSE))</f>
        <v/>
      </c>
      <c r="H537" s="4" t="e">
        <f ca="1">IF(F537&lt;PREMISSAS!$D$7,0,IFERROR(VLOOKUP(IF(LEFT(F537,2)="13",DATE(YEAR(F536),12,31),F537),IPCA!$A:$D,4,FALSE),1)*G537)</f>
        <v>#VALUE!</v>
      </c>
      <c r="J537" s="21" t="str">
        <f t="shared" ca="1" si="72"/>
        <v/>
      </c>
      <c r="K537" s="4" t="str">
        <f t="shared" ca="1" si="73"/>
        <v/>
      </c>
      <c r="M537" s="21" t="str">
        <f t="shared" ca="1" si="79"/>
        <v/>
      </c>
      <c r="N537" s="37">
        <f t="shared" ca="1" si="74"/>
        <v>0</v>
      </c>
      <c r="O537" s="4">
        <f ca="1">IFERROR(AVERAGEIF(N$5:$N537,"&gt;="&amp;_xlfn.PERCENTILE.EXC(N$5:$N537,0.2)),0)</f>
        <v>0</v>
      </c>
      <c r="Q537" s="21" t="str">
        <f t="shared" ca="1" si="80"/>
        <v/>
      </c>
      <c r="R537" s="37">
        <f t="shared" ca="1" si="75"/>
        <v>0</v>
      </c>
      <c r="S537" s="4">
        <f ca="1">IFERROR(AVERAGE($R$5:R537),0)</f>
        <v>0</v>
      </c>
      <c r="U537" s="21" t="str">
        <f t="shared" ca="1" si="76"/>
        <v/>
      </c>
      <c r="V537" s="4">
        <f ca="1">MIN(S537,PREMISSAS!$C$14)</f>
        <v>0</v>
      </c>
      <c r="W537" s="188"/>
      <c r="X537" s="188"/>
    </row>
    <row r="538" spans="2:24" x14ac:dyDescent="0.3">
      <c r="B538" s="21" t="str">
        <f t="shared" ca="1" si="77"/>
        <v/>
      </c>
      <c r="C538" s="22" t="str">
        <f ca="1">IF(B538="","",IF(LEFT(B538,2)="13",C537,IF(MONTH(B538)=1,C537*(1+PREMISSAS!$C$58),C537)))</f>
        <v/>
      </c>
      <c r="E538" s="18">
        <v>534</v>
      </c>
      <c r="F538" s="21" t="str">
        <f t="shared" ca="1" si="78"/>
        <v/>
      </c>
      <c r="G538" s="22" t="str">
        <f ca="1">IFERROR(VLOOKUP(F538,RESULTADOS!$O$5:$P$543,2,FALSE),VLOOKUP(F538,$B$5:$C$842,2,FALSE))</f>
        <v/>
      </c>
      <c r="H538" s="4" t="e">
        <f ca="1">IF(F538&lt;PREMISSAS!$D$7,0,IFERROR(VLOOKUP(IF(LEFT(F538,2)="13",DATE(YEAR(F537),12,31),F538),IPCA!$A:$D,4,FALSE),1)*G538)</f>
        <v>#VALUE!</v>
      </c>
      <c r="J538" s="21" t="str">
        <f t="shared" ca="1" si="72"/>
        <v/>
      </c>
      <c r="K538" s="4" t="str">
        <f t="shared" ca="1" si="73"/>
        <v/>
      </c>
      <c r="M538" s="21" t="str">
        <f t="shared" ca="1" si="79"/>
        <v/>
      </c>
      <c r="N538" s="37">
        <f t="shared" ca="1" si="74"/>
        <v>0</v>
      </c>
      <c r="O538" s="4">
        <f ca="1">IFERROR(AVERAGEIF(N$5:$N538,"&gt;="&amp;_xlfn.PERCENTILE.EXC(N$5:$N538,0.2)),0)</f>
        <v>0</v>
      </c>
      <c r="Q538" s="21" t="str">
        <f t="shared" ca="1" si="80"/>
        <v/>
      </c>
      <c r="R538" s="37">
        <f t="shared" ca="1" si="75"/>
        <v>0</v>
      </c>
      <c r="S538" s="4">
        <f ca="1">IFERROR(AVERAGE($R$5:R538),0)</f>
        <v>0</v>
      </c>
      <c r="U538" s="21" t="str">
        <f t="shared" ca="1" si="76"/>
        <v/>
      </c>
      <c r="V538" s="4">
        <f ca="1">MIN(S538,PREMISSAS!$C$14)</f>
        <v>0</v>
      </c>
      <c r="W538" s="188"/>
      <c r="X538" s="188"/>
    </row>
    <row r="539" spans="2:24" x14ac:dyDescent="0.3">
      <c r="B539" s="21" t="str">
        <f t="shared" ca="1" si="77"/>
        <v/>
      </c>
      <c r="C539" s="22" t="str">
        <f ca="1">IF(B539="","",IF(LEFT(B539,2)="13",C538,IF(MONTH(B539)=1,C538*(1+PREMISSAS!$C$58),C538)))</f>
        <v/>
      </c>
      <c r="E539" s="18">
        <v>535</v>
      </c>
      <c r="F539" s="21" t="str">
        <f t="shared" ca="1" si="78"/>
        <v/>
      </c>
      <c r="G539" s="22" t="str">
        <f ca="1">IFERROR(VLOOKUP(F539,RESULTADOS!$O$5:$P$543,2,FALSE),VLOOKUP(F539,$B$5:$C$842,2,FALSE))</f>
        <v/>
      </c>
      <c r="H539" s="4" t="e">
        <f ca="1">IF(F539&lt;PREMISSAS!$D$7,0,IFERROR(VLOOKUP(IF(LEFT(F539,2)="13",DATE(YEAR(F538),12,31),F539),IPCA!$A:$D,4,FALSE),1)*G539)</f>
        <v>#VALUE!</v>
      </c>
      <c r="J539" s="21" t="str">
        <f t="shared" ca="1" si="72"/>
        <v/>
      </c>
      <c r="K539" s="4" t="str">
        <f t="shared" ca="1" si="73"/>
        <v/>
      </c>
      <c r="M539" s="21" t="str">
        <f t="shared" ca="1" si="79"/>
        <v/>
      </c>
      <c r="N539" s="37">
        <f t="shared" ca="1" si="74"/>
        <v>0</v>
      </c>
      <c r="O539" s="4">
        <f ca="1">IFERROR(AVERAGEIF(N$5:$N539,"&gt;="&amp;_xlfn.PERCENTILE.EXC(N$5:$N539,0.2)),0)</f>
        <v>0</v>
      </c>
      <c r="Q539" s="21" t="str">
        <f t="shared" ca="1" si="80"/>
        <v/>
      </c>
      <c r="R539" s="37">
        <f t="shared" ca="1" si="75"/>
        <v>0</v>
      </c>
      <c r="S539" s="4">
        <f ca="1">IFERROR(AVERAGE($R$5:R539),0)</f>
        <v>0</v>
      </c>
      <c r="U539" s="21" t="str">
        <f t="shared" ca="1" si="76"/>
        <v/>
      </c>
      <c r="V539" s="4">
        <f ca="1">MIN(S539,PREMISSAS!$C$14)</f>
        <v>0</v>
      </c>
      <c r="W539" s="188"/>
      <c r="X539" s="188"/>
    </row>
    <row r="540" spans="2:24" x14ac:dyDescent="0.3">
      <c r="B540" s="21" t="str">
        <f t="shared" ca="1" si="77"/>
        <v/>
      </c>
      <c r="C540" s="22" t="str">
        <f ca="1">IF(B540="","",IF(LEFT(B540,2)="13",C539,IF(MONTH(B540)=1,C539*(1+PREMISSAS!$C$58),C539)))</f>
        <v/>
      </c>
      <c r="E540" s="18">
        <v>536</v>
      </c>
      <c r="F540" s="21" t="str">
        <f t="shared" ca="1" si="78"/>
        <v/>
      </c>
      <c r="G540" s="22" t="str">
        <f ca="1">IFERROR(VLOOKUP(F540,RESULTADOS!$O$5:$P$543,2,FALSE),VLOOKUP(F540,$B$5:$C$842,2,FALSE))</f>
        <v/>
      </c>
      <c r="H540" s="4" t="e">
        <f ca="1">IF(F540&lt;PREMISSAS!$D$7,0,IFERROR(VLOOKUP(IF(LEFT(F540,2)="13",DATE(YEAR(F539),12,31),F540),IPCA!$A:$D,4,FALSE),1)*G540)</f>
        <v>#VALUE!</v>
      </c>
      <c r="J540" s="21" t="str">
        <f t="shared" ca="1" si="72"/>
        <v/>
      </c>
      <c r="K540" s="4" t="str">
        <f t="shared" ca="1" si="73"/>
        <v/>
      </c>
      <c r="M540" s="21" t="str">
        <f t="shared" ca="1" si="79"/>
        <v/>
      </c>
      <c r="N540" s="37">
        <f t="shared" ca="1" si="74"/>
        <v>0</v>
      </c>
      <c r="O540" s="4">
        <f ca="1">IFERROR(AVERAGEIF(N$5:$N540,"&gt;="&amp;_xlfn.PERCENTILE.EXC(N$5:$N540,0.2)),0)</f>
        <v>0</v>
      </c>
      <c r="Q540" s="21" t="str">
        <f t="shared" ca="1" si="80"/>
        <v/>
      </c>
      <c r="R540" s="37">
        <f t="shared" ca="1" si="75"/>
        <v>0</v>
      </c>
      <c r="S540" s="4">
        <f ca="1">IFERROR(AVERAGE($R$5:R540),0)</f>
        <v>0</v>
      </c>
      <c r="U540" s="21" t="str">
        <f t="shared" ca="1" si="76"/>
        <v/>
      </c>
      <c r="V540" s="4">
        <f ca="1">MIN(S540,PREMISSAS!$C$14)</f>
        <v>0</v>
      </c>
      <c r="W540" s="188"/>
      <c r="X540" s="188"/>
    </row>
    <row r="541" spans="2:24" x14ac:dyDescent="0.3">
      <c r="B541" s="21" t="str">
        <f t="shared" ca="1" si="77"/>
        <v/>
      </c>
      <c r="C541" s="22" t="str">
        <f ca="1">IF(B541="","",IF(LEFT(B541,2)="13",C540,IF(MONTH(B541)=1,C540*(1+PREMISSAS!$C$58),C540)))</f>
        <v/>
      </c>
      <c r="E541" s="18">
        <v>537</v>
      </c>
      <c r="F541" s="21" t="str">
        <f t="shared" ca="1" si="78"/>
        <v/>
      </c>
      <c r="G541" s="22" t="str">
        <f ca="1">IFERROR(VLOOKUP(F541,RESULTADOS!$O$5:$P$543,2,FALSE),VLOOKUP(F541,$B$5:$C$842,2,FALSE))</f>
        <v/>
      </c>
      <c r="H541" s="4" t="e">
        <f ca="1">IF(F541&lt;PREMISSAS!$D$7,0,IFERROR(VLOOKUP(IF(LEFT(F541,2)="13",DATE(YEAR(F540),12,31),F541),IPCA!$A:$D,4,FALSE),1)*G541)</f>
        <v>#VALUE!</v>
      </c>
      <c r="J541" s="21" t="str">
        <f t="shared" ca="1" si="72"/>
        <v/>
      </c>
      <c r="K541" s="4" t="str">
        <f t="shared" ca="1" si="73"/>
        <v/>
      </c>
      <c r="M541" s="21" t="str">
        <f t="shared" ca="1" si="79"/>
        <v/>
      </c>
      <c r="N541" s="37">
        <f t="shared" ca="1" si="74"/>
        <v>0</v>
      </c>
      <c r="O541" s="4">
        <f ca="1">IFERROR(AVERAGEIF(N$5:$N541,"&gt;="&amp;_xlfn.PERCENTILE.EXC(N$5:$N541,0.2)),0)</f>
        <v>0</v>
      </c>
      <c r="Q541" s="21" t="str">
        <f t="shared" ca="1" si="80"/>
        <v/>
      </c>
      <c r="R541" s="37">
        <f t="shared" ca="1" si="75"/>
        <v>0</v>
      </c>
      <c r="S541" s="4">
        <f ca="1">IFERROR(AVERAGE($R$5:R541),0)</f>
        <v>0</v>
      </c>
      <c r="U541" s="21" t="str">
        <f t="shared" ca="1" si="76"/>
        <v/>
      </c>
      <c r="V541" s="4">
        <f ca="1">MIN(S541,PREMISSAS!$C$14)</f>
        <v>0</v>
      </c>
      <c r="W541" s="188"/>
      <c r="X541" s="188"/>
    </row>
    <row r="542" spans="2:24" x14ac:dyDescent="0.3">
      <c r="B542" s="21" t="str">
        <f t="shared" ca="1" si="77"/>
        <v/>
      </c>
      <c r="C542" s="22" t="str">
        <f ca="1">IF(B542="","",IF(LEFT(B542,2)="13",C541,IF(MONTH(B542)=1,C541*(1+PREMISSAS!$C$58),C541)))</f>
        <v/>
      </c>
      <c r="E542" s="18">
        <v>538</v>
      </c>
      <c r="F542" s="21" t="str">
        <f t="shared" ca="1" si="78"/>
        <v/>
      </c>
      <c r="G542" s="22" t="str">
        <f ca="1">IFERROR(VLOOKUP(F542,RESULTADOS!$O$5:$P$543,2,FALSE),VLOOKUP(F542,$B$5:$C$842,2,FALSE))</f>
        <v/>
      </c>
      <c r="H542" s="4" t="e">
        <f ca="1">IF(F542&lt;PREMISSAS!$D$7,0,IFERROR(VLOOKUP(IF(LEFT(F542,2)="13",DATE(YEAR(F541),12,31),F542),IPCA!$A:$D,4,FALSE),1)*G542)</f>
        <v>#VALUE!</v>
      </c>
      <c r="J542" s="21" t="str">
        <f t="shared" ca="1" si="72"/>
        <v/>
      </c>
      <c r="K542" s="4" t="str">
        <f t="shared" ca="1" si="73"/>
        <v/>
      </c>
      <c r="M542" s="21" t="str">
        <f t="shared" ca="1" si="79"/>
        <v/>
      </c>
      <c r="N542" s="37">
        <f t="shared" ca="1" si="74"/>
        <v>0</v>
      </c>
      <c r="O542" s="4">
        <f ca="1">IFERROR(AVERAGEIF(N$5:$N542,"&gt;="&amp;_xlfn.PERCENTILE.EXC(N$5:$N542,0.2)),0)</f>
        <v>0</v>
      </c>
      <c r="Q542" s="21" t="str">
        <f t="shared" ca="1" si="80"/>
        <v/>
      </c>
      <c r="R542" s="37">
        <f t="shared" ca="1" si="75"/>
        <v>0</v>
      </c>
      <c r="S542" s="4">
        <f ca="1">IFERROR(AVERAGE($R$5:R542),0)</f>
        <v>0</v>
      </c>
      <c r="U542" s="21" t="str">
        <f t="shared" ca="1" si="76"/>
        <v/>
      </c>
      <c r="V542" s="4">
        <f ca="1">MIN(S542,PREMISSAS!$C$14)</f>
        <v>0</v>
      </c>
      <c r="W542" s="188"/>
      <c r="X542" s="188"/>
    </row>
    <row r="543" spans="2:24" x14ac:dyDescent="0.3">
      <c r="B543" s="21" t="str">
        <f t="shared" ca="1" si="77"/>
        <v/>
      </c>
      <c r="C543" s="22" t="str">
        <f ca="1">IF(B543="","",IF(LEFT(B543,2)="13",C542,IF(MONTH(B543)=1,C542*(1+PREMISSAS!$C$58),C542)))</f>
        <v/>
      </c>
      <c r="E543" s="18">
        <v>539</v>
      </c>
      <c r="F543" s="21" t="str">
        <f t="shared" ca="1" si="78"/>
        <v/>
      </c>
      <c r="G543" s="22" t="str">
        <f ca="1">IFERROR(VLOOKUP(F543,RESULTADOS!$O$5:$P$543,2,FALSE),VLOOKUP(F543,$B$5:$C$842,2,FALSE))</f>
        <v/>
      </c>
      <c r="H543" s="4" t="e">
        <f ca="1">IF(F543&lt;PREMISSAS!$D$7,0,IFERROR(VLOOKUP(IF(LEFT(F543,2)="13",DATE(YEAR(F542),12,31),F543),IPCA!$A:$D,4,FALSE),1)*G543)</f>
        <v>#VALUE!</v>
      </c>
      <c r="J543" s="21" t="str">
        <f t="shared" ca="1" si="72"/>
        <v/>
      </c>
      <c r="K543" s="4" t="str">
        <f t="shared" ca="1" si="73"/>
        <v/>
      </c>
      <c r="M543" s="21" t="str">
        <f t="shared" ca="1" si="79"/>
        <v/>
      </c>
      <c r="N543" s="37">
        <f t="shared" ca="1" si="74"/>
        <v>0</v>
      </c>
      <c r="O543" s="4">
        <f ca="1">IFERROR(AVERAGEIF(N$5:$N543,"&gt;="&amp;_xlfn.PERCENTILE.EXC(N$5:$N543,0.2)),0)</f>
        <v>0</v>
      </c>
      <c r="Q543" s="21" t="str">
        <f t="shared" ca="1" si="80"/>
        <v/>
      </c>
      <c r="R543" s="37">
        <f t="shared" ca="1" si="75"/>
        <v>0</v>
      </c>
      <c r="S543" s="4">
        <f ca="1">IFERROR(AVERAGE($R$5:R543),0)</f>
        <v>0</v>
      </c>
      <c r="U543" s="21" t="str">
        <f t="shared" ca="1" si="76"/>
        <v/>
      </c>
      <c r="V543" s="4">
        <f ca="1">MIN(S543,PREMISSAS!$C$14)</f>
        <v>0</v>
      </c>
      <c r="W543" s="188"/>
      <c r="X543" s="188"/>
    </row>
    <row r="544" spans="2:24" x14ac:dyDescent="0.3">
      <c r="B544" s="21" t="str">
        <f t="shared" ca="1" si="77"/>
        <v/>
      </c>
      <c r="C544" s="22" t="str">
        <f ca="1">IF(B544="","",IF(LEFT(B544,2)="13",C543,IF(MONTH(B544)=1,C543*(1+PREMISSAS!$C$58),C543)))</f>
        <v/>
      </c>
      <c r="E544" s="18">
        <v>540</v>
      </c>
      <c r="F544" s="21" t="str">
        <f t="shared" ca="1" si="78"/>
        <v/>
      </c>
      <c r="G544" s="22" t="str">
        <f ca="1">IFERROR(VLOOKUP(F544,RESULTADOS!$O$5:$P$543,2,FALSE),VLOOKUP(F544,$B$5:$C$842,2,FALSE))</f>
        <v/>
      </c>
      <c r="H544" s="4" t="e">
        <f ca="1">IF(F544&lt;PREMISSAS!$D$7,0,IFERROR(VLOOKUP(IF(LEFT(F544,2)="13",DATE(YEAR(F543),12,31),F544),IPCA!$A:$D,4,FALSE),1)*G544)</f>
        <v>#VALUE!</v>
      </c>
      <c r="J544" s="21" t="str">
        <f t="shared" ca="1" si="72"/>
        <v/>
      </c>
      <c r="K544" s="4" t="str">
        <f t="shared" ca="1" si="73"/>
        <v/>
      </c>
      <c r="M544" s="21" t="str">
        <f t="shared" ca="1" si="79"/>
        <v/>
      </c>
      <c r="N544" s="37">
        <f t="shared" ca="1" si="74"/>
        <v>0</v>
      </c>
      <c r="O544" s="4">
        <f ca="1">IFERROR(AVERAGEIF(N$5:$N544,"&gt;="&amp;_xlfn.PERCENTILE.EXC(N$5:$N544,0.2)),0)</f>
        <v>0</v>
      </c>
      <c r="Q544" s="21" t="str">
        <f t="shared" ca="1" si="80"/>
        <v/>
      </c>
      <c r="R544" s="37">
        <f t="shared" ca="1" si="75"/>
        <v>0</v>
      </c>
      <c r="S544" s="4">
        <f ca="1">IFERROR(AVERAGE($R$5:R544),0)</f>
        <v>0</v>
      </c>
      <c r="U544" s="21" t="str">
        <f t="shared" ca="1" si="76"/>
        <v/>
      </c>
      <c r="V544" s="4">
        <f ca="1">MIN(S544,PREMISSAS!$C$14)</f>
        <v>0</v>
      </c>
      <c r="W544" s="188"/>
      <c r="X544" s="188"/>
    </row>
    <row r="545" spans="2:24" x14ac:dyDescent="0.3">
      <c r="B545" s="21" t="str">
        <f t="shared" ca="1" si="77"/>
        <v/>
      </c>
      <c r="C545" s="22" t="str">
        <f ca="1">IF(B545="","",IF(LEFT(B545,2)="13",C544,IF(MONTH(B545)=1,C544*(1+PREMISSAS!$C$58),C544)))</f>
        <v/>
      </c>
      <c r="E545" s="18">
        <v>541</v>
      </c>
      <c r="F545" s="21" t="str">
        <f t="shared" ca="1" si="78"/>
        <v/>
      </c>
      <c r="G545" s="22" t="str">
        <f ca="1">IFERROR(VLOOKUP(F545,RESULTADOS!$O$5:$P$543,2,FALSE),VLOOKUP(F545,$B$5:$C$842,2,FALSE))</f>
        <v/>
      </c>
      <c r="H545" s="4" t="e">
        <f ca="1">IF(F545&lt;PREMISSAS!$D$7,0,IFERROR(VLOOKUP(IF(LEFT(F545,2)="13",DATE(YEAR(F544),12,31),F545),IPCA!$A:$D,4,FALSE),1)*G545)</f>
        <v>#VALUE!</v>
      </c>
      <c r="J545" s="21" t="str">
        <f t="shared" ca="1" si="72"/>
        <v/>
      </c>
      <c r="K545" s="4" t="str">
        <f t="shared" ca="1" si="73"/>
        <v/>
      </c>
      <c r="M545" s="21" t="str">
        <f t="shared" ca="1" si="79"/>
        <v/>
      </c>
      <c r="N545" s="37">
        <f t="shared" ca="1" si="74"/>
        <v>0</v>
      </c>
      <c r="O545" s="4">
        <f ca="1">IFERROR(AVERAGEIF(N$5:$N545,"&gt;="&amp;_xlfn.PERCENTILE.EXC(N$5:$N545,0.2)),0)</f>
        <v>0</v>
      </c>
      <c r="Q545" s="21" t="str">
        <f t="shared" ca="1" si="80"/>
        <v/>
      </c>
      <c r="R545" s="37">
        <f t="shared" ca="1" si="75"/>
        <v>0</v>
      </c>
      <c r="S545" s="4">
        <f ca="1">IFERROR(AVERAGE($R$5:R545),0)</f>
        <v>0</v>
      </c>
      <c r="U545" s="21" t="str">
        <f t="shared" ca="1" si="76"/>
        <v/>
      </c>
      <c r="V545" s="4">
        <f ca="1">MIN(S545,PREMISSAS!$C$14)</f>
        <v>0</v>
      </c>
      <c r="W545" s="188"/>
      <c r="X545" s="188"/>
    </row>
    <row r="546" spans="2:24" x14ac:dyDescent="0.3">
      <c r="B546" s="21" t="str">
        <f t="shared" ca="1" si="77"/>
        <v/>
      </c>
      <c r="C546" s="22" t="str">
        <f ca="1">IF(B546="","",IF(LEFT(B546,2)="13",C545,IF(MONTH(B546)=1,C545*(1+PREMISSAS!$C$58),C545)))</f>
        <v/>
      </c>
      <c r="E546" s="18">
        <v>542</v>
      </c>
      <c r="F546" s="21" t="str">
        <f t="shared" ca="1" si="78"/>
        <v/>
      </c>
      <c r="G546" s="22" t="str">
        <f ca="1">IFERROR(VLOOKUP(F546,RESULTADOS!$O$5:$P$543,2,FALSE),VLOOKUP(F546,$B$5:$C$842,2,FALSE))</f>
        <v/>
      </c>
      <c r="H546" s="4" t="e">
        <f ca="1">IF(F546&lt;PREMISSAS!$D$7,0,IFERROR(VLOOKUP(IF(LEFT(F546,2)="13",DATE(YEAR(F545),12,31),F546),IPCA!$A:$D,4,FALSE),1)*G546)</f>
        <v>#VALUE!</v>
      </c>
      <c r="J546" s="21" t="str">
        <f t="shared" ca="1" si="72"/>
        <v/>
      </c>
      <c r="K546" s="4" t="str">
        <f t="shared" ca="1" si="73"/>
        <v/>
      </c>
      <c r="M546" s="21" t="str">
        <f t="shared" ca="1" si="79"/>
        <v/>
      </c>
      <c r="N546" s="37">
        <f t="shared" ca="1" si="74"/>
        <v>0</v>
      </c>
      <c r="O546" s="4">
        <f ca="1">IFERROR(AVERAGEIF(N$5:$N546,"&gt;="&amp;_xlfn.PERCENTILE.EXC(N$5:$N546,0.2)),0)</f>
        <v>0</v>
      </c>
      <c r="Q546" s="21" t="str">
        <f t="shared" ca="1" si="80"/>
        <v/>
      </c>
      <c r="R546" s="37">
        <f t="shared" ca="1" si="75"/>
        <v>0</v>
      </c>
      <c r="S546" s="4">
        <f ca="1">IFERROR(AVERAGE($R$5:R546),0)</f>
        <v>0</v>
      </c>
      <c r="U546" s="21" t="str">
        <f t="shared" ca="1" si="76"/>
        <v/>
      </c>
      <c r="V546" s="4">
        <f ca="1">MIN(S546,PREMISSAS!$C$14)</f>
        <v>0</v>
      </c>
      <c r="W546" s="188"/>
      <c r="X546" s="188"/>
    </row>
    <row r="547" spans="2:24" x14ac:dyDescent="0.3">
      <c r="B547" s="21" t="str">
        <f t="shared" ca="1" si="77"/>
        <v/>
      </c>
      <c r="C547" s="22" t="str">
        <f ca="1">IF(B547="","",IF(LEFT(B547,2)="13",C546,IF(MONTH(B547)=1,C546*(1+PREMISSAS!$C$58),C546)))</f>
        <v/>
      </c>
      <c r="E547" s="18">
        <v>543</v>
      </c>
      <c r="F547" s="21" t="str">
        <f t="shared" ca="1" si="78"/>
        <v/>
      </c>
      <c r="G547" s="22" t="str">
        <f ca="1">IFERROR(VLOOKUP(F547,RESULTADOS!$O$5:$P$543,2,FALSE),VLOOKUP(F547,$B$5:$C$842,2,FALSE))</f>
        <v/>
      </c>
      <c r="H547" s="4" t="e">
        <f ca="1">IF(F547&lt;PREMISSAS!$D$7,0,IFERROR(VLOOKUP(IF(LEFT(F547,2)="13",DATE(YEAR(F546),12,31),F547),IPCA!$A:$D,4,FALSE),1)*G547)</f>
        <v>#VALUE!</v>
      </c>
      <c r="J547" s="21" t="str">
        <f t="shared" ca="1" si="72"/>
        <v/>
      </c>
      <c r="K547" s="4" t="str">
        <f t="shared" ca="1" si="73"/>
        <v/>
      </c>
      <c r="M547" s="21" t="str">
        <f t="shared" ca="1" si="79"/>
        <v/>
      </c>
      <c r="N547" s="37">
        <f t="shared" ca="1" si="74"/>
        <v>0</v>
      </c>
      <c r="O547" s="4">
        <f ca="1">IFERROR(AVERAGEIF(N$5:$N547,"&gt;="&amp;_xlfn.PERCENTILE.EXC(N$5:$N547,0.2)),0)</f>
        <v>0</v>
      </c>
      <c r="Q547" s="21" t="str">
        <f t="shared" ca="1" si="80"/>
        <v/>
      </c>
      <c r="R547" s="37">
        <f t="shared" ca="1" si="75"/>
        <v>0</v>
      </c>
      <c r="S547" s="4">
        <f ca="1">IFERROR(AVERAGE($R$5:R547),0)</f>
        <v>0</v>
      </c>
      <c r="U547" s="21" t="str">
        <f t="shared" ca="1" si="76"/>
        <v/>
      </c>
      <c r="V547" s="4">
        <f ca="1">MIN(S547,PREMISSAS!$C$14)</f>
        <v>0</v>
      </c>
      <c r="W547" s="188"/>
      <c r="X547" s="188"/>
    </row>
    <row r="548" spans="2:24" x14ac:dyDescent="0.3">
      <c r="B548" s="21" t="str">
        <f t="shared" ca="1" si="77"/>
        <v/>
      </c>
      <c r="C548" s="22" t="str">
        <f ca="1">IF(B548="","",IF(LEFT(B548,2)="13",C547,IF(MONTH(B548)=1,C547*(1+PREMISSAS!$C$58),C547)))</f>
        <v/>
      </c>
      <c r="E548" s="18">
        <v>544</v>
      </c>
      <c r="F548" s="21" t="str">
        <f t="shared" ca="1" si="78"/>
        <v/>
      </c>
      <c r="G548" s="22" t="str">
        <f ca="1">IFERROR(VLOOKUP(F548,RESULTADOS!$O$5:$P$543,2,FALSE),VLOOKUP(F548,$B$5:$C$842,2,FALSE))</f>
        <v/>
      </c>
      <c r="H548" s="4" t="e">
        <f ca="1">IF(F548&lt;PREMISSAS!$D$7,0,IFERROR(VLOOKUP(IF(LEFT(F548,2)="13",DATE(YEAR(F547),12,31),F548),IPCA!$A:$D,4,FALSE),1)*G548)</f>
        <v>#VALUE!</v>
      </c>
      <c r="J548" s="21" t="str">
        <f t="shared" ca="1" si="72"/>
        <v/>
      </c>
      <c r="K548" s="4" t="str">
        <f t="shared" ca="1" si="73"/>
        <v/>
      </c>
      <c r="M548" s="21" t="str">
        <f t="shared" ca="1" si="79"/>
        <v/>
      </c>
      <c r="N548" s="37">
        <f t="shared" ca="1" si="74"/>
        <v>0</v>
      </c>
      <c r="O548" s="4">
        <f ca="1">IFERROR(AVERAGEIF(N$5:$N548,"&gt;="&amp;_xlfn.PERCENTILE.EXC(N$5:$N548,0.2)),0)</f>
        <v>0</v>
      </c>
      <c r="Q548" s="21" t="str">
        <f t="shared" ca="1" si="80"/>
        <v/>
      </c>
      <c r="R548" s="37">
        <f t="shared" ca="1" si="75"/>
        <v>0</v>
      </c>
      <c r="S548" s="4">
        <f ca="1">IFERROR(AVERAGE($R$5:R548),0)</f>
        <v>0</v>
      </c>
      <c r="U548" s="21" t="str">
        <f t="shared" ca="1" si="76"/>
        <v/>
      </c>
      <c r="V548" s="4">
        <f ca="1">MIN(S548,PREMISSAS!$C$14)</f>
        <v>0</v>
      </c>
      <c r="W548" s="188"/>
      <c r="X548" s="188"/>
    </row>
    <row r="549" spans="2:24" x14ac:dyDescent="0.3">
      <c r="B549" s="21" t="str">
        <f t="shared" ca="1" si="77"/>
        <v/>
      </c>
      <c r="C549" s="22" t="str">
        <f ca="1">IF(B549="","",IF(LEFT(B549,2)="13",C548,IF(MONTH(B549)=1,C548*(1+PREMISSAS!$C$58),C548)))</f>
        <v/>
      </c>
      <c r="E549" s="18">
        <v>545</v>
      </c>
      <c r="F549" s="21" t="str">
        <f t="shared" ca="1" si="78"/>
        <v/>
      </c>
      <c r="G549" s="22" t="str">
        <f ca="1">IFERROR(VLOOKUP(F549,RESULTADOS!$O$5:$P$543,2,FALSE),VLOOKUP(F549,$B$5:$C$842,2,FALSE))</f>
        <v/>
      </c>
      <c r="H549" s="4" t="e">
        <f ca="1">IF(F549&lt;PREMISSAS!$D$7,0,IFERROR(VLOOKUP(IF(LEFT(F549,2)="13",DATE(YEAR(F548),12,31),F549),IPCA!$A:$D,4,FALSE),1)*G549)</f>
        <v>#VALUE!</v>
      </c>
      <c r="J549" s="21" t="str">
        <f t="shared" ca="1" si="72"/>
        <v/>
      </c>
      <c r="K549" s="4" t="str">
        <f t="shared" ca="1" si="73"/>
        <v/>
      </c>
      <c r="M549" s="21" t="str">
        <f t="shared" ca="1" si="79"/>
        <v/>
      </c>
      <c r="N549" s="37">
        <f t="shared" ca="1" si="74"/>
        <v>0</v>
      </c>
      <c r="O549" s="4">
        <f ca="1">IFERROR(AVERAGEIF(N$5:$N549,"&gt;="&amp;_xlfn.PERCENTILE.EXC(N$5:$N549,0.2)),0)</f>
        <v>0</v>
      </c>
      <c r="Q549" s="21" t="str">
        <f t="shared" ca="1" si="80"/>
        <v/>
      </c>
      <c r="R549" s="37">
        <f t="shared" ca="1" si="75"/>
        <v>0</v>
      </c>
      <c r="S549" s="4">
        <f ca="1">IFERROR(AVERAGE($R$5:R549),0)</f>
        <v>0</v>
      </c>
      <c r="U549" s="21" t="str">
        <f t="shared" ca="1" si="76"/>
        <v/>
      </c>
      <c r="V549" s="4">
        <f ca="1">MIN(S549,PREMISSAS!$C$14)</f>
        <v>0</v>
      </c>
      <c r="W549" s="188"/>
      <c r="X549" s="188"/>
    </row>
    <row r="550" spans="2:24" x14ac:dyDescent="0.3">
      <c r="B550" s="21" t="str">
        <f t="shared" ca="1" si="77"/>
        <v/>
      </c>
      <c r="C550" s="22" t="str">
        <f ca="1">IF(B550="","",IF(LEFT(B550,2)="13",C549,IF(MONTH(B550)=1,C549*(1+PREMISSAS!$C$58),C549)))</f>
        <v/>
      </c>
      <c r="E550" s="18">
        <v>546</v>
      </c>
      <c r="F550" s="21" t="str">
        <f t="shared" ca="1" si="78"/>
        <v/>
      </c>
      <c r="G550" s="22" t="str">
        <f ca="1">IFERROR(VLOOKUP(F550,RESULTADOS!$O$5:$P$543,2,FALSE),VLOOKUP(F550,$B$5:$C$842,2,FALSE))</f>
        <v/>
      </c>
      <c r="H550" s="4" t="e">
        <f ca="1">IF(F550&lt;PREMISSAS!$D$7,0,IFERROR(VLOOKUP(IF(LEFT(F550,2)="13",DATE(YEAR(F549),12,31),F550),IPCA!$A:$D,4,FALSE),1)*G550)</f>
        <v>#VALUE!</v>
      </c>
      <c r="J550" s="21" t="str">
        <f t="shared" ca="1" si="72"/>
        <v/>
      </c>
      <c r="K550" s="4" t="str">
        <f t="shared" ca="1" si="73"/>
        <v/>
      </c>
      <c r="M550" s="21" t="str">
        <f t="shared" ca="1" si="79"/>
        <v/>
      </c>
      <c r="N550" s="37">
        <f t="shared" ca="1" si="74"/>
        <v>0</v>
      </c>
      <c r="O550" s="4">
        <f ca="1">IFERROR(AVERAGEIF(N$5:$N550,"&gt;="&amp;_xlfn.PERCENTILE.EXC(N$5:$N550,0.2)),0)</f>
        <v>0</v>
      </c>
      <c r="Q550" s="21" t="str">
        <f t="shared" ca="1" si="80"/>
        <v/>
      </c>
      <c r="R550" s="37">
        <f t="shared" ca="1" si="75"/>
        <v>0</v>
      </c>
      <c r="S550" s="4">
        <f ca="1">IFERROR(AVERAGE($R$5:R550),0)</f>
        <v>0</v>
      </c>
      <c r="U550" s="21" t="str">
        <f t="shared" ca="1" si="76"/>
        <v/>
      </c>
      <c r="V550" s="4">
        <f ca="1">MIN(S550,PREMISSAS!$C$14)</f>
        <v>0</v>
      </c>
      <c r="W550" s="188"/>
      <c r="X550" s="188"/>
    </row>
    <row r="551" spans="2:24" x14ac:dyDescent="0.3">
      <c r="B551" s="21" t="str">
        <f t="shared" ca="1" si="77"/>
        <v/>
      </c>
      <c r="C551" s="22" t="str">
        <f ca="1">IF(B551="","",IF(LEFT(B551,2)="13",C550,IF(MONTH(B551)=1,C550*(1+PREMISSAS!$C$58),C550)))</f>
        <v/>
      </c>
      <c r="E551" s="18">
        <v>547</v>
      </c>
      <c r="F551" s="21" t="str">
        <f t="shared" ca="1" si="78"/>
        <v/>
      </c>
      <c r="G551" s="22" t="str">
        <f ca="1">IFERROR(VLOOKUP(F551,RESULTADOS!$O$5:$P$543,2,FALSE),VLOOKUP(F551,$B$5:$C$842,2,FALSE))</f>
        <v/>
      </c>
      <c r="H551" s="4" t="e">
        <f ca="1">IF(F551&lt;PREMISSAS!$D$7,0,IFERROR(VLOOKUP(IF(LEFT(F551,2)="13",DATE(YEAR(F550),12,31),F551),IPCA!$A:$D,4,FALSE),1)*G551)</f>
        <v>#VALUE!</v>
      </c>
      <c r="J551" s="21" t="str">
        <f t="shared" ca="1" si="72"/>
        <v/>
      </c>
      <c r="K551" s="4" t="str">
        <f t="shared" ca="1" si="73"/>
        <v/>
      </c>
      <c r="M551" s="21" t="str">
        <f t="shared" ca="1" si="79"/>
        <v/>
      </c>
      <c r="N551" s="37">
        <f t="shared" ca="1" si="74"/>
        <v>0</v>
      </c>
      <c r="O551" s="4">
        <f ca="1">IFERROR(AVERAGEIF(N$5:$N551,"&gt;="&amp;_xlfn.PERCENTILE.EXC(N$5:$N551,0.2)),0)</f>
        <v>0</v>
      </c>
      <c r="Q551" s="21" t="str">
        <f t="shared" ca="1" si="80"/>
        <v/>
      </c>
      <c r="R551" s="37">
        <f t="shared" ca="1" si="75"/>
        <v>0</v>
      </c>
      <c r="S551" s="4">
        <f ca="1">IFERROR(AVERAGE($R$5:R551),0)</f>
        <v>0</v>
      </c>
      <c r="U551" s="21" t="str">
        <f t="shared" ca="1" si="76"/>
        <v/>
      </c>
      <c r="V551" s="4">
        <f ca="1">MIN(S551,PREMISSAS!$C$14)</f>
        <v>0</v>
      </c>
      <c r="W551" s="188"/>
      <c r="X551" s="188"/>
    </row>
    <row r="552" spans="2:24" x14ac:dyDescent="0.3">
      <c r="B552" s="21" t="str">
        <f t="shared" ca="1" si="77"/>
        <v/>
      </c>
      <c r="C552" s="22" t="str">
        <f ca="1">IF(B552="","",IF(LEFT(B552,2)="13",C551,IF(MONTH(B552)=1,C551*(1+PREMISSAS!$C$58),C551)))</f>
        <v/>
      </c>
      <c r="E552" s="18">
        <v>548</v>
      </c>
      <c r="F552" s="21" t="str">
        <f t="shared" ca="1" si="78"/>
        <v/>
      </c>
      <c r="G552" s="22" t="str">
        <f ca="1">IFERROR(VLOOKUP(F552,RESULTADOS!$O$5:$P$543,2,FALSE),VLOOKUP(F552,$B$5:$C$842,2,FALSE))</f>
        <v/>
      </c>
      <c r="H552" s="4" t="e">
        <f ca="1">IF(F552&lt;PREMISSAS!$D$7,0,IFERROR(VLOOKUP(IF(LEFT(F552,2)="13",DATE(YEAR(F551),12,31),F552),IPCA!$A:$D,4,FALSE),1)*G552)</f>
        <v>#VALUE!</v>
      </c>
      <c r="J552" s="21" t="str">
        <f t="shared" ca="1" si="72"/>
        <v/>
      </c>
      <c r="K552" s="4" t="str">
        <f t="shared" ca="1" si="73"/>
        <v/>
      </c>
      <c r="M552" s="21" t="str">
        <f t="shared" ca="1" si="79"/>
        <v/>
      </c>
      <c r="N552" s="37">
        <f t="shared" ca="1" si="74"/>
        <v>0</v>
      </c>
      <c r="O552" s="4">
        <f ca="1">IFERROR(AVERAGEIF(N$5:$N552,"&gt;="&amp;_xlfn.PERCENTILE.EXC(N$5:$N552,0.2)),0)</f>
        <v>0</v>
      </c>
      <c r="Q552" s="21" t="str">
        <f t="shared" ca="1" si="80"/>
        <v/>
      </c>
      <c r="R552" s="37">
        <f t="shared" ca="1" si="75"/>
        <v>0</v>
      </c>
      <c r="S552" s="4">
        <f ca="1">IFERROR(AVERAGE($R$5:R552),0)</f>
        <v>0</v>
      </c>
      <c r="U552" s="21" t="str">
        <f t="shared" ca="1" si="76"/>
        <v/>
      </c>
      <c r="V552" s="4">
        <f ca="1">MIN(S552,PREMISSAS!$C$14)</f>
        <v>0</v>
      </c>
      <c r="W552" s="188"/>
      <c r="X552" s="188"/>
    </row>
    <row r="553" spans="2:24" x14ac:dyDescent="0.3">
      <c r="B553" s="21" t="str">
        <f t="shared" ca="1" si="77"/>
        <v/>
      </c>
      <c r="C553" s="22" t="str">
        <f ca="1">IF(B553="","",IF(LEFT(B553,2)="13",C552,IF(MONTH(B553)=1,C552*(1+PREMISSAS!$C$58),C552)))</f>
        <v/>
      </c>
      <c r="E553" s="18">
        <v>549</v>
      </c>
      <c r="F553" s="21" t="str">
        <f t="shared" ca="1" si="78"/>
        <v/>
      </c>
      <c r="G553" s="22" t="str">
        <f ca="1">IFERROR(VLOOKUP(F553,RESULTADOS!$O$5:$P$543,2,FALSE),VLOOKUP(F553,$B$5:$C$842,2,FALSE))</f>
        <v/>
      </c>
      <c r="H553" s="4" t="e">
        <f ca="1">IF(F553&lt;PREMISSAS!$D$7,0,IFERROR(VLOOKUP(IF(LEFT(F553,2)="13",DATE(YEAR(F552),12,31),F553),IPCA!$A:$D,4,FALSE),1)*G553)</f>
        <v>#VALUE!</v>
      </c>
      <c r="J553" s="21" t="str">
        <f t="shared" ca="1" si="72"/>
        <v/>
      </c>
      <c r="K553" s="4" t="str">
        <f t="shared" ca="1" si="73"/>
        <v/>
      </c>
      <c r="M553" s="21" t="str">
        <f t="shared" ca="1" si="79"/>
        <v/>
      </c>
      <c r="N553" s="37">
        <f t="shared" ca="1" si="74"/>
        <v>0</v>
      </c>
      <c r="O553" s="4">
        <f ca="1">IFERROR(AVERAGEIF(N$5:$N553,"&gt;="&amp;_xlfn.PERCENTILE.EXC(N$5:$N553,0.2)),0)</f>
        <v>0</v>
      </c>
      <c r="Q553" s="21" t="str">
        <f t="shared" ca="1" si="80"/>
        <v/>
      </c>
      <c r="R553" s="37">
        <f t="shared" ca="1" si="75"/>
        <v>0</v>
      </c>
      <c r="S553" s="4">
        <f ca="1">IFERROR(AVERAGE($R$5:R553),0)</f>
        <v>0</v>
      </c>
      <c r="U553" s="21" t="str">
        <f t="shared" ca="1" si="76"/>
        <v/>
      </c>
      <c r="V553" s="4">
        <f ca="1">MIN(S553,PREMISSAS!$C$14)</f>
        <v>0</v>
      </c>
      <c r="W553" s="188"/>
      <c r="X553" s="188"/>
    </row>
    <row r="554" spans="2:24" x14ac:dyDescent="0.3">
      <c r="B554" s="21" t="str">
        <f t="shared" ca="1" si="77"/>
        <v/>
      </c>
      <c r="C554" s="22" t="str">
        <f ca="1">IF(B554="","",IF(LEFT(B554,2)="13",C553,IF(MONTH(B554)=1,C553*(1+PREMISSAS!$C$58),C553)))</f>
        <v/>
      </c>
      <c r="E554" s="18">
        <v>550</v>
      </c>
      <c r="F554" s="21" t="str">
        <f t="shared" ca="1" si="78"/>
        <v/>
      </c>
      <c r="G554" s="22" t="str">
        <f ca="1">IFERROR(VLOOKUP(F554,RESULTADOS!$O$5:$P$543,2,FALSE),VLOOKUP(F554,$B$5:$C$842,2,FALSE))</f>
        <v/>
      </c>
      <c r="H554" s="4" t="e">
        <f ca="1">IF(F554&lt;PREMISSAS!$D$7,0,IFERROR(VLOOKUP(IF(LEFT(F554,2)="13",DATE(YEAR(F553),12,31),F554),IPCA!$A:$D,4,FALSE),1)*G554)</f>
        <v>#VALUE!</v>
      </c>
      <c r="J554" s="21" t="str">
        <f t="shared" ca="1" si="72"/>
        <v/>
      </c>
      <c r="K554" s="4" t="str">
        <f t="shared" ca="1" si="73"/>
        <v/>
      </c>
      <c r="M554" s="21" t="str">
        <f t="shared" ca="1" si="79"/>
        <v/>
      </c>
      <c r="N554" s="37">
        <f t="shared" ca="1" si="74"/>
        <v>0</v>
      </c>
      <c r="O554" s="4">
        <f ca="1">IFERROR(AVERAGEIF(N$5:$N554,"&gt;="&amp;_xlfn.PERCENTILE.EXC(N$5:$N554,0.2)),0)</f>
        <v>0</v>
      </c>
      <c r="Q554" s="21" t="str">
        <f t="shared" ca="1" si="80"/>
        <v/>
      </c>
      <c r="R554" s="37">
        <f t="shared" ca="1" si="75"/>
        <v>0</v>
      </c>
      <c r="S554" s="4">
        <f ca="1">IFERROR(AVERAGE($R$5:R554),0)</f>
        <v>0</v>
      </c>
      <c r="U554" s="21" t="str">
        <f t="shared" ca="1" si="76"/>
        <v/>
      </c>
      <c r="V554" s="4">
        <f ca="1">MIN(S554,PREMISSAS!$C$14)</f>
        <v>0</v>
      </c>
      <c r="W554" s="188"/>
      <c r="X554" s="188"/>
    </row>
    <row r="555" spans="2:24" x14ac:dyDescent="0.3">
      <c r="B555" s="21" t="str">
        <f t="shared" ca="1" si="77"/>
        <v/>
      </c>
      <c r="C555" s="22" t="str">
        <f ca="1">IF(B555="","",IF(LEFT(B555,2)="13",C554,IF(MONTH(B555)=1,C554*(1+PREMISSAS!$C$58),C554)))</f>
        <v/>
      </c>
      <c r="E555" s="18">
        <v>551</v>
      </c>
      <c r="F555" s="21" t="str">
        <f t="shared" ca="1" si="78"/>
        <v/>
      </c>
      <c r="G555" s="22" t="str">
        <f ca="1">IFERROR(VLOOKUP(F555,RESULTADOS!$O$5:$P$543,2,FALSE),VLOOKUP(F555,$B$5:$C$842,2,FALSE))</f>
        <v/>
      </c>
      <c r="H555" s="4" t="e">
        <f ca="1">IF(F555&lt;PREMISSAS!$D$7,0,IFERROR(VLOOKUP(IF(LEFT(F555,2)="13",DATE(YEAR(F554),12,31),F555),IPCA!$A:$D,4,FALSE),1)*G555)</f>
        <v>#VALUE!</v>
      </c>
      <c r="J555" s="21" t="str">
        <f t="shared" ca="1" si="72"/>
        <v/>
      </c>
      <c r="K555" s="4" t="str">
        <f t="shared" ca="1" si="73"/>
        <v/>
      </c>
      <c r="M555" s="21" t="str">
        <f t="shared" ca="1" si="79"/>
        <v/>
      </c>
      <c r="N555" s="37">
        <f t="shared" ca="1" si="74"/>
        <v>0</v>
      </c>
      <c r="O555" s="4">
        <f ca="1">IFERROR(AVERAGEIF(N$5:$N555,"&gt;="&amp;_xlfn.PERCENTILE.EXC(N$5:$N555,0.2)),0)</f>
        <v>0</v>
      </c>
      <c r="Q555" s="21" t="str">
        <f t="shared" ca="1" si="80"/>
        <v/>
      </c>
      <c r="R555" s="37">
        <f t="shared" ca="1" si="75"/>
        <v>0</v>
      </c>
      <c r="S555" s="4">
        <f ca="1">IFERROR(AVERAGE($R$5:R555),0)</f>
        <v>0</v>
      </c>
      <c r="U555" s="21" t="str">
        <f t="shared" ca="1" si="76"/>
        <v/>
      </c>
      <c r="V555" s="4">
        <f ca="1">MIN(S555,PREMISSAS!$C$14)</f>
        <v>0</v>
      </c>
      <c r="W555" s="188"/>
      <c r="X555" s="188"/>
    </row>
    <row r="556" spans="2:24" x14ac:dyDescent="0.3">
      <c r="B556" s="21" t="str">
        <f t="shared" ca="1" si="77"/>
        <v/>
      </c>
      <c r="C556" s="22" t="str">
        <f ca="1">IF(B556="","",IF(LEFT(B556,2)="13",C555,IF(MONTH(B556)=1,C555*(1+PREMISSAS!$C$58),C555)))</f>
        <v/>
      </c>
      <c r="E556" s="18">
        <v>552</v>
      </c>
      <c r="F556" s="21" t="str">
        <f t="shared" ca="1" si="78"/>
        <v/>
      </c>
      <c r="G556" s="22" t="str">
        <f ca="1">IFERROR(VLOOKUP(F556,RESULTADOS!$O$5:$P$543,2,FALSE),VLOOKUP(F556,$B$5:$C$842,2,FALSE))</f>
        <v/>
      </c>
      <c r="H556" s="4" t="e">
        <f ca="1">IF(F556&lt;PREMISSAS!$D$7,0,IFERROR(VLOOKUP(IF(LEFT(F556,2)="13",DATE(YEAR(F555),12,31),F556),IPCA!$A:$D,4,FALSE),1)*G556)</f>
        <v>#VALUE!</v>
      </c>
      <c r="J556" s="21" t="str">
        <f t="shared" ca="1" si="72"/>
        <v/>
      </c>
      <c r="K556" s="4" t="str">
        <f t="shared" ca="1" si="73"/>
        <v/>
      </c>
      <c r="M556" s="21" t="str">
        <f t="shared" ca="1" si="79"/>
        <v/>
      </c>
      <c r="N556" s="37">
        <f t="shared" ca="1" si="74"/>
        <v>0</v>
      </c>
      <c r="O556" s="4">
        <f ca="1">IFERROR(AVERAGEIF(N$5:$N556,"&gt;="&amp;_xlfn.PERCENTILE.EXC(N$5:$N556,0.2)),0)</f>
        <v>0</v>
      </c>
      <c r="Q556" s="21" t="str">
        <f t="shared" ca="1" si="80"/>
        <v/>
      </c>
      <c r="R556" s="37">
        <f t="shared" ca="1" si="75"/>
        <v>0</v>
      </c>
      <c r="S556" s="4">
        <f ca="1">IFERROR(AVERAGE($R$5:R556),0)</f>
        <v>0</v>
      </c>
      <c r="U556" s="21" t="str">
        <f t="shared" ca="1" si="76"/>
        <v/>
      </c>
      <c r="V556" s="4">
        <f ca="1">MIN(S556,PREMISSAS!$C$14)</f>
        <v>0</v>
      </c>
      <c r="W556" s="188"/>
      <c r="X556" s="188"/>
    </row>
    <row r="557" spans="2:24" x14ac:dyDescent="0.3">
      <c r="B557" s="21" t="str">
        <f t="shared" ca="1" si="77"/>
        <v/>
      </c>
      <c r="C557" s="22" t="str">
        <f ca="1">IF(B557="","",IF(LEFT(B557,2)="13",C556,IF(MONTH(B557)=1,C556*(1+PREMISSAS!$C$58),C556)))</f>
        <v/>
      </c>
      <c r="E557" s="18">
        <v>553</v>
      </c>
      <c r="F557" s="21" t="str">
        <f t="shared" ca="1" si="78"/>
        <v/>
      </c>
      <c r="G557" s="22" t="str">
        <f ca="1">IFERROR(VLOOKUP(F557,RESULTADOS!$O$5:$P$543,2,FALSE),VLOOKUP(F557,$B$5:$C$842,2,FALSE))</f>
        <v/>
      </c>
      <c r="H557" s="4" t="e">
        <f ca="1">IF(F557&lt;PREMISSAS!$D$7,0,IFERROR(VLOOKUP(IF(LEFT(F557,2)="13",DATE(YEAR(F556),12,31),F557),IPCA!$A:$D,4,FALSE),1)*G557)</f>
        <v>#VALUE!</v>
      </c>
      <c r="J557" s="21" t="str">
        <f t="shared" ca="1" si="72"/>
        <v/>
      </c>
      <c r="K557" s="4" t="str">
        <f t="shared" ca="1" si="73"/>
        <v/>
      </c>
      <c r="M557" s="21" t="str">
        <f t="shared" ca="1" si="79"/>
        <v/>
      </c>
      <c r="N557" s="37">
        <f t="shared" ca="1" si="74"/>
        <v>0</v>
      </c>
      <c r="O557" s="4">
        <f ca="1">IFERROR(AVERAGEIF(N$5:$N557,"&gt;="&amp;_xlfn.PERCENTILE.EXC(N$5:$N557,0.2)),0)</f>
        <v>0</v>
      </c>
      <c r="Q557" s="21" t="str">
        <f t="shared" ca="1" si="80"/>
        <v/>
      </c>
      <c r="R557" s="37">
        <f t="shared" ca="1" si="75"/>
        <v>0</v>
      </c>
      <c r="S557" s="4">
        <f ca="1">IFERROR(AVERAGE($R$5:R557),0)</f>
        <v>0</v>
      </c>
      <c r="U557" s="21" t="str">
        <f t="shared" ca="1" si="76"/>
        <v/>
      </c>
      <c r="V557" s="4">
        <f ca="1">MIN(S557,PREMISSAS!$C$14)</f>
        <v>0</v>
      </c>
      <c r="W557" s="188"/>
      <c r="X557" s="188"/>
    </row>
    <row r="558" spans="2:24" x14ac:dyDescent="0.3">
      <c r="B558" s="21" t="str">
        <f t="shared" ca="1" si="77"/>
        <v/>
      </c>
      <c r="C558" s="22" t="str">
        <f ca="1">IF(B558="","",IF(LEFT(B558,2)="13",C557,IF(MONTH(B558)=1,C557*(1+PREMISSAS!$C$58),C557)))</f>
        <v/>
      </c>
      <c r="E558" s="18">
        <v>554</v>
      </c>
      <c r="F558" s="21" t="str">
        <f t="shared" ca="1" si="78"/>
        <v/>
      </c>
      <c r="G558" s="22" t="str">
        <f ca="1">IFERROR(VLOOKUP(F558,RESULTADOS!$O$5:$P$543,2,FALSE),VLOOKUP(F558,$B$5:$C$842,2,FALSE))</f>
        <v/>
      </c>
      <c r="H558" s="4" t="e">
        <f ca="1">IF(F558&lt;PREMISSAS!$D$7,0,IFERROR(VLOOKUP(IF(LEFT(F558,2)="13",DATE(YEAR(F557),12,31),F558),IPCA!$A:$D,4,FALSE),1)*G558)</f>
        <v>#VALUE!</v>
      </c>
      <c r="J558" s="21" t="str">
        <f t="shared" ca="1" si="72"/>
        <v/>
      </c>
      <c r="K558" s="4" t="str">
        <f t="shared" ca="1" si="73"/>
        <v/>
      </c>
      <c r="M558" s="21" t="str">
        <f t="shared" ca="1" si="79"/>
        <v/>
      </c>
      <c r="N558" s="37">
        <f t="shared" ca="1" si="74"/>
        <v>0</v>
      </c>
      <c r="O558" s="4">
        <f ca="1">IFERROR(AVERAGEIF(N$5:$N558,"&gt;="&amp;_xlfn.PERCENTILE.EXC(N$5:$N558,0.2)),0)</f>
        <v>0</v>
      </c>
      <c r="Q558" s="21" t="str">
        <f t="shared" ca="1" si="80"/>
        <v/>
      </c>
      <c r="R558" s="37">
        <f t="shared" ca="1" si="75"/>
        <v>0</v>
      </c>
      <c r="S558" s="4">
        <f ca="1">IFERROR(AVERAGE($R$5:R558),0)</f>
        <v>0</v>
      </c>
      <c r="U558" s="21" t="str">
        <f t="shared" ca="1" si="76"/>
        <v/>
      </c>
      <c r="V558" s="4">
        <f ca="1">MIN(S558,PREMISSAS!$C$14)</f>
        <v>0</v>
      </c>
      <c r="W558" s="188"/>
      <c r="X558" s="188"/>
    </row>
    <row r="559" spans="2:24" x14ac:dyDescent="0.3">
      <c r="B559" s="21" t="str">
        <f t="shared" ca="1" si="77"/>
        <v/>
      </c>
      <c r="C559" s="22" t="str">
        <f ca="1">IF(B559="","",IF(LEFT(B559,2)="13",C558,IF(MONTH(B559)=1,C558*(1+PREMISSAS!$C$58),C558)))</f>
        <v/>
      </c>
      <c r="E559" s="18">
        <v>555</v>
      </c>
      <c r="F559" s="21" t="str">
        <f t="shared" ca="1" si="78"/>
        <v/>
      </c>
      <c r="G559" s="22" t="str">
        <f ca="1">IFERROR(VLOOKUP(F559,RESULTADOS!$O$5:$P$543,2,FALSE),VLOOKUP(F559,$B$5:$C$842,2,FALSE))</f>
        <v/>
      </c>
      <c r="H559" s="4" t="e">
        <f ca="1">IF(F559&lt;PREMISSAS!$D$7,0,IFERROR(VLOOKUP(IF(LEFT(F559,2)="13",DATE(YEAR(F558),12,31),F559),IPCA!$A:$D,4,FALSE),1)*G559)</f>
        <v>#VALUE!</v>
      </c>
      <c r="J559" s="21" t="str">
        <f t="shared" ca="1" si="72"/>
        <v/>
      </c>
      <c r="K559" s="4" t="str">
        <f t="shared" ca="1" si="73"/>
        <v/>
      </c>
      <c r="M559" s="21" t="str">
        <f t="shared" ca="1" si="79"/>
        <v/>
      </c>
      <c r="N559" s="37">
        <f t="shared" ca="1" si="74"/>
        <v>0</v>
      </c>
      <c r="O559" s="4">
        <f ca="1">IFERROR(AVERAGEIF(N$5:$N559,"&gt;="&amp;_xlfn.PERCENTILE.EXC(N$5:$N559,0.2)),0)</f>
        <v>0</v>
      </c>
      <c r="Q559" s="21" t="str">
        <f t="shared" ca="1" si="80"/>
        <v/>
      </c>
      <c r="R559" s="37">
        <f t="shared" ca="1" si="75"/>
        <v>0</v>
      </c>
      <c r="S559" s="4">
        <f ca="1">IFERROR(AVERAGE($R$5:R559),0)</f>
        <v>0</v>
      </c>
      <c r="U559" s="21" t="str">
        <f t="shared" ca="1" si="76"/>
        <v/>
      </c>
      <c r="V559" s="4">
        <f ca="1">MIN(S559,PREMISSAS!$C$14)</f>
        <v>0</v>
      </c>
      <c r="W559" s="188"/>
      <c r="X559" s="188"/>
    </row>
    <row r="560" spans="2:24" x14ac:dyDescent="0.3">
      <c r="B560" s="21" t="str">
        <f t="shared" ca="1" si="77"/>
        <v/>
      </c>
      <c r="C560" s="22" t="str">
        <f ca="1">IF(B560="","",IF(LEFT(B560,2)="13",C559,IF(MONTH(B560)=1,C559*(1+PREMISSAS!$C$58),C559)))</f>
        <v/>
      </c>
      <c r="E560" s="18">
        <v>556</v>
      </c>
      <c r="F560" s="21" t="str">
        <f t="shared" ca="1" si="78"/>
        <v/>
      </c>
      <c r="G560" s="22" t="str">
        <f ca="1">IFERROR(VLOOKUP(F560,RESULTADOS!$O$5:$P$543,2,FALSE),VLOOKUP(F560,$B$5:$C$842,2,FALSE))</f>
        <v/>
      </c>
      <c r="H560" s="4" t="e">
        <f ca="1">IF(F560&lt;PREMISSAS!$D$7,0,IFERROR(VLOOKUP(IF(LEFT(F560,2)="13",DATE(YEAR(F559),12,31),F560),IPCA!$A:$D,4,FALSE),1)*G560)</f>
        <v>#VALUE!</v>
      </c>
      <c r="J560" s="21" t="str">
        <f t="shared" ca="1" si="72"/>
        <v/>
      </c>
      <c r="K560" s="4" t="str">
        <f t="shared" ca="1" si="73"/>
        <v/>
      </c>
      <c r="M560" s="21" t="str">
        <f t="shared" ca="1" si="79"/>
        <v/>
      </c>
      <c r="N560" s="37">
        <f t="shared" ca="1" si="74"/>
        <v>0</v>
      </c>
      <c r="O560" s="4">
        <f ca="1">IFERROR(AVERAGEIF(N$5:$N560,"&gt;="&amp;_xlfn.PERCENTILE.EXC(N$5:$N560,0.2)),0)</f>
        <v>0</v>
      </c>
      <c r="Q560" s="21" t="str">
        <f t="shared" ca="1" si="80"/>
        <v/>
      </c>
      <c r="R560" s="37">
        <f t="shared" ca="1" si="75"/>
        <v>0</v>
      </c>
      <c r="S560" s="4">
        <f ca="1">IFERROR(AVERAGE($R$5:R560),0)</f>
        <v>0</v>
      </c>
      <c r="U560" s="21" t="str">
        <f t="shared" ca="1" si="76"/>
        <v/>
      </c>
      <c r="V560" s="4">
        <f ca="1">MIN(S560,PREMISSAS!$C$14)</f>
        <v>0</v>
      </c>
      <c r="W560" s="188"/>
      <c r="X560" s="188"/>
    </row>
    <row r="561" spans="2:24" x14ac:dyDescent="0.3">
      <c r="B561" s="21" t="str">
        <f t="shared" ca="1" si="77"/>
        <v/>
      </c>
      <c r="C561" s="22" t="str">
        <f ca="1">IF(B561="","",IF(LEFT(B561,2)="13",C560,IF(MONTH(B561)=1,C560*(1+PREMISSAS!$C$58),C560)))</f>
        <v/>
      </c>
      <c r="E561" s="18">
        <v>557</v>
      </c>
      <c r="F561" s="21" t="str">
        <f t="shared" ca="1" si="78"/>
        <v/>
      </c>
      <c r="G561" s="22" t="str">
        <f ca="1">IFERROR(VLOOKUP(F561,RESULTADOS!$O$5:$P$543,2,FALSE),VLOOKUP(F561,$B$5:$C$842,2,FALSE))</f>
        <v/>
      </c>
      <c r="H561" s="4" t="e">
        <f ca="1">IF(F561&lt;PREMISSAS!$D$7,0,IFERROR(VLOOKUP(IF(LEFT(F561,2)="13",DATE(YEAR(F560),12,31),F561),IPCA!$A:$D,4,FALSE),1)*G561)</f>
        <v>#VALUE!</v>
      </c>
      <c r="J561" s="21" t="str">
        <f t="shared" ca="1" si="72"/>
        <v/>
      </c>
      <c r="K561" s="4" t="str">
        <f t="shared" ca="1" si="73"/>
        <v/>
      </c>
      <c r="M561" s="21" t="str">
        <f t="shared" ca="1" si="79"/>
        <v/>
      </c>
      <c r="N561" s="37">
        <f t="shared" ca="1" si="74"/>
        <v>0</v>
      </c>
      <c r="O561" s="4">
        <f ca="1">IFERROR(AVERAGEIF(N$5:$N561,"&gt;="&amp;_xlfn.PERCENTILE.EXC(N$5:$N561,0.2)),0)</f>
        <v>0</v>
      </c>
      <c r="Q561" s="21" t="str">
        <f t="shared" ca="1" si="80"/>
        <v/>
      </c>
      <c r="R561" s="37">
        <f t="shared" ca="1" si="75"/>
        <v>0</v>
      </c>
      <c r="S561" s="4">
        <f ca="1">IFERROR(AVERAGE($R$5:R561),0)</f>
        <v>0</v>
      </c>
      <c r="U561" s="21" t="str">
        <f t="shared" ca="1" si="76"/>
        <v/>
      </c>
      <c r="V561" s="4">
        <f ca="1">MIN(S561,PREMISSAS!$C$14)</f>
        <v>0</v>
      </c>
      <c r="W561" s="188"/>
      <c r="X561" s="188"/>
    </row>
    <row r="562" spans="2:24" x14ac:dyDescent="0.3">
      <c r="B562" s="21" t="str">
        <f t="shared" ca="1" si="77"/>
        <v/>
      </c>
      <c r="C562" s="22" t="str">
        <f ca="1">IF(B562="","",IF(LEFT(B562,2)="13",C561,IF(MONTH(B562)=1,C561*(1+PREMISSAS!$C$58),C561)))</f>
        <v/>
      </c>
      <c r="E562" s="18">
        <v>558</v>
      </c>
      <c r="F562" s="21" t="str">
        <f t="shared" ca="1" si="78"/>
        <v/>
      </c>
      <c r="G562" s="22" t="str">
        <f ca="1">IFERROR(VLOOKUP(F562,RESULTADOS!$O$5:$P$543,2,FALSE),VLOOKUP(F562,$B$5:$C$842,2,FALSE))</f>
        <v/>
      </c>
      <c r="H562" s="4" t="e">
        <f ca="1">IF(F562&lt;PREMISSAS!$D$7,0,IFERROR(VLOOKUP(IF(LEFT(F562,2)="13",DATE(YEAR(F561),12,31),F562),IPCA!$A:$D,4,FALSE),1)*G562)</f>
        <v>#VALUE!</v>
      </c>
      <c r="J562" s="21" t="str">
        <f t="shared" ca="1" si="72"/>
        <v/>
      </c>
      <c r="K562" s="4" t="str">
        <f t="shared" ca="1" si="73"/>
        <v/>
      </c>
      <c r="M562" s="21" t="str">
        <f t="shared" ca="1" si="79"/>
        <v/>
      </c>
      <c r="N562" s="37">
        <f t="shared" ca="1" si="74"/>
        <v>0</v>
      </c>
      <c r="O562" s="4">
        <f ca="1">IFERROR(AVERAGEIF(N$5:$N562,"&gt;="&amp;_xlfn.PERCENTILE.EXC(N$5:$N562,0.2)),0)</f>
        <v>0</v>
      </c>
      <c r="Q562" s="21" t="str">
        <f t="shared" ca="1" si="80"/>
        <v/>
      </c>
      <c r="R562" s="37">
        <f t="shared" ca="1" si="75"/>
        <v>0</v>
      </c>
      <c r="S562" s="4">
        <f ca="1">IFERROR(AVERAGE($R$5:R562),0)</f>
        <v>0</v>
      </c>
      <c r="U562" s="21" t="str">
        <f t="shared" ca="1" si="76"/>
        <v/>
      </c>
      <c r="V562" s="4">
        <f ca="1">MIN(S562,PREMISSAS!$C$14)</f>
        <v>0</v>
      </c>
      <c r="W562" s="188"/>
      <c r="X562" s="188"/>
    </row>
    <row r="563" spans="2:24" x14ac:dyDescent="0.3">
      <c r="B563" s="21" t="str">
        <f t="shared" ca="1" si="77"/>
        <v/>
      </c>
      <c r="C563" s="22" t="str">
        <f ca="1">IF(B563="","",IF(LEFT(B563,2)="13",C562,IF(MONTH(B563)=1,C562*(1+PREMISSAS!$C$58),C562)))</f>
        <v/>
      </c>
      <c r="E563" s="18">
        <v>559</v>
      </c>
      <c r="F563" s="21" t="str">
        <f t="shared" ca="1" si="78"/>
        <v/>
      </c>
      <c r="G563" s="22" t="str">
        <f ca="1">IFERROR(VLOOKUP(F563,RESULTADOS!$O$5:$P$543,2,FALSE),VLOOKUP(F563,$B$5:$C$842,2,FALSE))</f>
        <v/>
      </c>
      <c r="H563" s="4" t="e">
        <f ca="1">IF(F563&lt;PREMISSAS!$D$7,0,IFERROR(VLOOKUP(IF(LEFT(F563,2)="13",DATE(YEAR(F562),12,31),F563),IPCA!$A:$D,4,FALSE),1)*G563)</f>
        <v>#VALUE!</v>
      </c>
      <c r="J563" s="21" t="str">
        <f t="shared" ca="1" si="72"/>
        <v/>
      </c>
      <c r="K563" s="4" t="str">
        <f t="shared" ca="1" si="73"/>
        <v/>
      </c>
      <c r="M563" s="21" t="str">
        <f t="shared" ca="1" si="79"/>
        <v/>
      </c>
      <c r="N563" s="37">
        <f t="shared" ca="1" si="74"/>
        <v>0</v>
      </c>
      <c r="O563" s="4">
        <f ca="1">IFERROR(AVERAGEIF(N$5:$N563,"&gt;="&amp;_xlfn.PERCENTILE.EXC(N$5:$N563,0.2)),0)</f>
        <v>0</v>
      </c>
      <c r="Q563" s="21" t="str">
        <f t="shared" ca="1" si="80"/>
        <v/>
      </c>
      <c r="R563" s="37">
        <f t="shared" ca="1" si="75"/>
        <v>0</v>
      </c>
      <c r="S563" s="4">
        <f ca="1">IFERROR(AVERAGE($R$5:R563),0)</f>
        <v>0</v>
      </c>
      <c r="U563" s="21" t="str">
        <f t="shared" ca="1" si="76"/>
        <v/>
      </c>
      <c r="V563" s="4">
        <f ca="1">MIN(S563,PREMISSAS!$C$14)</f>
        <v>0</v>
      </c>
      <c r="W563" s="188"/>
      <c r="X563" s="188"/>
    </row>
    <row r="564" spans="2:24" x14ac:dyDescent="0.3">
      <c r="B564" s="21" t="str">
        <f t="shared" ca="1" si="77"/>
        <v/>
      </c>
      <c r="C564" s="22" t="str">
        <f ca="1">IF(B564="","",IF(LEFT(B564,2)="13",C563,IF(MONTH(B564)=1,C563*(1+PREMISSAS!$C$58),C563)))</f>
        <v/>
      </c>
      <c r="E564" s="18">
        <v>560</v>
      </c>
      <c r="F564" s="21" t="str">
        <f t="shared" ca="1" si="78"/>
        <v/>
      </c>
      <c r="G564" s="22" t="str">
        <f ca="1">IFERROR(VLOOKUP(F564,RESULTADOS!$O$5:$P$543,2,FALSE),VLOOKUP(F564,$B$5:$C$842,2,FALSE))</f>
        <v/>
      </c>
      <c r="H564" s="4" t="e">
        <f ca="1">IF(F564&lt;PREMISSAS!$D$7,0,IFERROR(VLOOKUP(IF(LEFT(F564,2)="13",DATE(YEAR(F563),12,31),F564),IPCA!$A:$D,4,FALSE),1)*G564)</f>
        <v>#VALUE!</v>
      </c>
      <c r="J564" s="21" t="str">
        <f t="shared" ca="1" si="72"/>
        <v/>
      </c>
      <c r="K564" s="4" t="str">
        <f t="shared" ca="1" si="73"/>
        <v/>
      </c>
      <c r="M564" s="21" t="str">
        <f t="shared" ca="1" si="79"/>
        <v/>
      </c>
      <c r="N564" s="37">
        <f t="shared" ca="1" si="74"/>
        <v>0</v>
      </c>
      <c r="O564" s="4">
        <f ca="1">IFERROR(AVERAGEIF(N$5:$N564,"&gt;="&amp;_xlfn.PERCENTILE.EXC(N$5:$N564,0.2)),0)</f>
        <v>0</v>
      </c>
      <c r="Q564" s="21" t="str">
        <f t="shared" ca="1" si="80"/>
        <v/>
      </c>
      <c r="R564" s="37">
        <f t="shared" ca="1" si="75"/>
        <v>0</v>
      </c>
      <c r="S564" s="4">
        <f ca="1">IFERROR(AVERAGE($R$5:R564),0)</f>
        <v>0</v>
      </c>
      <c r="U564" s="21" t="str">
        <f t="shared" ca="1" si="76"/>
        <v/>
      </c>
      <c r="V564" s="4">
        <f ca="1">MIN(S564,PREMISSAS!$C$14)</f>
        <v>0</v>
      </c>
      <c r="W564" s="188"/>
      <c r="X564" s="188"/>
    </row>
    <row r="565" spans="2:24" x14ac:dyDescent="0.3">
      <c r="B565" s="21" t="str">
        <f t="shared" ca="1" si="77"/>
        <v/>
      </c>
      <c r="C565" s="22" t="str">
        <f ca="1">IF(B565="","",IF(LEFT(B565,2)="13",C564,IF(MONTH(B565)=1,C564*(1+PREMISSAS!$C$58),C564)))</f>
        <v/>
      </c>
      <c r="E565" s="18">
        <v>561</v>
      </c>
      <c r="F565" s="21" t="str">
        <f t="shared" ca="1" si="78"/>
        <v/>
      </c>
      <c r="G565" s="22" t="str">
        <f ca="1">IFERROR(VLOOKUP(F565,RESULTADOS!$O$5:$P$543,2,FALSE),VLOOKUP(F565,$B$5:$C$842,2,FALSE))</f>
        <v/>
      </c>
      <c r="H565" s="4" t="e">
        <f ca="1">IF(F565&lt;PREMISSAS!$D$7,0,IFERROR(VLOOKUP(IF(LEFT(F565,2)="13",DATE(YEAR(F564),12,31),F565),IPCA!$A:$D,4,FALSE),1)*G565)</f>
        <v>#VALUE!</v>
      </c>
      <c r="J565" s="21" t="str">
        <f t="shared" ca="1" si="72"/>
        <v/>
      </c>
      <c r="K565" s="4" t="str">
        <f t="shared" ca="1" si="73"/>
        <v/>
      </c>
      <c r="M565" s="21" t="str">
        <f t="shared" ca="1" si="79"/>
        <v/>
      </c>
      <c r="N565" s="37">
        <f t="shared" ca="1" si="74"/>
        <v>0</v>
      </c>
      <c r="O565" s="4">
        <f ca="1">IFERROR(AVERAGEIF(N$5:$N565,"&gt;="&amp;_xlfn.PERCENTILE.EXC(N$5:$N565,0.2)),0)</f>
        <v>0</v>
      </c>
      <c r="Q565" s="21" t="str">
        <f t="shared" ca="1" si="80"/>
        <v/>
      </c>
      <c r="R565" s="37">
        <f t="shared" ca="1" si="75"/>
        <v>0</v>
      </c>
      <c r="S565" s="4">
        <f ca="1">IFERROR(AVERAGE($R$5:R565),0)</f>
        <v>0</v>
      </c>
      <c r="U565" s="21" t="str">
        <f t="shared" ca="1" si="76"/>
        <v/>
      </c>
      <c r="V565" s="4">
        <f ca="1">MIN(S565,PREMISSAS!$C$14)</f>
        <v>0</v>
      </c>
      <c r="W565" s="188"/>
      <c r="X565" s="188"/>
    </row>
    <row r="566" spans="2:24" x14ac:dyDescent="0.3">
      <c r="B566" s="21" t="str">
        <f t="shared" ca="1" si="77"/>
        <v/>
      </c>
      <c r="C566" s="22" t="str">
        <f ca="1">IF(B566="","",IF(LEFT(B566,2)="13",C565,IF(MONTH(B566)=1,C565*(1+PREMISSAS!$C$58),C565)))</f>
        <v/>
      </c>
      <c r="E566" s="18">
        <v>562</v>
      </c>
      <c r="F566" s="21" t="str">
        <f t="shared" ca="1" si="78"/>
        <v/>
      </c>
      <c r="G566" s="22" t="str">
        <f ca="1">IFERROR(VLOOKUP(F566,RESULTADOS!$O$5:$P$543,2,FALSE),VLOOKUP(F566,$B$5:$C$842,2,FALSE))</f>
        <v/>
      </c>
      <c r="H566" s="4" t="e">
        <f ca="1">IF(F566&lt;PREMISSAS!$D$7,0,IFERROR(VLOOKUP(IF(LEFT(F566,2)="13",DATE(YEAR(F565),12,31),F566),IPCA!$A:$D,4,FALSE),1)*G566)</f>
        <v>#VALUE!</v>
      </c>
      <c r="J566" s="21" t="str">
        <f t="shared" ca="1" si="72"/>
        <v/>
      </c>
      <c r="K566" s="4" t="str">
        <f t="shared" ca="1" si="73"/>
        <v/>
      </c>
      <c r="M566" s="21" t="str">
        <f t="shared" ca="1" si="79"/>
        <v/>
      </c>
      <c r="N566" s="37">
        <f t="shared" ca="1" si="74"/>
        <v>0</v>
      </c>
      <c r="O566" s="4">
        <f ca="1">IFERROR(AVERAGEIF(N$5:$N566,"&gt;="&amp;_xlfn.PERCENTILE.EXC(N$5:$N566,0.2)),0)</f>
        <v>0</v>
      </c>
      <c r="Q566" s="21" t="str">
        <f t="shared" ca="1" si="80"/>
        <v/>
      </c>
      <c r="R566" s="37">
        <f t="shared" ca="1" si="75"/>
        <v>0</v>
      </c>
      <c r="S566" s="4">
        <f ca="1">IFERROR(AVERAGE($R$5:R566),0)</f>
        <v>0</v>
      </c>
      <c r="U566" s="21" t="str">
        <f t="shared" ca="1" si="76"/>
        <v/>
      </c>
      <c r="V566" s="4">
        <f ca="1">MIN(S566,PREMISSAS!$C$14)</f>
        <v>0</v>
      </c>
      <c r="W566" s="188"/>
      <c r="X566" s="188"/>
    </row>
    <row r="567" spans="2:24" x14ac:dyDescent="0.3">
      <c r="B567" s="21" t="str">
        <f t="shared" ca="1" si="77"/>
        <v/>
      </c>
      <c r="C567" s="22" t="str">
        <f ca="1">IF(B567="","",IF(LEFT(B567,2)="13",C566,IF(MONTH(B567)=1,C566*(1+PREMISSAS!$C$58),C566)))</f>
        <v/>
      </c>
      <c r="E567" s="18">
        <v>563</v>
      </c>
      <c r="F567" s="21" t="str">
        <f t="shared" ca="1" si="78"/>
        <v/>
      </c>
      <c r="G567" s="22" t="str">
        <f ca="1">IFERROR(VLOOKUP(F567,RESULTADOS!$O$5:$P$543,2,FALSE),VLOOKUP(F567,$B$5:$C$842,2,FALSE))</f>
        <v/>
      </c>
      <c r="H567" s="4" t="e">
        <f ca="1">IF(F567&lt;PREMISSAS!$D$7,0,IFERROR(VLOOKUP(IF(LEFT(F567,2)="13",DATE(YEAR(F566),12,31),F567),IPCA!$A:$D,4,FALSE),1)*G567)</f>
        <v>#VALUE!</v>
      </c>
      <c r="J567" s="21" t="str">
        <f t="shared" ca="1" si="72"/>
        <v/>
      </c>
      <c r="K567" s="4" t="str">
        <f t="shared" ca="1" si="73"/>
        <v/>
      </c>
      <c r="M567" s="21" t="str">
        <f t="shared" ca="1" si="79"/>
        <v/>
      </c>
      <c r="N567" s="37">
        <f t="shared" ca="1" si="74"/>
        <v>0</v>
      </c>
      <c r="O567" s="4">
        <f ca="1">IFERROR(AVERAGEIF(N$5:$N567,"&gt;="&amp;_xlfn.PERCENTILE.EXC(N$5:$N567,0.2)),0)</f>
        <v>0</v>
      </c>
      <c r="Q567" s="21" t="str">
        <f t="shared" ca="1" si="80"/>
        <v/>
      </c>
      <c r="R567" s="37">
        <f t="shared" ca="1" si="75"/>
        <v>0</v>
      </c>
      <c r="S567" s="4">
        <f ca="1">IFERROR(AVERAGE($R$5:R567),0)</f>
        <v>0</v>
      </c>
      <c r="U567" s="21" t="str">
        <f t="shared" ca="1" si="76"/>
        <v/>
      </c>
      <c r="V567" s="4">
        <f ca="1">MIN(S567,PREMISSAS!$C$14)</f>
        <v>0</v>
      </c>
      <c r="W567" s="188"/>
      <c r="X567" s="188"/>
    </row>
    <row r="568" spans="2:24" x14ac:dyDescent="0.3">
      <c r="B568" s="21" t="str">
        <f t="shared" ca="1" si="77"/>
        <v/>
      </c>
      <c r="C568" s="22" t="str">
        <f ca="1">IF(B568="","",IF(LEFT(B568,2)="13",C567,IF(MONTH(B568)=1,C567*(1+PREMISSAS!$C$58),C567)))</f>
        <v/>
      </c>
      <c r="E568" s="18">
        <v>564</v>
      </c>
      <c r="F568" s="21" t="str">
        <f t="shared" ca="1" si="78"/>
        <v/>
      </c>
      <c r="G568" s="22" t="str">
        <f ca="1">IFERROR(VLOOKUP(F568,RESULTADOS!$O$5:$P$543,2,FALSE),VLOOKUP(F568,$B$5:$C$842,2,FALSE))</f>
        <v/>
      </c>
      <c r="H568" s="4" t="e">
        <f ca="1">IF(F568&lt;PREMISSAS!$D$7,0,IFERROR(VLOOKUP(IF(LEFT(F568,2)="13",DATE(YEAR(F567),12,31),F568),IPCA!$A:$D,4,FALSE),1)*G568)</f>
        <v>#VALUE!</v>
      </c>
      <c r="J568" s="21" t="str">
        <f t="shared" ca="1" si="72"/>
        <v/>
      </c>
      <c r="K568" s="4" t="str">
        <f t="shared" ca="1" si="73"/>
        <v/>
      </c>
      <c r="M568" s="21" t="str">
        <f t="shared" ca="1" si="79"/>
        <v/>
      </c>
      <c r="N568" s="37">
        <f t="shared" ca="1" si="74"/>
        <v>0</v>
      </c>
      <c r="O568" s="4">
        <f ca="1">IFERROR(AVERAGEIF(N$5:$N568,"&gt;="&amp;_xlfn.PERCENTILE.EXC(N$5:$N568,0.2)),0)</f>
        <v>0</v>
      </c>
      <c r="Q568" s="21" t="str">
        <f t="shared" ca="1" si="80"/>
        <v/>
      </c>
      <c r="R568" s="37">
        <f t="shared" ca="1" si="75"/>
        <v>0</v>
      </c>
      <c r="S568" s="4">
        <f ca="1">IFERROR(AVERAGE($R$5:R568),0)</f>
        <v>0</v>
      </c>
      <c r="U568" s="21" t="str">
        <f t="shared" ca="1" si="76"/>
        <v/>
      </c>
      <c r="V568" s="4">
        <f ca="1">MIN(S568,PREMISSAS!$C$14)</f>
        <v>0</v>
      </c>
      <c r="W568" s="188"/>
      <c r="X568" s="188"/>
    </row>
    <row r="569" spans="2:24" x14ac:dyDescent="0.3">
      <c r="B569" s="21" t="str">
        <f t="shared" ca="1" si="77"/>
        <v/>
      </c>
      <c r="C569" s="22" t="str">
        <f ca="1">IF(B569="","",IF(LEFT(B569,2)="13",C568,IF(MONTH(B569)=1,C568*(1+PREMISSAS!$C$58),C568)))</f>
        <v/>
      </c>
      <c r="E569" s="18">
        <v>565</v>
      </c>
      <c r="F569" s="21" t="str">
        <f t="shared" ca="1" si="78"/>
        <v/>
      </c>
      <c r="G569" s="22" t="str">
        <f ca="1">IFERROR(VLOOKUP(F569,RESULTADOS!$O$5:$P$543,2,FALSE),VLOOKUP(F569,$B$5:$C$842,2,FALSE))</f>
        <v/>
      </c>
      <c r="H569" s="4" t="e">
        <f ca="1">IF(F569&lt;PREMISSAS!$D$7,0,IFERROR(VLOOKUP(IF(LEFT(F569,2)="13",DATE(YEAR(F568),12,31),F569),IPCA!$A:$D,4,FALSE),1)*G569)</f>
        <v>#VALUE!</v>
      </c>
      <c r="J569" s="21" t="str">
        <f t="shared" ca="1" si="72"/>
        <v/>
      </c>
      <c r="K569" s="4" t="str">
        <f t="shared" ca="1" si="73"/>
        <v/>
      </c>
      <c r="M569" s="21" t="str">
        <f t="shared" ca="1" si="79"/>
        <v/>
      </c>
      <c r="N569" s="37">
        <f t="shared" ca="1" si="74"/>
        <v>0</v>
      </c>
      <c r="O569" s="4">
        <f ca="1">IFERROR(AVERAGEIF(N$5:$N569,"&gt;="&amp;_xlfn.PERCENTILE.EXC(N$5:$N569,0.2)),0)</f>
        <v>0</v>
      </c>
      <c r="Q569" s="21" t="str">
        <f t="shared" ca="1" si="80"/>
        <v/>
      </c>
      <c r="R569" s="37">
        <f t="shared" ca="1" si="75"/>
        <v>0</v>
      </c>
      <c r="S569" s="4">
        <f ca="1">IFERROR(AVERAGE($R$5:R569),0)</f>
        <v>0</v>
      </c>
      <c r="U569" s="21" t="str">
        <f t="shared" ca="1" si="76"/>
        <v/>
      </c>
      <c r="V569" s="4">
        <f ca="1">MIN(S569,PREMISSAS!$C$14)</f>
        <v>0</v>
      </c>
      <c r="W569" s="188"/>
      <c r="X569" s="188"/>
    </row>
    <row r="570" spans="2:24" x14ac:dyDescent="0.3">
      <c r="B570" s="21" t="str">
        <f t="shared" ca="1" si="77"/>
        <v/>
      </c>
      <c r="C570" s="22" t="str">
        <f ca="1">IF(B570="","",IF(LEFT(B570,2)="13",C569,IF(MONTH(B570)=1,C569*(1+PREMISSAS!$C$58),C569)))</f>
        <v/>
      </c>
      <c r="E570" s="18">
        <v>566</v>
      </c>
      <c r="F570" s="21" t="str">
        <f t="shared" ca="1" si="78"/>
        <v/>
      </c>
      <c r="G570" s="22" t="str">
        <f ca="1">IFERROR(VLOOKUP(F570,RESULTADOS!$O$5:$P$543,2,FALSE),VLOOKUP(F570,$B$5:$C$842,2,FALSE))</f>
        <v/>
      </c>
      <c r="H570" s="4" t="e">
        <f ca="1">IF(F570&lt;PREMISSAS!$D$7,0,IFERROR(VLOOKUP(IF(LEFT(F570,2)="13",DATE(YEAR(F569),12,31),F570),IPCA!$A:$D,4,FALSE),1)*G570)</f>
        <v>#VALUE!</v>
      </c>
      <c r="J570" s="21" t="str">
        <f t="shared" ca="1" si="72"/>
        <v/>
      </c>
      <c r="K570" s="4" t="str">
        <f t="shared" ca="1" si="73"/>
        <v/>
      </c>
      <c r="M570" s="21" t="str">
        <f t="shared" ca="1" si="79"/>
        <v/>
      </c>
      <c r="N570" s="37">
        <f t="shared" ca="1" si="74"/>
        <v>0</v>
      </c>
      <c r="O570" s="4">
        <f ca="1">IFERROR(AVERAGEIF(N$5:$N570,"&gt;="&amp;_xlfn.PERCENTILE.EXC(N$5:$N570,0.2)),0)</f>
        <v>0</v>
      </c>
      <c r="Q570" s="21" t="str">
        <f t="shared" ca="1" si="80"/>
        <v/>
      </c>
      <c r="R570" s="37">
        <f t="shared" ca="1" si="75"/>
        <v>0</v>
      </c>
      <c r="S570" s="4">
        <f ca="1">IFERROR(AVERAGE($R$5:R570),0)</f>
        <v>0</v>
      </c>
      <c r="U570" s="21" t="str">
        <f t="shared" ca="1" si="76"/>
        <v/>
      </c>
      <c r="V570" s="4">
        <f ca="1">MIN(S570,PREMISSAS!$C$14)</f>
        <v>0</v>
      </c>
      <c r="W570" s="188"/>
      <c r="X570" s="188"/>
    </row>
    <row r="571" spans="2:24" x14ac:dyDescent="0.3">
      <c r="B571" s="21" t="str">
        <f t="shared" ca="1" si="77"/>
        <v/>
      </c>
      <c r="C571" s="22" t="str">
        <f ca="1">IF(B571="","",IF(LEFT(B571,2)="13",C570,IF(MONTH(B571)=1,C570*(1+PREMISSAS!$C$58),C570)))</f>
        <v/>
      </c>
      <c r="E571" s="18">
        <v>567</v>
      </c>
      <c r="F571" s="21" t="str">
        <f t="shared" ca="1" si="78"/>
        <v/>
      </c>
      <c r="G571" s="22" t="str">
        <f ca="1">IFERROR(VLOOKUP(F571,RESULTADOS!$O$5:$P$543,2,FALSE),VLOOKUP(F571,$B$5:$C$842,2,FALSE))</f>
        <v/>
      </c>
      <c r="H571" s="4" t="e">
        <f ca="1">IF(F571&lt;PREMISSAS!$D$7,0,IFERROR(VLOOKUP(IF(LEFT(F571,2)="13",DATE(YEAR(F570),12,31),F571),IPCA!$A:$D,4,FALSE),1)*G571)</f>
        <v>#VALUE!</v>
      </c>
      <c r="J571" s="21" t="str">
        <f t="shared" ca="1" si="72"/>
        <v/>
      </c>
      <c r="K571" s="4" t="str">
        <f t="shared" ca="1" si="73"/>
        <v/>
      </c>
      <c r="M571" s="21" t="str">
        <f t="shared" ca="1" si="79"/>
        <v/>
      </c>
      <c r="N571" s="37">
        <f t="shared" ca="1" si="74"/>
        <v>0</v>
      </c>
      <c r="O571" s="4">
        <f ca="1">IFERROR(AVERAGEIF(N$5:$N571,"&gt;="&amp;_xlfn.PERCENTILE.EXC(N$5:$N571,0.2)),0)</f>
        <v>0</v>
      </c>
      <c r="Q571" s="21" t="str">
        <f t="shared" ca="1" si="80"/>
        <v/>
      </c>
      <c r="R571" s="37">
        <f t="shared" ca="1" si="75"/>
        <v>0</v>
      </c>
      <c r="S571" s="4">
        <f ca="1">IFERROR(AVERAGE($R$5:R571),0)</f>
        <v>0</v>
      </c>
      <c r="U571" s="21" t="str">
        <f t="shared" ca="1" si="76"/>
        <v/>
      </c>
      <c r="V571" s="4">
        <f ca="1">MIN(S571,PREMISSAS!$C$14)</f>
        <v>0</v>
      </c>
      <c r="W571" s="188"/>
      <c r="X571" s="188"/>
    </row>
    <row r="572" spans="2:24" x14ac:dyDescent="0.3">
      <c r="B572" s="21" t="str">
        <f t="shared" ca="1" si="77"/>
        <v/>
      </c>
      <c r="C572" s="22" t="str">
        <f ca="1">IF(B572="","",IF(LEFT(B572,2)="13",C571,IF(MONTH(B572)=1,C571*(1+PREMISSAS!$C$58),C571)))</f>
        <v/>
      </c>
      <c r="E572" s="18">
        <v>568</v>
      </c>
      <c r="F572" s="21" t="str">
        <f t="shared" ca="1" si="78"/>
        <v/>
      </c>
      <c r="G572" s="22" t="str">
        <f ca="1">IFERROR(VLOOKUP(F572,RESULTADOS!$O$5:$P$543,2,FALSE),VLOOKUP(F572,$B$5:$C$842,2,FALSE))</f>
        <v/>
      </c>
      <c r="H572" s="4" t="e">
        <f ca="1">IF(F572&lt;PREMISSAS!$D$7,0,IFERROR(VLOOKUP(IF(LEFT(F572,2)="13",DATE(YEAR(F571),12,31),F572),IPCA!$A:$D,4,FALSE),1)*G572)</f>
        <v>#VALUE!</v>
      </c>
      <c r="J572" s="21" t="str">
        <f t="shared" ca="1" si="72"/>
        <v/>
      </c>
      <c r="K572" s="4" t="str">
        <f t="shared" ca="1" si="73"/>
        <v/>
      </c>
      <c r="M572" s="21" t="str">
        <f t="shared" ca="1" si="79"/>
        <v/>
      </c>
      <c r="N572" s="37">
        <f t="shared" ca="1" si="74"/>
        <v>0</v>
      </c>
      <c r="O572" s="4">
        <f ca="1">IFERROR(AVERAGEIF(N$5:$N572,"&gt;="&amp;_xlfn.PERCENTILE.EXC(N$5:$N572,0.2)),0)</f>
        <v>0</v>
      </c>
      <c r="Q572" s="21" t="str">
        <f t="shared" ca="1" si="80"/>
        <v/>
      </c>
      <c r="R572" s="37">
        <f t="shared" ca="1" si="75"/>
        <v>0</v>
      </c>
      <c r="S572" s="4">
        <f ca="1">IFERROR(AVERAGE($R$5:R572),0)</f>
        <v>0</v>
      </c>
      <c r="U572" s="21" t="str">
        <f t="shared" ca="1" si="76"/>
        <v/>
      </c>
      <c r="V572" s="4">
        <f ca="1">MIN(S572,PREMISSAS!$C$14)</f>
        <v>0</v>
      </c>
      <c r="W572" s="188"/>
      <c r="X572" s="188"/>
    </row>
    <row r="573" spans="2:24" x14ac:dyDescent="0.3">
      <c r="B573" s="21" t="str">
        <f t="shared" ca="1" si="77"/>
        <v/>
      </c>
      <c r="C573" s="22" t="str">
        <f ca="1">IF(B573="","",IF(LEFT(B573,2)="13",C572,IF(MONTH(B573)=1,C572*(1+PREMISSAS!$C$58),C572)))</f>
        <v/>
      </c>
      <c r="E573" s="18">
        <v>569</v>
      </c>
      <c r="F573" s="21" t="str">
        <f t="shared" ca="1" si="78"/>
        <v/>
      </c>
      <c r="G573" s="22" t="str">
        <f ca="1">IFERROR(VLOOKUP(F573,RESULTADOS!$O$5:$P$543,2,FALSE),VLOOKUP(F573,$B$5:$C$842,2,FALSE))</f>
        <v/>
      </c>
      <c r="H573" s="4" t="e">
        <f ca="1">IF(F573&lt;PREMISSAS!$D$7,0,IFERROR(VLOOKUP(IF(LEFT(F573,2)="13",DATE(YEAR(F572),12,31),F573),IPCA!$A:$D,4,FALSE),1)*G573)</f>
        <v>#VALUE!</v>
      </c>
      <c r="J573" s="21" t="str">
        <f t="shared" ca="1" si="72"/>
        <v/>
      </c>
      <c r="K573" s="4" t="str">
        <f t="shared" ca="1" si="73"/>
        <v/>
      </c>
      <c r="M573" s="21" t="str">
        <f t="shared" ca="1" si="79"/>
        <v/>
      </c>
      <c r="N573" s="37">
        <f t="shared" ca="1" si="74"/>
        <v>0</v>
      </c>
      <c r="O573" s="4">
        <f ca="1">IFERROR(AVERAGEIF(N$5:$N573,"&gt;="&amp;_xlfn.PERCENTILE.EXC(N$5:$N573,0.2)),0)</f>
        <v>0</v>
      </c>
      <c r="Q573" s="21" t="str">
        <f t="shared" ca="1" si="80"/>
        <v/>
      </c>
      <c r="R573" s="37">
        <f t="shared" ca="1" si="75"/>
        <v>0</v>
      </c>
      <c r="S573" s="4">
        <f ca="1">IFERROR(AVERAGE($R$5:R573),0)</f>
        <v>0</v>
      </c>
      <c r="U573" s="21" t="str">
        <f t="shared" ca="1" si="76"/>
        <v/>
      </c>
      <c r="V573" s="4">
        <f ca="1">MIN(S573,PREMISSAS!$C$14)</f>
        <v>0</v>
      </c>
      <c r="W573" s="188"/>
      <c r="X573" s="188"/>
    </row>
    <row r="574" spans="2:24" x14ac:dyDescent="0.3">
      <c r="B574" s="21" t="str">
        <f t="shared" ca="1" si="77"/>
        <v/>
      </c>
      <c r="C574" s="22" t="str">
        <f ca="1">IF(B574="","",IF(LEFT(B574,2)="13",C573,IF(MONTH(B574)=1,C573*(1+PREMISSAS!$C$58),C573)))</f>
        <v/>
      </c>
      <c r="E574" s="18">
        <v>570</v>
      </c>
      <c r="F574" s="21" t="str">
        <f t="shared" ca="1" si="78"/>
        <v/>
      </c>
      <c r="G574" s="22" t="str">
        <f ca="1">IFERROR(VLOOKUP(F574,RESULTADOS!$O$5:$P$543,2,FALSE),VLOOKUP(F574,$B$5:$C$842,2,FALSE))</f>
        <v/>
      </c>
      <c r="H574" s="4" t="e">
        <f ca="1">IF(F574&lt;PREMISSAS!$D$7,0,IFERROR(VLOOKUP(IF(LEFT(F574,2)="13",DATE(YEAR(F573),12,31),F574),IPCA!$A:$D,4,FALSE),1)*G574)</f>
        <v>#VALUE!</v>
      </c>
      <c r="J574" s="21" t="str">
        <f t="shared" ca="1" si="72"/>
        <v/>
      </c>
      <c r="K574" s="4" t="str">
        <f t="shared" ca="1" si="73"/>
        <v/>
      </c>
      <c r="M574" s="21" t="str">
        <f t="shared" ca="1" si="79"/>
        <v/>
      </c>
      <c r="N574" s="37">
        <f t="shared" ca="1" si="74"/>
        <v>0</v>
      </c>
      <c r="O574" s="4">
        <f ca="1">IFERROR(AVERAGEIF(N$5:$N574,"&gt;="&amp;_xlfn.PERCENTILE.EXC(N$5:$N574,0.2)),0)</f>
        <v>0</v>
      </c>
      <c r="Q574" s="21" t="str">
        <f t="shared" ca="1" si="80"/>
        <v/>
      </c>
      <c r="R574" s="37">
        <f t="shared" ca="1" si="75"/>
        <v>0</v>
      </c>
      <c r="S574" s="4">
        <f ca="1">IFERROR(AVERAGE($R$5:R574),0)</f>
        <v>0</v>
      </c>
      <c r="U574" s="21" t="str">
        <f t="shared" ca="1" si="76"/>
        <v/>
      </c>
      <c r="V574" s="4">
        <f ca="1">MIN(S574,PREMISSAS!$C$14)</f>
        <v>0</v>
      </c>
      <c r="W574" s="188"/>
      <c r="X574" s="188"/>
    </row>
    <row r="575" spans="2:24" x14ac:dyDescent="0.3">
      <c r="B575" s="21" t="str">
        <f t="shared" ca="1" si="77"/>
        <v/>
      </c>
      <c r="C575" s="22" t="str">
        <f ca="1">IF(B575="","",IF(LEFT(B575,2)="13",C574,IF(MONTH(B575)=1,C574*(1+PREMISSAS!$C$58),C574)))</f>
        <v/>
      </c>
      <c r="E575" s="18">
        <v>571</v>
      </c>
      <c r="F575" s="21" t="str">
        <f t="shared" ca="1" si="78"/>
        <v/>
      </c>
      <c r="G575" s="22" t="str">
        <f ca="1">IFERROR(VLOOKUP(F575,RESULTADOS!$O$5:$P$543,2,FALSE),VLOOKUP(F575,$B$5:$C$842,2,FALSE))</f>
        <v/>
      </c>
      <c r="H575" s="4" t="e">
        <f ca="1">IF(F575&lt;PREMISSAS!$D$7,0,IFERROR(VLOOKUP(IF(LEFT(F575,2)="13",DATE(YEAR(F574),12,31),F575),IPCA!$A:$D,4,FALSE),1)*G575)</f>
        <v>#VALUE!</v>
      </c>
      <c r="J575" s="21" t="str">
        <f t="shared" ca="1" si="72"/>
        <v/>
      </c>
      <c r="K575" s="4" t="str">
        <f t="shared" ca="1" si="73"/>
        <v/>
      </c>
      <c r="M575" s="21" t="str">
        <f t="shared" ca="1" si="79"/>
        <v/>
      </c>
      <c r="N575" s="37">
        <f t="shared" ca="1" si="74"/>
        <v>0</v>
      </c>
      <c r="O575" s="4">
        <f ca="1">IFERROR(AVERAGEIF(N$5:$N575,"&gt;="&amp;_xlfn.PERCENTILE.EXC(N$5:$N575,0.2)),0)</f>
        <v>0</v>
      </c>
      <c r="Q575" s="21" t="str">
        <f t="shared" ca="1" si="80"/>
        <v/>
      </c>
      <c r="R575" s="37">
        <f t="shared" ca="1" si="75"/>
        <v>0</v>
      </c>
      <c r="S575" s="4">
        <f ca="1">IFERROR(AVERAGE($R$5:R575),0)</f>
        <v>0</v>
      </c>
      <c r="U575" s="21" t="str">
        <f t="shared" ca="1" si="76"/>
        <v/>
      </c>
      <c r="V575" s="4">
        <f ca="1">MIN(S575,PREMISSAS!$C$14)</f>
        <v>0</v>
      </c>
      <c r="W575" s="188"/>
      <c r="X575" s="188"/>
    </row>
    <row r="576" spans="2:24" x14ac:dyDescent="0.3">
      <c r="B576" s="21" t="str">
        <f t="shared" ca="1" si="77"/>
        <v/>
      </c>
      <c r="C576" s="22" t="str">
        <f ca="1">IF(B576="","",IF(LEFT(B576,2)="13",C575,IF(MONTH(B576)=1,C575*(1+PREMISSAS!$C$58),C575)))</f>
        <v/>
      </c>
      <c r="E576" s="18">
        <v>572</v>
      </c>
      <c r="F576" s="21" t="str">
        <f t="shared" ca="1" si="78"/>
        <v/>
      </c>
      <c r="G576" s="22" t="str">
        <f ca="1">IFERROR(VLOOKUP(F576,RESULTADOS!$O$5:$P$543,2,FALSE),VLOOKUP(F576,$B$5:$C$842,2,FALSE))</f>
        <v/>
      </c>
      <c r="H576" s="4" t="e">
        <f ca="1">IF(F576&lt;PREMISSAS!$D$7,0,IFERROR(VLOOKUP(IF(LEFT(F576,2)="13",DATE(YEAR(F575),12,31),F576),IPCA!$A:$D,4,FALSE),1)*G576)</f>
        <v>#VALUE!</v>
      </c>
      <c r="J576" s="21" t="str">
        <f t="shared" ca="1" si="72"/>
        <v/>
      </c>
      <c r="K576" s="4" t="str">
        <f t="shared" ca="1" si="73"/>
        <v/>
      </c>
      <c r="M576" s="21" t="str">
        <f t="shared" ca="1" si="79"/>
        <v/>
      </c>
      <c r="N576" s="37">
        <f t="shared" ca="1" si="74"/>
        <v>0</v>
      </c>
      <c r="O576" s="4">
        <f ca="1">IFERROR(AVERAGEIF(N$5:$N576,"&gt;="&amp;_xlfn.PERCENTILE.EXC(N$5:$N576,0.2)),0)</f>
        <v>0</v>
      </c>
      <c r="Q576" s="21" t="str">
        <f t="shared" ca="1" si="80"/>
        <v/>
      </c>
      <c r="R576" s="37">
        <f t="shared" ca="1" si="75"/>
        <v>0</v>
      </c>
      <c r="S576" s="4">
        <f ca="1">IFERROR(AVERAGE($R$5:R576),0)</f>
        <v>0</v>
      </c>
      <c r="U576" s="21" t="str">
        <f t="shared" ca="1" si="76"/>
        <v/>
      </c>
      <c r="V576" s="4">
        <f ca="1">MIN(S576,PREMISSAS!$C$14)</f>
        <v>0</v>
      </c>
      <c r="W576" s="188"/>
      <c r="X576" s="188"/>
    </row>
    <row r="577" spans="2:24" x14ac:dyDescent="0.3">
      <c r="B577" s="21" t="str">
        <f t="shared" ca="1" si="77"/>
        <v/>
      </c>
      <c r="C577" s="22" t="str">
        <f ca="1">IF(B577="","",IF(LEFT(B577,2)="13",C576,IF(MONTH(B577)=1,C576*(1+PREMISSAS!$C$58),C576)))</f>
        <v/>
      </c>
      <c r="E577" s="18">
        <v>573</v>
      </c>
      <c r="F577" s="21" t="str">
        <f t="shared" ca="1" si="78"/>
        <v/>
      </c>
      <c r="G577" s="22" t="str">
        <f ca="1">IFERROR(VLOOKUP(F577,RESULTADOS!$O$5:$P$543,2,FALSE),VLOOKUP(F577,$B$5:$C$842,2,FALSE))</f>
        <v/>
      </c>
      <c r="H577" s="4" t="e">
        <f ca="1">IF(F577&lt;PREMISSAS!$D$7,0,IFERROR(VLOOKUP(IF(LEFT(F577,2)="13",DATE(YEAR(F576),12,31),F577),IPCA!$A:$D,4,FALSE),1)*G577)</f>
        <v>#VALUE!</v>
      </c>
      <c r="J577" s="21" t="str">
        <f t="shared" ca="1" si="72"/>
        <v/>
      </c>
      <c r="K577" s="4" t="str">
        <f t="shared" ca="1" si="73"/>
        <v/>
      </c>
      <c r="M577" s="21" t="str">
        <f t="shared" ca="1" si="79"/>
        <v/>
      </c>
      <c r="N577" s="37">
        <f t="shared" ca="1" si="74"/>
        <v>0</v>
      </c>
      <c r="O577" s="4">
        <f ca="1">IFERROR(AVERAGEIF(N$5:$N577,"&gt;="&amp;_xlfn.PERCENTILE.EXC(N$5:$N577,0.2)),0)</f>
        <v>0</v>
      </c>
      <c r="Q577" s="21" t="str">
        <f t="shared" ca="1" si="80"/>
        <v/>
      </c>
      <c r="R577" s="37">
        <f t="shared" ca="1" si="75"/>
        <v>0</v>
      </c>
      <c r="S577" s="4">
        <f ca="1">IFERROR(AVERAGE($R$5:R577),0)</f>
        <v>0</v>
      </c>
      <c r="U577" s="21" t="str">
        <f t="shared" ca="1" si="76"/>
        <v/>
      </c>
      <c r="V577" s="4">
        <f ca="1">MIN(S577,PREMISSAS!$C$14)</f>
        <v>0</v>
      </c>
      <c r="W577" s="188"/>
      <c r="X577" s="188"/>
    </row>
    <row r="578" spans="2:24" x14ac:dyDescent="0.3">
      <c r="B578" s="21" t="str">
        <f t="shared" ca="1" si="77"/>
        <v/>
      </c>
      <c r="C578" s="22" t="str">
        <f ca="1">IF(B578="","",IF(LEFT(B578,2)="13",C577,IF(MONTH(B578)=1,C577*(1+PREMISSAS!$C$58),C577)))</f>
        <v/>
      </c>
      <c r="E578" s="18">
        <v>574</v>
      </c>
      <c r="F578" s="21" t="str">
        <f t="shared" ca="1" si="78"/>
        <v/>
      </c>
      <c r="G578" s="22" t="str">
        <f ca="1">IFERROR(VLOOKUP(F578,RESULTADOS!$O$5:$P$543,2,FALSE),VLOOKUP(F578,$B$5:$C$842,2,FALSE))</f>
        <v/>
      </c>
      <c r="H578" s="4" t="e">
        <f ca="1">IF(F578&lt;PREMISSAS!$D$7,0,IFERROR(VLOOKUP(IF(LEFT(F578,2)="13",DATE(YEAR(F577),12,31),F578),IPCA!$A:$D,4,FALSE),1)*G578)</f>
        <v>#VALUE!</v>
      </c>
      <c r="J578" s="21" t="str">
        <f t="shared" ca="1" si="72"/>
        <v/>
      </c>
      <c r="K578" s="4" t="str">
        <f t="shared" ca="1" si="73"/>
        <v/>
      </c>
      <c r="M578" s="21" t="str">
        <f t="shared" ca="1" si="79"/>
        <v/>
      </c>
      <c r="N578" s="37">
        <f t="shared" ca="1" si="74"/>
        <v>0</v>
      </c>
      <c r="O578" s="4">
        <f ca="1">IFERROR(AVERAGEIF(N$5:$N578,"&gt;="&amp;_xlfn.PERCENTILE.EXC(N$5:$N578,0.2)),0)</f>
        <v>0</v>
      </c>
      <c r="Q578" s="21" t="str">
        <f t="shared" ca="1" si="80"/>
        <v/>
      </c>
      <c r="R578" s="37">
        <f t="shared" ca="1" si="75"/>
        <v>0</v>
      </c>
      <c r="S578" s="4">
        <f ca="1">IFERROR(AVERAGE($R$5:R578),0)</f>
        <v>0</v>
      </c>
      <c r="U578" s="21" t="str">
        <f t="shared" ca="1" si="76"/>
        <v/>
      </c>
      <c r="V578" s="4">
        <f ca="1">MIN(S578,PREMISSAS!$C$14)</f>
        <v>0</v>
      </c>
      <c r="W578" s="188"/>
      <c r="X578" s="188"/>
    </row>
    <row r="579" spans="2:24" x14ac:dyDescent="0.3">
      <c r="B579" s="21" t="str">
        <f t="shared" ca="1" si="77"/>
        <v/>
      </c>
      <c r="C579" s="22" t="str">
        <f ca="1">IF(B579="","",IF(LEFT(B579,2)="13",C578,IF(MONTH(B579)=1,C578*(1+PREMISSAS!$C$58),C578)))</f>
        <v/>
      </c>
      <c r="E579" s="18">
        <v>575</v>
      </c>
      <c r="F579" s="21" t="str">
        <f t="shared" ca="1" si="78"/>
        <v/>
      </c>
      <c r="G579" s="22" t="str">
        <f ca="1">IFERROR(VLOOKUP(F579,RESULTADOS!$O$5:$P$543,2,FALSE),VLOOKUP(F579,$B$5:$C$842,2,FALSE))</f>
        <v/>
      </c>
      <c r="H579" s="4" t="e">
        <f ca="1">IF(F579&lt;PREMISSAS!$D$7,0,IFERROR(VLOOKUP(IF(LEFT(F579,2)="13",DATE(YEAR(F578),12,31),F579),IPCA!$A:$D,4,FALSE),1)*G579)</f>
        <v>#VALUE!</v>
      </c>
      <c r="J579" s="21" t="str">
        <f t="shared" ca="1" si="72"/>
        <v/>
      </c>
      <c r="K579" s="4" t="str">
        <f t="shared" ca="1" si="73"/>
        <v/>
      </c>
      <c r="M579" s="21" t="str">
        <f t="shared" ca="1" si="79"/>
        <v/>
      </c>
      <c r="N579" s="37">
        <f t="shared" ca="1" si="74"/>
        <v>0</v>
      </c>
      <c r="O579" s="4">
        <f ca="1">IFERROR(AVERAGEIF(N$5:$N579,"&gt;="&amp;_xlfn.PERCENTILE.EXC(N$5:$N579,0.2)),0)</f>
        <v>0</v>
      </c>
      <c r="Q579" s="21" t="str">
        <f t="shared" ca="1" si="80"/>
        <v/>
      </c>
      <c r="R579" s="37">
        <f t="shared" ca="1" si="75"/>
        <v>0</v>
      </c>
      <c r="S579" s="4">
        <f ca="1">IFERROR(AVERAGE($R$5:R579),0)</f>
        <v>0</v>
      </c>
      <c r="U579" s="21" t="str">
        <f t="shared" ca="1" si="76"/>
        <v/>
      </c>
      <c r="V579" s="4">
        <f ca="1">MIN(S579,PREMISSAS!$C$14)</f>
        <v>0</v>
      </c>
      <c r="W579" s="188"/>
      <c r="X579" s="188"/>
    </row>
    <row r="580" spans="2:24" x14ac:dyDescent="0.3">
      <c r="B580" s="21" t="str">
        <f t="shared" ca="1" si="77"/>
        <v/>
      </c>
      <c r="C580" s="22" t="str">
        <f ca="1">IF(B580="","",IF(LEFT(B580,2)="13",C579,IF(MONTH(B580)=1,C579*(1+PREMISSAS!$C$58),C579)))</f>
        <v/>
      </c>
      <c r="E580" s="18">
        <v>576</v>
      </c>
      <c r="F580" s="21" t="str">
        <f t="shared" ca="1" si="78"/>
        <v/>
      </c>
      <c r="G580" s="22" t="str">
        <f ca="1">IFERROR(VLOOKUP(F580,RESULTADOS!$O$5:$P$543,2,FALSE),VLOOKUP(F580,$B$5:$C$842,2,FALSE))</f>
        <v/>
      </c>
      <c r="H580" s="4" t="e">
        <f ca="1">IF(F580&lt;PREMISSAS!$D$7,0,IFERROR(VLOOKUP(IF(LEFT(F580,2)="13",DATE(YEAR(F579),12,31),F580),IPCA!$A:$D,4,FALSE),1)*G580)</f>
        <v>#VALUE!</v>
      </c>
      <c r="J580" s="21" t="str">
        <f t="shared" ca="1" si="72"/>
        <v/>
      </c>
      <c r="K580" s="4" t="str">
        <f t="shared" ca="1" si="73"/>
        <v/>
      </c>
      <c r="M580" s="21" t="str">
        <f t="shared" ca="1" si="79"/>
        <v/>
      </c>
      <c r="N580" s="37">
        <f t="shared" ca="1" si="74"/>
        <v>0</v>
      </c>
      <c r="O580" s="4">
        <f ca="1">IFERROR(AVERAGEIF(N$5:$N580,"&gt;="&amp;_xlfn.PERCENTILE.EXC(N$5:$N580,0.2)),0)</f>
        <v>0</v>
      </c>
      <c r="Q580" s="21" t="str">
        <f t="shared" ca="1" si="80"/>
        <v/>
      </c>
      <c r="R580" s="37">
        <f t="shared" ca="1" si="75"/>
        <v>0</v>
      </c>
      <c r="S580" s="4">
        <f ca="1">IFERROR(AVERAGE($R$5:R580),0)</f>
        <v>0</v>
      </c>
      <c r="U580" s="21" t="str">
        <f t="shared" ca="1" si="76"/>
        <v/>
      </c>
      <c r="V580" s="4">
        <f ca="1">MIN(S580,PREMISSAS!$C$14)</f>
        <v>0</v>
      </c>
      <c r="W580" s="188"/>
      <c r="X580" s="188"/>
    </row>
    <row r="581" spans="2:24" x14ac:dyDescent="0.3">
      <c r="B581" s="21" t="str">
        <f t="shared" ca="1" si="77"/>
        <v/>
      </c>
      <c r="C581" s="22" t="str">
        <f ca="1">IF(B581="","",IF(LEFT(B581,2)="13",C580,IF(MONTH(B581)=1,C580*(1+PREMISSAS!$C$58),C580)))</f>
        <v/>
      </c>
      <c r="E581" s="18">
        <v>577</v>
      </c>
      <c r="F581" s="21" t="str">
        <f t="shared" ca="1" si="78"/>
        <v/>
      </c>
      <c r="G581" s="22" t="str">
        <f ca="1">IFERROR(VLOOKUP(F581,RESULTADOS!$O$5:$P$543,2,FALSE),VLOOKUP(F581,$B$5:$C$842,2,FALSE))</f>
        <v/>
      </c>
      <c r="H581" s="4" t="e">
        <f ca="1">IF(F581&lt;PREMISSAS!$D$7,0,IFERROR(VLOOKUP(IF(LEFT(F581,2)="13",DATE(YEAR(F580),12,31),F581),IPCA!$A:$D,4,FALSE),1)*G581)</f>
        <v>#VALUE!</v>
      </c>
      <c r="J581" s="21" t="str">
        <f t="shared" ref="J581:J591" ca="1" si="81">F581</f>
        <v/>
      </c>
      <c r="K581" s="4" t="str">
        <f t="shared" ref="K581:K591" ca="1" si="82">G581</f>
        <v/>
      </c>
      <c r="M581" s="21" t="str">
        <f t="shared" ca="1" si="79"/>
        <v/>
      </c>
      <c r="N581" s="37">
        <f t="shared" ca="1" si="74"/>
        <v>0</v>
      </c>
      <c r="O581" s="4">
        <f ca="1">IFERROR(AVERAGEIF(N$5:$N581,"&gt;="&amp;_xlfn.PERCENTILE.EXC(N$5:$N581,0.2)),0)</f>
        <v>0</v>
      </c>
      <c r="Q581" s="21" t="str">
        <f t="shared" ca="1" si="80"/>
        <v/>
      </c>
      <c r="R581" s="37">
        <f t="shared" ca="1" si="75"/>
        <v>0</v>
      </c>
      <c r="S581" s="4">
        <f ca="1">IFERROR(AVERAGE($R$5:R581),0)</f>
        <v>0</v>
      </c>
      <c r="U581" s="21" t="str">
        <f t="shared" ca="1" si="76"/>
        <v/>
      </c>
      <c r="V581" s="4">
        <f ca="1">MIN(S581,PREMISSAS!$C$14)</f>
        <v>0</v>
      </c>
      <c r="W581" s="188"/>
      <c r="X581" s="188"/>
    </row>
    <row r="582" spans="2:24" x14ac:dyDescent="0.3">
      <c r="B582" s="21" t="str">
        <f t="shared" ca="1" si="77"/>
        <v/>
      </c>
      <c r="C582" s="22" t="str">
        <f ca="1">IF(B582="","",IF(LEFT(B582,2)="13",C581,IF(MONTH(B582)=1,C581*(1+PREMISSAS!$C$58),C581)))</f>
        <v/>
      </c>
      <c r="E582" s="18">
        <v>578</v>
      </c>
      <c r="F582" s="21" t="str">
        <f t="shared" ca="1" si="78"/>
        <v/>
      </c>
      <c r="G582" s="22" t="str">
        <f ca="1">IFERROR(VLOOKUP(F582,RESULTADOS!$O$5:$P$543,2,FALSE),VLOOKUP(F582,$B$5:$C$842,2,FALSE))</f>
        <v/>
      </c>
      <c r="H582" s="4" t="e">
        <f ca="1">IF(F582&lt;PREMISSAS!$D$7,0,IFERROR(VLOOKUP(IF(LEFT(F582,2)="13",DATE(YEAR(F581),12,31),F582),IPCA!$A:$D,4,FALSE),1)*G582)</f>
        <v>#VALUE!</v>
      </c>
      <c r="J582" s="21" t="str">
        <f t="shared" ca="1" si="81"/>
        <v/>
      </c>
      <c r="K582" s="4" t="str">
        <f t="shared" ca="1" si="82"/>
        <v/>
      </c>
      <c r="M582" s="21" t="str">
        <f t="shared" ca="1" si="79"/>
        <v/>
      </c>
      <c r="N582" s="37">
        <f t="shared" ref="N582:N628" ca="1" si="83">IFERROR(VLOOKUP(M582,$F$5:$H$628,3,FALSE),0)</f>
        <v>0</v>
      </c>
      <c r="O582" s="4">
        <f ca="1">IFERROR(AVERAGEIF(N$5:$N582,"&gt;="&amp;_xlfn.PERCENTILE.EXC(N$5:$N582,0.2)),0)</f>
        <v>0</v>
      </c>
      <c r="Q582" s="21" t="str">
        <f t="shared" ca="1" si="80"/>
        <v/>
      </c>
      <c r="R582" s="37">
        <f t="shared" ref="R582:R645" ca="1" si="84">IFERROR(VLOOKUP(Q582,$F$5:$H$628,3,FALSE),0)</f>
        <v>0</v>
      </c>
      <c r="S582" s="4">
        <f ca="1">IFERROR(AVERAGE($R$5:R582),0)</f>
        <v>0</v>
      </c>
      <c r="U582" s="21" t="str">
        <f t="shared" ref="U582:U628" ca="1" si="85">M582</f>
        <v/>
      </c>
      <c r="V582" s="4">
        <f ca="1">MIN(S582,PREMISSAS!$C$14)</f>
        <v>0</v>
      </c>
      <c r="W582" s="188"/>
      <c r="X582" s="188"/>
    </row>
    <row r="583" spans="2:24" x14ac:dyDescent="0.3">
      <c r="B583" s="21" t="str">
        <f t="shared" ref="B583:B646" ca="1" si="86">IFERROR(IF(LEFT(B582,2)="13",DATE(RIGHT(B582,4),12,31),IF(EOMONTH(B582,0)&gt;$F$1,"",IF(MONTH(B582)=11,"13º "&amp;YEAR(B582),EOMONTH(B582,1)))),"")</f>
        <v/>
      </c>
      <c r="C583" s="22" t="str">
        <f ca="1">IF(B583="","",IF(LEFT(B583,2)="13",C582,IF(MONTH(B583)=1,C582*(1+PREMISSAS!$C$58),C582)))</f>
        <v/>
      </c>
      <c r="E583" s="18">
        <v>579</v>
      </c>
      <c r="F583" s="21" t="str">
        <f t="shared" ref="F583:F646" ca="1" si="87">IFERROR(IF(LEFT(F582,2)="13",DATE(RIGHT(F582,4),12,31),IF(EOMONTH(F582,0)&gt;$F$1,"",IF(MONTH(F582)=11,"13º "&amp;YEAR(F582),EOMONTH(F582,1)))),"")</f>
        <v/>
      </c>
      <c r="G583" s="22" t="str">
        <f ca="1">IFERROR(VLOOKUP(F583,RESULTADOS!$O$5:$P$543,2,FALSE),VLOOKUP(F583,$B$5:$C$842,2,FALSE))</f>
        <v/>
      </c>
      <c r="H583" s="4" t="e">
        <f ca="1">IF(F583&lt;PREMISSAS!$D$7,0,IFERROR(VLOOKUP(IF(LEFT(F583,2)="13",DATE(YEAR(F582),12,31),F583),IPCA!$A:$D,4,FALSE),1)*G583)</f>
        <v>#VALUE!</v>
      </c>
      <c r="J583" s="21" t="str">
        <f t="shared" ca="1" si="81"/>
        <v/>
      </c>
      <c r="K583" s="4" t="str">
        <f t="shared" ca="1" si="82"/>
        <v/>
      </c>
      <c r="M583" s="21" t="str">
        <f t="shared" ref="M583:M646" ca="1" si="88">IFERROR(IF(LEFT(M582,2)="13",DATE(RIGHT(M582,4),12,31),IF(EOMONTH(M582,0)&gt;$F$1,"",IF(MONTH(M582)=11,"13º "&amp;YEAR(M582),EOMONTH(M582,1)))),"")</f>
        <v/>
      </c>
      <c r="N583" s="37">
        <f t="shared" ca="1" si="83"/>
        <v>0</v>
      </c>
      <c r="O583" s="4">
        <f ca="1">IFERROR(AVERAGEIF(N$5:$N583,"&gt;="&amp;_xlfn.PERCENTILE.EXC(N$5:$N583,0.2)),0)</f>
        <v>0</v>
      </c>
      <c r="Q583" s="21" t="str">
        <f t="shared" ref="Q583:Q646" ca="1" si="89">IFERROR(IF(LEFT(Q582,2)="13",DATE(RIGHT(Q582,4),12,31),IF(EOMONTH(Q582,0)&gt;$F$1,"",IF(MONTH(Q582)=11,"13º "&amp;YEAR(Q582),EOMONTH(Q582,1)))),"")</f>
        <v/>
      </c>
      <c r="R583" s="37">
        <f t="shared" ca="1" si="84"/>
        <v>0</v>
      </c>
      <c r="S583" s="4">
        <f ca="1">IFERROR(AVERAGE($R$5:R583),0)</f>
        <v>0</v>
      </c>
      <c r="U583" s="21" t="str">
        <f t="shared" ca="1" si="85"/>
        <v/>
      </c>
      <c r="V583" s="4">
        <f ca="1">MIN(S583,PREMISSAS!$C$14)</f>
        <v>0</v>
      </c>
      <c r="W583" s="188"/>
      <c r="X583" s="188"/>
    </row>
    <row r="584" spans="2:24" x14ac:dyDescent="0.3">
      <c r="B584" s="21" t="str">
        <f t="shared" ca="1" si="86"/>
        <v/>
      </c>
      <c r="C584" s="22" t="str">
        <f ca="1">IF(B584="","",IF(LEFT(B584,2)="13",C583,IF(MONTH(B584)=1,C583*(1+PREMISSAS!$C$58),C583)))</f>
        <v/>
      </c>
      <c r="E584" s="18">
        <v>580</v>
      </c>
      <c r="F584" s="21" t="str">
        <f t="shared" ca="1" si="87"/>
        <v/>
      </c>
      <c r="G584" s="22" t="str">
        <f ca="1">IFERROR(VLOOKUP(F584,RESULTADOS!$O$5:$P$543,2,FALSE),VLOOKUP(F584,$B$5:$C$842,2,FALSE))</f>
        <v/>
      </c>
      <c r="H584" s="4" t="e">
        <f ca="1">IF(F584&lt;PREMISSAS!$D$7,0,IFERROR(VLOOKUP(IF(LEFT(F584,2)="13",DATE(YEAR(F583),12,31),F584),IPCA!$A:$D,4,FALSE),1)*G584)</f>
        <v>#VALUE!</v>
      </c>
      <c r="J584" s="21" t="str">
        <f t="shared" ca="1" si="81"/>
        <v/>
      </c>
      <c r="K584" s="4" t="str">
        <f t="shared" ca="1" si="82"/>
        <v/>
      </c>
      <c r="M584" s="21" t="str">
        <f t="shared" ca="1" si="88"/>
        <v/>
      </c>
      <c r="N584" s="37">
        <f t="shared" ca="1" si="83"/>
        <v>0</v>
      </c>
      <c r="O584" s="4">
        <f ca="1">IFERROR(AVERAGEIF(N$5:$N584,"&gt;="&amp;_xlfn.PERCENTILE.EXC(N$5:$N584,0.2)),0)</f>
        <v>0</v>
      </c>
      <c r="Q584" s="21" t="str">
        <f t="shared" ca="1" si="89"/>
        <v/>
      </c>
      <c r="R584" s="37">
        <f t="shared" ca="1" si="84"/>
        <v>0</v>
      </c>
      <c r="S584" s="4">
        <f ca="1">IFERROR(AVERAGE($R$5:R584),0)</f>
        <v>0</v>
      </c>
      <c r="U584" s="21" t="str">
        <f t="shared" ca="1" si="85"/>
        <v/>
      </c>
      <c r="V584" s="4">
        <f ca="1">MIN(S584,PREMISSAS!$C$14)</f>
        <v>0</v>
      </c>
      <c r="W584" s="188"/>
      <c r="X584" s="188"/>
    </row>
    <row r="585" spans="2:24" x14ac:dyDescent="0.3">
      <c r="B585" s="21" t="str">
        <f t="shared" ca="1" si="86"/>
        <v/>
      </c>
      <c r="C585" s="22" t="str">
        <f ca="1">IF(B585="","",IF(LEFT(B585,2)="13",C584,IF(MONTH(B585)=1,C584*(1+PREMISSAS!$C$58),C584)))</f>
        <v/>
      </c>
      <c r="E585" s="18">
        <v>581</v>
      </c>
      <c r="F585" s="21" t="str">
        <f t="shared" ca="1" si="87"/>
        <v/>
      </c>
      <c r="G585" s="22" t="str">
        <f ca="1">IFERROR(VLOOKUP(F585,RESULTADOS!$O$5:$P$543,2,FALSE),VLOOKUP(F585,$B$5:$C$842,2,FALSE))</f>
        <v/>
      </c>
      <c r="H585" s="4" t="e">
        <f ca="1">IF(F585&lt;PREMISSAS!$D$7,0,IFERROR(VLOOKUP(IF(LEFT(F585,2)="13",DATE(YEAR(F584),12,31),F585),IPCA!$A:$D,4,FALSE),1)*G585)</f>
        <v>#VALUE!</v>
      </c>
      <c r="J585" s="21" t="str">
        <f t="shared" ca="1" si="81"/>
        <v/>
      </c>
      <c r="K585" s="4" t="str">
        <f t="shared" ca="1" si="82"/>
        <v/>
      </c>
      <c r="M585" s="21" t="str">
        <f t="shared" ca="1" si="88"/>
        <v/>
      </c>
      <c r="N585" s="37">
        <f t="shared" ca="1" si="83"/>
        <v>0</v>
      </c>
      <c r="O585" s="4">
        <f ca="1">IFERROR(AVERAGEIF(N$5:$N585,"&gt;="&amp;_xlfn.PERCENTILE.EXC(N$5:$N585,0.2)),0)</f>
        <v>0</v>
      </c>
      <c r="Q585" s="21" t="str">
        <f t="shared" ca="1" si="89"/>
        <v/>
      </c>
      <c r="R585" s="37">
        <f t="shared" ca="1" si="84"/>
        <v>0</v>
      </c>
      <c r="S585" s="4">
        <f ca="1">IFERROR(AVERAGE($R$5:R585),0)</f>
        <v>0</v>
      </c>
      <c r="U585" s="21" t="str">
        <f t="shared" ca="1" si="85"/>
        <v/>
      </c>
      <c r="V585" s="4">
        <f ca="1">MIN(S585,PREMISSAS!$C$14)</f>
        <v>0</v>
      </c>
      <c r="W585" s="188"/>
      <c r="X585" s="188"/>
    </row>
    <row r="586" spans="2:24" x14ac:dyDescent="0.3">
      <c r="B586" s="21" t="str">
        <f t="shared" ca="1" si="86"/>
        <v/>
      </c>
      <c r="C586" s="22" t="str">
        <f ca="1">IF(B586="","",IF(LEFT(B586,2)="13",C585,IF(MONTH(B586)=1,C585*(1+PREMISSAS!$C$58),C585)))</f>
        <v/>
      </c>
      <c r="E586" s="18">
        <v>582</v>
      </c>
      <c r="F586" s="21" t="str">
        <f t="shared" ca="1" si="87"/>
        <v/>
      </c>
      <c r="G586" s="22" t="str">
        <f ca="1">IFERROR(VLOOKUP(F586,RESULTADOS!$O$5:$P$543,2,FALSE),VLOOKUP(F586,$B$5:$C$842,2,FALSE))</f>
        <v/>
      </c>
      <c r="H586" s="4" t="e">
        <f ca="1">IF(F586&lt;PREMISSAS!$D$7,0,IFERROR(VLOOKUP(IF(LEFT(F586,2)="13",DATE(YEAR(F585),12,31),F586),IPCA!$A:$D,4,FALSE),1)*G586)</f>
        <v>#VALUE!</v>
      </c>
      <c r="J586" s="21" t="str">
        <f t="shared" ca="1" si="81"/>
        <v/>
      </c>
      <c r="K586" s="4" t="str">
        <f t="shared" ca="1" si="82"/>
        <v/>
      </c>
      <c r="M586" s="21" t="str">
        <f t="shared" ca="1" si="88"/>
        <v/>
      </c>
      <c r="N586" s="37">
        <f t="shared" ca="1" si="83"/>
        <v>0</v>
      </c>
      <c r="O586" s="4">
        <f ca="1">IFERROR(AVERAGEIF(N$5:$N586,"&gt;="&amp;_xlfn.PERCENTILE.EXC(N$5:$N586,0.2)),0)</f>
        <v>0</v>
      </c>
      <c r="Q586" s="21" t="str">
        <f t="shared" ca="1" si="89"/>
        <v/>
      </c>
      <c r="R586" s="37">
        <f t="shared" ca="1" si="84"/>
        <v>0</v>
      </c>
      <c r="S586" s="4">
        <f ca="1">IFERROR(AVERAGE($R$5:R586),0)</f>
        <v>0</v>
      </c>
      <c r="U586" s="21" t="str">
        <f t="shared" ca="1" si="85"/>
        <v/>
      </c>
      <c r="V586" s="4">
        <f ca="1">MIN(S586,PREMISSAS!$C$14)</f>
        <v>0</v>
      </c>
      <c r="W586" s="188"/>
      <c r="X586" s="188"/>
    </row>
    <row r="587" spans="2:24" x14ac:dyDescent="0.3">
      <c r="B587" s="21" t="str">
        <f t="shared" ca="1" si="86"/>
        <v/>
      </c>
      <c r="C587" s="22" t="str">
        <f ca="1">IF(B587="","",IF(LEFT(B587,2)="13",C586,IF(MONTH(B587)=1,C586*(1+PREMISSAS!$C$58),C586)))</f>
        <v/>
      </c>
      <c r="E587" s="18">
        <v>583</v>
      </c>
      <c r="F587" s="21" t="str">
        <f t="shared" ca="1" si="87"/>
        <v/>
      </c>
      <c r="G587" s="22" t="str">
        <f ca="1">IFERROR(VLOOKUP(F587,RESULTADOS!$O$5:$P$543,2,FALSE),VLOOKUP(F587,$B$5:$C$842,2,FALSE))</f>
        <v/>
      </c>
      <c r="H587" s="4" t="e">
        <f ca="1">IF(F587&lt;PREMISSAS!$D$7,0,IFERROR(VLOOKUP(IF(LEFT(F587,2)="13",DATE(YEAR(F586),12,31),F587),IPCA!$A:$D,4,FALSE),1)*G587)</f>
        <v>#VALUE!</v>
      </c>
      <c r="J587" s="21" t="str">
        <f t="shared" ca="1" si="81"/>
        <v/>
      </c>
      <c r="K587" s="4" t="str">
        <f t="shared" ca="1" si="82"/>
        <v/>
      </c>
      <c r="M587" s="21" t="str">
        <f t="shared" ca="1" si="88"/>
        <v/>
      </c>
      <c r="N587" s="37">
        <f t="shared" ca="1" si="83"/>
        <v>0</v>
      </c>
      <c r="O587" s="4">
        <f ca="1">IFERROR(AVERAGEIF(N$5:$N587,"&gt;="&amp;_xlfn.PERCENTILE.EXC(N$5:$N587,0.2)),0)</f>
        <v>0</v>
      </c>
      <c r="Q587" s="21" t="str">
        <f t="shared" ca="1" si="89"/>
        <v/>
      </c>
      <c r="R587" s="37">
        <f t="shared" ca="1" si="84"/>
        <v>0</v>
      </c>
      <c r="S587" s="4">
        <f ca="1">IFERROR(AVERAGE($R$5:R587),0)</f>
        <v>0</v>
      </c>
      <c r="U587" s="21" t="str">
        <f t="shared" ca="1" si="85"/>
        <v/>
      </c>
      <c r="V587" s="4">
        <f ca="1">MIN(S587,PREMISSAS!$C$14)</f>
        <v>0</v>
      </c>
      <c r="W587" s="188"/>
      <c r="X587" s="188"/>
    </row>
    <row r="588" spans="2:24" x14ac:dyDescent="0.3">
      <c r="B588" s="21" t="str">
        <f t="shared" ca="1" si="86"/>
        <v/>
      </c>
      <c r="C588" s="22" t="str">
        <f ca="1">IF(B588="","",IF(LEFT(B588,2)="13",C587,IF(MONTH(B588)=1,C587*(1+PREMISSAS!$C$58),C587)))</f>
        <v/>
      </c>
      <c r="E588" s="18">
        <v>584</v>
      </c>
      <c r="F588" s="21" t="str">
        <f t="shared" ca="1" si="87"/>
        <v/>
      </c>
      <c r="G588" s="22" t="str">
        <f ca="1">IFERROR(VLOOKUP(F588,RESULTADOS!$O$5:$P$543,2,FALSE),VLOOKUP(F588,$B$5:$C$842,2,FALSE))</f>
        <v/>
      </c>
      <c r="H588" s="4" t="e">
        <f ca="1">IF(F588&lt;PREMISSAS!$D$7,0,IFERROR(VLOOKUP(IF(LEFT(F588,2)="13",DATE(YEAR(F587),12,31),F588),IPCA!$A:$D,4,FALSE),1)*G588)</f>
        <v>#VALUE!</v>
      </c>
      <c r="J588" s="21" t="str">
        <f t="shared" ca="1" si="81"/>
        <v/>
      </c>
      <c r="K588" s="4" t="str">
        <f t="shared" ca="1" si="82"/>
        <v/>
      </c>
      <c r="M588" s="21" t="str">
        <f t="shared" ca="1" si="88"/>
        <v/>
      </c>
      <c r="N588" s="37">
        <f t="shared" ca="1" si="83"/>
        <v>0</v>
      </c>
      <c r="O588" s="4">
        <f ca="1">IFERROR(AVERAGEIF(N$5:$N588,"&gt;="&amp;_xlfn.PERCENTILE.EXC(N$5:$N588,0.2)),0)</f>
        <v>0</v>
      </c>
      <c r="Q588" s="21" t="str">
        <f t="shared" ca="1" si="89"/>
        <v/>
      </c>
      <c r="R588" s="37">
        <f t="shared" ca="1" si="84"/>
        <v>0</v>
      </c>
      <c r="S588" s="4">
        <f ca="1">IFERROR(AVERAGE($R$5:R588),0)</f>
        <v>0</v>
      </c>
      <c r="U588" s="21" t="str">
        <f t="shared" ca="1" si="85"/>
        <v/>
      </c>
      <c r="V588" s="4">
        <f ca="1">MIN(S588,PREMISSAS!$C$14)</f>
        <v>0</v>
      </c>
      <c r="W588" s="188"/>
      <c r="X588" s="188"/>
    </row>
    <row r="589" spans="2:24" x14ac:dyDescent="0.3">
      <c r="B589" s="21" t="str">
        <f t="shared" ca="1" si="86"/>
        <v/>
      </c>
      <c r="C589" s="22" t="str">
        <f ca="1">IF(B589="","",IF(LEFT(B589,2)="13",C588,IF(MONTH(B589)=1,C588*(1+PREMISSAS!$C$58),C588)))</f>
        <v/>
      </c>
      <c r="E589" s="18">
        <v>585</v>
      </c>
      <c r="F589" s="21" t="str">
        <f t="shared" ca="1" si="87"/>
        <v/>
      </c>
      <c r="G589" s="22" t="str">
        <f ca="1">IFERROR(VLOOKUP(F589,RESULTADOS!$O$5:$P$543,2,FALSE),VLOOKUP(F589,$B$5:$C$842,2,FALSE))</f>
        <v/>
      </c>
      <c r="H589" s="4" t="e">
        <f ca="1">IF(F589&lt;PREMISSAS!$D$7,0,IFERROR(VLOOKUP(IF(LEFT(F589,2)="13",DATE(YEAR(F588),12,31),F589),IPCA!$A:$D,4,FALSE),1)*G589)</f>
        <v>#VALUE!</v>
      </c>
      <c r="J589" s="21" t="str">
        <f t="shared" ca="1" si="81"/>
        <v/>
      </c>
      <c r="K589" s="4" t="str">
        <f t="shared" ca="1" si="82"/>
        <v/>
      </c>
      <c r="M589" s="21" t="str">
        <f t="shared" ca="1" si="88"/>
        <v/>
      </c>
      <c r="N589" s="37">
        <f t="shared" ca="1" si="83"/>
        <v>0</v>
      </c>
      <c r="O589" s="4">
        <f ca="1">IFERROR(AVERAGEIF(N$5:$N589,"&gt;="&amp;_xlfn.PERCENTILE.EXC(N$5:$N589,0.2)),0)</f>
        <v>0</v>
      </c>
      <c r="Q589" s="21" t="str">
        <f t="shared" ca="1" si="89"/>
        <v/>
      </c>
      <c r="R589" s="37">
        <f t="shared" ca="1" si="84"/>
        <v>0</v>
      </c>
      <c r="S589" s="4">
        <f ca="1">IFERROR(AVERAGE($R$5:R589),0)</f>
        <v>0</v>
      </c>
      <c r="U589" s="21" t="str">
        <f t="shared" ca="1" si="85"/>
        <v/>
      </c>
      <c r="V589" s="4">
        <f ca="1">MIN(S589,PREMISSAS!$C$14)</f>
        <v>0</v>
      </c>
      <c r="W589" s="188"/>
      <c r="X589" s="188"/>
    </row>
    <row r="590" spans="2:24" x14ac:dyDescent="0.3">
      <c r="B590" s="21" t="str">
        <f t="shared" ca="1" si="86"/>
        <v/>
      </c>
      <c r="C590" s="22" t="str">
        <f ca="1">IF(B590="","",IF(LEFT(B590,2)="13",C589,IF(MONTH(B590)=1,C589*(1+PREMISSAS!$C$58),C589)))</f>
        <v/>
      </c>
      <c r="E590" s="18">
        <v>586</v>
      </c>
      <c r="F590" s="21" t="str">
        <f t="shared" ca="1" si="87"/>
        <v/>
      </c>
      <c r="G590" s="22" t="str">
        <f ca="1">IFERROR(VLOOKUP(F590,RESULTADOS!$O$5:$P$543,2,FALSE),VLOOKUP(F590,$B$5:$C$842,2,FALSE))</f>
        <v/>
      </c>
      <c r="H590" s="4" t="e">
        <f ca="1">IF(F590&lt;PREMISSAS!$D$7,0,IFERROR(VLOOKUP(IF(LEFT(F590,2)="13",DATE(YEAR(F589),12,31),F590),IPCA!$A:$D,4,FALSE),1)*G590)</f>
        <v>#VALUE!</v>
      </c>
      <c r="J590" s="21" t="str">
        <f t="shared" ca="1" si="81"/>
        <v/>
      </c>
      <c r="K590" s="4" t="str">
        <f t="shared" ca="1" si="82"/>
        <v/>
      </c>
      <c r="M590" s="21" t="str">
        <f t="shared" ca="1" si="88"/>
        <v/>
      </c>
      <c r="N590" s="37">
        <f t="shared" ca="1" si="83"/>
        <v>0</v>
      </c>
      <c r="O590" s="4">
        <f ca="1">IFERROR(AVERAGEIF(N$5:$N590,"&gt;="&amp;_xlfn.PERCENTILE.EXC(N$5:$N590,0.2)),0)</f>
        <v>0</v>
      </c>
      <c r="Q590" s="21" t="str">
        <f t="shared" ca="1" si="89"/>
        <v/>
      </c>
      <c r="R590" s="37">
        <f t="shared" ca="1" si="84"/>
        <v>0</v>
      </c>
      <c r="S590" s="4">
        <f ca="1">IFERROR(AVERAGE($R$5:R590),0)</f>
        <v>0</v>
      </c>
      <c r="U590" s="21" t="str">
        <f t="shared" ca="1" si="85"/>
        <v/>
      </c>
      <c r="V590" s="4">
        <f ca="1">MIN(S590,PREMISSAS!$C$14)</f>
        <v>0</v>
      </c>
      <c r="W590" s="188"/>
      <c r="X590" s="188"/>
    </row>
    <row r="591" spans="2:24" x14ac:dyDescent="0.3">
      <c r="B591" s="21" t="str">
        <f t="shared" ca="1" si="86"/>
        <v/>
      </c>
      <c r="C591" s="22" t="str">
        <f ca="1">IF(B591="","",IF(LEFT(B591,2)="13",C590,IF(MONTH(B591)=1,C590*(1+PREMISSAS!$C$58),C590)))</f>
        <v/>
      </c>
      <c r="E591" s="18">
        <v>587</v>
      </c>
      <c r="F591" s="21" t="str">
        <f t="shared" ca="1" si="87"/>
        <v/>
      </c>
      <c r="G591" s="22" t="str">
        <f ca="1">IFERROR(VLOOKUP(F591,RESULTADOS!$O$5:$P$543,2,FALSE),VLOOKUP(F591,$B$5:$C$842,2,FALSE))</f>
        <v/>
      </c>
      <c r="H591" s="4" t="e">
        <f ca="1">IF(F591&lt;PREMISSAS!$D$7,0,IFERROR(VLOOKUP(IF(LEFT(F591,2)="13",DATE(YEAR(F590),12,31),F591),IPCA!$A:$D,4,FALSE),1)*G591)</f>
        <v>#VALUE!</v>
      </c>
      <c r="J591" s="21" t="str">
        <f t="shared" ca="1" si="81"/>
        <v/>
      </c>
      <c r="K591" s="4" t="str">
        <f t="shared" ca="1" si="82"/>
        <v/>
      </c>
      <c r="M591" s="21" t="str">
        <f t="shared" ca="1" si="88"/>
        <v/>
      </c>
      <c r="N591" s="37">
        <f t="shared" ca="1" si="83"/>
        <v>0</v>
      </c>
      <c r="O591" s="4">
        <f ca="1">IFERROR(AVERAGEIF(N$5:$N591,"&gt;="&amp;_xlfn.PERCENTILE.EXC(N$5:$N591,0.2)),0)</f>
        <v>0</v>
      </c>
      <c r="Q591" s="21" t="str">
        <f t="shared" ca="1" si="89"/>
        <v/>
      </c>
      <c r="R591" s="37">
        <f t="shared" ca="1" si="84"/>
        <v>0</v>
      </c>
      <c r="S591" s="4">
        <f ca="1">IFERROR(AVERAGE($R$5:R591),0)</f>
        <v>0</v>
      </c>
      <c r="U591" s="21" t="str">
        <f t="shared" ca="1" si="85"/>
        <v/>
      </c>
      <c r="V591" s="4">
        <f ca="1">MIN(S591,PREMISSAS!$C$14)</f>
        <v>0</v>
      </c>
      <c r="W591" s="188"/>
      <c r="X591" s="188"/>
    </row>
    <row r="592" spans="2:24" x14ac:dyDescent="0.3">
      <c r="B592" s="21" t="str">
        <f t="shared" ca="1" si="86"/>
        <v/>
      </c>
      <c r="C592" s="22" t="str">
        <f ca="1">IF(B592="","",IF(LEFT(B592,2)="13",C591,IF(MONTH(B592)=1,C591*(1+PREMISSAS!$C$58),C591)))</f>
        <v/>
      </c>
      <c r="E592" s="18">
        <v>588</v>
      </c>
      <c r="F592" s="21" t="str">
        <f t="shared" ca="1" si="87"/>
        <v/>
      </c>
      <c r="G592" s="22" t="str">
        <f ca="1">IFERROR(VLOOKUP(F592,RESULTADOS!$O$5:$P$543,2,FALSE),VLOOKUP(F592,$B$5:$C$842,2,FALSE))</f>
        <v/>
      </c>
      <c r="H592" s="4" t="e">
        <f ca="1">IF(F592&lt;PREMISSAS!$D$7,0,IFERROR(VLOOKUP(IF(LEFT(F592,2)="13",DATE(YEAR(F591),12,31),F592),IPCA!$A:$D,4,FALSE),1)*G592)</f>
        <v>#VALUE!</v>
      </c>
      <c r="J592" s="21" t="str">
        <f t="shared" ref="J592:J628" ca="1" si="90">F592</f>
        <v/>
      </c>
      <c r="K592" s="4" t="str">
        <f t="shared" ref="K592:K628" ca="1" si="91">G592</f>
        <v/>
      </c>
      <c r="M592" s="21" t="str">
        <f t="shared" ca="1" si="88"/>
        <v/>
      </c>
      <c r="N592" s="37">
        <f t="shared" ca="1" si="83"/>
        <v>0</v>
      </c>
      <c r="O592" s="4">
        <f ca="1">IFERROR(AVERAGEIF(N$5:$N592,"&gt;="&amp;_xlfn.PERCENTILE.EXC(N$5:$N592,0.2)),0)</f>
        <v>0</v>
      </c>
      <c r="Q592" s="21" t="str">
        <f t="shared" ca="1" si="89"/>
        <v/>
      </c>
      <c r="R592" s="37">
        <f t="shared" ca="1" si="84"/>
        <v>0</v>
      </c>
      <c r="S592" s="4">
        <f ca="1">IFERROR(AVERAGE($R$5:R592),0)</f>
        <v>0</v>
      </c>
      <c r="U592" s="21" t="str">
        <f t="shared" ca="1" si="85"/>
        <v/>
      </c>
      <c r="V592" s="4">
        <f ca="1">MIN(S592,PREMISSAS!$C$14)</f>
        <v>0</v>
      </c>
      <c r="W592" s="188"/>
      <c r="X592" s="188"/>
    </row>
    <row r="593" spans="2:24" x14ac:dyDescent="0.3">
      <c r="B593" s="21" t="str">
        <f t="shared" ca="1" si="86"/>
        <v/>
      </c>
      <c r="C593" s="22" t="str">
        <f ca="1">IF(B593="","",IF(LEFT(B593,2)="13",C592,IF(MONTH(B593)=1,C592*(1+PREMISSAS!$C$58),C592)))</f>
        <v/>
      </c>
      <c r="E593" s="18">
        <v>589</v>
      </c>
      <c r="F593" s="21" t="str">
        <f t="shared" ca="1" si="87"/>
        <v/>
      </c>
      <c r="G593" s="22" t="str">
        <f ca="1">IFERROR(VLOOKUP(F593,RESULTADOS!$O$5:$P$543,2,FALSE),VLOOKUP(F593,$B$5:$C$842,2,FALSE))</f>
        <v/>
      </c>
      <c r="H593" s="4" t="e">
        <f ca="1">IF(F593&lt;PREMISSAS!$D$7,0,IFERROR(VLOOKUP(IF(LEFT(F593,2)="13",DATE(YEAR(F592),12,31),F593),IPCA!$A:$D,4,FALSE),1)*G593)</f>
        <v>#VALUE!</v>
      </c>
      <c r="J593" s="21" t="str">
        <f t="shared" ca="1" si="90"/>
        <v/>
      </c>
      <c r="K593" s="4" t="str">
        <f t="shared" ca="1" si="91"/>
        <v/>
      </c>
      <c r="M593" s="21" t="str">
        <f t="shared" ca="1" si="88"/>
        <v/>
      </c>
      <c r="N593" s="37">
        <f t="shared" ca="1" si="83"/>
        <v>0</v>
      </c>
      <c r="O593" s="4">
        <f ca="1">IFERROR(AVERAGEIF(N$5:$N593,"&gt;="&amp;_xlfn.PERCENTILE.EXC(N$5:$N593,0.2)),0)</f>
        <v>0</v>
      </c>
      <c r="Q593" s="21" t="str">
        <f t="shared" ca="1" si="89"/>
        <v/>
      </c>
      <c r="R593" s="37">
        <f t="shared" ca="1" si="84"/>
        <v>0</v>
      </c>
      <c r="S593" s="4">
        <f ca="1">IFERROR(AVERAGE($R$5:R593),0)</f>
        <v>0</v>
      </c>
      <c r="U593" s="21" t="str">
        <f t="shared" ca="1" si="85"/>
        <v/>
      </c>
      <c r="V593" s="4">
        <f ca="1">MIN(S593,PREMISSAS!$C$14)</f>
        <v>0</v>
      </c>
      <c r="W593" s="188"/>
      <c r="X593" s="188"/>
    </row>
    <row r="594" spans="2:24" x14ac:dyDescent="0.3">
      <c r="B594" s="21" t="str">
        <f t="shared" ca="1" si="86"/>
        <v/>
      </c>
      <c r="C594" s="22" t="str">
        <f ca="1">IF(B594="","",IF(LEFT(B594,2)="13",C593,IF(MONTH(B594)=1,C593*(1+PREMISSAS!$C$58),C593)))</f>
        <v/>
      </c>
      <c r="E594" s="18">
        <v>590</v>
      </c>
      <c r="F594" s="21" t="str">
        <f t="shared" ca="1" si="87"/>
        <v/>
      </c>
      <c r="G594" s="22" t="str">
        <f ca="1">IFERROR(VLOOKUP(F594,RESULTADOS!$O$5:$P$543,2,FALSE),VLOOKUP(F594,$B$5:$C$842,2,FALSE))</f>
        <v/>
      </c>
      <c r="H594" s="4" t="e">
        <f ca="1">IF(F594&lt;PREMISSAS!$D$7,0,IFERROR(VLOOKUP(IF(LEFT(F594,2)="13",DATE(YEAR(F593),12,31),F594),IPCA!$A:$D,4,FALSE),1)*G594)</f>
        <v>#VALUE!</v>
      </c>
      <c r="J594" s="21" t="str">
        <f t="shared" ca="1" si="90"/>
        <v/>
      </c>
      <c r="K594" s="4" t="str">
        <f t="shared" ca="1" si="91"/>
        <v/>
      </c>
      <c r="M594" s="21" t="str">
        <f t="shared" ca="1" si="88"/>
        <v/>
      </c>
      <c r="N594" s="37">
        <f t="shared" ca="1" si="83"/>
        <v>0</v>
      </c>
      <c r="O594" s="4">
        <f ca="1">IFERROR(AVERAGEIF(N$5:$N594,"&gt;="&amp;_xlfn.PERCENTILE.EXC(N$5:$N594,0.2)),0)</f>
        <v>0</v>
      </c>
      <c r="Q594" s="21" t="str">
        <f t="shared" ca="1" si="89"/>
        <v/>
      </c>
      <c r="R594" s="37">
        <f t="shared" ca="1" si="84"/>
        <v>0</v>
      </c>
      <c r="S594" s="4">
        <f ca="1">IFERROR(AVERAGE($R$5:R594),0)</f>
        <v>0</v>
      </c>
      <c r="U594" s="21" t="str">
        <f t="shared" ca="1" si="85"/>
        <v/>
      </c>
      <c r="V594" s="4">
        <f ca="1">MIN(S594,PREMISSAS!$C$14)</f>
        <v>0</v>
      </c>
      <c r="W594" s="188"/>
      <c r="X594" s="188"/>
    </row>
    <row r="595" spans="2:24" x14ac:dyDescent="0.3">
      <c r="B595" s="21" t="str">
        <f t="shared" ca="1" si="86"/>
        <v/>
      </c>
      <c r="C595" s="22" t="str">
        <f ca="1">IF(B595="","",IF(LEFT(B595,2)="13",C594,IF(MONTH(B595)=1,C594*(1+PREMISSAS!$C$58),C594)))</f>
        <v/>
      </c>
      <c r="E595" s="18">
        <v>591</v>
      </c>
      <c r="F595" s="21" t="str">
        <f t="shared" ca="1" si="87"/>
        <v/>
      </c>
      <c r="G595" s="22" t="str">
        <f ca="1">IFERROR(VLOOKUP(F595,RESULTADOS!$O$5:$P$543,2,FALSE),VLOOKUP(F595,$B$5:$C$842,2,FALSE))</f>
        <v/>
      </c>
      <c r="H595" s="4" t="e">
        <f ca="1">IF(F595&lt;PREMISSAS!$D$7,0,IFERROR(VLOOKUP(IF(LEFT(F595,2)="13",DATE(YEAR(F594),12,31),F595),IPCA!$A:$D,4,FALSE),1)*G595)</f>
        <v>#VALUE!</v>
      </c>
      <c r="J595" s="21" t="str">
        <f t="shared" ca="1" si="90"/>
        <v/>
      </c>
      <c r="K595" s="4" t="str">
        <f t="shared" ca="1" si="91"/>
        <v/>
      </c>
      <c r="M595" s="21" t="str">
        <f t="shared" ca="1" si="88"/>
        <v/>
      </c>
      <c r="N595" s="37">
        <f t="shared" ca="1" si="83"/>
        <v>0</v>
      </c>
      <c r="O595" s="4">
        <f ca="1">IFERROR(AVERAGEIF(N$5:$N595,"&gt;="&amp;_xlfn.PERCENTILE.EXC(N$5:$N595,0.2)),0)</f>
        <v>0</v>
      </c>
      <c r="Q595" s="21" t="str">
        <f t="shared" ca="1" si="89"/>
        <v/>
      </c>
      <c r="R595" s="37">
        <f t="shared" ca="1" si="84"/>
        <v>0</v>
      </c>
      <c r="S595" s="4">
        <f ca="1">IFERROR(AVERAGE($R$5:R595),0)</f>
        <v>0</v>
      </c>
      <c r="U595" s="21" t="str">
        <f t="shared" ca="1" si="85"/>
        <v/>
      </c>
      <c r="V595" s="4">
        <f ca="1">MIN(S595,PREMISSAS!$C$14)</f>
        <v>0</v>
      </c>
      <c r="W595" s="188"/>
      <c r="X595" s="188"/>
    </row>
    <row r="596" spans="2:24" x14ac:dyDescent="0.3">
      <c r="B596" s="21" t="str">
        <f t="shared" ca="1" si="86"/>
        <v/>
      </c>
      <c r="C596" s="22" t="str">
        <f ca="1">IF(B596="","",IF(LEFT(B596,2)="13",C595,IF(MONTH(B596)=1,C595*(1+PREMISSAS!$C$58),C595)))</f>
        <v/>
      </c>
      <c r="E596" s="18">
        <v>592</v>
      </c>
      <c r="F596" s="21" t="str">
        <f t="shared" ca="1" si="87"/>
        <v/>
      </c>
      <c r="G596" s="22" t="str">
        <f ca="1">IFERROR(VLOOKUP(F596,RESULTADOS!$O$5:$P$543,2,FALSE),VLOOKUP(F596,$B$5:$C$842,2,FALSE))</f>
        <v/>
      </c>
      <c r="H596" s="4" t="e">
        <f ca="1">IF(F596&lt;PREMISSAS!$D$7,0,IFERROR(VLOOKUP(IF(LEFT(F596,2)="13",DATE(YEAR(F595),12,31),F596),IPCA!$A:$D,4,FALSE),1)*G596)</f>
        <v>#VALUE!</v>
      </c>
      <c r="J596" s="21" t="str">
        <f t="shared" ca="1" si="90"/>
        <v/>
      </c>
      <c r="K596" s="4" t="str">
        <f t="shared" ca="1" si="91"/>
        <v/>
      </c>
      <c r="M596" s="21" t="str">
        <f t="shared" ca="1" si="88"/>
        <v/>
      </c>
      <c r="N596" s="37">
        <f t="shared" ca="1" si="83"/>
        <v>0</v>
      </c>
      <c r="O596" s="4">
        <f ca="1">IFERROR(AVERAGEIF(N$5:$N596,"&gt;="&amp;_xlfn.PERCENTILE.EXC(N$5:$N596,0.2)),0)</f>
        <v>0</v>
      </c>
      <c r="Q596" s="21" t="str">
        <f t="shared" ca="1" si="89"/>
        <v/>
      </c>
      <c r="R596" s="37">
        <f t="shared" ca="1" si="84"/>
        <v>0</v>
      </c>
      <c r="S596" s="4">
        <f ca="1">IFERROR(AVERAGE($R$5:R596),0)</f>
        <v>0</v>
      </c>
      <c r="U596" s="21" t="str">
        <f t="shared" ca="1" si="85"/>
        <v/>
      </c>
      <c r="V596" s="4">
        <f ca="1">MIN(S596,PREMISSAS!$C$14)</f>
        <v>0</v>
      </c>
      <c r="W596" s="188"/>
      <c r="X596" s="188"/>
    </row>
    <row r="597" spans="2:24" x14ac:dyDescent="0.3">
      <c r="B597" s="21" t="str">
        <f t="shared" ca="1" si="86"/>
        <v/>
      </c>
      <c r="C597" s="22" t="str">
        <f ca="1">IF(B597="","",IF(LEFT(B597,2)="13",C596,IF(MONTH(B597)=1,C596*(1+PREMISSAS!$C$58),C596)))</f>
        <v/>
      </c>
      <c r="E597" s="18">
        <v>593</v>
      </c>
      <c r="F597" s="21" t="str">
        <f t="shared" ca="1" si="87"/>
        <v/>
      </c>
      <c r="G597" s="22" t="str">
        <f ca="1">IFERROR(VLOOKUP(F597,RESULTADOS!$O$5:$P$543,2,FALSE),VLOOKUP(F597,$B$5:$C$842,2,FALSE))</f>
        <v/>
      </c>
      <c r="H597" s="4" t="e">
        <f ca="1">IF(F597&lt;PREMISSAS!$D$7,0,IFERROR(VLOOKUP(IF(LEFT(F597,2)="13",DATE(YEAR(F596),12,31),F597),IPCA!$A:$D,4,FALSE),1)*G597)</f>
        <v>#VALUE!</v>
      </c>
      <c r="J597" s="21" t="str">
        <f t="shared" ca="1" si="90"/>
        <v/>
      </c>
      <c r="K597" s="4" t="str">
        <f t="shared" ca="1" si="91"/>
        <v/>
      </c>
      <c r="M597" s="21" t="str">
        <f t="shared" ca="1" si="88"/>
        <v/>
      </c>
      <c r="N597" s="37">
        <f t="shared" ca="1" si="83"/>
        <v>0</v>
      </c>
      <c r="O597" s="4">
        <f ca="1">IFERROR(AVERAGEIF(N$5:$N597,"&gt;="&amp;_xlfn.PERCENTILE.EXC(N$5:$N597,0.2)),0)</f>
        <v>0</v>
      </c>
      <c r="Q597" s="21" t="str">
        <f t="shared" ca="1" si="89"/>
        <v/>
      </c>
      <c r="R597" s="37">
        <f t="shared" ca="1" si="84"/>
        <v>0</v>
      </c>
      <c r="S597" s="4">
        <f ca="1">IFERROR(AVERAGE($R$5:R597),0)</f>
        <v>0</v>
      </c>
      <c r="U597" s="21" t="str">
        <f t="shared" ca="1" si="85"/>
        <v/>
      </c>
      <c r="V597" s="4">
        <f ca="1">MIN(S597,PREMISSAS!$C$14)</f>
        <v>0</v>
      </c>
      <c r="W597" s="188"/>
      <c r="X597" s="188"/>
    </row>
    <row r="598" spans="2:24" x14ac:dyDescent="0.3">
      <c r="B598" s="21" t="str">
        <f t="shared" ca="1" si="86"/>
        <v/>
      </c>
      <c r="C598" s="22" t="str">
        <f ca="1">IF(B598="","",IF(LEFT(B598,2)="13",C597,IF(MONTH(B598)=1,C597*(1+PREMISSAS!$C$58),C597)))</f>
        <v/>
      </c>
      <c r="E598" s="18">
        <v>594</v>
      </c>
      <c r="F598" s="21" t="str">
        <f t="shared" ca="1" si="87"/>
        <v/>
      </c>
      <c r="G598" s="22" t="str">
        <f ca="1">IFERROR(VLOOKUP(F598,RESULTADOS!$O$5:$P$543,2,FALSE),VLOOKUP(F598,$B$5:$C$842,2,FALSE))</f>
        <v/>
      </c>
      <c r="H598" s="4" t="e">
        <f ca="1">IF(F598&lt;PREMISSAS!$D$7,0,IFERROR(VLOOKUP(IF(LEFT(F598,2)="13",DATE(YEAR(F597),12,31),F598),IPCA!$A:$D,4,FALSE),1)*G598)</f>
        <v>#VALUE!</v>
      </c>
      <c r="J598" s="21" t="str">
        <f t="shared" ca="1" si="90"/>
        <v/>
      </c>
      <c r="K598" s="4" t="str">
        <f t="shared" ca="1" si="91"/>
        <v/>
      </c>
      <c r="M598" s="21" t="str">
        <f t="shared" ca="1" si="88"/>
        <v/>
      </c>
      <c r="N598" s="37">
        <f t="shared" ca="1" si="83"/>
        <v>0</v>
      </c>
      <c r="O598" s="4">
        <f ca="1">IFERROR(AVERAGEIF(N$5:$N598,"&gt;="&amp;_xlfn.PERCENTILE.EXC(N$5:$N598,0.2)),0)</f>
        <v>0</v>
      </c>
      <c r="Q598" s="21" t="str">
        <f t="shared" ca="1" si="89"/>
        <v/>
      </c>
      <c r="R598" s="37">
        <f t="shared" ca="1" si="84"/>
        <v>0</v>
      </c>
      <c r="S598" s="4">
        <f ca="1">IFERROR(AVERAGE($R$5:R598),0)</f>
        <v>0</v>
      </c>
      <c r="U598" s="21" t="str">
        <f t="shared" ca="1" si="85"/>
        <v/>
      </c>
      <c r="V598" s="4">
        <f ca="1">MIN(S598,PREMISSAS!$C$14)</f>
        <v>0</v>
      </c>
      <c r="W598" s="188"/>
      <c r="X598" s="188"/>
    </row>
    <row r="599" spans="2:24" x14ac:dyDescent="0.3">
      <c r="B599" s="21" t="str">
        <f t="shared" ca="1" si="86"/>
        <v/>
      </c>
      <c r="C599" s="22" t="str">
        <f ca="1">IF(B599="","",IF(LEFT(B599,2)="13",C598,IF(MONTH(B599)=1,C598*(1+PREMISSAS!$C$58),C598)))</f>
        <v/>
      </c>
      <c r="E599" s="18">
        <v>595</v>
      </c>
      <c r="F599" s="21" t="str">
        <f t="shared" ca="1" si="87"/>
        <v/>
      </c>
      <c r="G599" s="22" t="str">
        <f ca="1">IFERROR(VLOOKUP(F599,RESULTADOS!$O$5:$P$543,2,FALSE),VLOOKUP(F599,$B$5:$C$842,2,FALSE))</f>
        <v/>
      </c>
      <c r="H599" s="4" t="e">
        <f ca="1">IF(F599&lt;PREMISSAS!$D$7,0,IFERROR(VLOOKUP(IF(LEFT(F599,2)="13",DATE(YEAR(F598),12,31),F599),IPCA!$A:$D,4,FALSE),1)*G599)</f>
        <v>#VALUE!</v>
      </c>
      <c r="J599" s="21" t="str">
        <f t="shared" ca="1" si="90"/>
        <v/>
      </c>
      <c r="K599" s="4" t="str">
        <f t="shared" ca="1" si="91"/>
        <v/>
      </c>
      <c r="M599" s="21" t="str">
        <f t="shared" ca="1" si="88"/>
        <v/>
      </c>
      <c r="N599" s="37">
        <f t="shared" ca="1" si="83"/>
        <v>0</v>
      </c>
      <c r="O599" s="4">
        <f ca="1">IFERROR(AVERAGEIF(N$5:$N599,"&gt;="&amp;_xlfn.PERCENTILE.EXC(N$5:$N599,0.2)),0)</f>
        <v>0</v>
      </c>
      <c r="Q599" s="21" t="str">
        <f t="shared" ca="1" si="89"/>
        <v/>
      </c>
      <c r="R599" s="37">
        <f t="shared" ca="1" si="84"/>
        <v>0</v>
      </c>
      <c r="S599" s="4">
        <f ca="1">IFERROR(AVERAGE($R$5:R599),0)</f>
        <v>0</v>
      </c>
      <c r="U599" s="21" t="str">
        <f t="shared" ca="1" si="85"/>
        <v/>
      </c>
      <c r="V599" s="4">
        <f ca="1">MIN(S599,PREMISSAS!$C$14)</f>
        <v>0</v>
      </c>
      <c r="W599" s="188"/>
      <c r="X599" s="188"/>
    </row>
    <row r="600" spans="2:24" x14ac:dyDescent="0.3">
      <c r="B600" s="21" t="str">
        <f t="shared" ca="1" si="86"/>
        <v/>
      </c>
      <c r="C600" s="22" t="str">
        <f ca="1">IF(B600="","",IF(LEFT(B600,2)="13",C599,IF(MONTH(B600)=1,C599*(1+PREMISSAS!$C$58),C599)))</f>
        <v/>
      </c>
      <c r="E600" s="18">
        <v>596</v>
      </c>
      <c r="F600" s="21" t="str">
        <f t="shared" ca="1" si="87"/>
        <v/>
      </c>
      <c r="G600" s="22" t="str">
        <f ca="1">IFERROR(VLOOKUP(F600,RESULTADOS!$O$5:$P$543,2,FALSE),VLOOKUP(F600,$B$5:$C$842,2,FALSE))</f>
        <v/>
      </c>
      <c r="H600" s="4" t="e">
        <f ca="1">IF(F600&lt;PREMISSAS!$D$7,0,IFERROR(VLOOKUP(IF(LEFT(F600,2)="13",DATE(YEAR(F599),12,31),F600),IPCA!$A:$D,4,FALSE),1)*G600)</f>
        <v>#VALUE!</v>
      </c>
      <c r="J600" s="21" t="str">
        <f t="shared" ca="1" si="90"/>
        <v/>
      </c>
      <c r="K600" s="4" t="str">
        <f t="shared" ca="1" si="91"/>
        <v/>
      </c>
      <c r="M600" s="21" t="str">
        <f t="shared" ca="1" si="88"/>
        <v/>
      </c>
      <c r="N600" s="37">
        <f t="shared" ca="1" si="83"/>
        <v>0</v>
      </c>
      <c r="O600" s="4">
        <f ca="1">IFERROR(AVERAGEIF(N$5:$N600,"&gt;="&amp;_xlfn.PERCENTILE.EXC(N$5:$N600,0.2)),0)</f>
        <v>0</v>
      </c>
      <c r="Q600" s="21" t="str">
        <f t="shared" ca="1" si="89"/>
        <v/>
      </c>
      <c r="R600" s="37">
        <f t="shared" ca="1" si="84"/>
        <v>0</v>
      </c>
      <c r="S600" s="4">
        <f ca="1">IFERROR(AVERAGE($R$5:R600),0)</f>
        <v>0</v>
      </c>
      <c r="U600" s="21" t="str">
        <f t="shared" ca="1" si="85"/>
        <v/>
      </c>
      <c r="V600" s="4">
        <f ca="1">MIN(S600,PREMISSAS!$C$14)</f>
        <v>0</v>
      </c>
      <c r="W600" s="188"/>
      <c r="X600" s="188"/>
    </row>
    <row r="601" spans="2:24" x14ac:dyDescent="0.3">
      <c r="B601" s="21" t="str">
        <f t="shared" ca="1" si="86"/>
        <v/>
      </c>
      <c r="C601" s="22" t="str">
        <f ca="1">IF(B601="","",IF(LEFT(B601,2)="13",C600,IF(MONTH(B601)=1,C600*(1+PREMISSAS!$C$58),C600)))</f>
        <v/>
      </c>
      <c r="E601" s="18">
        <v>597</v>
      </c>
      <c r="F601" s="21" t="str">
        <f t="shared" ca="1" si="87"/>
        <v/>
      </c>
      <c r="G601" s="22" t="str">
        <f ca="1">IFERROR(VLOOKUP(F601,RESULTADOS!$O$5:$P$543,2,FALSE),VLOOKUP(F601,$B$5:$C$842,2,FALSE))</f>
        <v/>
      </c>
      <c r="H601" s="4" t="e">
        <f ca="1">IF(F601&lt;PREMISSAS!$D$7,0,IFERROR(VLOOKUP(IF(LEFT(F601,2)="13",DATE(YEAR(F600),12,31),F601),IPCA!$A:$D,4,FALSE),1)*G601)</f>
        <v>#VALUE!</v>
      </c>
      <c r="J601" s="21" t="str">
        <f t="shared" ca="1" si="90"/>
        <v/>
      </c>
      <c r="K601" s="4" t="str">
        <f t="shared" ca="1" si="91"/>
        <v/>
      </c>
      <c r="M601" s="21" t="str">
        <f t="shared" ca="1" si="88"/>
        <v/>
      </c>
      <c r="N601" s="37">
        <f t="shared" ca="1" si="83"/>
        <v>0</v>
      </c>
      <c r="O601" s="4">
        <f ca="1">IFERROR(AVERAGEIF(N$5:$N601,"&gt;="&amp;_xlfn.PERCENTILE.EXC(N$5:$N601,0.2)),0)</f>
        <v>0</v>
      </c>
      <c r="Q601" s="21" t="str">
        <f t="shared" ca="1" si="89"/>
        <v/>
      </c>
      <c r="R601" s="37">
        <f t="shared" ca="1" si="84"/>
        <v>0</v>
      </c>
      <c r="S601" s="4">
        <f ca="1">IFERROR(AVERAGE($R$5:R601),0)</f>
        <v>0</v>
      </c>
      <c r="U601" s="21" t="str">
        <f t="shared" ca="1" si="85"/>
        <v/>
      </c>
      <c r="V601" s="4">
        <f ca="1">MIN(S601,PREMISSAS!$C$14)</f>
        <v>0</v>
      </c>
      <c r="W601" s="188"/>
      <c r="X601" s="188"/>
    </row>
    <row r="602" spans="2:24" x14ac:dyDescent="0.3">
      <c r="B602" s="21" t="str">
        <f t="shared" ca="1" si="86"/>
        <v/>
      </c>
      <c r="C602" s="22" t="str">
        <f ca="1">IF(B602="","",IF(LEFT(B602,2)="13",C601,IF(MONTH(B602)=1,C601*(1+PREMISSAS!$C$58),C601)))</f>
        <v/>
      </c>
      <c r="E602" s="18">
        <v>598</v>
      </c>
      <c r="F602" s="21" t="str">
        <f t="shared" ca="1" si="87"/>
        <v/>
      </c>
      <c r="G602" s="22" t="str">
        <f ca="1">IFERROR(VLOOKUP(F602,RESULTADOS!$O$5:$P$543,2,FALSE),VLOOKUP(F602,$B$5:$C$842,2,FALSE))</f>
        <v/>
      </c>
      <c r="H602" s="4" t="e">
        <f ca="1">IF(F602&lt;PREMISSAS!$D$7,0,IFERROR(VLOOKUP(IF(LEFT(F602,2)="13",DATE(YEAR(F601),12,31),F602),IPCA!$A:$D,4,FALSE),1)*G602)</f>
        <v>#VALUE!</v>
      </c>
      <c r="J602" s="21" t="str">
        <f t="shared" ca="1" si="90"/>
        <v/>
      </c>
      <c r="K602" s="4" t="str">
        <f t="shared" ca="1" si="91"/>
        <v/>
      </c>
      <c r="M602" s="21" t="str">
        <f t="shared" ca="1" si="88"/>
        <v/>
      </c>
      <c r="N602" s="37">
        <f t="shared" ca="1" si="83"/>
        <v>0</v>
      </c>
      <c r="O602" s="4">
        <f ca="1">IFERROR(AVERAGEIF(N$5:$N602,"&gt;="&amp;_xlfn.PERCENTILE.EXC(N$5:$N602,0.2)),0)</f>
        <v>0</v>
      </c>
      <c r="Q602" s="21" t="str">
        <f t="shared" ca="1" si="89"/>
        <v/>
      </c>
      <c r="R602" s="37">
        <f t="shared" ca="1" si="84"/>
        <v>0</v>
      </c>
      <c r="S602" s="4">
        <f ca="1">IFERROR(AVERAGE($R$5:R602),0)</f>
        <v>0</v>
      </c>
      <c r="U602" s="21" t="str">
        <f t="shared" ca="1" si="85"/>
        <v/>
      </c>
      <c r="V602" s="4">
        <f ca="1">MIN(S602,PREMISSAS!$C$14)</f>
        <v>0</v>
      </c>
      <c r="W602" s="188"/>
      <c r="X602" s="188"/>
    </row>
    <row r="603" spans="2:24" x14ac:dyDescent="0.3">
      <c r="B603" s="21" t="str">
        <f t="shared" ca="1" si="86"/>
        <v/>
      </c>
      <c r="C603" s="22" t="str">
        <f ca="1">IF(B603="","",IF(LEFT(B603,2)="13",C602,IF(MONTH(B603)=1,C602*(1+PREMISSAS!$C$58),C602)))</f>
        <v/>
      </c>
      <c r="E603" s="18">
        <v>599</v>
      </c>
      <c r="F603" s="21" t="str">
        <f t="shared" ca="1" si="87"/>
        <v/>
      </c>
      <c r="G603" s="22" t="str">
        <f ca="1">IFERROR(VLOOKUP(F603,RESULTADOS!$O$5:$P$543,2,FALSE),VLOOKUP(F603,$B$5:$C$842,2,FALSE))</f>
        <v/>
      </c>
      <c r="H603" s="4" t="e">
        <f ca="1">IF(F603&lt;PREMISSAS!$D$7,0,IFERROR(VLOOKUP(IF(LEFT(F603,2)="13",DATE(YEAR(F602),12,31),F603),IPCA!$A:$D,4,FALSE),1)*G603)</f>
        <v>#VALUE!</v>
      </c>
      <c r="J603" s="21" t="str">
        <f t="shared" ca="1" si="90"/>
        <v/>
      </c>
      <c r="K603" s="4" t="str">
        <f t="shared" ca="1" si="91"/>
        <v/>
      </c>
      <c r="M603" s="21" t="str">
        <f t="shared" ca="1" si="88"/>
        <v/>
      </c>
      <c r="N603" s="37">
        <f t="shared" ca="1" si="83"/>
        <v>0</v>
      </c>
      <c r="O603" s="4">
        <f ca="1">IFERROR(AVERAGEIF(N$5:$N603,"&gt;="&amp;_xlfn.PERCENTILE.EXC(N$5:$N603,0.2)),0)</f>
        <v>0</v>
      </c>
      <c r="Q603" s="21" t="str">
        <f t="shared" ca="1" si="89"/>
        <v/>
      </c>
      <c r="R603" s="37">
        <f t="shared" ca="1" si="84"/>
        <v>0</v>
      </c>
      <c r="S603" s="4">
        <f ca="1">IFERROR(AVERAGE($R$5:R603),0)</f>
        <v>0</v>
      </c>
      <c r="U603" s="21" t="str">
        <f t="shared" ca="1" si="85"/>
        <v/>
      </c>
      <c r="V603" s="4">
        <f ca="1">MIN(S603,PREMISSAS!$C$14)</f>
        <v>0</v>
      </c>
      <c r="W603" s="188"/>
      <c r="X603" s="188"/>
    </row>
    <row r="604" spans="2:24" x14ac:dyDescent="0.3">
      <c r="B604" s="21" t="str">
        <f t="shared" ca="1" si="86"/>
        <v/>
      </c>
      <c r="C604" s="22" t="str">
        <f ca="1">IF(B604="","",IF(LEFT(B604,2)="13",C603,IF(MONTH(B604)=1,C603*(1+PREMISSAS!$C$58),C603)))</f>
        <v/>
      </c>
      <c r="E604" s="18">
        <v>600</v>
      </c>
      <c r="F604" s="21" t="str">
        <f t="shared" ca="1" si="87"/>
        <v/>
      </c>
      <c r="G604" s="22" t="str">
        <f ca="1">IFERROR(VLOOKUP(F604,RESULTADOS!$O$5:$P$543,2,FALSE),VLOOKUP(F604,$B$5:$C$842,2,FALSE))</f>
        <v/>
      </c>
      <c r="H604" s="4" t="e">
        <f ca="1">IF(F604&lt;PREMISSAS!$D$7,0,IFERROR(VLOOKUP(IF(LEFT(F604,2)="13",DATE(YEAR(F603),12,31),F604),IPCA!$A:$D,4,FALSE),1)*G604)</f>
        <v>#VALUE!</v>
      </c>
      <c r="J604" s="21" t="str">
        <f t="shared" ca="1" si="90"/>
        <v/>
      </c>
      <c r="K604" s="4" t="str">
        <f t="shared" ca="1" si="91"/>
        <v/>
      </c>
      <c r="M604" s="21" t="str">
        <f t="shared" ca="1" si="88"/>
        <v/>
      </c>
      <c r="N604" s="37">
        <f t="shared" ca="1" si="83"/>
        <v>0</v>
      </c>
      <c r="O604" s="4">
        <f ca="1">IFERROR(AVERAGEIF(N$5:$N604,"&gt;="&amp;_xlfn.PERCENTILE.EXC(N$5:$N604,0.2)),0)</f>
        <v>0</v>
      </c>
      <c r="Q604" s="21" t="str">
        <f t="shared" ca="1" si="89"/>
        <v/>
      </c>
      <c r="R604" s="37">
        <f t="shared" ca="1" si="84"/>
        <v>0</v>
      </c>
      <c r="S604" s="4">
        <f ca="1">IFERROR(AVERAGE($R$5:R604),0)</f>
        <v>0</v>
      </c>
      <c r="U604" s="21" t="str">
        <f t="shared" ca="1" si="85"/>
        <v/>
      </c>
      <c r="V604" s="4">
        <f ca="1">MIN(S604,PREMISSAS!$C$14)</f>
        <v>0</v>
      </c>
      <c r="W604" s="188"/>
      <c r="X604" s="188"/>
    </row>
    <row r="605" spans="2:24" x14ac:dyDescent="0.3">
      <c r="B605" s="21" t="str">
        <f t="shared" ca="1" si="86"/>
        <v/>
      </c>
      <c r="C605" s="22" t="str">
        <f ca="1">IF(B605="","",IF(LEFT(B605,2)="13",C604,IF(MONTH(B605)=1,C604*(1+PREMISSAS!$C$58),C604)))</f>
        <v/>
      </c>
      <c r="E605" s="18">
        <v>601</v>
      </c>
      <c r="F605" s="21" t="str">
        <f t="shared" ca="1" si="87"/>
        <v/>
      </c>
      <c r="G605" s="22" t="str">
        <f ca="1">IFERROR(VLOOKUP(F605,RESULTADOS!$O$5:$P$543,2,FALSE),VLOOKUP(F605,$B$5:$C$842,2,FALSE))</f>
        <v/>
      </c>
      <c r="H605" s="4" t="e">
        <f ca="1">IF(F605&lt;PREMISSAS!$D$7,0,IFERROR(VLOOKUP(IF(LEFT(F605,2)="13",DATE(YEAR(F604),12,31),F605),IPCA!$A:$D,4,FALSE),1)*G605)</f>
        <v>#VALUE!</v>
      </c>
      <c r="J605" s="21" t="str">
        <f t="shared" ca="1" si="90"/>
        <v/>
      </c>
      <c r="K605" s="4" t="str">
        <f t="shared" ca="1" si="91"/>
        <v/>
      </c>
      <c r="M605" s="21" t="str">
        <f t="shared" ca="1" si="88"/>
        <v/>
      </c>
      <c r="N605" s="37">
        <f t="shared" ca="1" si="83"/>
        <v>0</v>
      </c>
      <c r="O605" s="4">
        <f ca="1">IFERROR(AVERAGEIF(N$5:$N605,"&gt;="&amp;_xlfn.PERCENTILE.EXC(N$5:$N605,0.2)),0)</f>
        <v>0</v>
      </c>
      <c r="Q605" s="21" t="str">
        <f t="shared" ca="1" si="89"/>
        <v/>
      </c>
      <c r="R605" s="37">
        <f t="shared" ca="1" si="84"/>
        <v>0</v>
      </c>
      <c r="S605" s="4">
        <f ca="1">IFERROR(AVERAGE($R$5:R605),0)</f>
        <v>0</v>
      </c>
      <c r="U605" s="21" t="str">
        <f t="shared" ca="1" si="85"/>
        <v/>
      </c>
      <c r="V605" s="4">
        <f ca="1">MIN(S605,PREMISSAS!$C$14)</f>
        <v>0</v>
      </c>
      <c r="W605" s="188"/>
      <c r="X605" s="188"/>
    </row>
    <row r="606" spans="2:24" x14ac:dyDescent="0.3">
      <c r="B606" s="21" t="str">
        <f t="shared" ca="1" si="86"/>
        <v/>
      </c>
      <c r="C606" s="22" t="str">
        <f ca="1">IF(B606="","",IF(LEFT(B606,2)="13",C605,IF(MONTH(B606)=1,C605*(1+PREMISSAS!$C$58),C605)))</f>
        <v/>
      </c>
      <c r="E606" s="18">
        <v>602</v>
      </c>
      <c r="F606" s="21" t="str">
        <f t="shared" ca="1" si="87"/>
        <v/>
      </c>
      <c r="G606" s="22" t="str">
        <f ca="1">IFERROR(VLOOKUP(F606,RESULTADOS!$O$5:$P$543,2,FALSE),VLOOKUP(F606,$B$5:$C$842,2,FALSE))</f>
        <v/>
      </c>
      <c r="H606" s="4" t="e">
        <f ca="1">IF(F606&lt;PREMISSAS!$D$7,0,IFERROR(VLOOKUP(IF(LEFT(F606,2)="13",DATE(YEAR(F605),12,31),F606),IPCA!$A:$D,4,FALSE),1)*G606)</f>
        <v>#VALUE!</v>
      </c>
      <c r="J606" s="21" t="str">
        <f t="shared" ca="1" si="90"/>
        <v/>
      </c>
      <c r="K606" s="4" t="str">
        <f t="shared" ca="1" si="91"/>
        <v/>
      </c>
      <c r="M606" s="21" t="str">
        <f t="shared" ca="1" si="88"/>
        <v/>
      </c>
      <c r="N606" s="37">
        <f t="shared" ca="1" si="83"/>
        <v>0</v>
      </c>
      <c r="O606" s="4">
        <f ca="1">IFERROR(AVERAGEIF(N$5:$N606,"&gt;="&amp;_xlfn.PERCENTILE.EXC(N$5:$N606,0.2)),0)</f>
        <v>0</v>
      </c>
      <c r="Q606" s="21" t="str">
        <f t="shared" ca="1" si="89"/>
        <v/>
      </c>
      <c r="R606" s="37">
        <f t="shared" ca="1" si="84"/>
        <v>0</v>
      </c>
      <c r="S606" s="4">
        <f ca="1">IFERROR(AVERAGE($R$5:R606),0)</f>
        <v>0</v>
      </c>
      <c r="U606" s="21" t="str">
        <f t="shared" ca="1" si="85"/>
        <v/>
      </c>
      <c r="V606" s="4">
        <f ca="1">MIN(S606,PREMISSAS!$C$14)</f>
        <v>0</v>
      </c>
      <c r="W606" s="188"/>
      <c r="X606" s="188"/>
    </row>
    <row r="607" spans="2:24" x14ac:dyDescent="0.3">
      <c r="B607" s="21" t="str">
        <f t="shared" ca="1" si="86"/>
        <v/>
      </c>
      <c r="C607" s="22" t="str">
        <f ca="1">IF(B607="","",IF(LEFT(B607,2)="13",C606,IF(MONTH(B607)=1,C606*(1+PREMISSAS!$C$58),C606)))</f>
        <v/>
      </c>
      <c r="E607" s="18">
        <v>603</v>
      </c>
      <c r="F607" s="21" t="str">
        <f t="shared" ca="1" si="87"/>
        <v/>
      </c>
      <c r="G607" s="22" t="str">
        <f ca="1">IFERROR(VLOOKUP(F607,RESULTADOS!$O$5:$P$543,2,FALSE),VLOOKUP(F607,$B$5:$C$842,2,FALSE))</f>
        <v/>
      </c>
      <c r="H607" s="4" t="e">
        <f ca="1">IF(F607&lt;PREMISSAS!$D$7,0,IFERROR(VLOOKUP(IF(LEFT(F607,2)="13",DATE(YEAR(F606),12,31),F607),IPCA!$A:$D,4,FALSE),1)*G607)</f>
        <v>#VALUE!</v>
      </c>
      <c r="J607" s="21" t="str">
        <f t="shared" ca="1" si="90"/>
        <v/>
      </c>
      <c r="K607" s="4" t="str">
        <f t="shared" ca="1" si="91"/>
        <v/>
      </c>
      <c r="M607" s="21" t="str">
        <f t="shared" ca="1" si="88"/>
        <v/>
      </c>
      <c r="N607" s="37">
        <f t="shared" ca="1" si="83"/>
        <v>0</v>
      </c>
      <c r="O607" s="4">
        <f ca="1">IFERROR(AVERAGEIF(N$5:$N607,"&gt;="&amp;_xlfn.PERCENTILE.EXC(N$5:$N607,0.2)),0)</f>
        <v>0</v>
      </c>
      <c r="Q607" s="21" t="str">
        <f t="shared" ca="1" si="89"/>
        <v/>
      </c>
      <c r="R607" s="37">
        <f t="shared" ca="1" si="84"/>
        <v>0</v>
      </c>
      <c r="S607" s="4">
        <f ca="1">IFERROR(AVERAGE($R$5:R607),0)</f>
        <v>0</v>
      </c>
      <c r="U607" s="21" t="str">
        <f t="shared" ca="1" si="85"/>
        <v/>
      </c>
      <c r="V607" s="4">
        <f ca="1">MIN(S607,PREMISSAS!$C$14)</f>
        <v>0</v>
      </c>
      <c r="W607" s="188"/>
      <c r="X607" s="188"/>
    </row>
    <row r="608" spans="2:24" x14ac:dyDescent="0.3">
      <c r="B608" s="21" t="str">
        <f t="shared" ca="1" si="86"/>
        <v/>
      </c>
      <c r="C608" s="22" t="str">
        <f ca="1">IF(B608="","",IF(LEFT(B608,2)="13",C607,IF(MONTH(B608)=1,C607*(1+PREMISSAS!$C$58),C607)))</f>
        <v/>
      </c>
      <c r="E608" s="18">
        <v>604</v>
      </c>
      <c r="F608" s="21" t="str">
        <f t="shared" ca="1" si="87"/>
        <v/>
      </c>
      <c r="G608" s="22" t="str">
        <f ca="1">IFERROR(VLOOKUP(F608,RESULTADOS!$O$5:$P$543,2,FALSE),VLOOKUP(F608,$B$5:$C$842,2,FALSE))</f>
        <v/>
      </c>
      <c r="H608" s="4" t="e">
        <f ca="1">IF(F608&lt;PREMISSAS!$D$7,0,IFERROR(VLOOKUP(IF(LEFT(F608,2)="13",DATE(YEAR(F607),12,31),F608),IPCA!$A:$D,4,FALSE),1)*G608)</f>
        <v>#VALUE!</v>
      </c>
      <c r="J608" s="21" t="str">
        <f t="shared" ca="1" si="90"/>
        <v/>
      </c>
      <c r="K608" s="4" t="str">
        <f t="shared" ca="1" si="91"/>
        <v/>
      </c>
      <c r="M608" s="21" t="str">
        <f t="shared" ca="1" si="88"/>
        <v/>
      </c>
      <c r="N608" s="37">
        <f t="shared" ca="1" si="83"/>
        <v>0</v>
      </c>
      <c r="O608" s="4">
        <f ca="1">IFERROR(AVERAGEIF(N$5:$N608,"&gt;="&amp;_xlfn.PERCENTILE.EXC(N$5:$N608,0.2)),0)</f>
        <v>0</v>
      </c>
      <c r="Q608" s="21" t="str">
        <f t="shared" ca="1" si="89"/>
        <v/>
      </c>
      <c r="R608" s="37">
        <f t="shared" ca="1" si="84"/>
        <v>0</v>
      </c>
      <c r="S608" s="4">
        <f ca="1">IFERROR(AVERAGE($R$5:R608),0)</f>
        <v>0</v>
      </c>
      <c r="U608" s="21" t="str">
        <f t="shared" ca="1" si="85"/>
        <v/>
      </c>
      <c r="V608" s="4">
        <f ca="1">MIN(S608,PREMISSAS!$C$14)</f>
        <v>0</v>
      </c>
      <c r="W608" s="188"/>
      <c r="X608" s="188"/>
    </row>
    <row r="609" spans="2:24" x14ac:dyDescent="0.3">
      <c r="B609" s="21" t="str">
        <f t="shared" ca="1" si="86"/>
        <v/>
      </c>
      <c r="C609" s="22" t="str">
        <f ca="1">IF(B609="","",IF(LEFT(B609,2)="13",C608,IF(MONTH(B609)=1,C608*(1+PREMISSAS!$C$58),C608)))</f>
        <v/>
      </c>
      <c r="E609" s="18">
        <v>605</v>
      </c>
      <c r="F609" s="21" t="str">
        <f t="shared" ca="1" si="87"/>
        <v/>
      </c>
      <c r="G609" s="22" t="str">
        <f ca="1">IFERROR(VLOOKUP(F609,RESULTADOS!$O$5:$P$543,2,FALSE),VLOOKUP(F609,$B$5:$C$842,2,FALSE))</f>
        <v/>
      </c>
      <c r="H609" s="4" t="e">
        <f ca="1">IF(F609&lt;PREMISSAS!$D$7,0,IFERROR(VLOOKUP(IF(LEFT(F609,2)="13",DATE(YEAR(F608),12,31),F609),IPCA!$A:$D,4,FALSE),1)*G609)</f>
        <v>#VALUE!</v>
      </c>
      <c r="J609" s="21" t="str">
        <f t="shared" ca="1" si="90"/>
        <v/>
      </c>
      <c r="K609" s="4" t="str">
        <f t="shared" ca="1" si="91"/>
        <v/>
      </c>
      <c r="M609" s="21" t="str">
        <f t="shared" ca="1" si="88"/>
        <v/>
      </c>
      <c r="N609" s="37">
        <f t="shared" ca="1" si="83"/>
        <v>0</v>
      </c>
      <c r="O609" s="4">
        <f ca="1">IFERROR(AVERAGEIF(N$5:$N609,"&gt;="&amp;_xlfn.PERCENTILE.EXC(N$5:$N609,0.2)),0)</f>
        <v>0</v>
      </c>
      <c r="Q609" s="21" t="str">
        <f t="shared" ca="1" si="89"/>
        <v/>
      </c>
      <c r="R609" s="37">
        <f t="shared" ca="1" si="84"/>
        <v>0</v>
      </c>
      <c r="S609" s="4">
        <f ca="1">IFERROR(AVERAGE($R$5:R609),0)</f>
        <v>0</v>
      </c>
      <c r="U609" s="21" t="str">
        <f t="shared" ca="1" si="85"/>
        <v/>
      </c>
      <c r="V609" s="4">
        <f ca="1">MIN(S609,PREMISSAS!$C$14)</f>
        <v>0</v>
      </c>
      <c r="W609" s="188"/>
      <c r="X609" s="188"/>
    </row>
    <row r="610" spans="2:24" x14ac:dyDescent="0.3">
      <c r="B610" s="21" t="str">
        <f t="shared" ca="1" si="86"/>
        <v/>
      </c>
      <c r="C610" s="22" t="str">
        <f ca="1">IF(B610="","",IF(LEFT(B610,2)="13",C609,IF(MONTH(B610)=1,C609*(1+PREMISSAS!$C$58),C609)))</f>
        <v/>
      </c>
      <c r="E610" s="18">
        <v>606</v>
      </c>
      <c r="F610" s="21" t="str">
        <f t="shared" ca="1" si="87"/>
        <v/>
      </c>
      <c r="G610" s="22" t="str">
        <f ca="1">IFERROR(VLOOKUP(F610,RESULTADOS!$O$5:$P$543,2,FALSE),VLOOKUP(F610,$B$5:$C$842,2,FALSE))</f>
        <v/>
      </c>
      <c r="H610" s="4" t="e">
        <f ca="1">IF(F610&lt;PREMISSAS!$D$7,0,IFERROR(VLOOKUP(IF(LEFT(F610,2)="13",DATE(YEAR(F609),12,31),F610),IPCA!$A:$D,4,FALSE),1)*G610)</f>
        <v>#VALUE!</v>
      </c>
      <c r="J610" s="21" t="str">
        <f t="shared" ca="1" si="90"/>
        <v/>
      </c>
      <c r="K610" s="4" t="str">
        <f t="shared" ca="1" si="91"/>
        <v/>
      </c>
      <c r="M610" s="21" t="str">
        <f t="shared" ca="1" si="88"/>
        <v/>
      </c>
      <c r="N610" s="37">
        <f t="shared" ca="1" si="83"/>
        <v>0</v>
      </c>
      <c r="O610" s="4">
        <f ca="1">IFERROR(AVERAGEIF(N$5:$N610,"&gt;="&amp;_xlfn.PERCENTILE.EXC(N$5:$N610,0.2)),0)</f>
        <v>0</v>
      </c>
      <c r="Q610" s="21" t="str">
        <f t="shared" ca="1" si="89"/>
        <v/>
      </c>
      <c r="R610" s="37">
        <f t="shared" ca="1" si="84"/>
        <v>0</v>
      </c>
      <c r="S610" s="4">
        <f ca="1">IFERROR(AVERAGE($R$5:R610),0)</f>
        <v>0</v>
      </c>
      <c r="U610" s="21" t="str">
        <f t="shared" ca="1" si="85"/>
        <v/>
      </c>
      <c r="V610" s="4">
        <f ca="1">MIN(S610,PREMISSAS!$C$14)</f>
        <v>0</v>
      </c>
      <c r="W610" s="188"/>
      <c r="X610" s="188"/>
    </row>
    <row r="611" spans="2:24" x14ac:dyDescent="0.3">
      <c r="B611" s="21" t="str">
        <f t="shared" ca="1" si="86"/>
        <v/>
      </c>
      <c r="C611" s="22" t="str">
        <f ca="1">IF(B611="","",IF(LEFT(B611,2)="13",C610,IF(MONTH(B611)=1,C610*(1+PREMISSAS!$C$58),C610)))</f>
        <v/>
      </c>
      <c r="E611" s="18">
        <v>607</v>
      </c>
      <c r="F611" s="21" t="str">
        <f t="shared" ca="1" si="87"/>
        <v/>
      </c>
      <c r="G611" s="22" t="str">
        <f ca="1">IFERROR(VLOOKUP(F611,RESULTADOS!$O$5:$P$543,2,FALSE),VLOOKUP(F611,$B$5:$C$842,2,FALSE))</f>
        <v/>
      </c>
      <c r="H611" s="4" t="e">
        <f ca="1">IF(F611&lt;PREMISSAS!$D$7,0,IFERROR(VLOOKUP(IF(LEFT(F611,2)="13",DATE(YEAR(F610),12,31),F611),IPCA!$A:$D,4,FALSE),1)*G611)</f>
        <v>#VALUE!</v>
      </c>
      <c r="J611" s="21" t="str">
        <f t="shared" ca="1" si="90"/>
        <v/>
      </c>
      <c r="K611" s="4" t="str">
        <f t="shared" ca="1" si="91"/>
        <v/>
      </c>
      <c r="M611" s="21" t="str">
        <f t="shared" ca="1" si="88"/>
        <v/>
      </c>
      <c r="N611" s="37">
        <f t="shared" ca="1" si="83"/>
        <v>0</v>
      </c>
      <c r="O611" s="4">
        <f ca="1">IFERROR(AVERAGEIF(N$5:$N611,"&gt;="&amp;_xlfn.PERCENTILE.EXC(N$5:$N611,0.2)),0)</f>
        <v>0</v>
      </c>
      <c r="Q611" s="21" t="str">
        <f t="shared" ca="1" si="89"/>
        <v/>
      </c>
      <c r="R611" s="37">
        <f t="shared" ca="1" si="84"/>
        <v>0</v>
      </c>
      <c r="S611" s="4">
        <f ca="1">IFERROR(AVERAGE($R$5:R611),0)</f>
        <v>0</v>
      </c>
      <c r="U611" s="21" t="str">
        <f t="shared" ca="1" si="85"/>
        <v/>
      </c>
      <c r="V611" s="4">
        <f ca="1">MIN(S611,PREMISSAS!$C$14)</f>
        <v>0</v>
      </c>
      <c r="W611" s="188"/>
      <c r="X611" s="188"/>
    </row>
    <row r="612" spans="2:24" x14ac:dyDescent="0.3">
      <c r="B612" s="21" t="str">
        <f t="shared" ca="1" si="86"/>
        <v/>
      </c>
      <c r="C612" s="22" t="str">
        <f ca="1">IF(B612="","",IF(LEFT(B612,2)="13",C611,IF(MONTH(B612)=1,C611*(1+PREMISSAS!$C$58),C611)))</f>
        <v/>
      </c>
      <c r="E612" s="18">
        <v>608</v>
      </c>
      <c r="F612" s="21" t="str">
        <f t="shared" ca="1" si="87"/>
        <v/>
      </c>
      <c r="G612" s="22" t="str">
        <f ca="1">IFERROR(VLOOKUP(F612,RESULTADOS!$O$5:$P$543,2,FALSE),VLOOKUP(F612,$B$5:$C$842,2,FALSE))</f>
        <v/>
      </c>
      <c r="H612" s="4" t="e">
        <f ca="1">IF(F612&lt;PREMISSAS!$D$7,0,IFERROR(VLOOKUP(IF(LEFT(F612,2)="13",DATE(YEAR(F611),12,31),F612),IPCA!$A:$D,4,FALSE),1)*G612)</f>
        <v>#VALUE!</v>
      </c>
      <c r="J612" s="21" t="str">
        <f t="shared" ca="1" si="90"/>
        <v/>
      </c>
      <c r="K612" s="4" t="str">
        <f t="shared" ca="1" si="91"/>
        <v/>
      </c>
      <c r="M612" s="21" t="str">
        <f t="shared" ca="1" si="88"/>
        <v/>
      </c>
      <c r="N612" s="37">
        <f t="shared" ca="1" si="83"/>
        <v>0</v>
      </c>
      <c r="O612" s="4">
        <f ca="1">IFERROR(AVERAGEIF(N$5:$N612,"&gt;="&amp;_xlfn.PERCENTILE.EXC(N$5:$N612,0.2)),0)</f>
        <v>0</v>
      </c>
      <c r="Q612" s="21" t="str">
        <f t="shared" ca="1" si="89"/>
        <v/>
      </c>
      <c r="R612" s="37">
        <f t="shared" ca="1" si="84"/>
        <v>0</v>
      </c>
      <c r="S612" s="4">
        <f ca="1">IFERROR(AVERAGE($R$5:R612),0)</f>
        <v>0</v>
      </c>
      <c r="U612" s="21" t="str">
        <f t="shared" ca="1" si="85"/>
        <v/>
      </c>
      <c r="V612" s="4">
        <f ca="1">MIN(S612,PREMISSAS!$C$14)</f>
        <v>0</v>
      </c>
      <c r="W612" s="188"/>
      <c r="X612" s="188"/>
    </row>
    <row r="613" spans="2:24" x14ac:dyDescent="0.3">
      <c r="B613" s="21" t="str">
        <f t="shared" ca="1" si="86"/>
        <v/>
      </c>
      <c r="C613" s="22" t="str">
        <f ca="1">IF(B613="","",IF(LEFT(B613,2)="13",C612,IF(MONTH(B613)=1,C612*(1+PREMISSAS!$C$58),C612)))</f>
        <v/>
      </c>
      <c r="E613" s="18">
        <v>609</v>
      </c>
      <c r="F613" s="21" t="str">
        <f t="shared" ca="1" si="87"/>
        <v/>
      </c>
      <c r="G613" s="22" t="str">
        <f ca="1">IFERROR(VLOOKUP(F613,RESULTADOS!$O$5:$P$543,2,FALSE),VLOOKUP(F613,$B$5:$C$842,2,FALSE))</f>
        <v/>
      </c>
      <c r="H613" s="4" t="e">
        <f ca="1">IF(F613&lt;PREMISSAS!$D$7,0,IFERROR(VLOOKUP(IF(LEFT(F613,2)="13",DATE(YEAR(F612),12,31),F613),IPCA!$A:$D,4,FALSE),1)*G613)</f>
        <v>#VALUE!</v>
      </c>
      <c r="J613" s="21" t="str">
        <f t="shared" ca="1" si="90"/>
        <v/>
      </c>
      <c r="K613" s="4" t="str">
        <f t="shared" ca="1" si="91"/>
        <v/>
      </c>
      <c r="M613" s="21" t="str">
        <f t="shared" ca="1" si="88"/>
        <v/>
      </c>
      <c r="N613" s="37">
        <f t="shared" ca="1" si="83"/>
        <v>0</v>
      </c>
      <c r="O613" s="4">
        <f ca="1">IFERROR(AVERAGEIF(N$5:$N613,"&gt;="&amp;_xlfn.PERCENTILE.EXC(N$5:$N613,0.2)),0)</f>
        <v>0</v>
      </c>
      <c r="Q613" s="21" t="str">
        <f t="shared" ca="1" si="89"/>
        <v/>
      </c>
      <c r="R613" s="37">
        <f t="shared" ca="1" si="84"/>
        <v>0</v>
      </c>
      <c r="S613" s="4">
        <f ca="1">IFERROR(AVERAGE($R$5:R613),0)</f>
        <v>0</v>
      </c>
      <c r="U613" s="21" t="str">
        <f t="shared" ca="1" si="85"/>
        <v/>
      </c>
      <c r="V613" s="4">
        <f ca="1">MIN(S613,PREMISSAS!$C$14)</f>
        <v>0</v>
      </c>
      <c r="W613" s="188"/>
      <c r="X613" s="188"/>
    </row>
    <row r="614" spans="2:24" x14ac:dyDescent="0.3">
      <c r="B614" s="21" t="str">
        <f t="shared" ca="1" si="86"/>
        <v/>
      </c>
      <c r="C614" s="22" t="str">
        <f ca="1">IF(B614="","",IF(LEFT(B614,2)="13",C613,IF(MONTH(B614)=1,C613*(1+PREMISSAS!$C$58),C613)))</f>
        <v/>
      </c>
      <c r="E614" s="18">
        <v>610</v>
      </c>
      <c r="F614" s="21" t="str">
        <f t="shared" ca="1" si="87"/>
        <v/>
      </c>
      <c r="G614" s="22" t="str">
        <f ca="1">IFERROR(VLOOKUP(F614,RESULTADOS!$O$5:$P$543,2,FALSE),VLOOKUP(F614,$B$5:$C$842,2,FALSE))</f>
        <v/>
      </c>
      <c r="H614" s="4" t="e">
        <f ca="1">IF(F614&lt;PREMISSAS!$D$7,0,IFERROR(VLOOKUP(IF(LEFT(F614,2)="13",DATE(YEAR(F613),12,31),F614),IPCA!$A:$D,4,FALSE),1)*G614)</f>
        <v>#VALUE!</v>
      </c>
      <c r="J614" s="21" t="str">
        <f t="shared" ca="1" si="90"/>
        <v/>
      </c>
      <c r="K614" s="4" t="str">
        <f t="shared" ca="1" si="91"/>
        <v/>
      </c>
      <c r="M614" s="21" t="str">
        <f t="shared" ca="1" si="88"/>
        <v/>
      </c>
      <c r="N614" s="37">
        <f t="shared" ca="1" si="83"/>
        <v>0</v>
      </c>
      <c r="O614" s="4">
        <f ca="1">IFERROR(AVERAGEIF(N$5:$N614,"&gt;="&amp;_xlfn.PERCENTILE.EXC(N$5:$N614,0.2)),0)</f>
        <v>0</v>
      </c>
      <c r="Q614" s="21" t="str">
        <f t="shared" ca="1" si="89"/>
        <v/>
      </c>
      <c r="R614" s="37">
        <f t="shared" ca="1" si="84"/>
        <v>0</v>
      </c>
      <c r="S614" s="4">
        <f ca="1">IFERROR(AVERAGE($R$5:R614),0)</f>
        <v>0</v>
      </c>
      <c r="U614" s="21" t="str">
        <f t="shared" ca="1" si="85"/>
        <v/>
      </c>
      <c r="V614" s="4">
        <f ca="1">MIN(S614,PREMISSAS!$C$14)</f>
        <v>0</v>
      </c>
      <c r="W614" s="188"/>
      <c r="X614" s="188"/>
    </row>
    <row r="615" spans="2:24" x14ac:dyDescent="0.3">
      <c r="B615" s="21" t="str">
        <f t="shared" ca="1" si="86"/>
        <v/>
      </c>
      <c r="C615" s="22" t="str">
        <f ca="1">IF(B615="","",IF(LEFT(B615,2)="13",C614,IF(MONTH(B615)=1,C614*(1+PREMISSAS!$C$58),C614)))</f>
        <v/>
      </c>
      <c r="E615" s="18">
        <v>611</v>
      </c>
      <c r="F615" s="21" t="str">
        <f t="shared" ca="1" si="87"/>
        <v/>
      </c>
      <c r="G615" s="22" t="str">
        <f ca="1">IFERROR(VLOOKUP(F615,RESULTADOS!$O$5:$P$543,2,FALSE),VLOOKUP(F615,$B$5:$C$842,2,FALSE))</f>
        <v/>
      </c>
      <c r="H615" s="4" t="e">
        <f ca="1">IF(F615&lt;PREMISSAS!$D$7,0,IFERROR(VLOOKUP(IF(LEFT(F615,2)="13",DATE(YEAR(F614),12,31),F615),IPCA!$A:$D,4,FALSE),1)*G615)</f>
        <v>#VALUE!</v>
      </c>
      <c r="J615" s="21" t="str">
        <f t="shared" ca="1" si="90"/>
        <v/>
      </c>
      <c r="K615" s="4" t="str">
        <f t="shared" ca="1" si="91"/>
        <v/>
      </c>
      <c r="M615" s="21" t="str">
        <f t="shared" ca="1" si="88"/>
        <v/>
      </c>
      <c r="N615" s="37">
        <f t="shared" ca="1" si="83"/>
        <v>0</v>
      </c>
      <c r="O615" s="4">
        <f ca="1">IFERROR(AVERAGEIF(N$5:$N615,"&gt;="&amp;_xlfn.PERCENTILE.EXC(N$5:$N615,0.2)),0)</f>
        <v>0</v>
      </c>
      <c r="Q615" s="21" t="str">
        <f t="shared" ca="1" si="89"/>
        <v/>
      </c>
      <c r="R615" s="37">
        <f t="shared" ca="1" si="84"/>
        <v>0</v>
      </c>
      <c r="S615" s="4">
        <f ca="1">IFERROR(AVERAGE($R$5:R615),0)</f>
        <v>0</v>
      </c>
      <c r="U615" s="21" t="str">
        <f t="shared" ca="1" si="85"/>
        <v/>
      </c>
      <c r="V615" s="4">
        <f ca="1">MIN(S615,PREMISSAS!$C$14)</f>
        <v>0</v>
      </c>
      <c r="W615" s="188"/>
      <c r="X615" s="188"/>
    </row>
    <row r="616" spans="2:24" x14ac:dyDescent="0.3">
      <c r="B616" s="21" t="str">
        <f t="shared" ca="1" si="86"/>
        <v/>
      </c>
      <c r="C616" s="22" t="str">
        <f ca="1">IF(B616="","",IF(LEFT(B616,2)="13",C615,IF(MONTH(B616)=1,C615*(1+PREMISSAS!$C$58),C615)))</f>
        <v/>
      </c>
      <c r="E616" s="18">
        <v>612</v>
      </c>
      <c r="F616" s="21" t="str">
        <f t="shared" ca="1" si="87"/>
        <v/>
      </c>
      <c r="G616" s="22" t="str">
        <f ca="1">IFERROR(VLOOKUP(F616,RESULTADOS!$O$5:$P$543,2,FALSE),VLOOKUP(F616,$B$5:$C$842,2,FALSE))</f>
        <v/>
      </c>
      <c r="H616" s="4" t="e">
        <f ca="1">IF(F616&lt;PREMISSAS!$D$7,0,IFERROR(VLOOKUP(IF(LEFT(F616,2)="13",DATE(YEAR(F615),12,31),F616),IPCA!$A:$D,4,FALSE),1)*G616)</f>
        <v>#VALUE!</v>
      </c>
      <c r="J616" s="21" t="str">
        <f t="shared" ca="1" si="90"/>
        <v/>
      </c>
      <c r="K616" s="4" t="str">
        <f t="shared" ca="1" si="91"/>
        <v/>
      </c>
      <c r="M616" s="21" t="str">
        <f t="shared" ca="1" si="88"/>
        <v/>
      </c>
      <c r="N616" s="37">
        <f t="shared" ca="1" si="83"/>
        <v>0</v>
      </c>
      <c r="O616" s="4">
        <f ca="1">IFERROR(AVERAGEIF(N$5:$N616,"&gt;="&amp;_xlfn.PERCENTILE.EXC(N$5:$N616,0.2)),0)</f>
        <v>0</v>
      </c>
      <c r="Q616" s="21" t="str">
        <f t="shared" ca="1" si="89"/>
        <v/>
      </c>
      <c r="R616" s="37">
        <f t="shared" ca="1" si="84"/>
        <v>0</v>
      </c>
      <c r="S616" s="4">
        <f ca="1">IFERROR(AVERAGE($R$5:R616),0)</f>
        <v>0</v>
      </c>
      <c r="U616" s="21" t="str">
        <f t="shared" ca="1" si="85"/>
        <v/>
      </c>
      <c r="V616" s="4">
        <f ca="1">MIN(S616,PREMISSAS!$C$14)</f>
        <v>0</v>
      </c>
      <c r="W616" s="188"/>
      <c r="X616" s="188"/>
    </row>
    <row r="617" spans="2:24" x14ac:dyDescent="0.3">
      <c r="B617" s="21" t="str">
        <f t="shared" ca="1" si="86"/>
        <v/>
      </c>
      <c r="C617" s="22" t="str">
        <f ca="1">IF(B617="","",IF(LEFT(B617,2)="13",C616,IF(MONTH(B617)=1,C616*(1+PREMISSAS!$C$58),C616)))</f>
        <v/>
      </c>
      <c r="E617" s="18">
        <v>613</v>
      </c>
      <c r="F617" s="21" t="str">
        <f t="shared" ca="1" si="87"/>
        <v/>
      </c>
      <c r="G617" s="22" t="str">
        <f ca="1">IFERROR(VLOOKUP(F617,RESULTADOS!$O$5:$P$543,2,FALSE),VLOOKUP(F617,$B$5:$C$842,2,FALSE))</f>
        <v/>
      </c>
      <c r="H617" s="4" t="e">
        <f ca="1">IF(F617&lt;PREMISSAS!$D$7,0,IFERROR(VLOOKUP(IF(LEFT(F617,2)="13",DATE(YEAR(F616),12,31),F617),IPCA!$A:$D,4,FALSE),1)*G617)</f>
        <v>#VALUE!</v>
      </c>
      <c r="J617" s="21" t="str">
        <f t="shared" ca="1" si="90"/>
        <v/>
      </c>
      <c r="K617" s="4" t="str">
        <f t="shared" ca="1" si="91"/>
        <v/>
      </c>
      <c r="M617" s="21" t="str">
        <f t="shared" ca="1" si="88"/>
        <v/>
      </c>
      <c r="N617" s="37">
        <f t="shared" ca="1" si="83"/>
        <v>0</v>
      </c>
      <c r="O617" s="4">
        <f ca="1">IFERROR(AVERAGEIF(N$5:$N617,"&gt;="&amp;_xlfn.PERCENTILE.EXC(N$5:$N617,0.2)),0)</f>
        <v>0</v>
      </c>
      <c r="Q617" s="21" t="str">
        <f t="shared" ca="1" si="89"/>
        <v/>
      </c>
      <c r="R617" s="37">
        <f t="shared" ca="1" si="84"/>
        <v>0</v>
      </c>
      <c r="S617" s="4">
        <f ca="1">IFERROR(AVERAGE($R$5:R617),0)</f>
        <v>0</v>
      </c>
      <c r="U617" s="21" t="str">
        <f t="shared" ca="1" si="85"/>
        <v/>
      </c>
      <c r="V617" s="4">
        <f ca="1">MIN(S617,PREMISSAS!$C$14)</f>
        <v>0</v>
      </c>
      <c r="W617" s="188"/>
      <c r="X617" s="188"/>
    </row>
    <row r="618" spans="2:24" x14ac:dyDescent="0.3">
      <c r="B618" s="21" t="str">
        <f t="shared" ca="1" si="86"/>
        <v/>
      </c>
      <c r="C618" s="22" t="str">
        <f ca="1">IF(B618="","",IF(LEFT(B618,2)="13",C617,IF(MONTH(B618)=1,C617*(1+PREMISSAS!$C$58),C617)))</f>
        <v/>
      </c>
      <c r="E618" s="18">
        <v>614</v>
      </c>
      <c r="F618" s="21" t="str">
        <f t="shared" ca="1" si="87"/>
        <v/>
      </c>
      <c r="G618" s="22" t="str">
        <f ca="1">IFERROR(VLOOKUP(F618,RESULTADOS!$O$5:$P$543,2,FALSE),VLOOKUP(F618,$B$5:$C$842,2,FALSE))</f>
        <v/>
      </c>
      <c r="H618" s="4" t="e">
        <f ca="1">IF(F618&lt;PREMISSAS!$D$7,0,IFERROR(VLOOKUP(IF(LEFT(F618,2)="13",DATE(YEAR(F617),12,31),F618),IPCA!$A:$D,4,FALSE),1)*G618)</f>
        <v>#VALUE!</v>
      </c>
      <c r="J618" s="21" t="str">
        <f t="shared" ca="1" si="90"/>
        <v/>
      </c>
      <c r="K618" s="4" t="str">
        <f t="shared" ca="1" si="91"/>
        <v/>
      </c>
      <c r="M618" s="21" t="str">
        <f t="shared" ca="1" si="88"/>
        <v/>
      </c>
      <c r="N618" s="37">
        <f t="shared" ca="1" si="83"/>
        <v>0</v>
      </c>
      <c r="O618" s="4">
        <f ca="1">IFERROR(AVERAGEIF(N$5:$N618,"&gt;="&amp;_xlfn.PERCENTILE.EXC(N$5:$N618,0.2)),0)</f>
        <v>0</v>
      </c>
      <c r="Q618" s="21" t="str">
        <f t="shared" ca="1" si="89"/>
        <v/>
      </c>
      <c r="R618" s="37">
        <f t="shared" ca="1" si="84"/>
        <v>0</v>
      </c>
      <c r="S618" s="4">
        <f ca="1">IFERROR(AVERAGE($R$5:R618),0)</f>
        <v>0</v>
      </c>
      <c r="U618" s="21" t="str">
        <f t="shared" ca="1" si="85"/>
        <v/>
      </c>
      <c r="V618" s="4">
        <f ca="1">MIN(S618,PREMISSAS!$C$14)</f>
        <v>0</v>
      </c>
      <c r="W618" s="188"/>
      <c r="X618" s="188"/>
    </row>
    <row r="619" spans="2:24" x14ac:dyDescent="0.3">
      <c r="B619" s="21" t="str">
        <f t="shared" ca="1" si="86"/>
        <v/>
      </c>
      <c r="C619" s="22" t="str">
        <f ca="1">IF(B619="","",IF(LEFT(B619,2)="13",C618,IF(MONTH(B619)=1,C618*(1+PREMISSAS!$C$58),C618)))</f>
        <v/>
      </c>
      <c r="E619" s="18">
        <v>615</v>
      </c>
      <c r="F619" s="21" t="str">
        <f t="shared" ca="1" si="87"/>
        <v/>
      </c>
      <c r="G619" s="22" t="str">
        <f ca="1">IFERROR(VLOOKUP(F619,RESULTADOS!$O$5:$P$543,2,FALSE),VLOOKUP(F619,$B$5:$C$842,2,FALSE))</f>
        <v/>
      </c>
      <c r="H619" s="4" t="e">
        <f ca="1">IF(F619&lt;PREMISSAS!$D$7,0,IFERROR(VLOOKUP(IF(LEFT(F619,2)="13",DATE(YEAR(F618),12,31),F619),IPCA!$A:$D,4,FALSE),1)*G619)</f>
        <v>#VALUE!</v>
      </c>
      <c r="J619" s="21" t="str">
        <f t="shared" ca="1" si="90"/>
        <v/>
      </c>
      <c r="K619" s="4" t="str">
        <f t="shared" ca="1" si="91"/>
        <v/>
      </c>
      <c r="M619" s="21" t="str">
        <f t="shared" ca="1" si="88"/>
        <v/>
      </c>
      <c r="N619" s="37">
        <f t="shared" ca="1" si="83"/>
        <v>0</v>
      </c>
      <c r="O619" s="4">
        <f ca="1">IFERROR(AVERAGEIF(N$5:$N619,"&gt;="&amp;_xlfn.PERCENTILE.EXC(N$5:$N619,0.2)),0)</f>
        <v>0</v>
      </c>
      <c r="Q619" s="21" t="str">
        <f t="shared" ca="1" si="89"/>
        <v/>
      </c>
      <c r="R619" s="37">
        <f t="shared" ca="1" si="84"/>
        <v>0</v>
      </c>
      <c r="S619" s="4">
        <f ca="1">IFERROR(AVERAGE($R$5:R619),0)</f>
        <v>0</v>
      </c>
      <c r="U619" s="21" t="str">
        <f t="shared" ca="1" si="85"/>
        <v/>
      </c>
      <c r="V619" s="4">
        <f ca="1">MIN(S619,PREMISSAS!$C$14)</f>
        <v>0</v>
      </c>
      <c r="W619" s="188"/>
      <c r="X619" s="188"/>
    </row>
    <row r="620" spans="2:24" x14ac:dyDescent="0.3">
      <c r="B620" s="21" t="str">
        <f t="shared" ca="1" si="86"/>
        <v/>
      </c>
      <c r="C620" s="22" t="str">
        <f ca="1">IF(B620="","",IF(LEFT(B620,2)="13",C619,IF(MONTH(B620)=1,C619*(1+PREMISSAS!$C$58),C619)))</f>
        <v/>
      </c>
      <c r="E620" s="18">
        <v>616</v>
      </c>
      <c r="F620" s="21" t="str">
        <f t="shared" ca="1" si="87"/>
        <v/>
      </c>
      <c r="G620" s="22" t="str">
        <f ca="1">IFERROR(VLOOKUP(F620,RESULTADOS!$O$5:$P$543,2,FALSE),VLOOKUP(F620,$B$5:$C$842,2,FALSE))</f>
        <v/>
      </c>
      <c r="H620" s="4" t="e">
        <f ca="1">IF(F620&lt;PREMISSAS!$D$7,0,IFERROR(VLOOKUP(IF(LEFT(F620,2)="13",DATE(YEAR(F619),12,31),F620),IPCA!$A:$D,4,FALSE),1)*G620)</f>
        <v>#VALUE!</v>
      </c>
      <c r="J620" s="21" t="str">
        <f t="shared" ca="1" si="90"/>
        <v/>
      </c>
      <c r="K620" s="4" t="str">
        <f t="shared" ca="1" si="91"/>
        <v/>
      </c>
      <c r="M620" s="21" t="str">
        <f t="shared" ca="1" si="88"/>
        <v/>
      </c>
      <c r="N620" s="37">
        <f t="shared" ca="1" si="83"/>
        <v>0</v>
      </c>
      <c r="O620" s="4">
        <f ca="1">IFERROR(AVERAGEIF(N$5:$N620,"&gt;="&amp;_xlfn.PERCENTILE.EXC(N$5:$N620,0.2)),0)</f>
        <v>0</v>
      </c>
      <c r="Q620" s="21" t="str">
        <f t="shared" ca="1" si="89"/>
        <v/>
      </c>
      <c r="R620" s="37">
        <f t="shared" ca="1" si="84"/>
        <v>0</v>
      </c>
      <c r="S620" s="4">
        <f ca="1">IFERROR(AVERAGE($R$5:R620),0)</f>
        <v>0</v>
      </c>
      <c r="U620" s="21" t="str">
        <f t="shared" ca="1" si="85"/>
        <v/>
      </c>
      <c r="V620" s="4">
        <f ca="1">MIN(S620,PREMISSAS!$C$14)</f>
        <v>0</v>
      </c>
      <c r="W620" s="188"/>
      <c r="X620" s="188"/>
    </row>
    <row r="621" spans="2:24" x14ac:dyDescent="0.3">
      <c r="B621" s="21" t="str">
        <f t="shared" ca="1" si="86"/>
        <v/>
      </c>
      <c r="C621" s="22" t="str">
        <f ca="1">IF(B621="","",IF(LEFT(B621,2)="13",C620,IF(MONTH(B621)=1,C620*(1+PREMISSAS!$C$58),C620)))</f>
        <v/>
      </c>
      <c r="E621" s="18">
        <v>617</v>
      </c>
      <c r="F621" s="21" t="str">
        <f t="shared" ca="1" si="87"/>
        <v/>
      </c>
      <c r="G621" s="22" t="str">
        <f ca="1">IFERROR(VLOOKUP(F621,RESULTADOS!$O$5:$P$543,2,FALSE),VLOOKUP(F621,$B$5:$C$842,2,FALSE))</f>
        <v/>
      </c>
      <c r="H621" s="4" t="e">
        <f ca="1">IF(F621&lt;PREMISSAS!$D$7,0,IFERROR(VLOOKUP(IF(LEFT(F621,2)="13",DATE(YEAR(F620),12,31),F621),IPCA!$A:$D,4,FALSE),1)*G621)</f>
        <v>#VALUE!</v>
      </c>
      <c r="J621" s="21" t="str">
        <f t="shared" ca="1" si="90"/>
        <v/>
      </c>
      <c r="K621" s="4" t="str">
        <f t="shared" ca="1" si="91"/>
        <v/>
      </c>
      <c r="M621" s="21" t="str">
        <f t="shared" ca="1" si="88"/>
        <v/>
      </c>
      <c r="N621" s="37">
        <f t="shared" ca="1" si="83"/>
        <v>0</v>
      </c>
      <c r="O621" s="4">
        <f ca="1">IFERROR(AVERAGEIF(N$5:$N621,"&gt;="&amp;_xlfn.PERCENTILE.EXC(N$5:$N621,0.2)),0)</f>
        <v>0</v>
      </c>
      <c r="Q621" s="21" t="str">
        <f t="shared" ca="1" si="89"/>
        <v/>
      </c>
      <c r="R621" s="37">
        <f t="shared" ca="1" si="84"/>
        <v>0</v>
      </c>
      <c r="S621" s="4">
        <f ca="1">IFERROR(AVERAGE($R$5:R621),0)</f>
        <v>0</v>
      </c>
      <c r="U621" s="21" t="str">
        <f t="shared" ca="1" si="85"/>
        <v/>
      </c>
      <c r="V621" s="4">
        <f ca="1">MIN(S621,PREMISSAS!$C$14)</f>
        <v>0</v>
      </c>
      <c r="W621" s="188"/>
      <c r="X621" s="188"/>
    </row>
    <row r="622" spans="2:24" x14ac:dyDescent="0.3">
      <c r="B622" s="21" t="str">
        <f t="shared" ca="1" si="86"/>
        <v/>
      </c>
      <c r="C622" s="22" t="str">
        <f ca="1">IF(B622="","",IF(LEFT(B622,2)="13",C621,IF(MONTH(B622)=1,C621*(1+PREMISSAS!$C$58),C621)))</f>
        <v/>
      </c>
      <c r="E622" s="18">
        <v>618</v>
      </c>
      <c r="F622" s="21" t="str">
        <f t="shared" ca="1" si="87"/>
        <v/>
      </c>
      <c r="G622" s="22" t="str">
        <f ca="1">IFERROR(VLOOKUP(F622,RESULTADOS!$O$5:$P$543,2,FALSE),VLOOKUP(F622,$B$5:$C$842,2,FALSE))</f>
        <v/>
      </c>
      <c r="H622" s="4" t="e">
        <f ca="1">IF(F622&lt;PREMISSAS!$D$7,0,IFERROR(VLOOKUP(IF(LEFT(F622,2)="13",DATE(YEAR(F621),12,31),F622),IPCA!$A:$D,4,FALSE),1)*G622)</f>
        <v>#VALUE!</v>
      </c>
      <c r="J622" s="21" t="str">
        <f t="shared" ca="1" si="90"/>
        <v/>
      </c>
      <c r="K622" s="4" t="str">
        <f t="shared" ca="1" si="91"/>
        <v/>
      </c>
      <c r="M622" s="21" t="str">
        <f t="shared" ca="1" si="88"/>
        <v/>
      </c>
      <c r="N622" s="37">
        <f t="shared" ca="1" si="83"/>
        <v>0</v>
      </c>
      <c r="O622" s="4">
        <f ca="1">IFERROR(AVERAGEIF(N$5:$N622,"&gt;="&amp;_xlfn.PERCENTILE.EXC(N$5:$N622,0.2)),0)</f>
        <v>0</v>
      </c>
      <c r="Q622" s="21" t="str">
        <f t="shared" ca="1" si="89"/>
        <v/>
      </c>
      <c r="R622" s="37">
        <f t="shared" ca="1" si="84"/>
        <v>0</v>
      </c>
      <c r="S622" s="4">
        <f ca="1">IFERROR(AVERAGE($R$5:R622),0)</f>
        <v>0</v>
      </c>
      <c r="U622" s="21" t="str">
        <f t="shared" ca="1" si="85"/>
        <v/>
      </c>
      <c r="V622" s="4">
        <f ca="1">MIN(S622,PREMISSAS!$C$14)</f>
        <v>0</v>
      </c>
      <c r="W622" s="188"/>
      <c r="X622" s="188"/>
    </row>
    <row r="623" spans="2:24" x14ac:dyDescent="0.3">
      <c r="B623" s="21" t="str">
        <f t="shared" ca="1" si="86"/>
        <v/>
      </c>
      <c r="C623" s="22" t="str">
        <f ca="1">IF(B623="","",IF(LEFT(B623,2)="13",C622,IF(MONTH(B623)=1,C622*(1+PREMISSAS!$C$58),C622)))</f>
        <v/>
      </c>
      <c r="E623" s="18">
        <v>619</v>
      </c>
      <c r="F623" s="21" t="str">
        <f t="shared" ca="1" si="87"/>
        <v/>
      </c>
      <c r="G623" s="22" t="str">
        <f ca="1">IFERROR(VLOOKUP(F623,RESULTADOS!$O$5:$P$543,2,FALSE),VLOOKUP(F623,$B$5:$C$842,2,FALSE))</f>
        <v/>
      </c>
      <c r="H623" s="4" t="e">
        <f ca="1">IF(F623&lt;PREMISSAS!$D$7,0,IFERROR(VLOOKUP(IF(LEFT(F623,2)="13",DATE(YEAR(F622),12,31),F623),IPCA!$A:$D,4,FALSE),1)*G623)</f>
        <v>#VALUE!</v>
      </c>
      <c r="J623" s="21" t="str">
        <f t="shared" ca="1" si="90"/>
        <v/>
      </c>
      <c r="K623" s="4" t="str">
        <f t="shared" ca="1" si="91"/>
        <v/>
      </c>
      <c r="M623" s="21" t="str">
        <f t="shared" ca="1" si="88"/>
        <v/>
      </c>
      <c r="N623" s="37">
        <f t="shared" ca="1" si="83"/>
        <v>0</v>
      </c>
      <c r="O623" s="4">
        <f ca="1">IFERROR(AVERAGEIF(N$5:$N623,"&gt;="&amp;_xlfn.PERCENTILE.EXC(N$5:$N623,0.2)),0)</f>
        <v>0</v>
      </c>
      <c r="Q623" s="21" t="str">
        <f t="shared" ca="1" si="89"/>
        <v/>
      </c>
      <c r="R623" s="37">
        <f t="shared" ca="1" si="84"/>
        <v>0</v>
      </c>
      <c r="S623" s="4">
        <f ca="1">IFERROR(AVERAGE($R$5:R623),0)</f>
        <v>0</v>
      </c>
      <c r="U623" s="21" t="str">
        <f t="shared" ca="1" si="85"/>
        <v/>
      </c>
      <c r="V623" s="4">
        <f ca="1">MIN(S623,PREMISSAS!$C$14)</f>
        <v>0</v>
      </c>
      <c r="W623" s="188"/>
      <c r="X623" s="188"/>
    </row>
    <row r="624" spans="2:24" x14ac:dyDescent="0.3">
      <c r="B624" s="21" t="str">
        <f t="shared" ca="1" si="86"/>
        <v/>
      </c>
      <c r="C624" s="22" t="str">
        <f ca="1">IF(B624="","",IF(LEFT(B624,2)="13",C623,IF(MONTH(B624)=1,C623*(1+PREMISSAS!$C$58),C623)))</f>
        <v/>
      </c>
      <c r="E624" s="18">
        <v>620</v>
      </c>
      <c r="F624" s="21" t="str">
        <f t="shared" ca="1" si="87"/>
        <v/>
      </c>
      <c r="G624" s="22" t="str">
        <f ca="1">IFERROR(VLOOKUP(F624,RESULTADOS!$O$5:$P$543,2,FALSE),VLOOKUP(F624,$B$5:$C$842,2,FALSE))</f>
        <v/>
      </c>
      <c r="H624" s="4" t="e">
        <f ca="1">IF(F624&lt;PREMISSAS!$D$7,0,IFERROR(VLOOKUP(IF(LEFT(F624,2)="13",DATE(YEAR(F623),12,31),F624),IPCA!$A:$D,4,FALSE),1)*G624)</f>
        <v>#VALUE!</v>
      </c>
      <c r="J624" s="21" t="str">
        <f t="shared" ca="1" si="90"/>
        <v/>
      </c>
      <c r="K624" s="4" t="str">
        <f t="shared" ca="1" si="91"/>
        <v/>
      </c>
      <c r="M624" s="21" t="str">
        <f t="shared" ca="1" si="88"/>
        <v/>
      </c>
      <c r="N624" s="37">
        <f t="shared" ca="1" si="83"/>
        <v>0</v>
      </c>
      <c r="O624" s="4">
        <f ca="1">IFERROR(AVERAGEIF(N$5:$N624,"&gt;="&amp;_xlfn.PERCENTILE.EXC(N$5:$N624,0.2)),0)</f>
        <v>0</v>
      </c>
      <c r="Q624" s="21" t="str">
        <f t="shared" ca="1" si="89"/>
        <v/>
      </c>
      <c r="R624" s="37">
        <f t="shared" ca="1" si="84"/>
        <v>0</v>
      </c>
      <c r="S624" s="4">
        <f ca="1">IFERROR(AVERAGE($R$5:R624),0)</f>
        <v>0</v>
      </c>
      <c r="U624" s="21" t="str">
        <f t="shared" ca="1" si="85"/>
        <v/>
      </c>
      <c r="V624" s="4">
        <f ca="1">MIN(S624,PREMISSAS!$C$14)</f>
        <v>0</v>
      </c>
      <c r="W624" s="188"/>
      <c r="X624" s="188"/>
    </row>
    <row r="625" spans="2:24" x14ac:dyDescent="0.3">
      <c r="B625" s="21" t="str">
        <f t="shared" ca="1" si="86"/>
        <v/>
      </c>
      <c r="C625" s="22" t="str">
        <f ca="1">IF(B625="","",IF(LEFT(B625,2)="13",C624,IF(MONTH(B625)=1,C624*(1+PREMISSAS!$C$58),C624)))</f>
        <v/>
      </c>
      <c r="E625" s="18">
        <v>621</v>
      </c>
      <c r="F625" s="21" t="str">
        <f t="shared" ca="1" si="87"/>
        <v/>
      </c>
      <c r="G625" s="22" t="str">
        <f ca="1">IFERROR(VLOOKUP(F625,RESULTADOS!$O$5:$P$543,2,FALSE),VLOOKUP(F625,$B$5:$C$842,2,FALSE))</f>
        <v/>
      </c>
      <c r="H625" s="4" t="e">
        <f ca="1">IF(F625&lt;PREMISSAS!$D$7,0,IFERROR(VLOOKUP(IF(LEFT(F625,2)="13",DATE(YEAR(F624),12,31),F625),IPCA!$A:$D,4,FALSE),1)*G625)</f>
        <v>#VALUE!</v>
      </c>
      <c r="J625" s="21" t="str">
        <f t="shared" ca="1" si="90"/>
        <v/>
      </c>
      <c r="K625" s="4" t="str">
        <f t="shared" ca="1" si="91"/>
        <v/>
      </c>
      <c r="M625" s="21" t="str">
        <f t="shared" ca="1" si="88"/>
        <v/>
      </c>
      <c r="N625" s="37">
        <f t="shared" ca="1" si="83"/>
        <v>0</v>
      </c>
      <c r="O625" s="4">
        <f ca="1">IFERROR(AVERAGEIF(N$5:$N625,"&gt;="&amp;_xlfn.PERCENTILE.EXC(N$5:$N625,0.2)),0)</f>
        <v>0</v>
      </c>
      <c r="Q625" s="21" t="str">
        <f t="shared" ca="1" si="89"/>
        <v/>
      </c>
      <c r="R625" s="37">
        <f t="shared" ca="1" si="84"/>
        <v>0</v>
      </c>
      <c r="S625" s="4">
        <f ca="1">IFERROR(AVERAGE($R$5:R625),0)</f>
        <v>0</v>
      </c>
      <c r="U625" s="21" t="str">
        <f t="shared" ca="1" si="85"/>
        <v/>
      </c>
      <c r="V625" s="4">
        <f ca="1">MIN(S625,PREMISSAS!$C$14)</f>
        <v>0</v>
      </c>
      <c r="W625" s="188"/>
      <c r="X625" s="188"/>
    </row>
    <row r="626" spans="2:24" x14ac:dyDescent="0.3">
      <c r="B626" s="21" t="str">
        <f t="shared" ca="1" si="86"/>
        <v/>
      </c>
      <c r="C626" s="22" t="str">
        <f ca="1">IF(B626="","",IF(LEFT(B626,2)="13",C625,IF(MONTH(B626)=1,C625*(1+PREMISSAS!$C$58),C625)))</f>
        <v/>
      </c>
      <c r="E626" s="18">
        <v>622</v>
      </c>
      <c r="F626" s="21" t="str">
        <f t="shared" ca="1" si="87"/>
        <v/>
      </c>
      <c r="G626" s="22" t="str">
        <f ca="1">IFERROR(VLOOKUP(F626,RESULTADOS!$O$5:$P$543,2,FALSE),VLOOKUP(F626,$B$5:$C$842,2,FALSE))</f>
        <v/>
      </c>
      <c r="H626" s="4" t="e">
        <f ca="1">IF(F626&lt;PREMISSAS!$D$7,0,IFERROR(VLOOKUP(IF(LEFT(F626,2)="13",DATE(YEAR(F625),12,31),F626),IPCA!$A:$D,4,FALSE),1)*G626)</f>
        <v>#VALUE!</v>
      </c>
      <c r="J626" s="21" t="str">
        <f t="shared" ca="1" si="90"/>
        <v/>
      </c>
      <c r="K626" s="4" t="str">
        <f t="shared" ca="1" si="91"/>
        <v/>
      </c>
      <c r="M626" s="21" t="str">
        <f t="shared" ca="1" si="88"/>
        <v/>
      </c>
      <c r="N626" s="37">
        <f t="shared" ca="1" si="83"/>
        <v>0</v>
      </c>
      <c r="O626" s="4">
        <f ca="1">IFERROR(AVERAGEIF(N$5:$N626,"&gt;="&amp;_xlfn.PERCENTILE.EXC(N$5:$N626,0.2)),0)</f>
        <v>0</v>
      </c>
      <c r="Q626" s="21" t="str">
        <f t="shared" ca="1" si="89"/>
        <v/>
      </c>
      <c r="R626" s="37">
        <f t="shared" ca="1" si="84"/>
        <v>0</v>
      </c>
      <c r="S626" s="4">
        <f ca="1">IFERROR(AVERAGE($R$5:R626),0)</f>
        <v>0</v>
      </c>
      <c r="U626" s="21" t="str">
        <f t="shared" ca="1" si="85"/>
        <v/>
      </c>
      <c r="V626" s="4">
        <f ca="1">MIN(S626,PREMISSAS!$C$14)</f>
        <v>0</v>
      </c>
      <c r="W626" s="188"/>
      <c r="X626" s="188"/>
    </row>
    <row r="627" spans="2:24" x14ac:dyDescent="0.3">
      <c r="B627" s="21" t="str">
        <f t="shared" ca="1" si="86"/>
        <v/>
      </c>
      <c r="C627" s="22" t="str">
        <f ca="1">IF(B627="","",IF(LEFT(B627,2)="13",C626,IF(MONTH(B627)=1,C626*(1+PREMISSAS!$C$58),C626)))</f>
        <v/>
      </c>
      <c r="E627" s="18">
        <v>623</v>
      </c>
      <c r="F627" s="21" t="str">
        <f t="shared" ca="1" si="87"/>
        <v/>
      </c>
      <c r="G627" s="22" t="str">
        <f ca="1">IFERROR(VLOOKUP(F627,RESULTADOS!$O$5:$P$543,2,FALSE),VLOOKUP(F627,$B$5:$C$842,2,FALSE))</f>
        <v/>
      </c>
      <c r="H627" s="4" t="e">
        <f ca="1">IF(F627&lt;PREMISSAS!$D$7,0,IFERROR(VLOOKUP(IF(LEFT(F627,2)="13",DATE(YEAR(F626),12,31),F627),IPCA!$A:$D,4,FALSE),1)*G627)</f>
        <v>#VALUE!</v>
      </c>
      <c r="J627" s="21" t="str">
        <f t="shared" ca="1" si="90"/>
        <v/>
      </c>
      <c r="K627" s="4" t="str">
        <f t="shared" ca="1" si="91"/>
        <v/>
      </c>
      <c r="M627" s="21" t="str">
        <f t="shared" ca="1" si="88"/>
        <v/>
      </c>
      <c r="N627" s="37">
        <f t="shared" ca="1" si="83"/>
        <v>0</v>
      </c>
      <c r="O627" s="4">
        <f ca="1">IFERROR(AVERAGEIF(N$5:$N627,"&gt;="&amp;_xlfn.PERCENTILE.EXC(N$5:$N627,0.2)),0)</f>
        <v>0</v>
      </c>
      <c r="Q627" s="21" t="str">
        <f t="shared" ca="1" si="89"/>
        <v/>
      </c>
      <c r="R627" s="37">
        <f t="shared" ca="1" si="84"/>
        <v>0</v>
      </c>
      <c r="S627" s="4">
        <f ca="1">IFERROR(AVERAGE($R$5:R627),0)</f>
        <v>0</v>
      </c>
      <c r="U627" s="21" t="str">
        <f t="shared" ca="1" si="85"/>
        <v/>
      </c>
      <c r="V627" s="4">
        <f ca="1">MIN(S627,PREMISSAS!$C$14)</f>
        <v>0</v>
      </c>
      <c r="W627" s="188"/>
      <c r="X627" s="188"/>
    </row>
    <row r="628" spans="2:24" x14ac:dyDescent="0.3">
      <c r="B628" s="21" t="str">
        <f t="shared" ca="1" si="86"/>
        <v/>
      </c>
      <c r="C628" s="22" t="str">
        <f ca="1">IF(B628="","",IF(LEFT(B628,2)="13",C627,IF(MONTH(B628)=1,C627*(1+PREMISSAS!$C$58),C627)))</f>
        <v/>
      </c>
      <c r="E628" s="18">
        <v>624</v>
      </c>
      <c r="F628" s="21" t="str">
        <f t="shared" ca="1" si="87"/>
        <v/>
      </c>
      <c r="G628" s="22" t="str">
        <f ca="1">IFERROR(VLOOKUP(F628,RESULTADOS!$O$5:$P$543,2,FALSE),VLOOKUP(F628,$B$5:$C$842,2,FALSE))</f>
        <v/>
      </c>
      <c r="H628" s="4" t="e">
        <f ca="1">IF(F628&lt;PREMISSAS!$D$7,0,IFERROR(VLOOKUP(IF(LEFT(F628,2)="13",DATE(YEAR(F627),12,31),F628),IPCA!$A:$D,4,FALSE),1)*G628)</f>
        <v>#VALUE!</v>
      </c>
      <c r="J628" s="21" t="str">
        <f t="shared" ca="1" si="90"/>
        <v/>
      </c>
      <c r="K628" s="4" t="str">
        <f t="shared" ca="1" si="91"/>
        <v/>
      </c>
      <c r="M628" s="21" t="str">
        <f t="shared" ca="1" si="88"/>
        <v/>
      </c>
      <c r="N628" s="37">
        <f t="shared" ca="1" si="83"/>
        <v>0</v>
      </c>
      <c r="O628" s="4">
        <f ca="1">IFERROR(AVERAGEIF(N$5:$N628,"&gt;="&amp;_xlfn.PERCENTILE.EXC(N$5:$N628,0.2)),0)</f>
        <v>0</v>
      </c>
      <c r="Q628" s="21" t="str">
        <f t="shared" ca="1" si="89"/>
        <v/>
      </c>
      <c r="R628" s="37">
        <f t="shared" ca="1" si="84"/>
        <v>0</v>
      </c>
      <c r="S628" s="4">
        <f ca="1">IFERROR(AVERAGE($R$5:R628),0)</f>
        <v>0</v>
      </c>
      <c r="U628" s="21" t="str">
        <f t="shared" ca="1" si="85"/>
        <v/>
      </c>
      <c r="V628" s="4">
        <f ca="1">MIN(S628,PREMISSAS!$C$14)</f>
        <v>0</v>
      </c>
      <c r="W628" s="188"/>
      <c r="X628" s="188"/>
    </row>
    <row r="629" spans="2:24" x14ac:dyDescent="0.3">
      <c r="B629" s="21" t="str">
        <f t="shared" ca="1" si="86"/>
        <v/>
      </c>
      <c r="C629" s="22" t="str">
        <f ca="1">IF(B629="","",IF(LEFT(B629,2)="13",C628,IF(MONTH(B629)=1,C628*(1+PREMISSAS!$C$58),C628)))</f>
        <v/>
      </c>
      <c r="E629" s="18">
        <v>625</v>
      </c>
      <c r="F629" s="21" t="str">
        <f t="shared" ca="1" si="87"/>
        <v/>
      </c>
      <c r="G629" s="22" t="str">
        <f ca="1">IFERROR(VLOOKUP(F629,RESULTADOS!$O$5:$P$543,2,FALSE),VLOOKUP(F629,$B$5:$C$842,2,FALSE))</f>
        <v/>
      </c>
      <c r="H629" s="4" t="e">
        <f ca="1">IF(F629&lt;PREMISSAS!$D$7,0,IFERROR(VLOOKUP(IF(LEFT(F629,2)="13",DATE(YEAR(F628),12,31),F629),IPCA!$A:$D,4,FALSE),1)*G629)</f>
        <v>#VALUE!</v>
      </c>
      <c r="J629" s="21" t="str">
        <f t="shared" ref="J629:J640" ca="1" si="92">F629</f>
        <v/>
      </c>
      <c r="K629" s="4" t="str">
        <f t="shared" ref="K629:K640" ca="1" si="93">G629</f>
        <v/>
      </c>
      <c r="M629" s="21" t="str">
        <f t="shared" ca="1" si="88"/>
        <v/>
      </c>
      <c r="N629" s="37">
        <f t="shared" ref="N629:N640" ca="1" si="94">IFERROR(VLOOKUP(M629,$F$5:$H$628,3,FALSE),0)</f>
        <v>0</v>
      </c>
      <c r="O629" s="4">
        <f ca="1">IFERROR(AVERAGEIF(N$5:$N629,"&gt;="&amp;_xlfn.PERCENTILE.EXC(N$5:$N629,0.2)),0)</f>
        <v>0</v>
      </c>
      <c r="Q629" s="21" t="str">
        <f t="shared" ca="1" si="89"/>
        <v/>
      </c>
      <c r="R629" s="37">
        <f t="shared" ca="1" si="84"/>
        <v>0</v>
      </c>
      <c r="S629" s="4">
        <f ca="1">IFERROR(AVERAGE($R$5:R629),0)</f>
        <v>0</v>
      </c>
      <c r="U629" s="21" t="str">
        <f t="shared" ref="U629:U640" ca="1" si="95">M629</f>
        <v/>
      </c>
      <c r="V629" s="4">
        <f ca="1">MIN(S629,PREMISSAS!$C$14)</f>
        <v>0</v>
      </c>
      <c r="W629" s="188"/>
      <c r="X629" s="188"/>
    </row>
    <row r="630" spans="2:24" x14ac:dyDescent="0.3">
      <c r="B630" s="21" t="str">
        <f t="shared" ca="1" si="86"/>
        <v/>
      </c>
      <c r="C630" s="22" t="str">
        <f ca="1">IF(B630="","",IF(LEFT(B630,2)="13",C629,IF(MONTH(B630)=1,C629*(1+PREMISSAS!$C$58),C629)))</f>
        <v/>
      </c>
      <c r="E630" s="18">
        <v>626</v>
      </c>
      <c r="F630" s="21" t="str">
        <f t="shared" ca="1" si="87"/>
        <v/>
      </c>
      <c r="G630" s="22" t="str">
        <f ca="1">IFERROR(VLOOKUP(F630,RESULTADOS!$O$5:$P$543,2,FALSE),VLOOKUP(F630,$B$5:$C$842,2,FALSE))</f>
        <v/>
      </c>
      <c r="H630" s="4" t="e">
        <f ca="1">IF(F630&lt;PREMISSAS!$D$7,0,IFERROR(VLOOKUP(IF(LEFT(F630,2)="13",DATE(YEAR(F629),12,31),F630),IPCA!$A:$D,4,FALSE),1)*G630)</f>
        <v>#VALUE!</v>
      </c>
      <c r="J630" s="21" t="str">
        <f t="shared" ca="1" si="92"/>
        <v/>
      </c>
      <c r="K630" s="4" t="str">
        <f t="shared" ca="1" si="93"/>
        <v/>
      </c>
      <c r="M630" s="21" t="str">
        <f t="shared" ca="1" si="88"/>
        <v/>
      </c>
      <c r="N630" s="37">
        <f t="shared" ca="1" si="94"/>
        <v>0</v>
      </c>
      <c r="O630" s="4">
        <f ca="1">IFERROR(AVERAGEIF(N$5:$N630,"&gt;="&amp;_xlfn.PERCENTILE.EXC(N$5:$N630,0.2)),0)</f>
        <v>0</v>
      </c>
      <c r="Q630" s="21" t="str">
        <f t="shared" ca="1" si="89"/>
        <v/>
      </c>
      <c r="R630" s="37">
        <f t="shared" ca="1" si="84"/>
        <v>0</v>
      </c>
      <c r="S630" s="4">
        <f ca="1">IFERROR(AVERAGE($R$5:R630),0)</f>
        <v>0</v>
      </c>
      <c r="U630" s="21" t="str">
        <f t="shared" ca="1" si="95"/>
        <v/>
      </c>
      <c r="V630" s="4">
        <f ca="1">MIN(S630,PREMISSAS!$C$14)</f>
        <v>0</v>
      </c>
      <c r="W630" s="188"/>
      <c r="X630" s="188"/>
    </row>
    <row r="631" spans="2:24" x14ac:dyDescent="0.3">
      <c r="B631" s="21" t="str">
        <f t="shared" ca="1" si="86"/>
        <v/>
      </c>
      <c r="C631" s="22" t="str">
        <f ca="1">IF(B631="","",IF(LEFT(B631,2)="13",C630,IF(MONTH(B631)=1,C630*(1+PREMISSAS!$C$58),C630)))</f>
        <v/>
      </c>
      <c r="E631" s="18">
        <v>627</v>
      </c>
      <c r="F631" s="21" t="str">
        <f t="shared" ca="1" si="87"/>
        <v/>
      </c>
      <c r="G631" s="22" t="str">
        <f ca="1">IFERROR(VLOOKUP(F631,RESULTADOS!$O$5:$P$543,2,FALSE),VLOOKUP(F631,$B$5:$C$842,2,FALSE))</f>
        <v/>
      </c>
      <c r="H631" s="4" t="e">
        <f ca="1">IF(F631&lt;PREMISSAS!$D$7,0,IFERROR(VLOOKUP(IF(LEFT(F631,2)="13",DATE(YEAR(F630),12,31),F631),IPCA!$A:$D,4,FALSE),1)*G631)</f>
        <v>#VALUE!</v>
      </c>
      <c r="J631" s="21" t="str">
        <f t="shared" ca="1" si="92"/>
        <v/>
      </c>
      <c r="K631" s="4" t="str">
        <f t="shared" ca="1" si="93"/>
        <v/>
      </c>
      <c r="M631" s="21" t="str">
        <f t="shared" ca="1" si="88"/>
        <v/>
      </c>
      <c r="N631" s="37">
        <f t="shared" ca="1" si="94"/>
        <v>0</v>
      </c>
      <c r="O631" s="4">
        <f ca="1">IFERROR(AVERAGEIF(N$5:$N631,"&gt;="&amp;_xlfn.PERCENTILE.EXC(N$5:$N631,0.2)),0)</f>
        <v>0</v>
      </c>
      <c r="Q631" s="21" t="str">
        <f t="shared" ca="1" si="89"/>
        <v/>
      </c>
      <c r="R631" s="37">
        <f t="shared" ca="1" si="84"/>
        <v>0</v>
      </c>
      <c r="S631" s="4">
        <f ca="1">IFERROR(AVERAGE($R$5:R631),0)</f>
        <v>0</v>
      </c>
      <c r="U631" s="21" t="str">
        <f t="shared" ca="1" si="95"/>
        <v/>
      </c>
      <c r="V631" s="4">
        <f ca="1">MIN(S631,PREMISSAS!$C$14)</f>
        <v>0</v>
      </c>
      <c r="W631" s="188"/>
      <c r="X631" s="188"/>
    </row>
    <row r="632" spans="2:24" x14ac:dyDescent="0.3">
      <c r="B632" s="21" t="str">
        <f t="shared" ca="1" si="86"/>
        <v/>
      </c>
      <c r="C632" s="22" t="str">
        <f ca="1">IF(B632="","",IF(LEFT(B632,2)="13",C631,IF(MONTH(B632)=1,C631*(1+PREMISSAS!$C$58),C631)))</f>
        <v/>
      </c>
      <c r="E632" s="18">
        <v>628</v>
      </c>
      <c r="F632" s="21" t="str">
        <f t="shared" ca="1" si="87"/>
        <v/>
      </c>
      <c r="G632" s="22" t="str">
        <f ca="1">IFERROR(VLOOKUP(F632,RESULTADOS!$O$5:$P$543,2,FALSE),VLOOKUP(F632,$B$5:$C$842,2,FALSE))</f>
        <v/>
      </c>
      <c r="H632" s="4" t="e">
        <f ca="1">IF(F632&lt;PREMISSAS!$D$7,0,IFERROR(VLOOKUP(IF(LEFT(F632,2)="13",DATE(YEAR(F631),12,31),F632),IPCA!$A:$D,4,FALSE),1)*G632)</f>
        <v>#VALUE!</v>
      </c>
      <c r="J632" s="21" t="str">
        <f t="shared" ca="1" si="92"/>
        <v/>
      </c>
      <c r="K632" s="4" t="str">
        <f t="shared" ca="1" si="93"/>
        <v/>
      </c>
      <c r="M632" s="21" t="str">
        <f t="shared" ca="1" si="88"/>
        <v/>
      </c>
      <c r="N632" s="37">
        <f t="shared" ca="1" si="94"/>
        <v>0</v>
      </c>
      <c r="O632" s="4">
        <f ca="1">IFERROR(AVERAGEIF(N$5:$N632,"&gt;="&amp;_xlfn.PERCENTILE.EXC(N$5:$N632,0.2)),0)</f>
        <v>0</v>
      </c>
      <c r="Q632" s="21" t="str">
        <f t="shared" ca="1" si="89"/>
        <v/>
      </c>
      <c r="R632" s="37">
        <f t="shared" ca="1" si="84"/>
        <v>0</v>
      </c>
      <c r="S632" s="4">
        <f ca="1">IFERROR(AVERAGE($R$5:R632),0)</f>
        <v>0</v>
      </c>
      <c r="U632" s="21" t="str">
        <f t="shared" ca="1" si="95"/>
        <v/>
      </c>
      <c r="V632" s="4">
        <f ca="1">MIN(S632,PREMISSAS!$C$14)</f>
        <v>0</v>
      </c>
      <c r="W632" s="188"/>
      <c r="X632" s="188"/>
    </row>
    <row r="633" spans="2:24" x14ac:dyDescent="0.3">
      <c r="B633" s="21" t="str">
        <f t="shared" ca="1" si="86"/>
        <v/>
      </c>
      <c r="C633" s="22" t="str">
        <f ca="1">IF(B633="","",IF(LEFT(B633,2)="13",C632,IF(MONTH(B633)=1,C632*(1+PREMISSAS!$C$58),C632)))</f>
        <v/>
      </c>
      <c r="E633" s="18">
        <v>629</v>
      </c>
      <c r="F633" s="21" t="str">
        <f t="shared" ca="1" si="87"/>
        <v/>
      </c>
      <c r="G633" s="22" t="str">
        <f ca="1">IFERROR(VLOOKUP(F633,RESULTADOS!$O$5:$P$543,2,FALSE),VLOOKUP(F633,$B$5:$C$842,2,FALSE))</f>
        <v/>
      </c>
      <c r="H633" s="4" t="e">
        <f ca="1">IF(F633&lt;PREMISSAS!$D$7,0,IFERROR(VLOOKUP(IF(LEFT(F633,2)="13",DATE(YEAR(F632),12,31),F633),IPCA!$A:$D,4,FALSE),1)*G633)</f>
        <v>#VALUE!</v>
      </c>
      <c r="J633" s="21" t="str">
        <f t="shared" ca="1" si="92"/>
        <v/>
      </c>
      <c r="K633" s="4" t="str">
        <f t="shared" ca="1" si="93"/>
        <v/>
      </c>
      <c r="M633" s="21" t="str">
        <f t="shared" ca="1" si="88"/>
        <v/>
      </c>
      <c r="N633" s="37">
        <f t="shared" ca="1" si="94"/>
        <v>0</v>
      </c>
      <c r="O633" s="4">
        <f ca="1">IFERROR(AVERAGEIF(N$5:$N633,"&gt;="&amp;_xlfn.PERCENTILE.EXC(N$5:$N633,0.2)),0)</f>
        <v>0</v>
      </c>
      <c r="Q633" s="21" t="str">
        <f t="shared" ca="1" si="89"/>
        <v/>
      </c>
      <c r="R633" s="37">
        <f t="shared" ca="1" si="84"/>
        <v>0</v>
      </c>
      <c r="S633" s="4">
        <f ca="1">IFERROR(AVERAGE($R$5:R633),0)</f>
        <v>0</v>
      </c>
      <c r="U633" s="21" t="str">
        <f t="shared" ca="1" si="95"/>
        <v/>
      </c>
      <c r="V633" s="4">
        <f ca="1">MIN(S633,PREMISSAS!$C$14)</f>
        <v>0</v>
      </c>
      <c r="W633" s="188"/>
      <c r="X633" s="188"/>
    </row>
    <row r="634" spans="2:24" x14ac:dyDescent="0.3">
      <c r="B634" s="21" t="str">
        <f t="shared" ca="1" si="86"/>
        <v/>
      </c>
      <c r="C634" s="22" t="str">
        <f ca="1">IF(B634="","",IF(LEFT(B634,2)="13",C633,IF(MONTH(B634)=1,C633*(1+PREMISSAS!$C$58),C633)))</f>
        <v/>
      </c>
      <c r="E634" s="18">
        <v>630</v>
      </c>
      <c r="F634" s="21" t="str">
        <f t="shared" ca="1" si="87"/>
        <v/>
      </c>
      <c r="G634" s="22" t="str">
        <f ca="1">IFERROR(VLOOKUP(F634,RESULTADOS!$O$5:$P$543,2,FALSE),VLOOKUP(F634,$B$5:$C$842,2,FALSE))</f>
        <v/>
      </c>
      <c r="H634" s="4" t="e">
        <f ca="1">IF(F634&lt;PREMISSAS!$D$7,0,IFERROR(VLOOKUP(IF(LEFT(F634,2)="13",DATE(YEAR(F633),12,31),F634),IPCA!$A:$D,4,FALSE),1)*G634)</f>
        <v>#VALUE!</v>
      </c>
      <c r="J634" s="21" t="str">
        <f t="shared" ca="1" si="92"/>
        <v/>
      </c>
      <c r="K634" s="4" t="str">
        <f t="shared" ca="1" si="93"/>
        <v/>
      </c>
      <c r="M634" s="21" t="str">
        <f t="shared" ca="1" si="88"/>
        <v/>
      </c>
      <c r="N634" s="37">
        <f t="shared" ca="1" si="94"/>
        <v>0</v>
      </c>
      <c r="O634" s="4">
        <f ca="1">IFERROR(AVERAGEIF(N$5:$N634,"&gt;="&amp;_xlfn.PERCENTILE.EXC(N$5:$N634,0.2)),0)</f>
        <v>0</v>
      </c>
      <c r="Q634" s="21" t="str">
        <f t="shared" ca="1" si="89"/>
        <v/>
      </c>
      <c r="R634" s="37">
        <f t="shared" ca="1" si="84"/>
        <v>0</v>
      </c>
      <c r="S634" s="4">
        <f ca="1">IFERROR(AVERAGE($R$5:R634),0)</f>
        <v>0</v>
      </c>
      <c r="U634" s="21" t="str">
        <f t="shared" ca="1" si="95"/>
        <v/>
      </c>
      <c r="V634" s="4">
        <f ca="1">MIN(S634,PREMISSAS!$C$14)</f>
        <v>0</v>
      </c>
      <c r="W634" s="188"/>
      <c r="X634" s="188"/>
    </row>
    <row r="635" spans="2:24" x14ac:dyDescent="0.3">
      <c r="B635" s="21" t="str">
        <f t="shared" ca="1" si="86"/>
        <v/>
      </c>
      <c r="C635" s="22" t="str">
        <f ca="1">IF(B635="","",IF(LEFT(B635,2)="13",C634,IF(MONTH(B635)=1,C634*(1+PREMISSAS!$C$58),C634)))</f>
        <v/>
      </c>
      <c r="E635" s="18">
        <v>631</v>
      </c>
      <c r="F635" s="21" t="str">
        <f t="shared" ca="1" si="87"/>
        <v/>
      </c>
      <c r="G635" s="22" t="str">
        <f ca="1">IFERROR(VLOOKUP(F635,RESULTADOS!$O$5:$P$543,2,FALSE),VLOOKUP(F635,$B$5:$C$842,2,FALSE))</f>
        <v/>
      </c>
      <c r="H635" s="4" t="e">
        <f ca="1">IF(F635&lt;PREMISSAS!$D$7,0,IFERROR(VLOOKUP(IF(LEFT(F635,2)="13",DATE(YEAR(F634),12,31),F635),IPCA!$A:$D,4,FALSE),1)*G635)</f>
        <v>#VALUE!</v>
      </c>
      <c r="J635" s="21" t="str">
        <f t="shared" ca="1" si="92"/>
        <v/>
      </c>
      <c r="K635" s="4" t="str">
        <f t="shared" ca="1" si="93"/>
        <v/>
      </c>
      <c r="M635" s="21" t="str">
        <f t="shared" ca="1" si="88"/>
        <v/>
      </c>
      <c r="N635" s="37">
        <f t="shared" ca="1" si="94"/>
        <v>0</v>
      </c>
      <c r="O635" s="4">
        <f ca="1">IFERROR(AVERAGEIF(N$5:$N635,"&gt;="&amp;_xlfn.PERCENTILE.EXC(N$5:$N635,0.2)),0)</f>
        <v>0</v>
      </c>
      <c r="Q635" s="21" t="str">
        <f t="shared" ca="1" si="89"/>
        <v/>
      </c>
      <c r="R635" s="37">
        <f t="shared" ca="1" si="84"/>
        <v>0</v>
      </c>
      <c r="S635" s="4">
        <f ca="1">IFERROR(AVERAGE($R$5:R635),0)</f>
        <v>0</v>
      </c>
      <c r="U635" s="21" t="str">
        <f t="shared" ca="1" si="95"/>
        <v/>
      </c>
      <c r="V635" s="4">
        <f ca="1">MIN(S635,PREMISSAS!$C$14)</f>
        <v>0</v>
      </c>
      <c r="W635" s="188"/>
      <c r="X635" s="188"/>
    </row>
    <row r="636" spans="2:24" x14ac:dyDescent="0.3">
      <c r="B636" s="21" t="str">
        <f t="shared" ca="1" si="86"/>
        <v/>
      </c>
      <c r="C636" s="22" t="str">
        <f ca="1">IF(B636="","",IF(LEFT(B636,2)="13",C635,IF(MONTH(B636)=1,C635*(1+PREMISSAS!$C$58),C635)))</f>
        <v/>
      </c>
      <c r="E636" s="18">
        <v>632</v>
      </c>
      <c r="F636" s="21" t="str">
        <f t="shared" ca="1" si="87"/>
        <v/>
      </c>
      <c r="G636" s="22" t="str">
        <f ca="1">IFERROR(VLOOKUP(F636,RESULTADOS!$O$5:$P$543,2,FALSE),VLOOKUP(F636,$B$5:$C$842,2,FALSE))</f>
        <v/>
      </c>
      <c r="H636" s="4" t="e">
        <f ca="1">IF(F636&lt;PREMISSAS!$D$7,0,IFERROR(VLOOKUP(IF(LEFT(F636,2)="13",DATE(YEAR(F635),12,31),F636),IPCA!$A:$D,4,FALSE),1)*G636)</f>
        <v>#VALUE!</v>
      </c>
      <c r="J636" s="21" t="str">
        <f t="shared" ca="1" si="92"/>
        <v/>
      </c>
      <c r="K636" s="4" t="str">
        <f t="shared" ca="1" si="93"/>
        <v/>
      </c>
      <c r="M636" s="21" t="str">
        <f t="shared" ca="1" si="88"/>
        <v/>
      </c>
      <c r="N636" s="37">
        <f t="shared" ca="1" si="94"/>
        <v>0</v>
      </c>
      <c r="O636" s="4">
        <f ca="1">IFERROR(AVERAGEIF(N$5:$N636,"&gt;="&amp;_xlfn.PERCENTILE.EXC(N$5:$N636,0.2)),0)</f>
        <v>0</v>
      </c>
      <c r="Q636" s="21" t="str">
        <f t="shared" ca="1" si="89"/>
        <v/>
      </c>
      <c r="R636" s="37">
        <f t="shared" ca="1" si="84"/>
        <v>0</v>
      </c>
      <c r="S636" s="4">
        <f ca="1">IFERROR(AVERAGE($R$5:R636),0)</f>
        <v>0</v>
      </c>
      <c r="U636" s="21" t="str">
        <f t="shared" ca="1" si="95"/>
        <v/>
      </c>
      <c r="V636" s="4">
        <f ca="1">MIN(S636,PREMISSAS!$C$14)</f>
        <v>0</v>
      </c>
      <c r="W636" s="188"/>
      <c r="X636" s="188"/>
    </row>
    <row r="637" spans="2:24" x14ac:dyDescent="0.3">
      <c r="B637" s="21" t="str">
        <f t="shared" ca="1" si="86"/>
        <v/>
      </c>
      <c r="C637" s="22" t="str">
        <f ca="1">IF(B637="","",IF(LEFT(B637,2)="13",C636,IF(MONTH(B637)=1,C636*(1+PREMISSAS!$C$58),C636)))</f>
        <v/>
      </c>
      <c r="E637" s="18">
        <v>633</v>
      </c>
      <c r="F637" s="21" t="str">
        <f t="shared" ca="1" si="87"/>
        <v/>
      </c>
      <c r="G637" s="22" t="str">
        <f ca="1">IFERROR(VLOOKUP(F637,RESULTADOS!$O$5:$P$543,2,FALSE),VLOOKUP(F637,$B$5:$C$842,2,FALSE))</f>
        <v/>
      </c>
      <c r="H637" s="4" t="e">
        <f ca="1">IF(F637&lt;PREMISSAS!$D$7,0,IFERROR(VLOOKUP(IF(LEFT(F637,2)="13",DATE(YEAR(F636),12,31),F637),IPCA!$A:$D,4,FALSE),1)*G637)</f>
        <v>#VALUE!</v>
      </c>
      <c r="J637" s="21" t="str">
        <f t="shared" ca="1" si="92"/>
        <v/>
      </c>
      <c r="K637" s="4" t="str">
        <f t="shared" ca="1" si="93"/>
        <v/>
      </c>
      <c r="M637" s="21" t="str">
        <f t="shared" ca="1" si="88"/>
        <v/>
      </c>
      <c r="N637" s="37">
        <f t="shared" ca="1" si="94"/>
        <v>0</v>
      </c>
      <c r="O637" s="4">
        <f ca="1">IFERROR(AVERAGEIF(N$5:$N637,"&gt;="&amp;_xlfn.PERCENTILE.EXC(N$5:$N637,0.2)),0)</f>
        <v>0</v>
      </c>
      <c r="Q637" s="21" t="str">
        <f t="shared" ca="1" si="89"/>
        <v/>
      </c>
      <c r="R637" s="37">
        <f t="shared" ca="1" si="84"/>
        <v>0</v>
      </c>
      <c r="S637" s="4">
        <f ca="1">IFERROR(AVERAGE($R$5:R637),0)</f>
        <v>0</v>
      </c>
      <c r="U637" s="21" t="str">
        <f t="shared" ca="1" si="95"/>
        <v/>
      </c>
      <c r="V637" s="4">
        <f ca="1">MIN(S637,PREMISSAS!$C$14)</f>
        <v>0</v>
      </c>
      <c r="W637" s="188"/>
      <c r="X637" s="188"/>
    </row>
    <row r="638" spans="2:24" x14ac:dyDescent="0.3">
      <c r="B638" s="21" t="str">
        <f t="shared" ca="1" si="86"/>
        <v/>
      </c>
      <c r="C638" s="22" t="str">
        <f ca="1">IF(B638="","",IF(LEFT(B638,2)="13",C637,IF(MONTH(B638)=1,C637*(1+PREMISSAS!$C$58),C637)))</f>
        <v/>
      </c>
      <c r="E638" s="18">
        <v>634</v>
      </c>
      <c r="F638" s="21" t="str">
        <f t="shared" ca="1" si="87"/>
        <v/>
      </c>
      <c r="G638" s="22" t="str">
        <f ca="1">IFERROR(VLOOKUP(F638,RESULTADOS!$O$5:$P$543,2,FALSE),VLOOKUP(F638,$B$5:$C$842,2,FALSE))</f>
        <v/>
      </c>
      <c r="H638" s="4" t="e">
        <f ca="1">IF(F638&lt;PREMISSAS!$D$7,0,IFERROR(VLOOKUP(IF(LEFT(F638,2)="13",DATE(YEAR(F637),12,31),F638),IPCA!$A:$D,4,FALSE),1)*G638)</f>
        <v>#VALUE!</v>
      </c>
      <c r="J638" s="21" t="str">
        <f t="shared" ca="1" si="92"/>
        <v/>
      </c>
      <c r="K638" s="4" t="str">
        <f t="shared" ca="1" si="93"/>
        <v/>
      </c>
      <c r="M638" s="21" t="str">
        <f t="shared" ca="1" si="88"/>
        <v/>
      </c>
      <c r="N638" s="37">
        <f t="shared" ca="1" si="94"/>
        <v>0</v>
      </c>
      <c r="O638" s="4">
        <f ca="1">IFERROR(AVERAGEIF(N$5:$N638,"&gt;="&amp;_xlfn.PERCENTILE.EXC(N$5:$N638,0.2)),0)</f>
        <v>0</v>
      </c>
      <c r="Q638" s="21" t="str">
        <f t="shared" ca="1" si="89"/>
        <v/>
      </c>
      <c r="R638" s="37">
        <f t="shared" ca="1" si="84"/>
        <v>0</v>
      </c>
      <c r="S638" s="4">
        <f ca="1">IFERROR(AVERAGE($R$5:R638),0)</f>
        <v>0</v>
      </c>
      <c r="U638" s="21" t="str">
        <f t="shared" ca="1" si="95"/>
        <v/>
      </c>
      <c r="V638" s="4">
        <f ca="1">MIN(S638,PREMISSAS!$C$14)</f>
        <v>0</v>
      </c>
      <c r="W638" s="188"/>
      <c r="X638" s="188"/>
    </row>
    <row r="639" spans="2:24" x14ac:dyDescent="0.3">
      <c r="B639" s="21" t="str">
        <f t="shared" ca="1" si="86"/>
        <v/>
      </c>
      <c r="C639" s="22" t="str">
        <f ca="1">IF(B639="","",IF(LEFT(B639,2)="13",C638,IF(MONTH(B639)=1,C638*(1+PREMISSAS!$C$58),C638)))</f>
        <v/>
      </c>
      <c r="E639" s="18">
        <v>635</v>
      </c>
      <c r="F639" s="21" t="str">
        <f t="shared" ca="1" si="87"/>
        <v/>
      </c>
      <c r="G639" s="22" t="str">
        <f ca="1">IFERROR(VLOOKUP(F639,RESULTADOS!$O$5:$P$543,2,FALSE),VLOOKUP(F639,$B$5:$C$842,2,FALSE))</f>
        <v/>
      </c>
      <c r="H639" s="4" t="e">
        <f ca="1">IF(F639&lt;PREMISSAS!$D$7,0,IFERROR(VLOOKUP(IF(LEFT(F639,2)="13",DATE(YEAR(F638),12,31),F639),IPCA!$A:$D,4,FALSE),1)*G639)</f>
        <v>#VALUE!</v>
      </c>
      <c r="J639" s="21" t="str">
        <f t="shared" ca="1" si="92"/>
        <v/>
      </c>
      <c r="K639" s="4" t="str">
        <f t="shared" ca="1" si="93"/>
        <v/>
      </c>
      <c r="M639" s="21" t="str">
        <f t="shared" ca="1" si="88"/>
        <v/>
      </c>
      <c r="N639" s="37">
        <f t="shared" ca="1" si="94"/>
        <v>0</v>
      </c>
      <c r="O639" s="4">
        <f ca="1">IFERROR(AVERAGEIF(N$5:$N639,"&gt;="&amp;_xlfn.PERCENTILE.EXC(N$5:$N639,0.2)),0)</f>
        <v>0</v>
      </c>
      <c r="Q639" s="21" t="str">
        <f t="shared" ca="1" si="89"/>
        <v/>
      </c>
      <c r="R639" s="37">
        <f t="shared" ca="1" si="84"/>
        <v>0</v>
      </c>
      <c r="S639" s="4">
        <f ca="1">IFERROR(AVERAGE($R$5:R639),0)</f>
        <v>0</v>
      </c>
      <c r="U639" s="21" t="str">
        <f t="shared" ca="1" si="95"/>
        <v/>
      </c>
      <c r="V639" s="4">
        <f ca="1">MIN(S639,PREMISSAS!$C$14)</f>
        <v>0</v>
      </c>
      <c r="W639" s="188"/>
      <c r="X639" s="188"/>
    </row>
    <row r="640" spans="2:24" x14ac:dyDescent="0.3">
      <c r="B640" s="21" t="str">
        <f t="shared" ca="1" si="86"/>
        <v/>
      </c>
      <c r="C640" s="22" t="str">
        <f ca="1">IF(B640="","",IF(LEFT(B640,2)="13",C639,IF(MONTH(B640)=1,C639*(1+PREMISSAS!$C$58),C639)))</f>
        <v/>
      </c>
      <c r="E640" s="18">
        <v>636</v>
      </c>
      <c r="F640" s="21" t="str">
        <f t="shared" ca="1" si="87"/>
        <v/>
      </c>
      <c r="G640" s="22" t="str">
        <f ca="1">IFERROR(VLOOKUP(F640,RESULTADOS!$O$5:$P$543,2,FALSE),VLOOKUP(F640,$B$5:$C$842,2,FALSE))</f>
        <v/>
      </c>
      <c r="H640" s="4" t="e">
        <f ca="1">IF(F640&lt;PREMISSAS!$D$7,0,IFERROR(VLOOKUP(IF(LEFT(F640,2)="13",DATE(YEAR(F639),12,31),F640),IPCA!$A:$D,4,FALSE),1)*G640)</f>
        <v>#VALUE!</v>
      </c>
      <c r="J640" s="21" t="str">
        <f t="shared" ca="1" si="92"/>
        <v/>
      </c>
      <c r="K640" s="4" t="str">
        <f t="shared" ca="1" si="93"/>
        <v/>
      </c>
      <c r="M640" s="21" t="str">
        <f t="shared" ca="1" si="88"/>
        <v/>
      </c>
      <c r="N640" s="37">
        <f t="shared" ca="1" si="94"/>
        <v>0</v>
      </c>
      <c r="O640" s="4">
        <f ca="1">IFERROR(AVERAGEIF(N$5:$N640,"&gt;="&amp;_xlfn.PERCENTILE.EXC(N$5:$N640,0.2)),0)</f>
        <v>0</v>
      </c>
      <c r="Q640" s="21" t="str">
        <f t="shared" ca="1" si="89"/>
        <v/>
      </c>
      <c r="R640" s="37">
        <f t="shared" ca="1" si="84"/>
        <v>0</v>
      </c>
      <c r="S640" s="4">
        <f ca="1">IFERROR(AVERAGE($R$5:R640),0)</f>
        <v>0</v>
      </c>
      <c r="U640" s="21" t="str">
        <f t="shared" ca="1" si="95"/>
        <v/>
      </c>
      <c r="V640" s="4">
        <f ca="1">MIN(S640,PREMISSAS!$C$14)</f>
        <v>0</v>
      </c>
      <c r="W640" s="188"/>
      <c r="X640" s="188"/>
    </row>
    <row r="641" spans="2:24" x14ac:dyDescent="0.3">
      <c r="B641" s="21" t="str">
        <f t="shared" ca="1" si="86"/>
        <v/>
      </c>
      <c r="C641" s="22" t="str">
        <f ca="1">IF(B641="","",IF(LEFT(B641,2)="13",C640,IF(MONTH(B641)=1,C640*(1+PREMISSAS!$C$58),C640)))</f>
        <v/>
      </c>
      <c r="E641" s="18">
        <v>637</v>
      </c>
      <c r="F641" s="21" t="str">
        <f t="shared" ca="1" si="87"/>
        <v/>
      </c>
      <c r="G641" s="22" t="str">
        <f ca="1">IFERROR(VLOOKUP(F641,RESULTADOS!$O$5:$P$543,2,FALSE),VLOOKUP(F641,$B$5:$C$842,2,FALSE))</f>
        <v/>
      </c>
      <c r="H641" s="4" t="e">
        <f ca="1">IF(F641&lt;PREMISSAS!$D$7,0,IFERROR(VLOOKUP(IF(LEFT(F641,2)="13",DATE(YEAR(F640),12,31),F641),IPCA!$A:$D,4,FALSE),1)*G641)</f>
        <v>#VALUE!</v>
      </c>
      <c r="J641" s="21" t="str">
        <f t="shared" ref="J641:J653" ca="1" si="96">F641</f>
        <v/>
      </c>
      <c r="K641" s="4" t="str">
        <f t="shared" ref="K641:K653" ca="1" si="97">G641</f>
        <v/>
      </c>
      <c r="M641" s="21" t="str">
        <f t="shared" ca="1" si="88"/>
        <v/>
      </c>
      <c r="N641" s="37">
        <f t="shared" ref="N641:N653" ca="1" si="98">IFERROR(VLOOKUP(M641,$F$5:$H$628,3,FALSE),0)</f>
        <v>0</v>
      </c>
      <c r="O641" s="4">
        <f ca="1">IFERROR(AVERAGEIF(N$5:$N641,"&gt;="&amp;_xlfn.PERCENTILE.EXC(N$5:$N641,0.2)),0)</f>
        <v>0</v>
      </c>
      <c r="Q641" s="21" t="str">
        <f t="shared" ca="1" si="89"/>
        <v/>
      </c>
      <c r="R641" s="37">
        <f t="shared" ca="1" si="84"/>
        <v>0</v>
      </c>
      <c r="S641" s="4">
        <f ca="1">IFERROR(AVERAGE($R$5:R641),0)</f>
        <v>0</v>
      </c>
      <c r="U641" s="21" t="str">
        <f t="shared" ref="U641:U653" ca="1" si="99">M641</f>
        <v/>
      </c>
      <c r="V641" s="4">
        <f ca="1">MIN(S641,PREMISSAS!$C$14)</f>
        <v>0</v>
      </c>
      <c r="W641" s="188"/>
      <c r="X641" s="188"/>
    </row>
    <row r="642" spans="2:24" x14ac:dyDescent="0.3">
      <c r="B642" s="21" t="str">
        <f t="shared" ca="1" si="86"/>
        <v/>
      </c>
      <c r="C642" s="22" t="str">
        <f ca="1">IF(B642="","",IF(LEFT(B642,2)="13",C641,IF(MONTH(B642)=1,C641*(1+PREMISSAS!$C$58),C641)))</f>
        <v/>
      </c>
      <c r="E642" s="18">
        <v>638</v>
      </c>
      <c r="F642" s="21" t="str">
        <f t="shared" ca="1" si="87"/>
        <v/>
      </c>
      <c r="G642" s="22" t="str">
        <f ca="1">IFERROR(VLOOKUP(F642,RESULTADOS!$O$5:$P$543,2,FALSE),VLOOKUP(F642,$B$5:$C$842,2,FALSE))</f>
        <v/>
      </c>
      <c r="H642" s="4" t="e">
        <f ca="1">IF(F642&lt;PREMISSAS!$D$7,0,IFERROR(VLOOKUP(IF(LEFT(F642,2)="13",DATE(YEAR(F641),12,31),F642),IPCA!$A:$D,4,FALSE),1)*G642)</f>
        <v>#VALUE!</v>
      </c>
      <c r="J642" s="21" t="str">
        <f t="shared" ca="1" si="96"/>
        <v/>
      </c>
      <c r="K642" s="4" t="str">
        <f t="shared" ca="1" si="97"/>
        <v/>
      </c>
      <c r="M642" s="21" t="str">
        <f t="shared" ca="1" si="88"/>
        <v/>
      </c>
      <c r="N642" s="37">
        <f t="shared" ca="1" si="98"/>
        <v>0</v>
      </c>
      <c r="O642" s="4">
        <f ca="1">IFERROR(AVERAGEIF(N$5:$N642,"&gt;="&amp;_xlfn.PERCENTILE.EXC(N$5:$N642,0.2)),0)</f>
        <v>0</v>
      </c>
      <c r="Q642" s="21" t="str">
        <f t="shared" ca="1" si="89"/>
        <v/>
      </c>
      <c r="R642" s="37">
        <f t="shared" ca="1" si="84"/>
        <v>0</v>
      </c>
      <c r="S642" s="4">
        <f ca="1">IFERROR(AVERAGE($R$5:R642),0)</f>
        <v>0</v>
      </c>
      <c r="U642" s="21" t="str">
        <f t="shared" ca="1" si="99"/>
        <v/>
      </c>
      <c r="V642" s="4">
        <f ca="1">MIN(S642,PREMISSAS!$C$14)</f>
        <v>0</v>
      </c>
      <c r="W642" s="188"/>
      <c r="X642" s="188"/>
    </row>
    <row r="643" spans="2:24" x14ac:dyDescent="0.3">
      <c r="B643" s="21" t="str">
        <f t="shared" ca="1" si="86"/>
        <v/>
      </c>
      <c r="C643" s="22" t="str">
        <f ca="1">IF(B643="","",IF(LEFT(B643,2)="13",C642,IF(MONTH(B643)=1,C642*(1+PREMISSAS!$C$58),C642)))</f>
        <v/>
      </c>
      <c r="E643" s="18">
        <v>639</v>
      </c>
      <c r="F643" s="21" t="str">
        <f t="shared" ca="1" si="87"/>
        <v/>
      </c>
      <c r="G643" s="22" t="str">
        <f ca="1">IFERROR(VLOOKUP(F643,RESULTADOS!$O$5:$P$543,2,FALSE),VLOOKUP(F643,$B$5:$C$842,2,FALSE))</f>
        <v/>
      </c>
      <c r="H643" s="4" t="e">
        <f ca="1">IF(F643&lt;PREMISSAS!$D$7,0,IFERROR(VLOOKUP(IF(LEFT(F643,2)="13",DATE(YEAR(F642),12,31),F643),IPCA!$A:$D,4,FALSE),1)*G643)</f>
        <v>#VALUE!</v>
      </c>
      <c r="J643" s="21" t="str">
        <f t="shared" ca="1" si="96"/>
        <v/>
      </c>
      <c r="K643" s="4" t="str">
        <f t="shared" ca="1" si="97"/>
        <v/>
      </c>
      <c r="M643" s="21" t="str">
        <f t="shared" ca="1" si="88"/>
        <v/>
      </c>
      <c r="N643" s="37">
        <f t="shared" ca="1" si="98"/>
        <v>0</v>
      </c>
      <c r="O643" s="4">
        <f ca="1">IFERROR(AVERAGEIF(N$5:$N643,"&gt;="&amp;_xlfn.PERCENTILE.EXC(N$5:$N643,0.2)),0)</f>
        <v>0</v>
      </c>
      <c r="Q643" s="21" t="str">
        <f t="shared" ca="1" si="89"/>
        <v/>
      </c>
      <c r="R643" s="37">
        <f t="shared" ca="1" si="84"/>
        <v>0</v>
      </c>
      <c r="S643" s="4">
        <f ca="1">IFERROR(AVERAGE($R$5:R643),0)</f>
        <v>0</v>
      </c>
      <c r="U643" s="21" t="str">
        <f t="shared" ca="1" si="99"/>
        <v/>
      </c>
      <c r="V643" s="4">
        <f ca="1">MIN(S643,PREMISSAS!$C$14)</f>
        <v>0</v>
      </c>
      <c r="W643" s="188"/>
      <c r="X643" s="188"/>
    </row>
    <row r="644" spans="2:24" x14ac:dyDescent="0.3">
      <c r="B644" s="21" t="str">
        <f t="shared" ca="1" si="86"/>
        <v/>
      </c>
      <c r="C644" s="22" t="str">
        <f ca="1">IF(B644="","",IF(LEFT(B644,2)="13",C643,IF(MONTH(B644)=1,C643*(1+PREMISSAS!$C$58),C643)))</f>
        <v/>
      </c>
      <c r="E644" s="18">
        <v>640</v>
      </c>
      <c r="F644" s="21" t="str">
        <f t="shared" ca="1" si="87"/>
        <v/>
      </c>
      <c r="G644" s="22" t="str">
        <f ca="1">IFERROR(VLOOKUP(F644,RESULTADOS!$O$5:$P$543,2,FALSE),VLOOKUP(F644,$B$5:$C$842,2,FALSE))</f>
        <v/>
      </c>
      <c r="H644" s="4" t="e">
        <f ca="1">IF(F644&lt;PREMISSAS!$D$7,0,IFERROR(VLOOKUP(IF(LEFT(F644,2)="13",DATE(YEAR(F643),12,31),F644),IPCA!$A:$D,4,FALSE),1)*G644)</f>
        <v>#VALUE!</v>
      </c>
      <c r="J644" s="21" t="str">
        <f t="shared" ca="1" si="96"/>
        <v/>
      </c>
      <c r="K644" s="4" t="str">
        <f t="shared" ca="1" si="97"/>
        <v/>
      </c>
      <c r="M644" s="21" t="str">
        <f t="shared" ca="1" si="88"/>
        <v/>
      </c>
      <c r="N644" s="37">
        <f t="shared" ca="1" si="98"/>
        <v>0</v>
      </c>
      <c r="O644" s="4">
        <f ca="1">IFERROR(AVERAGEIF(N$5:$N644,"&gt;="&amp;_xlfn.PERCENTILE.EXC(N$5:$N644,0.2)),0)</f>
        <v>0</v>
      </c>
      <c r="Q644" s="21" t="str">
        <f t="shared" ca="1" si="89"/>
        <v/>
      </c>
      <c r="R644" s="37">
        <f t="shared" ca="1" si="84"/>
        <v>0</v>
      </c>
      <c r="S644" s="4">
        <f ca="1">IFERROR(AVERAGE($R$5:R644),0)</f>
        <v>0</v>
      </c>
      <c r="U644" s="21" t="str">
        <f t="shared" ca="1" si="99"/>
        <v/>
      </c>
      <c r="V644" s="4">
        <f ca="1">MIN(S644,PREMISSAS!$C$14)</f>
        <v>0</v>
      </c>
      <c r="W644" s="188"/>
      <c r="X644" s="188"/>
    </row>
    <row r="645" spans="2:24" x14ac:dyDescent="0.3">
      <c r="B645" s="21" t="str">
        <f t="shared" ca="1" si="86"/>
        <v/>
      </c>
      <c r="C645" s="22" t="str">
        <f ca="1">IF(B645="","",IF(LEFT(B645,2)="13",C644,IF(MONTH(B645)=1,C644*(1+PREMISSAS!$C$58),C644)))</f>
        <v/>
      </c>
      <c r="E645" s="18">
        <v>641</v>
      </c>
      <c r="F645" s="21" t="str">
        <f t="shared" ca="1" si="87"/>
        <v/>
      </c>
      <c r="G645" s="22" t="str">
        <f ca="1">IFERROR(VLOOKUP(F645,RESULTADOS!$O$5:$P$543,2,FALSE),VLOOKUP(F645,$B$5:$C$842,2,FALSE))</f>
        <v/>
      </c>
      <c r="H645" s="4" t="e">
        <f ca="1">IF(F645&lt;PREMISSAS!$D$7,0,IFERROR(VLOOKUP(IF(LEFT(F645,2)="13",DATE(YEAR(F644),12,31),F645),IPCA!$A:$D,4,FALSE),1)*G645)</f>
        <v>#VALUE!</v>
      </c>
      <c r="J645" s="21" t="str">
        <f t="shared" ca="1" si="96"/>
        <v/>
      </c>
      <c r="K645" s="4" t="str">
        <f t="shared" ca="1" si="97"/>
        <v/>
      </c>
      <c r="M645" s="21" t="str">
        <f t="shared" ca="1" si="88"/>
        <v/>
      </c>
      <c r="N645" s="37">
        <f t="shared" ca="1" si="98"/>
        <v>0</v>
      </c>
      <c r="O645" s="4">
        <f ca="1">IFERROR(AVERAGEIF(N$5:$N645,"&gt;="&amp;_xlfn.PERCENTILE.EXC(N$5:$N645,0.2)),0)</f>
        <v>0</v>
      </c>
      <c r="Q645" s="21" t="str">
        <f t="shared" ca="1" si="89"/>
        <v/>
      </c>
      <c r="R645" s="37">
        <f t="shared" ca="1" si="84"/>
        <v>0</v>
      </c>
      <c r="S645" s="4">
        <f ca="1">IFERROR(AVERAGE($R$5:R645),0)</f>
        <v>0</v>
      </c>
      <c r="U645" s="21" t="str">
        <f t="shared" ca="1" si="99"/>
        <v/>
      </c>
      <c r="V645" s="4">
        <f ca="1">MIN(S645,PREMISSAS!$C$14)</f>
        <v>0</v>
      </c>
      <c r="W645" s="188"/>
      <c r="X645" s="188"/>
    </row>
    <row r="646" spans="2:24" x14ac:dyDescent="0.3">
      <c r="B646" s="21" t="str">
        <f t="shared" ca="1" si="86"/>
        <v/>
      </c>
      <c r="C646" s="22" t="str">
        <f ca="1">IF(B646="","",IF(LEFT(B646,2)="13",C645,IF(MONTH(B646)=1,C645*(1+PREMISSAS!$C$58),C645)))</f>
        <v/>
      </c>
      <c r="E646" s="18">
        <v>642</v>
      </c>
      <c r="F646" s="21" t="str">
        <f t="shared" ca="1" si="87"/>
        <v/>
      </c>
      <c r="G646" s="22" t="str">
        <f ca="1">IFERROR(VLOOKUP(F646,RESULTADOS!$O$5:$P$543,2,FALSE),VLOOKUP(F646,$B$5:$C$842,2,FALSE))</f>
        <v/>
      </c>
      <c r="H646" s="4" t="e">
        <f ca="1">IF(F646&lt;PREMISSAS!$D$7,0,IFERROR(VLOOKUP(IF(LEFT(F646,2)="13",DATE(YEAR(F645),12,31),F646),IPCA!$A:$D,4,FALSE),1)*G646)</f>
        <v>#VALUE!</v>
      </c>
      <c r="J646" s="21" t="str">
        <f t="shared" ca="1" si="96"/>
        <v/>
      </c>
      <c r="K646" s="4" t="str">
        <f t="shared" ca="1" si="97"/>
        <v/>
      </c>
      <c r="M646" s="21" t="str">
        <f t="shared" ca="1" si="88"/>
        <v/>
      </c>
      <c r="N646" s="37">
        <f t="shared" ca="1" si="98"/>
        <v>0</v>
      </c>
      <c r="O646" s="4">
        <f ca="1">IFERROR(AVERAGEIF(N$5:$N646,"&gt;="&amp;_xlfn.PERCENTILE.EXC(N$5:$N646,0.2)),0)</f>
        <v>0</v>
      </c>
      <c r="Q646" s="21" t="str">
        <f t="shared" ca="1" si="89"/>
        <v/>
      </c>
      <c r="R646" s="37">
        <f t="shared" ref="R646:R709" ca="1" si="100">IFERROR(VLOOKUP(Q646,$F$5:$H$628,3,FALSE),0)</f>
        <v>0</v>
      </c>
      <c r="S646" s="4">
        <f ca="1">IFERROR(AVERAGE($R$5:R646),0)</f>
        <v>0</v>
      </c>
      <c r="U646" s="21" t="str">
        <f t="shared" ca="1" si="99"/>
        <v/>
      </c>
      <c r="V646" s="4">
        <f ca="1">MIN(S646,PREMISSAS!$C$14)</f>
        <v>0</v>
      </c>
      <c r="W646" s="188"/>
      <c r="X646" s="188"/>
    </row>
    <row r="647" spans="2:24" x14ac:dyDescent="0.3">
      <c r="B647" s="21" t="str">
        <f t="shared" ref="B647:B710" ca="1" si="101">IFERROR(IF(LEFT(B646,2)="13",DATE(RIGHT(B646,4),12,31),IF(EOMONTH(B646,0)&gt;$F$1,"",IF(MONTH(B646)=11,"13º "&amp;YEAR(B646),EOMONTH(B646,1)))),"")</f>
        <v/>
      </c>
      <c r="C647" s="22" t="str">
        <f ca="1">IF(B647="","",IF(LEFT(B647,2)="13",C646,IF(MONTH(B647)=1,C646*(1+PREMISSAS!$C$58),C646)))</f>
        <v/>
      </c>
      <c r="E647" s="18">
        <v>643</v>
      </c>
      <c r="F647" s="21" t="str">
        <f t="shared" ref="F647:F710" ca="1" si="102">IFERROR(IF(LEFT(F646,2)="13",DATE(RIGHT(F646,4),12,31),IF(EOMONTH(F646,0)&gt;$F$1,"",IF(MONTH(F646)=11,"13º "&amp;YEAR(F646),EOMONTH(F646,1)))),"")</f>
        <v/>
      </c>
      <c r="G647" s="22" t="str">
        <f ca="1">IFERROR(VLOOKUP(F647,RESULTADOS!$O$5:$P$543,2,FALSE),VLOOKUP(F647,$B$5:$C$842,2,FALSE))</f>
        <v/>
      </c>
      <c r="H647" s="4" t="e">
        <f ca="1">IF(F647&lt;PREMISSAS!$D$7,0,IFERROR(VLOOKUP(IF(LEFT(F647,2)="13",DATE(YEAR(F646),12,31),F647),IPCA!$A:$D,4,FALSE),1)*G647)</f>
        <v>#VALUE!</v>
      </c>
      <c r="J647" s="21" t="str">
        <f t="shared" ca="1" si="96"/>
        <v/>
      </c>
      <c r="K647" s="4" t="str">
        <f t="shared" ca="1" si="97"/>
        <v/>
      </c>
      <c r="M647" s="21" t="str">
        <f t="shared" ref="M647:M710" ca="1" si="103">IFERROR(IF(LEFT(M646,2)="13",DATE(RIGHT(M646,4),12,31),IF(EOMONTH(M646,0)&gt;$F$1,"",IF(MONTH(M646)=11,"13º "&amp;YEAR(M646),EOMONTH(M646,1)))),"")</f>
        <v/>
      </c>
      <c r="N647" s="37">
        <f t="shared" ca="1" si="98"/>
        <v>0</v>
      </c>
      <c r="O647" s="4">
        <f ca="1">IFERROR(AVERAGEIF(N$5:$N647,"&gt;="&amp;_xlfn.PERCENTILE.EXC(N$5:$N647,0.2)),0)</f>
        <v>0</v>
      </c>
      <c r="Q647" s="21" t="str">
        <f t="shared" ref="Q647:Q710" ca="1" si="104">IFERROR(IF(LEFT(Q646,2)="13",DATE(RIGHT(Q646,4),12,31),IF(EOMONTH(Q646,0)&gt;$F$1,"",IF(MONTH(Q646)=11,"13º "&amp;YEAR(Q646),EOMONTH(Q646,1)))),"")</f>
        <v/>
      </c>
      <c r="R647" s="37">
        <f t="shared" ca="1" si="100"/>
        <v>0</v>
      </c>
      <c r="S647" s="4">
        <f ca="1">IFERROR(AVERAGE($R$5:R647),0)</f>
        <v>0</v>
      </c>
      <c r="U647" s="21" t="str">
        <f t="shared" ca="1" si="99"/>
        <v/>
      </c>
      <c r="V647" s="4">
        <f ca="1">MIN(S647,PREMISSAS!$C$14)</f>
        <v>0</v>
      </c>
      <c r="W647" s="188"/>
      <c r="X647" s="188"/>
    </row>
    <row r="648" spans="2:24" x14ac:dyDescent="0.3">
      <c r="B648" s="21" t="str">
        <f t="shared" ca="1" si="101"/>
        <v/>
      </c>
      <c r="C648" s="22" t="str">
        <f ca="1">IF(B648="","",IF(LEFT(B648,2)="13",C647,IF(MONTH(B648)=1,C647*(1+PREMISSAS!$C$58),C647)))</f>
        <v/>
      </c>
      <c r="E648" s="18">
        <v>644</v>
      </c>
      <c r="F648" s="21" t="str">
        <f t="shared" ca="1" si="102"/>
        <v/>
      </c>
      <c r="G648" s="22" t="str">
        <f ca="1">IFERROR(VLOOKUP(F648,RESULTADOS!$O$5:$P$543,2,FALSE),VLOOKUP(F648,$B$5:$C$842,2,FALSE))</f>
        <v/>
      </c>
      <c r="H648" s="4" t="e">
        <f ca="1">IF(F648&lt;PREMISSAS!$D$7,0,IFERROR(VLOOKUP(IF(LEFT(F648,2)="13",DATE(YEAR(F647),12,31),F648),IPCA!$A:$D,4,FALSE),1)*G648)</f>
        <v>#VALUE!</v>
      </c>
      <c r="J648" s="21" t="str">
        <f t="shared" ca="1" si="96"/>
        <v/>
      </c>
      <c r="K648" s="4" t="str">
        <f t="shared" ca="1" si="97"/>
        <v/>
      </c>
      <c r="M648" s="21" t="str">
        <f t="shared" ca="1" si="103"/>
        <v/>
      </c>
      <c r="N648" s="37">
        <f t="shared" ca="1" si="98"/>
        <v>0</v>
      </c>
      <c r="O648" s="4">
        <f ca="1">IFERROR(AVERAGEIF(N$5:$N648,"&gt;="&amp;_xlfn.PERCENTILE.EXC(N$5:$N648,0.2)),0)</f>
        <v>0</v>
      </c>
      <c r="Q648" s="21" t="str">
        <f t="shared" ca="1" si="104"/>
        <v/>
      </c>
      <c r="R648" s="37">
        <f t="shared" ca="1" si="100"/>
        <v>0</v>
      </c>
      <c r="S648" s="4">
        <f ca="1">IFERROR(AVERAGE($R$5:R648),0)</f>
        <v>0</v>
      </c>
      <c r="U648" s="21" t="str">
        <f t="shared" ca="1" si="99"/>
        <v/>
      </c>
      <c r="V648" s="4">
        <f ca="1">MIN(S648,PREMISSAS!$C$14)</f>
        <v>0</v>
      </c>
      <c r="W648" s="188"/>
      <c r="X648" s="188"/>
    </row>
    <row r="649" spans="2:24" x14ac:dyDescent="0.3">
      <c r="B649" s="21" t="str">
        <f t="shared" ca="1" si="101"/>
        <v/>
      </c>
      <c r="C649" s="22" t="str">
        <f ca="1">IF(B649="","",IF(LEFT(B649,2)="13",C648,IF(MONTH(B649)=1,C648*(1+PREMISSAS!$C$58),C648)))</f>
        <v/>
      </c>
      <c r="E649" s="18">
        <v>645</v>
      </c>
      <c r="F649" s="21" t="str">
        <f t="shared" ca="1" si="102"/>
        <v/>
      </c>
      <c r="G649" s="22" t="str">
        <f ca="1">IFERROR(VLOOKUP(F649,RESULTADOS!$O$5:$P$543,2,FALSE),VLOOKUP(F649,$B$5:$C$842,2,FALSE))</f>
        <v/>
      </c>
      <c r="H649" s="4" t="e">
        <f ca="1">IF(F649&lt;PREMISSAS!$D$7,0,IFERROR(VLOOKUP(IF(LEFT(F649,2)="13",DATE(YEAR(F648),12,31),F649),IPCA!$A:$D,4,FALSE),1)*G649)</f>
        <v>#VALUE!</v>
      </c>
      <c r="J649" s="21" t="str">
        <f t="shared" ca="1" si="96"/>
        <v/>
      </c>
      <c r="K649" s="4" t="str">
        <f t="shared" ca="1" si="97"/>
        <v/>
      </c>
      <c r="M649" s="21" t="str">
        <f t="shared" ca="1" si="103"/>
        <v/>
      </c>
      <c r="N649" s="37">
        <f t="shared" ca="1" si="98"/>
        <v>0</v>
      </c>
      <c r="O649" s="4">
        <f ca="1">IFERROR(AVERAGEIF(N$5:$N649,"&gt;="&amp;_xlfn.PERCENTILE.EXC(N$5:$N649,0.2)),0)</f>
        <v>0</v>
      </c>
      <c r="Q649" s="21" t="str">
        <f t="shared" ca="1" si="104"/>
        <v/>
      </c>
      <c r="R649" s="37">
        <f t="shared" ca="1" si="100"/>
        <v>0</v>
      </c>
      <c r="S649" s="4">
        <f ca="1">IFERROR(AVERAGE($R$5:R649),0)</f>
        <v>0</v>
      </c>
      <c r="U649" s="21" t="str">
        <f t="shared" ca="1" si="99"/>
        <v/>
      </c>
      <c r="V649" s="4">
        <f ca="1">MIN(S649,PREMISSAS!$C$14)</f>
        <v>0</v>
      </c>
      <c r="W649" s="188"/>
      <c r="X649" s="188"/>
    </row>
    <row r="650" spans="2:24" x14ac:dyDescent="0.3">
      <c r="B650" s="21" t="str">
        <f t="shared" ca="1" si="101"/>
        <v/>
      </c>
      <c r="C650" s="22" t="str">
        <f ca="1">IF(B650="","",IF(LEFT(B650,2)="13",C649,IF(MONTH(B650)=1,C649*(1+PREMISSAS!$C$58),C649)))</f>
        <v/>
      </c>
      <c r="E650" s="18">
        <v>646</v>
      </c>
      <c r="F650" s="21" t="str">
        <f t="shared" ca="1" si="102"/>
        <v/>
      </c>
      <c r="G650" s="22" t="str">
        <f ca="1">IFERROR(VLOOKUP(F650,RESULTADOS!$O$5:$P$543,2,FALSE),VLOOKUP(F650,$B$5:$C$842,2,FALSE))</f>
        <v/>
      </c>
      <c r="H650" s="4" t="e">
        <f ca="1">IF(F650&lt;PREMISSAS!$D$7,0,IFERROR(VLOOKUP(IF(LEFT(F650,2)="13",DATE(YEAR(F649),12,31),F650),IPCA!$A:$D,4,FALSE),1)*G650)</f>
        <v>#VALUE!</v>
      </c>
      <c r="J650" s="21" t="str">
        <f t="shared" ca="1" si="96"/>
        <v/>
      </c>
      <c r="K650" s="4" t="str">
        <f t="shared" ca="1" si="97"/>
        <v/>
      </c>
      <c r="M650" s="21" t="str">
        <f t="shared" ca="1" si="103"/>
        <v/>
      </c>
      <c r="N650" s="37">
        <f t="shared" ca="1" si="98"/>
        <v>0</v>
      </c>
      <c r="O650" s="4">
        <f ca="1">IFERROR(AVERAGEIF(N$5:$N650,"&gt;="&amp;_xlfn.PERCENTILE.EXC(N$5:$N650,0.2)),0)</f>
        <v>0</v>
      </c>
      <c r="Q650" s="21" t="str">
        <f t="shared" ca="1" si="104"/>
        <v/>
      </c>
      <c r="R650" s="37">
        <f t="shared" ca="1" si="100"/>
        <v>0</v>
      </c>
      <c r="S650" s="4">
        <f ca="1">IFERROR(AVERAGE($R$5:R650),0)</f>
        <v>0</v>
      </c>
      <c r="U650" s="21" t="str">
        <f t="shared" ca="1" si="99"/>
        <v/>
      </c>
      <c r="V650" s="4">
        <f ca="1">MIN(S650,PREMISSAS!$C$14)</f>
        <v>0</v>
      </c>
      <c r="W650" s="188"/>
      <c r="X650" s="188"/>
    </row>
    <row r="651" spans="2:24" x14ac:dyDescent="0.3">
      <c r="B651" s="21" t="str">
        <f t="shared" ca="1" si="101"/>
        <v/>
      </c>
      <c r="C651" s="22" t="str">
        <f ca="1">IF(B651="","",IF(LEFT(B651,2)="13",C650,IF(MONTH(B651)=1,C650*(1+PREMISSAS!$C$58),C650)))</f>
        <v/>
      </c>
      <c r="E651" s="18">
        <v>647</v>
      </c>
      <c r="F651" s="21" t="str">
        <f t="shared" ca="1" si="102"/>
        <v/>
      </c>
      <c r="G651" s="22" t="str">
        <f ca="1">IFERROR(VLOOKUP(F651,RESULTADOS!$O$5:$P$543,2,FALSE),VLOOKUP(F651,$B$5:$C$842,2,FALSE))</f>
        <v/>
      </c>
      <c r="H651" s="4" t="e">
        <f ca="1">IF(F651&lt;PREMISSAS!$D$7,0,IFERROR(VLOOKUP(IF(LEFT(F651,2)="13",DATE(YEAR(F650),12,31),F651),IPCA!$A:$D,4,FALSE),1)*G651)</f>
        <v>#VALUE!</v>
      </c>
      <c r="J651" s="21" t="str">
        <f t="shared" ca="1" si="96"/>
        <v/>
      </c>
      <c r="K651" s="4" t="str">
        <f t="shared" ca="1" si="97"/>
        <v/>
      </c>
      <c r="M651" s="21" t="str">
        <f t="shared" ca="1" si="103"/>
        <v/>
      </c>
      <c r="N651" s="37">
        <f t="shared" ca="1" si="98"/>
        <v>0</v>
      </c>
      <c r="O651" s="4">
        <f ca="1">IFERROR(AVERAGEIF(N$5:$N651,"&gt;="&amp;_xlfn.PERCENTILE.EXC(N$5:$N651,0.2)),0)</f>
        <v>0</v>
      </c>
      <c r="Q651" s="21" t="str">
        <f t="shared" ca="1" si="104"/>
        <v/>
      </c>
      <c r="R651" s="37">
        <f t="shared" ca="1" si="100"/>
        <v>0</v>
      </c>
      <c r="S651" s="4">
        <f ca="1">IFERROR(AVERAGE($R$5:R651),0)</f>
        <v>0</v>
      </c>
      <c r="U651" s="21" t="str">
        <f t="shared" ca="1" si="99"/>
        <v/>
      </c>
      <c r="V651" s="4">
        <f ca="1">MIN(S651,PREMISSAS!$C$14)</f>
        <v>0</v>
      </c>
      <c r="W651" s="188"/>
      <c r="X651" s="188"/>
    </row>
    <row r="652" spans="2:24" x14ac:dyDescent="0.3">
      <c r="B652" s="21" t="str">
        <f t="shared" ca="1" si="101"/>
        <v/>
      </c>
      <c r="C652" s="22" t="str">
        <f ca="1">IF(B652="","",IF(LEFT(B652,2)="13",C651,IF(MONTH(B652)=1,C651*(1+PREMISSAS!$C$58),C651)))</f>
        <v/>
      </c>
      <c r="E652" s="18">
        <v>648</v>
      </c>
      <c r="F652" s="21" t="str">
        <f t="shared" ca="1" si="102"/>
        <v/>
      </c>
      <c r="G652" s="22" t="str">
        <f ca="1">IFERROR(VLOOKUP(F652,RESULTADOS!$O$5:$P$543,2,FALSE),VLOOKUP(F652,$B$5:$C$842,2,FALSE))</f>
        <v/>
      </c>
      <c r="H652" s="4" t="e">
        <f ca="1">IF(F652&lt;PREMISSAS!$D$7,0,IFERROR(VLOOKUP(IF(LEFT(F652,2)="13",DATE(YEAR(F651),12,31),F652),IPCA!$A:$D,4,FALSE),1)*G652)</f>
        <v>#VALUE!</v>
      </c>
      <c r="J652" s="21" t="str">
        <f t="shared" ca="1" si="96"/>
        <v/>
      </c>
      <c r="K652" s="4" t="str">
        <f t="shared" ca="1" si="97"/>
        <v/>
      </c>
      <c r="M652" s="21" t="str">
        <f t="shared" ca="1" si="103"/>
        <v/>
      </c>
      <c r="N652" s="37">
        <f t="shared" ca="1" si="98"/>
        <v>0</v>
      </c>
      <c r="O652" s="4">
        <f ca="1">IFERROR(AVERAGEIF(N$5:$N652,"&gt;="&amp;_xlfn.PERCENTILE.EXC(N$5:$N652,0.2)),0)</f>
        <v>0</v>
      </c>
      <c r="Q652" s="21" t="str">
        <f t="shared" ca="1" si="104"/>
        <v/>
      </c>
      <c r="R652" s="37">
        <f t="shared" ca="1" si="100"/>
        <v>0</v>
      </c>
      <c r="S652" s="4">
        <f ca="1">IFERROR(AVERAGE($R$5:R652),0)</f>
        <v>0</v>
      </c>
      <c r="U652" s="21" t="str">
        <f t="shared" ca="1" si="99"/>
        <v/>
      </c>
      <c r="V652" s="4">
        <f ca="1">MIN(S652,PREMISSAS!$C$14)</f>
        <v>0</v>
      </c>
      <c r="W652" s="188"/>
      <c r="X652" s="188"/>
    </row>
    <row r="653" spans="2:24" x14ac:dyDescent="0.3">
      <c r="B653" s="21" t="str">
        <f t="shared" ca="1" si="101"/>
        <v/>
      </c>
      <c r="C653" s="22" t="str">
        <f ca="1">IF(B653="","",IF(LEFT(B653,2)="13",C652,IF(MONTH(B653)=1,C652*(1+PREMISSAS!$C$58),C652)))</f>
        <v/>
      </c>
      <c r="E653" s="18">
        <v>649</v>
      </c>
      <c r="F653" s="21" t="str">
        <f t="shared" ca="1" si="102"/>
        <v/>
      </c>
      <c r="G653" s="22" t="str">
        <f ca="1">IFERROR(VLOOKUP(F653,RESULTADOS!$O$5:$P$543,2,FALSE),VLOOKUP(F653,$B$5:$C$842,2,FALSE))</f>
        <v/>
      </c>
      <c r="H653" s="4" t="e">
        <f ca="1">IF(F653&lt;PREMISSAS!$D$7,0,IFERROR(VLOOKUP(IF(LEFT(F653,2)="13",DATE(YEAR(F652),12,31),F653),IPCA!$A:$D,4,FALSE),1)*G653)</f>
        <v>#VALUE!</v>
      </c>
      <c r="J653" s="21" t="str">
        <f t="shared" ca="1" si="96"/>
        <v/>
      </c>
      <c r="K653" s="4" t="str">
        <f t="shared" ca="1" si="97"/>
        <v/>
      </c>
      <c r="M653" s="21" t="str">
        <f t="shared" ca="1" si="103"/>
        <v/>
      </c>
      <c r="N653" s="37">
        <f t="shared" ca="1" si="98"/>
        <v>0</v>
      </c>
      <c r="O653" s="4">
        <f ca="1">IFERROR(AVERAGEIF(N$5:$N653,"&gt;="&amp;_xlfn.PERCENTILE.EXC(N$5:$N653,0.2)),0)</f>
        <v>0</v>
      </c>
      <c r="Q653" s="21" t="str">
        <f t="shared" ca="1" si="104"/>
        <v/>
      </c>
      <c r="R653" s="37">
        <f t="shared" ca="1" si="100"/>
        <v>0</v>
      </c>
      <c r="S653" s="4">
        <f ca="1">IFERROR(AVERAGE($R$5:R653),0)</f>
        <v>0</v>
      </c>
      <c r="U653" s="21" t="str">
        <f t="shared" ca="1" si="99"/>
        <v/>
      </c>
      <c r="V653" s="4">
        <f ca="1">MIN(S653,PREMISSAS!$C$14)</f>
        <v>0</v>
      </c>
      <c r="W653" s="188"/>
      <c r="X653" s="188"/>
    </row>
    <row r="654" spans="2:24" x14ac:dyDescent="0.3">
      <c r="B654" s="21" t="str">
        <f t="shared" ca="1" si="101"/>
        <v/>
      </c>
      <c r="C654" s="22" t="str">
        <f ca="1">IF(B654="","",IF(LEFT(B654,2)="13",C653,IF(MONTH(B654)=1,C653*(1+PREMISSAS!$C$58),C653)))</f>
        <v/>
      </c>
      <c r="E654" s="18">
        <v>650</v>
      </c>
      <c r="F654" s="21" t="str">
        <f t="shared" ca="1" si="102"/>
        <v/>
      </c>
      <c r="G654" s="22" t="str">
        <f ca="1">IFERROR(VLOOKUP(F654,RESULTADOS!$O$5:$P$543,2,FALSE),VLOOKUP(F654,$B$5:$C$842,2,FALSE))</f>
        <v/>
      </c>
      <c r="H654" s="4" t="e">
        <f ca="1">IF(F654&lt;PREMISSAS!$D$7,0,IFERROR(VLOOKUP(IF(LEFT(F654,2)="13",DATE(YEAR(F653),12,31),F654),IPCA!$A:$D,4,FALSE),1)*G654)</f>
        <v>#VALUE!</v>
      </c>
      <c r="J654" s="21" t="str">
        <f t="shared" ref="J654:K658" ca="1" si="105">F654</f>
        <v/>
      </c>
      <c r="K654" s="4" t="str">
        <f t="shared" ca="1" si="105"/>
        <v/>
      </c>
      <c r="M654" s="21" t="str">
        <f t="shared" ca="1" si="103"/>
        <v/>
      </c>
      <c r="N654" s="37">
        <f ca="1">IFERROR(VLOOKUP(M654,$F$5:$H$628,3,FALSE),0)</f>
        <v>0</v>
      </c>
      <c r="O654" s="4">
        <f ca="1">IFERROR(AVERAGEIF(N$5:$N654,"&gt;="&amp;_xlfn.PERCENTILE.EXC(N$5:$N654,0.2)),0)</f>
        <v>0</v>
      </c>
      <c r="Q654" s="21" t="str">
        <f t="shared" ca="1" si="104"/>
        <v/>
      </c>
      <c r="R654" s="37">
        <f t="shared" ca="1" si="100"/>
        <v>0</v>
      </c>
      <c r="S654" s="4">
        <f ca="1">IFERROR(AVERAGE($R$5:R654),0)</f>
        <v>0</v>
      </c>
      <c r="U654" s="21" t="str">
        <f ca="1">M654</f>
        <v/>
      </c>
      <c r="V654" s="4">
        <f ca="1">MIN(S654,PREMISSAS!$C$14)</f>
        <v>0</v>
      </c>
      <c r="W654" s="188"/>
      <c r="X654" s="188"/>
    </row>
    <row r="655" spans="2:24" x14ac:dyDescent="0.3">
      <c r="B655" s="21" t="str">
        <f t="shared" ca="1" si="101"/>
        <v/>
      </c>
      <c r="C655" s="22" t="str">
        <f ca="1">IF(B655="","",IF(LEFT(B655,2)="13",C654,IF(MONTH(B655)=1,C654*(1+PREMISSAS!$C$58),C654)))</f>
        <v/>
      </c>
      <c r="E655" s="18">
        <v>651</v>
      </c>
      <c r="F655" s="21" t="str">
        <f t="shared" ca="1" si="102"/>
        <v/>
      </c>
      <c r="G655" s="22" t="str">
        <f ca="1">IFERROR(VLOOKUP(F655,RESULTADOS!$O$5:$P$543,2,FALSE),VLOOKUP(F655,$B$5:$C$842,2,FALSE))</f>
        <v/>
      </c>
      <c r="H655" s="4" t="e">
        <f ca="1">IF(F655&lt;PREMISSAS!$D$7,0,IFERROR(VLOOKUP(IF(LEFT(F655,2)="13",DATE(YEAR(F654),12,31),F655),IPCA!$A:$D,4,FALSE),1)*G655)</f>
        <v>#VALUE!</v>
      </c>
      <c r="J655" s="21" t="str">
        <f t="shared" ca="1" si="105"/>
        <v/>
      </c>
      <c r="K655" s="4" t="str">
        <f t="shared" ca="1" si="105"/>
        <v/>
      </c>
      <c r="M655" s="21" t="str">
        <f t="shared" ca="1" si="103"/>
        <v/>
      </c>
      <c r="N655" s="37">
        <f ca="1">IFERROR(VLOOKUP(M655,$F$5:$H$628,3,FALSE),0)</f>
        <v>0</v>
      </c>
      <c r="O655" s="4">
        <f ca="1">IFERROR(AVERAGEIF(N$5:$N655,"&gt;="&amp;_xlfn.PERCENTILE.EXC(N$5:$N655,0.2)),0)</f>
        <v>0</v>
      </c>
      <c r="Q655" s="21" t="str">
        <f t="shared" ca="1" si="104"/>
        <v/>
      </c>
      <c r="R655" s="37">
        <f t="shared" ca="1" si="100"/>
        <v>0</v>
      </c>
      <c r="S655" s="4">
        <f ca="1">IFERROR(AVERAGE($R$5:R655),0)</f>
        <v>0</v>
      </c>
      <c r="U655" s="21" t="str">
        <f ca="1">M655</f>
        <v/>
      </c>
      <c r="V655" s="4">
        <f ca="1">MIN(S655,PREMISSAS!$C$14)</f>
        <v>0</v>
      </c>
      <c r="W655" s="188"/>
      <c r="X655" s="188"/>
    </row>
    <row r="656" spans="2:24" x14ac:dyDescent="0.3">
      <c r="B656" s="21" t="str">
        <f t="shared" ca="1" si="101"/>
        <v/>
      </c>
      <c r="C656" s="22" t="str">
        <f ca="1">IF(B656="","",IF(LEFT(B656,2)="13",C655,IF(MONTH(B656)=1,C655*(1+PREMISSAS!$C$58),C655)))</f>
        <v/>
      </c>
      <c r="E656" s="18">
        <v>652</v>
      </c>
      <c r="F656" s="21" t="str">
        <f t="shared" ca="1" si="102"/>
        <v/>
      </c>
      <c r="G656" s="22" t="str">
        <f ca="1">IFERROR(VLOOKUP(F656,RESULTADOS!$O$5:$P$543,2,FALSE),VLOOKUP(F656,$B$5:$C$842,2,FALSE))</f>
        <v/>
      </c>
      <c r="H656" s="4" t="e">
        <f ca="1">IF(F656&lt;PREMISSAS!$D$7,0,IFERROR(VLOOKUP(IF(LEFT(F656,2)="13",DATE(YEAR(F655),12,31),F656),IPCA!$A:$D,4,FALSE),1)*G656)</f>
        <v>#VALUE!</v>
      </c>
      <c r="J656" s="21" t="str">
        <f t="shared" ca="1" si="105"/>
        <v/>
      </c>
      <c r="K656" s="4" t="str">
        <f t="shared" ca="1" si="105"/>
        <v/>
      </c>
      <c r="M656" s="21" t="str">
        <f t="shared" ca="1" si="103"/>
        <v/>
      </c>
      <c r="N656" s="37">
        <f ca="1">IFERROR(VLOOKUP(M656,$F$5:$H$628,3,FALSE),0)</f>
        <v>0</v>
      </c>
      <c r="O656" s="4">
        <f ca="1">IFERROR(AVERAGEIF(N$5:$N656,"&gt;="&amp;_xlfn.PERCENTILE.EXC(N$5:$N656,0.2)),0)</f>
        <v>0</v>
      </c>
      <c r="Q656" s="21" t="str">
        <f t="shared" ca="1" si="104"/>
        <v/>
      </c>
      <c r="R656" s="37">
        <f t="shared" ca="1" si="100"/>
        <v>0</v>
      </c>
      <c r="S656" s="4">
        <f ca="1">IFERROR(AVERAGE($R$5:R656),0)</f>
        <v>0</v>
      </c>
      <c r="U656" s="21" t="str">
        <f ca="1">M656</f>
        <v/>
      </c>
      <c r="V656" s="4">
        <f ca="1">MIN(S656,PREMISSAS!$C$14)</f>
        <v>0</v>
      </c>
      <c r="W656" s="188"/>
      <c r="X656" s="188"/>
    </row>
    <row r="657" spans="2:24" x14ac:dyDescent="0.3">
      <c r="B657" s="21" t="str">
        <f t="shared" ca="1" si="101"/>
        <v/>
      </c>
      <c r="C657" s="22" t="str">
        <f ca="1">IF(B657="","",IF(LEFT(B657,2)="13",C656,IF(MONTH(B657)=1,C656*(1+PREMISSAS!$C$58),C656)))</f>
        <v/>
      </c>
      <c r="E657" s="18">
        <v>653</v>
      </c>
      <c r="F657" s="21" t="str">
        <f t="shared" ca="1" si="102"/>
        <v/>
      </c>
      <c r="G657" s="22" t="str">
        <f ca="1">IFERROR(VLOOKUP(F657,RESULTADOS!$O$5:$P$543,2,FALSE),VLOOKUP(F657,$B$5:$C$842,2,FALSE))</f>
        <v/>
      </c>
      <c r="H657" s="4" t="e">
        <f ca="1">IF(F657&lt;PREMISSAS!$D$7,0,IFERROR(VLOOKUP(IF(LEFT(F657,2)="13",DATE(YEAR(F656),12,31),F657),IPCA!$A:$D,4,FALSE),1)*G657)</f>
        <v>#VALUE!</v>
      </c>
      <c r="J657" s="21" t="str">
        <f t="shared" ca="1" si="105"/>
        <v/>
      </c>
      <c r="K657" s="4" t="str">
        <f t="shared" ca="1" si="105"/>
        <v/>
      </c>
      <c r="M657" s="21" t="str">
        <f t="shared" ca="1" si="103"/>
        <v/>
      </c>
      <c r="N657" s="37">
        <f ca="1">IFERROR(VLOOKUP(M657,$F$5:$H$628,3,FALSE),0)</f>
        <v>0</v>
      </c>
      <c r="O657" s="4">
        <f ca="1">IFERROR(AVERAGEIF(N$5:$N657,"&gt;="&amp;_xlfn.PERCENTILE.EXC(N$5:$N657,0.2)),0)</f>
        <v>0</v>
      </c>
      <c r="Q657" s="21" t="str">
        <f t="shared" ca="1" si="104"/>
        <v/>
      </c>
      <c r="R657" s="37">
        <f t="shared" ca="1" si="100"/>
        <v>0</v>
      </c>
      <c r="S657" s="4">
        <f ca="1">IFERROR(AVERAGE($R$5:R657),0)</f>
        <v>0</v>
      </c>
      <c r="U657" s="21" t="str">
        <f ca="1">M657</f>
        <v/>
      </c>
      <c r="V657" s="4">
        <f ca="1">MIN(S657,PREMISSAS!$C$14)</f>
        <v>0</v>
      </c>
      <c r="W657" s="188"/>
      <c r="X657" s="188"/>
    </row>
    <row r="658" spans="2:24" x14ac:dyDescent="0.3">
      <c r="B658" s="21" t="str">
        <f t="shared" ca="1" si="101"/>
        <v/>
      </c>
      <c r="C658" s="22" t="str">
        <f ca="1">IF(B658="","",IF(LEFT(B658,2)="13",C657,IF(MONTH(B658)=1,C657*(1+PREMISSAS!$C$58),C657)))</f>
        <v/>
      </c>
      <c r="E658" s="18">
        <v>654</v>
      </c>
      <c r="F658" s="21" t="str">
        <f t="shared" ca="1" si="102"/>
        <v/>
      </c>
      <c r="G658" s="22" t="str">
        <f ca="1">IFERROR(VLOOKUP(F658,RESULTADOS!$O$5:$P$543,2,FALSE),VLOOKUP(F658,$B$5:$C$842,2,FALSE))</f>
        <v/>
      </c>
      <c r="H658" s="4" t="e">
        <f ca="1">IF(F658&lt;PREMISSAS!$D$7,0,IFERROR(VLOOKUP(IF(LEFT(F658,2)="13",DATE(YEAR(F657),12,31),F658),IPCA!$A:$D,4,FALSE),1)*G658)</f>
        <v>#VALUE!</v>
      </c>
      <c r="J658" s="21" t="str">
        <f t="shared" ca="1" si="105"/>
        <v/>
      </c>
      <c r="K658" s="4" t="str">
        <f t="shared" ca="1" si="105"/>
        <v/>
      </c>
      <c r="M658" s="21" t="str">
        <f t="shared" ca="1" si="103"/>
        <v/>
      </c>
      <c r="N658" s="37">
        <f ca="1">IFERROR(VLOOKUP(M658,$F$5:$H$628,3,FALSE),0)</f>
        <v>0</v>
      </c>
      <c r="O658" s="4">
        <f ca="1">IFERROR(AVERAGEIF(N$5:$N658,"&gt;="&amp;_xlfn.PERCENTILE.EXC(N$5:$N658,0.2)),0)</f>
        <v>0</v>
      </c>
      <c r="Q658" s="21" t="str">
        <f t="shared" ca="1" si="104"/>
        <v/>
      </c>
      <c r="R658" s="37">
        <f t="shared" ca="1" si="100"/>
        <v>0</v>
      </c>
      <c r="S658" s="4">
        <f ca="1">IFERROR(AVERAGE($R$5:R658),0)</f>
        <v>0</v>
      </c>
      <c r="U658" s="21" t="str">
        <f ca="1">M658</f>
        <v/>
      </c>
      <c r="V658" s="4">
        <f ca="1">MIN(S658,PREMISSAS!$C$14)</f>
        <v>0</v>
      </c>
      <c r="W658" s="188"/>
      <c r="X658" s="188"/>
    </row>
    <row r="659" spans="2:24" x14ac:dyDescent="0.3">
      <c r="B659" s="21" t="str">
        <f t="shared" ca="1" si="101"/>
        <v/>
      </c>
      <c r="C659" s="22" t="str">
        <f ca="1">IF(B659="","",IF(LEFT(B659,2)="13",C658,IF(MONTH(B659)=1,C658*(1+PREMISSAS!$C$58),C658)))</f>
        <v/>
      </c>
      <c r="E659" s="18">
        <v>655</v>
      </c>
      <c r="F659" s="21" t="str">
        <f t="shared" ca="1" si="102"/>
        <v/>
      </c>
      <c r="G659" s="22" t="str">
        <f ca="1">IFERROR(VLOOKUP(F659,RESULTADOS!$O$5:$P$543,2,FALSE),VLOOKUP(F659,$B$5:$C$842,2,FALSE))</f>
        <v/>
      </c>
      <c r="H659" s="4" t="e">
        <f ca="1">IF(F659&lt;PREMISSAS!$D$7,0,IFERROR(VLOOKUP(IF(LEFT(F659,2)="13",DATE(YEAR(F658),12,31),F659),IPCA!$A:$D,4,FALSE),1)*G659)</f>
        <v>#VALUE!</v>
      </c>
      <c r="J659" s="21" t="str">
        <f t="shared" ref="J659:J688" ca="1" si="106">F659</f>
        <v/>
      </c>
      <c r="K659" s="4" t="str">
        <f t="shared" ref="K659:K688" ca="1" si="107">G659</f>
        <v/>
      </c>
      <c r="M659" s="21" t="str">
        <f t="shared" ca="1" si="103"/>
        <v/>
      </c>
      <c r="N659" s="37">
        <f t="shared" ref="N659:N688" ca="1" si="108">IFERROR(VLOOKUP(M659,$F$5:$H$628,3,FALSE),0)</f>
        <v>0</v>
      </c>
      <c r="O659" s="4">
        <f ca="1">IFERROR(AVERAGEIF(N$5:$N659,"&gt;="&amp;_xlfn.PERCENTILE.EXC(N$5:$N659,0.2)),0)</f>
        <v>0</v>
      </c>
      <c r="Q659" s="21" t="str">
        <f t="shared" ca="1" si="104"/>
        <v/>
      </c>
      <c r="R659" s="37">
        <f t="shared" ca="1" si="100"/>
        <v>0</v>
      </c>
      <c r="S659" s="4">
        <f ca="1">IFERROR(AVERAGE($R$5:R659),0)</f>
        <v>0</v>
      </c>
      <c r="U659" s="21" t="str">
        <f t="shared" ref="U659:U688" ca="1" si="109">M659</f>
        <v/>
      </c>
      <c r="V659" s="4">
        <f ca="1">MIN(S659,PREMISSAS!$C$14)</f>
        <v>0</v>
      </c>
      <c r="W659" s="188"/>
      <c r="X659" s="188"/>
    </row>
    <row r="660" spans="2:24" x14ac:dyDescent="0.3">
      <c r="B660" s="21" t="str">
        <f t="shared" ca="1" si="101"/>
        <v/>
      </c>
      <c r="C660" s="22" t="str">
        <f ca="1">IF(B660="","",IF(LEFT(B660,2)="13",C659,IF(MONTH(B660)=1,C659*(1+PREMISSAS!$C$58),C659)))</f>
        <v/>
      </c>
      <c r="E660" s="18">
        <v>656</v>
      </c>
      <c r="F660" s="21" t="str">
        <f t="shared" ca="1" si="102"/>
        <v/>
      </c>
      <c r="G660" s="22" t="str">
        <f ca="1">IFERROR(VLOOKUP(F660,RESULTADOS!$O$5:$P$543,2,FALSE),VLOOKUP(F660,$B$5:$C$842,2,FALSE))</f>
        <v/>
      </c>
      <c r="H660" s="4" t="e">
        <f ca="1">IF(F660&lt;PREMISSAS!$D$7,0,IFERROR(VLOOKUP(IF(LEFT(F660,2)="13",DATE(YEAR(F659),12,31),F660),IPCA!$A:$D,4,FALSE),1)*G660)</f>
        <v>#VALUE!</v>
      </c>
      <c r="J660" s="21" t="str">
        <f t="shared" ca="1" si="106"/>
        <v/>
      </c>
      <c r="K660" s="4" t="str">
        <f t="shared" ca="1" si="107"/>
        <v/>
      </c>
      <c r="M660" s="21" t="str">
        <f t="shared" ca="1" si="103"/>
        <v/>
      </c>
      <c r="N660" s="37">
        <f t="shared" ca="1" si="108"/>
        <v>0</v>
      </c>
      <c r="O660" s="4">
        <f ca="1">IFERROR(AVERAGEIF(N$5:$N660,"&gt;="&amp;_xlfn.PERCENTILE.EXC(N$5:$N660,0.2)),0)</f>
        <v>0</v>
      </c>
      <c r="Q660" s="21" t="str">
        <f t="shared" ca="1" si="104"/>
        <v/>
      </c>
      <c r="R660" s="37">
        <f t="shared" ca="1" si="100"/>
        <v>0</v>
      </c>
      <c r="S660" s="4">
        <f ca="1">IFERROR(AVERAGE($R$5:R660),0)</f>
        <v>0</v>
      </c>
      <c r="U660" s="21" t="str">
        <f t="shared" ca="1" si="109"/>
        <v/>
      </c>
      <c r="V660" s="4">
        <f ca="1">MIN(S660,PREMISSAS!$C$14)</f>
        <v>0</v>
      </c>
      <c r="W660" s="188"/>
      <c r="X660" s="188"/>
    </row>
    <row r="661" spans="2:24" x14ac:dyDescent="0.3">
      <c r="B661" s="21" t="str">
        <f t="shared" ca="1" si="101"/>
        <v/>
      </c>
      <c r="C661" s="22" t="str">
        <f ca="1">IF(B661="","",IF(LEFT(B661,2)="13",C660,IF(MONTH(B661)=1,C660*(1+PREMISSAS!$C$58),C660)))</f>
        <v/>
      </c>
      <c r="E661" s="18">
        <v>657</v>
      </c>
      <c r="F661" s="21" t="str">
        <f t="shared" ca="1" si="102"/>
        <v/>
      </c>
      <c r="G661" s="22" t="str">
        <f ca="1">IFERROR(VLOOKUP(F661,RESULTADOS!$O$5:$P$543,2,FALSE),VLOOKUP(F661,$B$5:$C$842,2,FALSE))</f>
        <v/>
      </c>
      <c r="H661" s="4" t="e">
        <f ca="1">IF(F661&lt;PREMISSAS!$D$7,0,IFERROR(VLOOKUP(IF(LEFT(F661,2)="13",DATE(YEAR(F660),12,31),F661),IPCA!$A:$D,4,FALSE),1)*G661)</f>
        <v>#VALUE!</v>
      </c>
      <c r="J661" s="21" t="str">
        <f t="shared" ca="1" si="106"/>
        <v/>
      </c>
      <c r="K661" s="4" t="str">
        <f t="shared" ca="1" si="107"/>
        <v/>
      </c>
      <c r="M661" s="21" t="str">
        <f t="shared" ca="1" si="103"/>
        <v/>
      </c>
      <c r="N661" s="37">
        <f t="shared" ca="1" si="108"/>
        <v>0</v>
      </c>
      <c r="O661" s="4">
        <f ca="1">IFERROR(AVERAGEIF(N$5:$N661,"&gt;="&amp;_xlfn.PERCENTILE.EXC(N$5:$N661,0.2)),0)</f>
        <v>0</v>
      </c>
      <c r="Q661" s="21" t="str">
        <f t="shared" ca="1" si="104"/>
        <v/>
      </c>
      <c r="R661" s="37">
        <f t="shared" ca="1" si="100"/>
        <v>0</v>
      </c>
      <c r="S661" s="4">
        <f ca="1">IFERROR(AVERAGE($R$5:R661),0)</f>
        <v>0</v>
      </c>
      <c r="U661" s="21" t="str">
        <f t="shared" ca="1" si="109"/>
        <v/>
      </c>
      <c r="V661" s="4">
        <f ca="1">MIN(S661,PREMISSAS!$C$14)</f>
        <v>0</v>
      </c>
      <c r="W661" s="188"/>
      <c r="X661" s="188"/>
    </row>
    <row r="662" spans="2:24" x14ac:dyDescent="0.3">
      <c r="B662" s="21" t="str">
        <f t="shared" ca="1" si="101"/>
        <v/>
      </c>
      <c r="C662" s="22" t="str">
        <f ca="1">IF(B662="","",IF(LEFT(B662,2)="13",C661,IF(MONTH(B662)=1,C661*(1+PREMISSAS!$C$58),C661)))</f>
        <v/>
      </c>
      <c r="E662" s="18">
        <v>658</v>
      </c>
      <c r="F662" s="21" t="str">
        <f t="shared" ca="1" si="102"/>
        <v/>
      </c>
      <c r="G662" s="22" t="str">
        <f ca="1">IFERROR(VLOOKUP(F662,RESULTADOS!$O$5:$P$543,2,FALSE),VLOOKUP(F662,$B$5:$C$842,2,FALSE))</f>
        <v/>
      </c>
      <c r="H662" s="4" t="e">
        <f ca="1">IF(F662&lt;PREMISSAS!$D$7,0,IFERROR(VLOOKUP(IF(LEFT(F662,2)="13",DATE(YEAR(F661),12,31),F662),IPCA!$A:$D,4,FALSE),1)*G662)</f>
        <v>#VALUE!</v>
      </c>
      <c r="J662" s="21" t="str">
        <f t="shared" ca="1" si="106"/>
        <v/>
      </c>
      <c r="K662" s="4" t="str">
        <f t="shared" ca="1" si="107"/>
        <v/>
      </c>
      <c r="M662" s="21" t="str">
        <f t="shared" ca="1" si="103"/>
        <v/>
      </c>
      <c r="N662" s="37">
        <f t="shared" ca="1" si="108"/>
        <v>0</v>
      </c>
      <c r="O662" s="4">
        <f ca="1">IFERROR(AVERAGEIF(N$5:$N662,"&gt;="&amp;_xlfn.PERCENTILE.EXC(N$5:$N662,0.2)),0)</f>
        <v>0</v>
      </c>
      <c r="Q662" s="21" t="str">
        <f t="shared" ca="1" si="104"/>
        <v/>
      </c>
      <c r="R662" s="37">
        <f t="shared" ca="1" si="100"/>
        <v>0</v>
      </c>
      <c r="S662" s="4">
        <f ca="1">IFERROR(AVERAGE($R$5:R662),0)</f>
        <v>0</v>
      </c>
      <c r="U662" s="21" t="str">
        <f t="shared" ca="1" si="109"/>
        <v/>
      </c>
      <c r="V662" s="4">
        <f ca="1">MIN(S662,PREMISSAS!$C$14)</f>
        <v>0</v>
      </c>
      <c r="W662" s="188"/>
      <c r="X662" s="188"/>
    </row>
    <row r="663" spans="2:24" x14ac:dyDescent="0.3">
      <c r="B663" s="21" t="str">
        <f t="shared" ca="1" si="101"/>
        <v/>
      </c>
      <c r="C663" s="22" t="str">
        <f ca="1">IF(B663="","",IF(LEFT(B663,2)="13",C662,IF(MONTH(B663)=1,C662*(1+PREMISSAS!$C$58),C662)))</f>
        <v/>
      </c>
      <c r="E663" s="18">
        <v>659</v>
      </c>
      <c r="F663" s="21" t="str">
        <f t="shared" ca="1" si="102"/>
        <v/>
      </c>
      <c r="G663" s="22" t="str">
        <f ca="1">IFERROR(VLOOKUP(F663,RESULTADOS!$O$5:$P$543,2,FALSE),VLOOKUP(F663,$B$5:$C$842,2,FALSE))</f>
        <v/>
      </c>
      <c r="H663" s="4" t="e">
        <f ca="1">IF(F663&lt;PREMISSAS!$D$7,0,IFERROR(VLOOKUP(IF(LEFT(F663,2)="13",DATE(YEAR(F662),12,31),F663),IPCA!$A:$D,4,FALSE),1)*G663)</f>
        <v>#VALUE!</v>
      </c>
      <c r="J663" s="21" t="str">
        <f t="shared" ca="1" si="106"/>
        <v/>
      </c>
      <c r="K663" s="4" t="str">
        <f t="shared" ca="1" si="107"/>
        <v/>
      </c>
      <c r="M663" s="21" t="str">
        <f t="shared" ca="1" si="103"/>
        <v/>
      </c>
      <c r="N663" s="37">
        <f t="shared" ca="1" si="108"/>
        <v>0</v>
      </c>
      <c r="O663" s="4">
        <f ca="1">IFERROR(AVERAGEIF(N$5:$N663,"&gt;="&amp;_xlfn.PERCENTILE.EXC(N$5:$N663,0.2)),0)</f>
        <v>0</v>
      </c>
      <c r="Q663" s="21" t="str">
        <f t="shared" ca="1" si="104"/>
        <v/>
      </c>
      <c r="R663" s="37">
        <f t="shared" ca="1" si="100"/>
        <v>0</v>
      </c>
      <c r="S663" s="4">
        <f ca="1">IFERROR(AVERAGE($R$5:R663),0)</f>
        <v>0</v>
      </c>
      <c r="U663" s="21" t="str">
        <f t="shared" ca="1" si="109"/>
        <v/>
      </c>
      <c r="V663" s="4">
        <f ca="1">MIN(S663,PREMISSAS!$C$14)</f>
        <v>0</v>
      </c>
      <c r="W663" s="188"/>
      <c r="X663" s="188"/>
    </row>
    <row r="664" spans="2:24" x14ac:dyDescent="0.3">
      <c r="B664" s="21" t="str">
        <f t="shared" ca="1" si="101"/>
        <v/>
      </c>
      <c r="C664" s="22" t="str">
        <f ca="1">IF(B664="","",IF(LEFT(B664,2)="13",C663,IF(MONTH(B664)=1,C663*(1+PREMISSAS!$C$58),C663)))</f>
        <v/>
      </c>
      <c r="E664" s="18">
        <v>660</v>
      </c>
      <c r="F664" s="21" t="str">
        <f t="shared" ca="1" si="102"/>
        <v/>
      </c>
      <c r="G664" s="22" t="str">
        <f ca="1">IFERROR(VLOOKUP(F664,RESULTADOS!$O$5:$P$543,2,FALSE),VLOOKUP(F664,$B$5:$C$842,2,FALSE))</f>
        <v/>
      </c>
      <c r="H664" s="4" t="e">
        <f ca="1">IF(F664&lt;PREMISSAS!$D$7,0,IFERROR(VLOOKUP(IF(LEFT(F664,2)="13",DATE(YEAR(F663),12,31),F664),IPCA!$A:$D,4,FALSE),1)*G664)</f>
        <v>#VALUE!</v>
      </c>
      <c r="J664" s="21" t="str">
        <f t="shared" ca="1" si="106"/>
        <v/>
      </c>
      <c r="K664" s="4" t="str">
        <f t="shared" ca="1" si="107"/>
        <v/>
      </c>
      <c r="M664" s="21" t="str">
        <f t="shared" ca="1" si="103"/>
        <v/>
      </c>
      <c r="N664" s="37">
        <f t="shared" ca="1" si="108"/>
        <v>0</v>
      </c>
      <c r="O664" s="4">
        <f ca="1">IFERROR(AVERAGEIF(N$5:$N664,"&gt;="&amp;_xlfn.PERCENTILE.EXC(N$5:$N664,0.2)),0)</f>
        <v>0</v>
      </c>
      <c r="Q664" s="21" t="str">
        <f t="shared" ca="1" si="104"/>
        <v/>
      </c>
      <c r="R664" s="37">
        <f t="shared" ca="1" si="100"/>
        <v>0</v>
      </c>
      <c r="S664" s="4">
        <f ca="1">IFERROR(AVERAGE($R$5:R664),0)</f>
        <v>0</v>
      </c>
      <c r="U664" s="21" t="str">
        <f t="shared" ca="1" si="109"/>
        <v/>
      </c>
      <c r="V664" s="4">
        <f ca="1">MIN(S664,PREMISSAS!$C$14)</f>
        <v>0</v>
      </c>
      <c r="W664" s="188"/>
      <c r="X664" s="188"/>
    </row>
    <row r="665" spans="2:24" x14ac:dyDescent="0.3">
      <c r="B665" s="21" t="str">
        <f t="shared" ca="1" si="101"/>
        <v/>
      </c>
      <c r="C665" s="22" t="str">
        <f ca="1">IF(B665="","",IF(LEFT(B665,2)="13",C664,IF(MONTH(B665)=1,C664*(1+PREMISSAS!$C$58),C664)))</f>
        <v/>
      </c>
      <c r="E665" s="18">
        <v>661</v>
      </c>
      <c r="F665" s="21" t="str">
        <f t="shared" ca="1" si="102"/>
        <v/>
      </c>
      <c r="G665" s="22" t="str">
        <f ca="1">IFERROR(VLOOKUP(F665,RESULTADOS!$O$5:$P$543,2,FALSE),VLOOKUP(F665,$B$5:$C$842,2,FALSE))</f>
        <v/>
      </c>
      <c r="H665" s="4" t="e">
        <f ca="1">IF(F665&lt;PREMISSAS!$D$7,0,IFERROR(VLOOKUP(IF(LEFT(F665,2)="13",DATE(YEAR(F664),12,31),F665),IPCA!$A:$D,4,FALSE),1)*G665)</f>
        <v>#VALUE!</v>
      </c>
      <c r="J665" s="21" t="str">
        <f t="shared" ca="1" si="106"/>
        <v/>
      </c>
      <c r="K665" s="4" t="str">
        <f t="shared" ca="1" si="107"/>
        <v/>
      </c>
      <c r="M665" s="21" t="str">
        <f t="shared" ca="1" si="103"/>
        <v/>
      </c>
      <c r="N665" s="37">
        <f t="shared" ca="1" si="108"/>
        <v>0</v>
      </c>
      <c r="O665" s="4">
        <f ca="1">IFERROR(AVERAGEIF(N$5:$N665,"&gt;="&amp;_xlfn.PERCENTILE.EXC(N$5:$N665,0.2)),0)</f>
        <v>0</v>
      </c>
      <c r="Q665" s="21" t="str">
        <f t="shared" ca="1" si="104"/>
        <v/>
      </c>
      <c r="R665" s="37">
        <f t="shared" ca="1" si="100"/>
        <v>0</v>
      </c>
      <c r="S665" s="4">
        <f ca="1">IFERROR(AVERAGE($R$5:R665),0)</f>
        <v>0</v>
      </c>
      <c r="U665" s="21" t="str">
        <f t="shared" ca="1" si="109"/>
        <v/>
      </c>
      <c r="V665" s="4">
        <f ca="1">MIN(S665,PREMISSAS!$C$14)</f>
        <v>0</v>
      </c>
      <c r="W665" s="188"/>
      <c r="X665" s="188"/>
    </row>
    <row r="666" spans="2:24" x14ac:dyDescent="0.3">
      <c r="B666" s="21" t="str">
        <f t="shared" ca="1" si="101"/>
        <v/>
      </c>
      <c r="C666" s="22" t="str">
        <f ca="1">IF(B666="","",IF(LEFT(B666,2)="13",C665,IF(MONTH(B666)=1,C665*(1+PREMISSAS!$C$58),C665)))</f>
        <v/>
      </c>
      <c r="E666" s="18">
        <v>662</v>
      </c>
      <c r="F666" s="21" t="str">
        <f t="shared" ca="1" si="102"/>
        <v/>
      </c>
      <c r="G666" s="22" t="str">
        <f ca="1">IFERROR(VLOOKUP(F666,RESULTADOS!$O$5:$P$543,2,FALSE),VLOOKUP(F666,$B$5:$C$842,2,FALSE))</f>
        <v/>
      </c>
      <c r="H666" s="4" t="e">
        <f ca="1">IF(F666&lt;PREMISSAS!$D$7,0,IFERROR(VLOOKUP(IF(LEFT(F666,2)="13",DATE(YEAR(F665),12,31),F666),IPCA!$A:$D,4,FALSE),1)*G666)</f>
        <v>#VALUE!</v>
      </c>
      <c r="J666" s="21" t="str">
        <f t="shared" ca="1" si="106"/>
        <v/>
      </c>
      <c r="K666" s="4" t="str">
        <f t="shared" ca="1" si="107"/>
        <v/>
      </c>
      <c r="M666" s="21" t="str">
        <f t="shared" ca="1" si="103"/>
        <v/>
      </c>
      <c r="N666" s="37">
        <f t="shared" ca="1" si="108"/>
        <v>0</v>
      </c>
      <c r="O666" s="4">
        <f ca="1">IFERROR(AVERAGEIF(N$5:$N666,"&gt;="&amp;_xlfn.PERCENTILE.EXC(N$5:$N666,0.2)),0)</f>
        <v>0</v>
      </c>
      <c r="Q666" s="21" t="str">
        <f t="shared" ca="1" si="104"/>
        <v/>
      </c>
      <c r="R666" s="37">
        <f t="shared" ca="1" si="100"/>
        <v>0</v>
      </c>
      <c r="S666" s="4">
        <f ca="1">IFERROR(AVERAGE($R$5:R666),0)</f>
        <v>0</v>
      </c>
      <c r="U666" s="21" t="str">
        <f t="shared" ca="1" si="109"/>
        <v/>
      </c>
      <c r="V666" s="4">
        <f ca="1">MIN(S666,PREMISSAS!$C$14)</f>
        <v>0</v>
      </c>
      <c r="W666" s="188"/>
      <c r="X666" s="188"/>
    </row>
    <row r="667" spans="2:24" x14ac:dyDescent="0.3">
      <c r="B667" s="21" t="str">
        <f t="shared" ca="1" si="101"/>
        <v/>
      </c>
      <c r="C667" s="22" t="str">
        <f ca="1">IF(B667="","",IF(LEFT(B667,2)="13",C666,IF(MONTH(B667)=1,C666*(1+PREMISSAS!$C$58),C666)))</f>
        <v/>
      </c>
      <c r="E667" s="18">
        <v>663</v>
      </c>
      <c r="F667" s="21" t="str">
        <f t="shared" ca="1" si="102"/>
        <v/>
      </c>
      <c r="G667" s="22" t="str">
        <f ca="1">IFERROR(VLOOKUP(F667,RESULTADOS!$O$5:$P$543,2,FALSE),VLOOKUP(F667,$B$5:$C$842,2,FALSE))</f>
        <v/>
      </c>
      <c r="H667" s="4" t="e">
        <f ca="1">IF(F667&lt;PREMISSAS!$D$7,0,IFERROR(VLOOKUP(IF(LEFT(F667,2)="13",DATE(YEAR(F666),12,31),F667),IPCA!$A:$D,4,FALSE),1)*G667)</f>
        <v>#VALUE!</v>
      </c>
      <c r="J667" s="21" t="str">
        <f t="shared" ca="1" si="106"/>
        <v/>
      </c>
      <c r="K667" s="4" t="str">
        <f t="shared" ca="1" si="107"/>
        <v/>
      </c>
      <c r="M667" s="21" t="str">
        <f t="shared" ca="1" si="103"/>
        <v/>
      </c>
      <c r="N667" s="37">
        <f t="shared" ca="1" si="108"/>
        <v>0</v>
      </c>
      <c r="O667" s="4">
        <f ca="1">IFERROR(AVERAGEIF(N$5:$N667,"&gt;="&amp;_xlfn.PERCENTILE.EXC(N$5:$N667,0.2)),0)</f>
        <v>0</v>
      </c>
      <c r="Q667" s="21" t="str">
        <f t="shared" ca="1" si="104"/>
        <v/>
      </c>
      <c r="R667" s="37">
        <f t="shared" ca="1" si="100"/>
        <v>0</v>
      </c>
      <c r="S667" s="4">
        <f ca="1">IFERROR(AVERAGE($R$5:R667),0)</f>
        <v>0</v>
      </c>
      <c r="U667" s="21" t="str">
        <f t="shared" ca="1" si="109"/>
        <v/>
      </c>
      <c r="V667" s="4">
        <f ca="1">MIN(S667,PREMISSAS!$C$14)</f>
        <v>0</v>
      </c>
      <c r="W667" s="188"/>
      <c r="X667" s="188"/>
    </row>
    <row r="668" spans="2:24" x14ac:dyDescent="0.3">
      <c r="B668" s="21" t="str">
        <f t="shared" ca="1" si="101"/>
        <v/>
      </c>
      <c r="C668" s="22" t="str">
        <f ca="1">IF(B668="","",IF(LEFT(B668,2)="13",C667,IF(MONTH(B668)=1,C667*(1+PREMISSAS!$C$58),C667)))</f>
        <v/>
      </c>
      <c r="E668" s="18">
        <v>664</v>
      </c>
      <c r="F668" s="21" t="str">
        <f t="shared" ca="1" si="102"/>
        <v/>
      </c>
      <c r="G668" s="22" t="str">
        <f ca="1">IFERROR(VLOOKUP(F668,RESULTADOS!$O$5:$P$543,2,FALSE),VLOOKUP(F668,$B$5:$C$842,2,FALSE))</f>
        <v/>
      </c>
      <c r="H668" s="4" t="e">
        <f ca="1">IF(F668&lt;PREMISSAS!$D$7,0,IFERROR(VLOOKUP(IF(LEFT(F668,2)="13",DATE(YEAR(F667),12,31),F668),IPCA!$A:$D,4,FALSE),1)*G668)</f>
        <v>#VALUE!</v>
      </c>
      <c r="J668" s="21" t="str">
        <f t="shared" ca="1" si="106"/>
        <v/>
      </c>
      <c r="K668" s="4" t="str">
        <f t="shared" ca="1" si="107"/>
        <v/>
      </c>
      <c r="M668" s="21" t="str">
        <f t="shared" ca="1" si="103"/>
        <v/>
      </c>
      <c r="N668" s="37">
        <f t="shared" ca="1" si="108"/>
        <v>0</v>
      </c>
      <c r="O668" s="4">
        <f ca="1">IFERROR(AVERAGEIF(N$5:$N668,"&gt;="&amp;_xlfn.PERCENTILE.EXC(N$5:$N668,0.2)),0)</f>
        <v>0</v>
      </c>
      <c r="Q668" s="21" t="str">
        <f t="shared" ca="1" si="104"/>
        <v/>
      </c>
      <c r="R668" s="37">
        <f t="shared" ca="1" si="100"/>
        <v>0</v>
      </c>
      <c r="S668" s="4">
        <f ca="1">IFERROR(AVERAGE($R$5:R668),0)</f>
        <v>0</v>
      </c>
      <c r="U668" s="21" t="str">
        <f t="shared" ca="1" si="109"/>
        <v/>
      </c>
      <c r="V668" s="4">
        <f ca="1">MIN(S668,PREMISSAS!$C$14)</f>
        <v>0</v>
      </c>
      <c r="W668" s="188"/>
      <c r="X668" s="188"/>
    </row>
    <row r="669" spans="2:24" x14ac:dyDescent="0.3">
      <c r="B669" s="21" t="str">
        <f t="shared" ca="1" si="101"/>
        <v/>
      </c>
      <c r="C669" s="22" t="str">
        <f ca="1">IF(B669="","",IF(LEFT(B669,2)="13",C668,IF(MONTH(B669)=1,C668*(1+PREMISSAS!$C$58),C668)))</f>
        <v/>
      </c>
      <c r="E669" s="18">
        <v>665</v>
      </c>
      <c r="F669" s="21" t="str">
        <f t="shared" ca="1" si="102"/>
        <v/>
      </c>
      <c r="G669" s="22" t="str">
        <f ca="1">IFERROR(VLOOKUP(F669,RESULTADOS!$O$5:$P$543,2,FALSE),VLOOKUP(F669,$B$5:$C$842,2,FALSE))</f>
        <v/>
      </c>
      <c r="H669" s="4" t="e">
        <f ca="1">IF(F669&lt;PREMISSAS!$D$7,0,IFERROR(VLOOKUP(IF(LEFT(F669,2)="13",DATE(YEAR(F668),12,31),F669),IPCA!$A:$D,4,FALSE),1)*G669)</f>
        <v>#VALUE!</v>
      </c>
      <c r="J669" s="21" t="str">
        <f t="shared" ca="1" si="106"/>
        <v/>
      </c>
      <c r="K669" s="4" t="str">
        <f t="shared" ca="1" si="107"/>
        <v/>
      </c>
      <c r="M669" s="21" t="str">
        <f t="shared" ca="1" si="103"/>
        <v/>
      </c>
      <c r="N669" s="37">
        <f t="shared" ca="1" si="108"/>
        <v>0</v>
      </c>
      <c r="O669" s="4">
        <f ca="1">IFERROR(AVERAGEIF(N$5:$N669,"&gt;="&amp;_xlfn.PERCENTILE.EXC(N$5:$N669,0.2)),0)</f>
        <v>0</v>
      </c>
      <c r="Q669" s="21" t="str">
        <f t="shared" ca="1" si="104"/>
        <v/>
      </c>
      <c r="R669" s="37">
        <f t="shared" ca="1" si="100"/>
        <v>0</v>
      </c>
      <c r="S669" s="4">
        <f ca="1">IFERROR(AVERAGE($R$5:R669),0)</f>
        <v>0</v>
      </c>
      <c r="U669" s="21" t="str">
        <f t="shared" ca="1" si="109"/>
        <v/>
      </c>
      <c r="V669" s="4">
        <f ca="1">MIN(S669,PREMISSAS!$C$14)</f>
        <v>0</v>
      </c>
      <c r="W669" s="188"/>
      <c r="X669" s="188"/>
    </row>
    <row r="670" spans="2:24" x14ac:dyDescent="0.3">
      <c r="B670" s="21" t="str">
        <f t="shared" ca="1" si="101"/>
        <v/>
      </c>
      <c r="C670" s="22" t="str">
        <f ca="1">IF(B670="","",IF(LEFT(B670,2)="13",C669,IF(MONTH(B670)=1,C669*(1+PREMISSAS!$C$58),C669)))</f>
        <v/>
      </c>
      <c r="E670" s="18">
        <v>666</v>
      </c>
      <c r="F670" s="21" t="str">
        <f t="shared" ca="1" si="102"/>
        <v/>
      </c>
      <c r="G670" s="22" t="str">
        <f ca="1">IFERROR(VLOOKUP(F670,RESULTADOS!$O$5:$P$543,2,FALSE),VLOOKUP(F670,$B$5:$C$842,2,FALSE))</f>
        <v/>
      </c>
      <c r="H670" s="4" t="e">
        <f ca="1">IF(F670&lt;PREMISSAS!$D$7,0,IFERROR(VLOOKUP(IF(LEFT(F670,2)="13",DATE(YEAR(F669),12,31),F670),IPCA!$A:$D,4,FALSE),1)*G670)</f>
        <v>#VALUE!</v>
      </c>
      <c r="J670" s="21" t="str">
        <f t="shared" ca="1" si="106"/>
        <v/>
      </c>
      <c r="K670" s="4" t="str">
        <f t="shared" ca="1" si="107"/>
        <v/>
      </c>
      <c r="M670" s="21" t="str">
        <f t="shared" ca="1" si="103"/>
        <v/>
      </c>
      <c r="N670" s="37">
        <f t="shared" ca="1" si="108"/>
        <v>0</v>
      </c>
      <c r="O670" s="4">
        <f ca="1">IFERROR(AVERAGEIF(N$5:$N670,"&gt;="&amp;_xlfn.PERCENTILE.EXC(N$5:$N670,0.2)),0)</f>
        <v>0</v>
      </c>
      <c r="Q670" s="21" t="str">
        <f t="shared" ca="1" si="104"/>
        <v/>
      </c>
      <c r="R670" s="37">
        <f t="shared" ca="1" si="100"/>
        <v>0</v>
      </c>
      <c r="S670" s="4">
        <f ca="1">IFERROR(AVERAGE($R$5:R670),0)</f>
        <v>0</v>
      </c>
      <c r="U670" s="21" t="str">
        <f t="shared" ca="1" si="109"/>
        <v/>
      </c>
      <c r="V670" s="4">
        <f ca="1">MIN(S670,PREMISSAS!$C$14)</f>
        <v>0</v>
      </c>
      <c r="W670" s="188"/>
      <c r="X670" s="188"/>
    </row>
    <row r="671" spans="2:24" x14ac:dyDescent="0.3">
      <c r="B671" s="21" t="str">
        <f t="shared" ca="1" si="101"/>
        <v/>
      </c>
      <c r="C671" s="22" t="str">
        <f ca="1">IF(B671="","",IF(LEFT(B671,2)="13",C670,IF(MONTH(B671)=1,C670*(1+PREMISSAS!$C$58),C670)))</f>
        <v/>
      </c>
      <c r="E671" s="18">
        <v>667</v>
      </c>
      <c r="F671" s="21" t="str">
        <f t="shared" ca="1" si="102"/>
        <v/>
      </c>
      <c r="G671" s="22" t="str">
        <f ca="1">IFERROR(VLOOKUP(F671,RESULTADOS!$O$5:$P$543,2,FALSE),VLOOKUP(F671,$B$5:$C$842,2,FALSE))</f>
        <v/>
      </c>
      <c r="H671" s="4" t="e">
        <f ca="1">IF(F671&lt;PREMISSAS!$D$7,0,IFERROR(VLOOKUP(IF(LEFT(F671,2)="13",DATE(YEAR(F670),12,31),F671),IPCA!$A:$D,4,FALSE),1)*G671)</f>
        <v>#VALUE!</v>
      </c>
      <c r="J671" s="21" t="str">
        <f t="shared" ca="1" si="106"/>
        <v/>
      </c>
      <c r="K671" s="4" t="str">
        <f t="shared" ca="1" si="107"/>
        <v/>
      </c>
      <c r="M671" s="21" t="str">
        <f t="shared" ca="1" si="103"/>
        <v/>
      </c>
      <c r="N671" s="37">
        <f t="shared" ca="1" si="108"/>
        <v>0</v>
      </c>
      <c r="O671" s="4">
        <f ca="1">IFERROR(AVERAGEIF(N$5:$N671,"&gt;="&amp;_xlfn.PERCENTILE.EXC(N$5:$N671,0.2)),0)</f>
        <v>0</v>
      </c>
      <c r="Q671" s="21" t="str">
        <f t="shared" ca="1" si="104"/>
        <v/>
      </c>
      <c r="R671" s="37">
        <f t="shared" ca="1" si="100"/>
        <v>0</v>
      </c>
      <c r="S671" s="4">
        <f ca="1">IFERROR(AVERAGE($R$5:R671),0)</f>
        <v>0</v>
      </c>
      <c r="U671" s="21" t="str">
        <f t="shared" ca="1" si="109"/>
        <v/>
      </c>
      <c r="V671" s="4">
        <f ca="1">MIN(S671,PREMISSAS!$C$14)</f>
        <v>0</v>
      </c>
      <c r="W671" s="188"/>
      <c r="X671" s="188"/>
    </row>
    <row r="672" spans="2:24" x14ac:dyDescent="0.3">
      <c r="B672" s="21" t="str">
        <f t="shared" ca="1" si="101"/>
        <v/>
      </c>
      <c r="C672" s="22" t="str">
        <f ca="1">IF(B672="","",IF(LEFT(B672,2)="13",C671,IF(MONTH(B672)=1,C671*(1+PREMISSAS!$C$58),C671)))</f>
        <v/>
      </c>
      <c r="E672" s="18">
        <v>668</v>
      </c>
      <c r="F672" s="21" t="str">
        <f t="shared" ca="1" si="102"/>
        <v/>
      </c>
      <c r="G672" s="22" t="str">
        <f ca="1">IFERROR(VLOOKUP(F672,RESULTADOS!$O$5:$P$543,2,FALSE),VLOOKUP(F672,$B$5:$C$842,2,FALSE))</f>
        <v/>
      </c>
      <c r="H672" s="4" t="e">
        <f ca="1">IF(F672&lt;PREMISSAS!$D$7,0,IFERROR(VLOOKUP(IF(LEFT(F672,2)="13",DATE(YEAR(F671),12,31),F672),IPCA!$A:$D,4,FALSE),1)*G672)</f>
        <v>#VALUE!</v>
      </c>
      <c r="J672" s="21" t="str">
        <f t="shared" ca="1" si="106"/>
        <v/>
      </c>
      <c r="K672" s="4" t="str">
        <f t="shared" ca="1" si="107"/>
        <v/>
      </c>
      <c r="M672" s="21" t="str">
        <f t="shared" ca="1" si="103"/>
        <v/>
      </c>
      <c r="N672" s="37">
        <f t="shared" ca="1" si="108"/>
        <v>0</v>
      </c>
      <c r="O672" s="4">
        <f ca="1">IFERROR(AVERAGEIF(N$5:$N672,"&gt;="&amp;_xlfn.PERCENTILE.EXC(N$5:$N672,0.2)),0)</f>
        <v>0</v>
      </c>
      <c r="Q672" s="21" t="str">
        <f t="shared" ca="1" si="104"/>
        <v/>
      </c>
      <c r="R672" s="37">
        <f t="shared" ca="1" si="100"/>
        <v>0</v>
      </c>
      <c r="S672" s="4">
        <f ca="1">IFERROR(AVERAGE($R$5:R672),0)</f>
        <v>0</v>
      </c>
      <c r="U672" s="21" t="str">
        <f t="shared" ca="1" si="109"/>
        <v/>
      </c>
      <c r="V672" s="4">
        <f ca="1">MIN(S672,PREMISSAS!$C$14)</f>
        <v>0</v>
      </c>
      <c r="W672" s="188"/>
      <c r="X672" s="188"/>
    </row>
    <row r="673" spans="2:24" x14ac:dyDescent="0.3">
      <c r="B673" s="21" t="str">
        <f t="shared" ca="1" si="101"/>
        <v/>
      </c>
      <c r="C673" s="22" t="str">
        <f ca="1">IF(B673="","",IF(LEFT(B673,2)="13",C672,IF(MONTH(B673)=1,C672*(1+PREMISSAS!$C$58),C672)))</f>
        <v/>
      </c>
      <c r="E673" s="18">
        <v>669</v>
      </c>
      <c r="F673" s="21" t="str">
        <f t="shared" ca="1" si="102"/>
        <v/>
      </c>
      <c r="G673" s="22" t="str">
        <f ca="1">IFERROR(VLOOKUP(F673,RESULTADOS!$O$5:$P$543,2,FALSE),VLOOKUP(F673,$B$5:$C$842,2,FALSE))</f>
        <v/>
      </c>
      <c r="H673" s="4" t="e">
        <f ca="1">IF(F673&lt;PREMISSAS!$D$7,0,IFERROR(VLOOKUP(IF(LEFT(F673,2)="13",DATE(YEAR(F672),12,31),F673),IPCA!$A:$D,4,FALSE),1)*G673)</f>
        <v>#VALUE!</v>
      </c>
      <c r="J673" s="21" t="str">
        <f t="shared" ca="1" si="106"/>
        <v/>
      </c>
      <c r="K673" s="4" t="str">
        <f t="shared" ca="1" si="107"/>
        <v/>
      </c>
      <c r="M673" s="21" t="str">
        <f t="shared" ca="1" si="103"/>
        <v/>
      </c>
      <c r="N673" s="37">
        <f t="shared" ca="1" si="108"/>
        <v>0</v>
      </c>
      <c r="O673" s="4">
        <f ca="1">IFERROR(AVERAGEIF(N$5:$N673,"&gt;="&amp;_xlfn.PERCENTILE.EXC(N$5:$N673,0.2)),0)</f>
        <v>0</v>
      </c>
      <c r="Q673" s="21" t="str">
        <f t="shared" ca="1" si="104"/>
        <v/>
      </c>
      <c r="R673" s="37">
        <f t="shared" ca="1" si="100"/>
        <v>0</v>
      </c>
      <c r="S673" s="4">
        <f ca="1">IFERROR(AVERAGE($R$5:R673),0)</f>
        <v>0</v>
      </c>
      <c r="U673" s="21" t="str">
        <f t="shared" ca="1" si="109"/>
        <v/>
      </c>
      <c r="V673" s="4">
        <f ca="1">MIN(S673,PREMISSAS!$C$14)</f>
        <v>0</v>
      </c>
      <c r="W673" s="188"/>
      <c r="X673" s="188"/>
    </row>
    <row r="674" spans="2:24" x14ac:dyDescent="0.3">
      <c r="B674" s="21" t="str">
        <f t="shared" ca="1" si="101"/>
        <v/>
      </c>
      <c r="C674" s="22" t="str">
        <f ca="1">IF(B674="","",IF(LEFT(B674,2)="13",C673,IF(MONTH(B674)=1,C673*(1+PREMISSAS!$C$58),C673)))</f>
        <v/>
      </c>
      <c r="E674" s="18">
        <v>670</v>
      </c>
      <c r="F674" s="21" t="str">
        <f t="shared" ca="1" si="102"/>
        <v/>
      </c>
      <c r="G674" s="22" t="str">
        <f ca="1">IFERROR(VLOOKUP(F674,RESULTADOS!$O$5:$P$543,2,FALSE),VLOOKUP(F674,$B$5:$C$842,2,FALSE))</f>
        <v/>
      </c>
      <c r="H674" s="4" t="e">
        <f ca="1">IF(F674&lt;PREMISSAS!$D$7,0,IFERROR(VLOOKUP(IF(LEFT(F674,2)="13",DATE(YEAR(F673),12,31),F674),IPCA!$A:$D,4,FALSE),1)*G674)</f>
        <v>#VALUE!</v>
      </c>
      <c r="J674" s="21" t="str">
        <f t="shared" ca="1" si="106"/>
        <v/>
      </c>
      <c r="K674" s="4" t="str">
        <f t="shared" ca="1" si="107"/>
        <v/>
      </c>
      <c r="M674" s="21" t="str">
        <f t="shared" ca="1" si="103"/>
        <v/>
      </c>
      <c r="N674" s="37">
        <f t="shared" ca="1" si="108"/>
        <v>0</v>
      </c>
      <c r="O674" s="4">
        <f ca="1">IFERROR(AVERAGEIF(N$5:$N674,"&gt;="&amp;_xlfn.PERCENTILE.EXC(N$5:$N674,0.2)),0)</f>
        <v>0</v>
      </c>
      <c r="Q674" s="21" t="str">
        <f t="shared" ca="1" si="104"/>
        <v/>
      </c>
      <c r="R674" s="37">
        <f t="shared" ca="1" si="100"/>
        <v>0</v>
      </c>
      <c r="S674" s="4">
        <f ca="1">IFERROR(AVERAGE($R$5:R674),0)</f>
        <v>0</v>
      </c>
      <c r="U674" s="21" t="str">
        <f t="shared" ca="1" si="109"/>
        <v/>
      </c>
      <c r="V674" s="4">
        <f ca="1">MIN(S674,PREMISSAS!$C$14)</f>
        <v>0</v>
      </c>
      <c r="W674" s="188"/>
      <c r="X674" s="188"/>
    </row>
    <row r="675" spans="2:24" x14ac:dyDescent="0.3">
      <c r="B675" s="21" t="str">
        <f t="shared" ca="1" si="101"/>
        <v/>
      </c>
      <c r="C675" s="22" t="str">
        <f ca="1">IF(B675="","",IF(LEFT(B675,2)="13",C674,IF(MONTH(B675)=1,C674*(1+PREMISSAS!$C$58),C674)))</f>
        <v/>
      </c>
      <c r="E675" s="18">
        <v>671</v>
      </c>
      <c r="F675" s="21" t="str">
        <f t="shared" ca="1" si="102"/>
        <v/>
      </c>
      <c r="G675" s="22" t="str">
        <f ca="1">IFERROR(VLOOKUP(F675,RESULTADOS!$O$5:$P$543,2,FALSE),VLOOKUP(F675,$B$5:$C$842,2,FALSE))</f>
        <v/>
      </c>
      <c r="H675" s="4" t="e">
        <f ca="1">IF(F675&lt;PREMISSAS!$D$7,0,IFERROR(VLOOKUP(IF(LEFT(F675,2)="13",DATE(YEAR(F674),12,31),F675),IPCA!$A:$D,4,FALSE),1)*G675)</f>
        <v>#VALUE!</v>
      </c>
      <c r="J675" s="21" t="str">
        <f t="shared" ca="1" si="106"/>
        <v/>
      </c>
      <c r="K675" s="4" t="str">
        <f t="shared" ca="1" si="107"/>
        <v/>
      </c>
      <c r="M675" s="21" t="str">
        <f t="shared" ca="1" si="103"/>
        <v/>
      </c>
      <c r="N675" s="37">
        <f t="shared" ca="1" si="108"/>
        <v>0</v>
      </c>
      <c r="O675" s="4">
        <f ca="1">IFERROR(AVERAGEIF(N$5:$N675,"&gt;="&amp;_xlfn.PERCENTILE.EXC(N$5:$N675,0.2)),0)</f>
        <v>0</v>
      </c>
      <c r="Q675" s="21" t="str">
        <f t="shared" ca="1" si="104"/>
        <v/>
      </c>
      <c r="R675" s="37">
        <f t="shared" ca="1" si="100"/>
        <v>0</v>
      </c>
      <c r="S675" s="4">
        <f ca="1">IFERROR(AVERAGE($R$5:R675),0)</f>
        <v>0</v>
      </c>
      <c r="U675" s="21" t="str">
        <f t="shared" ca="1" si="109"/>
        <v/>
      </c>
      <c r="V675" s="4">
        <f ca="1">MIN(S675,PREMISSAS!$C$14)</f>
        <v>0</v>
      </c>
      <c r="W675" s="188"/>
      <c r="X675" s="188"/>
    </row>
    <row r="676" spans="2:24" x14ac:dyDescent="0.3">
      <c r="B676" s="21" t="str">
        <f t="shared" ca="1" si="101"/>
        <v/>
      </c>
      <c r="C676" s="22" t="str">
        <f ca="1">IF(B676="","",IF(LEFT(B676,2)="13",C675,IF(MONTH(B676)=1,C675*(1+PREMISSAS!$C$58),C675)))</f>
        <v/>
      </c>
      <c r="E676" s="18">
        <v>672</v>
      </c>
      <c r="F676" s="21" t="str">
        <f t="shared" ca="1" si="102"/>
        <v/>
      </c>
      <c r="G676" s="22" t="str">
        <f ca="1">IFERROR(VLOOKUP(F676,RESULTADOS!$O$5:$P$543,2,FALSE),VLOOKUP(F676,$B$5:$C$842,2,FALSE))</f>
        <v/>
      </c>
      <c r="H676" s="4" t="e">
        <f ca="1">IF(F676&lt;PREMISSAS!$D$7,0,IFERROR(VLOOKUP(IF(LEFT(F676,2)="13",DATE(YEAR(F675),12,31),F676),IPCA!$A:$D,4,FALSE),1)*G676)</f>
        <v>#VALUE!</v>
      </c>
      <c r="J676" s="21" t="str">
        <f t="shared" ca="1" si="106"/>
        <v/>
      </c>
      <c r="K676" s="4" t="str">
        <f t="shared" ca="1" si="107"/>
        <v/>
      </c>
      <c r="M676" s="21" t="str">
        <f t="shared" ca="1" si="103"/>
        <v/>
      </c>
      <c r="N676" s="37">
        <f t="shared" ca="1" si="108"/>
        <v>0</v>
      </c>
      <c r="O676" s="4">
        <f ca="1">IFERROR(AVERAGEIF(N$5:$N676,"&gt;="&amp;_xlfn.PERCENTILE.EXC(N$5:$N676,0.2)),0)</f>
        <v>0</v>
      </c>
      <c r="Q676" s="21" t="str">
        <f t="shared" ca="1" si="104"/>
        <v/>
      </c>
      <c r="R676" s="37">
        <f t="shared" ca="1" si="100"/>
        <v>0</v>
      </c>
      <c r="S676" s="4">
        <f ca="1">IFERROR(AVERAGE($R$5:R676),0)</f>
        <v>0</v>
      </c>
      <c r="U676" s="21" t="str">
        <f t="shared" ca="1" si="109"/>
        <v/>
      </c>
      <c r="V676" s="4">
        <f ca="1">MIN(S676,PREMISSAS!$C$14)</f>
        <v>0</v>
      </c>
      <c r="W676" s="188"/>
      <c r="X676" s="188"/>
    </row>
    <row r="677" spans="2:24" x14ac:dyDescent="0.3">
      <c r="B677" s="21" t="str">
        <f t="shared" ca="1" si="101"/>
        <v/>
      </c>
      <c r="C677" s="22" t="str">
        <f ca="1">IF(B677="","",IF(LEFT(B677,2)="13",C676,IF(MONTH(B677)=1,C676*(1+PREMISSAS!$C$58),C676)))</f>
        <v/>
      </c>
      <c r="E677" s="18">
        <v>673</v>
      </c>
      <c r="F677" s="21" t="str">
        <f t="shared" ca="1" si="102"/>
        <v/>
      </c>
      <c r="G677" s="22" t="str">
        <f ca="1">IFERROR(VLOOKUP(F677,RESULTADOS!$O$5:$P$543,2,FALSE),VLOOKUP(F677,$B$5:$C$842,2,FALSE))</f>
        <v/>
      </c>
      <c r="H677" s="4" t="e">
        <f ca="1">IF(F677&lt;PREMISSAS!$D$7,0,IFERROR(VLOOKUP(IF(LEFT(F677,2)="13",DATE(YEAR(F676),12,31),F677),IPCA!$A:$D,4,FALSE),1)*G677)</f>
        <v>#VALUE!</v>
      </c>
      <c r="J677" s="21" t="str">
        <f t="shared" ca="1" si="106"/>
        <v/>
      </c>
      <c r="K677" s="4" t="str">
        <f t="shared" ca="1" si="107"/>
        <v/>
      </c>
      <c r="M677" s="21" t="str">
        <f t="shared" ca="1" si="103"/>
        <v/>
      </c>
      <c r="N677" s="37">
        <f t="shared" ca="1" si="108"/>
        <v>0</v>
      </c>
      <c r="O677" s="4">
        <f ca="1">IFERROR(AVERAGEIF(N$5:$N677,"&gt;="&amp;_xlfn.PERCENTILE.EXC(N$5:$N677,0.2)),0)</f>
        <v>0</v>
      </c>
      <c r="Q677" s="21" t="str">
        <f t="shared" ca="1" si="104"/>
        <v/>
      </c>
      <c r="R677" s="37">
        <f t="shared" ca="1" si="100"/>
        <v>0</v>
      </c>
      <c r="S677" s="4">
        <f ca="1">IFERROR(AVERAGE($R$5:R677),0)</f>
        <v>0</v>
      </c>
      <c r="U677" s="21" t="str">
        <f t="shared" ca="1" si="109"/>
        <v/>
      </c>
      <c r="V677" s="4">
        <f ca="1">MIN(S677,PREMISSAS!$C$14)</f>
        <v>0</v>
      </c>
      <c r="W677" s="188"/>
      <c r="X677" s="188"/>
    </row>
    <row r="678" spans="2:24" x14ac:dyDescent="0.3">
      <c r="B678" s="21" t="str">
        <f t="shared" ca="1" si="101"/>
        <v/>
      </c>
      <c r="C678" s="22" t="str">
        <f ca="1">IF(B678="","",IF(LEFT(B678,2)="13",C677,IF(MONTH(B678)=1,C677*(1+PREMISSAS!$C$58),C677)))</f>
        <v/>
      </c>
      <c r="E678" s="18">
        <v>674</v>
      </c>
      <c r="F678" s="21" t="str">
        <f t="shared" ca="1" si="102"/>
        <v/>
      </c>
      <c r="G678" s="22" t="str">
        <f ca="1">IFERROR(VLOOKUP(F678,RESULTADOS!$O$5:$P$543,2,FALSE),VLOOKUP(F678,$B$5:$C$842,2,FALSE))</f>
        <v/>
      </c>
      <c r="H678" s="4" t="e">
        <f ca="1">IF(F678&lt;PREMISSAS!$D$7,0,IFERROR(VLOOKUP(IF(LEFT(F678,2)="13",DATE(YEAR(F677),12,31),F678),IPCA!$A:$D,4,FALSE),1)*G678)</f>
        <v>#VALUE!</v>
      </c>
      <c r="J678" s="21" t="str">
        <f t="shared" ca="1" si="106"/>
        <v/>
      </c>
      <c r="K678" s="4" t="str">
        <f t="shared" ca="1" si="107"/>
        <v/>
      </c>
      <c r="M678" s="21" t="str">
        <f t="shared" ca="1" si="103"/>
        <v/>
      </c>
      <c r="N678" s="37">
        <f t="shared" ca="1" si="108"/>
        <v>0</v>
      </c>
      <c r="O678" s="4">
        <f ca="1">IFERROR(AVERAGEIF(N$5:$N678,"&gt;="&amp;_xlfn.PERCENTILE.EXC(N$5:$N678,0.2)),0)</f>
        <v>0</v>
      </c>
      <c r="Q678" s="21" t="str">
        <f t="shared" ca="1" si="104"/>
        <v/>
      </c>
      <c r="R678" s="37">
        <f t="shared" ca="1" si="100"/>
        <v>0</v>
      </c>
      <c r="S678" s="4">
        <f ca="1">IFERROR(AVERAGE($R$5:R678),0)</f>
        <v>0</v>
      </c>
      <c r="U678" s="21" t="str">
        <f t="shared" ca="1" si="109"/>
        <v/>
      </c>
      <c r="V678" s="4">
        <f ca="1">MIN(S678,PREMISSAS!$C$14)</f>
        <v>0</v>
      </c>
      <c r="W678" s="188"/>
      <c r="X678" s="188"/>
    </row>
    <row r="679" spans="2:24" x14ac:dyDescent="0.3">
      <c r="B679" s="21" t="str">
        <f t="shared" ca="1" si="101"/>
        <v/>
      </c>
      <c r="C679" s="22" t="str">
        <f ca="1">IF(B679="","",IF(LEFT(B679,2)="13",C678,IF(MONTH(B679)=1,C678*(1+PREMISSAS!$C$58),C678)))</f>
        <v/>
      </c>
      <c r="E679" s="18">
        <v>675</v>
      </c>
      <c r="F679" s="21" t="str">
        <f t="shared" ca="1" si="102"/>
        <v/>
      </c>
      <c r="G679" s="22" t="str">
        <f ca="1">IFERROR(VLOOKUP(F679,RESULTADOS!$O$5:$P$543,2,FALSE),VLOOKUP(F679,$B$5:$C$842,2,FALSE))</f>
        <v/>
      </c>
      <c r="H679" s="4" t="e">
        <f ca="1">IF(F679&lt;PREMISSAS!$D$7,0,IFERROR(VLOOKUP(IF(LEFT(F679,2)="13",DATE(YEAR(F678),12,31),F679),IPCA!$A:$D,4,FALSE),1)*G679)</f>
        <v>#VALUE!</v>
      </c>
      <c r="J679" s="21" t="str">
        <f t="shared" ca="1" si="106"/>
        <v/>
      </c>
      <c r="K679" s="4" t="str">
        <f t="shared" ca="1" si="107"/>
        <v/>
      </c>
      <c r="M679" s="21" t="str">
        <f t="shared" ca="1" si="103"/>
        <v/>
      </c>
      <c r="N679" s="37">
        <f t="shared" ca="1" si="108"/>
        <v>0</v>
      </c>
      <c r="O679" s="4">
        <f ca="1">IFERROR(AVERAGEIF(N$5:$N679,"&gt;="&amp;_xlfn.PERCENTILE.EXC(N$5:$N679,0.2)),0)</f>
        <v>0</v>
      </c>
      <c r="Q679" s="21" t="str">
        <f t="shared" ca="1" si="104"/>
        <v/>
      </c>
      <c r="R679" s="37">
        <f t="shared" ca="1" si="100"/>
        <v>0</v>
      </c>
      <c r="S679" s="4">
        <f ca="1">IFERROR(AVERAGE($R$5:R679),0)</f>
        <v>0</v>
      </c>
      <c r="U679" s="21" t="str">
        <f t="shared" ca="1" si="109"/>
        <v/>
      </c>
      <c r="V679" s="4">
        <f ca="1">MIN(S679,PREMISSAS!$C$14)</f>
        <v>0</v>
      </c>
      <c r="W679" s="188"/>
      <c r="X679" s="188"/>
    </row>
    <row r="680" spans="2:24" x14ac:dyDescent="0.3">
      <c r="B680" s="21" t="str">
        <f t="shared" ca="1" si="101"/>
        <v/>
      </c>
      <c r="C680" s="22" t="str">
        <f ca="1">IF(B680="","",IF(LEFT(B680,2)="13",C679,IF(MONTH(B680)=1,C679*(1+PREMISSAS!$C$58),C679)))</f>
        <v/>
      </c>
      <c r="E680" s="18">
        <v>676</v>
      </c>
      <c r="F680" s="21" t="str">
        <f t="shared" ca="1" si="102"/>
        <v/>
      </c>
      <c r="G680" s="22" t="str">
        <f ca="1">IFERROR(VLOOKUP(F680,RESULTADOS!$O$5:$P$543,2,FALSE),VLOOKUP(F680,$B$5:$C$842,2,FALSE))</f>
        <v/>
      </c>
      <c r="H680" s="4" t="e">
        <f ca="1">IF(F680&lt;PREMISSAS!$D$7,0,IFERROR(VLOOKUP(IF(LEFT(F680,2)="13",DATE(YEAR(F679),12,31),F680),IPCA!$A:$D,4,FALSE),1)*G680)</f>
        <v>#VALUE!</v>
      </c>
      <c r="J680" s="21" t="str">
        <f t="shared" ca="1" si="106"/>
        <v/>
      </c>
      <c r="K680" s="4" t="str">
        <f t="shared" ca="1" si="107"/>
        <v/>
      </c>
      <c r="M680" s="21" t="str">
        <f t="shared" ca="1" si="103"/>
        <v/>
      </c>
      <c r="N680" s="37">
        <f t="shared" ca="1" si="108"/>
        <v>0</v>
      </c>
      <c r="O680" s="4">
        <f ca="1">IFERROR(AVERAGEIF(N$5:$N680,"&gt;="&amp;_xlfn.PERCENTILE.EXC(N$5:$N680,0.2)),0)</f>
        <v>0</v>
      </c>
      <c r="Q680" s="21" t="str">
        <f t="shared" ca="1" si="104"/>
        <v/>
      </c>
      <c r="R680" s="37">
        <f t="shared" ca="1" si="100"/>
        <v>0</v>
      </c>
      <c r="S680" s="4">
        <f ca="1">IFERROR(AVERAGE($R$5:R680),0)</f>
        <v>0</v>
      </c>
      <c r="U680" s="21" t="str">
        <f t="shared" ca="1" si="109"/>
        <v/>
      </c>
      <c r="V680" s="4">
        <f ca="1">MIN(S680,PREMISSAS!$C$14)</f>
        <v>0</v>
      </c>
      <c r="W680" s="188"/>
      <c r="X680" s="188"/>
    </row>
    <row r="681" spans="2:24" x14ac:dyDescent="0.3">
      <c r="B681" s="21" t="str">
        <f t="shared" ca="1" si="101"/>
        <v/>
      </c>
      <c r="C681" s="22" t="str">
        <f ca="1">IF(B681="","",IF(LEFT(B681,2)="13",C680,IF(MONTH(B681)=1,C680*(1+PREMISSAS!$C$58),C680)))</f>
        <v/>
      </c>
      <c r="E681" s="18">
        <v>677</v>
      </c>
      <c r="F681" s="21" t="str">
        <f t="shared" ca="1" si="102"/>
        <v/>
      </c>
      <c r="G681" s="22" t="str">
        <f ca="1">IFERROR(VLOOKUP(F681,RESULTADOS!$O$5:$P$543,2,FALSE),VLOOKUP(F681,$B$5:$C$842,2,FALSE))</f>
        <v/>
      </c>
      <c r="H681" s="4" t="e">
        <f ca="1">IF(F681&lt;PREMISSAS!$D$7,0,IFERROR(VLOOKUP(IF(LEFT(F681,2)="13",DATE(YEAR(F680),12,31),F681),IPCA!$A:$D,4,FALSE),1)*G681)</f>
        <v>#VALUE!</v>
      </c>
      <c r="J681" s="21" t="str">
        <f t="shared" ca="1" si="106"/>
        <v/>
      </c>
      <c r="K681" s="4" t="str">
        <f t="shared" ca="1" si="107"/>
        <v/>
      </c>
      <c r="M681" s="21" t="str">
        <f t="shared" ca="1" si="103"/>
        <v/>
      </c>
      <c r="N681" s="37">
        <f t="shared" ca="1" si="108"/>
        <v>0</v>
      </c>
      <c r="O681" s="4">
        <f ca="1">IFERROR(AVERAGEIF(N$5:$N681,"&gt;="&amp;_xlfn.PERCENTILE.EXC(N$5:$N681,0.2)),0)</f>
        <v>0</v>
      </c>
      <c r="Q681" s="21" t="str">
        <f t="shared" ca="1" si="104"/>
        <v/>
      </c>
      <c r="R681" s="37">
        <f t="shared" ca="1" si="100"/>
        <v>0</v>
      </c>
      <c r="S681" s="4">
        <f ca="1">IFERROR(AVERAGE($R$5:R681),0)</f>
        <v>0</v>
      </c>
      <c r="U681" s="21" t="str">
        <f t="shared" ca="1" si="109"/>
        <v/>
      </c>
      <c r="V681" s="4">
        <f ca="1">MIN(S681,PREMISSAS!$C$14)</f>
        <v>0</v>
      </c>
      <c r="W681" s="188"/>
      <c r="X681" s="188"/>
    </row>
    <row r="682" spans="2:24" x14ac:dyDescent="0.3">
      <c r="B682" s="21" t="str">
        <f t="shared" ca="1" si="101"/>
        <v/>
      </c>
      <c r="C682" s="22" t="str">
        <f ca="1">IF(B682="","",IF(LEFT(B682,2)="13",C681,IF(MONTH(B682)=1,C681*(1+PREMISSAS!$C$58),C681)))</f>
        <v/>
      </c>
      <c r="E682" s="18">
        <v>678</v>
      </c>
      <c r="F682" s="21" t="str">
        <f t="shared" ca="1" si="102"/>
        <v/>
      </c>
      <c r="G682" s="22" t="str">
        <f ca="1">IFERROR(VLOOKUP(F682,RESULTADOS!$O$5:$P$543,2,FALSE),VLOOKUP(F682,$B$5:$C$842,2,FALSE))</f>
        <v/>
      </c>
      <c r="H682" s="4" t="e">
        <f ca="1">IF(F682&lt;PREMISSAS!$D$7,0,IFERROR(VLOOKUP(IF(LEFT(F682,2)="13",DATE(YEAR(F681),12,31),F682),IPCA!$A:$D,4,FALSE),1)*G682)</f>
        <v>#VALUE!</v>
      </c>
      <c r="J682" s="21" t="str">
        <f t="shared" ca="1" si="106"/>
        <v/>
      </c>
      <c r="K682" s="4" t="str">
        <f t="shared" ca="1" si="107"/>
        <v/>
      </c>
      <c r="M682" s="21" t="str">
        <f t="shared" ca="1" si="103"/>
        <v/>
      </c>
      <c r="N682" s="37">
        <f t="shared" ca="1" si="108"/>
        <v>0</v>
      </c>
      <c r="O682" s="4">
        <f ca="1">IFERROR(AVERAGEIF(N$5:$N682,"&gt;="&amp;_xlfn.PERCENTILE.EXC(N$5:$N682,0.2)),0)</f>
        <v>0</v>
      </c>
      <c r="Q682" s="21" t="str">
        <f t="shared" ca="1" si="104"/>
        <v/>
      </c>
      <c r="R682" s="37">
        <f t="shared" ca="1" si="100"/>
        <v>0</v>
      </c>
      <c r="S682" s="4">
        <f ca="1">IFERROR(AVERAGE($R$5:R682),0)</f>
        <v>0</v>
      </c>
      <c r="U682" s="21" t="str">
        <f t="shared" ca="1" si="109"/>
        <v/>
      </c>
      <c r="V682" s="4">
        <f ca="1">MIN(S682,PREMISSAS!$C$14)</f>
        <v>0</v>
      </c>
      <c r="W682" s="188"/>
      <c r="X682" s="188"/>
    </row>
    <row r="683" spans="2:24" x14ac:dyDescent="0.3">
      <c r="B683" s="21" t="str">
        <f t="shared" ca="1" si="101"/>
        <v/>
      </c>
      <c r="C683" s="22" t="str">
        <f ca="1">IF(B683="","",IF(LEFT(B683,2)="13",C682,IF(MONTH(B683)=1,C682*(1+PREMISSAS!$C$58),C682)))</f>
        <v/>
      </c>
      <c r="E683" s="18">
        <v>679</v>
      </c>
      <c r="F683" s="21" t="str">
        <f t="shared" ca="1" si="102"/>
        <v/>
      </c>
      <c r="G683" s="22" t="str">
        <f ca="1">IFERROR(VLOOKUP(F683,RESULTADOS!$O$5:$P$543,2,FALSE),VLOOKUP(F683,$B$5:$C$842,2,FALSE))</f>
        <v/>
      </c>
      <c r="H683" s="4" t="e">
        <f ca="1">IF(F683&lt;PREMISSAS!$D$7,0,IFERROR(VLOOKUP(IF(LEFT(F683,2)="13",DATE(YEAR(F682),12,31),F683),IPCA!$A:$D,4,FALSE),1)*G683)</f>
        <v>#VALUE!</v>
      </c>
      <c r="J683" s="21" t="str">
        <f t="shared" ca="1" si="106"/>
        <v/>
      </c>
      <c r="K683" s="4" t="str">
        <f t="shared" ca="1" si="107"/>
        <v/>
      </c>
      <c r="M683" s="21" t="str">
        <f t="shared" ca="1" si="103"/>
        <v/>
      </c>
      <c r="N683" s="37">
        <f t="shared" ca="1" si="108"/>
        <v>0</v>
      </c>
      <c r="O683" s="4">
        <f ca="1">IFERROR(AVERAGEIF(N$5:$N683,"&gt;="&amp;_xlfn.PERCENTILE.EXC(N$5:$N683,0.2)),0)</f>
        <v>0</v>
      </c>
      <c r="Q683" s="21" t="str">
        <f t="shared" ca="1" si="104"/>
        <v/>
      </c>
      <c r="R683" s="37">
        <f t="shared" ca="1" si="100"/>
        <v>0</v>
      </c>
      <c r="S683" s="4">
        <f ca="1">IFERROR(AVERAGE($R$5:R683),0)</f>
        <v>0</v>
      </c>
      <c r="U683" s="21" t="str">
        <f t="shared" ca="1" si="109"/>
        <v/>
      </c>
      <c r="V683" s="4">
        <f ca="1">MIN(S683,PREMISSAS!$C$14)</f>
        <v>0</v>
      </c>
      <c r="W683" s="188"/>
      <c r="X683" s="188"/>
    </row>
    <row r="684" spans="2:24" x14ac:dyDescent="0.3">
      <c r="B684" s="21" t="str">
        <f t="shared" ca="1" si="101"/>
        <v/>
      </c>
      <c r="C684" s="22" t="str">
        <f ca="1">IF(B684="","",IF(LEFT(B684,2)="13",C683,IF(MONTH(B684)=1,C683*(1+PREMISSAS!$C$58),C683)))</f>
        <v/>
      </c>
      <c r="E684" s="18">
        <v>680</v>
      </c>
      <c r="F684" s="21" t="str">
        <f t="shared" ca="1" si="102"/>
        <v/>
      </c>
      <c r="G684" s="22" t="str">
        <f ca="1">IFERROR(VLOOKUP(F684,RESULTADOS!$O$5:$P$543,2,FALSE),VLOOKUP(F684,$B$5:$C$842,2,FALSE))</f>
        <v/>
      </c>
      <c r="H684" s="4" t="e">
        <f ca="1">IF(F684&lt;PREMISSAS!$D$7,0,IFERROR(VLOOKUP(IF(LEFT(F684,2)="13",DATE(YEAR(F683),12,31),F684),IPCA!$A:$D,4,FALSE),1)*G684)</f>
        <v>#VALUE!</v>
      </c>
      <c r="J684" s="21" t="str">
        <f t="shared" ca="1" si="106"/>
        <v/>
      </c>
      <c r="K684" s="4" t="str">
        <f t="shared" ca="1" si="107"/>
        <v/>
      </c>
      <c r="M684" s="21" t="str">
        <f t="shared" ca="1" si="103"/>
        <v/>
      </c>
      <c r="N684" s="37">
        <f t="shared" ca="1" si="108"/>
        <v>0</v>
      </c>
      <c r="O684" s="4">
        <f ca="1">IFERROR(AVERAGEIF(N$5:$N684,"&gt;="&amp;_xlfn.PERCENTILE.EXC(N$5:$N684,0.2)),0)</f>
        <v>0</v>
      </c>
      <c r="Q684" s="21" t="str">
        <f t="shared" ca="1" si="104"/>
        <v/>
      </c>
      <c r="R684" s="37">
        <f t="shared" ca="1" si="100"/>
        <v>0</v>
      </c>
      <c r="S684" s="4">
        <f ca="1">IFERROR(AVERAGE($R$5:R684),0)</f>
        <v>0</v>
      </c>
      <c r="U684" s="21" t="str">
        <f t="shared" ca="1" si="109"/>
        <v/>
      </c>
      <c r="V684" s="4">
        <f ca="1">MIN(S684,PREMISSAS!$C$14)</f>
        <v>0</v>
      </c>
      <c r="W684" s="188"/>
      <c r="X684" s="188"/>
    </row>
    <row r="685" spans="2:24" x14ac:dyDescent="0.3">
      <c r="B685" s="21" t="str">
        <f t="shared" ca="1" si="101"/>
        <v/>
      </c>
      <c r="C685" s="22" t="str">
        <f ca="1">IF(B685="","",IF(LEFT(B685,2)="13",C684,IF(MONTH(B685)=1,C684*(1+PREMISSAS!$C$58),C684)))</f>
        <v/>
      </c>
      <c r="E685" s="18">
        <v>681</v>
      </c>
      <c r="F685" s="21" t="str">
        <f t="shared" ca="1" si="102"/>
        <v/>
      </c>
      <c r="G685" s="22" t="str">
        <f ca="1">IFERROR(VLOOKUP(F685,RESULTADOS!$O$5:$P$543,2,FALSE),VLOOKUP(F685,$B$5:$C$842,2,FALSE))</f>
        <v/>
      </c>
      <c r="H685" s="4" t="e">
        <f ca="1">IF(F685&lt;PREMISSAS!$D$7,0,IFERROR(VLOOKUP(IF(LEFT(F685,2)="13",DATE(YEAR(F684),12,31),F685),IPCA!$A:$D,4,FALSE),1)*G685)</f>
        <v>#VALUE!</v>
      </c>
      <c r="J685" s="21" t="str">
        <f t="shared" ca="1" si="106"/>
        <v/>
      </c>
      <c r="K685" s="4" t="str">
        <f t="shared" ca="1" si="107"/>
        <v/>
      </c>
      <c r="M685" s="21" t="str">
        <f t="shared" ca="1" si="103"/>
        <v/>
      </c>
      <c r="N685" s="37">
        <f t="shared" ca="1" si="108"/>
        <v>0</v>
      </c>
      <c r="O685" s="4">
        <f ca="1">IFERROR(AVERAGEIF(N$5:$N685,"&gt;="&amp;_xlfn.PERCENTILE.EXC(N$5:$N685,0.2)),0)</f>
        <v>0</v>
      </c>
      <c r="Q685" s="21" t="str">
        <f t="shared" ca="1" si="104"/>
        <v/>
      </c>
      <c r="R685" s="37">
        <f t="shared" ca="1" si="100"/>
        <v>0</v>
      </c>
      <c r="S685" s="4">
        <f ca="1">IFERROR(AVERAGE($R$5:R685),0)</f>
        <v>0</v>
      </c>
      <c r="U685" s="21" t="str">
        <f t="shared" ca="1" si="109"/>
        <v/>
      </c>
      <c r="V685" s="4">
        <f ca="1">MIN(S685,PREMISSAS!$C$14)</f>
        <v>0</v>
      </c>
      <c r="W685" s="188"/>
      <c r="X685" s="188"/>
    </row>
    <row r="686" spans="2:24" x14ac:dyDescent="0.3">
      <c r="B686" s="21" t="str">
        <f t="shared" ca="1" si="101"/>
        <v/>
      </c>
      <c r="C686" s="22" t="str">
        <f ca="1">IF(B686="","",IF(LEFT(B686,2)="13",C685,IF(MONTH(B686)=1,C685*(1+PREMISSAS!$C$58),C685)))</f>
        <v/>
      </c>
      <c r="E686" s="18">
        <v>682</v>
      </c>
      <c r="F686" s="21" t="str">
        <f t="shared" ca="1" si="102"/>
        <v/>
      </c>
      <c r="G686" s="22" t="str">
        <f ca="1">IFERROR(VLOOKUP(F686,RESULTADOS!$O$5:$P$543,2,FALSE),VLOOKUP(F686,$B$5:$C$842,2,FALSE))</f>
        <v/>
      </c>
      <c r="H686" s="4" t="e">
        <f ca="1">IF(F686&lt;PREMISSAS!$D$7,0,IFERROR(VLOOKUP(IF(LEFT(F686,2)="13",DATE(YEAR(F685),12,31),F686),IPCA!$A:$D,4,FALSE),1)*G686)</f>
        <v>#VALUE!</v>
      </c>
      <c r="J686" s="21" t="str">
        <f t="shared" ca="1" si="106"/>
        <v/>
      </c>
      <c r="K686" s="4" t="str">
        <f t="shared" ca="1" si="107"/>
        <v/>
      </c>
      <c r="M686" s="21" t="str">
        <f t="shared" ca="1" si="103"/>
        <v/>
      </c>
      <c r="N686" s="37">
        <f t="shared" ca="1" si="108"/>
        <v>0</v>
      </c>
      <c r="O686" s="4">
        <f ca="1">IFERROR(AVERAGEIF(N$5:$N686,"&gt;="&amp;_xlfn.PERCENTILE.EXC(N$5:$N686,0.2)),0)</f>
        <v>0</v>
      </c>
      <c r="Q686" s="21" t="str">
        <f t="shared" ca="1" si="104"/>
        <v/>
      </c>
      <c r="R686" s="37">
        <f t="shared" ca="1" si="100"/>
        <v>0</v>
      </c>
      <c r="S686" s="4">
        <f ca="1">IFERROR(AVERAGE($R$5:R686),0)</f>
        <v>0</v>
      </c>
      <c r="U686" s="21" t="str">
        <f t="shared" ca="1" si="109"/>
        <v/>
      </c>
      <c r="V686" s="4">
        <f ca="1">MIN(S686,PREMISSAS!$C$14)</f>
        <v>0</v>
      </c>
      <c r="W686" s="188"/>
      <c r="X686" s="188"/>
    </row>
    <row r="687" spans="2:24" x14ac:dyDescent="0.3">
      <c r="B687" s="21" t="str">
        <f t="shared" ca="1" si="101"/>
        <v/>
      </c>
      <c r="C687" s="22" t="str">
        <f ca="1">IF(B687="","",IF(LEFT(B687,2)="13",C686,IF(MONTH(B687)=1,C686*(1+PREMISSAS!$C$58),C686)))</f>
        <v/>
      </c>
      <c r="E687" s="18">
        <v>683</v>
      </c>
      <c r="F687" s="21" t="str">
        <f t="shared" ca="1" si="102"/>
        <v/>
      </c>
      <c r="G687" s="22" t="str">
        <f ca="1">IFERROR(VLOOKUP(F687,RESULTADOS!$O$5:$P$543,2,FALSE),VLOOKUP(F687,$B$5:$C$842,2,FALSE))</f>
        <v/>
      </c>
      <c r="H687" s="4" t="e">
        <f ca="1">IF(F687&lt;PREMISSAS!$D$7,0,IFERROR(VLOOKUP(IF(LEFT(F687,2)="13",DATE(YEAR(F686),12,31),F687),IPCA!$A:$D,4,FALSE),1)*G687)</f>
        <v>#VALUE!</v>
      </c>
      <c r="J687" s="21" t="str">
        <f t="shared" ca="1" si="106"/>
        <v/>
      </c>
      <c r="K687" s="4" t="str">
        <f t="shared" ca="1" si="107"/>
        <v/>
      </c>
      <c r="M687" s="21" t="str">
        <f t="shared" ca="1" si="103"/>
        <v/>
      </c>
      <c r="N687" s="37">
        <f t="shared" ca="1" si="108"/>
        <v>0</v>
      </c>
      <c r="O687" s="4">
        <f ca="1">IFERROR(AVERAGEIF(N$5:$N687,"&gt;="&amp;_xlfn.PERCENTILE.EXC(N$5:$N687,0.2)),0)</f>
        <v>0</v>
      </c>
      <c r="Q687" s="21" t="str">
        <f t="shared" ca="1" si="104"/>
        <v/>
      </c>
      <c r="R687" s="37">
        <f t="shared" ca="1" si="100"/>
        <v>0</v>
      </c>
      <c r="S687" s="4">
        <f ca="1">IFERROR(AVERAGE($R$5:R687),0)</f>
        <v>0</v>
      </c>
      <c r="U687" s="21" t="str">
        <f t="shared" ca="1" si="109"/>
        <v/>
      </c>
      <c r="V687" s="4">
        <f ca="1">MIN(S687,PREMISSAS!$C$14)</f>
        <v>0</v>
      </c>
      <c r="W687" s="188"/>
      <c r="X687" s="188"/>
    </row>
    <row r="688" spans="2:24" x14ac:dyDescent="0.3">
      <c r="B688" s="21" t="str">
        <f t="shared" ca="1" si="101"/>
        <v/>
      </c>
      <c r="C688" s="22" t="str">
        <f ca="1">IF(B688="","",IF(LEFT(B688,2)="13",C687,IF(MONTH(B688)=1,C687*(1+PREMISSAS!$C$58),C687)))</f>
        <v/>
      </c>
      <c r="E688" s="18">
        <v>684</v>
      </c>
      <c r="F688" s="21" t="str">
        <f t="shared" ca="1" si="102"/>
        <v/>
      </c>
      <c r="G688" s="22" t="str">
        <f ca="1">IFERROR(VLOOKUP(F688,RESULTADOS!$O$5:$P$543,2,FALSE),VLOOKUP(F688,$B$5:$C$842,2,FALSE))</f>
        <v/>
      </c>
      <c r="H688" s="4" t="e">
        <f ca="1">IF(F688&lt;PREMISSAS!$D$7,0,IFERROR(VLOOKUP(IF(LEFT(F688,2)="13",DATE(YEAR(F687),12,31),F688),IPCA!$A:$D,4,FALSE),1)*G688)</f>
        <v>#VALUE!</v>
      </c>
      <c r="J688" s="21" t="str">
        <f t="shared" ca="1" si="106"/>
        <v/>
      </c>
      <c r="K688" s="4" t="str">
        <f t="shared" ca="1" si="107"/>
        <v/>
      </c>
      <c r="M688" s="21" t="str">
        <f t="shared" ca="1" si="103"/>
        <v/>
      </c>
      <c r="N688" s="37">
        <f t="shared" ca="1" si="108"/>
        <v>0</v>
      </c>
      <c r="O688" s="4">
        <f ca="1">IFERROR(AVERAGEIF(N$5:$N688,"&gt;="&amp;_xlfn.PERCENTILE.EXC(N$5:$N688,0.2)),0)</f>
        <v>0</v>
      </c>
      <c r="Q688" s="21" t="str">
        <f t="shared" ca="1" si="104"/>
        <v/>
      </c>
      <c r="R688" s="37">
        <f t="shared" ca="1" si="100"/>
        <v>0</v>
      </c>
      <c r="S688" s="4">
        <f ca="1">IFERROR(AVERAGE($R$5:R688),0)</f>
        <v>0</v>
      </c>
      <c r="U688" s="21" t="str">
        <f t="shared" ca="1" si="109"/>
        <v/>
      </c>
      <c r="V688" s="4">
        <f ca="1">MIN(S688,PREMISSAS!$C$14)</f>
        <v>0</v>
      </c>
      <c r="W688" s="188"/>
      <c r="X688" s="188"/>
    </row>
    <row r="689" spans="2:24" x14ac:dyDescent="0.3">
      <c r="B689" s="21" t="str">
        <f t="shared" ca="1" si="101"/>
        <v/>
      </c>
      <c r="C689" s="22" t="str">
        <f ca="1">IF(B689="","",IF(LEFT(B689,2)="13",C688,IF(MONTH(B689)=1,C688*(1+PREMISSAS!$C$58),C688)))</f>
        <v/>
      </c>
      <c r="E689" s="18">
        <v>685</v>
      </c>
      <c r="F689" s="21" t="str">
        <f t="shared" ca="1" si="102"/>
        <v/>
      </c>
      <c r="G689" s="22" t="str">
        <f ca="1">IFERROR(VLOOKUP(F689,RESULTADOS!$O$5:$P$543,2,FALSE),VLOOKUP(F689,$B$5:$C$842,2,FALSE))</f>
        <v/>
      </c>
      <c r="H689" s="4" t="e">
        <f ca="1">IF(F689&lt;PREMISSAS!$D$7,0,IFERROR(VLOOKUP(IF(LEFT(F689,2)="13",DATE(YEAR(F688),12,31),F689),IPCA!$A:$D,4,FALSE),1)*G689)</f>
        <v>#VALUE!</v>
      </c>
      <c r="J689" s="21" t="str">
        <f t="shared" ref="J689:J699" ca="1" si="110">F689</f>
        <v/>
      </c>
      <c r="K689" s="4" t="str">
        <f t="shared" ref="K689:K699" ca="1" si="111">G689</f>
        <v/>
      </c>
      <c r="M689" s="21" t="str">
        <f t="shared" ca="1" si="103"/>
        <v/>
      </c>
      <c r="N689" s="37">
        <f t="shared" ref="N689:N699" ca="1" si="112">IFERROR(VLOOKUP(M689,$F$5:$H$628,3,FALSE),0)</f>
        <v>0</v>
      </c>
      <c r="O689" s="4">
        <f ca="1">IFERROR(AVERAGEIF(N$5:$N689,"&gt;="&amp;_xlfn.PERCENTILE.EXC(N$5:$N689,0.2)),0)</f>
        <v>0</v>
      </c>
      <c r="Q689" s="21" t="str">
        <f t="shared" ca="1" si="104"/>
        <v/>
      </c>
      <c r="R689" s="37">
        <f t="shared" ca="1" si="100"/>
        <v>0</v>
      </c>
      <c r="S689" s="4">
        <f ca="1">IFERROR(AVERAGE($R$5:R689),0)</f>
        <v>0</v>
      </c>
      <c r="U689" s="21" t="str">
        <f t="shared" ref="U689:U699" ca="1" si="113">M689</f>
        <v/>
      </c>
      <c r="V689" s="4">
        <f ca="1">MIN(S689,PREMISSAS!$C$14)</f>
        <v>0</v>
      </c>
      <c r="W689" s="188"/>
      <c r="X689" s="188"/>
    </row>
    <row r="690" spans="2:24" x14ac:dyDescent="0.3">
      <c r="B690" s="21" t="str">
        <f t="shared" ca="1" si="101"/>
        <v/>
      </c>
      <c r="C690" s="22" t="str">
        <f ca="1">IF(B690="","",IF(LEFT(B690,2)="13",C689,IF(MONTH(B690)=1,C689*(1+PREMISSAS!$C$58),C689)))</f>
        <v/>
      </c>
      <c r="E690" s="18">
        <v>686</v>
      </c>
      <c r="F690" s="21" t="str">
        <f t="shared" ca="1" si="102"/>
        <v/>
      </c>
      <c r="G690" s="22" t="str">
        <f ca="1">IFERROR(VLOOKUP(F690,RESULTADOS!$O$5:$P$543,2,FALSE),VLOOKUP(F690,$B$5:$C$842,2,FALSE))</f>
        <v/>
      </c>
      <c r="H690" s="4" t="e">
        <f ca="1">IF(F690&lt;PREMISSAS!$D$7,0,IFERROR(VLOOKUP(IF(LEFT(F690,2)="13",DATE(YEAR(F689),12,31),F690),IPCA!$A:$D,4,FALSE),1)*G690)</f>
        <v>#VALUE!</v>
      </c>
      <c r="J690" s="21" t="str">
        <f t="shared" ca="1" si="110"/>
        <v/>
      </c>
      <c r="K690" s="4" t="str">
        <f t="shared" ca="1" si="111"/>
        <v/>
      </c>
      <c r="M690" s="21" t="str">
        <f t="shared" ca="1" si="103"/>
        <v/>
      </c>
      <c r="N690" s="37">
        <f t="shared" ca="1" si="112"/>
        <v>0</v>
      </c>
      <c r="O690" s="4">
        <f ca="1">IFERROR(AVERAGEIF(N$5:$N690,"&gt;="&amp;_xlfn.PERCENTILE.EXC(N$5:$N690,0.2)),0)</f>
        <v>0</v>
      </c>
      <c r="Q690" s="21" t="str">
        <f t="shared" ca="1" si="104"/>
        <v/>
      </c>
      <c r="R690" s="37">
        <f t="shared" ca="1" si="100"/>
        <v>0</v>
      </c>
      <c r="S690" s="4">
        <f ca="1">IFERROR(AVERAGE($R$5:R690),0)</f>
        <v>0</v>
      </c>
      <c r="U690" s="21" t="str">
        <f t="shared" ca="1" si="113"/>
        <v/>
      </c>
      <c r="V690" s="4">
        <f ca="1">MIN(S690,PREMISSAS!$C$14)</f>
        <v>0</v>
      </c>
      <c r="W690" s="188"/>
      <c r="X690" s="188"/>
    </row>
    <row r="691" spans="2:24" x14ac:dyDescent="0.3">
      <c r="B691" s="21" t="str">
        <f t="shared" ca="1" si="101"/>
        <v/>
      </c>
      <c r="C691" s="22" t="str">
        <f ca="1">IF(B691="","",IF(LEFT(B691,2)="13",C690,IF(MONTH(B691)=1,C690*(1+PREMISSAS!$C$58),C690)))</f>
        <v/>
      </c>
      <c r="E691" s="18">
        <v>687</v>
      </c>
      <c r="F691" s="21" t="str">
        <f t="shared" ca="1" si="102"/>
        <v/>
      </c>
      <c r="G691" s="22" t="str">
        <f ca="1">IFERROR(VLOOKUP(F691,RESULTADOS!$O$5:$P$543,2,FALSE),VLOOKUP(F691,$B$5:$C$842,2,FALSE))</f>
        <v/>
      </c>
      <c r="H691" s="4" t="e">
        <f ca="1">IF(F691&lt;PREMISSAS!$D$7,0,IFERROR(VLOOKUP(IF(LEFT(F691,2)="13",DATE(YEAR(F690),12,31),F691),IPCA!$A:$D,4,FALSE),1)*G691)</f>
        <v>#VALUE!</v>
      </c>
      <c r="J691" s="21" t="str">
        <f t="shared" ca="1" si="110"/>
        <v/>
      </c>
      <c r="K691" s="4" t="str">
        <f t="shared" ca="1" si="111"/>
        <v/>
      </c>
      <c r="M691" s="21" t="str">
        <f t="shared" ca="1" si="103"/>
        <v/>
      </c>
      <c r="N691" s="37">
        <f t="shared" ca="1" si="112"/>
        <v>0</v>
      </c>
      <c r="O691" s="4">
        <f ca="1">IFERROR(AVERAGEIF(N$5:$N691,"&gt;="&amp;_xlfn.PERCENTILE.EXC(N$5:$N691,0.2)),0)</f>
        <v>0</v>
      </c>
      <c r="Q691" s="21" t="str">
        <f t="shared" ca="1" si="104"/>
        <v/>
      </c>
      <c r="R691" s="37">
        <f t="shared" ca="1" si="100"/>
        <v>0</v>
      </c>
      <c r="S691" s="4">
        <f ca="1">IFERROR(AVERAGE($R$5:R691),0)</f>
        <v>0</v>
      </c>
      <c r="U691" s="21" t="str">
        <f t="shared" ca="1" si="113"/>
        <v/>
      </c>
      <c r="V691" s="4">
        <f ca="1">MIN(S691,PREMISSAS!$C$14)</f>
        <v>0</v>
      </c>
      <c r="W691" s="188"/>
      <c r="X691" s="188"/>
    </row>
    <row r="692" spans="2:24" x14ac:dyDescent="0.3">
      <c r="B692" s="21" t="str">
        <f t="shared" ca="1" si="101"/>
        <v/>
      </c>
      <c r="C692" s="22" t="str">
        <f ca="1">IF(B692="","",IF(LEFT(B692,2)="13",C691,IF(MONTH(B692)=1,C691*(1+PREMISSAS!$C$58),C691)))</f>
        <v/>
      </c>
      <c r="E692" s="18">
        <v>688</v>
      </c>
      <c r="F692" s="21" t="str">
        <f t="shared" ca="1" si="102"/>
        <v/>
      </c>
      <c r="G692" s="22" t="str">
        <f ca="1">IFERROR(VLOOKUP(F692,RESULTADOS!$O$5:$P$543,2,FALSE),VLOOKUP(F692,$B$5:$C$842,2,FALSE))</f>
        <v/>
      </c>
      <c r="H692" s="4" t="e">
        <f ca="1">IF(F692&lt;PREMISSAS!$D$7,0,IFERROR(VLOOKUP(IF(LEFT(F692,2)="13",DATE(YEAR(F691),12,31),F692),IPCA!$A:$D,4,FALSE),1)*G692)</f>
        <v>#VALUE!</v>
      </c>
      <c r="J692" s="21" t="str">
        <f t="shared" ca="1" si="110"/>
        <v/>
      </c>
      <c r="K692" s="4" t="str">
        <f t="shared" ca="1" si="111"/>
        <v/>
      </c>
      <c r="M692" s="21" t="str">
        <f t="shared" ca="1" si="103"/>
        <v/>
      </c>
      <c r="N692" s="37">
        <f t="shared" ca="1" si="112"/>
        <v>0</v>
      </c>
      <c r="O692" s="4">
        <f ca="1">IFERROR(AVERAGEIF(N$5:$N692,"&gt;="&amp;_xlfn.PERCENTILE.EXC(N$5:$N692,0.2)),0)</f>
        <v>0</v>
      </c>
      <c r="Q692" s="21" t="str">
        <f t="shared" ca="1" si="104"/>
        <v/>
      </c>
      <c r="R692" s="37">
        <f t="shared" ca="1" si="100"/>
        <v>0</v>
      </c>
      <c r="S692" s="4">
        <f ca="1">IFERROR(AVERAGE($R$5:R692),0)</f>
        <v>0</v>
      </c>
      <c r="U692" s="21" t="str">
        <f t="shared" ca="1" si="113"/>
        <v/>
      </c>
      <c r="V692" s="4">
        <f ca="1">MIN(S692,PREMISSAS!$C$14)</f>
        <v>0</v>
      </c>
      <c r="W692" s="188"/>
      <c r="X692" s="188"/>
    </row>
    <row r="693" spans="2:24" x14ac:dyDescent="0.3">
      <c r="B693" s="21" t="str">
        <f t="shared" ca="1" si="101"/>
        <v/>
      </c>
      <c r="C693" s="22" t="str">
        <f ca="1">IF(B693="","",IF(LEFT(B693,2)="13",C692,IF(MONTH(B693)=1,C692*(1+PREMISSAS!$C$58),C692)))</f>
        <v/>
      </c>
      <c r="E693" s="18">
        <v>689</v>
      </c>
      <c r="F693" s="21" t="str">
        <f t="shared" ca="1" si="102"/>
        <v/>
      </c>
      <c r="G693" s="22" t="str">
        <f ca="1">IFERROR(VLOOKUP(F693,RESULTADOS!$O$5:$P$543,2,FALSE),VLOOKUP(F693,$B$5:$C$842,2,FALSE))</f>
        <v/>
      </c>
      <c r="H693" s="4" t="e">
        <f ca="1">IF(F693&lt;PREMISSAS!$D$7,0,IFERROR(VLOOKUP(IF(LEFT(F693,2)="13",DATE(YEAR(F692),12,31),F693),IPCA!$A:$D,4,FALSE),1)*G693)</f>
        <v>#VALUE!</v>
      </c>
      <c r="J693" s="21" t="str">
        <f t="shared" ca="1" si="110"/>
        <v/>
      </c>
      <c r="K693" s="4" t="str">
        <f t="shared" ca="1" si="111"/>
        <v/>
      </c>
      <c r="M693" s="21" t="str">
        <f t="shared" ca="1" si="103"/>
        <v/>
      </c>
      <c r="N693" s="37">
        <f t="shared" ca="1" si="112"/>
        <v>0</v>
      </c>
      <c r="O693" s="4">
        <f ca="1">IFERROR(AVERAGEIF(N$5:$N693,"&gt;="&amp;_xlfn.PERCENTILE.EXC(N$5:$N693,0.2)),0)</f>
        <v>0</v>
      </c>
      <c r="Q693" s="21" t="str">
        <f t="shared" ca="1" si="104"/>
        <v/>
      </c>
      <c r="R693" s="37">
        <f t="shared" ca="1" si="100"/>
        <v>0</v>
      </c>
      <c r="S693" s="4">
        <f ca="1">IFERROR(AVERAGE($R$5:R693),0)</f>
        <v>0</v>
      </c>
      <c r="U693" s="21" t="str">
        <f t="shared" ca="1" si="113"/>
        <v/>
      </c>
      <c r="V693" s="4">
        <f ca="1">MIN(S693,PREMISSAS!$C$14)</f>
        <v>0</v>
      </c>
      <c r="W693" s="188"/>
      <c r="X693" s="188"/>
    </row>
    <row r="694" spans="2:24" x14ac:dyDescent="0.3">
      <c r="B694" s="21" t="str">
        <f t="shared" ca="1" si="101"/>
        <v/>
      </c>
      <c r="C694" s="22" t="str">
        <f ca="1">IF(B694="","",IF(LEFT(B694,2)="13",C693,IF(MONTH(B694)=1,C693*(1+PREMISSAS!$C$58),C693)))</f>
        <v/>
      </c>
      <c r="E694" s="18">
        <v>690</v>
      </c>
      <c r="F694" s="21" t="str">
        <f t="shared" ca="1" si="102"/>
        <v/>
      </c>
      <c r="G694" s="22" t="str">
        <f ca="1">IFERROR(VLOOKUP(F694,RESULTADOS!$O$5:$P$543,2,FALSE),VLOOKUP(F694,$B$5:$C$842,2,FALSE))</f>
        <v/>
      </c>
      <c r="H694" s="4" t="e">
        <f ca="1">IF(F694&lt;PREMISSAS!$D$7,0,IFERROR(VLOOKUP(IF(LEFT(F694,2)="13",DATE(YEAR(F693),12,31),F694),IPCA!$A:$D,4,FALSE),1)*G694)</f>
        <v>#VALUE!</v>
      </c>
      <c r="J694" s="21" t="str">
        <f t="shared" ca="1" si="110"/>
        <v/>
      </c>
      <c r="K694" s="4" t="str">
        <f t="shared" ca="1" si="111"/>
        <v/>
      </c>
      <c r="M694" s="21" t="str">
        <f t="shared" ca="1" si="103"/>
        <v/>
      </c>
      <c r="N694" s="37">
        <f t="shared" ca="1" si="112"/>
        <v>0</v>
      </c>
      <c r="O694" s="4">
        <f ca="1">IFERROR(AVERAGEIF(N$5:$N694,"&gt;="&amp;_xlfn.PERCENTILE.EXC(N$5:$N694,0.2)),0)</f>
        <v>0</v>
      </c>
      <c r="Q694" s="21" t="str">
        <f t="shared" ca="1" si="104"/>
        <v/>
      </c>
      <c r="R694" s="37">
        <f t="shared" ca="1" si="100"/>
        <v>0</v>
      </c>
      <c r="S694" s="4">
        <f ca="1">IFERROR(AVERAGE($R$5:R694),0)</f>
        <v>0</v>
      </c>
      <c r="U694" s="21" t="str">
        <f t="shared" ca="1" si="113"/>
        <v/>
      </c>
      <c r="V694" s="4">
        <f ca="1">MIN(S694,PREMISSAS!$C$14)</f>
        <v>0</v>
      </c>
      <c r="W694" s="188"/>
      <c r="X694" s="188"/>
    </row>
    <row r="695" spans="2:24" x14ac:dyDescent="0.3">
      <c r="B695" s="21" t="str">
        <f t="shared" ca="1" si="101"/>
        <v/>
      </c>
      <c r="C695" s="22" t="str">
        <f ca="1">IF(B695="","",IF(LEFT(B695,2)="13",C694,IF(MONTH(B695)=1,C694*(1+PREMISSAS!$C$58),C694)))</f>
        <v/>
      </c>
      <c r="E695" s="18">
        <v>691</v>
      </c>
      <c r="F695" s="21" t="str">
        <f t="shared" ca="1" si="102"/>
        <v/>
      </c>
      <c r="G695" s="22" t="str">
        <f ca="1">IFERROR(VLOOKUP(F695,RESULTADOS!$O$5:$P$543,2,FALSE),VLOOKUP(F695,$B$5:$C$842,2,FALSE))</f>
        <v/>
      </c>
      <c r="H695" s="4" t="e">
        <f ca="1">IF(F695&lt;PREMISSAS!$D$7,0,IFERROR(VLOOKUP(IF(LEFT(F695,2)="13",DATE(YEAR(F694),12,31),F695),IPCA!$A:$D,4,FALSE),1)*G695)</f>
        <v>#VALUE!</v>
      </c>
      <c r="J695" s="21" t="str">
        <f t="shared" ca="1" si="110"/>
        <v/>
      </c>
      <c r="K695" s="4" t="str">
        <f t="shared" ca="1" si="111"/>
        <v/>
      </c>
      <c r="M695" s="21" t="str">
        <f t="shared" ca="1" si="103"/>
        <v/>
      </c>
      <c r="N695" s="37">
        <f t="shared" ca="1" si="112"/>
        <v>0</v>
      </c>
      <c r="O695" s="4">
        <f ca="1">IFERROR(AVERAGEIF(N$5:$N695,"&gt;="&amp;_xlfn.PERCENTILE.EXC(N$5:$N695,0.2)),0)</f>
        <v>0</v>
      </c>
      <c r="Q695" s="21" t="str">
        <f t="shared" ca="1" si="104"/>
        <v/>
      </c>
      <c r="R695" s="37">
        <f t="shared" ca="1" si="100"/>
        <v>0</v>
      </c>
      <c r="S695" s="4">
        <f ca="1">IFERROR(AVERAGE($R$5:R695),0)</f>
        <v>0</v>
      </c>
      <c r="U695" s="21" t="str">
        <f t="shared" ca="1" si="113"/>
        <v/>
      </c>
      <c r="V695" s="4">
        <f ca="1">MIN(S695,PREMISSAS!$C$14)</f>
        <v>0</v>
      </c>
      <c r="W695" s="188"/>
      <c r="X695" s="188"/>
    </row>
    <row r="696" spans="2:24" x14ac:dyDescent="0.3">
      <c r="B696" s="21" t="str">
        <f t="shared" ca="1" si="101"/>
        <v/>
      </c>
      <c r="C696" s="22" t="str">
        <f ca="1">IF(B696="","",IF(LEFT(B696,2)="13",C695,IF(MONTH(B696)=1,C695*(1+PREMISSAS!$C$58),C695)))</f>
        <v/>
      </c>
      <c r="E696" s="18">
        <v>692</v>
      </c>
      <c r="F696" s="21" t="str">
        <f t="shared" ca="1" si="102"/>
        <v/>
      </c>
      <c r="G696" s="22" t="str">
        <f ca="1">IFERROR(VLOOKUP(F696,RESULTADOS!$O$5:$P$543,2,FALSE),VLOOKUP(F696,$B$5:$C$842,2,FALSE))</f>
        <v/>
      </c>
      <c r="H696" s="4" t="e">
        <f ca="1">IF(F696&lt;PREMISSAS!$D$7,0,IFERROR(VLOOKUP(IF(LEFT(F696,2)="13",DATE(YEAR(F695),12,31),F696),IPCA!$A:$D,4,FALSE),1)*G696)</f>
        <v>#VALUE!</v>
      </c>
      <c r="J696" s="21" t="str">
        <f t="shared" ca="1" si="110"/>
        <v/>
      </c>
      <c r="K696" s="4" t="str">
        <f t="shared" ca="1" si="111"/>
        <v/>
      </c>
      <c r="M696" s="21" t="str">
        <f t="shared" ca="1" si="103"/>
        <v/>
      </c>
      <c r="N696" s="37">
        <f t="shared" ca="1" si="112"/>
        <v>0</v>
      </c>
      <c r="O696" s="4">
        <f ca="1">IFERROR(AVERAGEIF(N$5:$N696,"&gt;="&amp;_xlfn.PERCENTILE.EXC(N$5:$N696,0.2)),0)</f>
        <v>0</v>
      </c>
      <c r="Q696" s="21" t="str">
        <f t="shared" ca="1" si="104"/>
        <v/>
      </c>
      <c r="R696" s="37">
        <f t="shared" ca="1" si="100"/>
        <v>0</v>
      </c>
      <c r="S696" s="4">
        <f ca="1">IFERROR(AVERAGE($R$5:R696),0)</f>
        <v>0</v>
      </c>
      <c r="U696" s="21" t="str">
        <f t="shared" ca="1" si="113"/>
        <v/>
      </c>
      <c r="V696" s="4">
        <f ca="1">MIN(S696,PREMISSAS!$C$14)</f>
        <v>0</v>
      </c>
      <c r="W696" s="188"/>
      <c r="X696" s="188"/>
    </row>
    <row r="697" spans="2:24" x14ac:dyDescent="0.3">
      <c r="B697" s="21" t="str">
        <f t="shared" ca="1" si="101"/>
        <v/>
      </c>
      <c r="C697" s="22" t="str">
        <f ca="1">IF(B697="","",IF(LEFT(B697,2)="13",C696,IF(MONTH(B697)=1,C696*(1+PREMISSAS!$C$58),C696)))</f>
        <v/>
      </c>
      <c r="E697" s="18">
        <v>693</v>
      </c>
      <c r="F697" s="21" t="str">
        <f t="shared" ca="1" si="102"/>
        <v/>
      </c>
      <c r="G697" s="22" t="str">
        <f ca="1">IFERROR(VLOOKUP(F697,RESULTADOS!$O$5:$P$543,2,FALSE),VLOOKUP(F697,$B$5:$C$842,2,FALSE))</f>
        <v/>
      </c>
      <c r="H697" s="4" t="e">
        <f ca="1">IF(F697&lt;PREMISSAS!$D$7,0,IFERROR(VLOOKUP(IF(LEFT(F697,2)="13",DATE(YEAR(F696),12,31),F697),IPCA!$A:$D,4,FALSE),1)*G697)</f>
        <v>#VALUE!</v>
      </c>
      <c r="J697" s="21" t="str">
        <f t="shared" ca="1" si="110"/>
        <v/>
      </c>
      <c r="K697" s="4" t="str">
        <f t="shared" ca="1" si="111"/>
        <v/>
      </c>
      <c r="M697" s="21" t="str">
        <f t="shared" ca="1" si="103"/>
        <v/>
      </c>
      <c r="N697" s="37">
        <f t="shared" ca="1" si="112"/>
        <v>0</v>
      </c>
      <c r="O697" s="4">
        <f ca="1">IFERROR(AVERAGEIF(N$5:$N697,"&gt;="&amp;_xlfn.PERCENTILE.EXC(N$5:$N697,0.2)),0)</f>
        <v>0</v>
      </c>
      <c r="Q697" s="21" t="str">
        <f t="shared" ca="1" si="104"/>
        <v/>
      </c>
      <c r="R697" s="37">
        <f t="shared" ca="1" si="100"/>
        <v>0</v>
      </c>
      <c r="S697" s="4">
        <f ca="1">IFERROR(AVERAGE($R$5:R697),0)</f>
        <v>0</v>
      </c>
      <c r="U697" s="21" t="str">
        <f t="shared" ca="1" si="113"/>
        <v/>
      </c>
      <c r="V697" s="4">
        <f ca="1">MIN(S697,PREMISSAS!$C$14)</f>
        <v>0</v>
      </c>
      <c r="W697" s="188"/>
      <c r="X697" s="188"/>
    </row>
    <row r="698" spans="2:24" x14ac:dyDescent="0.3">
      <c r="B698" s="21" t="str">
        <f t="shared" ca="1" si="101"/>
        <v/>
      </c>
      <c r="C698" s="22" t="str">
        <f ca="1">IF(B698="","",IF(LEFT(B698,2)="13",C697,IF(MONTH(B698)=1,C697*(1+PREMISSAS!$C$58),C697)))</f>
        <v/>
      </c>
      <c r="E698" s="18">
        <v>694</v>
      </c>
      <c r="F698" s="21" t="str">
        <f t="shared" ca="1" si="102"/>
        <v/>
      </c>
      <c r="G698" s="22" t="str">
        <f ca="1">IFERROR(VLOOKUP(F698,RESULTADOS!$O$5:$P$543,2,FALSE),VLOOKUP(F698,$B$5:$C$842,2,FALSE))</f>
        <v/>
      </c>
      <c r="H698" s="4" t="e">
        <f ca="1">IF(F698&lt;PREMISSAS!$D$7,0,IFERROR(VLOOKUP(IF(LEFT(F698,2)="13",DATE(YEAR(F697),12,31),F698),IPCA!$A:$D,4,FALSE),1)*G698)</f>
        <v>#VALUE!</v>
      </c>
      <c r="J698" s="21" t="str">
        <f t="shared" ca="1" si="110"/>
        <v/>
      </c>
      <c r="K698" s="4" t="str">
        <f t="shared" ca="1" si="111"/>
        <v/>
      </c>
      <c r="M698" s="21" t="str">
        <f t="shared" ca="1" si="103"/>
        <v/>
      </c>
      <c r="N698" s="37">
        <f t="shared" ca="1" si="112"/>
        <v>0</v>
      </c>
      <c r="O698" s="4">
        <f ca="1">IFERROR(AVERAGEIF(N$5:$N698,"&gt;="&amp;_xlfn.PERCENTILE.EXC(N$5:$N698,0.2)),0)</f>
        <v>0</v>
      </c>
      <c r="Q698" s="21" t="str">
        <f t="shared" ca="1" si="104"/>
        <v/>
      </c>
      <c r="R698" s="37">
        <f t="shared" ca="1" si="100"/>
        <v>0</v>
      </c>
      <c r="S698" s="4">
        <f ca="1">IFERROR(AVERAGE($R$5:R698),0)</f>
        <v>0</v>
      </c>
      <c r="U698" s="21" t="str">
        <f t="shared" ca="1" si="113"/>
        <v/>
      </c>
      <c r="V698" s="4">
        <f ca="1">MIN(S698,PREMISSAS!$C$14)</f>
        <v>0</v>
      </c>
      <c r="W698" s="188"/>
      <c r="X698" s="188"/>
    </row>
    <row r="699" spans="2:24" x14ac:dyDescent="0.3">
      <c r="B699" s="21" t="str">
        <f t="shared" ca="1" si="101"/>
        <v/>
      </c>
      <c r="C699" s="22" t="str">
        <f ca="1">IF(B699="","",IF(LEFT(B699,2)="13",C698,IF(MONTH(B699)=1,C698*(1+PREMISSAS!$C$58),C698)))</f>
        <v/>
      </c>
      <c r="E699" s="18">
        <v>695</v>
      </c>
      <c r="F699" s="21" t="str">
        <f t="shared" ca="1" si="102"/>
        <v/>
      </c>
      <c r="G699" s="22" t="str">
        <f ca="1">IFERROR(VLOOKUP(F699,RESULTADOS!$O$5:$P$543,2,FALSE),VLOOKUP(F699,$B$5:$C$842,2,FALSE))</f>
        <v/>
      </c>
      <c r="H699" s="4" t="e">
        <f ca="1">IF(F699&lt;PREMISSAS!$D$7,0,IFERROR(VLOOKUP(IF(LEFT(F699,2)="13",DATE(YEAR(F698),12,31),F699),IPCA!$A:$D,4,FALSE),1)*G699)</f>
        <v>#VALUE!</v>
      </c>
      <c r="J699" s="21" t="str">
        <f t="shared" ca="1" si="110"/>
        <v/>
      </c>
      <c r="K699" s="4" t="str">
        <f t="shared" ca="1" si="111"/>
        <v/>
      </c>
      <c r="M699" s="21" t="str">
        <f t="shared" ca="1" si="103"/>
        <v/>
      </c>
      <c r="N699" s="37">
        <f t="shared" ca="1" si="112"/>
        <v>0</v>
      </c>
      <c r="O699" s="4">
        <f ca="1">IFERROR(AVERAGEIF(N$5:$N699,"&gt;="&amp;_xlfn.PERCENTILE.EXC(N$5:$N699,0.2)),0)</f>
        <v>0</v>
      </c>
      <c r="Q699" s="21" t="str">
        <f t="shared" ca="1" si="104"/>
        <v/>
      </c>
      <c r="R699" s="37">
        <f t="shared" ca="1" si="100"/>
        <v>0</v>
      </c>
      <c r="S699" s="4">
        <f ca="1">IFERROR(AVERAGE($R$5:R699),0)</f>
        <v>0</v>
      </c>
      <c r="U699" s="21" t="str">
        <f t="shared" ca="1" si="113"/>
        <v/>
      </c>
      <c r="V699" s="4">
        <f ca="1">MIN(S699,PREMISSAS!$C$14)</f>
        <v>0</v>
      </c>
      <c r="W699" s="188"/>
      <c r="X699" s="188"/>
    </row>
    <row r="700" spans="2:24" x14ac:dyDescent="0.3">
      <c r="B700" s="21" t="str">
        <f t="shared" ca="1" si="101"/>
        <v/>
      </c>
      <c r="C700" s="22" t="str">
        <f ca="1">IF(B700="","",IF(LEFT(B700,2)="13",C699,IF(MONTH(B700)=1,C699*(1+PREMISSAS!$C$58),C699)))</f>
        <v/>
      </c>
      <c r="E700" s="18">
        <v>696</v>
      </c>
      <c r="F700" s="21" t="str">
        <f t="shared" ca="1" si="102"/>
        <v/>
      </c>
      <c r="G700" s="22" t="str">
        <f ca="1">IFERROR(VLOOKUP(F700,RESULTADOS!$O$5:$P$543,2,FALSE),VLOOKUP(F700,$B$5:$C$842,2,FALSE))</f>
        <v/>
      </c>
      <c r="H700" s="4" t="e">
        <f ca="1">IF(F700&lt;PREMISSAS!$D$7,0,IFERROR(VLOOKUP(IF(LEFT(F700,2)="13",DATE(YEAR(F699),12,31),F700),IPCA!$A:$D,4,FALSE),1)*G700)</f>
        <v>#VALUE!</v>
      </c>
      <c r="J700" s="21" t="str">
        <f t="shared" ref="J700:J722" ca="1" si="114">F700</f>
        <v/>
      </c>
      <c r="K700" s="4" t="str">
        <f t="shared" ref="K700:K722" ca="1" si="115">G700</f>
        <v/>
      </c>
      <c r="M700" s="21" t="str">
        <f t="shared" ca="1" si="103"/>
        <v/>
      </c>
      <c r="N700" s="37">
        <f t="shared" ref="N700:N722" ca="1" si="116">IFERROR(VLOOKUP(M700,$F$5:$H$628,3,FALSE),0)</f>
        <v>0</v>
      </c>
      <c r="O700" s="4">
        <f ca="1">IFERROR(AVERAGEIF(N$5:$N700,"&gt;="&amp;_xlfn.PERCENTILE.EXC(N$5:$N700,0.2)),0)</f>
        <v>0</v>
      </c>
      <c r="Q700" s="21" t="str">
        <f t="shared" ca="1" si="104"/>
        <v/>
      </c>
      <c r="R700" s="37">
        <f t="shared" ca="1" si="100"/>
        <v>0</v>
      </c>
      <c r="S700" s="4">
        <f ca="1">IFERROR(AVERAGE($R$5:R700),0)</f>
        <v>0</v>
      </c>
      <c r="U700" s="21" t="str">
        <f t="shared" ref="U700:U722" ca="1" si="117">M700</f>
        <v/>
      </c>
      <c r="V700" s="4">
        <f ca="1">MIN(S700,PREMISSAS!$C$14)</f>
        <v>0</v>
      </c>
      <c r="W700" s="188"/>
      <c r="X700" s="188"/>
    </row>
    <row r="701" spans="2:24" x14ac:dyDescent="0.3">
      <c r="B701" s="21" t="str">
        <f t="shared" ca="1" si="101"/>
        <v/>
      </c>
      <c r="C701" s="22" t="str">
        <f ca="1">IF(B701="","",IF(LEFT(B701,2)="13",C700,IF(MONTH(B701)=1,C700*(1+PREMISSAS!$C$58),C700)))</f>
        <v/>
      </c>
      <c r="E701" s="18">
        <v>697</v>
      </c>
      <c r="F701" s="21" t="str">
        <f t="shared" ca="1" si="102"/>
        <v/>
      </c>
      <c r="G701" s="22" t="str">
        <f ca="1">IFERROR(VLOOKUP(F701,RESULTADOS!$O$5:$P$543,2,FALSE),VLOOKUP(F701,$B$5:$C$842,2,FALSE))</f>
        <v/>
      </c>
      <c r="H701" s="4" t="e">
        <f ca="1">IF(F701&lt;PREMISSAS!$D$7,0,IFERROR(VLOOKUP(IF(LEFT(F701,2)="13",DATE(YEAR(F700),12,31),F701),IPCA!$A:$D,4,FALSE),1)*G701)</f>
        <v>#VALUE!</v>
      </c>
      <c r="J701" s="21" t="str">
        <f t="shared" ca="1" si="114"/>
        <v/>
      </c>
      <c r="K701" s="4" t="str">
        <f t="shared" ca="1" si="115"/>
        <v/>
      </c>
      <c r="M701" s="21" t="str">
        <f t="shared" ca="1" si="103"/>
        <v/>
      </c>
      <c r="N701" s="37">
        <f t="shared" ca="1" si="116"/>
        <v>0</v>
      </c>
      <c r="O701" s="4">
        <f ca="1">IFERROR(AVERAGEIF(N$5:$N701,"&gt;="&amp;_xlfn.PERCENTILE.EXC(N$5:$N701,0.2)),0)</f>
        <v>0</v>
      </c>
      <c r="Q701" s="21" t="str">
        <f t="shared" ca="1" si="104"/>
        <v/>
      </c>
      <c r="R701" s="37">
        <f t="shared" ca="1" si="100"/>
        <v>0</v>
      </c>
      <c r="S701" s="4">
        <f ca="1">IFERROR(AVERAGE($R$5:R701),0)</f>
        <v>0</v>
      </c>
      <c r="U701" s="21" t="str">
        <f t="shared" ca="1" si="117"/>
        <v/>
      </c>
      <c r="V701" s="4">
        <f ca="1">MIN(S701,PREMISSAS!$C$14)</f>
        <v>0</v>
      </c>
      <c r="W701" s="188"/>
      <c r="X701" s="188"/>
    </row>
    <row r="702" spans="2:24" x14ac:dyDescent="0.3">
      <c r="B702" s="21" t="str">
        <f t="shared" ca="1" si="101"/>
        <v/>
      </c>
      <c r="C702" s="22" t="str">
        <f ca="1">IF(B702="","",IF(LEFT(B702,2)="13",C701,IF(MONTH(B702)=1,C701*(1+PREMISSAS!$C$58),C701)))</f>
        <v/>
      </c>
      <c r="E702" s="18">
        <v>698</v>
      </c>
      <c r="F702" s="21" t="str">
        <f t="shared" ca="1" si="102"/>
        <v/>
      </c>
      <c r="G702" s="22" t="str">
        <f ca="1">IFERROR(VLOOKUP(F702,RESULTADOS!$O$5:$P$543,2,FALSE),VLOOKUP(F702,$B$5:$C$842,2,FALSE))</f>
        <v/>
      </c>
      <c r="H702" s="4" t="e">
        <f ca="1">IF(F702&lt;PREMISSAS!$D$7,0,IFERROR(VLOOKUP(IF(LEFT(F702,2)="13",DATE(YEAR(F701),12,31),F702),IPCA!$A:$D,4,FALSE),1)*G702)</f>
        <v>#VALUE!</v>
      </c>
      <c r="J702" s="21" t="str">
        <f t="shared" ca="1" si="114"/>
        <v/>
      </c>
      <c r="K702" s="4" t="str">
        <f t="shared" ca="1" si="115"/>
        <v/>
      </c>
      <c r="M702" s="21" t="str">
        <f t="shared" ca="1" si="103"/>
        <v/>
      </c>
      <c r="N702" s="37">
        <f t="shared" ca="1" si="116"/>
        <v>0</v>
      </c>
      <c r="O702" s="4">
        <f ca="1">IFERROR(AVERAGEIF(N$5:$N702,"&gt;="&amp;_xlfn.PERCENTILE.EXC(N$5:$N702,0.2)),0)</f>
        <v>0</v>
      </c>
      <c r="Q702" s="21" t="str">
        <f t="shared" ca="1" si="104"/>
        <v/>
      </c>
      <c r="R702" s="37">
        <f t="shared" ca="1" si="100"/>
        <v>0</v>
      </c>
      <c r="S702" s="4">
        <f ca="1">IFERROR(AVERAGE($R$5:R702),0)</f>
        <v>0</v>
      </c>
      <c r="U702" s="21" t="str">
        <f t="shared" ca="1" si="117"/>
        <v/>
      </c>
      <c r="V702" s="4">
        <f ca="1">MIN(S702,PREMISSAS!$C$14)</f>
        <v>0</v>
      </c>
      <c r="W702" s="188"/>
      <c r="X702" s="188"/>
    </row>
    <row r="703" spans="2:24" x14ac:dyDescent="0.3">
      <c r="B703" s="21" t="str">
        <f t="shared" ca="1" si="101"/>
        <v/>
      </c>
      <c r="C703" s="22" t="str">
        <f ca="1">IF(B703="","",IF(LEFT(B703,2)="13",C702,IF(MONTH(B703)=1,C702*(1+PREMISSAS!$C$58),C702)))</f>
        <v/>
      </c>
      <c r="E703" s="18">
        <v>699</v>
      </c>
      <c r="F703" s="21" t="str">
        <f t="shared" ca="1" si="102"/>
        <v/>
      </c>
      <c r="G703" s="22" t="str">
        <f ca="1">IFERROR(VLOOKUP(F703,RESULTADOS!$O$5:$P$543,2,FALSE),VLOOKUP(F703,$B$5:$C$842,2,FALSE))</f>
        <v/>
      </c>
      <c r="H703" s="4" t="e">
        <f ca="1">IF(F703&lt;PREMISSAS!$D$7,0,IFERROR(VLOOKUP(IF(LEFT(F703,2)="13",DATE(YEAR(F702),12,31),F703),IPCA!$A:$D,4,FALSE),1)*G703)</f>
        <v>#VALUE!</v>
      </c>
      <c r="J703" s="21" t="str">
        <f t="shared" ca="1" si="114"/>
        <v/>
      </c>
      <c r="K703" s="4" t="str">
        <f t="shared" ca="1" si="115"/>
        <v/>
      </c>
      <c r="M703" s="21" t="str">
        <f t="shared" ca="1" si="103"/>
        <v/>
      </c>
      <c r="N703" s="37">
        <f t="shared" ca="1" si="116"/>
        <v>0</v>
      </c>
      <c r="O703" s="4">
        <f ca="1">IFERROR(AVERAGEIF(N$5:$N703,"&gt;="&amp;_xlfn.PERCENTILE.EXC(N$5:$N703,0.2)),0)</f>
        <v>0</v>
      </c>
      <c r="Q703" s="21" t="str">
        <f t="shared" ca="1" si="104"/>
        <v/>
      </c>
      <c r="R703" s="37">
        <f t="shared" ca="1" si="100"/>
        <v>0</v>
      </c>
      <c r="S703" s="4">
        <f ca="1">IFERROR(AVERAGE($R$5:R703),0)</f>
        <v>0</v>
      </c>
      <c r="U703" s="21" t="str">
        <f t="shared" ca="1" si="117"/>
        <v/>
      </c>
      <c r="V703" s="4">
        <f ca="1">MIN(S703,PREMISSAS!$C$14)</f>
        <v>0</v>
      </c>
      <c r="W703" s="188"/>
      <c r="X703" s="188"/>
    </row>
    <row r="704" spans="2:24" x14ac:dyDescent="0.3">
      <c r="B704" s="21" t="str">
        <f t="shared" ca="1" si="101"/>
        <v/>
      </c>
      <c r="C704" s="22" t="str">
        <f ca="1">IF(B704="","",IF(LEFT(B704,2)="13",C703,IF(MONTH(B704)=1,C703*(1+PREMISSAS!$C$58),C703)))</f>
        <v/>
      </c>
      <c r="E704" s="18">
        <v>700</v>
      </c>
      <c r="F704" s="21" t="str">
        <f t="shared" ca="1" si="102"/>
        <v/>
      </c>
      <c r="G704" s="22" t="str">
        <f ca="1">IFERROR(VLOOKUP(F704,RESULTADOS!$O$5:$P$543,2,FALSE),VLOOKUP(F704,$B$5:$C$842,2,FALSE))</f>
        <v/>
      </c>
      <c r="H704" s="4" t="e">
        <f ca="1">IF(F704&lt;PREMISSAS!$D$7,0,IFERROR(VLOOKUP(IF(LEFT(F704,2)="13",DATE(YEAR(F703),12,31),F704),IPCA!$A:$D,4,FALSE),1)*G704)</f>
        <v>#VALUE!</v>
      </c>
      <c r="J704" s="21" t="str">
        <f t="shared" ca="1" si="114"/>
        <v/>
      </c>
      <c r="K704" s="4" t="str">
        <f t="shared" ca="1" si="115"/>
        <v/>
      </c>
      <c r="M704" s="21" t="str">
        <f t="shared" ca="1" si="103"/>
        <v/>
      </c>
      <c r="N704" s="37">
        <f t="shared" ca="1" si="116"/>
        <v>0</v>
      </c>
      <c r="O704" s="4">
        <f ca="1">IFERROR(AVERAGEIF(N$5:$N704,"&gt;="&amp;_xlfn.PERCENTILE.EXC(N$5:$N704,0.2)),0)</f>
        <v>0</v>
      </c>
      <c r="Q704" s="21" t="str">
        <f t="shared" ca="1" si="104"/>
        <v/>
      </c>
      <c r="R704" s="37">
        <f t="shared" ca="1" si="100"/>
        <v>0</v>
      </c>
      <c r="S704" s="4">
        <f ca="1">IFERROR(AVERAGE($R$5:R704),0)</f>
        <v>0</v>
      </c>
      <c r="U704" s="21" t="str">
        <f t="shared" ca="1" si="117"/>
        <v/>
      </c>
      <c r="V704" s="4">
        <f ca="1">MIN(S704,PREMISSAS!$C$14)</f>
        <v>0</v>
      </c>
      <c r="W704" s="188"/>
      <c r="X704" s="188"/>
    </row>
    <row r="705" spans="2:24" x14ac:dyDescent="0.3">
      <c r="B705" s="21" t="str">
        <f t="shared" ca="1" si="101"/>
        <v/>
      </c>
      <c r="C705" s="22" t="str">
        <f ca="1">IF(B705="","",IF(LEFT(B705,2)="13",C704,IF(MONTH(B705)=1,C704*(1+PREMISSAS!$C$58),C704)))</f>
        <v/>
      </c>
      <c r="E705" s="18">
        <v>701</v>
      </c>
      <c r="F705" s="21" t="str">
        <f t="shared" ca="1" si="102"/>
        <v/>
      </c>
      <c r="G705" s="22" t="str">
        <f ca="1">IFERROR(VLOOKUP(F705,RESULTADOS!$O$5:$P$543,2,FALSE),VLOOKUP(F705,$B$5:$C$842,2,FALSE))</f>
        <v/>
      </c>
      <c r="H705" s="4" t="e">
        <f ca="1">IF(F705&lt;PREMISSAS!$D$7,0,IFERROR(VLOOKUP(IF(LEFT(F705,2)="13",DATE(YEAR(F704),12,31),F705),IPCA!$A:$D,4,FALSE),1)*G705)</f>
        <v>#VALUE!</v>
      </c>
      <c r="J705" s="21" t="str">
        <f t="shared" ca="1" si="114"/>
        <v/>
      </c>
      <c r="K705" s="4" t="str">
        <f t="shared" ca="1" si="115"/>
        <v/>
      </c>
      <c r="M705" s="21" t="str">
        <f t="shared" ca="1" si="103"/>
        <v/>
      </c>
      <c r="N705" s="37">
        <f t="shared" ca="1" si="116"/>
        <v>0</v>
      </c>
      <c r="O705" s="4">
        <f ca="1">IFERROR(AVERAGEIF(N$5:$N705,"&gt;="&amp;_xlfn.PERCENTILE.EXC(N$5:$N705,0.2)),0)</f>
        <v>0</v>
      </c>
      <c r="Q705" s="21" t="str">
        <f t="shared" ca="1" si="104"/>
        <v/>
      </c>
      <c r="R705" s="37">
        <f t="shared" ca="1" si="100"/>
        <v>0</v>
      </c>
      <c r="S705" s="4">
        <f ca="1">IFERROR(AVERAGE($R$5:R705),0)</f>
        <v>0</v>
      </c>
      <c r="U705" s="21" t="str">
        <f t="shared" ca="1" si="117"/>
        <v/>
      </c>
      <c r="V705" s="4">
        <f ca="1">MIN(S705,PREMISSAS!$C$14)</f>
        <v>0</v>
      </c>
      <c r="W705" s="188"/>
      <c r="X705" s="188"/>
    </row>
    <row r="706" spans="2:24" x14ac:dyDescent="0.3">
      <c r="B706" s="21" t="str">
        <f t="shared" ca="1" si="101"/>
        <v/>
      </c>
      <c r="C706" s="22" t="str">
        <f ca="1">IF(B706="","",IF(LEFT(B706,2)="13",C705,IF(MONTH(B706)=1,C705*(1+PREMISSAS!$C$58),C705)))</f>
        <v/>
      </c>
      <c r="E706" s="18">
        <v>702</v>
      </c>
      <c r="F706" s="21" t="str">
        <f t="shared" ca="1" si="102"/>
        <v/>
      </c>
      <c r="G706" s="22" t="str">
        <f ca="1">IFERROR(VLOOKUP(F706,RESULTADOS!$O$5:$P$543,2,FALSE),VLOOKUP(F706,$B$5:$C$842,2,FALSE))</f>
        <v/>
      </c>
      <c r="H706" s="4" t="e">
        <f ca="1">IF(F706&lt;PREMISSAS!$D$7,0,IFERROR(VLOOKUP(IF(LEFT(F706,2)="13",DATE(YEAR(F705),12,31),F706),IPCA!$A:$D,4,FALSE),1)*G706)</f>
        <v>#VALUE!</v>
      </c>
      <c r="J706" s="21" t="str">
        <f t="shared" ca="1" si="114"/>
        <v/>
      </c>
      <c r="K706" s="4" t="str">
        <f t="shared" ca="1" si="115"/>
        <v/>
      </c>
      <c r="M706" s="21" t="str">
        <f t="shared" ca="1" si="103"/>
        <v/>
      </c>
      <c r="N706" s="37">
        <f t="shared" ca="1" si="116"/>
        <v>0</v>
      </c>
      <c r="O706" s="4">
        <f ca="1">IFERROR(AVERAGEIF(N$5:$N706,"&gt;="&amp;_xlfn.PERCENTILE.EXC(N$5:$N706,0.2)),0)</f>
        <v>0</v>
      </c>
      <c r="Q706" s="21" t="str">
        <f t="shared" ca="1" si="104"/>
        <v/>
      </c>
      <c r="R706" s="37">
        <f t="shared" ca="1" si="100"/>
        <v>0</v>
      </c>
      <c r="S706" s="4">
        <f ca="1">IFERROR(AVERAGE($R$5:R706),0)</f>
        <v>0</v>
      </c>
      <c r="U706" s="21" t="str">
        <f t="shared" ca="1" si="117"/>
        <v/>
      </c>
      <c r="V706" s="4">
        <f ca="1">MIN(S706,PREMISSAS!$C$14)</f>
        <v>0</v>
      </c>
      <c r="W706" s="188"/>
      <c r="X706" s="188"/>
    </row>
    <row r="707" spans="2:24" x14ac:dyDescent="0.3">
      <c r="B707" s="21" t="str">
        <f t="shared" ca="1" si="101"/>
        <v/>
      </c>
      <c r="C707" s="22" t="str">
        <f ca="1">IF(B707="","",IF(LEFT(B707,2)="13",C706,IF(MONTH(B707)=1,C706*(1+PREMISSAS!$C$58),C706)))</f>
        <v/>
      </c>
      <c r="E707" s="18">
        <v>703</v>
      </c>
      <c r="F707" s="21" t="str">
        <f t="shared" ca="1" si="102"/>
        <v/>
      </c>
      <c r="G707" s="22" t="str">
        <f ca="1">IFERROR(VLOOKUP(F707,RESULTADOS!$O$5:$P$543,2,FALSE),VLOOKUP(F707,$B$5:$C$842,2,FALSE))</f>
        <v/>
      </c>
      <c r="H707" s="4" t="e">
        <f ca="1">IF(F707&lt;PREMISSAS!$D$7,0,IFERROR(VLOOKUP(IF(LEFT(F707,2)="13",DATE(YEAR(F706),12,31),F707),IPCA!$A:$D,4,FALSE),1)*G707)</f>
        <v>#VALUE!</v>
      </c>
      <c r="J707" s="21" t="str">
        <f t="shared" ca="1" si="114"/>
        <v/>
      </c>
      <c r="K707" s="4" t="str">
        <f t="shared" ca="1" si="115"/>
        <v/>
      </c>
      <c r="M707" s="21" t="str">
        <f t="shared" ca="1" si="103"/>
        <v/>
      </c>
      <c r="N707" s="37">
        <f t="shared" ca="1" si="116"/>
        <v>0</v>
      </c>
      <c r="O707" s="4">
        <f ca="1">IFERROR(AVERAGEIF(N$5:$N707,"&gt;="&amp;_xlfn.PERCENTILE.EXC(N$5:$N707,0.2)),0)</f>
        <v>0</v>
      </c>
      <c r="Q707" s="21" t="str">
        <f t="shared" ca="1" si="104"/>
        <v/>
      </c>
      <c r="R707" s="37">
        <f t="shared" ca="1" si="100"/>
        <v>0</v>
      </c>
      <c r="S707" s="4">
        <f ca="1">IFERROR(AVERAGE($R$5:R707),0)</f>
        <v>0</v>
      </c>
      <c r="U707" s="21" t="str">
        <f t="shared" ca="1" si="117"/>
        <v/>
      </c>
      <c r="V707" s="4">
        <f ca="1">MIN(S707,PREMISSAS!$C$14)</f>
        <v>0</v>
      </c>
      <c r="W707" s="188"/>
      <c r="X707" s="188"/>
    </row>
    <row r="708" spans="2:24" x14ac:dyDescent="0.3">
      <c r="B708" s="21" t="str">
        <f t="shared" ca="1" si="101"/>
        <v/>
      </c>
      <c r="C708" s="22" t="str">
        <f ca="1">IF(B708="","",IF(LEFT(B708,2)="13",C707,IF(MONTH(B708)=1,C707*(1+PREMISSAS!$C$58),C707)))</f>
        <v/>
      </c>
      <c r="E708" s="18">
        <v>704</v>
      </c>
      <c r="F708" s="21" t="str">
        <f t="shared" ca="1" si="102"/>
        <v/>
      </c>
      <c r="G708" s="22" t="str">
        <f ca="1">IFERROR(VLOOKUP(F708,RESULTADOS!$O$5:$P$543,2,FALSE),VLOOKUP(F708,$B$5:$C$842,2,FALSE))</f>
        <v/>
      </c>
      <c r="H708" s="4" t="e">
        <f ca="1">IF(F708&lt;PREMISSAS!$D$7,0,IFERROR(VLOOKUP(IF(LEFT(F708,2)="13",DATE(YEAR(F707),12,31),F708),IPCA!$A:$D,4,FALSE),1)*G708)</f>
        <v>#VALUE!</v>
      </c>
      <c r="J708" s="21" t="str">
        <f t="shared" ca="1" si="114"/>
        <v/>
      </c>
      <c r="K708" s="4" t="str">
        <f t="shared" ca="1" si="115"/>
        <v/>
      </c>
      <c r="M708" s="21" t="str">
        <f t="shared" ca="1" si="103"/>
        <v/>
      </c>
      <c r="N708" s="37">
        <f t="shared" ca="1" si="116"/>
        <v>0</v>
      </c>
      <c r="O708" s="4">
        <f ca="1">IFERROR(AVERAGEIF(N$5:$N708,"&gt;="&amp;_xlfn.PERCENTILE.EXC(N$5:$N708,0.2)),0)</f>
        <v>0</v>
      </c>
      <c r="Q708" s="21" t="str">
        <f t="shared" ca="1" si="104"/>
        <v/>
      </c>
      <c r="R708" s="37">
        <f t="shared" ca="1" si="100"/>
        <v>0</v>
      </c>
      <c r="S708" s="4">
        <f ca="1">IFERROR(AVERAGE($R$5:R708),0)</f>
        <v>0</v>
      </c>
      <c r="U708" s="21" t="str">
        <f t="shared" ca="1" si="117"/>
        <v/>
      </c>
      <c r="V708" s="4">
        <f ca="1">MIN(S708,PREMISSAS!$C$14)</f>
        <v>0</v>
      </c>
      <c r="W708" s="188"/>
      <c r="X708" s="188"/>
    </row>
    <row r="709" spans="2:24" x14ac:dyDescent="0.3">
      <c r="B709" s="21" t="str">
        <f t="shared" ca="1" si="101"/>
        <v/>
      </c>
      <c r="C709" s="22" t="str">
        <f ca="1">IF(B709="","",IF(LEFT(B709,2)="13",C708,IF(MONTH(B709)=1,C708*(1+PREMISSAS!$C$58),C708)))</f>
        <v/>
      </c>
      <c r="E709" s="18">
        <v>705</v>
      </c>
      <c r="F709" s="21" t="str">
        <f t="shared" ca="1" si="102"/>
        <v/>
      </c>
      <c r="G709" s="22" t="str">
        <f ca="1">IFERROR(VLOOKUP(F709,RESULTADOS!$O$5:$P$543,2,FALSE),VLOOKUP(F709,$B$5:$C$842,2,FALSE))</f>
        <v/>
      </c>
      <c r="H709" s="4" t="e">
        <f ca="1">IF(F709&lt;PREMISSAS!$D$7,0,IFERROR(VLOOKUP(IF(LEFT(F709,2)="13",DATE(YEAR(F708),12,31),F709),IPCA!$A:$D,4,FALSE),1)*G709)</f>
        <v>#VALUE!</v>
      </c>
      <c r="J709" s="21" t="str">
        <f t="shared" ca="1" si="114"/>
        <v/>
      </c>
      <c r="K709" s="4" t="str">
        <f t="shared" ca="1" si="115"/>
        <v/>
      </c>
      <c r="M709" s="21" t="str">
        <f t="shared" ca="1" si="103"/>
        <v/>
      </c>
      <c r="N709" s="37">
        <f t="shared" ca="1" si="116"/>
        <v>0</v>
      </c>
      <c r="O709" s="4">
        <f ca="1">IFERROR(AVERAGEIF(N$5:$N709,"&gt;="&amp;_xlfn.PERCENTILE.EXC(N$5:$N709,0.2)),0)</f>
        <v>0</v>
      </c>
      <c r="Q709" s="21" t="str">
        <f t="shared" ca="1" si="104"/>
        <v/>
      </c>
      <c r="R709" s="37">
        <f t="shared" ca="1" si="100"/>
        <v>0</v>
      </c>
      <c r="S709" s="4">
        <f ca="1">IFERROR(AVERAGE($R$5:R709),0)</f>
        <v>0</v>
      </c>
      <c r="U709" s="21" t="str">
        <f t="shared" ca="1" si="117"/>
        <v/>
      </c>
      <c r="V709" s="4">
        <f ca="1">MIN(S709,PREMISSAS!$C$14)</f>
        <v>0</v>
      </c>
      <c r="W709" s="188"/>
      <c r="X709" s="188"/>
    </row>
    <row r="710" spans="2:24" x14ac:dyDescent="0.3">
      <c r="B710" s="21" t="str">
        <f t="shared" ca="1" si="101"/>
        <v/>
      </c>
      <c r="C710" s="22" t="str">
        <f ca="1">IF(B710="","",IF(LEFT(B710,2)="13",C709,IF(MONTH(B710)=1,C709*(1+PREMISSAS!$C$58),C709)))</f>
        <v/>
      </c>
      <c r="E710" s="18">
        <v>706</v>
      </c>
      <c r="F710" s="21" t="str">
        <f t="shared" ca="1" si="102"/>
        <v/>
      </c>
      <c r="G710" s="22" t="str">
        <f ca="1">IFERROR(VLOOKUP(F710,RESULTADOS!$O$5:$P$543,2,FALSE),VLOOKUP(F710,$B$5:$C$842,2,FALSE))</f>
        <v/>
      </c>
      <c r="H710" s="4" t="e">
        <f ca="1">IF(F710&lt;PREMISSAS!$D$7,0,IFERROR(VLOOKUP(IF(LEFT(F710,2)="13",DATE(YEAR(F709),12,31),F710),IPCA!$A:$D,4,FALSE),1)*G710)</f>
        <v>#VALUE!</v>
      </c>
      <c r="J710" s="21" t="str">
        <f t="shared" ca="1" si="114"/>
        <v/>
      </c>
      <c r="K710" s="4" t="str">
        <f t="shared" ca="1" si="115"/>
        <v/>
      </c>
      <c r="M710" s="21" t="str">
        <f t="shared" ca="1" si="103"/>
        <v/>
      </c>
      <c r="N710" s="37">
        <f t="shared" ca="1" si="116"/>
        <v>0</v>
      </c>
      <c r="O710" s="4">
        <f ca="1">IFERROR(AVERAGEIF(N$5:$N710,"&gt;="&amp;_xlfn.PERCENTILE.EXC(N$5:$N710,0.2)),0)</f>
        <v>0</v>
      </c>
      <c r="Q710" s="21" t="str">
        <f t="shared" ca="1" si="104"/>
        <v/>
      </c>
      <c r="R710" s="37">
        <f t="shared" ref="R710:R722" ca="1" si="118">IFERROR(VLOOKUP(Q710,$F$5:$H$628,3,FALSE),0)</f>
        <v>0</v>
      </c>
      <c r="S710" s="4">
        <f ca="1">IFERROR(AVERAGE($R$5:R710),0)</f>
        <v>0</v>
      </c>
      <c r="U710" s="21" t="str">
        <f t="shared" ca="1" si="117"/>
        <v/>
      </c>
      <c r="V710" s="4">
        <f ca="1">MIN(S710,PREMISSAS!$C$14)</f>
        <v>0</v>
      </c>
      <c r="W710" s="188"/>
      <c r="X710" s="188"/>
    </row>
    <row r="711" spans="2:24" x14ac:dyDescent="0.3">
      <c r="B711" s="21" t="str">
        <f t="shared" ref="B711:B774" ca="1" si="119">IFERROR(IF(LEFT(B710,2)="13",DATE(RIGHT(B710,4),12,31),IF(EOMONTH(B710,0)&gt;$F$1,"",IF(MONTH(B710)=11,"13º "&amp;YEAR(B710),EOMONTH(B710,1)))),"")</f>
        <v/>
      </c>
      <c r="C711" s="22" t="str">
        <f ca="1">IF(B711="","",IF(LEFT(B711,2)="13",C710,IF(MONTH(B711)=1,C710*(1+PREMISSAS!$C$58),C710)))</f>
        <v/>
      </c>
      <c r="E711" s="18">
        <v>707</v>
      </c>
      <c r="F711" s="21" t="str">
        <f t="shared" ref="F711:F774" ca="1" si="120">IFERROR(IF(LEFT(F710,2)="13",DATE(RIGHT(F710,4),12,31),IF(EOMONTH(F710,0)&gt;$F$1,"",IF(MONTH(F710)=11,"13º "&amp;YEAR(F710),EOMONTH(F710,1)))),"")</f>
        <v/>
      </c>
      <c r="G711" s="22" t="str">
        <f ca="1">IFERROR(VLOOKUP(F711,RESULTADOS!$O$5:$P$543,2,FALSE),VLOOKUP(F711,$B$5:$C$842,2,FALSE))</f>
        <v/>
      </c>
      <c r="H711" s="4" t="e">
        <f ca="1">IF(F711&lt;PREMISSAS!$D$7,0,IFERROR(VLOOKUP(IF(LEFT(F711,2)="13",DATE(YEAR(F710),12,31),F711),IPCA!$A:$D,4,FALSE),1)*G711)</f>
        <v>#VALUE!</v>
      </c>
      <c r="J711" s="21" t="str">
        <f t="shared" ca="1" si="114"/>
        <v/>
      </c>
      <c r="K711" s="4" t="str">
        <f t="shared" ca="1" si="115"/>
        <v/>
      </c>
      <c r="M711" s="21" t="str">
        <f t="shared" ref="M711:M774" ca="1" si="121">IFERROR(IF(LEFT(M710,2)="13",DATE(RIGHT(M710,4),12,31),IF(EOMONTH(M710,0)&gt;$F$1,"",IF(MONTH(M710)=11,"13º "&amp;YEAR(M710),EOMONTH(M710,1)))),"")</f>
        <v/>
      </c>
      <c r="N711" s="37">
        <f t="shared" ca="1" si="116"/>
        <v>0</v>
      </c>
      <c r="O711" s="4">
        <f ca="1">IFERROR(AVERAGEIF(N$5:$N711,"&gt;="&amp;_xlfn.PERCENTILE.EXC(N$5:$N711,0.2)),0)</f>
        <v>0</v>
      </c>
      <c r="Q711" s="21" t="str">
        <f t="shared" ref="Q711:Q774" ca="1" si="122">IFERROR(IF(LEFT(Q710,2)="13",DATE(RIGHT(Q710,4),12,31),IF(EOMONTH(Q710,0)&gt;$F$1,"",IF(MONTH(Q710)=11,"13º "&amp;YEAR(Q710),EOMONTH(Q710,1)))),"")</f>
        <v/>
      </c>
      <c r="R711" s="37">
        <f t="shared" ca="1" si="118"/>
        <v>0</v>
      </c>
      <c r="S711" s="4">
        <f ca="1">IFERROR(AVERAGE($R$5:R711),0)</f>
        <v>0</v>
      </c>
      <c r="U711" s="21" t="str">
        <f t="shared" ca="1" si="117"/>
        <v/>
      </c>
      <c r="V711" s="4">
        <f ca="1">MIN(S711,PREMISSAS!$C$14)</f>
        <v>0</v>
      </c>
      <c r="W711" s="188"/>
      <c r="X711" s="188"/>
    </row>
    <row r="712" spans="2:24" x14ac:dyDescent="0.3">
      <c r="B712" s="21" t="str">
        <f t="shared" ca="1" si="119"/>
        <v/>
      </c>
      <c r="C712" s="22" t="str">
        <f ca="1">IF(B712="","",IF(LEFT(B712,2)="13",C711,IF(MONTH(B712)=1,C711*(1+PREMISSAS!$C$58),C711)))</f>
        <v/>
      </c>
      <c r="E712" s="18">
        <v>708</v>
      </c>
      <c r="F712" s="21" t="str">
        <f t="shared" ca="1" si="120"/>
        <v/>
      </c>
      <c r="G712" s="22" t="str">
        <f ca="1">IFERROR(VLOOKUP(F712,RESULTADOS!$O$5:$P$543,2,FALSE),VLOOKUP(F712,$B$5:$C$842,2,FALSE))</f>
        <v/>
      </c>
      <c r="H712" s="4" t="e">
        <f ca="1">IF(F712&lt;PREMISSAS!$D$7,0,IFERROR(VLOOKUP(IF(LEFT(F712,2)="13",DATE(YEAR(F711),12,31),F712),IPCA!$A:$D,4,FALSE),1)*G712)</f>
        <v>#VALUE!</v>
      </c>
      <c r="J712" s="21" t="str">
        <f t="shared" ca="1" si="114"/>
        <v/>
      </c>
      <c r="K712" s="4" t="str">
        <f t="shared" ca="1" si="115"/>
        <v/>
      </c>
      <c r="M712" s="21" t="str">
        <f t="shared" ca="1" si="121"/>
        <v/>
      </c>
      <c r="N712" s="37">
        <f t="shared" ca="1" si="116"/>
        <v>0</v>
      </c>
      <c r="O712" s="4">
        <f ca="1">IFERROR(AVERAGEIF(N$5:$N712,"&gt;="&amp;_xlfn.PERCENTILE.EXC(N$5:$N712,0.2)),0)</f>
        <v>0</v>
      </c>
      <c r="Q712" s="21" t="str">
        <f t="shared" ca="1" si="122"/>
        <v/>
      </c>
      <c r="R712" s="37">
        <f t="shared" ca="1" si="118"/>
        <v>0</v>
      </c>
      <c r="S712" s="4">
        <f ca="1">IFERROR(AVERAGE($R$5:R712),0)</f>
        <v>0</v>
      </c>
      <c r="U712" s="21" t="str">
        <f t="shared" ca="1" si="117"/>
        <v/>
      </c>
      <c r="V712" s="4">
        <f ca="1">MIN(S712,PREMISSAS!$C$14)</f>
        <v>0</v>
      </c>
      <c r="W712" s="188"/>
      <c r="X712" s="188"/>
    </row>
    <row r="713" spans="2:24" x14ac:dyDescent="0.3">
      <c r="B713" s="21" t="str">
        <f t="shared" ca="1" si="119"/>
        <v/>
      </c>
      <c r="C713" s="22" t="str">
        <f ca="1">IF(B713="","",IF(LEFT(B713,2)="13",C712,IF(MONTH(B713)=1,C712*(1+PREMISSAS!$C$58),C712)))</f>
        <v/>
      </c>
      <c r="E713" s="18">
        <v>709</v>
      </c>
      <c r="F713" s="21" t="str">
        <f t="shared" ca="1" si="120"/>
        <v/>
      </c>
      <c r="G713" s="22" t="str">
        <f ca="1">IFERROR(VLOOKUP(F713,RESULTADOS!$O$5:$P$543,2,FALSE),VLOOKUP(F713,$B$5:$C$842,2,FALSE))</f>
        <v/>
      </c>
      <c r="H713" s="4" t="e">
        <f ca="1">IF(F713&lt;PREMISSAS!$D$7,0,IFERROR(VLOOKUP(IF(LEFT(F713,2)="13",DATE(YEAR(F712),12,31),F713),IPCA!$A:$D,4,FALSE),1)*G713)</f>
        <v>#VALUE!</v>
      </c>
      <c r="J713" s="21" t="str">
        <f t="shared" ca="1" si="114"/>
        <v/>
      </c>
      <c r="K713" s="4" t="str">
        <f t="shared" ca="1" si="115"/>
        <v/>
      </c>
      <c r="M713" s="21" t="str">
        <f t="shared" ca="1" si="121"/>
        <v/>
      </c>
      <c r="N713" s="37">
        <f t="shared" ca="1" si="116"/>
        <v>0</v>
      </c>
      <c r="O713" s="4">
        <f ca="1">IFERROR(AVERAGEIF(N$5:$N713,"&gt;="&amp;_xlfn.PERCENTILE.EXC(N$5:$N713,0.2)),0)</f>
        <v>0</v>
      </c>
      <c r="Q713" s="21" t="str">
        <f t="shared" ca="1" si="122"/>
        <v/>
      </c>
      <c r="R713" s="37">
        <f t="shared" ca="1" si="118"/>
        <v>0</v>
      </c>
      <c r="S713" s="4">
        <f ca="1">IFERROR(AVERAGE($R$5:R713),0)</f>
        <v>0</v>
      </c>
      <c r="U713" s="21" t="str">
        <f t="shared" ca="1" si="117"/>
        <v/>
      </c>
      <c r="V713" s="4">
        <f ca="1">MIN(S713,PREMISSAS!$C$14)</f>
        <v>0</v>
      </c>
      <c r="W713" s="188"/>
      <c r="X713" s="188"/>
    </row>
    <row r="714" spans="2:24" x14ac:dyDescent="0.3">
      <c r="B714" s="21" t="str">
        <f t="shared" ca="1" si="119"/>
        <v/>
      </c>
      <c r="C714" s="22" t="str">
        <f ca="1">IF(B714="","",IF(LEFT(B714,2)="13",C713,IF(MONTH(B714)=1,C713*(1+PREMISSAS!$C$58),C713)))</f>
        <v/>
      </c>
      <c r="E714" s="18">
        <v>710</v>
      </c>
      <c r="F714" s="21" t="str">
        <f t="shared" ca="1" si="120"/>
        <v/>
      </c>
      <c r="G714" s="22" t="str">
        <f ca="1">IFERROR(VLOOKUP(F714,RESULTADOS!$O$5:$P$543,2,FALSE),VLOOKUP(F714,$B$5:$C$842,2,FALSE))</f>
        <v/>
      </c>
      <c r="H714" s="4" t="e">
        <f ca="1">IF(F714&lt;PREMISSAS!$D$7,0,IFERROR(VLOOKUP(IF(LEFT(F714,2)="13",DATE(YEAR(F713),12,31),F714),IPCA!$A:$D,4,FALSE),1)*G714)</f>
        <v>#VALUE!</v>
      </c>
      <c r="J714" s="21" t="str">
        <f t="shared" ca="1" si="114"/>
        <v/>
      </c>
      <c r="K714" s="4" t="str">
        <f t="shared" ca="1" si="115"/>
        <v/>
      </c>
      <c r="M714" s="21" t="str">
        <f t="shared" ca="1" si="121"/>
        <v/>
      </c>
      <c r="N714" s="37">
        <f t="shared" ca="1" si="116"/>
        <v>0</v>
      </c>
      <c r="O714" s="4">
        <f ca="1">IFERROR(AVERAGEIF(N$5:$N714,"&gt;="&amp;_xlfn.PERCENTILE.EXC(N$5:$N714,0.2)),0)</f>
        <v>0</v>
      </c>
      <c r="Q714" s="21" t="str">
        <f t="shared" ca="1" si="122"/>
        <v/>
      </c>
      <c r="R714" s="37">
        <f t="shared" ca="1" si="118"/>
        <v>0</v>
      </c>
      <c r="S714" s="4">
        <f ca="1">IFERROR(AVERAGE($R$5:R714),0)</f>
        <v>0</v>
      </c>
      <c r="U714" s="21" t="str">
        <f t="shared" ca="1" si="117"/>
        <v/>
      </c>
      <c r="V714" s="4">
        <f ca="1">MIN(S714,PREMISSAS!$C$14)</f>
        <v>0</v>
      </c>
      <c r="W714" s="188"/>
      <c r="X714" s="188"/>
    </row>
    <row r="715" spans="2:24" x14ac:dyDescent="0.3">
      <c r="B715" s="21" t="str">
        <f t="shared" ca="1" si="119"/>
        <v/>
      </c>
      <c r="C715" s="22" t="str">
        <f ca="1">IF(B715="","",IF(LEFT(B715,2)="13",C714,IF(MONTH(B715)=1,C714*(1+PREMISSAS!$C$58),C714)))</f>
        <v/>
      </c>
      <c r="E715" s="18">
        <v>711</v>
      </c>
      <c r="F715" s="21" t="str">
        <f t="shared" ca="1" si="120"/>
        <v/>
      </c>
      <c r="G715" s="22" t="str">
        <f ca="1">IFERROR(VLOOKUP(F715,RESULTADOS!$O$5:$P$543,2,FALSE),VLOOKUP(F715,$B$5:$C$842,2,FALSE))</f>
        <v/>
      </c>
      <c r="H715" s="4" t="e">
        <f ca="1">IF(F715&lt;PREMISSAS!$D$7,0,IFERROR(VLOOKUP(IF(LEFT(F715,2)="13",DATE(YEAR(F714),12,31),F715),IPCA!$A:$D,4,FALSE),1)*G715)</f>
        <v>#VALUE!</v>
      </c>
      <c r="J715" s="21" t="str">
        <f t="shared" ca="1" si="114"/>
        <v/>
      </c>
      <c r="K715" s="4" t="str">
        <f t="shared" ca="1" si="115"/>
        <v/>
      </c>
      <c r="M715" s="21" t="str">
        <f t="shared" ca="1" si="121"/>
        <v/>
      </c>
      <c r="N715" s="37">
        <f t="shared" ca="1" si="116"/>
        <v>0</v>
      </c>
      <c r="O715" s="4">
        <f ca="1">IFERROR(AVERAGEIF(N$5:$N715,"&gt;="&amp;_xlfn.PERCENTILE.EXC(N$5:$N715,0.2)),0)</f>
        <v>0</v>
      </c>
      <c r="Q715" s="21" t="str">
        <f t="shared" ca="1" si="122"/>
        <v/>
      </c>
      <c r="R715" s="37">
        <f t="shared" ca="1" si="118"/>
        <v>0</v>
      </c>
      <c r="S715" s="4">
        <f ca="1">IFERROR(AVERAGE($R$5:R715),0)</f>
        <v>0</v>
      </c>
      <c r="U715" s="21" t="str">
        <f t="shared" ca="1" si="117"/>
        <v/>
      </c>
      <c r="V715" s="4">
        <f ca="1">MIN(S715,PREMISSAS!$C$14)</f>
        <v>0</v>
      </c>
      <c r="W715" s="188"/>
      <c r="X715" s="188"/>
    </row>
    <row r="716" spans="2:24" x14ac:dyDescent="0.3">
      <c r="B716" s="21" t="str">
        <f t="shared" ca="1" si="119"/>
        <v/>
      </c>
      <c r="C716" s="22" t="str">
        <f ca="1">IF(B716="","",IF(LEFT(B716,2)="13",C715,IF(MONTH(B716)=1,C715*(1+PREMISSAS!$C$58),C715)))</f>
        <v/>
      </c>
      <c r="E716" s="18">
        <v>712</v>
      </c>
      <c r="F716" s="21" t="str">
        <f t="shared" ca="1" si="120"/>
        <v/>
      </c>
      <c r="G716" s="22" t="str">
        <f ca="1">IFERROR(VLOOKUP(F716,RESULTADOS!$O$5:$P$543,2,FALSE),VLOOKUP(F716,$B$5:$C$842,2,FALSE))</f>
        <v/>
      </c>
      <c r="H716" s="4" t="e">
        <f ca="1">IF(F716&lt;PREMISSAS!$D$7,0,IFERROR(VLOOKUP(IF(LEFT(F716,2)="13",DATE(YEAR(F715),12,31),F716),IPCA!$A:$D,4,FALSE),1)*G716)</f>
        <v>#VALUE!</v>
      </c>
      <c r="J716" s="21" t="str">
        <f t="shared" ca="1" si="114"/>
        <v/>
      </c>
      <c r="K716" s="4" t="str">
        <f t="shared" ca="1" si="115"/>
        <v/>
      </c>
      <c r="M716" s="21" t="str">
        <f t="shared" ca="1" si="121"/>
        <v/>
      </c>
      <c r="N716" s="37">
        <f t="shared" ca="1" si="116"/>
        <v>0</v>
      </c>
      <c r="O716" s="4">
        <f ca="1">IFERROR(AVERAGEIF(N$5:$N716,"&gt;="&amp;_xlfn.PERCENTILE.EXC(N$5:$N716,0.2)),0)</f>
        <v>0</v>
      </c>
      <c r="Q716" s="21" t="str">
        <f t="shared" ca="1" si="122"/>
        <v/>
      </c>
      <c r="R716" s="37">
        <f t="shared" ca="1" si="118"/>
        <v>0</v>
      </c>
      <c r="S716" s="4">
        <f ca="1">IFERROR(AVERAGE($R$5:R716),0)</f>
        <v>0</v>
      </c>
      <c r="U716" s="21" t="str">
        <f t="shared" ca="1" si="117"/>
        <v/>
      </c>
      <c r="V716" s="4">
        <f ca="1">MIN(S716,PREMISSAS!$C$14)</f>
        <v>0</v>
      </c>
      <c r="W716" s="188"/>
      <c r="X716" s="188"/>
    </row>
    <row r="717" spans="2:24" x14ac:dyDescent="0.3">
      <c r="B717" s="21" t="str">
        <f t="shared" ca="1" si="119"/>
        <v/>
      </c>
      <c r="C717" s="22" t="str">
        <f ca="1">IF(B717="","",IF(LEFT(B717,2)="13",C716,IF(MONTH(B717)=1,C716*(1+PREMISSAS!$C$58),C716)))</f>
        <v/>
      </c>
      <c r="E717" s="18">
        <v>713</v>
      </c>
      <c r="F717" s="21" t="str">
        <f t="shared" ca="1" si="120"/>
        <v/>
      </c>
      <c r="G717" s="22" t="str">
        <f ca="1">IFERROR(VLOOKUP(F717,RESULTADOS!$O$5:$P$543,2,FALSE),VLOOKUP(F717,$B$5:$C$842,2,FALSE))</f>
        <v/>
      </c>
      <c r="H717" s="4" t="e">
        <f ca="1">IF(F717&lt;PREMISSAS!$D$7,0,IFERROR(VLOOKUP(IF(LEFT(F717,2)="13",DATE(YEAR(F716),12,31),F717),IPCA!$A:$D,4,FALSE),1)*G717)</f>
        <v>#VALUE!</v>
      </c>
      <c r="J717" s="21" t="str">
        <f t="shared" ca="1" si="114"/>
        <v/>
      </c>
      <c r="K717" s="4" t="str">
        <f t="shared" ca="1" si="115"/>
        <v/>
      </c>
      <c r="M717" s="21" t="str">
        <f t="shared" ca="1" si="121"/>
        <v/>
      </c>
      <c r="N717" s="37">
        <f t="shared" ca="1" si="116"/>
        <v>0</v>
      </c>
      <c r="O717" s="4">
        <f ca="1">IFERROR(AVERAGEIF(N$5:$N717,"&gt;="&amp;_xlfn.PERCENTILE.EXC(N$5:$N717,0.2)),0)</f>
        <v>0</v>
      </c>
      <c r="Q717" s="21" t="str">
        <f t="shared" ca="1" si="122"/>
        <v/>
      </c>
      <c r="R717" s="37">
        <f t="shared" ca="1" si="118"/>
        <v>0</v>
      </c>
      <c r="S717" s="4">
        <f ca="1">IFERROR(AVERAGE($R$5:R717),0)</f>
        <v>0</v>
      </c>
      <c r="U717" s="21" t="str">
        <f t="shared" ca="1" si="117"/>
        <v/>
      </c>
      <c r="V717" s="4">
        <f ca="1">MIN(S717,PREMISSAS!$C$14)</f>
        <v>0</v>
      </c>
      <c r="W717" s="188"/>
      <c r="X717" s="188"/>
    </row>
    <row r="718" spans="2:24" x14ac:dyDescent="0.3">
      <c r="B718" s="21" t="str">
        <f t="shared" ca="1" si="119"/>
        <v/>
      </c>
      <c r="C718" s="22" t="str">
        <f ca="1">IF(B718="","",IF(LEFT(B718,2)="13",C717,IF(MONTH(B718)=1,C717*(1+PREMISSAS!$C$58),C717)))</f>
        <v/>
      </c>
      <c r="E718" s="18">
        <v>714</v>
      </c>
      <c r="F718" s="21" t="str">
        <f t="shared" ca="1" si="120"/>
        <v/>
      </c>
      <c r="G718" s="22" t="str">
        <f ca="1">IFERROR(VLOOKUP(F718,RESULTADOS!$O$5:$P$543,2,FALSE),VLOOKUP(F718,$B$5:$C$842,2,FALSE))</f>
        <v/>
      </c>
      <c r="H718" s="4" t="e">
        <f ca="1">IF(F718&lt;PREMISSAS!$D$7,0,IFERROR(VLOOKUP(IF(LEFT(F718,2)="13",DATE(YEAR(F717),12,31),F718),IPCA!$A:$D,4,FALSE),1)*G718)</f>
        <v>#VALUE!</v>
      </c>
      <c r="J718" s="21" t="str">
        <f t="shared" ca="1" si="114"/>
        <v/>
      </c>
      <c r="K718" s="4" t="str">
        <f t="shared" ca="1" si="115"/>
        <v/>
      </c>
      <c r="M718" s="21" t="str">
        <f t="shared" ca="1" si="121"/>
        <v/>
      </c>
      <c r="N718" s="37">
        <f t="shared" ca="1" si="116"/>
        <v>0</v>
      </c>
      <c r="O718" s="4">
        <f ca="1">IFERROR(AVERAGEIF(N$5:$N718,"&gt;="&amp;_xlfn.PERCENTILE.EXC(N$5:$N718,0.2)),0)</f>
        <v>0</v>
      </c>
      <c r="Q718" s="21" t="str">
        <f t="shared" ca="1" si="122"/>
        <v/>
      </c>
      <c r="R718" s="37">
        <f t="shared" ca="1" si="118"/>
        <v>0</v>
      </c>
      <c r="S718" s="4">
        <f ca="1">IFERROR(AVERAGE($R$5:R718),0)</f>
        <v>0</v>
      </c>
      <c r="U718" s="21" t="str">
        <f t="shared" ca="1" si="117"/>
        <v/>
      </c>
      <c r="V718" s="4">
        <f ca="1">MIN(S718,PREMISSAS!$C$14)</f>
        <v>0</v>
      </c>
      <c r="W718" s="188"/>
      <c r="X718" s="188"/>
    </row>
    <row r="719" spans="2:24" x14ac:dyDescent="0.3">
      <c r="B719" s="21" t="str">
        <f t="shared" ca="1" si="119"/>
        <v/>
      </c>
      <c r="C719" s="22" t="str">
        <f ca="1">IF(B719="","",IF(LEFT(B719,2)="13",C718,IF(MONTH(B719)=1,C718*(1+PREMISSAS!$C$58),C718)))</f>
        <v/>
      </c>
      <c r="E719" s="18">
        <v>715</v>
      </c>
      <c r="F719" s="21" t="str">
        <f t="shared" ca="1" si="120"/>
        <v/>
      </c>
      <c r="G719" s="22" t="str">
        <f ca="1">IFERROR(VLOOKUP(F719,RESULTADOS!$O$5:$P$543,2,FALSE),VLOOKUP(F719,$B$5:$C$842,2,FALSE))</f>
        <v/>
      </c>
      <c r="H719" s="4" t="e">
        <f ca="1">IF(F719&lt;PREMISSAS!$D$7,0,IFERROR(VLOOKUP(IF(LEFT(F719,2)="13",DATE(YEAR(F718),12,31),F719),IPCA!$A:$D,4,FALSE),1)*G719)</f>
        <v>#VALUE!</v>
      </c>
      <c r="J719" s="21" t="str">
        <f t="shared" ca="1" si="114"/>
        <v/>
      </c>
      <c r="K719" s="4" t="str">
        <f t="shared" ca="1" si="115"/>
        <v/>
      </c>
      <c r="M719" s="21" t="str">
        <f t="shared" ca="1" si="121"/>
        <v/>
      </c>
      <c r="N719" s="37">
        <f t="shared" ca="1" si="116"/>
        <v>0</v>
      </c>
      <c r="O719" s="4">
        <f ca="1">IFERROR(AVERAGEIF(N$5:$N719,"&gt;="&amp;_xlfn.PERCENTILE.EXC(N$5:$N719,0.2)),0)</f>
        <v>0</v>
      </c>
      <c r="Q719" s="21" t="str">
        <f t="shared" ca="1" si="122"/>
        <v/>
      </c>
      <c r="R719" s="37">
        <f t="shared" ca="1" si="118"/>
        <v>0</v>
      </c>
      <c r="S719" s="4">
        <f ca="1">IFERROR(AVERAGE($R$5:R719),0)</f>
        <v>0</v>
      </c>
      <c r="U719" s="21" t="str">
        <f t="shared" ca="1" si="117"/>
        <v/>
      </c>
      <c r="V719" s="4">
        <f ca="1">MIN(S719,PREMISSAS!$C$14)</f>
        <v>0</v>
      </c>
      <c r="W719" s="188"/>
      <c r="X719" s="188"/>
    </row>
    <row r="720" spans="2:24" x14ac:dyDescent="0.3">
      <c r="B720" s="21" t="str">
        <f t="shared" ca="1" si="119"/>
        <v/>
      </c>
      <c r="C720" s="22" t="str">
        <f ca="1">IF(B720="","",IF(LEFT(B720,2)="13",C719,IF(MONTH(B720)=1,C719*(1+PREMISSAS!$C$58),C719)))</f>
        <v/>
      </c>
      <c r="E720" s="18">
        <v>716</v>
      </c>
      <c r="F720" s="21" t="str">
        <f t="shared" ca="1" si="120"/>
        <v/>
      </c>
      <c r="G720" s="22" t="str">
        <f ca="1">IFERROR(VLOOKUP(F720,RESULTADOS!$O$5:$P$543,2,FALSE),VLOOKUP(F720,$B$5:$C$842,2,FALSE))</f>
        <v/>
      </c>
      <c r="H720" s="4" t="e">
        <f ca="1">IF(F720&lt;PREMISSAS!$D$7,0,IFERROR(VLOOKUP(IF(LEFT(F720,2)="13",DATE(YEAR(F719),12,31),F720),IPCA!$A:$D,4,FALSE),1)*G720)</f>
        <v>#VALUE!</v>
      </c>
      <c r="J720" s="21" t="str">
        <f t="shared" ca="1" si="114"/>
        <v/>
      </c>
      <c r="K720" s="4" t="str">
        <f t="shared" ca="1" si="115"/>
        <v/>
      </c>
      <c r="M720" s="21" t="str">
        <f t="shared" ca="1" si="121"/>
        <v/>
      </c>
      <c r="N720" s="37">
        <f t="shared" ca="1" si="116"/>
        <v>0</v>
      </c>
      <c r="O720" s="4">
        <f ca="1">IFERROR(AVERAGEIF(N$5:$N720,"&gt;="&amp;_xlfn.PERCENTILE.EXC(N$5:$N720,0.2)),0)</f>
        <v>0</v>
      </c>
      <c r="Q720" s="21" t="str">
        <f t="shared" ca="1" si="122"/>
        <v/>
      </c>
      <c r="R720" s="37">
        <f t="shared" ca="1" si="118"/>
        <v>0</v>
      </c>
      <c r="S720" s="4">
        <f ca="1">IFERROR(AVERAGE($R$5:R720),0)</f>
        <v>0</v>
      </c>
      <c r="U720" s="21" t="str">
        <f t="shared" ca="1" si="117"/>
        <v/>
      </c>
      <c r="V720" s="4">
        <f ca="1">MIN(S720,PREMISSAS!$C$14)</f>
        <v>0</v>
      </c>
      <c r="W720" s="188"/>
      <c r="X720" s="188"/>
    </row>
    <row r="721" spans="2:24" x14ac:dyDescent="0.3">
      <c r="B721" s="21" t="str">
        <f t="shared" ca="1" si="119"/>
        <v/>
      </c>
      <c r="C721" s="22" t="str">
        <f ca="1">IF(B721="","",IF(LEFT(B721,2)="13",C720,IF(MONTH(B721)=1,C720*(1+PREMISSAS!$C$58),C720)))</f>
        <v/>
      </c>
      <c r="E721" s="18">
        <v>717</v>
      </c>
      <c r="F721" s="21" t="str">
        <f t="shared" ca="1" si="120"/>
        <v/>
      </c>
      <c r="G721" s="22" t="str">
        <f ca="1">IFERROR(VLOOKUP(F721,RESULTADOS!$O$5:$P$543,2,FALSE),VLOOKUP(F721,$B$5:$C$842,2,FALSE))</f>
        <v/>
      </c>
      <c r="H721" s="4" t="e">
        <f ca="1">IF(F721&lt;PREMISSAS!$D$7,0,IFERROR(VLOOKUP(IF(LEFT(F721,2)="13",DATE(YEAR(F720),12,31),F721),IPCA!$A:$D,4,FALSE),1)*G721)</f>
        <v>#VALUE!</v>
      </c>
      <c r="J721" s="21" t="str">
        <f t="shared" ca="1" si="114"/>
        <v/>
      </c>
      <c r="K721" s="4" t="str">
        <f t="shared" ca="1" si="115"/>
        <v/>
      </c>
      <c r="M721" s="21" t="str">
        <f t="shared" ca="1" si="121"/>
        <v/>
      </c>
      <c r="N721" s="37">
        <f t="shared" ca="1" si="116"/>
        <v>0</v>
      </c>
      <c r="O721" s="4">
        <f ca="1">IFERROR(AVERAGEIF(N$5:$N721,"&gt;="&amp;_xlfn.PERCENTILE.EXC(N$5:$N721,0.2)),0)</f>
        <v>0</v>
      </c>
      <c r="Q721" s="21" t="str">
        <f t="shared" ca="1" si="122"/>
        <v/>
      </c>
      <c r="R721" s="37">
        <f t="shared" ca="1" si="118"/>
        <v>0</v>
      </c>
      <c r="S721" s="4">
        <f ca="1">IFERROR(AVERAGE($R$5:R721),0)</f>
        <v>0</v>
      </c>
      <c r="U721" s="21" t="str">
        <f t="shared" ca="1" si="117"/>
        <v/>
      </c>
      <c r="V721" s="4">
        <f ca="1">MIN(S721,PREMISSAS!$C$14)</f>
        <v>0</v>
      </c>
      <c r="W721" s="188"/>
      <c r="X721" s="188"/>
    </row>
    <row r="722" spans="2:24" x14ac:dyDescent="0.3">
      <c r="B722" s="21" t="str">
        <f t="shared" ca="1" si="119"/>
        <v/>
      </c>
      <c r="C722" s="22" t="str">
        <f ca="1">IF(B722="","",IF(LEFT(B722,2)="13",C721,IF(MONTH(B722)=1,C721*(1+PREMISSAS!$C$58),C721)))</f>
        <v/>
      </c>
      <c r="E722" s="18">
        <v>718</v>
      </c>
      <c r="F722" s="21" t="str">
        <f t="shared" ca="1" si="120"/>
        <v/>
      </c>
      <c r="G722" s="22" t="str">
        <f ca="1">IFERROR(VLOOKUP(F722,RESULTADOS!$O$5:$P$543,2,FALSE),VLOOKUP(F722,$B$5:$C$842,2,FALSE))</f>
        <v/>
      </c>
      <c r="H722" s="4" t="e">
        <f ca="1">IF(F722&lt;PREMISSAS!$D$7,0,IFERROR(VLOOKUP(IF(LEFT(F722,2)="13",DATE(YEAR(F721),12,31),F722),IPCA!$A:$D,4,FALSE),1)*G722)</f>
        <v>#VALUE!</v>
      </c>
      <c r="J722" s="21" t="str">
        <f t="shared" ca="1" si="114"/>
        <v/>
      </c>
      <c r="K722" s="4" t="str">
        <f t="shared" ca="1" si="115"/>
        <v/>
      </c>
      <c r="M722" s="21" t="str">
        <f t="shared" ca="1" si="121"/>
        <v/>
      </c>
      <c r="N722" s="37">
        <f t="shared" ca="1" si="116"/>
        <v>0</v>
      </c>
      <c r="O722" s="4">
        <f ca="1">IFERROR(AVERAGEIF(N$5:$N722,"&gt;="&amp;_xlfn.PERCENTILE.EXC(N$5:$N722,0.2)),0)</f>
        <v>0</v>
      </c>
      <c r="Q722" s="21" t="str">
        <f t="shared" ca="1" si="122"/>
        <v/>
      </c>
      <c r="R722" s="37">
        <f t="shared" ca="1" si="118"/>
        <v>0</v>
      </c>
      <c r="S722" s="4">
        <f ca="1">IFERROR(AVERAGE($R$5:R722),0)</f>
        <v>0</v>
      </c>
      <c r="U722" s="21" t="str">
        <f t="shared" ca="1" si="117"/>
        <v/>
      </c>
      <c r="V722" s="4">
        <f ca="1">MIN(S722,PREMISSAS!$C$14)</f>
        <v>0</v>
      </c>
      <c r="W722" s="188"/>
      <c r="X722" s="188"/>
    </row>
    <row r="723" spans="2:24" x14ac:dyDescent="0.3">
      <c r="B723" s="21" t="str">
        <f t="shared" ca="1" si="119"/>
        <v/>
      </c>
      <c r="C723" s="22" t="str">
        <f ca="1">IF(B723="","",IF(LEFT(B723,2)="13",C722,IF(MONTH(B723)=1,C722*(1+PREMISSAS!$C$58),C722)))</f>
        <v/>
      </c>
      <c r="E723" s="18">
        <v>719</v>
      </c>
      <c r="F723" s="21" t="str">
        <f t="shared" ca="1" si="120"/>
        <v/>
      </c>
      <c r="G723" s="22" t="str">
        <f ca="1">IFERROR(VLOOKUP(F723,RESULTADOS!$O$5:$P$543,2,FALSE),VLOOKUP(F723,$B$5:$C$842,2,FALSE))</f>
        <v/>
      </c>
      <c r="H723" s="4" t="e">
        <f ca="1">IF(F723&lt;PREMISSAS!$D$7,0,IFERROR(VLOOKUP(IF(LEFT(F723,2)="13",DATE(YEAR(F722),12,31),F723),IPCA!$A:$D,4,FALSE),1)*G723)</f>
        <v>#VALUE!</v>
      </c>
      <c r="J723" s="21" t="str">
        <f t="shared" ref="J723:J786" ca="1" si="123">F723</f>
        <v/>
      </c>
      <c r="K723" s="4" t="str">
        <f t="shared" ref="K723:K786" ca="1" si="124">G723</f>
        <v/>
      </c>
      <c r="M723" s="21" t="str">
        <f t="shared" ca="1" si="121"/>
        <v/>
      </c>
      <c r="N723" s="37">
        <f t="shared" ref="N723:N786" ca="1" si="125">IFERROR(VLOOKUP(M723,$F$5:$H$628,3,FALSE),0)</f>
        <v>0</v>
      </c>
      <c r="O723" s="4">
        <f ca="1">IFERROR(AVERAGEIF(N$5:$N723,"&gt;="&amp;_xlfn.PERCENTILE.EXC(N$5:$N723,0.2)),0)</f>
        <v>0</v>
      </c>
      <c r="Q723" s="21" t="str">
        <f t="shared" ca="1" si="122"/>
        <v/>
      </c>
      <c r="R723" s="37">
        <f t="shared" ref="R723:R786" ca="1" si="126">IFERROR(VLOOKUP(Q723,$F$5:$H$628,3,FALSE),0)</f>
        <v>0</v>
      </c>
      <c r="S723" s="4">
        <f ca="1">IFERROR(AVERAGE($R$5:R723),0)</f>
        <v>0</v>
      </c>
      <c r="U723" s="21" t="str">
        <f t="shared" ref="U723:U786" ca="1" si="127">M723</f>
        <v/>
      </c>
      <c r="V723" s="4">
        <f ca="1">MIN(S723,PREMISSAS!$C$14)</f>
        <v>0</v>
      </c>
      <c r="W723" s="188"/>
      <c r="X723" s="188"/>
    </row>
    <row r="724" spans="2:24" x14ac:dyDescent="0.3">
      <c r="B724" s="21" t="str">
        <f t="shared" ca="1" si="119"/>
        <v/>
      </c>
      <c r="C724" s="22" t="str">
        <f ca="1">IF(B724="","",IF(LEFT(B724,2)="13",C723,IF(MONTH(B724)=1,C723*(1+PREMISSAS!$C$58),C723)))</f>
        <v/>
      </c>
      <c r="E724" s="18">
        <v>720</v>
      </c>
      <c r="F724" s="21" t="str">
        <f t="shared" ca="1" si="120"/>
        <v/>
      </c>
      <c r="G724" s="22" t="str">
        <f ca="1">IFERROR(VLOOKUP(F724,RESULTADOS!$O$5:$P$543,2,FALSE),VLOOKUP(F724,$B$5:$C$842,2,FALSE))</f>
        <v/>
      </c>
      <c r="H724" s="4" t="e">
        <f ca="1">IF(F724&lt;PREMISSAS!$D$7,0,IFERROR(VLOOKUP(IF(LEFT(F724,2)="13",DATE(YEAR(F723),12,31),F724),IPCA!$A:$D,4,FALSE),1)*G724)</f>
        <v>#VALUE!</v>
      </c>
      <c r="J724" s="21" t="str">
        <f t="shared" ca="1" si="123"/>
        <v/>
      </c>
      <c r="K724" s="4" t="str">
        <f t="shared" ca="1" si="124"/>
        <v/>
      </c>
      <c r="M724" s="21" t="str">
        <f t="shared" ca="1" si="121"/>
        <v/>
      </c>
      <c r="N724" s="37">
        <f t="shared" ca="1" si="125"/>
        <v>0</v>
      </c>
      <c r="O724" s="4">
        <f ca="1">IFERROR(AVERAGEIF(N$5:$N724,"&gt;="&amp;_xlfn.PERCENTILE.EXC(N$5:$N724,0.2)),0)</f>
        <v>0</v>
      </c>
      <c r="Q724" s="21" t="str">
        <f t="shared" ca="1" si="122"/>
        <v/>
      </c>
      <c r="R724" s="37">
        <f t="shared" ca="1" si="126"/>
        <v>0</v>
      </c>
      <c r="S724" s="4">
        <f ca="1">IFERROR(AVERAGE($R$5:R724),0)</f>
        <v>0</v>
      </c>
      <c r="U724" s="21" t="str">
        <f t="shared" ca="1" si="127"/>
        <v/>
      </c>
      <c r="V724" s="4">
        <f ca="1">MIN(S724,PREMISSAS!$C$14)</f>
        <v>0</v>
      </c>
      <c r="W724" s="188"/>
      <c r="X724" s="188"/>
    </row>
    <row r="725" spans="2:24" x14ac:dyDescent="0.3">
      <c r="B725" s="21" t="str">
        <f t="shared" ca="1" si="119"/>
        <v/>
      </c>
      <c r="C725" s="22" t="str">
        <f ca="1">IF(B725="","",IF(LEFT(B725,2)="13",C724,IF(MONTH(B725)=1,C724*(1+PREMISSAS!$C$58),C724)))</f>
        <v/>
      </c>
      <c r="E725" s="18">
        <v>721</v>
      </c>
      <c r="F725" s="21" t="str">
        <f t="shared" ca="1" si="120"/>
        <v/>
      </c>
      <c r="G725" s="22" t="str">
        <f ca="1">IFERROR(VLOOKUP(F725,RESULTADOS!$O$5:$P$543,2,FALSE),VLOOKUP(F725,$B$5:$C$842,2,FALSE))</f>
        <v/>
      </c>
      <c r="H725" s="4" t="e">
        <f ca="1">IF(F725&lt;PREMISSAS!$D$7,0,IFERROR(VLOOKUP(IF(LEFT(F725,2)="13",DATE(YEAR(F724),12,31),F725),IPCA!$A:$D,4,FALSE),1)*G725)</f>
        <v>#VALUE!</v>
      </c>
      <c r="J725" s="21" t="str">
        <f t="shared" ca="1" si="123"/>
        <v/>
      </c>
      <c r="K725" s="4" t="str">
        <f t="shared" ca="1" si="124"/>
        <v/>
      </c>
      <c r="M725" s="21" t="str">
        <f t="shared" ca="1" si="121"/>
        <v/>
      </c>
      <c r="N725" s="37">
        <f t="shared" ca="1" si="125"/>
        <v>0</v>
      </c>
      <c r="O725" s="4">
        <f ca="1">IFERROR(AVERAGEIF(N$5:$N725,"&gt;="&amp;_xlfn.PERCENTILE.EXC(N$5:$N725,0.2)),0)</f>
        <v>0</v>
      </c>
      <c r="Q725" s="21" t="str">
        <f t="shared" ca="1" si="122"/>
        <v/>
      </c>
      <c r="R725" s="37">
        <f t="shared" ca="1" si="126"/>
        <v>0</v>
      </c>
      <c r="S725" s="4">
        <f ca="1">IFERROR(AVERAGE($R$5:R725),0)</f>
        <v>0</v>
      </c>
      <c r="U725" s="21" t="str">
        <f t="shared" ca="1" si="127"/>
        <v/>
      </c>
      <c r="V725" s="4">
        <f ca="1">MIN(S725,PREMISSAS!$C$14)</f>
        <v>0</v>
      </c>
      <c r="W725" s="188"/>
      <c r="X725" s="188"/>
    </row>
    <row r="726" spans="2:24" x14ac:dyDescent="0.3">
      <c r="B726" s="21" t="str">
        <f t="shared" ca="1" si="119"/>
        <v/>
      </c>
      <c r="C726" s="22" t="str">
        <f ca="1">IF(B726="","",IF(LEFT(B726,2)="13",C725,IF(MONTH(B726)=1,C725*(1+PREMISSAS!$C$58),C725)))</f>
        <v/>
      </c>
      <c r="E726" s="18">
        <v>722</v>
      </c>
      <c r="F726" s="21" t="str">
        <f t="shared" ca="1" si="120"/>
        <v/>
      </c>
      <c r="G726" s="22" t="str">
        <f ca="1">IFERROR(VLOOKUP(F726,RESULTADOS!$O$5:$P$543,2,FALSE),VLOOKUP(F726,$B$5:$C$842,2,FALSE))</f>
        <v/>
      </c>
      <c r="H726" s="4" t="e">
        <f ca="1">IF(F726&lt;PREMISSAS!$D$7,0,IFERROR(VLOOKUP(IF(LEFT(F726,2)="13",DATE(YEAR(F725),12,31),F726),IPCA!$A:$D,4,FALSE),1)*G726)</f>
        <v>#VALUE!</v>
      </c>
      <c r="J726" s="21" t="str">
        <f t="shared" ca="1" si="123"/>
        <v/>
      </c>
      <c r="K726" s="4" t="str">
        <f t="shared" ca="1" si="124"/>
        <v/>
      </c>
      <c r="M726" s="21" t="str">
        <f t="shared" ca="1" si="121"/>
        <v/>
      </c>
      <c r="N726" s="37">
        <f t="shared" ca="1" si="125"/>
        <v>0</v>
      </c>
      <c r="O726" s="4">
        <f ca="1">IFERROR(AVERAGEIF(N$5:$N726,"&gt;="&amp;_xlfn.PERCENTILE.EXC(N$5:$N726,0.2)),0)</f>
        <v>0</v>
      </c>
      <c r="Q726" s="21" t="str">
        <f t="shared" ca="1" si="122"/>
        <v/>
      </c>
      <c r="R726" s="37">
        <f t="shared" ca="1" si="126"/>
        <v>0</v>
      </c>
      <c r="S726" s="4">
        <f ca="1">IFERROR(AVERAGE($R$5:R726),0)</f>
        <v>0</v>
      </c>
      <c r="U726" s="21" t="str">
        <f t="shared" ca="1" si="127"/>
        <v/>
      </c>
      <c r="V726" s="4">
        <f ca="1">MIN(S726,PREMISSAS!$C$14)</f>
        <v>0</v>
      </c>
      <c r="W726" s="188"/>
      <c r="X726" s="188"/>
    </row>
    <row r="727" spans="2:24" x14ac:dyDescent="0.3">
      <c r="B727" s="21" t="str">
        <f t="shared" ca="1" si="119"/>
        <v/>
      </c>
      <c r="C727" s="22" t="str">
        <f ca="1">IF(B727="","",IF(LEFT(B727,2)="13",C726,IF(MONTH(B727)=1,C726*(1+PREMISSAS!$C$58),C726)))</f>
        <v/>
      </c>
      <c r="E727" s="18">
        <v>723</v>
      </c>
      <c r="F727" s="21" t="str">
        <f t="shared" ca="1" si="120"/>
        <v/>
      </c>
      <c r="G727" s="22" t="str">
        <f ca="1">IFERROR(VLOOKUP(F727,RESULTADOS!$O$5:$P$543,2,FALSE),VLOOKUP(F727,$B$5:$C$842,2,FALSE))</f>
        <v/>
      </c>
      <c r="H727" s="4" t="e">
        <f ca="1">IF(F727&lt;PREMISSAS!$D$7,0,IFERROR(VLOOKUP(IF(LEFT(F727,2)="13",DATE(YEAR(F726),12,31),F727),IPCA!$A:$D,4,FALSE),1)*G727)</f>
        <v>#VALUE!</v>
      </c>
      <c r="J727" s="21" t="str">
        <f t="shared" ca="1" si="123"/>
        <v/>
      </c>
      <c r="K727" s="4" t="str">
        <f t="shared" ca="1" si="124"/>
        <v/>
      </c>
      <c r="M727" s="21" t="str">
        <f t="shared" ca="1" si="121"/>
        <v/>
      </c>
      <c r="N727" s="37">
        <f t="shared" ca="1" si="125"/>
        <v>0</v>
      </c>
      <c r="O727" s="4">
        <f ca="1">IFERROR(AVERAGEIF(N$5:$N727,"&gt;="&amp;_xlfn.PERCENTILE.EXC(N$5:$N727,0.2)),0)</f>
        <v>0</v>
      </c>
      <c r="Q727" s="21" t="str">
        <f t="shared" ca="1" si="122"/>
        <v/>
      </c>
      <c r="R727" s="37">
        <f t="shared" ca="1" si="126"/>
        <v>0</v>
      </c>
      <c r="S727" s="4">
        <f ca="1">IFERROR(AVERAGE($R$5:R727),0)</f>
        <v>0</v>
      </c>
      <c r="U727" s="21" t="str">
        <f t="shared" ca="1" si="127"/>
        <v/>
      </c>
      <c r="V727" s="4">
        <f ca="1">MIN(S727,PREMISSAS!$C$14)</f>
        <v>0</v>
      </c>
      <c r="W727" s="188"/>
      <c r="X727" s="188"/>
    </row>
    <row r="728" spans="2:24" x14ac:dyDescent="0.3">
      <c r="B728" s="21" t="str">
        <f t="shared" ca="1" si="119"/>
        <v/>
      </c>
      <c r="C728" s="22" t="str">
        <f ca="1">IF(B728="","",IF(LEFT(B728,2)="13",C727,IF(MONTH(B728)=1,C727*(1+PREMISSAS!$C$58),C727)))</f>
        <v/>
      </c>
      <c r="E728" s="18">
        <v>724</v>
      </c>
      <c r="F728" s="21" t="str">
        <f t="shared" ca="1" si="120"/>
        <v/>
      </c>
      <c r="G728" s="22" t="str">
        <f ca="1">IFERROR(VLOOKUP(F728,RESULTADOS!$O$5:$P$543,2,FALSE),VLOOKUP(F728,$B$5:$C$842,2,FALSE))</f>
        <v/>
      </c>
      <c r="H728" s="4" t="e">
        <f ca="1">IF(F728&lt;PREMISSAS!$D$7,0,IFERROR(VLOOKUP(IF(LEFT(F728,2)="13",DATE(YEAR(F727),12,31),F728),IPCA!$A:$D,4,FALSE),1)*G728)</f>
        <v>#VALUE!</v>
      </c>
      <c r="J728" s="21" t="str">
        <f t="shared" ca="1" si="123"/>
        <v/>
      </c>
      <c r="K728" s="4" t="str">
        <f t="shared" ca="1" si="124"/>
        <v/>
      </c>
      <c r="M728" s="21" t="str">
        <f t="shared" ca="1" si="121"/>
        <v/>
      </c>
      <c r="N728" s="37">
        <f t="shared" ca="1" si="125"/>
        <v>0</v>
      </c>
      <c r="O728" s="4">
        <f ca="1">IFERROR(AVERAGEIF(N$5:$N728,"&gt;="&amp;_xlfn.PERCENTILE.EXC(N$5:$N728,0.2)),0)</f>
        <v>0</v>
      </c>
      <c r="Q728" s="21" t="str">
        <f t="shared" ca="1" si="122"/>
        <v/>
      </c>
      <c r="R728" s="37">
        <f t="shared" ca="1" si="126"/>
        <v>0</v>
      </c>
      <c r="S728" s="4">
        <f ca="1">IFERROR(AVERAGE($R$5:R728),0)</f>
        <v>0</v>
      </c>
      <c r="U728" s="21" t="str">
        <f t="shared" ca="1" si="127"/>
        <v/>
      </c>
      <c r="V728" s="4">
        <f ca="1">MIN(S728,PREMISSAS!$C$14)</f>
        <v>0</v>
      </c>
      <c r="W728" s="188"/>
      <c r="X728" s="188"/>
    </row>
    <row r="729" spans="2:24" x14ac:dyDescent="0.3">
      <c r="B729" s="21" t="str">
        <f t="shared" ca="1" si="119"/>
        <v/>
      </c>
      <c r="C729" s="22" t="str">
        <f ca="1">IF(B729="","",IF(LEFT(B729,2)="13",C728,IF(MONTH(B729)=1,C728*(1+PREMISSAS!$C$58),C728)))</f>
        <v/>
      </c>
      <c r="E729" s="18">
        <v>725</v>
      </c>
      <c r="F729" s="21" t="str">
        <f t="shared" ca="1" si="120"/>
        <v/>
      </c>
      <c r="G729" s="22" t="str">
        <f ca="1">IFERROR(VLOOKUP(F729,RESULTADOS!$O$5:$P$543,2,FALSE),VLOOKUP(F729,$B$5:$C$842,2,FALSE))</f>
        <v/>
      </c>
      <c r="H729" s="4" t="e">
        <f ca="1">IF(F729&lt;PREMISSAS!$D$7,0,IFERROR(VLOOKUP(IF(LEFT(F729,2)="13",DATE(YEAR(F728),12,31),F729),IPCA!$A:$D,4,FALSE),1)*G729)</f>
        <v>#VALUE!</v>
      </c>
      <c r="J729" s="21" t="str">
        <f t="shared" ca="1" si="123"/>
        <v/>
      </c>
      <c r="K729" s="4" t="str">
        <f t="shared" ca="1" si="124"/>
        <v/>
      </c>
      <c r="M729" s="21" t="str">
        <f t="shared" ca="1" si="121"/>
        <v/>
      </c>
      <c r="N729" s="37">
        <f t="shared" ca="1" si="125"/>
        <v>0</v>
      </c>
      <c r="O729" s="4">
        <f ca="1">IFERROR(AVERAGEIF(N$5:$N729,"&gt;="&amp;_xlfn.PERCENTILE.EXC(N$5:$N729,0.2)),0)</f>
        <v>0</v>
      </c>
      <c r="Q729" s="21" t="str">
        <f t="shared" ca="1" si="122"/>
        <v/>
      </c>
      <c r="R729" s="37">
        <f t="shared" ca="1" si="126"/>
        <v>0</v>
      </c>
      <c r="S729" s="4">
        <f ca="1">IFERROR(AVERAGE($R$5:R729),0)</f>
        <v>0</v>
      </c>
      <c r="U729" s="21" t="str">
        <f t="shared" ca="1" si="127"/>
        <v/>
      </c>
      <c r="V729" s="4">
        <f ca="1">MIN(S729,PREMISSAS!$C$14)</f>
        <v>0</v>
      </c>
      <c r="W729" s="188"/>
      <c r="X729" s="188"/>
    </row>
    <row r="730" spans="2:24" x14ac:dyDescent="0.3">
      <c r="B730" s="21" t="str">
        <f t="shared" ca="1" si="119"/>
        <v/>
      </c>
      <c r="C730" s="22" t="str">
        <f ca="1">IF(B730="","",IF(LEFT(B730,2)="13",C729,IF(MONTH(B730)=1,C729*(1+PREMISSAS!$C$58),C729)))</f>
        <v/>
      </c>
      <c r="E730" s="18">
        <v>726</v>
      </c>
      <c r="F730" s="21" t="str">
        <f t="shared" ca="1" si="120"/>
        <v/>
      </c>
      <c r="G730" s="22" t="str">
        <f ca="1">IFERROR(VLOOKUP(F730,RESULTADOS!$O$5:$P$543,2,FALSE),VLOOKUP(F730,$B$5:$C$842,2,FALSE))</f>
        <v/>
      </c>
      <c r="H730" s="4" t="e">
        <f ca="1">IF(F730&lt;PREMISSAS!$D$7,0,IFERROR(VLOOKUP(IF(LEFT(F730,2)="13",DATE(YEAR(F729),12,31),F730),IPCA!$A:$D,4,FALSE),1)*G730)</f>
        <v>#VALUE!</v>
      </c>
      <c r="J730" s="21" t="str">
        <f t="shared" ca="1" si="123"/>
        <v/>
      </c>
      <c r="K730" s="4" t="str">
        <f t="shared" ca="1" si="124"/>
        <v/>
      </c>
      <c r="M730" s="21" t="str">
        <f t="shared" ca="1" si="121"/>
        <v/>
      </c>
      <c r="N730" s="37">
        <f t="shared" ca="1" si="125"/>
        <v>0</v>
      </c>
      <c r="O730" s="4">
        <f ca="1">IFERROR(AVERAGEIF(N$5:$N730,"&gt;="&amp;_xlfn.PERCENTILE.EXC(N$5:$N730,0.2)),0)</f>
        <v>0</v>
      </c>
      <c r="Q730" s="21" t="str">
        <f t="shared" ca="1" si="122"/>
        <v/>
      </c>
      <c r="R730" s="37">
        <f t="shared" ca="1" si="126"/>
        <v>0</v>
      </c>
      <c r="S730" s="4">
        <f ca="1">IFERROR(AVERAGE($R$5:R730),0)</f>
        <v>0</v>
      </c>
      <c r="U730" s="21" t="str">
        <f t="shared" ca="1" si="127"/>
        <v/>
      </c>
      <c r="V730" s="4">
        <f ca="1">MIN(S730,PREMISSAS!$C$14)</f>
        <v>0</v>
      </c>
      <c r="W730" s="188"/>
      <c r="X730" s="188"/>
    </row>
    <row r="731" spans="2:24" x14ac:dyDescent="0.3">
      <c r="B731" s="21" t="str">
        <f t="shared" ca="1" si="119"/>
        <v/>
      </c>
      <c r="C731" s="22" t="str">
        <f ca="1">IF(B731="","",IF(LEFT(B731,2)="13",C730,IF(MONTH(B731)=1,C730*(1+PREMISSAS!$C$58),C730)))</f>
        <v/>
      </c>
      <c r="E731" s="18">
        <v>727</v>
      </c>
      <c r="F731" s="21" t="str">
        <f t="shared" ca="1" si="120"/>
        <v/>
      </c>
      <c r="G731" s="22" t="str">
        <f ca="1">IFERROR(VLOOKUP(F731,RESULTADOS!$O$5:$P$543,2,FALSE),VLOOKUP(F731,$B$5:$C$842,2,FALSE))</f>
        <v/>
      </c>
      <c r="H731" s="4" t="e">
        <f ca="1">IF(F731&lt;PREMISSAS!$D$7,0,IFERROR(VLOOKUP(IF(LEFT(F731,2)="13",DATE(YEAR(F730),12,31),F731),IPCA!$A:$D,4,FALSE),1)*G731)</f>
        <v>#VALUE!</v>
      </c>
      <c r="J731" s="21" t="str">
        <f t="shared" ca="1" si="123"/>
        <v/>
      </c>
      <c r="K731" s="4" t="str">
        <f t="shared" ca="1" si="124"/>
        <v/>
      </c>
      <c r="M731" s="21" t="str">
        <f t="shared" ca="1" si="121"/>
        <v/>
      </c>
      <c r="N731" s="37">
        <f t="shared" ca="1" si="125"/>
        <v>0</v>
      </c>
      <c r="O731" s="4">
        <f ca="1">IFERROR(AVERAGEIF(N$5:$N731,"&gt;="&amp;_xlfn.PERCENTILE.EXC(N$5:$N731,0.2)),0)</f>
        <v>0</v>
      </c>
      <c r="Q731" s="21" t="str">
        <f t="shared" ca="1" si="122"/>
        <v/>
      </c>
      <c r="R731" s="37">
        <f t="shared" ca="1" si="126"/>
        <v>0</v>
      </c>
      <c r="S731" s="4">
        <f ca="1">IFERROR(AVERAGE($R$5:R731),0)</f>
        <v>0</v>
      </c>
      <c r="U731" s="21" t="str">
        <f t="shared" ca="1" si="127"/>
        <v/>
      </c>
      <c r="V731" s="4">
        <f ca="1">MIN(S731,PREMISSAS!$C$14)</f>
        <v>0</v>
      </c>
      <c r="W731" s="188"/>
      <c r="X731" s="188"/>
    </row>
    <row r="732" spans="2:24" x14ac:dyDescent="0.3">
      <c r="B732" s="21" t="str">
        <f t="shared" ca="1" si="119"/>
        <v/>
      </c>
      <c r="C732" s="22" t="str">
        <f ca="1">IF(B732="","",IF(LEFT(B732,2)="13",C731,IF(MONTH(B732)=1,C731*(1+PREMISSAS!$C$58),C731)))</f>
        <v/>
      </c>
      <c r="E732" s="18">
        <v>728</v>
      </c>
      <c r="F732" s="21" t="str">
        <f t="shared" ca="1" si="120"/>
        <v/>
      </c>
      <c r="G732" s="22" t="str">
        <f ca="1">IFERROR(VLOOKUP(F732,RESULTADOS!$O$5:$P$543,2,FALSE),VLOOKUP(F732,$B$5:$C$842,2,FALSE))</f>
        <v/>
      </c>
      <c r="H732" s="4" t="e">
        <f ca="1">IF(F732&lt;PREMISSAS!$D$7,0,IFERROR(VLOOKUP(IF(LEFT(F732,2)="13",DATE(YEAR(F731),12,31),F732),IPCA!$A:$D,4,FALSE),1)*G732)</f>
        <v>#VALUE!</v>
      </c>
      <c r="J732" s="21" t="str">
        <f t="shared" ca="1" si="123"/>
        <v/>
      </c>
      <c r="K732" s="4" t="str">
        <f t="shared" ca="1" si="124"/>
        <v/>
      </c>
      <c r="M732" s="21" t="str">
        <f t="shared" ca="1" si="121"/>
        <v/>
      </c>
      <c r="N732" s="37">
        <f t="shared" ca="1" si="125"/>
        <v>0</v>
      </c>
      <c r="O732" s="4">
        <f ca="1">IFERROR(AVERAGEIF(N$5:$N732,"&gt;="&amp;_xlfn.PERCENTILE.EXC(N$5:$N732,0.2)),0)</f>
        <v>0</v>
      </c>
      <c r="Q732" s="21" t="str">
        <f t="shared" ca="1" si="122"/>
        <v/>
      </c>
      <c r="R732" s="37">
        <f t="shared" ca="1" si="126"/>
        <v>0</v>
      </c>
      <c r="S732" s="4">
        <f ca="1">IFERROR(AVERAGE($R$5:R732),0)</f>
        <v>0</v>
      </c>
      <c r="U732" s="21" t="str">
        <f t="shared" ca="1" si="127"/>
        <v/>
      </c>
      <c r="V732" s="4">
        <f ca="1">MIN(S732,PREMISSAS!$C$14)</f>
        <v>0</v>
      </c>
      <c r="W732" s="188"/>
      <c r="X732" s="188"/>
    </row>
    <row r="733" spans="2:24" x14ac:dyDescent="0.3">
      <c r="B733" s="21" t="str">
        <f t="shared" ca="1" si="119"/>
        <v/>
      </c>
      <c r="C733" s="22" t="str">
        <f ca="1">IF(B733="","",IF(LEFT(B733,2)="13",C732,IF(MONTH(B733)=1,C732*(1+PREMISSAS!$C$58),C732)))</f>
        <v/>
      </c>
      <c r="E733" s="18">
        <v>729</v>
      </c>
      <c r="F733" s="21" t="str">
        <f t="shared" ca="1" si="120"/>
        <v/>
      </c>
      <c r="G733" s="22" t="str">
        <f ca="1">IFERROR(VLOOKUP(F733,RESULTADOS!$O$5:$P$543,2,FALSE),VLOOKUP(F733,$B$5:$C$842,2,FALSE))</f>
        <v/>
      </c>
      <c r="H733" s="4" t="e">
        <f ca="1">IF(F733&lt;PREMISSAS!$D$7,0,IFERROR(VLOOKUP(IF(LEFT(F733,2)="13",DATE(YEAR(F732),12,31),F733),IPCA!$A:$D,4,FALSE),1)*G733)</f>
        <v>#VALUE!</v>
      </c>
      <c r="J733" s="21" t="str">
        <f t="shared" ca="1" si="123"/>
        <v/>
      </c>
      <c r="K733" s="4" t="str">
        <f t="shared" ca="1" si="124"/>
        <v/>
      </c>
      <c r="M733" s="21" t="str">
        <f t="shared" ca="1" si="121"/>
        <v/>
      </c>
      <c r="N733" s="37">
        <f t="shared" ca="1" si="125"/>
        <v>0</v>
      </c>
      <c r="O733" s="4">
        <f ca="1">IFERROR(AVERAGEIF(N$5:$N733,"&gt;="&amp;_xlfn.PERCENTILE.EXC(N$5:$N733,0.2)),0)</f>
        <v>0</v>
      </c>
      <c r="Q733" s="21" t="str">
        <f t="shared" ca="1" si="122"/>
        <v/>
      </c>
      <c r="R733" s="37">
        <f t="shared" ca="1" si="126"/>
        <v>0</v>
      </c>
      <c r="S733" s="4">
        <f ca="1">IFERROR(AVERAGE($R$5:R733),0)</f>
        <v>0</v>
      </c>
      <c r="U733" s="21" t="str">
        <f t="shared" ca="1" si="127"/>
        <v/>
      </c>
      <c r="V733" s="4">
        <f ca="1">MIN(S733,PREMISSAS!$C$14)</f>
        <v>0</v>
      </c>
      <c r="W733" s="188"/>
      <c r="X733" s="188"/>
    </row>
    <row r="734" spans="2:24" x14ac:dyDescent="0.3">
      <c r="B734" s="21" t="str">
        <f t="shared" ca="1" si="119"/>
        <v/>
      </c>
      <c r="C734" s="22" t="str">
        <f ca="1">IF(B734="","",IF(LEFT(B734,2)="13",C733,IF(MONTH(B734)=1,C733*(1+PREMISSAS!$C$58),C733)))</f>
        <v/>
      </c>
      <c r="E734" s="18">
        <v>730</v>
      </c>
      <c r="F734" s="21" t="str">
        <f t="shared" ca="1" si="120"/>
        <v/>
      </c>
      <c r="G734" s="22" t="str">
        <f ca="1">IFERROR(VLOOKUP(F734,RESULTADOS!$O$5:$P$543,2,FALSE),VLOOKUP(F734,$B$5:$C$842,2,FALSE))</f>
        <v/>
      </c>
      <c r="H734" s="4" t="e">
        <f ca="1">IF(F734&lt;PREMISSAS!$D$7,0,IFERROR(VLOOKUP(IF(LEFT(F734,2)="13",DATE(YEAR(F733),12,31),F734),IPCA!$A:$D,4,FALSE),1)*G734)</f>
        <v>#VALUE!</v>
      </c>
      <c r="J734" s="21" t="str">
        <f t="shared" ca="1" si="123"/>
        <v/>
      </c>
      <c r="K734" s="4" t="str">
        <f t="shared" ca="1" si="124"/>
        <v/>
      </c>
      <c r="M734" s="21" t="str">
        <f t="shared" ca="1" si="121"/>
        <v/>
      </c>
      <c r="N734" s="37">
        <f t="shared" ca="1" si="125"/>
        <v>0</v>
      </c>
      <c r="O734" s="4">
        <f ca="1">IFERROR(AVERAGEIF(N$5:$N734,"&gt;="&amp;_xlfn.PERCENTILE.EXC(N$5:$N734,0.2)),0)</f>
        <v>0</v>
      </c>
      <c r="Q734" s="21" t="str">
        <f t="shared" ca="1" si="122"/>
        <v/>
      </c>
      <c r="R734" s="37">
        <f t="shared" ca="1" si="126"/>
        <v>0</v>
      </c>
      <c r="S734" s="4">
        <f ca="1">IFERROR(AVERAGE($R$5:R734),0)</f>
        <v>0</v>
      </c>
      <c r="U734" s="21" t="str">
        <f t="shared" ca="1" si="127"/>
        <v/>
      </c>
      <c r="V734" s="4">
        <f ca="1">MIN(S734,PREMISSAS!$C$14)</f>
        <v>0</v>
      </c>
      <c r="W734" s="188"/>
      <c r="X734" s="188"/>
    </row>
    <row r="735" spans="2:24" x14ac:dyDescent="0.3">
      <c r="B735" s="21" t="str">
        <f t="shared" ca="1" si="119"/>
        <v/>
      </c>
      <c r="C735" s="22" t="str">
        <f ca="1">IF(B735="","",IF(LEFT(B735,2)="13",C734,IF(MONTH(B735)=1,C734*(1+PREMISSAS!$C$58),C734)))</f>
        <v/>
      </c>
      <c r="E735" s="18">
        <v>731</v>
      </c>
      <c r="F735" s="21" t="str">
        <f t="shared" ca="1" si="120"/>
        <v/>
      </c>
      <c r="G735" s="22" t="str">
        <f ca="1">IFERROR(VLOOKUP(F735,RESULTADOS!$O$5:$P$543,2,FALSE),VLOOKUP(F735,$B$5:$C$842,2,FALSE))</f>
        <v/>
      </c>
      <c r="H735" s="4" t="e">
        <f ca="1">IF(F735&lt;PREMISSAS!$D$7,0,IFERROR(VLOOKUP(IF(LEFT(F735,2)="13",DATE(YEAR(F734),12,31),F735),IPCA!$A:$D,4,FALSE),1)*G735)</f>
        <v>#VALUE!</v>
      </c>
      <c r="J735" s="21" t="str">
        <f t="shared" ca="1" si="123"/>
        <v/>
      </c>
      <c r="K735" s="4" t="str">
        <f t="shared" ca="1" si="124"/>
        <v/>
      </c>
      <c r="M735" s="21" t="str">
        <f t="shared" ca="1" si="121"/>
        <v/>
      </c>
      <c r="N735" s="37">
        <f t="shared" ca="1" si="125"/>
        <v>0</v>
      </c>
      <c r="O735" s="4">
        <f ca="1">IFERROR(AVERAGEIF(N$5:$N735,"&gt;="&amp;_xlfn.PERCENTILE.EXC(N$5:$N735,0.2)),0)</f>
        <v>0</v>
      </c>
      <c r="Q735" s="21" t="str">
        <f t="shared" ca="1" si="122"/>
        <v/>
      </c>
      <c r="R735" s="37">
        <f t="shared" ca="1" si="126"/>
        <v>0</v>
      </c>
      <c r="S735" s="4">
        <f ca="1">IFERROR(AVERAGE($R$5:R735),0)</f>
        <v>0</v>
      </c>
      <c r="U735" s="21" t="str">
        <f t="shared" ca="1" si="127"/>
        <v/>
      </c>
      <c r="V735" s="4">
        <f ca="1">MIN(S735,PREMISSAS!$C$14)</f>
        <v>0</v>
      </c>
      <c r="W735" s="188"/>
      <c r="X735" s="188"/>
    </row>
    <row r="736" spans="2:24" x14ac:dyDescent="0.3">
      <c r="B736" s="21" t="str">
        <f t="shared" ca="1" si="119"/>
        <v/>
      </c>
      <c r="C736" s="22" t="str">
        <f ca="1">IF(B736="","",IF(LEFT(B736,2)="13",C735,IF(MONTH(B736)=1,C735*(1+PREMISSAS!$C$58),C735)))</f>
        <v/>
      </c>
      <c r="E736" s="18">
        <v>732</v>
      </c>
      <c r="F736" s="21" t="str">
        <f t="shared" ca="1" si="120"/>
        <v/>
      </c>
      <c r="G736" s="22" t="str">
        <f ca="1">IFERROR(VLOOKUP(F736,RESULTADOS!$O$5:$P$543,2,FALSE),VLOOKUP(F736,$B$5:$C$842,2,FALSE))</f>
        <v/>
      </c>
      <c r="H736" s="4" t="e">
        <f ca="1">IF(F736&lt;PREMISSAS!$D$7,0,IFERROR(VLOOKUP(IF(LEFT(F736,2)="13",DATE(YEAR(F735),12,31),F736),IPCA!$A:$D,4,FALSE),1)*G736)</f>
        <v>#VALUE!</v>
      </c>
      <c r="J736" s="21" t="str">
        <f t="shared" ca="1" si="123"/>
        <v/>
      </c>
      <c r="K736" s="4" t="str">
        <f t="shared" ca="1" si="124"/>
        <v/>
      </c>
      <c r="M736" s="21" t="str">
        <f t="shared" ca="1" si="121"/>
        <v/>
      </c>
      <c r="N736" s="37">
        <f t="shared" ca="1" si="125"/>
        <v>0</v>
      </c>
      <c r="O736" s="4">
        <f ca="1">IFERROR(AVERAGEIF(N$5:$N736,"&gt;="&amp;_xlfn.PERCENTILE.EXC(N$5:$N736,0.2)),0)</f>
        <v>0</v>
      </c>
      <c r="Q736" s="21" t="str">
        <f t="shared" ca="1" si="122"/>
        <v/>
      </c>
      <c r="R736" s="37">
        <f t="shared" ca="1" si="126"/>
        <v>0</v>
      </c>
      <c r="S736" s="4">
        <f ca="1">IFERROR(AVERAGE($R$5:R736),0)</f>
        <v>0</v>
      </c>
      <c r="U736" s="21" t="str">
        <f t="shared" ca="1" si="127"/>
        <v/>
      </c>
      <c r="V736" s="4">
        <f ca="1">MIN(S736,PREMISSAS!$C$14)</f>
        <v>0</v>
      </c>
      <c r="W736" s="188"/>
      <c r="X736" s="188"/>
    </row>
    <row r="737" spans="2:24" x14ac:dyDescent="0.3">
      <c r="B737" s="21" t="str">
        <f t="shared" ca="1" si="119"/>
        <v/>
      </c>
      <c r="C737" s="22" t="str">
        <f ca="1">IF(B737="","",IF(LEFT(B737,2)="13",C736,IF(MONTH(B737)=1,C736*(1+PREMISSAS!$C$58),C736)))</f>
        <v/>
      </c>
      <c r="E737" s="18">
        <v>733</v>
      </c>
      <c r="F737" s="21" t="str">
        <f t="shared" ca="1" si="120"/>
        <v/>
      </c>
      <c r="G737" s="22" t="str">
        <f ca="1">IFERROR(VLOOKUP(F737,RESULTADOS!$O$5:$P$543,2,FALSE),VLOOKUP(F737,$B$5:$C$842,2,FALSE))</f>
        <v/>
      </c>
      <c r="H737" s="4" t="e">
        <f ca="1">IF(F737&lt;PREMISSAS!$D$7,0,IFERROR(VLOOKUP(IF(LEFT(F737,2)="13",DATE(YEAR(F736),12,31),F737),IPCA!$A:$D,4,FALSE),1)*G737)</f>
        <v>#VALUE!</v>
      </c>
      <c r="J737" s="21" t="str">
        <f t="shared" ca="1" si="123"/>
        <v/>
      </c>
      <c r="K737" s="4" t="str">
        <f t="shared" ca="1" si="124"/>
        <v/>
      </c>
      <c r="M737" s="21" t="str">
        <f t="shared" ca="1" si="121"/>
        <v/>
      </c>
      <c r="N737" s="37">
        <f t="shared" ca="1" si="125"/>
        <v>0</v>
      </c>
      <c r="O737" s="4">
        <f ca="1">IFERROR(AVERAGEIF(N$5:$N737,"&gt;="&amp;_xlfn.PERCENTILE.EXC(N$5:$N737,0.2)),0)</f>
        <v>0</v>
      </c>
      <c r="Q737" s="21" t="str">
        <f t="shared" ca="1" si="122"/>
        <v/>
      </c>
      <c r="R737" s="37">
        <f t="shared" ca="1" si="126"/>
        <v>0</v>
      </c>
      <c r="S737" s="4">
        <f ca="1">IFERROR(AVERAGE($R$5:R737),0)</f>
        <v>0</v>
      </c>
      <c r="U737" s="21" t="str">
        <f t="shared" ca="1" si="127"/>
        <v/>
      </c>
      <c r="V737" s="4">
        <f ca="1">MIN(S737,PREMISSAS!$C$14)</f>
        <v>0</v>
      </c>
      <c r="W737" s="188"/>
      <c r="X737" s="188"/>
    </row>
    <row r="738" spans="2:24" x14ac:dyDescent="0.3">
      <c r="B738" s="21" t="str">
        <f t="shared" ca="1" si="119"/>
        <v/>
      </c>
      <c r="C738" s="22" t="str">
        <f ca="1">IF(B738="","",IF(LEFT(B738,2)="13",C737,IF(MONTH(B738)=1,C737*(1+PREMISSAS!$C$58),C737)))</f>
        <v/>
      </c>
      <c r="E738" s="18">
        <v>734</v>
      </c>
      <c r="F738" s="21" t="str">
        <f t="shared" ca="1" si="120"/>
        <v/>
      </c>
      <c r="G738" s="22" t="str">
        <f ca="1">IFERROR(VLOOKUP(F738,RESULTADOS!$O$5:$P$543,2,FALSE),VLOOKUP(F738,$B$5:$C$842,2,FALSE))</f>
        <v/>
      </c>
      <c r="H738" s="4" t="e">
        <f ca="1">IF(F738&lt;PREMISSAS!$D$7,0,IFERROR(VLOOKUP(IF(LEFT(F738,2)="13",DATE(YEAR(F737),12,31),F738),IPCA!$A:$D,4,FALSE),1)*G738)</f>
        <v>#VALUE!</v>
      </c>
      <c r="J738" s="21" t="str">
        <f t="shared" ca="1" si="123"/>
        <v/>
      </c>
      <c r="K738" s="4" t="str">
        <f t="shared" ca="1" si="124"/>
        <v/>
      </c>
      <c r="M738" s="21" t="str">
        <f t="shared" ca="1" si="121"/>
        <v/>
      </c>
      <c r="N738" s="37">
        <f t="shared" ca="1" si="125"/>
        <v>0</v>
      </c>
      <c r="O738" s="4">
        <f ca="1">IFERROR(AVERAGEIF(N$5:$N738,"&gt;="&amp;_xlfn.PERCENTILE.EXC(N$5:$N738,0.2)),0)</f>
        <v>0</v>
      </c>
      <c r="Q738" s="21" t="str">
        <f t="shared" ca="1" si="122"/>
        <v/>
      </c>
      <c r="R738" s="37">
        <f t="shared" ca="1" si="126"/>
        <v>0</v>
      </c>
      <c r="S738" s="4">
        <f ca="1">IFERROR(AVERAGE($R$5:R738),0)</f>
        <v>0</v>
      </c>
      <c r="U738" s="21" t="str">
        <f t="shared" ca="1" si="127"/>
        <v/>
      </c>
      <c r="V738" s="4">
        <f ca="1">MIN(S738,PREMISSAS!$C$14)</f>
        <v>0</v>
      </c>
      <c r="W738" s="188"/>
      <c r="X738" s="188"/>
    </row>
    <row r="739" spans="2:24" x14ac:dyDescent="0.3">
      <c r="B739" s="21" t="str">
        <f t="shared" ca="1" si="119"/>
        <v/>
      </c>
      <c r="C739" s="22" t="str">
        <f ca="1">IF(B739="","",IF(LEFT(B739,2)="13",C738,IF(MONTH(B739)=1,C738*(1+PREMISSAS!$C$58),C738)))</f>
        <v/>
      </c>
      <c r="E739" s="18">
        <v>735</v>
      </c>
      <c r="F739" s="21" t="str">
        <f t="shared" ca="1" si="120"/>
        <v/>
      </c>
      <c r="G739" s="22" t="str">
        <f ca="1">IFERROR(VLOOKUP(F739,RESULTADOS!$O$5:$P$543,2,FALSE),VLOOKUP(F739,$B$5:$C$842,2,FALSE))</f>
        <v/>
      </c>
      <c r="H739" s="4" t="e">
        <f ca="1">IF(F739&lt;PREMISSAS!$D$7,0,IFERROR(VLOOKUP(IF(LEFT(F739,2)="13",DATE(YEAR(F738),12,31),F739),IPCA!$A:$D,4,FALSE),1)*G739)</f>
        <v>#VALUE!</v>
      </c>
      <c r="J739" s="21" t="str">
        <f t="shared" ca="1" si="123"/>
        <v/>
      </c>
      <c r="K739" s="4" t="str">
        <f t="shared" ca="1" si="124"/>
        <v/>
      </c>
      <c r="M739" s="21" t="str">
        <f t="shared" ca="1" si="121"/>
        <v/>
      </c>
      <c r="N739" s="37">
        <f t="shared" ca="1" si="125"/>
        <v>0</v>
      </c>
      <c r="O739" s="4">
        <f ca="1">IFERROR(AVERAGEIF(N$5:$N739,"&gt;="&amp;_xlfn.PERCENTILE.EXC(N$5:$N739,0.2)),0)</f>
        <v>0</v>
      </c>
      <c r="Q739" s="21" t="str">
        <f t="shared" ca="1" si="122"/>
        <v/>
      </c>
      <c r="R739" s="37">
        <f t="shared" ca="1" si="126"/>
        <v>0</v>
      </c>
      <c r="S739" s="4">
        <f ca="1">IFERROR(AVERAGE($R$5:R739),0)</f>
        <v>0</v>
      </c>
      <c r="U739" s="21" t="str">
        <f t="shared" ca="1" si="127"/>
        <v/>
      </c>
      <c r="V739" s="4">
        <f ca="1">MIN(S739,PREMISSAS!$C$14)</f>
        <v>0</v>
      </c>
      <c r="W739" s="188"/>
      <c r="X739" s="188"/>
    </row>
    <row r="740" spans="2:24" x14ac:dyDescent="0.3">
      <c r="B740" s="21" t="str">
        <f t="shared" ca="1" si="119"/>
        <v/>
      </c>
      <c r="C740" s="22" t="str">
        <f ca="1">IF(B740="","",IF(LEFT(B740,2)="13",C739,IF(MONTH(B740)=1,C739*(1+PREMISSAS!$C$58),C739)))</f>
        <v/>
      </c>
      <c r="E740" s="18">
        <v>736</v>
      </c>
      <c r="F740" s="21" t="str">
        <f t="shared" ca="1" si="120"/>
        <v/>
      </c>
      <c r="G740" s="22" t="str">
        <f ca="1">IFERROR(VLOOKUP(F740,RESULTADOS!$O$5:$P$543,2,FALSE),VLOOKUP(F740,$B$5:$C$842,2,FALSE))</f>
        <v/>
      </c>
      <c r="H740" s="4" t="e">
        <f ca="1">IF(F740&lt;PREMISSAS!$D$7,0,IFERROR(VLOOKUP(IF(LEFT(F740,2)="13",DATE(YEAR(F739),12,31),F740),IPCA!$A:$D,4,FALSE),1)*G740)</f>
        <v>#VALUE!</v>
      </c>
      <c r="J740" s="21" t="str">
        <f t="shared" ca="1" si="123"/>
        <v/>
      </c>
      <c r="K740" s="4" t="str">
        <f t="shared" ca="1" si="124"/>
        <v/>
      </c>
      <c r="M740" s="21" t="str">
        <f t="shared" ca="1" si="121"/>
        <v/>
      </c>
      <c r="N740" s="37">
        <f t="shared" ca="1" si="125"/>
        <v>0</v>
      </c>
      <c r="O740" s="4">
        <f ca="1">IFERROR(AVERAGEIF(N$5:$N740,"&gt;="&amp;_xlfn.PERCENTILE.EXC(N$5:$N740,0.2)),0)</f>
        <v>0</v>
      </c>
      <c r="Q740" s="21" t="str">
        <f t="shared" ca="1" si="122"/>
        <v/>
      </c>
      <c r="R740" s="37">
        <f t="shared" ca="1" si="126"/>
        <v>0</v>
      </c>
      <c r="S740" s="4">
        <f ca="1">IFERROR(AVERAGE($R$5:R740),0)</f>
        <v>0</v>
      </c>
      <c r="U740" s="21" t="str">
        <f t="shared" ca="1" si="127"/>
        <v/>
      </c>
      <c r="V740" s="4">
        <f ca="1">MIN(S740,PREMISSAS!$C$14)</f>
        <v>0</v>
      </c>
      <c r="W740" s="188"/>
      <c r="X740" s="188"/>
    </row>
    <row r="741" spans="2:24" x14ac:dyDescent="0.3">
      <c r="B741" s="21" t="str">
        <f t="shared" ca="1" si="119"/>
        <v/>
      </c>
      <c r="C741" s="22" t="str">
        <f ca="1">IF(B741="","",IF(LEFT(B741,2)="13",C740,IF(MONTH(B741)=1,C740*(1+PREMISSAS!$C$58),C740)))</f>
        <v/>
      </c>
      <c r="E741" s="18">
        <v>737</v>
      </c>
      <c r="F741" s="21" t="str">
        <f t="shared" ca="1" si="120"/>
        <v/>
      </c>
      <c r="G741" s="22" t="str">
        <f ca="1">IFERROR(VLOOKUP(F741,RESULTADOS!$O$5:$P$543,2,FALSE),VLOOKUP(F741,$B$5:$C$842,2,FALSE))</f>
        <v/>
      </c>
      <c r="H741" s="4" t="e">
        <f ca="1">IF(F741&lt;PREMISSAS!$D$7,0,IFERROR(VLOOKUP(IF(LEFT(F741,2)="13",DATE(YEAR(F740),12,31),F741),IPCA!$A:$D,4,FALSE),1)*G741)</f>
        <v>#VALUE!</v>
      </c>
      <c r="J741" s="21" t="str">
        <f t="shared" ca="1" si="123"/>
        <v/>
      </c>
      <c r="K741" s="4" t="str">
        <f t="shared" ca="1" si="124"/>
        <v/>
      </c>
      <c r="M741" s="21" t="str">
        <f t="shared" ca="1" si="121"/>
        <v/>
      </c>
      <c r="N741" s="37">
        <f t="shared" ca="1" si="125"/>
        <v>0</v>
      </c>
      <c r="O741" s="4">
        <f ca="1">IFERROR(AVERAGEIF(N$5:$N741,"&gt;="&amp;_xlfn.PERCENTILE.EXC(N$5:$N741,0.2)),0)</f>
        <v>0</v>
      </c>
      <c r="Q741" s="21" t="str">
        <f t="shared" ca="1" si="122"/>
        <v/>
      </c>
      <c r="R741" s="37">
        <f t="shared" ca="1" si="126"/>
        <v>0</v>
      </c>
      <c r="S741" s="4">
        <f ca="1">IFERROR(AVERAGE($R$5:R741),0)</f>
        <v>0</v>
      </c>
      <c r="U741" s="21" t="str">
        <f t="shared" ca="1" si="127"/>
        <v/>
      </c>
      <c r="V741" s="4">
        <f ca="1">MIN(S741,PREMISSAS!$C$14)</f>
        <v>0</v>
      </c>
      <c r="W741" s="188"/>
      <c r="X741" s="188"/>
    </row>
    <row r="742" spans="2:24" x14ac:dyDescent="0.3">
      <c r="B742" s="21" t="str">
        <f t="shared" ca="1" si="119"/>
        <v/>
      </c>
      <c r="C742" s="22" t="str">
        <f ca="1">IF(B742="","",IF(LEFT(B742,2)="13",C741,IF(MONTH(B742)=1,C741*(1+PREMISSAS!$C$58),C741)))</f>
        <v/>
      </c>
      <c r="E742" s="18">
        <v>738</v>
      </c>
      <c r="F742" s="21" t="str">
        <f t="shared" ca="1" si="120"/>
        <v/>
      </c>
      <c r="G742" s="22" t="str">
        <f ca="1">IFERROR(VLOOKUP(F742,RESULTADOS!$O$5:$P$543,2,FALSE),VLOOKUP(F742,$B$5:$C$842,2,FALSE))</f>
        <v/>
      </c>
      <c r="H742" s="4" t="e">
        <f ca="1">IF(F742&lt;PREMISSAS!$D$7,0,IFERROR(VLOOKUP(IF(LEFT(F742,2)="13",DATE(YEAR(F741),12,31),F742),IPCA!$A:$D,4,FALSE),1)*G742)</f>
        <v>#VALUE!</v>
      </c>
      <c r="J742" s="21" t="str">
        <f t="shared" ca="1" si="123"/>
        <v/>
      </c>
      <c r="K742" s="4" t="str">
        <f t="shared" ca="1" si="124"/>
        <v/>
      </c>
      <c r="M742" s="21" t="str">
        <f t="shared" ca="1" si="121"/>
        <v/>
      </c>
      <c r="N742" s="37">
        <f t="shared" ca="1" si="125"/>
        <v>0</v>
      </c>
      <c r="O742" s="4">
        <f ca="1">IFERROR(AVERAGEIF(N$5:$N742,"&gt;="&amp;_xlfn.PERCENTILE.EXC(N$5:$N742,0.2)),0)</f>
        <v>0</v>
      </c>
      <c r="Q742" s="21" t="str">
        <f t="shared" ca="1" si="122"/>
        <v/>
      </c>
      <c r="R742" s="37">
        <f t="shared" ca="1" si="126"/>
        <v>0</v>
      </c>
      <c r="S742" s="4">
        <f ca="1">IFERROR(AVERAGE($R$5:R742),0)</f>
        <v>0</v>
      </c>
      <c r="U742" s="21" t="str">
        <f t="shared" ca="1" si="127"/>
        <v/>
      </c>
      <c r="V742" s="4">
        <f ca="1">MIN(S742,PREMISSAS!$C$14)</f>
        <v>0</v>
      </c>
      <c r="W742" s="188"/>
      <c r="X742" s="188"/>
    </row>
    <row r="743" spans="2:24" x14ac:dyDescent="0.3">
      <c r="B743" s="21" t="str">
        <f t="shared" ca="1" si="119"/>
        <v/>
      </c>
      <c r="C743" s="22" t="str">
        <f ca="1">IF(B743="","",IF(LEFT(B743,2)="13",C742,IF(MONTH(B743)=1,C742*(1+PREMISSAS!$C$58),C742)))</f>
        <v/>
      </c>
      <c r="E743" s="18">
        <v>739</v>
      </c>
      <c r="F743" s="21" t="str">
        <f t="shared" ca="1" si="120"/>
        <v/>
      </c>
      <c r="G743" s="22" t="str">
        <f ca="1">IFERROR(VLOOKUP(F743,RESULTADOS!$O$5:$P$543,2,FALSE),VLOOKUP(F743,$B$5:$C$842,2,FALSE))</f>
        <v/>
      </c>
      <c r="H743" s="4" t="e">
        <f ca="1">IF(F743&lt;PREMISSAS!$D$7,0,IFERROR(VLOOKUP(IF(LEFT(F743,2)="13",DATE(YEAR(F742),12,31),F743),IPCA!$A:$D,4,FALSE),1)*G743)</f>
        <v>#VALUE!</v>
      </c>
      <c r="J743" s="21" t="str">
        <f t="shared" ca="1" si="123"/>
        <v/>
      </c>
      <c r="K743" s="4" t="str">
        <f t="shared" ca="1" si="124"/>
        <v/>
      </c>
      <c r="M743" s="21" t="str">
        <f t="shared" ca="1" si="121"/>
        <v/>
      </c>
      <c r="N743" s="37">
        <f t="shared" ca="1" si="125"/>
        <v>0</v>
      </c>
      <c r="O743" s="4">
        <f ca="1">IFERROR(AVERAGEIF(N$5:$N743,"&gt;="&amp;_xlfn.PERCENTILE.EXC(N$5:$N743,0.2)),0)</f>
        <v>0</v>
      </c>
      <c r="Q743" s="21" t="str">
        <f t="shared" ca="1" si="122"/>
        <v/>
      </c>
      <c r="R743" s="37">
        <f t="shared" ca="1" si="126"/>
        <v>0</v>
      </c>
      <c r="S743" s="4">
        <f ca="1">IFERROR(AVERAGE($R$5:R743),0)</f>
        <v>0</v>
      </c>
      <c r="U743" s="21" t="str">
        <f t="shared" ca="1" si="127"/>
        <v/>
      </c>
      <c r="V743" s="4">
        <f ca="1">MIN(S743,PREMISSAS!$C$14)</f>
        <v>0</v>
      </c>
      <c r="W743" s="188"/>
      <c r="X743" s="188"/>
    </row>
    <row r="744" spans="2:24" x14ac:dyDescent="0.3">
      <c r="B744" s="21" t="str">
        <f t="shared" ca="1" si="119"/>
        <v/>
      </c>
      <c r="C744" s="22" t="str">
        <f ca="1">IF(B744="","",IF(LEFT(B744,2)="13",C743,IF(MONTH(B744)=1,C743*(1+PREMISSAS!$C$58),C743)))</f>
        <v/>
      </c>
      <c r="E744" s="18">
        <v>740</v>
      </c>
      <c r="F744" s="21" t="str">
        <f t="shared" ca="1" si="120"/>
        <v/>
      </c>
      <c r="G744" s="22" t="str">
        <f ca="1">IFERROR(VLOOKUP(F744,RESULTADOS!$O$5:$P$543,2,FALSE),VLOOKUP(F744,$B$5:$C$842,2,FALSE))</f>
        <v/>
      </c>
      <c r="H744" s="4" t="e">
        <f ca="1">IF(F744&lt;PREMISSAS!$D$7,0,IFERROR(VLOOKUP(IF(LEFT(F744,2)="13",DATE(YEAR(F743),12,31),F744),IPCA!$A:$D,4,FALSE),1)*G744)</f>
        <v>#VALUE!</v>
      </c>
      <c r="J744" s="21" t="str">
        <f t="shared" ca="1" si="123"/>
        <v/>
      </c>
      <c r="K744" s="4" t="str">
        <f t="shared" ca="1" si="124"/>
        <v/>
      </c>
      <c r="M744" s="21" t="str">
        <f t="shared" ca="1" si="121"/>
        <v/>
      </c>
      <c r="N744" s="37">
        <f t="shared" ca="1" si="125"/>
        <v>0</v>
      </c>
      <c r="O744" s="4">
        <f ca="1">IFERROR(AVERAGEIF(N$5:$N744,"&gt;="&amp;_xlfn.PERCENTILE.EXC(N$5:$N744,0.2)),0)</f>
        <v>0</v>
      </c>
      <c r="Q744" s="21" t="str">
        <f t="shared" ca="1" si="122"/>
        <v/>
      </c>
      <c r="R744" s="37">
        <f t="shared" ca="1" si="126"/>
        <v>0</v>
      </c>
      <c r="S744" s="4">
        <f ca="1">IFERROR(AVERAGE($R$5:R744),0)</f>
        <v>0</v>
      </c>
      <c r="U744" s="21" t="str">
        <f t="shared" ca="1" si="127"/>
        <v/>
      </c>
      <c r="V744" s="4">
        <f ca="1">MIN(S744,PREMISSAS!$C$14)</f>
        <v>0</v>
      </c>
      <c r="W744" s="188"/>
      <c r="X744" s="188"/>
    </row>
    <row r="745" spans="2:24" x14ac:dyDescent="0.3">
      <c r="B745" s="21" t="str">
        <f t="shared" ca="1" si="119"/>
        <v/>
      </c>
      <c r="C745" s="22" t="str">
        <f ca="1">IF(B745="","",IF(LEFT(B745,2)="13",C744,IF(MONTH(B745)=1,C744*(1+PREMISSAS!$C$58),C744)))</f>
        <v/>
      </c>
      <c r="E745" s="18">
        <v>741</v>
      </c>
      <c r="F745" s="21" t="str">
        <f t="shared" ca="1" si="120"/>
        <v/>
      </c>
      <c r="G745" s="22" t="str">
        <f ca="1">IFERROR(VLOOKUP(F745,RESULTADOS!$O$5:$P$543,2,FALSE),VLOOKUP(F745,$B$5:$C$842,2,FALSE))</f>
        <v/>
      </c>
      <c r="H745" s="4" t="e">
        <f ca="1">IF(F745&lt;PREMISSAS!$D$7,0,IFERROR(VLOOKUP(IF(LEFT(F745,2)="13",DATE(YEAR(F744),12,31),F745),IPCA!$A:$D,4,FALSE),1)*G745)</f>
        <v>#VALUE!</v>
      </c>
      <c r="J745" s="21" t="str">
        <f t="shared" ca="1" si="123"/>
        <v/>
      </c>
      <c r="K745" s="4" t="str">
        <f t="shared" ca="1" si="124"/>
        <v/>
      </c>
      <c r="M745" s="21" t="str">
        <f t="shared" ca="1" si="121"/>
        <v/>
      </c>
      <c r="N745" s="37">
        <f t="shared" ca="1" si="125"/>
        <v>0</v>
      </c>
      <c r="O745" s="4">
        <f ca="1">IFERROR(AVERAGEIF(N$5:$N745,"&gt;="&amp;_xlfn.PERCENTILE.EXC(N$5:$N745,0.2)),0)</f>
        <v>0</v>
      </c>
      <c r="Q745" s="21" t="str">
        <f t="shared" ca="1" si="122"/>
        <v/>
      </c>
      <c r="R745" s="37">
        <f t="shared" ca="1" si="126"/>
        <v>0</v>
      </c>
      <c r="S745" s="4">
        <f ca="1">IFERROR(AVERAGE($R$5:R745),0)</f>
        <v>0</v>
      </c>
      <c r="U745" s="21" t="str">
        <f t="shared" ca="1" si="127"/>
        <v/>
      </c>
      <c r="V745" s="4">
        <f ca="1">MIN(S745,PREMISSAS!$C$14)</f>
        <v>0</v>
      </c>
      <c r="W745" s="188"/>
      <c r="X745" s="188"/>
    </row>
    <row r="746" spans="2:24" x14ac:dyDescent="0.3">
      <c r="B746" s="21" t="str">
        <f t="shared" ca="1" si="119"/>
        <v/>
      </c>
      <c r="C746" s="22" t="str">
        <f ca="1">IF(B746="","",IF(LEFT(B746,2)="13",C745,IF(MONTH(B746)=1,C745*(1+PREMISSAS!$C$58),C745)))</f>
        <v/>
      </c>
      <c r="E746" s="18">
        <v>742</v>
      </c>
      <c r="F746" s="21" t="str">
        <f t="shared" ca="1" si="120"/>
        <v/>
      </c>
      <c r="G746" s="22" t="str">
        <f ca="1">IFERROR(VLOOKUP(F746,RESULTADOS!$O$5:$P$543,2,FALSE),VLOOKUP(F746,$B$5:$C$842,2,FALSE))</f>
        <v/>
      </c>
      <c r="H746" s="4" t="e">
        <f ca="1">IF(F746&lt;PREMISSAS!$D$7,0,IFERROR(VLOOKUP(IF(LEFT(F746,2)="13",DATE(YEAR(F745),12,31),F746),IPCA!$A:$D,4,FALSE),1)*G746)</f>
        <v>#VALUE!</v>
      </c>
      <c r="J746" s="21" t="str">
        <f t="shared" ca="1" si="123"/>
        <v/>
      </c>
      <c r="K746" s="4" t="str">
        <f t="shared" ca="1" si="124"/>
        <v/>
      </c>
      <c r="M746" s="21" t="str">
        <f t="shared" ca="1" si="121"/>
        <v/>
      </c>
      <c r="N746" s="37">
        <f t="shared" ca="1" si="125"/>
        <v>0</v>
      </c>
      <c r="O746" s="4">
        <f ca="1">IFERROR(AVERAGEIF(N$5:$N746,"&gt;="&amp;_xlfn.PERCENTILE.EXC(N$5:$N746,0.2)),0)</f>
        <v>0</v>
      </c>
      <c r="Q746" s="21" t="str">
        <f t="shared" ca="1" si="122"/>
        <v/>
      </c>
      <c r="R746" s="37">
        <f t="shared" ca="1" si="126"/>
        <v>0</v>
      </c>
      <c r="S746" s="4">
        <f ca="1">IFERROR(AVERAGE($R$5:R746),0)</f>
        <v>0</v>
      </c>
      <c r="U746" s="21" t="str">
        <f t="shared" ca="1" si="127"/>
        <v/>
      </c>
      <c r="V746" s="4">
        <f ca="1">MIN(S746,PREMISSAS!$C$14)</f>
        <v>0</v>
      </c>
      <c r="W746" s="188"/>
      <c r="X746" s="188"/>
    </row>
    <row r="747" spans="2:24" x14ac:dyDescent="0.3">
      <c r="B747" s="21" t="str">
        <f t="shared" ca="1" si="119"/>
        <v/>
      </c>
      <c r="C747" s="22" t="str">
        <f ca="1">IF(B747="","",IF(LEFT(B747,2)="13",C746,IF(MONTH(B747)=1,C746*(1+PREMISSAS!$C$58),C746)))</f>
        <v/>
      </c>
      <c r="E747" s="18">
        <v>743</v>
      </c>
      <c r="F747" s="21" t="str">
        <f t="shared" ca="1" si="120"/>
        <v/>
      </c>
      <c r="G747" s="22" t="str">
        <f ca="1">IFERROR(VLOOKUP(F747,RESULTADOS!$O$5:$P$543,2,FALSE),VLOOKUP(F747,$B$5:$C$842,2,FALSE))</f>
        <v/>
      </c>
      <c r="H747" s="4" t="e">
        <f ca="1">IF(F747&lt;PREMISSAS!$D$7,0,IFERROR(VLOOKUP(IF(LEFT(F747,2)="13",DATE(YEAR(F746),12,31),F747),IPCA!$A:$D,4,FALSE),1)*G747)</f>
        <v>#VALUE!</v>
      </c>
      <c r="J747" s="21" t="str">
        <f t="shared" ca="1" si="123"/>
        <v/>
      </c>
      <c r="K747" s="4" t="str">
        <f t="shared" ca="1" si="124"/>
        <v/>
      </c>
      <c r="M747" s="21" t="str">
        <f t="shared" ca="1" si="121"/>
        <v/>
      </c>
      <c r="N747" s="37">
        <f t="shared" ca="1" si="125"/>
        <v>0</v>
      </c>
      <c r="O747" s="4">
        <f ca="1">IFERROR(AVERAGEIF(N$5:$N747,"&gt;="&amp;_xlfn.PERCENTILE.EXC(N$5:$N747,0.2)),0)</f>
        <v>0</v>
      </c>
      <c r="Q747" s="21" t="str">
        <f t="shared" ca="1" si="122"/>
        <v/>
      </c>
      <c r="R747" s="37">
        <f t="shared" ca="1" si="126"/>
        <v>0</v>
      </c>
      <c r="S747" s="4">
        <f ca="1">IFERROR(AVERAGE($R$5:R747),0)</f>
        <v>0</v>
      </c>
      <c r="U747" s="21" t="str">
        <f t="shared" ca="1" si="127"/>
        <v/>
      </c>
      <c r="V747" s="4">
        <f ca="1">MIN(S747,PREMISSAS!$C$14)</f>
        <v>0</v>
      </c>
      <c r="W747" s="188"/>
      <c r="X747" s="188"/>
    </row>
    <row r="748" spans="2:24" x14ac:dyDescent="0.3">
      <c r="B748" s="21" t="str">
        <f t="shared" ca="1" si="119"/>
        <v/>
      </c>
      <c r="C748" s="22" t="str">
        <f ca="1">IF(B748="","",IF(LEFT(B748,2)="13",C747,IF(MONTH(B748)=1,C747*(1+PREMISSAS!$C$58),C747)))</f>
        <v/>
      </c>
      <c r="E748" s="18">
        <v>744</v>
      </c>
      <c r="F748" s="21" t="str">
        <f t="shared" ca="1" si="120"/>
        <v/>
      </c>
      <c r="G748" s="22" t="str">
        <f ca="1">IFERROR(VLOOKUP(F748,RESULTADOS!$O$5:$P$543,2,FALSE),VLOOKUP(F748,$B$5:$C$842,2,FALSE))</f>
        <v/>
      </c>
      <c r="H748" s="4" t="e">
        <f ca="1">IF(F748&lt;PREMISSAS!$D$7,0,IFERROR(VLOOKUP(IF(LEFT(F748,2)="13",DATE(YEAR(F747),12,31),F748),IPCA!$A:$D,4,FALSE),1)*G748)</f>
        <v>#VALUE!</v>
      </c>
      <c r="J748" s="21" t="str">
        <f t="shared" ca="1" si="123"/>
        <v/>
      </c>
      <c r="K748" s="4" t="str">
        <f t="shared" ca="1" si="124"/>
        <v/>
      </c>
      <c r="M748" s="21" t="str">
        <f t="shared" ca="1" si="121"/>
        <v/>
      </c>
      <c r="N748" s="37">
        <f t="shared" ca="1" si="125"/>
        <v>0</v>
      </c>
      <c r="O748" s="4">
        <f ca="1">IFERROR(AVERAGEIF(N$5:$N748,"&gt;="&amp;_xlfn.PERCENTILE.EXC(N$5:$N748,0.2)),0)</f>
        <v>0</v>
      </c>
      <c r="Q748" s="21" t="str">
        <f t="shared" ca="1" si="122"/>
        <v/>
      </c>
      <c r="R748" s="37">
        <f t="shared" ca="1" si="126"/>
        <v>0</v>
      </c>
      <c r="S748" s="4">
        <f ca="1">IFERROR(AVERAGE($R$5:R748),0)</f>
        <v>0</v>
      </c>
      <c r="U748" s="21" t="str">
        <f t="shared" ca="1" si="127"/>
        <v/>
      </c>
      <c r="V748" s="4">
        <f ca="1">MIN(S748,PREMISSAS!$C$14)</f>
        <v>0</v>
      </c>
      <c r="W748" s="188"/>
      <c r="X748" s="188"/>
    </row>
    <row r="749" spans="2:24" x14ac:dyDescent="0.3">
      <c r="B749" s="21" t="str">
        <f t="shared" ca="1" si="119"/>
        <v/>
      </c>
      <c r="C749" s="22" t="str">
        <f ca="1">IF(B749="","",IF(LEFT(B749,2)="13",C748,IF(MONTH(B749)=1,C748*(1+PREMISSAS!$C$58),C748)))</f>
        <v/>
      </c>
      <c r="E749" s="18">
        <v>745</v>
      </c>
      <c r="F749" s="21" t="str">
        <f t="shared" ca="1" si="120"/>
        <v/>
      </c>
      <c r="G749" s="22" t="str">
        <f ca="1">IFERROR(VLOOKUP(F749,RESULTADOS!$O$5:$P$543,2,FALSE),VLOOKUP(F749,$B$5:$C$842,2,FALSE))</f>
        <v/>
      </c>
      <c r="H749" s="4" t="e">
        <f ca="1">IF(F749&lt;PREMISSAS!$D$7,0,IFERROR(VLOOKUP(IF(LEFT(F749,2)="13",DATE(YEAR(F748),12,31),F749),IPCA!$A:$D,4,FALSE),1)*G749)</f>
        <v>#VALUE!</v>
      </c>
      <c r="J749" s="21" t="str">
        <f t="shared" ca="1" si="123"/>
        <v/>
      </c>
      <c r="K749" s="4" t="str">
        <f t="shared" ca="1" si="124"/>
        <v/>
      </c>
      <c r="M749" s="21" t="str">
        <f t="shared" ca="1" si="121"/>
        <v/>
      </c>
      <c r="N749" s="37">
        <f t="shared" ca="1" si="125"/>
        <v>0</v>
      </c>
      <c r="O749" s="4">
        <f ca="1">IFERROR(AVERAGEIF(N$5:$N749,"&gt;="&amp;_xlfn.PERCENTILE.EXC(N$5:$N749,0.2)),0)</f>
        <v>0</v>
      </c>
      <c r="Q749" s="21" t="str">
        <f t="shared" ca="1" si="122"/>
        <v/>
      </c>
      <c r="R749" s="37">
        <f t="shared" ca="1" si="126"/>
        <v>0</v>
      </c>
      <c r="S749" s="4">
        <f ca="1">IFERROR(AVERAGE($R$5:R749),0)</f>
        <v>0</v>
      </c>
      <c r="U749" s="21" t="str">
        <f t="shared" ca="1" si="127"/>
        <v/>
      </c>
      <c r="V749" s="4">
        <f ca="1">MIN(S749,PREMISSAS!$C$14)</f>
        <v>0</v>
      </c>
      <c r="W749" s="188"/>
      <c r="X749" s="188"/>
    </row>
    <row r="750" spans="2:24" x14ac:dyDescent="0.3">
      <c r="B750" s="21" t="str">
        <f t="shared" ca="1" si="119"/>
        <v/>
      </c>
      <c r="C750" s="22" t="str">
        <f ca="1">IF(B750="","",IF(LEFT(B750,2)="13",C749,IF(MONTH(B750)=1,C749*(1+PREMISSAS!$C$58),C749)))</f>
        <v/>
      </c>
      <c r="E750" s="18">
        <v>746</v>
      </c>
      <c r="F750" s="21" t="str">
        <f t="shared" ca="1" si="120"/>
        <v/>
      </c>
      <c r="G750" s="22" t="str">
        <f ca="1">IFERROR(VLOOKUP(F750,RESULTADOS!$O$5:$P$543,2,FALSE),VLOOKUP(F750,$B$5:$C$842,2,FALSE))</f>
        <v/>
      </c>
      <c r="H750" s="4" t="e">
        <f ca="1">IF(F750&lt;PREMISSAS!$D$7,0,IFERROR(VLOOKUP(IF(LEFT(F750,2)="13",DATE(YEAR(F749),12,31),F750),IPCA!$A:$D,4,FALSE),1)*G750)</f>
        <v>#VALUE!</v>
      </c>
      <c r="J750" s="21" t="str">
        <f t="shared" ca="1" si="123"/>
        <v/>
      </c>
      <c r="K750" s="4" t="str">
        <f t="shared" ca="1" si="124"/>
        <v/>
      </c>
      <c r="M750" s="21" t="str">
        <f t="shared" ca="1" si="121"/>
        <v/>
      </c>
      <c r="N750" s="37">
        <f t="shared" ca="1" si="125"/>
        <v>0</v>
      </c>
      <c r="O750" s="4">
        <f ca="1">IFERROR(AVERAGEIF(N$5:$N750,"&gt;="&amp;_xlfn.PERCENTILE.EXC(N$5:$N750,0.2)),0)</f>
        <v>0</v>
      </c>
      <c r="Q750" s="21" t="str">
        <f t="shared" ca="1" si="122"/>
        <v/>
      </c>
      <c r="R750" s="37">
        <f t="shared" ca="1" si="126"/>
        <v>0</v>
      </c>
      <c r="S750" s="4">
        <f ca="1">IFERROR(AVERAGE($R$5:R750),0)</f>
        <v>0</v>
      </c>
      <c r="U750" s="21" t="str">
        <f t="shared" ca="1" si="127"/>
        <v/>
      </c>
      <c r="V750" s="4">
        <f ca="1">MIN(S750,PREMISSAS!$C$14)</f>
        <v>0</v>
      </c>
      <c r="W750" s="188"/>
      <c r="X750" s="188"/>
    </row>
    <row r="751" spans="2:24" x14ac:dyDescent="0.3">
      <c r="B751" s="21" t="str">
        <f t="shared" ca="1" si="119"/>
        <v/>
      </c>
      <c r="C751" s="22" t="str">
        <f ca="1">IF(B751="","",IF(LEFT(B751,2)="13",C750,IF(MONTH(B751)=1,C750*(1+PREMISSAS!$C$58),C750)))</f>
        <v/>
      </c>
      <c r="E751" s="18">
        <v>747</v>
      </c>
      <c r="F751" s="21" t="str">
        <f t="shared" ca="1" si="120"/>
        <v/>
      </c>
      <c r="G751" s="22" t="str">
        <f ca="1">IFERROR(VLOOKUP(F751,RESULTADOS!$O$5:$P$543,2,FALSE),VLOOKUP(F751,$B$5:$C$842,2,FALSE))</f>
        <v/>
      </c>
      <c r="H751" s="4" t="e">
        <f ca="1">IF(F751&lt;PREMISSAS!$D$7,0,IFERROR(VLOOKUP(IF(LEFT(F751,2)="13",DATE(YEAR(F750),12,31),F751),IPCA!$A:$D,4,FALSE),1)*G751)</f>
        <v>#VALUE!</v>
      </c>
      <c r="J751" s="21" t="str">
        <f t="shared" ca="1" si="123"/>
        <v/>
      </c>
      <c r="K751" s="4" t="str">
        <f t="shared" ca="1" si="124"/>
        <v/>
      </c>
      <c r="M751" s="21" t="str">
        <f t="shared" ca="1" si="121"/>
        <v/>
      </c>
      <c r="N751" s="37">
        <f t="shared" ca="1" si="125"/>
        <v>0</v>
      </c>
      <c r="O751" s="4">
        <f ca="1">IFERROR(AVERAGEIF(N$5:$N751,"&gt;="&amp;_xlfn.PERCENTILE.EXC(N$5:$N751,0.2)),0)</f>
        <v>0</v>
      </c>
      <c r="Q751" s="21" t="str">
        <f t="shared" ca="1" si="122"/>
        <v/>
      </c>
      <c r="R751" s="37">
        <f t="shared" ca="1" si="126"/>
        <v>0</v>
      </c>
      <c r="S751" s="4">
        <f ca="1">IFERROR(AVERAGE($R$5:R751),0)</f>
        <v>0</v>
      </c>
      <c r="U751" s="21" t="str">
        <f t="shared" ca="1" si="127"/>
        <v/>
      </c>
      <c r="V751" s="4">
        <f ca="1">MIN(S751,PREMISSAS!$C$14)</f>
        <v>0</v>
      </c>
      <c r="W751" s="188"/>
      <c r="X751" s="188"/>
    </row>
    <row r="752" spans="2:24" x14ac:dyDescent="0.3">
      <c r="B752" s="21" t="str">
        <f t="shared" ca="1" si="119"/>
        <v/>
      </c>
      <c r="C752" s="22" t="str">
        <f ca="1">IF(B752="","",IF(LEFT(B752,2)="13",C751,IF(MONTH(B752)=1,C751*(1+PREMISSAS!$C$58),C751)))</f>
        <v/>
      </c>
      <c r="E752" s="18">
        <v>748</v>
      </c>
      <c r="F752" s="21" t="str">
        <f t="shared" ca="1" si="120"/>
        <v/>
      </c>
      <c r="G752" s="22" t="str">
        <f ca="1">IFERROR(VLOOKUP(F752,RESULTADOS!$O$5:$P$543,2,FALSE),VLOOKUP(F752,$B$5:$C$842,2,FALSE))</f>
        <v/>
      </c>
      <c r="H752" s="4" t="e">
        <f ca="1">IF(F752&lt;PREMISSAS!$D$7,0,IFERROR(VLOOKUP(IF(LEFT(F752,2)="13",DATE(YEAR(F751),12,31),F752),IPCA!$A:$D,4,FALSE),1)*G752)</f>
        <v>#VALUE!</v>
      </c>
      <c r="J752" s="21" t="str">
        <f t="shared" ca="1" si="123"/>
        <v/>
      </c>
      <c r="K752" s="4" t="str">
        <f t="shared" ca="1" si="124"/>
        <v/>
      </c>
      <c r="M752" s="21" t="str">
        <f t="shared" ca="1" si="121"/>
        <v/>
      </c>
      <c r="N752" s="37">
        <f t="shared" ca="1" si="125"/>
        <v>0</v>
      </c>
      <c r="O752" s="4">
        <f ca="1">IFERROR(AVERAGEIF(N$5:$N752,"&gt;="&amp;_xlfn.PERCENTILE.EXC(N$5:$N752,0.2)),0)</f>
        <v>0</v>
      </c>
      <c r="Q752" s="21" t="str">
        <f t="shared" ca="1" si="122"/>
        <v/>
      </c>
      <c r="R752" s="37">
        <f t="shared" ca="1" si="126"/>
        <v>0</v>
      </c>
      <c r="S752" s="4">
        <f ca="1">IFERROR(AVERAGE($R$5:R752),0)</f>
        <v>0</v>
      </c>
      <c r="U752" s="21" t="str">
        <f t="shared" ca="1" si="127"/>
        <v/>
      </c>
      <c r="V752" s="4">
        <f ca="1">MIN(S752,PREMISSAS!$C$14)</f>
        <v>0</v>
      </c>
      <c r="W752" s="188"/>
      <c r="X752" s="188"/>
    </row>
    <row r="753" spans="2:24" x14ac:dyDescent="0.3">
      <c r="B753" s="21" t="str">
        <f t="shared" ca="1" si="119"/>
        <v/>
      </c>
      <c r="C753" s="22" t="str">
        <f ca="1">IF(B753="","",IF(LEFT(B753,2)="13",C752,IF(MONTH(B753)=1,C752*(1+PREMISSAS!$C$58),C752)))</f>
        <v/>
      </c>
      <c r="E753" s="18">
        <v>749</v>
      </c>
      <c r="F753" s="21" t="str">
        <f t="shared" ca="1" si="120"/>
        <v/>
      </c>
      <c r="G753" s="22" t="str">
        <f ca="1">IFERROR(VLOOKUP(F753,RESULTADOS!$O$5:$P$543,2,FALSE),VLOOKUP(F753,$B$5:$C$842,2,FALSE))</f>
        <v/>
      </c>
      <c r="H753" s="4" t="e">
        <f ca="1">IF(F753&lt;PREMISSAS!$D$7,0,IFERROR(VLOOKUP(IF(LEFT(F753,2)="13",DATE(YEAR(F752),12,31),F753),IPCA!$A:$D,4,FALSE),1)*G753)</f>
        <v>#VALUE!</v>
      </c>
      <c r="J753" s="21" t="str">
        <f t="shared" ca="1" si="123"/>
        <v/>
      </c>
      <c r="K753" s="4" t="str">
        <f t="shared" ca="1" si="124"/>
        <v/>
      </c>
      <c r="M753" s="21" t="str">
        <f t="shared" ca="1" si="121"/>
        <v/>
      </c>
      <c r="N753" s="37">
        <f t="shared" ca="1" si="125"/>
        <v>0</v>
      </c>
      <c r="O753" s="4">
        <f ca="1">IFERROR(AVERAGEIF(N$5:$N753,"&gt;="&amp;_xlfn.PERCENTILE.EXC(N$5:$N753,0.2)),0)</f>
        <v>0</v>
      </c>
      <c r="Q753" s="21" t="str">
        <f t="shared" ca="1" si="122"/>
        <v/>
      </c>
      <c r="R753" s="37">
        <f t="shared" ca="1" si="126"/>
        <v>0</v>
      </c>
      <c r="S753" s="4">
        <f ca="1">IFERROR(AVERAGE($R$5:R753),0)</f>
        <v>0</v>
      </c>
      <c r="U753" s="21" t="str">
        <f t="shared" ca="1" si="127"/>
        <v/>
      </c>
      <c r="V753" s="4">
        <f ca="1">MIN(S753,PREMISSAS!$C$14)</f>
        <v>0</v>
      </c>
      <c r="W753" s="188"/>
      <c r="X753" s="188"/>
    </row>
    <row r="754" spans="2:24" x14ac:dyDescent="0.3">
      <c r="B754" s="21" t="str">
        <f t="shared" ca="1" si="119"/>
        <v/>
      </c>
      <c r="C754" s="22" t="str">
        <f ca="1">IF(B754="","",IF(LEFT(B754,2)="13",C753,IF(MONTH(B754)=1,C753*(1+PREMISSAS!$C$58),C753)))</f>
        <v/>
      </c>
      <c r="E754" s="18">
        <v>750</v>
      </c>
      <c r="F754" s="21" t="str">
        <f t="shared" ca="1" si="120"/>
        <v/>
      </c>
      <c r="G754" s="22" t="str">
        <f ca="1">IFERROR(VLOOKUP(F754,RESULTADOS!$O$5:$P$543,2,FALSE),VLOOKUP(F754,$B$5:$C$842,2,FALSE))</f>
        <v/>
      </c>
      <c r="H754" s="4" t="e">
        <f ca="1">IF(F754&lt;PREMISSAS!$D$7,0,IFERROR(VLOOKUP(IF(LEFT(F754,2)="13",DATE(YEAR(F753),12,31),F754),IPCA!$A:$D,4,FALSE),1)*G754)</f>
        <v>#VALUE!</v>
      </c>
      <c r="J754" s="21" t="str">
        <f t="shared" ca="1" si="123"/>
        <v/>
      </c>
      <c r="K754" s="4" t="str">
        <f t="shared" ca="1" si="124"/>
        <v/>
      </c>
      <c r="M754" s="21" t="str">
        <f t="shared" ca="1" si="121"/>
        <v/>
      </c>
      <c r="N754" s="37">
        <f t="shared" ca="1" si="125"/>
        <v>0</v>
      </c>
      <c r="O754" s="4">
        <f ca="1">IFERROR(AVERAGEIF(N$5:$N754,"&gt;="&amp;_xlfn.PERCENTILE.EXC(N$5:$N754,0.2)),0)</f>
        <v>0</v>
      </c>
      <c r="Q754" s="21" t="str">
        <f t="shared" ca="1" si="122"/>
        <v/>
      </c>
      <c r="R754" s="37">
        <f t="shared" ca="1" si="126"/>
        <v>0</v>
      </c>
      <c r="S754" s="4">
        <f ca="1">IFERROR(AVERAGE($R$5:R754),0)</f>
        <v>0</v>
      </c>
      <c r="U754" s="21" t="str">
        <f t="shared" ca="1" si="127"/>
        <v/>
      </c>
      <c r="V754" s="4">
        <f ca="1">MIN(S754,PREMISSAS!$C$14)</f>
        <v>0</v>
      </c>
      <c r="W754" s="188"/>
      <c r="X754" s="188"/>
    </row>
    <row r="755" spans="2:24" x14ac:dyDescent="0.3">
      <c r="B755" s="21" t="str">
        <f t="shared" ca="1" si="119"/>
        <v/>
      </c>
      <c r="C755" s="22" t="str">
        <f ca="1">IF(B755="","",IF(LEFT(B755,2)="13",C754,IF(MONTH(B755)=1,C754*(1+PREMISSAS!$C$58),C754)))</f>
        <v/>
      </c>
      <c r="E755" s="18">
        <v>751</v>
      </c>
      <c r="F755" s="21" t="str">
        <f t="shared" ca="1" si="120"/>
        <v/>
      </c>
      <c r="G755" s="22" t="str">
        <f ca="1">IFERROR(VLOOKUP(F755,RESULTADOS!$O$5:$P$543,2,FALSE),VLOOKUP(F755,$B$5:$C$842,2,FALSE))</f>
        <v/>
      </c>
      <c r="H755" s="4" t="e">
        <f ca="1">IF(F755&lt;PREMISSAS!$D$7,0,IFERROR(VLOOKUP(IF(LEFT(F755,2)="13",DATE(YEAR(F754),12,31),F755),IPCA!$A:$D,4,FALSE),1)*G755)</f>
        <v>#VALUE!</v>
      </c>
      <c r="J755" s="21" t="str">
        <f t="shared" ca="1" si="123"/>
        <v/>
      </c>
      <c r="K755" s="4" t="str">
        <f t="shared" ca="1" si="124"/>
        <v/>
      </c>
      <c r="M755" s="21" t="str">
        <f t="shared" ca="1" si="121"/>
        <v/>
      </c>
      <c r="N755" s="37">
        <f t="shared" ca="1" si="125"/>
        <v>0</v>
      </c>
      <c r="O755" s="4">
        <f ca="1">IFERROR(AVERAGEIF(N$5:$N755,"&gt;="&amp;_xlfn.PERCENTILE.EXC(N$5:$N755,0.2)),0)</f>
        <v>0</v>
      </c>
      <c r="Q755" s="21" t="str">
        <f t="shared" ca="1" si="122"/>
        <v/>
      </c>
      <c r="R755" s="37">
        <f t="shared" ca="1" si="126"/>
        <v>0</v>
      </c>
      <c r="S755" s="4">
        <f ca="1">IFERROR(AVERAGE($R$5:R755),0)</f>
        <v>0</v>
      </c>
      <c r="U755" s="21" t="str">
        <f t="shared" ca="1" si="127"/>
        <v/>
      </c>
      <c r="V755" s="4">
        <f ca="1">MIN(S755,PREMISSAS!$C$14)</f>
        <v>0</v>
      </c>
      <c r="W755" s="188"/>
      <c r="X755" s="188"/>
    </row>
    <row r="756" spans="2:24" x14ac:dyDescent="0.3">
      <c r="B756" s="21" t="str">
        <f t="shared" ca="1" si="119"/>
        <v/>
      </c>
      <c r="C756" s="22" t="str">
        <f ca="1">IF(B756="","",IF(LEFT(B756,2)="13",C755,IF(MONTH(B756)=1,C755*(1+PREMISSAS!$C$58),C755)))</f>
        <v/>
      </c>
      <c r="E756" s="18">
        <v>752</v>
      </c>
      <c r="F756" s="21" t="str">
        <f t="shared" ca="1" si="120"/>
        <v/>
      </c>
      <c r="G756" s="22" t="str">
        <f ca="1">IFERROR(VLOOKUP(F756,RESULTADOS!$O$5:$P$543,2,FALSE),VLOOKUP(F756,$B$5:$C$842,2,FALSE))</f>
        <v/>
      </c>
      <c r="H756" s="4" t="e">
        <f ca="1">IF(F756&lt;PREMISSAS!$D$7,0,IFERROR(VLOOKUP(IF(LEFT(F756,2)="13",DATE(YEAR(F755),12,31),F756),IPCA!$A:$D,4,FALSE),1)*G756)</f>
        <v>#VALUE!</v>
      </c>
      <c r="J756" s="21" t="str">
        <f t="shared" ca="1" si="123"/>
        <v/>
      </c>
      <c r="K756" s="4" t="str">
        <f t="shared" ca="1" si="124"/>
        <v/>
      </c>
      <c r="M756" s="21" t="str">
        <f t="shared" ca="1" si="121"/>
        <v/>
      </c>
      <c r="N756" s="37">
        <f t="shared" ca="1" si="125"/>
        <v>0</v>
      </c>
      <c r="O756" s="4">
        <f ca="1">IFERROR(AVERAGEIF(N$5:$N756,"&gt;="&amp;_xlfn.PERCENTILE.EXC(N$5:$N756,0.2)),0)</f>
        <v>0</v>
      </c>
      <c r="Q756" s="21" t="str">
        <f t="shared" ca="1" si="122"/>
        <v/>
      </c>
      <c r="R756" s="37">
        <f t="shared" ca="1" si="126"/>
        <v>0</v>
      </c>
      <c r="S756" s="4">
        <f ca="1">IFERROR(AVERAGE($R$5:R756),0)</f>
        <v>0</v>
      </c>
      <c r="U756" s="21" t="str">
        <f t="shared" ca="1" si="127"/>
        <v/>
      </c>
      <c r="V756" s="4">
        <f ca="1">MIN(S756,PREMISSAS!$C$14)</f>
        <v>0</v>
      </c>
      <c r="W756" s="188"/>
      <c r="X756" s="188"/>
    </row>
    <row r="757" spans="2:24" x14ac:dyDescent="0.3">
      <c r="B757" s="21" t="str">
        <f t="shared" ca="1" si="119"/>
        <v/>
      </c>
      <c r="C757" s="22" t="str">
        <f ca="1">IF(B757="","",IF(LEFT(B757,2)="13",C756,IF(MONTH(B757)=1,C756*(1+PREMISSAS!$C$58),C756)))</f>
        <v/>
      </c>
      <c r="E757" s="18">
        <v>753</v>
      </c>
      <c r="F757" s="21" t="str">
        <f t="shared" ca="1" si="120"/>
        <v/>
      </c>
      <c r="G757" s="22" t="str">
        <f ca="1">IFERROR(VLOOKUP(F757,RESULTADOS!$O$5:$P$543,2,FALSE),VLOOKUP(F757,$B$5:$C$842,2,FALSE))</f>
        <v/>
      </c>
      <c r="H757" s="4" t="e">
        <f ca="1">IF(F757&lt;PREMISSAS!$D$7,0,IFERROR(VLOOKUP(IF(LEFT(F757,2)="13",DATE(YEAR(F756),12,31),F757),IPCA!$A:$D,4,FALSE),1)*G757)</f>
        <v>#VALUE!</v>
      </c>
      <c r="J757" s="21" t="str">
        <f t="shared" ca="1" si="123"/>
        <v/>
      </c>
      <c r="K757" s="4" t="str">
        <f t="shared" ca="1" si="124"/>
        <v/>
      </c>
      <c r="M757" s="21" t="str">
        <f t="shared" ca="1" si="121"/>
        <v/>
      </c>
      <c r="N757" s="37">
        <f t="shared" ca="1" si="125"/>
        <v>0</v>
      </c>
      <c r="O757" s="4">
        <f ca="1">IFERROR(AVERAGEIF(N$5:$N757,"&gt;="&amp;_xlfn.PERCENTILE.EXC(N$5:$N757,0.2)),0)</f>
        <v>0</v>
      </c>
      <c r="Q757" s="21" t="str">
        <f t="shared" ca="1" si="122"/>
        <v/>
      </c>
      <c r="R757" s="37">
        <f t="shared" ca="1" si="126"/>
        <v>0</v>
      </c>
      <c r="S757" s="4">
        <f ca="1">IFERROR(AVERAGE($R$5:R757),0)</f>
        <v>0</v>
      </c>
      <c r="U757" s="21" t="str">
        <f t="shared" ca="1" si="127"/>
        <v/>
      </c>
      <c r="V757" s="4">
        <f ca="1">MIN(S757,PREMISSAS!$C$14)</f>
        <v>0</v>
      </c>
      <c r="W757" s="188"/>
      <c r="X757" s="188"/>
    </row>
    <row r="758" spans="2:24" x14ac:dyDescent="0.3">
      <c r="B758" s="21" t="str">
        <f t="shared" ca="1" si="119"/>
        <v/>
      </c>
      <c r="C758" s="22" t="str">
        <f ca="1">IF(B758="","",IF(LEFT(B758,2)="13",C757,IF(MONTH(B758)=1,C757*(1+PREMISSAS!$C$58),C757)))</f>
        <v/>
      </c>
      <c r="E758" s="18">
        <v>754</v>
      </c>
      <c r="F758" s="21" t="str">
        <f t="shared" ca="1" si="120"/>
        <v/>
      </c>
      <c r="G758" s="22" t="str">
        <f ca="1">IFERROR(VLOOKUP(F758,RESULTADOS!$O$5:$P$543,2,FALSE),VLOOKUP(F758,$B$5:$C$842,2,FALSE))</f>
        <v/>
      </c>
      <c r="H758" s="4" t="e">
        <f ca="1">IF(F758&lt;PREMISSAS!$D$7,0,IFERROR(VLOOKUP(IF(LEFT(F758,2)="13",DATE(YEAR(F757),12,31),F758),IPCA!$A:$D,4,FALSE),1)*G758)</f>
        <v>#VALUE!</v>
      </c>
      <c r="J758" s="21" t="str">
        <f t="shared" ca="1" si="123"/>
        <v/>
      </c>
      <c r="K758" s="4" t="str">
        <f t="shared" ca="1" si="124"/>
        <v/>
      </c>
      <c r="M758" s="21" t="str">
        <f t="shared" ca="1" si="121"/>
        <v/>
      </c>
      <c r="N758" s="37">
        <f t="shared" ca="1" si="125"/>
        <v>0</v>
      </c>
      <c r="O758" s="4">
        <f ca="1">IFERROR(AVERAGEIF(N$5:$N758,"&gt;="&amp;_xlfn.PERCENTILE.EXC(N$5:$N758,0.2)),0)</f>
        <v>0</v>
      </c>
      <c r="Q758" s="21" t="str">
        <f t="shared" ca="1" si="122"/>
        <v/>
      </c>
      <c r="R758" s="37">
        <f t="shared" ca="1" si="126"/>
        <v>0</v>
      </c>
      <c r="S758" s="4">
        <f ca="1">IFERROR(AVERAGE($R$5:R758),0)</f>
        <v>0</v>
      </c>
      <c r="U758" s="21" t="str">
        <f t="shared" ca="1" si="127"/>
        <v/>
      </c>
      <c r="V758" s="4">
        <f ca="1">MIN(S758,PREMISSAS!$C$14)</f>
        <v>0</v>
      </c>
      <c r="W758" s="188"/>
      <c r="X758" s="188"/>
    </row>
    <row r="759" spans="2:24" x14ac:dyDescent="0.3">
      <c r="B759" s="21" t="str">
        <f t="shared" ca="1" si="119"/>
        <v/>
      </c>
      <c r="C759" s="22" t="str">
        <f ca="1">IF(B759="","",IF(LEFT(B759,2)="13",C758,IF(MONTH(B759)=1,C758*(1+PREMISSAS!$C$58),C758)))</f>
        <v/>
      </c>
      <c r="E759" s="18">
        <v>755</v>
      </c>
      <c r="F759" s="21" t="str">
        <f t="shared" ca="1" si="120"/>
        <v/>
      </c>
      <c r="G759" s="22" t="str">
        <f ca="1">IFERROR(VLOOKUP(F759,RESULTADOS!$O$5:$P$543,2,FALSE),VLOOKUP(F759,$B$5:$C$842,2,FALSE))</f>
        <v/>
      </c>
      <c r="H759" s="4" t="e">
        <f ca="1">IF(F759&lt;PREMISSAS!$D$7,0,IFERROR(VLOOKUP(IF(LEFT(F759,2)="13",DATE(YEAR(F758),12,31),F759),IPCA!$A:$D,4,FALSE),1)*G759)</f>
        <v>#VALUE!</v>
      </c>
      <c r="J759" s="21" t="str">
        <f t="shared" ca="1" si="123"/>
        <v/>
      </c>
      <c r="K759" s="4" t="str">
        <f t="shared" ca="1" si="124"/>
        <v/>
      </c>
      <c r="M759" s="21" t="str">
        <f t="shared" ca="1" si="121"/>
        <v/>
      </c>
      <c r="N759" s="37">
        <f t="shared" ca="1" si="125"/>
        <v>0</v>
      </c>
      <c r="O759" s="4">
        <f ca="1">IFERROR(AVERAGEIF(N$5:$N759,"&gt;="&amp;_xlfn.PERCENTILE.EXC(N$5:$N759,0.2)),0)</f>
        <v>0</v>
      </c>
      <c r="Q759" s="21" t="str">
        <f t="shared" ca="1" si="122"/>
        <v/>
      </c>
      <c r="R759" s="37">
        <f t="shared" ca="1" si="126"/>
        <v>0</v>
      </c>
      <c r="S759" s="4">
        <f ca="1">IFERROR(AVERAGE($R$5:R759),0)</f>
        <v>0</v>
      </c>
      <c r="U759" s="21" t="str">
        <f t="shared" ca="1" si="127"/>
        <v/>
      </c>
      <c r="V759" s="4">
        <f ca="1">MIN(S759,PREMISSAS!$C$14)</f>
        <v>0</v>
      </c>
      <c r="W759" s="188"/>
      <c r="X759" s="188"/>
    </row>
    <row r="760" spans="2:24" x14ac:dyDescent="0.3">
      <c r="B760" s="21" t="str">
        <f t="shared" ca="1" si="119"/>
        <v/>
      </c>
      <c r="C760" s="22" t="str">
        <f ca="1">IF(B760="","",IF(LEFT(B760,2)="13",C759,IF(MONTH(B760)=1,C759*(1+PREMISSAS!$C$58),C759)))</f>
        <v/>
      </c>
      <c r="E760" s="18">
        <v>756</v>
      </c>
      <c r="F760" s="21" t="str">
        <f t="shared" ca="1" si="120"/>
        <v/>
      </c>
      <c r="G760" s="22" t="str">
        <f ca="1">IFERROR(VLOOKUP(F760,RESULTADOS!$O$5:$P$543,2,FALSE),VLOOKUP(F760,$B$5:$C$842,2,FALSE))</f>
        <v/>
      </c>
      <c r="H760" s="4" t="e">
        <f ca="1">IF(F760&lt;PREMISSAS!$D$7,0,IFERROR(VLOOKUP(IF(LEFT(F760,2)="13",DATE(YEAR(F759),12,31),F760),IPCA!$A:$D,4,FALSE),1)*G760)</f>
        <v>#VALUE!</v>
      </c>
      <c r="J760" s="21" t="str">
        <f t="shared" ca="1" si="123"/>
        <v/>
      </c>
      <c r="K760" s="4" t="str">
        <f t="shared" ca="1" si="124"/>
        <v/>
      </c>
      <c r="M760" s="21" t="str">
        <f t="shared" ca="1" si="121"/>
        <v/>
      </c>
      <c r="N760" s="37">
        <f t="shared" ca="1" si="125"/>
        <v>0</v>
      </c>
      <c r="O760" s="4">
        <f ca="1">IFERROR(AVERAGEIF(N$5:$N760,"&gt;="&amp;_xlfn.PERCENTILE.EXC(N$5:$N760,0.2)),0)</f>
        <v>0</v>
      </c>
      <c r="Q760" s="21" t="str">
        <f t="shared" ca="1" si="122"/>
        <v/>
      </c>
      <c r="R760" s="37">
        <f t="shared" ca="1" si="126"/>
        <v>0</v>
      </c>
      <c r="S760" s="4">
        <f ca="1">IFERROR(AVERAGE($R$5:R760),0)</f>
        <v>0</v>
      </c>
      <c r="U760" s="21" t="str">
        <f t="shared" ca="1" si="127"/>
        <v/>
      </c>
      <c r="V760" s="4">
        <f ca="1">MIN(S760,PREMISSAS!$C$14)</f>
        <v>0</v>
      </c>
      <c r="W760" s="188"/>
      <c r="X760" s="188"/>
    </row>
    <row r="761" spans="2:24" x14ac:dyDescent="0.3">
      <c r="B761" s="21" t="str">
        <f t="shared" ca="1" si="119"/>
        <v/>
      </c>
      <c r="C761" s="22" t="str">
        <f ca="1">IF(B761="","",IF(LEFT(B761,2)="13",C760,IF(MONTH(B761)=1,C760*(1+PREMISSAS!$C$58),C760)))</f>
        <v/>
      </c>
      <c r="E761" s="18">
        <v>757</v>
      </c>
      <c r="F761" s="21" t="str">
        <f t="shared" ca="1" si="120"/>
        <v/>
      </c>
      <c r="G761" s="22" t="str">
        <f ca="1">IFERROR(VLOOKUP(F761,RESULTADOS!$O$5:$P$543,2,FALSE),VLOOKUP(F761,$B$5:$C$842,2,FALSE))</f>
        <v/>
      </c>
      <c r="H761" s="4" t="e">
        <f ca="1">IF(F761&lt;PREMISSAS!$D$7,0,IFERROR(VLOOKUP(IF(LEFT(F761,2)="13",DATE(YEAR(F760),12,31),F761),IPCA!$A:$D,4,FALSE),1)*G761)</f>
        <v>#VALUE!</v>
      </c>
      <c r="J761" s="21" t="str">
        <f t="shared" ca="1" si="123"/>
        <v/>
      </c>
      <c r="K761" s="4" t="str">
        <f t="shared" ca="1" si="124"/>
        <v/>
      </c>
      <c r="M761" s="21" t="str">
        <f t="shared" ca="1" si="121"/>
        <v/>
      </c>
      <c r="N761" s="37">
        <f t="shared" ca="1" si="125"/>
        <v>0</v>
      </c>
      <c r="O761" s="4">
        <f ca="1">IFERROR(AVERAGEIF(N$5:$N761,"&gt;="&amp;_xlfn.PERCENTILE.EXC(N$5:$N761,0.2)),0)</f>
        <v>0</v>
      </c>
      <c r="Q761" s="21" t="str">
        <f t="shared" ca="1" si="122"/>
        <v/>
      </c>
      <c r="R761" s="37">
        <f t="shared" ca="1" si="126"/>
        <v>0</v>
      </c>
      <c r="S761" s="4">
        <f ca="1">IFERROR(AVERAGE($R$5:R761),0)</f>
        <v>0</v>
      </c>
      <c r="U761" s="21" t="str">
        <f t="shared" ca="1" si="127"/>
        <v/>
      </c>
      <c r="V761" s="4">
        <f ca="1">MIN(S761,PREMISSAS!$C$14)</f>
        <v>0</v>
      </c>
      <c r="W761" s="188"/>
      <c r="X761" s="188"/>
    </row>
    <row r="762" spans="2:24" x14ac:dyDescent="0.3">
      <c r="B762" s="21" t="str">
        <f t="shared" ca="1" si="119"/>
        <v/>
      </c>
      <c r="C762" s="22" t="str">
        <f ca="1">IF(B762="","",IF(LEFT(B762,2)="13",C761,IF(MONTH(B762)=1,C761*(1+PREMISSAS!$C$58),C761)))</f>
        <v/>
      </c>
      <c r="E762" s="18">
        <v>758</v>
      </c>
      <c r="F762" s="21" t="str">
        <f t="shared" ca="1" si="120"/>
        <v/>
      </c>
      <c r="G762" s="22" t="str">
        <f ca="1">IFERROR(VLOOKUP(F762,RESULTADOS!$O$5:$P$543,2,FALSE),VLOOKUP(F762,$B$5:$C$842,2,FALSE))</f>
        <v/>
      </c>
      <c r="H762" s="4" t="e">
        <f ca="1">IF(F762&lt;PREMISSAS!$D$7,0,IFERROR(VLOOKUP(IF(LEFT(F762,2)="13",DATE(YEAR(F761),12,31),F762),IPCA!$A:$D,4,FALSE),1)*G762)</f>
        <v>#VALUE!</v>
      </c>
      <c r="J762" s="21" t="str">
        <f t="shared" ca="1" si="123"/>
        <v/>
      </c>
      <c r="K762" s="4" t="str">
        <f t="shared" ca="1" si="124"/>
        <v/>
      </c>
      <c r="M762" s="21" t="str">
        <f t="shared" ca="1" si="121"/>
        <v/>
      </c>
      <c r="N762" s="37">
        <f t="shared" ca="1" si="125"/>
        <v>0</v>
      </c>
      <c r="O762" s="4">
        <f ca="1">IFERROR(AVERAGEIF(N$5:$N762,"&gt;="&amp;_xlfn.PERCENTILE.EXC(N$5:$N762,0.2)),0)</f>
        <v>0</v>
      </c>
      <c r="Q762" s="21" t="str">
        <f t="shared" ca="1" si="122"/>
        <v/>
      </c>
      <c r="R762" s="37">
        <f t="shared" ca="1" si="126"/>
        <v>0</v>
      </c>
      <c r="S762" s="4">
        <f ca="1">IFERROR(AVERAGE($R$5:R762),0)</f>
        <v>0</v>
      </c>
      <c r="U762" s="21" t="str">
        <f t="shared" ca="1" si="127"/>
        <v/>
      </c>
      <c r="V762" s="4">
        <f ca="1">MIN(S762,PREMISSAS!$C$14)</f>
        <v>0</v>
      </c>
      <c r="W762" s="188"/>
      <c r="X762" s="188"/>
    </row>
    <row r="763" spans="2:24" x14ac:dyDescent="0.3">
      <c r="B763" s="21" t="str">
        <f t="shared" ca="1" si="119"/>
        <v/>
      </c>
      <c r="C763" s="22" t="str">
        <f ca="1">IF(B763="","",IF(LEFT(B763,2)="13",C762,IF(MONTH(B763)=1,C762*(1+PREMISSAS!$C$58),C762)))</f>
        <v/>
      </c>
      <c r="E763" s="18">
        <v>759</v>
      </c>
      <c r="F763" s="21" t="str">
        <f t="shared" ca="1" si="120"/>
        <v/>
      </c>
      <c r="G763" s="22" t="str">
        <f ca="1">IFERROR(VLOOKUP(F763,RESULTADOS!$O$5:$P$543,2,FALSE),VLOOKUP(F763,$B$5:$C$842,2,FALSE))</f>
        <v/>
      </c>
      <c r="H763" s="4" t="e">
        <f ca="1">IF(F763&lt;PREMISSAS!$D$7,0,IFERROR(VLOOKUP(IF(LEFT(F763,2)="13",DATE(YEAR(F762),12,31),F763),IPCA!$A:$D,4,FALSE),1)*G763)</f>
        <v>#VALUE!</v>
      </c>
      <c r="J763" s="21" t="str">
        <f t="shared" ca="1" si="123"/>
        <v/>
      </c>
      <c r="K763" s="4" t="str">
        <f t="shared" ca="1" si="124"/>
        <v/>
      </c>
      <c r="M763" s="21" t="str">
        <f t="shared" ca="1" si="121"/>
        <v/>
      </c>
      <c r="N763" s="37">
        <f t="shared" ca="1" si="125"/>
        <v>0</v>
      </c>
      <c r="O763" s="4">
        <f ca="1">IFERROR(AVERAGEIF(N$5:$N763,"&gt;="&amp;_xlfn.PERCENTILE.EXC(N$5:$N763,0.2)),0)</f>
        <v>0</v>
      </c>
      <c r="Q763" s="21" t="str">
        <f t="shared" ca="1" si="122"/>
        <v/>
      </c>
      <c r="R763" s="37">
        <f t="shared" ca="1" si="126"/>
        <v>0</v>
      </c>
      <c r="S763" s="4">
        <f ca="1">IFERROR(AVERAGE($R$5:R763),0)</f>
        <v>0</v>
      </c>
      <c r="U763" s="21" t="str">
        <f t="shared" ca="1" si="127"/>
        <v/>
      </c>
      <c r="V763" s="4">
        <f ca="1">MIN(S763,PREMISSAS!$C$14)</f>
        <v>0</v>
      </c>
      <c r="W763" s="188"/>
      <c r="X763" s="188"/>
    </row>
    <row r="764" spans="2:24" x14ac:dyDescent="0.3">
      <c r="B764" s="21" t="str">
        <f t="shared" ca="1" si="119"/>
        <v/>
      </c>
      <c r="C764" s="22" t="str">
        <f ca="1">IF(B764="","",IF(LEFT(B764,2)="13",C763,IF(MONTH(B764)=1,C763*(1+PREMISSAS!$C$58),C763)))</f>
        <v/>
      </c>
      <c r="E764" s="18">
        <v>760</v>
      </c>
      <c r="F764" s="21" t="str">
        <f t="shared" ca="1" si="120"/>
        <v/>
      </c>
      <c r="G764" s="22" t="str">
        <f ca="1">IFERROR(VLOOKUP(F764,RESULTADOS!$O$5:$P$543,2,FALSE),VLOOKUP(F764,$B$5:$C$842,2,FALSE))</f>
        <v/>
      </c>
      <c r="H764" s="4" t="e">
        <f ca="1">IF(F764&lt;PREMISSAS!$D$7,0,IFERROR(VLOOKUP(IF(LEFT(F764,2)="13",DATE(YEAR(F763),12,31),F764),IPCA!$A:$D,4,FALSE),1)*G764)</f>
        <v>#VALUE!</v>
      </c>
      <c r="J764" s="21" t="str">
        <f t="shared" ca="1" si="123"/>
        <v/>
      </c>
      <c r="K764" s="4" t="str">
        <f t="shared" ca="1" si="124"/>
        <v/>
      </c>
      <c r="M764" s="21" t="str">
        <f t="shared" ca="1" si="121"/>
        <v/>
      </c>
      <c r="N764" s="37">
        <f t="shared" ca="1" si="125"/>
        <v>0</v>
      </c>
      <c r="O764" s="4">
        <f ca="1">IFERROR(AVERAGEIF(N$5:$N764,"&gt;="&amp;_xlfn.PERCENTILE.EXC(N$5:$N764,0.2)),0)</f>
        <v>0</v>
      </c>
      <c r="Q764" s="21" t="str">
        <f t="shared" ca="1" si="122"/>
        <v/>
      </c>
      <c r="R764" s="37">
        <f t="shared" ca="1" si="126"/>
        <v>0</v>
      </c>
      <c r="S764" s="4">
        <f ca="1">IFERROR(AVERAGE($R$5:R764),0)</f>
        <v>0</v>
      </c>
      <c r="U764" s="21" t="str">
        <f t="shared" ca="1" si="127"/>
        <v/>
      </c>
      <c r="V764" s="4">
        <f ca="1">MIN(S764,PREMISSAS!$C$14)</f>
        <v>0</v>
      </c>
      <c r="W764" s="188"/>
      <c r="X764" s="188"/>
    </row>
    <row r="765" spans="2:24" x14ac:dyDescent="0.3">
      <c r="B765" s="21" t="str">
        <f t="shared" ca="1" si="119"/>
        <v/>
      </c>
      <c r="C765" s="22" t="str">
        <f ca="1">IF(B765="","",IF(LEFT(B765,2)="13",C764,IF(MONTH(B765)=1,C764*(1+PREMISSAS!$C$58),C764)))</f>
        <v/>
      </c>
      <c r="E765" s="18">
        <v>761</v>
      </c>
      <c r="F765" s="21" t="str">
        <f t="shared" ca="1" si="120"/>
        <v/>
      </c>
      <c r="G765" s="22" t="str">
        <f ca="1">IFERROR(VLOOKUP(F765,RESULTADOS!$O$5:$P$543,2,FALSE),VLOOKUP(F765,$B$5:$C$842,2,FALSE))</f>
        <v/>
      </c>
      <c r="H765" s="4" t="e">
        <f ca="1">IF(F765&lt;PREMISSAS!$D$7,0,IFERROR(VLOOKUP(IF(LEFT(F765,2)="13",DATE(YEAR(F764),12,31),F765),IPCA!$A:$D,4,FALSE),1)*G765)</f>
        <v>#VALUE!</v>
      </c>
      <c r="J765" s="21" t="str">
        <f t="shared" ca="1" si="123"/>
        <v/>
      </c>
      <c r="K765" s="4" t="str">
        <f t="shared" ca="1" si="124"/>
        <v/>
      </c>
      <c r="M765" s="21" t="str">
        <f t="shared" ca="1" si="121"/>
        <v/>
      </c>
      <c r="N765" s="37">
        <f t="shared" ca="1" si="125"/>
        <v>0</v>
      </c>
      <c r="O765" s="4">
        <f ca="1">IFERROR(AVERAGEIF(N$5:$N765,"&gt;="&amp;_xlfn.PERCENTILE.EXC(N$5:$N765,0.2)),0)</f>
        <v>0</v>
      </c>
      <c r="Q765" s="21" t="str">
        <f t="shared" ca="1" si="122"/>
        <v/>
      </c>
      <c r="R765" s="37">
        <f t="shared" ca="1" si="126"/>
        <v>0</v>
      </c>
      <c r="S765" s="4">
        <f ca="1">IFERROR(AVERAGE($R$5:R765),0)</f>
        <v>0</v>
      </c>
      <c r="U765" s="21" t="str">
        <f t="shared" ca="1" si="127"/>
        <v/>
      </c>
      <c r="V765" s="4">
        <f ca="1">MIN(S765,PREMISSAS!$C$14)</f>
        <v>0</v>
      </c>
      <c r="W765" s="188"/>
      <c r="X765" s="188"/>
    </row>
    <row r="766" spans="2:24" x14ac:dyDescent="0.3">
      <c r="B766" s="21" t="str">
        <f t="shared" ca="1" si="119"/>
        <v/>
      </c>
      <c r="C766" s="22" t="str">
        <f ca="1">IF(B766="","",IF(LEFT(B766,2)="13",C765,IF(MONTH(B766)=1,C765*(1+PREMISSAS!$C$58),C765)))</f>
        <v/>
      </c>
      <c r="E766" s="18">
        <v>762</v>
      </c>
      <c r="F766" s="21" t="str">
        <f t="shared" ca="1" si="120"/>
        <v/>
      </c>
      <c r="G766" s="22" t="str">
        <f ca="1">IFERROR(VLOOKUP(F766,RESULTADOS!$O$5:$P$543,2,FALSE),VLOOKUP(F766,$B$5:$C$842,2,FALSE))</f>
        <v/>
      </c>
      <c r="H766" s="4" t="e">
        <f ca="1">IF(F766&lt;PREMISSAS!$D$7,0,IFERROR(VLOOKUP(IF(LEFT(F766,2)="13",DATE(YEAR(F765),12,31),F766),IPCA!$A:$D,4,FALSE),1)*G766)</f>
        <v>#VALUE!</v>
      </c>
      <c r="J766" s="21" t="str">
        <f t="shared" ca="1" si="123"/>
        <v/>
      </c>
      <c r="K766" s="4" t="str">
        <f t="shared" ca="1" si="124"/>
        <v/>
      </c>
      <c r="M766" s="21" t="str">
        <f t="shared" ca="1" si="121"/>
        <v/>
      </c>
      <c r="N766" s="37">
        <f t="shared" ca="1" si="125"/>
        <v>0</v>
      </c>
      <c r="O766" s="4">
        <f ca="1">IFERROR(AVERAGEIF(N$5:$N766,"&gt;="&amp;_xlfn.PERCENTILE.EXC(N$5:$N766,0.2)),0)</f>
        <v>0</v>
      </c>
      <c r="Q766" s="21" t="str">
        <f t="shared" ca="1" si="122"/>
        <v/>
      </c>
      <c r="R766" s="37">
        <f t="shared" ca="1" si="126"/>
        <v>0</v>
      </c>
      <c r="S766" s="4">
        <f ca="1">IFERROR(AVERAGE($R$5:R766),0)</f>
        <v>0</v>
      </c>
      <c r="U766" s="21" t="str">
        <f t="shared" ca="1" si="127"/>
        <v/>
      </c>
      <c r="V766" s="4">
        <f ca="1">MIN(S766,PREMISSAS!$C$14)</f>
        <v>0</v>
      </c>
      <c r="W766" s="188"/>
      <c r="X766" s="188"/>
    </row>
    <row r="767" spans="2:24" x14ac:dyDescent="0.3">
      <c r="B767" s="21" t="str">
        <f t="shared" ca="1" si="119"/>
        <v/>
      </c>
      <c r="C767" s="22" t="str">
        <f ca="1">IF(B767="","",IF(LEFT(B767,2)="13",C766,IF(MONTH(B767)=1,C766*(1+PREMISSAS!$C$58),C766)))</f>
        <v/>
      </c>
      <c r="E767" s="18">
        <v>763</v>
      </c>
      <c r="F767" s="21" t="str">
        <f t="shared" ca="1" si="120"/>
        <v/>
      </c>
      <c r="G767" s="22" t="str">
        <f ca="1">IFERROR(VLOOKUP(F767,RESULTADOS!$O$5:$P$543,2,FALSE),VLOOKUP(F767,$B$5:$C$842,2,FALSE))</f>
        <v/>
      </c>
      <c r="H767" s="4" t="e">
        <f ca="1">IF(F767&lt;PREMISSAS!$D$7,0,IFERROR(VLOOKUP(IF(LEFT(F767,2)="13",DATE(YEAR(F766),12,31),F767),IPCA!$A:$D,4,FALSE),1)*G767)</f>
        <v>#VALUE!</v>
      </c>
      <c r="J767" s="21" t="str">
        <f t="shared" ca="1" si="123"/>
        <v/>
      </c>
      <c r="K767" s="4" t="str">
        <f t="shared" ca="1" si="124"/>
        <v/>
      </c>
      <c r="M767" s="21" t="str">
        <f t="shared" ca="1" si="121"/>
        <v/>
      </c>
      <c r="N767" s="37">
        <f t="shared" ca="1" si="125"/>
        <v>0</v>
      </c>
      <c r="O767" s="4">
        <f ca="1">IFERROR(AVERAGEIF(N$5:$N767,"&gt;="&amp;_xlfn.PERCENTILE.EXC(N$5:$N767,0.2)),0)</f>
        <v>0</v>
      </c>
      <c r="Q767" s="21" t="str">
        <f t="shared" ca="1" si="122"/>
        <v/>
      </c>
      <c r="R767" s="37">
        <f t="shared" ca="1" si="126"/>
        <v>0</v>
      </c>
      <c r="S767" s="4">
        <f ca="1">IFERROR(AVERAGE($R$5:R767),0)</f>
        <v>0</v>
      </c>
      <c r="U767" s="21" t="str">
        <f t="shared" ca="1" si="127"/>
        <v/>
      </c>
      <c r="V767" s="4">
        <f ca="1">MIN(S767,PREMISSAS!$C$14)</f>
        <v>0</v>
      </c>
      <c r="W767" s="188"/>
      <c r="X767" s="188"/>
    </row>
    <row r="768" spans="2:24" x14ac:dyDescent="0.3">
      <c r="B768" s="21" t="str">
        <f t="shared" ca="1" si="119"/>
        <v/>
      </c>
      <c r="C768" s="22" t="str">
        <f ca="1">IF(B768="","",IF(LEFT(B768,2)="13",C767,IF(MONTH(B768)=1,C767*(1+PREMISSAS!$C$58),C767)))</f>
        <v/>
      </c>
      <c r="E768" s="18">
        <v>764</v>
      </c>
      <c r="F768" s="21" t="str">
        <f t="shared" ca="1" si="120"/>
        <v/>
      </c>
      <c r="G768" s="22" t="str">
        <f ca="1">IFERROR(VLOOKUP(F768,RESULTADOS!$O$5:$P$543,2,FALSE),VLOOKUP(F768,$B$5:$C$842,2,FALSE))</f>
        <v/>
      </c>
      <c r="H768" s="4" t="e">
        <f ca="1">IF(F768&lt;PREMISSAS!$D$7,0,IFERROR(VLOOKUP(IF(LEFT(F768,2)="13",DATE(YEAR(F767),12,31),F768),IPCA!$A:$D,4,FALSE),1)*G768)</f>
        <v>#VALUE!</v>
      </c>
      <c r="J768" s="21" t="str">
        <f t="shared" ca="1" si="123"/>
        <v/>
      </c>
      <c r="K768" s="4" t="str">
        <f t="shared" ca="1" si="124"/>
        <v/>
      </c>
      <c r="M768" s="21" t="str">
        <f t="shared" ca="1" si="121"/>
        <v/>
      </c>
      <c r="N768" s="37">
        <f t="shared" ca="1" si="125"/>
        <v>0</v>
      </c>
      <c r="O768" s="4">
        <f ca="1">IFERROR(AVERAGEIF(N$5:$N768,"&gt;="&amp;_xlfn.PERCENTILE.EXC(N$5:$N768,0.2)),0)</f>
        <v>0</v>
      </c>
      <c r="Q768" s="21" t="str">
        <f t="shared" ca="1" si="122"/>
        <v/>
      </c>
      <c r="R768" s="37">
        <f t="shared" ca="1" si="126"/>
        <v>0</v>
      </c>
      <c r="S768" s="4">
        <f ca="1">IFERROR(AVERAGE($R$5:R768),0)</f>
        <v>0</v>
      </c>
      <c r="U768" s="21" t="str">
        <f t="shared" ca="1" si="127"/>
        <v/>
      </c>
      <c r="V768" s="4">
        <f ca="1">MIN(S768,PREMISSAS!$C$14)</f>
        <v>0</v>
      </c>
      <c r="W768" s="188"/>
      <c r="X768" s="188"/>
    </row>
    <row r="769" spans="2:24" x14ac:dyDescent="0.3">
      <c r="B769" s="21" t="str">
        <f t="shared" ca="1" si="119"/>
        <v/>
      </c>
      <c r="C769" s="22" t="str">
        <f ca="1">IF(B769="","",IF(LEFT(B769,2)="13",C768,IF(MONTH(B769)=1,C768*(1+PREMISSAS!$C$58),C768)))</f>
        <v/>
      </c>
      <c r="E769" s="18">
        <v>765</v>
      </c>
      <c r="F769" s="21" t="str">
        <f t="shared" ca="1" si="120"/>
        <v/>
      </c>
      <c r="G769" s="22" t="str">
        <f ca="1">IFERROR(VLOOKUP(F769,RESULTADOS!$O$5:$P$543,2,FALSE),VLOOKUP(F769,$B$5:$C$842,2,FALSE))</f>
        <v/>
      </c>
      <c r="H769" s="4" t="e">
        <f ca="1">IF(F769&lt;PREMISSAS!$D$7,0,IFERROR(VLOOKUP(IF(LEFT(F769,2)="13",DATE(YEAR(F768),12,31),F769),IPCA!$A:$D,4,FALSE),1)*G769)</f>
        <v>#VALUE!</v>
      </c>
      <c r="J769" s="21" t="str">
        <f t="shared" ca="1" si="123"/>
        <v/>
      </c>
      <c r="K769" s="4" t="str">
        <f t="shared" ca="1" si="124"/>
        <v/>
      </c>
      <c r="M769" s="21" t="str">
        <f t="shared" ca="1" si="121"/>
        <v/>
      </c>
      <c r="N769" s="37">
        <f t="shared" ca="1" si="125"/>
        <v>0</v>
      </c>
      <c r="O769" s="4">
        <f ca="1">IFERROR(AVERAGEIF(N$5:$N769,"&gt;="&amp;_xlfn.PERCENTILE.EXC(N$5:$N769,0.2)),0)</f>
        <v>0</v>
      </c>
      <c r="Q769" s="21" t="str">
        <f t="shared" ca="1" si="122"/>
        <v/>
      </c>
      <c r="R769" s="37">
        <f t="shared" ca="1" si="126"/>
        <v>0</v>
      </c>
      <c r="S769" s="4">
        <f ca="1">IFERROR(AVERAGE($R$5:R769),0)</f>
        <v>0</v>
      </c>
      <c r="U769" s="21" t="str">
        <f t="shared" ca="1" si="127"/>
        <v/>
      </c>
      <c r="V769" s="4">
        <f ca="1">MIN(S769,PREMISSAS!$C$14)</f>
        <v>0</v>
      </c>
      <c r="W769" s="188"/>
      <c r="X769" s="188"/>
    </row>
    <row r="770" spans="2:24" x14ac:dyDescent="0.3">
      <c r="B770" s="21" t="str">
        <f t="shared" ca="1" si="119"/>
        <v/>
      </c>
      <c r="C770" s="22" t="str">
        <f ca="1">IF(B770="","",IF(LEFT(B770,2)="13",C769,IF(MONTH(B770)=1,C769*(1+PREMISSAS!$C$58),C769)))</f>
        <v/>
      </c>
      <c r="E770" s="18">
        <v>766</v>
      </c>
      <c r="F770" s="21" t="str">
        <f t="shared" ca="1" si="120"/>
        <v/>
      </c>
      <c r="G770" s="22" t="str">
        <f ca="1">IFERROR(VLOOKUP(F770,RESULTADOS!$O$5:$P$543,2,FALSE),VLOOKUP(F770,$B$5:$C$842,2,FALSE))</f>
        <v/>
      </c>
      <c r="H770" s="4" t="e">
        <f ca="1">IF(F770&lt;PREMISSAS!$D$7,0,IFERROR(VLOOKUP(IF(LEFT(F770,2)="13",DATE(YEAR(F769),12,31),F770),IPCA!$A:$D,4,FALSE),1)*G770)</f>
        <v>#VALUE!</v>
      </c>
      <c r="J770" s="21" t="str">
        <f t="shared" ca="1" si="123"/>
        <v/>
      </c>
      <c r="K770" s="4" t="str">
        <f t="shared" ca="1" si="124"/>
        <v/>
      </c>
      <c r="M770" s="21" t="str">
        <f t="shared" ca="1" si="121"/>
        <v/>
      </c>
      <c r="N770" s="37">
        <f t="shared" ca="1" si="125"/>
        <v>0</v>
      </c>
      <c r="O770" s="4">
        <f ca="1">IFERROR(AVERAGEIF(N$5:$N770,"&gt;="&amp;_xlfn.PERCENTILE.EXC(N$5:$N770,0.2)),0)</f>
        <v>0</v>
      </c>
      <c r="Q770" s="21" t="str">
        <f t="shared" ca="1" si="122"/>
        <v/>
      </c>
      <c r="R770" s="37">
        <f t="shared" ca="1" si="126"/>
        <v>0</v>
      </c>
      <c r="S770" s="4">
        <f ca="1">IFERROR(AVERAGE($R$5:R770),0)</f>
        <v>0</v>
      </c>
      <c r="U770" s="21" t="str">
        <f t="shared" ca="1" si="127"/>
        <v/>
      </c>
      <c r="V770" s="4">
        <f ca="1">MIN(S770,PREMISSAS!$C$14)</f>
        <v>0</v>
      </c>
      <c r="W770" s="188"/>
      <c r="X770" s="188"/>
    </row>
    <row r="771" spans="2:24" x14ac:dyDescent="0.3">
      <c r="B771" s="21" t="str">
        <f t="shared" ca="1" si="119"/>
        <v/>
      </c>
      <c r="C771" s="22" t="str">
        <f ca="1">IF(B771="","",IF(LEFT(B771,2)="13",C770,IF(MONTH(B771)=1,C770*(1+PREMISSAS!$C$58),C770)))</f>
        <v/>
      </c>
      <c r="E771" s="18">
        <v>767</v>
      </c>
      <c r="F771" s="21" t="str">
        <f t="shared" ca="1" si="120"/>
        <v/>
      </c>
      <c r="G771" s="22" t="str">
        <f ca="1">IFERROR(VLOOKUP(F771,RESULTADOS!$O$5:$P$543,2,FALSE),VLOOKUP(F771,$B$5:$C$842,2,FALSE))</f>
        <v/>
      </c>
      <c r="H771" s="4" t="e">
        <f ca="1">IF(F771&lt;PREMISSAS!$D$7,0,IFERROR(VLOOKUP(IF(LEFT(F771,2)="13",DATE(YEAR(F770),12,31),F771),IPCA!$A:$D,4,FALSE),1)*G771)</f>
        <v>#VALUE!</v>
      </c>
      <c r="J771" s="21" t="str">
        <f t="shared" ca="1" si="123"/>
        <v/>
      </c>
      <c r="K771" s="4" t="str">
        <f t="shared" ca="1" si="124"/>
        <v/>
      </c>
      <c r="M771" s="21" t="str">
        <f t="shared" ca="1" si="121"/>
        <v/>
      </c>
      <c r="N771" s="37">
        <f t="shared" ca="1" si="125"/>
        <v>0</v>
      </c>
      <c r="O771" s="4">
        <f ca="1">IFERROR(AVERAGEIF(N$5:$N771,"&gt;="&amp;_xlfn.PERCENTILE.EXC(N$5:$N771,0.2)),0)</f>
        <v>0</v>
      </c>
      <c r="Q771" s="21" t="str">
        <f t="shared" ca="1" si="122"/>
        <v/>
      </c>
      <c r="R771" s="37">
        <f t="shared" ca="1" si="126"/>
        <v>0</v>
      </c>
      <c r="S771" s="4">
        <f ca="1">IFERROR(AVERAGE($R$5:R771),0)</f>
        <v>0</v>
      </c>
      <c r="U771" s="21" t="str">
        <f t="shared" ca="1" si="127"/>
        <v/>
      </c>
      <c r="V771" s="4">
        <f ca="1">MIN(S771,PREMISSAS!$C$14)</f>
        <v>0</v>
      </c>
      <c r="W771" s="188"/>
      <c r="X771" s="188"/>
    </row>
    <row r="772" spans="2:24" x14ac:dyDescent="0.3">
      <c r="B772" s="21" t="str">
        <f t="shared" ca="1" si="119"/>
        <v/>
      </c>
      <c r="C772" s="22" t="str">
        <f ca="1">IF(B772="","",IF(LEFT(B772,2)="13",C771,IF(MONTH(B772)=1,C771*(1+PREMISSAS!$C$58),C771)))</f>
        <v/>
      </c>
      <c r="E772" s="18">
        <v>768</v>
      </c>
      <c r="F772" s="21" t="str">
        <f t="shared" ca="1" si="120"/>
        <v/>
      </c>
      <c r="G772" s="22" t="str">
        <f ca="1">IFERROR(VLOOKUP(F772,RESULTADOS!$O$5:$P$543,2,FALSE),VLOOKUP(F772,$B$5:$C$842,2,FALSE))</f>
        <v/>
      </c>
      <c r="H772" s="4" t="e">
        <f ca="1">IF(F772&lt;PREMISSAS!$D$7,0,IFERROR(VLOOKUP(IF(LEFT(F772,2)="13",DATE(YEAR(F771),12,31),F772),IPCA!$A:$D,4,FALSE),1)*G772)</f>
        <v>#VALUE!</v>
      </c>
      <c r="J772" s="21" t="str">
        <f t="shared" ca="1" si="123"/>
        <v/>
      </c>
      <c r="K772" s="4" t="str">
        <f t="shared" ca="1" si="124"/>
        <v/>
      </c>
      <c r="M772" s="21" t="str">
        <f t="shared" ca="1" si="121"/>
        <v/>
      </c>
      <c r="N772" s="37">
        <f t="shared" ca="1" si="125"/>
        <v>0</v>
      </c>
      <c r="O772" s="4">
        <f ca="1">IFERROR(AVERAGEIF(N$5:$N772,"&gt;="&amp;_xlfn.PERCENTILE.EXC(N$5:$N772,0.2)),0)</f>
        <v>0</v>
      </c>
      <c r="Q772" s="21" t="str">
        <f t="shared" ca="1" si="122"/>
        <v/>
      </c>
      <c r="R772" s="37">
        <f t="shared" ca="1" si="126"/>
        <v>0</v>
      </c>
      <c r="S772" s="4">
        <f ca="1">IFERROR(AVERAGE($R$5:R772),0)</f>
        <v>0</v>
      </c>
      <c r="U772" s="21" t="str">
        <f t="shared" ca="1" si="127"/>
        <v/>
      </c>
      <c r="V772" s="4">
        <f ca="1">MIN(S772,PREMISSAS!$C$14)</f>
        <v>0</v>
      </c>
      <c r="W772" s="188"/>
      <c r="X772" s="188"/>
    </row>
    <row r="773" spans="2:24" x14ac:dyDescent="0.3">
      <c r="B773" s="21" t="str">
        <f t="shared" ca="1" si="119"/>
        <v/>
      </c>
      <c r="C773" s="22" t="str">
        <f ca="1">IF(B773="","",IF(LEFT(B773,2)="13",C772,IF(MONTH(B773)=1,C772*(1+PREMISSAS!$C$58),C772)))</f>
        <v/>
      </c>
      <c r="E773" s="18">
        <v>769</v>
      </c>
      <c r="F773" s="21" t="str">
        <f t="shared" ca="1" si="120"/>
        <v/>
      </c>
      <c r="G773" s="22" t="str">
        <f ca="1">IFERROR(VLOOKUP(F773,RESULTADOS!$O$5:$P$543,2,FALSE),VLOOKUP(F773,$B$5:$C$842,2,FALSE))</f>
        <v/>
      </c>
      <c r="H773" s="4" t="e">
        <f ca="1">IF(F773&lt;PREMISSAS!$D$7,0,IFERROR(VLOOKUP(IF(LEFT(F773,2)="13",DATE(YEAR(F772),12,31),F773),IPCA!$A:$D,4,FALSE),1)*G773)</f>
        <v>#VALUE!</v>
      </c>
      <c r="J773" s="21" t="str">
        <f t="shared" ca="1" si="123"/>
        <v/>
      </c>
      <c r="K773" s="4" t="str">
        <f t="shared" ca="1" si="124"/>
        <v/>
      </c>
      <c r="M773" s="21" t="str">
        <f t="shared" ca="1" si="121"/>
        <v/>
      </c>
      <c r="N773" s="37">
        <f t="shared" ca="1" si="125"/>
        <v>0</v>
      </c>
      <c r="O773" s="4">
        <f ca="1">IFERROR(AVERAGEIF(N$5:$N773,"&gt;="&amp;_xlfn.PERCENTILE.EXC(N$5:$N773,0.2)),0)</f>
        <v>0</v>
      </c>
      <c r="Q773" s="21" t="str">
        <f t="shared" ca="1" si="122"/>
        <v/>
      </c>
      <c r="R773" s="37">
        <f t="shared" ca="1" si="126"/>
        <v>0</v>
      </c>
      <c r="S773" s="4">
        <f ca="1">IFERROR(AVERAGE($R$5:R773),0)</f>
        <v>0</v>
      </c>
      <c r="U773" s="21" t="str">
        <f t="shared" ca="1" si="127"/>
        <v/>
      </c>
      <c r="V773" s="4">
        <f ca="1">MIN(S773,PREMISSAS!$C$14)</f>
        <v>0</v>
      </c>
      <c r="W773" s="188"/>
      <c r="X773" s="188"/>
    </row>
    <row r="774" spans="2:24" x14ac:dyDescent="0.3">
      <c r="B774" s="21" t="str">
        <f t="shared" ca="1" si="119"/>
        <v/>
      </c>
      <c r="C774" s="22" t="str">
        <f ca="1">IF(B774="","",IF(LEFT(B774,2)="13",C773,IF(MONTH(B774)=1,C773*(1+PREMISSAS!$C$58),C773)))</f>
        <v/>
      </c>
      <c r="E774" s="18">
        <v>770</v>
      </c>
      <c r="F774" s="21" t="str">
        <f t="shared" ca="1" si="120"/>
        <v/>
      </c>
      <c r="G774" s="22" t="str">
        <f ca="1">IFERROR(VLOOKUP(F774,RESULTADOS!$O$5:$P$543,2,FALSE),VLOOKUP(F774,$B$5:$C$842,2,FALSE))</f>
        <v/>
      </c>
      <c r="H774" s="4" t="e">
        <f ca="1">IF(F774&lt;PREMISSAS!$D$7,0,IFERROR(VLOOKUP(IF(LEFT(F774,2)="13",DATE(YEAR(F773),12,31),F774),IPCA!$A:$D,4,FALSE),1)*G774)</f>
        <v>#VALUE!</v>
      </c>
      <c r="J774" s="21" t="str">
        <f t="shared" ca="1" si="123"/>
        <v/>
      </c>
      <c r="K774" s="4" t="str">
        <f t="shared" ca="1" si="124"/>
        <v/>
      </c>
      <c r="M774" s="21" t="str">
        <f t="shared" ca="1" si="121"/>
        <v/>
      </c>
      <c r="N774" s="37">
        <f t="shared" ca="1" si="125"/>
        <v>0</v>
      </c>
      <c r="O774" s="4">
        <f ca="1">IFERROR(AVERAGEIF(N$5:$N774,"&gt;="&amp;_xlfn.PERCENTILE.EXC(N$5:$N774,0.2)),0)</f>
        <v>0</v>
      </c>
      <c r="Q774" s="21" t="str">
        <f t="shared" ca="1" si="122"/>
        <v/>
      </c>
      <c r="R774" s="37">
        <f t="shared" ca="1" si="126"/>
        <v>0</v>
      </c>
      <c r="S774" s="4">
        <f ca="1">IFERROR(AVERAGE($R$5:R774),0)</f>
        <v>0</v>
      </c>
      <c r="U774" s="21" t="str">
        <f t="shared" ca="1" si="127"/>
        <v/>
      </c>
      <c r="V774" s="4">
        <f ca="1">MIN(S774,PREMISSAS!$C$14)</f>
        <v>0</v>
      </c>
      <c r="W774" s="188"/>
      <c r="X774" s="188"/>
    </row>
    <row r="775" spans="2:24" x14ac:dyDescent="0.3">
      <c r="B775" s="21" t="str">
        <f t="shared" ref="B775:B838" ca="1" si="128">IFERROR(IF(LEFT(B774,2)="13",DATE(RIGHT(B774,4),12,31),IF(EOMONTH(B774,0)&gt;$F$1,"",IF(MONTH(B774)=11,"13º "&amp;YEAR(B774),EOMONTH(B774,1)))),"")</f>
        <v/>
      </c>
      <c r="C775" s="22" t="str">
        <f ca="1">IF(B775="","",IF(LEFT(B775,2)="13",C774,IF(MONTH(B775)=1,C774*(1+PREMISSAS!$C$58),C774)))</f>
        <v/>
      </c>
      <c r="E775" s="18">
        <v>771</v>
      </c>
      <c r="F775" s="21" t="str">
        <f t="shared" ref="F775:F838" ca="1" si="129">IFERROR(IF(LEFT(F774,2)="13",DATE(RIGHT(F774,4),12,31),IF(EOMONTH(F774,0)&gt;$F$1,"",IF(MONTH(F774)=11,"13º "&amp;YEAR(F774),EOMONTH(F774,1)))),"")</f>
        <v/>
      </c>
      <c r="G775" s="22" t="str">
        <f ca="1">IFERROR(VLOOKUP(F775,RESULTADOS!$O$5:$P$543,2,FALSE),VLOOKUP(F775,$B$5:$C$842,2,FALSE))</f>
        <v/>
      </c>
      <c r="H775" s="4" t="e">
        <f ca="1">IF(F775&lt;PREMISSAS!$D$7,0,IFERROR(VLOOKUP(IF(LEFT(F775,2)="13",DATE(YEAR(F774),12,31),F775),IPCA!$A:$D,4,FALSE),1)*G775)</f>
        <v>#VALUE!</v>
      </c>
      <c r="J775" s="21" t="str">
        <f t="shared" ca="1" si="123"/>
        <v/>
      </c>
      <c r="K775" s="4" t="str">
        <f t="shared" ca="1" si="124"/>
        <v/>
      </c>
      <c r="M775" s="21" t="str">
        <f t="shared" ref="M775:M838" ca="1" si="130">IFERROR(IF(LEFT(M774,2)="13",DATE(RIGHT(M774,4),12,31),IF(EOMONTH(M774,0)&gt;$F$1,"",IF(MONTH(M774)=11,"13º "&amp;YEAR(M774),EOMONTH(M774,1)))),"")</f>
        <v/>
      </c>
      <c r="N775" s="37">
        <f t="shared" ca="1" si="125"/>
        <v>0</v>
      </c>
      <c r="O775" s="4">
        <f ca="1">IFERROR(AVERAGEIF(N$5:$N775,"&gt;="&amp;_xlfn.PERCENTILE.EXC(N$5:$N775,0.2)),0)</f>
        <v>0</v>
      </c>
      <c r="Q775" s="21" t="str">
        <f t="shared" ref="Q775:Q838" ca="1" si="131">IFERROR(IF(LEFT(Q774,2)="13",DATE(RIGHT(Q774,4),12,31),IF(EOMONTH(Q774,0)&gt;$F$1,"",IF(MONTH(Q774)=11,"13º "&amp;YEAR(Q774),EOMONTH(Q774,1)))),"")</f>
        <v/>
      </c>
      <c r="R775" s="37">
        <f t="shared" ca="1" si="126"/>
        <v>0</v>
      </c>
      <c r="S775" s="4">
        <f ca="1">IFERROR(AVERAGE($R$5:R775),0)</f>
        <v>0</v>
      </c>
      <c r="U775" s="21" t="str">
        <f t="shared" ca="1" si="127"/>
        <v/>
      </c>
      <c r="V775" s="4">
        <f ca="1">MIN(S775,PREMISSAS!$C$14)</f>
        <v>0</v>
      </c>
      <c r="W775" s="188"/>
      <c r="X775" s="188"/>
    </row>
    <row r="776" spans="2:24" x14ac:dyDescent="0.3">
      <c r="B776" s="21" t="str">
        <f t="shared" ca="1" si="128"/>
        <v/>
      </c>
      <c r="C776" s="22" t="str">
        <f ca="1">IF(B776="","",IF(LEFT(B776,2)="13",C775,IF(MONTH(B776)=1,C775*(1+PREMISSAS!$C$58),C775)))</f>
        <v/>
      </c>
      <c r="E776" s="18">
        <v>772</v>
      </c>
      <c r="F776" s="21" t="str">
        <f t="shared" ca="1" si="129"/>
        <v/>
      </c>
      <c r="G776" s="22" t="str">
        <f ca="1">IFERROR(VLOOKUP(F776,RESULTADOS!$O$5:$P$543,2,FALSE),VLOOKUP(F776,$B$5:$C$842,2,FALSE))</f>
        <v/>
      </c>
      <c r="H776" s="4" t="e">
        <f ca="1">IF(F776&lt;PREMISSAS!$D$7,0,IFERROR(VLOOKUP(IF(LEFT(F776,2)="13",DATE(YEAR(F775),12,31),F776),IPCA!$A:$D,4,FALSE),1)*G776)</f>
        <v>#VALUE!</v>
      </c>
      <c r="J776" s="21" t="str">
        <f t="shared" ca="1" si="123"/>
        <v/>
      </c>
      <c r="K776" s="4" t="str">
        <f t="shared" ca="1" si="124"/>
        <v/>
      </c>
      <c r="M776" s="21" t="str">
        <f t="shared" ca="1" si="130"/>
        <v/>
      </c>
      <c r="N776" s="37">
        <f t="shared" ca="1" si="125"/>
        <v>0</v>
      </c>
      <c r="O776" s="4">
        <f ca="1">IFERROR(AVERAGEIF(N$5:$N776,"&gt;="&amp;_xlfn.PERCENTILE.EXC(N$5:$N776,0.2)),0)</f>
        <v>0</v>
      </c>
      <c r="Q776" s="21" t="str">
        <f t="shared" ca="1" si="131"/>
        <v/>
      </c>
      <c r="R776" s="37">
        <f t="shared" ca="1" si="126"/>
        <v>0</v>
      </c>
      <c r="S776" s="4">
        <f ca="1">IFERROR(AVERAGE($R$5:R776),0)</f>
        <v>0</v>
      </c>
      <c r="U776" s="21" t="str">
        <f t="shared" ca="1" si="127"/>
        <v/>
      </c>
      <c r="V776" s="4">
        <f ca="1">MIN(S776,PREMISSAS!$C$14)</f>
        <v>0</v>
      </c>
      <c r="W776" s="188"/>
      <c r="X776" s="188"/>
    </row>
    <row r="777" spans="2:24" x14ac:dyDescent="0.3">
      <c r="B777" s="21" t="str">
        <f t="shared" ca="1" si="128"/>
        <v/>
      </c>
      <c r="C777" s="22" t="str">
        <f ca="1">IF(B777="","",IF(LEFT(B777,2)="13",C776,IF(MONTH(B777)=1,C776*(1+PREMISSAS!$C$58),C776)))</f>
        <v/>
      </c>
      <c r="E777" s="18">
        <v>773</v>
      </c>
      <c r="F777" s="21" t="str">
        <f t="shared" ca="1" si="129"/>
        <v/>
      </c>
      <c r="G777" s="22" t="str">
        <f ca="1">IFERROR(VLOOKUP(F777,RESULTADOS!$O$5:$P$543,2,FALSE),VLOOKUP(F777,$B$5:$C$842,2,FALSE))</f>
        <v/>
      </c>
      <c r="H777" s="4" t="e">
        <f ca="1">IF(F777&lt;PREMISSAS!$D$7,0,IFERROR(VLOOKUP(IF(LEFT(F777,2)="13",DATE(YEAR(F776),12,31),F777),IPCA!$A:$D,4,FALSE),1)*G777)</f>
        <v>#VALUE!</v>
      </c>
      <c r="J777" s="21" t="str">
        <f t="shared" ca="1" si="123"/>
        <v/>
      </c>
      <c r="K777" s="4" t="str">
        <f t="shared" ca="1" si="124"/>
        <v/>
      </c>
      <c r="M777" s="21" t="str">
        <f t="shared" ca="1" si="130"/>
        <v/>
      </c>
      <c r="N777" s="37">
        <f t="shared" ca="1" si="125"/>
        <v>0</v>
      </c>
      <c r="O777" s="4">
        <f ca="1">IFERROR(AVERAGEIF(N$5:$N777,"&gt;="&amp;_xlfn.PERCENTILE.EXC(N$5:$N777,0.2)),0)</f>
        <v>0</v>
      </c>
      <c r="Q777" s="21" t="str">
        <f t="shared" ca="1" si="131"/>
        <v/>
      </c>
      <c r="R777" s="37">
        <f t="shared" ca="1" si="126"/>
        <v>0</v>
      </c>
      <c r="S777" s="4">
        <f ca="1">IFERROR(AVERAGE($R$5:R777),0)</f>
        <v>0</v>
      </c>
      <c r="U777" s="21" t="str">
        <f t="shared" ca="1" si="127"/>
        <v/>
      </c>
      <c r="V777" s="4">
        <f ca="1">MIN(S777,PREMISSAS!$C$14)</f>
        <v>0</v>
      </c>
      <c r="W777" s="188"/>
      <c r="X777" s="188"/>
    </row>
    <row r="778" spans="2:24" x14ac:dyDescent="0.3">
      <c r="B778" s="21" t="str">
        <f t="shared" ca="1" si="128"/>
        <v/>
      </c>
      <c r="C778" s="22" t="str">
        <f ca="1">IF(B778="","",IF(LEFT(B778,2)="13",C777,IF(MONTH(B778)=1,C777*(1+PREMISSAS!$C$58),C777)))</f>
        <v/>
      </c>
      <c r="E778" s="18">
        <v>774</v>
      </c>
      <c r="F778" s="21" t="str">
        <f t="shared" ca="1" si="129"/>
        <v/>
      </c>
      <c r="G778" s="22" t="str">
        <f ca="1">IFERROR(VLOOKUP(F778,RESULTADOS!$O$5:$P$543,2,FALSE),VLOOKUP(F778,$B$5:$C$842,2,FALSE))</f>
        <v/>
      </c>
      <c r="H778" s="4" t="e">
        <f ca="1">IF(F778&lt;PREMISSAS!$D$7,0,IFERROR(VLOOKUP(IF(LEFT(F778,2)="13",DATE(YEAR(F777),12,31),F778),IPCA!$A:$D,4,FALSE),1)*G778)</f>
        <v>#VALUE!</v>
      </c>
      <c r="J778" s="21" t="str">
        <f t="shared" ca="1" si="123"/>
        <v/>
      </c>
      <c r="K778" s="4" t="str">
        <f t="shared" ca="1" si="124"/>
        <v/>
      </c>
      <c r="M778" s="21" t="str">
        <f t="shared" ca="1" si="130"/>
        <v/>
      </c>
      <c r="N778" s="37">
        <f t="shared" ca="1" si="125"/>
        <v>0</v>
      </c>
      <c r="O778" s="4">
        <f ca="1">IFERROR(AVERAGEIF(N$5:$N778,"&gt;="&amp;_xlfn.PERCENTILE.EXC(N$5:$N778,0.2)),0)</f>
        <v>0</v>
      </c>
      <c r="Q778" s="21" t="str">
        <f t="shared" ca="1" si="131"/>
        <v/>
      </c>
      <c r="R778" s="37">
        <f t="shared" ca="1" si="126"/>
        <v>0</v>
      </c>
      <c r="S778" s="4">
        <f ca="1">IFERROR(AVERAGE($R$5:R778),0)</f>
        <v>0</v>
      </c>
      <c r="U778" s="21" t="str">
        <f t="shared" ca="1" si="127"/>
        <v/>
      </c>
      <c r="V778" s="4">
        <f ca="1">MIN(S778,PREMISSAS!$C$14)</f>
        <v>0</v>
      </c>
      <c r="W778" s="188"/>
      <c r="X778" s="188"/>
    </row>
    <row r="779" spans="2:24" x14ac:dyDescent="0.3">
      <c r="B779" s="21" t="str">
        <f t="shared" ca="1" si="128"/>
        <v/>
      </c>
      <c r="C779" s="22" t="str">
        <f ca="1">IF(B779="","",IF(LEFT(B779,2)="13",C778,IF(MONTH(B779)=1,C778*(1+PREMISSAS!$C$58),C778)))</f>
        <v/>
      </c>
      <c r="E779" s="18">
        <v>775</v>
      </c>
      <c r="F779" s="21" t="str">
        <f t="shared" ca="1" si="129"/>
        <v/>
      </c>
      <c r="G779" s="22" t="str">
        <f ca="1">IFERROR(VLOOKUP(F779,RESULTADOS!$O$5:$P$543,2,FALSE),VLOOKUP(F779,$B$5:$C$842,2,FALSE))</f>
        <v/>
      </c>
      <c r="H779" s="4" t="e">
        <f ca="1">IF(F779&lt;PREMISSAS!$D$7,0,IFERROR(VLOOKUP(IF(LEFT(F779,2)="13",DATE(YEAR(F778),12,31),F779),IPCA!$A:$D,4,FALSE),1)*G779)</f>
        <v>#VALUE!</v>
      </c>
      <c r="J779" s="21" t="str">
        <f t="shared" ca="1" si="123"/>
        <v/>
      </c>
      <c r="K779" s="4" t="str">
        <f t="shared" ca="1" si="124"/>
        <v/>
      </c>
      <c r="M779" s="21" t="str">
        <f t="shared" ca="1" si="130"/>
        <v/>
      </c>
      <c r="N779" s="37">
        <f t="shared" ca="1" si="125"/>
        <v>0</v>
      </c>
      <c r="O779" s="4">
        <f ca="1">IFERROR(AVERAGEIF(N$5:$N779,"&gt;="&amp;_xlfn.PERCENTILE.EXC(N$5:$N779,0.2)),0)</f>
        <v>0</v>
      </c>
      <c r="Q779" s="21" t="str">
        <f t="shared" ca="1" si="131"/>
        <v/>
      </c>
      <c r="R779" s="37">
        <f t="shared" ca="1" si="126"/>
        <v>0</v>
      </c>
      <c r="S779" s="4">
        <f ca="1">IFERROR(AVERAGE($R$5:R779),0)</f>
        <v>0</v>
      </c>
      <c r="U779" s="21" t="str">
        <f t="shared" ca="1" si="127"/>
        <v/>
      </c>
      <c r="V779" s="4">
        <f ca="1">MIN(S779,PREMISSAS!$C$14)</f>
        <v>0</v>
      </c>
      <c r="W779" s="188"/>
      <c r="X779" s="188"/>
    </row>
    <row r="780" spans="2:24" x14ac:dyDescent="0.3">
      <c r="B780" s="21" t="str">
        <f t="shared" ca="1" si="128"/>
        <v/>
      </c>
      <c r="C780" s="22" t="str">
        <f ca="1">IF(B780="","",IF(LEFT(B780,2)="13",C779,IF(MONTH(B780)=1,C779*(1+PREMISSAS!$C$58),C779)))</f>
        <v/>
      </c>
      <c r="E780" s="18">
        <v>776</v>
      </c>
      <c r="F780" s="21" t="str">
        <f t="shared" ca="1" si="129"/>
        <v/>
      </c>
      <c r="G780" s="22" t="str">
        <f ca="1">IFERROR(VLOOKUP(F780,RESULTADOS!$O$5:$P$543,2,FALSE),VLOOKUP(F780,$B$5:$C$842,2,FALSE))</f>
        <v/>
      </c>
      <c r="H780" s="4" t="e">
        <f ca="1">IF(F780&lt;PREMISSAS!$D$7,0,IFERROR(VLOOKUP(IF(LEFT(F780,2)="13",DATE(YEAR(F779),12,31),F780),IPCA!$A:$D,4,FALSE),1)*G780)</f>
        <v>#VALUE!</v>
      </c>
      <c r="J780" s="21" t="str">
        <f t="shared" ca="1" si="123"/>
        <v/>
      </c>
      <c r="K780" s="4" t="str">
        <f t="shared" ca="1" si="124"/>
        <v/>
      </c>
      <c r="M780" s="21" t="str">
        <f t="shared" ca="1" si="130"/>
        <v/>
      </c>
      <c r="N780" s="37">
        <f t="shared" ca="1" si="125"/>
        <v>0</v>
      </c>
      <c r="O780" s="4">
        <f ca="1">IFERROR(AVERAGEIF(N$5:$N780,"&gt;="&amp;_xlfn.PERCENTILE.EXC(N$5:$N780,0.2)),0)</f>
        <v>0</v>
      </c>
      <c r="Q780" s="21" t="str">
        <f t="shared" ca="1" si="131"/>
        <v/>
      </c>
      <c r="R780" s="37">
        <f t="shared" ca="1" si="126"/>
        <v>0</v>
      </c>
      <c r="S780" s="4">
        <f ca="1">IFERROR(AVERAGE($R$5:R780),0)</f>
        <v>0</v>
      </c>
      <c r="U780" s="21" t="str">
        <f t="shared" ca="1" si="127"/>
        <v/>
      </c>
      <c r="V780" s="4">
        <f ca="1">MIN(S780,PREMISSAS!$C$14)</f>
        <v>0</v>
      </c>
      <c r="W780" s="188"/>
      <c r="X780" s="188"/>
    </row>
    <row r="781" spans="2:24" x14ac:dyDescent="0.3">
      <c r="B781" s="21" t="str">
        <f t="shared" ca="1" si="128"/>
        <v/>
      </c>
      <c r="C781" s="22" t="str">
        <f ca="1">IF(B781="","",IF(LEFT(B781,2)="13",C780,IF(MONTH(B781)=1,C780*(1+PREMISSAS!$C$58),C780)))</f>
        <v/>
      </c>
      <c r="E781" s="18">
        <v>777</v>
      </c>
      <c r="F781" s="21" t="str">
        <f t="shared" ca="1" si="129"/>
        <v/>
      </c>
      <c r="G781" s="22" t="str">
        <f ca="1">IFERROR(VLOOKUP(F781,RESULTADOS!$O$5:$P$543,2,FALSE),VLOOKUP(F781,$B$5:$C$842,2,FALSE))</f>
        <v/>
      </c>
      <c r="H781" s="4" t="e">
        <f ca="1">IF(F781&lt;PREMISSAS!$D$7,0,IFERROR(VLOOKUP(IF(LEFT(F781,2)="13",DATE(YEAR(F780),12,31),F781),IPCA!$A:$D,4,FALSE),1)*G781)</f>
        <v>#VALUE!</v>
      </c>
      <c r="J781" s="21" t="str">
        <f t="shared" ca="1" si="123"/>
        <v/>
      </c>
      <c r="K781" s="4" t="str">
        <f t="shared" ca="1" si="124"/>
        <v/>
      </c>
      <c r="M781" s="21" t="str">
        <f t="shared" ca="1" si="130"/>
        <v/>
      </c>
      <c r="N781" s="37">
        <f t="shared" ca="1" si="125"/>
        <v>0</v>
      </c>
      <c r="O781" s="4">
        <f ca="1">IFERROR(AVERAGEIF(N$5:$N781,"&gt;="&amp;_xlfn.PERCENTILE.EXC(N$5:$N781,0.2)),0)</f>
        <v>0</v>
      </c>
      <c r="Q781" s="21" t="str">
        <f t="shared" ca="1" si="131"/>
        <v/>
      </c>
      <c r="R781" s="37">
        <f t="shared" ca="1" si="126"/>
        <v>0</v>
      </c>
      <c r="S781" s="4">
        <f ca="1">IFERROR(AVERAGE($R$5:R781),0)</f>
        <v>0</v>
      </c>
      <c r="U781" s="21" t="str">
        <f t="shared" ca="1" si="127"/>
        <v/>
      </c>
      <c r="V781" s="4">
        <f ca="1">MIN(S781,PREMISSAS!$C$14)</f>
        <v>0</v>
      </c>
      <c r="W781" s="188"/>
      <c r="X781" s="188"/>
    </row>
    <row r="782" spans="2:24" x14ac:dyDescent="0.3">
      <c r="B782" s="21" t="str">
        <f t="shared" ca="1" si="128"/>
        <v/>
      </c>
      <c r="C782" s="22" t="str">
        <f ca="1">IF(B782="","",IF(LEFT(B782,2)="13",C781,IF(MONTH(B782)=1,C781*(1+PREMISSAS!$C$58),C781)))</f>
        <v/>
      </c>
      <c r="E782" s="18">
        <v>778</v>
      </c>
      <c r="F782" s="21" t="str">
        <f t="shared" ca="1" si="129"/>
        <v/>
      </c>
      <c r="G782" s="22" t="str">
        <f ca="1">IFERROR(VLOOKUP(F782,RESULTADOS!$O$5:$P$543,2,FALSE),VLOOKUP(F782,$B$5:$C$842,2,FALSE))</f>
        <v/>
      </c>
      <c r="H782" s="4" t="e">
        <f ca="1">IF(F782&lt;PREMISSAS!$D$7,0,IFERROR(VLOOKUP(IF(LEFT(F782,2)="13",DATE(YEAR(F781),12,31),F782),IPCA!$A:$D,4,FALSE),1)*G782)</f>
        <v>#VALUE!</v>
      </c>
      <c r="J782" s="21" t="str">
        <f t="shared" ca="1" si="123"/>
        <v/>
      </c>
      <c r="K782" s="4" t="str">
        <f t="shared" ca="1" si="124"/>
        <v/>
      </c>
      <c r="M782" s="21" t="str">
        <f t="shared" ca="1" si="130"/>
        <v/>
      </c>
      <c r="N782" s="37">
        <f t="shared" ca="1" si="125"/>
        <v>0</v>
      </c>
      <c r="O782" s="4">
        <f ca="1">IFERROR(AVERAGEIF(N$5:$N782,"&gt;="&amp;_xlfn.PERCENTILE.EXC(N$5:$N782,0.2)),0)</f>
        <v>0</v>
      </c>
      <c r="Q782" s="21" t="str">
        <f t="shared" ca="1" si="131"/>
        <v/>
      </c>
      <c r="R782" s="37">
        <f t="shared" ca="1" si="126"/>
        <v>0</v>
      </c>
      <c r="S782" s="4">
        <f ca="1">IFERROR(AVERAGE($R$5:R782),0)</f>
        <v>0</v>
      </c>
      <c r="U782" s="21" t="str">
        <f t="shared" ca="1" si="127"/>
        <v/>
      </c>
      <c r="V782" s="4">
        <f ca="1">MIN(S782,PREMISSAS!$C$14)</f>
        <v>0</v>
      </c>
      <c r="W782" s="188"/>
      <c r="X782" s="188"/>
    </row>
    <row r="783" spans="2:24" x14ac:dyDescent="0.3">
      <c r="B783" s="21" t="str">
        <f t="shared" ca="1" si="128"/>
        <v/>
      </c>
      <c r="C783" s="22" t="str">
        <f ca="1">IF(B783="","",IF(LEFT(B783,2)="13",C782,IF(MONTH(B783)=1,C782*(1+PREMISSAS!$C$58),C782)))</f>
        <v/>
      </c>
      <c r="E783" s="18">
        <v>779</v>
      </c>
      <c r="F783" s="21" t="str">
        <f t="shared" ca="1" si="129"/>
        <v/>
      </c>
      <c r="G783" s="22" t="str">
        <f ca="1">IFERROR(VLOOKUP(F783,RESULTADOS!$O$5:$P$543,2,FALSE),VLOOKUP(F783,$B$5:$C$842,2,FALSE))</f>
        <v/>
      </c>
      <c r="H783" s="4" t="e">
        <f ca="1">IF(F783&lt;PREMISSAS!$D$7,0,IFERROR(VLOOKUP(IF(LEFT(F783,2)="13",DATE(YEAR(F782),12,31),F783),IPCA!$A:$D,4,FALSE),1)*G783)</f>
        <v>#VALUE!</v>
      </c>
      <c r="J783" s="21" t="str">
        <f t="shared" ca="1" si="123"/>
        <v/>
      </c>
      <c r="K783" s="4" t="str">
        <f t="shared" ca="1" si="124"/>
        <v/>
      </c>
      <c r="M783" s="21" t="str">
        <f t="shared" ca="1" si="130"/>
        <v/>
      </c>
      <c r="N783" s="37">
        <f t="shared" ca="1" si="125"/>
        <v>0</v>
      </c>
      <c r="O783" s="4">
        <f ca="1">IFERROR(AVERAGEIF(N$5:$N783,"&gt;="&amp;_xlfn.PERCENTILE.EXC(N$5:$N783,0.2)),0)</f>
        <v>0</v>
      </c>
      <c r="Q783" s="21" t="str">
        <f t="shared" ca="1" si="131"/>
        <v/>
      </c>
      <c r="R783" s="37">
        <f t="shared" ca="1" si="126"/>
        <v>0</v>
      </c>
      <c r="S783" s="4">
        <f ca="1">IFERROR(AVERAGE($R$5:R783),0)</f>
        <v>0</v>
      </c>
      <c r="U783" s="21" t="str">
        <f t="shared" ca="1" si="127"/>
        <v/>
      </c>
      <c r="V783" s="4">
        <f ca="1">MIN(S783,PREMISSAS!$C$14)</f>
        <v>0</v>
      </c>
      <c r="W783" s="188"/>
      <c r="X783" s="188"/>
    </row>
    <row r="784" spans="2:24" x14ac:dyDescent="0.3">
      <c r="B784" s="21" t="str">
        <f t="shared" ca="1" si="128"/>
        <v/>
      </c>
      <c r="C784" s="22" t="str">
        <f ca="1">IF(B784="","",IF(LEFT(B784,2)="13",C783,IF(MONTH(B784)=1,C783*(1+PREMISSAS!$C$58),C783)))</f>
        <v/>
      </c>
      <c r="E784" s="18">
        <v>780</v>
      </c>
      <c r="F784" s="21" t="str">
        <f t="shared" ca="1" si="129"/>
        <v/>
      </c>
      <c r="G784" s="22" t="str">
        <f ca="1">IFERROR(VLOOKUP(F784,RESULTADOS!$O$5:$P$543,2,FALSE),VLOOKUP(F784,$B$5:$C$842,2,FALSE))</f>
        <v/>
      </c>
      <c r="H784" s="4" t="e">
        <f ca="1">IF(F784&lt;PREMISSAS!$D$7,0,IFERROR(VLOOKUP(IF(LEFT(F784,2)="13",DATE(YEAR(F783),12,31),F784),IPCA!$A:$D,4,FALSE),1)*G784)</f>
        <v>#VALUE!</v>
      </c>
      <c r="J784" s="21" t="str">
        <f t="shared" ca="1" si="123"/>
        <v/>
      </c>
      <c r="K784" s="4" t="str">
        <f t="shared" ca="1" si="124"/>
        <v/>
      </c>
      <c r="M784" s="21" t="str">
        <f t="shared" ca="1" si="130"/>
        <v/>
      </c>
      <c r="N784" s="37">
        <f t="shared" ca="1" si="125"/>
        <v>0</v>
      </c>
      <c r="O784" s="4">
        <f ca="1">IFERROR(AVERAGEIF(N$5:$N784,"&gt;="&amp;_xlfn.PERCENTILE.EXC(N$5:$N784,0.2)),0)</f>
        <v>0</v>
      </c>
      <c r="Q784" s="21" t="str">
        <f t="shared" ca="1" si="131"/>
        <v/>
      </c>
      <c r="R784" s="37">
        <f t="shared" ca="1" si="126"/>
        <v>0</v>
      </c>
      <c r="S784" s="4">
        <f ca="1">IFERROR(AVERAGE($R$5:R784),0)</f>
        <v>0</v>
      </c>
      <c r="U784" s="21" t="str">
        <f t="shared" ca="1" si="127"/>
        <v/>
      </c>
      <c r="V784" s="4">
        <f ca="1">MIN(S784,PREMISSAS!$C$14)</f>
        <v>0</v>
      </c>
      <c r="W784" s="188"/>
      <c r="X784" s="188"/>
    </row>
    <row r="785" spans="2:24" x14ac:dyDescent="0.3">
      <c r="B785" s="21" t="str">
        <f t="shared" ca="1" si="128"/>
        <v/>
      </c>
      <c r="C785" s="22" t="str">
        <f ca="1">IF(B785="","",IF(LEFT(B785,2)="13",C784,IF(MONTH(B785)=1,C784*(1+PREMISSAS!$C$58),C784)))</f>
        <v/>
      </c>
      <c r="E785" s="18">
        <v>781</v>
      </c>
      <c r="F785" s="21" t="str">
        <f t="shared" ca="1" si="129"/>
        <v/>
      </c>
      <c r="G785" s="22" t="str">
        <f ca="1">IFERROR(VLOOKUP(F785,RESULTADOS!$O$5:$P$543,2,FALSE),VLOOKUP(F785,$B$5:$C$842,2,FALSE))</f>
        <v/>
      </c>
      <c r="H785" s="4" t="e">
        <f ca="1">IF(F785&lt;PREMISSAS!$D$7,0,IFERROR(VLOOKUP(IF(LEFT(F785,2)="13",DATE(YEAR(F784),12,31),F785),IPCA!$A:$D,4,FALSE),1)*G785)</f>
        <v>#VALUE!</v>
      </c>
      <c r="J785" s="21" t="str">
        <f t="shared" ca="1" si="123"/>
        <v/>
      </c>
      <c r="K785" s="4" t="str">
        <f t="shared" ca="1" si="124"/>
        <v/>
      </c>
      <c r="M785" s="21" t="str">
        <f t="shared" ca="1" si="130"/>
        <v/>
      </c>
      <c r="N785" s="37">
        <f t="shared" ca="1" si="125"/>
        <v>0</v>
      </c>
      <c r="O785" s="4">
        <f ca="1">IFERROR(AVERAGEIF(N$5:$N785,"&gt;="&amp;_xlfn.PERCENTILE.EXC(N$5:$N785,0.2)),0)</f>
        <v>0</v>
      </c>
      <c r="Q785" s="21" t="str">
        <f t="shared" ca="1" si="131"/>
        <v/>
      </c>
      <c r="R785" s="37">
        <f t="shared" ca="1" si="126"/>
        <v>0</v>
      </c>
      <c r="S785" s="4">
        <f ca="1">IFERROR(AVERAGE($R$5:R785),0)</f>
        <v>0</v>
      </c>
      <c r="U785" s="21" t="str">
        <f t="shared" ca="1" si="127"/>
        <v/>
      </c>
      <c r="V785" s="4">
        <f ca="1">MIN(S785,PREMISSAS!$C$14)</f>
        <v>0</v>
      </c>
      <c r="W785" s="188"/>
      <c r="X785" s="188"/>
    </row>
    <row r="786" spans="2:24" x14ac:dyDescent="0.3">
      <c r="B786" s="21" t="str">
        <f t="shared" ca="1" si="128"/>
        <v/>
      </c>
      <c r="C786" s="22" t="str">
        <f ca="1">IF(B786="","",IF(LEFT(B786,2)="13",C785,IF(MONTH(B786)=1,C785*(1+PREMISSAS!$C$58),C785)))</f>
        <v/>
      </c>
      <c r="E786" s="18">
        <v>782</v>
      </c>
      <c r="F786" s="21" t="str">
        <f t="shared" ca="1" si="129"/>
        <v/>
      </c>
      <c r="G786" s="22" t="str">
        <f ca="1">IFERROR(VLOOKUP(F786,RESULTADOS!$O$5:$P$543,2,FALSE),VLOOKUP(F786,$B$5:$C$842,2,FALSE))</f>
        <v/>
      </c>
      <c r="H786" s="4" t="e">
        <f ca="1">IF(F786&lt;PREMISSAS!$D$7,0,IFERROR(VLOOKUP(IF(LEFT(F786,2)="13",DATE(YEAR(F785),12,31),F786),IPCA!$A:$D,4,FALSE),1)*G786)</f>
        <v>#VALUE!</v>
      </c>
      <c r="J786" s="21" t="str">
        <f t="shared" ca="1" si="123"/>
        <v/>
      </c>
      <c r="K786" s="4" t="str">
        <f t="shared" ca="1" si="124"/>
        <v/>
      </c>
      <c r="M786" s="21" t="str">
        <f t="shared" ca="1" si="130"/>
        <v/>
      </c>
      <c r="N786" s="37">
        <f t="shared" ca="1" si="125"/>
        <v>0</v>
      </c>
      <c r="O786" s="4">
        <f ca="1">IFERROR(AVERAGEIF(N$5:$N786,"&gt;="&amp;_xlfn.PERCENTILE.EXC(N$5:$N786,0.2)),0)</f>
        <v>0</v>
      </c>
      <c r="Q786" s="21" t="str">
        <f t="shared" ca="1" si="131"/>
        <v/>
      </c>
      <c r="R786" s="37">
        <f t="shared" ca="1" si="126"/>
        <v>0</v>
      </c>
      <c r="S786" s="4">
        <f ca="1">IFERROR(AVERAGE($R$5:R786),0)</f>
        <v>0</v>
      </c>
      <c r="U786" s="21" t="str">
        <f t="shared" ca="1" si="127"/>
        <v/>
      </c>
      <c r="V786" s="4">
        <f ca="1">MIN(S786,PREMISSAS!$C$14)</f>
        <v>0</v>
      </c>
      <c r="W786" s="188"/>
      <c r="X786" s="188"/>
    </row>
    <row r="787" spans="2:24" x14ac:dyDescent="0.3">
      <c r="B787" s="21" t="str">
        <f t="shared" ca="1" si="128"/>
        <v/>
      </c>
      <c r="C787" s="22" t="str">
        <f ca="1">IF(B787="","",IF(LEFT(B787,2)="13",C786,IF(MONTH(B787)=1,C786*(1+PREMISSAS!$C$58),C786)))</f>
        <v/>
      </c>
      <c r="E787" s="18">
        <v>783</v>
      </c>
      <c r="F787" s="21" t="str">
        <f t="shared" ca="1" si="129"/>
        <v/>
      </c>
      <c r="G787" s="22" t="str">
        <f ca="1">IFERROR(VLOOKUP(F787,RESULTADOS!$O$5:$P$543,2,FALSE),VLOOKUP(F787,$B$5:$C$842,2,FALSE))</f>
        <v/>
      </c>
      <c r="H787" s="4" t="e">
        <f ca="1">IF(F787&lt;PREMISSAS!$D$7,0,IFERROR(VLOOKUP(IF(LEFT(F787,2)="13",DATE(YEAR(F786),12,31),F787),IPCA!$A:$D,4,FALSE),1)*G787)</f>
        <v>#VALUE!</v>
      </c>
      <c r="J787" s="21" t="str">
        <f t="shared" ref="J787:J797" ca="1" si="132">F787</f>
        <v/>
      </c>
      <c r="K787" s="4" t="str">
        <f t="shared" ref="K787:K797" ca="1" si="133">G787</f>
        <v/>
      </c>
      <c r="M787" s="21" t="str">
        <f t="shared" ca="1" si="130"/>
        <v/>
      </c>
      <c r="N787" s="37">
        <f t="shared" ref="N787:N797" ca="1" si="134">IFERROR(VLOOKUP(M787,$F$5:$H$628,3,FALSE),0)</f>
        <v>0</v>
      </c>
      <c r="O787" s="4">
        <f ca="1">IFERROR(AVERAGEIF(N$5:$N787,"&gt;="&amp;_xlfn.PERCENTILE.EXC(N$5:$N787,0.2)),0)</f>
        <v>0</v>
      </c>
      <c r="Q787" s="21" t="str">
        <f t="shared" ca="1" si="131"/>
        <v/>
      </c>
      <c r="R787" s="37">
        <f t="shared" ref="R787:R797" ca="1" si="135">IFERROR(VLOOKUP(Q787,$F$5:$H$628,3,FALSE),0)</f>
        <v>0</v>
      </c>
      <c r="S787" s="4">
        <f ca="1">IFERROR(AVERAGE($R$5:R787),0)</f>
        <v>0</v>
      </c>
      <c r="U787" s="21" t="str">
        <f t="shared" ref="U787:U797" ca="1" si="136">M787</f>
        <v/>
      </c>
      <c r="V787" s="4">
        <f ca="1">MIN(S787,PREMISSAS!$C$14)</f>
        <v>0</v>
      </c>
      <c r="W787" s="188"/>
      <c r="X787" s="188"/>
    </row>
    <row r="788" spans="2:24" x14ac:dyDescent="0.3">
      <c r="B788" s="21" t="str">
        <f t="shared" ca="1" si="128"/>
        <v/>
      </c>
      <c r="C788" s="22" t="str">
        <f ca="1">IF(B788="","",IF(LEFT(B788,2)="13",C787,IF(MONTH(B788)=1,C787*(1+PREMISSAS!$C$58),C787)))</f>
        <v/>
      </c>
      <c r="E788" s="18">
        <v>784</v>
      </c>
      <c r="F788" s="21" t="str">
        <f t="shared" ca="1" si="129"/>
        <v/>
      </c>
      <c r="G788" s="22" t="str">
        <f ca="1">IFERROR(VLOOKUP(F788,RESULTADOS!$O$5:$P$543,2,FALSE),VLOOKUP(F788,$B$5:$C$842,2,FALSE))</f>
        <v/>
      </c>
      <c r="H788" s="4" t="e">
        <f ca="1">IF(F788&lt;PREMISSAS!$D$7,0,IFERROR(VLOOKUP(IF(LEFT(F788,2)="13",DATE(YEAR(F787),12,31),F788),IPCA!$A:$D,4,FALSE),1)*G788)</f>
        <v>#VALUE!</v>
      </c>
      <c r="J788" s="21" t="str">
        <f t="shared" ca="1" si="132"/>
        <v/>
      </c>
      <c r="K788" s="4" t="str">
        <f t="shared" ca="1" si="133"/>
        <v/>
      </c>
      <c r="M788" s="21" t="str">
        <f t="shared" ca="1" si="130"/>
        <v/>
      </c>
      <c r="N788" s="37">
        <f t="shared" ca="1" si="134"/>
        <v>0</v>
      </c>
      <c r="O788" s="4">
        <f ca="1">IFERROR(AVERAGEIF(N$5:$N788,"&gt;="&amp;_xlfn.PERCENTILE.EXC(N$5:$N788,0.2)),0)</f>
        <v>0</v>
      </c>
      <c r="Q788" s="21" t="str">
        <f t="shared" ca="1" si="131"/>
        <v/>
      </c>
      <c r="R788" s="37">
        <f t="shared" ca="1" si="135"/>
        <v>0</v>
      </c>
      <c r="S788" s="4">
        <f ca="1">IFERROR(AVERAGE($R$5:R788),0)</f>
        <v>0</v>
      </c>
      <c r="U788" s="21" t="str">
        <f t="shared" ca="1" si="136"/>
        <v/>
      </c>
      <c r="V788" s="4">
        <f ca="1">MIN(S788,PREMISSAS!$C$14)</f>
        <v>0</v>
      </c>
      <c r="W788" s="188"/>
      <c r="X788" s="188"/>
    </row>
    <row r="789" spans="2:24" x14ac:dyDescent="0.3">
      <c r="B789" s="21" t="str">
        <f t="shared" ca="1" si="128"/>
        <v/>
      </c>
      <c r="C789" s="22" t="str">
        <f ca="1">IF(B789="","",IF(LEFT(B789,2)="13",C788,IF(MONTH(B789)=1,C788*(1+PREMISSAS!$C$58),C788)))</f>
        <v/>
      </c>
      <c r="E789" s="18">
        <v>785</v>
      </c>
      <c r="F789" s="21" t="str">
        <f t="shared" ca="1" si="129"/>
        <v/>
      </c>
      <c r="G789" s="22" t="str">
        <f ca="1">IFERROR(VLOOKUP(F789,RESULTADOS!$O$5:$P$543,2,FALSE),VLOOKUP(F789,$B$5:$C$842,2,FALSE))</f>
        <v/>
      </c>
      <c r="H789" s="4" t="e">
        <f ca="1">IF(F789&lt;PREMISSAS!$D$7,0,IFERROR(VLOOKUP(IF(LEFT(F789,2)="13",DATE(YEAR(F788),12,31),F789),IPCA!$A:$D,4,FALSE),1)*G789)</f>
        <v>#VALUE!</v>
      </c>
      <c r="J789" s="21" t="str">
        <f t="shared" ca="1" si="132"/>
        <v/>
      </c>
      <c r="K789" s="4" t="str">
        <f t="shared" ca="1" si="133"/>
        <v/>
      </c>
      <c r="M789" s="21" t="str">
        <f t="shared" ca="1" si="130"/>
        <v/>
      </c>
      <c r="N789" s="37">
        <f t="shared" ca="1" si="134"/>
        <v>0</v>
      </c>
      <c r="O789" s="4">
        <f ca="1">IFERROR(AVERAGEIF(N$5:$N789,"&gt;="&amp;_xlfn.PERCENTILE.EXC(N$5:$N789,0.2)),0)</f>
        <v>0</v>
      </c>
      <c r="Q789" s="21" t="str">
        <f t="shared" ca="1" si="131"/>
        <v/>
      </c>
      <c r="R789" s="37">
        <f t="shared" ca="1" si="135"/>
        <v>0</v>
      </c>
      <c r="S789" s="4">
        <f ca="1">IFERROR(AVERAGE($R$5:R789),0)</f>
        <v>0</v>
      </c>
      <c r="U789" s="21" t="str">
        <f t="shared" ca="1" si="136"/>
        <v/>
      </c>
      <c r="V789" s="4">
        <f ca="1">MIN(S789,PREMISSAS!$C$14)</f>
        <v>0</v>
      </c>
      <c r="W789" s="188"/>
      <c r="X789" s="188"/>
    </row>
    <row r="790" spans="2:24" x14ac:dyDescent="0.3">
      <c r="B790" s="21" t="str">
        <f t="shared" ca="1" si="128"/>
        <v/>
      </c>
      <c r="C790" s="22" t="str">
        <f ca="1">IF(B790="","",IF(LEFT(B790,2)="13",C789,IF(MONTH(B790)=1,C789*(1+PREMISSAS!$C$58),C789)))</f>
        <v/>
      </c>
      <c r="E790" s="18">
        <v>786</v>
      </c>
      <c r="F790" s="21" t="str">
        <f t="shared" ca="1" si="129"/>
        <v/>
      </c>
      <c r="G790" s="22" t="str">
        <f ca="1">IFERROR(VLOOKUP(F790,RESULTADOS!$O$5:$P$543,2,FALSE),VLOOKUP(F790,$B$5:$C$842,2,FALSE))</f>
        <v/>
      </c>
      <c r="H790" s="4" t="e">
        <f ca="1">IF(F790&lt;PREMISSAS!$D$7,0,IFERROR(VLOOKUP(IF(LEFT(F790,2)="13",DATE(YEAR(F789),12,31),F790),IPCA!$A:$D,4,FALSE),1)*G790)</f>
        <v>#VALUE!</v>
      </c>
      <c r="J790" s="21" t="str">
        <f t="shared" ca="1" si="132"/>
        <v/>
      </c>
      <c r="K790" s="4" t="str">
        <f t="shared" ca="1" si="133"/>
        <v/>
      </c>
      <c r="M790" s="21" t="str">
        <f t="shared" ca="1" si="130"/>
        <v/>
      </c>
      <c r="N790" s="37">
        <f t="shared" ca="1" si="134"/>
        <v>0</v>
      </c>
      <c r="O790" s="4">
        <f ca="1">IFERROR(AVERAGEIF(N$5:$N790,"&gt;="&amp;_xlfn.PERCENTILE.EXC(N$5:$N790,0.2)),0)</f>
        <v>0</v>
      </c>
      <c r="Q790" s="21" t="str">
        <f t="shared" ca="1" si="131"/>
        <v/>
      </c>
      <c r="R790" s="37">
        <f t="shared" ca="1" si="135"/>
        <v>0</v>
      </c>
      <c r="S790" s="4">
        <f ca="1">IFERROR(AVERAGE($R$5:R790),0)</f>
        <v>0</v>
      </c>
      <c r="U790" s="21" t="str">
        <f t="shared" ca="1" si="136"/>
        <v/>
      </c>
      <c r="V790" s="4">
        <f ca="1">MIN(S790,PREMISSAS!$C$14)</f>
        <v>0</v>
      </c>
      <c r="W790" s="188"/>
      <c r="X790" s="188"/>
    </row>
    <row r="791" spans="2:24" x14ac:dyDescent="0.3">
      <c r="B791" s="21" t="str">
        <f t="shared" ca="1" si="128"/>
        <v/>
      </c>
      <c r="C791" s="22" t="str">
        <f ca="1">IF(B791="","",IF(LEFT(B791,2)="13",C790,IF(MONTH(B791)=1,C790*(1+PREMISSAS!$C$58),C790)))</f>
        <v/>
      </c>
      <c r="E791" s="18">
        <v>787</v>
      </c>
      <c r="F791" s="21" t="str">
        <f t="shared" ca="1" si="129"/>
        <v/>
      </c>
      <c r="G791" s="22" t="str">
        <f ca="1">IFERROR(VLOOKUP(F791,RESULTADOS!$O$5:$P$543,2,FALSE),VLOOKUP(F791,$B$5:$C$842,2,FALSE))</f>
        <v/>
      </c>
      <c r="H791" s="4" t="e">
        <f ca="1">IF(F791&lt;PREMISSAS!$D$7,0,IFERROR(VLOOKUP(IF(LEFT(F791,2)="13",DATE(YEAR(F790),12,31),F791),IPCA!$A:$D,4,FALSE),1)*G791)</f>
        <v>#VALUE!</v>
      </c>
      <c r="J791" s="21" t="str">
        <f t="shared" ca="1" si="132"/>
        <v/>
      </c>
      <c r="K791" s="4" t="str">
        <f t="shared" ca="1" si="133"/>
        <v/>
      </c>
      <c r="M791" s="21" t="str">
        <f t="shared" ca="1" si="130"/>
        <v/>
      </c>
      <c r="N791" s="37">
        <f t="shared" ca="1" si="134"/>
        <v>0</v>
      </c>
      <c r="O791" s="4">
        <f ca="1">IFERROR(AVERAGEIF(N$5:$N791,"&gt;="&amp;_xlfn.PERCENTILE.EXC(N$5:$N791,0.2)),0)</f>
        <v>0</v>
      </c>
      <c r="Q791" s="21" t="str">
        <f t="shared" ca="1" si="131"/>
        <v/>
      </c>
      <c r="R791" s="37">
        <f t="shared" ca="1" si="135"/>
        <v>0</v>
      </c>
      <c r="S791" s="4">
        <f ca="1">IFERROR(AVERAGE($R$5:R791),0)</f>
        <v>0</v>
      </c>
      <c r="U791" s="21" t="str">
        <f t="shared" ca="1" si="136"/>
        <v/>
      </c>
      <c r="V791" s="4">
        <f ca="1">MIN(S791,PREMISSAS!$C$14)</f>
        <v>0</v>
      </c>
      <c r="W791" s="188"/>
      <c r="X791" s="188"/>
    </row>
    <row r="792" spans="2:24" x14ac:dyDescent="0.3">
      <c r="B792" s="21" t="str">
        <f t="shared" ca="1" si="128"/>
        <v/>
      </c>
      <c r="C792" s="22" t="str">
        <f ca="1">IF(B792="","",IF(LEFT(B792,2)="13",C791,IF(MONTH(B792)=1,C791*(1+PREMISSAS!$C$58),C791)))</f>
        <v/>
      </c>
      <c r="E792" s="18">
        <v>788</v>
      </c>
      <c r="F792" s="21" t="str">
        <f t="shared" ca="1" si="129"/>
        <v/>
      </c>
      <c r="G792" s="22" t="str">
        <f ca="1">IFERROR(VLOOKUP(F792,RESULTADOS!$O$5:$P$543,2,FALSE),VLOOKUP(F792,$B$5:$C$842,2,FALSE))</f>
        <v/>
      </c>
      <c r="H792" s="4" t="e">
        <f ca="1">IF(F792&lt;PREMISSAS!$D$7,0,IFERROR(VLOOKUP(IF(LEFT(F792,2)="13",DATE(YEAR(F791),12,31),F792),IPCA!$A:$D,4,FALSE),1)*G792)</f>
        <v>#VALUE!</v>
      </c>
      <c r="J792" s="21" t="str">
        <f t="shared" ca="1" si="132"/>
        <v/>
      </c>
      <c r="K792" s="4" t="str">
        <f t="shared" ca="1" si="133"/>
        <v/>
      </c>
      <c r="M792" s="21" t="str">
        <f t="shared" ca="1" si="130"/>
        <v/>
      </c>
      <c r="N792" s="37">
        <f t="shared" ca="1" si="134"/>
        <v>0</v>
      </c>
      <c r="O792" s="4">
        <f ca="1">IFERROR(AVERAGEIF(N$5:$N792,"&gt;="&amp;_xlfn.PERCENTILE.EXC(N$5:$N792,0.2)),0)</f>
        <v>0</v>
      </c>
      <c r="Q792" s="21" t="str">
        <f t="shared" ca="1" si="131"/>
        <v/>
      </c>
      <c r="R792" s="37">
        <f t="shared" ca="1" si="135"/>
        <v>0</v>
      </c>
      <c r="S792" s="4">
        <f ca="1">IFERROR(AVERAGE($R$5:R792),0)</f>
        <v>0</v>
      </c>
      <c r="U792" s="21" t="str">
        <f t="shared" ca="1" si="136"/>
        <v/>
      </c>
      <c r="V792" s="4">
        <f ca="1">MIN(S792,PREMISSAS!$C$14)</f>
        <v>0</v>
      </c>
      <c r="W792" s="188"/>
      <c r="X792" s="188"/>
    </row>
    <row r="793" spans="2:24" x14ac:dyDescent="0.3">
      <c r="B793" s="21" t="str">
        <f t="shared" ca="1" si="128"/>
        <v/>
      </c>
      <c r="C793" s="22" t="str">
        <f ca="1">IF(B793="","",IF(LEFT(B793,2)="13",C792,IF(MONTH(B793)=1,C792*(1+PREMISSAS!$C$58),C792)))</f>
        <v/>
      </c>
      <c r="E793" s="18">
        <v>789</v>
      </c>
      <c r="F793" s="21" t="str">
        <f t="shared" ca="1" si="129"/>
        <v/>
      </c>
      <c r="G793" s="22" t="str">
        <f ca="1">IFERROR(VLOOKUP(F793,RESULTADOS!$O$5:$P$543,2,FALSE),VLOOKUP(F793,$B$5:$C$842,2,FALSE))</f>
        <v/>
      </c>
      <c r="H793" s="4" t="e">
        <f ca="1">IF(F793&lt;PREMISSAS!$D$7,0,IFERROR(VLOOKUP(IF(LEFT(F793,2)="13",DATE(YEAR(F792),12,31),F793),IPCA!$A:$D,4,FALSE),1)*G793)</f>
        <v>#VALUE!</v>
      </c>
      <c r="J793" s="21" t="str">
        <f t="shared" ca="1" si="132"/>
        <v/>
      </c>
      <c r="K793" s="4" t="str">
        <f t="shared" ca="1" si="133"/>
        <v/>
      </c>
      <c r="M793" s="21" t="str">
        <f t="shared" ca="1" si="130"/>
        <v/>
      </c>
      <c r="N793" s="37">
        <f t="shared" ca="1" si="134"/>
        <v>0</v>
      </c>
      <c r="O793" s="4">
        <f ca="1">IFERROR(AVERAGEIF(N$5:$N793,"&gt;="&amp;_xlfn.PERCENTILE.EXC(N$5:$N793,0.2)),0)</f>
        <v>0</v>
      </c>
      <c r="Q793" s="21" t="str">
        <f t="shared" ca="1" si="131"/>
        <v/>
      </c>
      <c r="R793" s="37">
        <f t="shared" ca="1" si="135"/>
        <v>0</v>
      </c>
      <c r="S793" s="4">
        <f ca="1">IFERROR(AVERAGE($R$5:R793),0)</f>
        <v>0</v>
      </c>
      <c r="U793" s="21" t="str">
        <f t="shared" ca="1" si="136"/>
        <v/>
      </c>
      <c r="V793" s="4">
        <f ca="1">MIN(S793,PREMISSAS!$C$14)</f>
        <v>0</v>
      </c>
      <c r="W793" s="188"/>
      <c r="X793" s="188"/>
    </row>
    <row r="794" spans="2:24" x14ac:dyDescent="0.3">
      <c r="B794" s="21" t="str">
        <f t="shared" ca="1" si="128"/>
        <v/>
      </c>
      <c r="C794" s="22" t="str">
        <f ca="1">IF(B794="","",IF(LEFT(B794,2)="13",C793,IF(MONTH(B794)=1,C793*(1+PREMISSAS!$C$58),C793)))</f>
        <v/>
      </c>
      <c r="E794" s="18">
        <v>790</v>
      </c>
      <c r="F794" s="21" t="str">
        <f t="shared" ca="1" si="129"/>
        <v/>
      </c>
      <c r="G794" s="22" t="str">
        <f ca="1">IFERROR(VLOOKUP(F794,RESULTADOS!$O$5:$P$543,2,FALSE),VLOOKUP(F794,$B$5:$C$842,2,FALSE))</f>
        <v/>
      </c>
      <c r="H794" s="4" t="e">
        <f ca="1">IF(F794&lt;PREMISSAS!$D$7,0,IFERROR(VLOOKUP(IF(LEFT(F794,2)="13",DATE(YEAR(F793),12,31),F794),IPCA!$A:$D,4,FALSE),1)*G794)</f>
        <v>#VALUE!</v>
      </c>
      <c r="J794" s="21" t="str">
        <f t="shared" ca="1" si="132"/>
        <v/>
      </c>
      <c r="K794" s="4" t="str">
        <f t="shared" ca="1" si="133"/>
        <v/>
      </c>
      <c r="M794" s="21" t="str">
        <f t="shared" ca="1" si="130"/>
        <v/>
      </c>
      <c r="N794" s="37">
        <f t="shared" ca="1" si="134"/>
        <v>0</v>
      </c>
      <c r="O794" s="4">
        <f ca="1">IFERROR(AVERAGEIF(N$5:$N794,"&gt;="&amp;_xlfn.PERCENTILE.EXC(N$5:$N794,0.2)),0)</f>
        <v>0</v>
      </c>
      <c r="Q794" s="21" t="str">
        <f t="shared" ca="1" si="131"/>
        <v/>
      </c>
      <c r="R794" s="37">
        <f t="shared" ca="1" si="135"/>
        <v>0</v>
      </c>
      <c r="S794" s="4">
        <f ca="1">IFERROR(AVERAGE($R$5:R794),0)</f>
        <v>0</v>
      </c>
      <c r="U794" s="21" t="str">
        <f t="shared" ca="1" si="136"/>
        <v/>
      </c>
      <c r="V794" s="4">
        <f ca="1">MIN(S794,PREMISSAS!$C$14)</f>
        <v>0</v>
      </c>
      <c r="W794" s="188"/>
      <c r="X794" s="188"/>
    </row>
    <row r="795" spans="2:24" x14ac:dyDescent="0.3">
      <c r="B795" s="21" t="str">
        <f t="shared" ca="1" si="128"/>
        <v/>
      </c>
      <c r="C795" s="22" t="str">
        <f ca="1">IF(B795="","",IF(LEFT(B795,2)="13",C794,IF(MONTH(B795)=1,C794*(1+PREMISSAS!$C$58),C794)))</f>
        <v/>
      </c>
      <c r="E795" s="18">
        <v>791</v>
      </c>
      <c r="F795" s="21" t="str">
        <f t="shared" ca="1" si="129"/>
        <v/>
      </c>
      <c r="G795" s="22" t="str">
        <f ca="1">IFERROR(VLOOKUP(F795,RESULTADOS!$O$5:$P$543,2,FALSE),VLOOKUP(F795,$B$5:$C$842,2,FALSE))</f>
        <v/>
      </c>
      <c r="H795" s="4" t="e">
        <f ca="1">IF(F795&lt;PREMISSAS!$D$7,0,IFERROR(VLOOKUP(IF(LEFT(F795,2)="13",DATE(YEAR(F794),12,31),F795),IPCA!$A:$D,4,FALSE),1)*G795)</f>
        <v>#VALUE!</v>
      </c>
      <c r="J795" s="21" t="str">
        <f t="shared" ca="1" si="132"/>
        <v/>
      </c>
      <c r="K795" s="4" t="str">
        <f t="shared" ca="1" si="133"/>
        <v/>
      </c>
      <c r="M795" s="21" t="str">
        <f t="shared" ca="1" si="130"/>
        <v/>
      </c>
      <c r="N795" s="37">
        <f t="shared" ca="1" si="134"/>
        <v>0</v>
      </c>
      <c r="O795" s="4">
        <f ca="1">IFERROR(AVERAGEIF(N$5:$N795,"&gt;="&amp;_xlfn.PERCENTILE.EXC(N$5:$N795,0.2)),0)</f>
        <v>0</v>
      </c>
      <c r="Q795" s="21" t="str">
        <f t="shared" ca="1" si="131"/>
        <v/>
      </c>
      <c r="R795" s="37">
        <f t="shared" ca="1" si="135"/>
        <v>0</v>
      </c>
      <c r="S795" s="4">
        <f ca="1">IFERROR(AVERAGE($R$5:R795),0)</f>
        <v>0</v>
      </c>
      <c r="U795" s="21" t="str">
        <f t="shared" ca="1" si="136"/>
        <v/>
      </c>
      <c r="V795" s="4">
        <f ca="1">MIN(S795,PREMISSAS!$C$14)</f>
        <v>0</v>
      </c>
      <c r="W795" s="188"/>
      <c r="X795" s="188"/>
    </row>
    <row r="796" spans="2:24" x14ac:dyDescent="0.3">
      <c r="B796" s="21" t="str">
        <f t="shared" ca="1" si="128"/>
        <v/>
      </c>
      <c r="C796" s="22" t="str">
        <f ca="1">IF(B796="","",IF(LEFT(B796,2)="13",C795,IF(MONTH(B796)=1,C795*(1+PREMISSAS!$C$58),C795)))</f>
        <v/>
      </c>
      <c r="E796" s="18">
        <v>792</v>
      </c>
      <c r="F796" s="21" t="str">
        <f t="shared" ca="1" si="129"/>
        <v/>
      </c>
      <c r="G796" s="22" t="str">
        <f ca="1">IFERROR(VLOOKUP(F796,RESULTADOS!$O$5:$P$543,2,FALSE),VLOOKUP(F796,$B$5:$C$842,2,FALSE))</f>
        <v/>
      </c>
      <c r="H796" s="4" t="e">
        <f ca="1">IF(F796&lt;PREMISSAS!$D$7,0,IFERROR(VLOOKUP(IF(LEFT(F796,2)="13",DATE(YEAR(F795),12,31),F796),IPCA!$A:$D,4,FALSE),1)*G796)</f>
        <v>#VALUE!</v>
      </c>
      <c r="J796" s="21" t="str">
        <f t="shared" ca="1" si="132"/>
        <v/>
      </c>
      <c r="K796" s="4" t="str">
        <f t="shared" ca="1" si="133"/>
        <v/>
      </c>
      <c r="M796" s="21" t="str">
        <f t="shared" ca="1" si="130"/>
        <v/>
      </c>
      <c r="N796" s="37">
        <f t="shared" ca="1" si="134"/>
        <v>0</v>
      </c>
      <c r="O796" s="4">
        <f ca="1">IFERROR(AVERAGEIF(N$5:$N796,"&gt;="&amp;_xlfn.PERCENTILE.EXC(N$5:$N796,0.2)),0)</f>
        <v>0</v>
      </c>
      <c r="Q796" s="21" t="str">
        <f t="shared" ca="1" si="131"/>
        <v/>
      </c>
      <c r="R796" s="37">
        <f t="shared" ca="1" si="135"/>
        <v>0</v>
      </c>
      <c r="S796" s="4">
        <f ca="1">IFERROR(AVERAGE($R$5:R796),0)</f>
        <v>0</v>
      </c>
      <c r="U796" s="21" t="str">
        <f t="shared" ca="1" si="136"/>
        <v/>
      </c>
      <c r="V796" s="4">
        <f ca="1">MIN(S796,PREMISSAS!$C$14)</f>
        <v>0</v>
      </c>
      <c r="W796" s="188"/>
      <c r="X796" s="188"/>
    </row>
    <row r="797" spans="2:24" x14ac:dyDescent="0.3">
      <c r="B797" s="21" t="str">
        <f t="shared" ca="1" si="128"/>
        <v/>
      </c>
      <c r="C797" s="22" t="str">
        <f ca="1">IF(B797="","",IF(LEFT(B797,2)="13",C796,IF(MONTH(B797)=1,C796*(1+PREMISSAS!$C$58),C796)))</f>
        <v/>
      </c>
      <c r="E797" s="18">
        <v>793</v>
      </c>
      <c r="F797" s="21" t="str">
        <f t="shared" ca="1" si="129"/>
        <v/>
      </c>
      <c r="G797" s="22" t="str">
        <f ca="1">IFERROR(VLOOKUP(F797,RESULTADOS!$O$5:$P$543,2,FALSE),VLOOKUP(F797,$B$5:$C$842,2,FALSE))</f>
        <v/>
      </c>
      <c r="H797" s="4" t="e">
        <f ca="1">IF(F797&lt;PREMISSAS!$D$7,0,IFERROR(VLOOKUP(IF(LEFT(F797,2)="13",DATE(YEAR(F796),12,31),F797),IPCA!$A:$D,4,FALSE),1)*G797)</f>
        <v>#VALUE!</v>
      </c>
      <c r="J797" s="21" t="str">
        <f t="shared" ca="1" si="132"/>
        <v/>
      </c>
      <c r="K797" s="4" t="str">
        <f t="shared" ca="1" si="133"/>
        <v/>
      </c>
      <c r="M797" s="21" t="str">
        <f t="shared" ca="1" si="130"/>
        <v/>
      </c>
      <c r="N797" s="37">
        <f t="shared" ca="1" si="134"/>
        <v>0</v>
      </c>
      <c r="O797" s="4">
        <f ca="1">IFERROR(AVERAGEIF(N$5:$N797,"&gt;="&amp;_xlfn.PERCENTILE.EXC(N$5:$N797,0.2)),0)</f>
        <v>0</v>
      </c>
      <c r="Q797" s="21" t="str">
        <f t="shared" ca="1" si="131"/>
        <v/>
      </c>
      <c r="R797" s="37">
        <f t="shared" ca="1" si="135"/>
        <v>0</v>
      </c>
      <c r="S797" s="4">
        <f ca="1">IFERROR(AVERAGE($R$5:R797),0)</f>
        <v>0</v>
      </c>
      <c r="U797" s="21" t="str">
        <f t="shared" ca="1" si="136"/>
        <v/>
      </c>
      <c r="V797" s="4">
        <f ca="1">MIN(S797,PREMISSAS!$C$14)</f>
        <v>0</v>
      </c>
      <c r="W797" s="188"/>
      <c r="X797" s="188"/>
    </row>
    <row r="798" spans="2:24" x14ac:dyDescent="0.3">
      <c r="B798" s="21" t="str">
        <f t="shared" ca="1" si="128"/>
        <v/>
      </c>
      <c r="C798" s="22" t="str">
        <f ca="1">IF(B798="","",IF(LEFT(B798,2)="13",C797,IF(MONTH(B798)=1,C797*(1+PREMISSAS!$C$58),C797)))</f>
        <v/>
      </c>
      <c r="E798" s="18">
        <v>794</v>
      </c>
      <c r="F798" s="21" t="str">
        <f t="shared" ca="1" si="129"/>
        <v/>
      </c>
      <c r="G798" s="22" t="str">
        <f ca="1">IFERROR(VLOOKUP(F798,RESULTADOS!$O$5:$P$543,2,FALSE),VLOOKUP(F798,$B$5:$C$842,2,FALSE))</f>
        <v/>
      </c>
      <c r="H798" s="4" t="e">
        <f ca="1">IF(F798&lt;PREMISSAS!$D$7,0,IFERROR(VLOOKUP(IF(LEFT(F798,2)="13",DATE(YEAR(F797),12,31),F798),IPCA!$A:$D,4,FALSE),1)*G798)</f>
        <v>#VALUE!</v>
      </c>
      <c r="J798" s="21" t="str">
        <f t="shared" ref="J798:J821" ca="1" si="137">F798</f>
        <v/>
      </c>
      <c r="K798" s="4" t="str">
        <f t="shared" ref="K798:K821" ca="1" si="138">G798</f>
        <v/>
      </c>
      <c r="M798" s="21" t="str">
        <f t="shared" ca="1" si="130"/>
        <v/>
      </c>
      <c r="N798" s="37">
        <f t="shared" ref="N798:N821" ca="1" si="139">IFERROR(VLOOKUP(M798,$F$5:$H$628,3,FALSE),0)</f>
        <v>0</v>
      </c>
      <c r="O798" s="4">
        <f ca="1">IFERROR(AVERAGEIF(N$5:$N798,"&gt;="&amp;_xlfn.PERCENTILE.EXC(N$5:$N798,0.2)),0)</f>
        <v>0</v>
      </c>
      <c r="Q798" s="21" t="str">
        <f t="shared" ca="1" si="131"/>
        <v/>
      </c>
      <c r="R798" s="37">
        <f t="shared" ref="R798:R821" ca="1" si="140">IFERROR(VLOOKUP(Q798,$F$5:$H$628,3,FALSE),0)</f>
        <v>0</v>
      </c>
      <c r="S798" s="4">
        <f ca="1">IFERROR(AVERAGE($R$5:R798),0)</f>
        <v>0</v>
      </c>
      <c r="U798" s="21" t="str">
        <f t="shared" ref="U798:U821" ca="1" si="141">M798</f>
        <v/>
      </c>
      <c r="V798" s="4">
        <f ca="1">MIN(S798,PREMISSAS!$C$14)</f>
        <v>0</v>
      </c>
      <c r="W798" s="188"/>
      <c r="X798" s="188"/>
    </row>
    <row r="799" spans="2:24" x14ac:dyDescent="0.3">
      <c r="B799" s="21" t="str">
        <f t="shared" ca="1" si="128"/>
        <v/>
      </c>
      <c r="C799" s="22" t="str">
        <f ca="1">IF(B799="","",IF(LEFT(B799,2)="13",C798,IF(MONTH(B799)=1,C798*(1+PREMISSAS!$C$58),C798)))</f>
        <v/>
      </c>
      <c r="E799" s="18">
        <v>795</v>
      </c>
      <c r="F799" s="21" t="str">
        <f t="shared" ca="1" si="129"/>
        <v/>
      </c>
      <c r="G799" s="22" t="str">
        <f ca="1">IFERROR(VLOOKUP(F799,RESULTADOS!$O$5:$P$543,2,FALSE),VLOOKUP(F799,$B$5:$C$842,2,FALSE))</f>
        <v/>
      </c>
      <c r="H799" s="4" t="e">
        <f ca="1">IF(F799&lt;PREMISSAS!$D$7,0,IFERROR(VLOOKUP(IF(LEFT(F799,2)="13",DATE(YEAR(F798),12,31),F799),IPCA!$A:$D,4,FALSE),1)*G799)</f>
        <v>#VALUE!</v>
      </c>
      <c r="J799" s="21" t="str">
        <f t="shared" ca="1" si="137"/>
        <v/>
      </c>
      <c r="K799" s="4" t="str">
        <f t="shared" ca="1" si="138"/>
        <v/>
      </c>
      <c r="M799" s="21" t="str">
        <f t="shared" ca="1" si="130"/>
        <v/>
      </c>
      <c r="N799" s="37">
        <f t="shared" ca="1" si="139"/>
        <v>0</v>
      </c>
      <c r="O799" s="4">
        <f ca="1">IFERROR(AVERAGEIF(N$5:$N799,"&gt;="&amp;_xlfn.PERCENTILE.EXC(N$5:$N799,0.2)),0)</f>
        <v>0</v>
      </c>
      <c r="Q799" s="21" t="str">
        <f t="shared" ca="1" si="131"/>
        <v/>
      </c>
      <c r="R799" s="37">
        <f t="shared" ca="1" si="140"/>
        <v>0</v>
      </c>
      <c r="S799" s="4">
        <f ca="1">IFERROR(AVERAGE($R$5:R799),0)</f>
        <v>0</v>
      </c>
      <c r="U799" s="21" t="str">
        <f t="shared" ca="1" si="141"/>
        <v/>
      </c>
      <c r="V799" s="4">
        <f ca="1">MIN(S799,PREMISSAS!$C$14)</f>
        <v>0</v>
      </c>
      <c r="W799" s="188"/>
      <c r="X799" s="188"/>
    </row>
    <row r="800" spans="2:24" x14ac:dyDescent="0.3">
      <c r="B800" s="21" t="str">
        <f t="shared" ca="1" si="128"/>
        <v/>
      </c>
      <c r="C800" s="22" t="str">
        <f ca="1">IF(B800="","",IF(LEFT(B800,2)="13",C799,IF(MONTH(B800)=1,C799*(1+PREMISSAS!$C$58),C799)))</f>
        <v/>
      </c>
      <c r="E800" s="18">
        <v>796</v>
      </c>
      <c r="F800" s="21" t="str">
        <f t="shared" ca="1" si="129"/>
        <v/>
      </c>
      <c r="G800" s="22" t="str">
        <f ca="1">IFERROR(VLOOKUP(F800,RESULTADOS!$O$5:$P$543,2,FALSE),VLOOKUP(F800,$B$5:$C$842,2,FALSE))</f>
        <v/>
      </c>
      <c r="H800" s="4" t="e">
        <f ca="1">IF(F800&lt;PREMISSAS!$D$7,0,IFERROR(VLOOKUP(IF(LEFT(F800,2)="13",DATE(YEAR(F799),12,31),F800),IPCA!$A:$D,4,FALSE),1)*G800)</f>
        <v>#VALUE!</v>
      </c>
      <c r="J800" s="21" t="str">
        <f t="shared" ca="1" si="137"/>
        <v/>
      </c>
      <c r="K800" s="4" t="str">
        <f t="shared" ca="1" si="138"/>
        <v/>
      </c>
      <c r="M800" s="21" t="str">
        <f t="shared" ca="1" si="130"/>
        <v/>
      </c>
      <c r="N800" s="37">
        <f t="shared" ca="1" si="139"/>
        <v>0</v>
      </c>
      <c r="O800" s="4">
        <f ca="1">IFERROR(AVERAGEIF(N$5:$N800,"&gt;="&amp;_xlfn.PERCENTILE.EXC(N$5:$N800,0.2)),0)</f>
        <v>0</v>
      </c>
      <c r="Q800" s="21" t="str">
        <f t="shared" ca="1" si="131"/>
        <v/>
      </c>
      <c r="R800" s="37">
        <f t="shared" ca="1" si="140"/>
        <v>0</v>
      </c>
      <c r="S800" s="4">
        <f ca="1">IFERROR(AVERAGE($R$5:R800),0)</f>
        <v>0</v>
      </c>
      <c r="U800" s="21" t="str">
        <f t="shared" ca="1" si="141"/>
        <v/>
      </c>
      <c r="V800" s="4">
        <f ca="1">MIN(S800,PREMISSAS!$C$14)</f>
        <v>0</v>
      </c>
      <c r="W800" s="188"/>
      <c r="X800" s="188"/>
    </row>
    <row r="801" spans="2:24" x14ac:dyDescent="0.3">
      <c r="B801" s="21" t="str">
        <f t="shared" ca="1" si="128"/>
        <v/>
      </c>
      <c r="C801" s="22" t="str">
        <f ca="1">IF(B801="","",IF(LEFT(B801,2)="13",C800,IF(MONTH(B801)=1,C800*(1+PREMISSAS!$C$58),C800)))</f>
        <v/>
      </c>
      <c r="E801" s="18">
        <v>797</v>
      </c>
      <c r="F801" s="21" t="str">
        <f t="shared" ca="1" si="129"/>
        <v/>
      </c>
      <c r="G801" s="22" t="str">
        <f ca="1">IFERROR(VLOOKUP(F801,RESULTADOS!$O$5:$P$543,2,FALSE),VLOOKUP(F801,$B$5:$C$842,2,FALSE))</f>
        <v/>
      </c>
      <c r="H801" s="4" t="e">
        <f ca="1">IF(F801&lt;PREMISSAS!$D$7,0,IFERROR(VLOOKUP(IF(LEFT(F801,2)="13",DATE(YEAR(F800),12,31),F801),IPCA!$A:$D,4,FALSE),1)*G801)</f>
        <v>#VALUE!</v>
      </c>
      <c r="J801" s="21" t="str">
        <f t="shared" ca="1" si="137"/>
        <v/>
      </c>
      <c r="K801" s="4" t="str">
        <f t="shared" ca="1" si="138"/>
        <v/>
      </c>
      <c r="M801" s="21" t="str">
        <f t="shared" ca="1" si="130"/>
        <v/>
      </c>
      <c r="N801" s="37">
        <f t="shared" ca="1" si="139"/>
        <v>0</v>
      </c>
      <c r="O801" s="4">
        <f ca="1">IFERROR(AVERAGEIF(N$5:$N801,"&gt;="&amp;_xlfn.PERCENTILE.EXC(N$5:$N801,0.2)),0)</f>
        <v>0</v>
      </c>
      <c r="Q801" s="21" t="str">
        <f t="shared" ca="1" si="131"/>
        <v/>
      </c>
      <c r="R801" s="37">
        <f t="shared" ca="1" si="140"/>
        <v>0</v>
      </c>
      <c r="S801" s="4">
        <f ca="1">IFERROR(AVERAGE($R$5:R801),0)</f>
        <v>0</v>
      </c>
      <c r="U801" s="21" t="str">
        <f t="shared" ca="1" si="141"/>
        <v/>
      </c>
      <c r="V801" s="4">
        <f ca="1">MIN(S801,PREMISSAS!$C$14)</f>
        <v>0</v>
      </c>
      <c r="W801" s="188"/>
      <c r="X801" s="188"/>
    </row>
    <row r="802" spans="2:24" x14ac:dyDescent="0.3">
      <c r="B802" s="21" t="str">
        <f t="shared" ca="1" si="128"/>
        <v/>
      </c>
      <c r="C802" s="22" t="str">
        <f ca="1">IF(B802="","",IF(LEFT(B802,2)="13",C801,IF(MONTH(B802)=1,C801*(1+PREMISSAS!$C$58),C801)))</f>
        <v/>
      </c>
      <c r="E802" s="18">
        <v>798</v>
      </c>
      <c r="F802" s="21" t="str">
        <f t="shared" ca="1" si="129"/>
        <v/>
      </c>
      <c r="G802" s="22" t="str">
        <f ca="1">IFERROR(VLOOKUP(F802,RESULTADOS!$O$5:$P$543,2,FALSE),VLOOKUP(F802,$B$5:$C$842,2,FALSE))</f>
        <v/>
      </c>
      <c r="H802" s="4" t="e">
        <f ca="1">IF(F802&lt;PREMISSAS!$D$7,0,IFERROR(VLOOKUP(IF(LEFT(F802,2)="13",DATE(YEAR(F801),12,31),F802),IPCA!$A:$D,4,FALSE),1)*G802)</f>
        <v>#VALUE!</v>
      </c>
      <c r="J802" s="21" t="str">
        <f t="shared" ca="1" si="137"/>
        <v/>
      </c>
      <c r="K802" s="4" t="str">
        <f t="shared" ca="1" si="138"/>
        <v/>
      </c>
      <c r="M802" s="21" t="str">
        <f t="shared" ca="1" si="130"/>
        <v/>
      </c>
      <c r="N802" s="37">
        <f t="shared" ca="1" si="139"/>
        <v>0</v>
      </c>
      <c r="O802" s="4">
        <f ca="1">IFERROR(AVERAGEIF(N$5:$N802,"&gt;="&amp;_xlfn.PERCENTILE.EXC(N$5:$N802,0.2)),0)</f>
        <v>0</v>
      </c>
      <c r="Q802" s="21" t="str">
        <f t="shared" ca="1" si="131"/>
        <v/>
      </c>
      <c r="R802" s="37">
        <f t="shared" ca="1" si="140"/>
        <v>0</v>
      </c>
      <c r="S802" s="4">
        <f ca="1">IFERROR(AVERAGE($R$5:R802),0)</f>
        <v>0</v>
      </c>
      <c r="U802" s="21" t="str">
        <f t="shared" ca="1" si="141"/>
        <v/>
      </c>
      <c r="V802" s="4">
        <f ca="1">MIN(S802,PREMISSAS!$C$14)</f>
        <v>0</v>
      </c>
      <c r="W802" s="188"/>
      <c r="X802" s="188"/>
    </row>
    <row r="803" spans="2:24" x14ac:dyDescent="0.3">
      <c r="B803" s="21" t="str">
        <f t="shared" ca="1" si="128"/>
        <v/>
      </c>
      <c r="C803" s="22" t="str">
        <f ca="1">IF(B803="","",IF(LEFT(B803,2)="13",C802,IF(MONTH(B803)=1,C802*(1+PREMISSAS!$C$58),C802)))</f>
        <v/>
      </c>
      <c r="E803" s="18">
        <v>799</v>
      </c>
      <c r="F803" s="21" t="str">
        <f t="shared" ca="1" si="129"/>
        <v/>
      </c>
      <c r="G803" s="22" t="str">
        <f ca="1">IFERROR(VLOOKUP(F803,RESULTADOS!$O$5:$P$543,2,FALSE),VLOOKUP(F803,$B$5:$C$842,2,FALSE))</f>
        <v/>
      </c>
      <c r="H803" s="4" t="e">
        <f ca="1">IF(F803&lt;PREMISSAS!$D$7,0,IFERROR(VLOOKUP(IF(LEFT(F803,2)="13",DATE(YEAR(F802),12,31),F803),IPCA!$A:$D,4,FALSE),1)*G803)</f>
        <v>#VALUE!</v>
      </c>
      <c r="J803" s="21" t="str">
        <f t="shared" ca="1" si="137"/>
        <v/>
      </c>
      <c r="K803" s="4" t="str">
        <f t="shared" ca="1" si="138"/>
        <v/>
      </c>
      <c r="M803" s="21" t="str">
        <f t="shared" ca="1" si="130"/>
        <v/>
      </c>
      <c r="N803" s="37">
        <f t="shared" ca="1" si="139"/>
        <v>0</v>
      </c>
      <c r="O803" s="4">
        <f ca="1">IFERROR(AVERAGEIF(N$5:$N803,"&gt;="&amp;_xlfn.PERCENTILE.EXC(N$5:$N803,0.2)),0)</f>
        <v>0</v>
      </c>
      <c r="Q803" s="21" t="str">
        <f t="shared" ca="1" si="131"/>
        <v/>
      </c>
      <c r="R803" s="37">
        <f t="shared" ca="1" si="140"/>
        <v>0</v>
      </c>
      <c r="S803" s="4">
        <f ca="1">IFERROR(AVERAGE($R$5:R803),0)</f>
        <v>0</v>
      </c>
      <c r="U803" s="21" t="str">
        <f t="shared" ca="1" si="141"/>
        <v/>
      </c>
      <c r="V803" s="4">
        <f ca="1">MIN(S803,PREMISSAS!$C$14)</f>
        <v>0</v>
      </c>
      <c r="W803" s="188"/>
      <c r="X803" s="188"/>
    </row>
    <row r="804" spans="2:24" x14ac:dyDescent="0.3">
      <c r="B804" s="21" t="str">
        <f t="shared" ca="1" si="128"/>
        <v/>
      </c>
      <c r="C804" s="22" t="str">
        <f ca="1">IF(B804="","",IF(LEFT(B804,2)="13",C803,IF(MONTH(B804)=1,C803*(1+PREMISSAS!$C$58),C803)))</f>
        <v/>
      </c>
      <c r="E804" s="18">
        <v>800</v>
      </c>
      <c r="F804" s="21" t="str">
        <f t="shared" ca="1" si="129"/>
        <v/>
      </c>
      <c r="G804" s="22" t="str">
        <f ca="1">IFERROR(VLOOKUP(F804,RESULTADOS!$O$5:$P$543,2,FALSE),VLOOKUP(F804,$B$5:$C$842,2,FALSE))</f>
        <v/>
      </c>
      <c r="H804" s="4" t="e">
        <f ca="1">IF(F804&lt;PREMISSAS!$D$7,0,IFERROR(VLOOKUP(IF(LEFT(F804,2)="13",DATE(YEAR(F803),12,31),F804),IPCA!$A:$D,4,FALSE),1)*G804)</f>
        <v>#VALUE!</v>
      </c>
      <c r="J804" s="21" t="str">
        <f t="shared" ca="1" si="137"/>
        <v/>
      </c>
      <c r="K804" s="4" t="str">
        <f t="shared" ca="1" si="138"/>
        <v/>
      </c>
      <c r="M804" s="21" t="str">
        <f t="shared" ca="1" si="130"/>
        <v/>
      </c>
      <c r="N804" s="37">
        <f t="shared" ca="1" si="139"/>
        <v>0</v>
      </c>
      <c r="O804" s="4">
        <f ca="1">IFERROR(AVERAGEIF(N$5:$N804,"&gt;="&amp;_xlfn.PERCENTILE.EXC(N$5:$N804,0.2)),0)</f>
        <v>0</v>
      </c>
      <c r="Q804" s="21" t="str">
        <f t="shared" ca="1" si="131"/>
        <v/>
      </c>
      <c r="R804" s="37">
        <f t="shared" ca="1" si="140"/>
        <v>0</v>
      </c>
      <c r="S804" s="4">
        <f ca="1">IFERROR(AVERAGE($R$5:R804),0)</f>
        <v>0</v>
      </c>
      <c r="U804" s="21" t="str">
        <f t="shared" ca="1" si="141"/>
        <v/>
      </c>
      <c r="V804" s="4">
        <f ca="1">MIN(S804,PREMISSAS!$C$14)</f>
        <v>0</v>
      </c>
      <c r="W804" s="188"/>
      <c r="X804" s="188"/>
    </row>
    <row r="805" spans="2:24" x14ac:dyDescent="0.3">
      <c r="B805" s="21" t="str">
        <f t="shared" ca="1" si="128"/>
        <v/>
      </c>
      <c r="C805" s="22" t="str">
        <f ca="1">IF(B805="","",IF(LEFT(B805,2)="13",C804,IF(MONTH(B805)=1,C804*(1+PREMISSAS!$C$58),C804)))</f>
        <v/>
      </c>
      <c r="E805" s="18">
        <v>801</v>
      </c>
      <c r="F805" s="21" t="str">
        <f t="shared" ca="1" si="129"/>
        <v/>
      </c>
      <c r="G805" s="22" t="str">
        <f ca="1">IFERROR(VLOOKUP(F805,RESULTADOS!$O$5:$P$543,2,FALSE),VLOOKUP(F805,$B$5:$C$842,2,FALSE))</f>
        <v/>
      </c>
      <c r="H805" s="4" t="e">
        <f ca="1">IF(F805&lt;PREMISSAS!$D$7,0,IFERROR(VLOOKUP(IF(LEFT(F805,2)="13",DATE(YEAR(F804),12,31),F805),IPCA!$A:$D,4,FALSE),1)*G805)</f>
        <v>#VALUE!</v>
      </c>
      <c r="J805" s="21" t="str">
        <f t="shared" ca="1" si="137"/>
        <v/>
      </c>
      <c r="K805" s="4" t="str">
        <f t="shared" ca="1" si="138"/>
        <v/>
      </c>
      <c r="M805" s="21" t="str">
        <f t="shared" ca="1" si="130"/>
        <v/>
      </c>
      <c r="N805" s="37">
        <f t="shared" ca="1" si="139"/>
        <v>0</v>
      </c>
      <c r="O805" s="4">
        <f ca="1">IFERROR(AVERAGEIF(N$5:$N805,"&gt;="&amp;_xlfn.PERCENTILE.EXC(N$5:$N805,0.2)),0)</f>
        <v>0</v>
      </c>
      <c r="Q805" s="21" t="str">
        <f t="shared" ca="1" si="131"/>
        <v/>
      </c>
      <c r="R805" s="37">
        <f t="shared" ca="1" si="140"/>
        <v>0</v>
      </c>
      <c r="S805" s="4">
        <f ca="1">IFERROR(AVERAGE($R$5:R805),0)</f>
        <v>0</v>
      </c>
      <c r="U805" s="21" t="str">
        <f t="shared" ca="1" si="141"/>
        <v/>
      </c>
      <c r="V805" s="4">
        <f ca="1">MIN(S805,PREMISSAS!$C$14)</f>
        <v>0</v>
      </c>
      <c r="W805" s="188"/>
      <c r="X805" s="188"/>
    </row>
    <row r="806" spans="2:24" x14ac:dyDescent="0.3">
      <c r="B806" s="21" t="str">
        <f t="shared" ca="1" si="128"/>
        <v/>
      </c>
      <c r="C806" s="22" t="str">
        <f ca="1">IF(B806="","",IF(LEFT(B806,2)="13",C805,IF(MONTH(B806)=1,C805*(1+PREMISSAS!$C$58),C805)))</f>
        <v/>
      </c>
      <c r="E806" s="18">
        <v>802</v>
      </c>
      <c r="F806" s="21" t="str">
        <f t="shared" ca="1" si="129"/>
        <v/>
      </c>
      <c r="G806" s="22" t="str">
        <f ca="1">IFERROR(VLOOKUP(F806,RESULTADOS!$O$5:$P$543,2,FALSE),VLOOKUP(F806,$B$5:$C$842,2,FALSE))</f>
        <v/>
      </c>
      <c r="H806" s="4" t="e">
        <f ca="1">IF(F806&lt;PREMISSAS!$D$7,0,IFERROR(VLOOKUP(IF(LEFT(F806,2)="13",DATE(YEAR(F805),12,31),F806),IPCA!$A:$D,4,FALSE),1)*G806)</f>
        <v>#VALUE!</v>
      </c>
      <c r="J806" s="21" t="str">
        <f t="shared" ca="1" si="137"/>
        <v/>
      </c>
      <c r="K806" s="4" t="str">
        <f t="shared" ca="1" si="138"/>
        <v/>
      </c>
      <c r="M806" s="21" t="str">
        <f t="shared" ca="1" si="130"/>
        <v/>
      </c>
      <c r="N806" s="37">
        <f t="shared" ca="1" si="139"/>
        <v>0</v>
      </c>
      <c r="O806" s="4">
        <f ca="1">IFERROR(AVERAGEIF(N$5:$N806,"&gt;="&amp;_xlfn.PERCENTILE.EXC(N$5:$N806,0.2)),0)</f>
        <v>0</v>
      </c>
      <c r="Q806" s="21" t="str">
        <f t="shared" ca="1" si="131"/>
        <v/>
      </c>
      <c r="R806" s="37">
        <f t="shared" ca="1" si="140"/>
        <v>0</v>
      </c>
      <c r="S806" s="4">
        <f ca="1">IFERROR(AVERAGE($R$5:R806),0)</f>
        <v>0</v>
      </c>
      <c r="U806" s="21" t="str">
        <f t="shared" ca="1" si="141"/>
        <v/>
      </c>
      <c r="V806" s="4">
        <f ca="1">MIN(S806,PREMISSAS!$C$14)</f>
        <v>0</v>
      </c>
      <c r="W806" s="188"/>
      <c r="X806" s="188"/>
    </row>
    <row r="807" spans="2:24" x14ac:dyDescent="0.3">
      <c r="B807" s="21" t="str">
        <f t="shared" ca="1" si="128"/>
        <v/>
      </c>
      <c r="C807" s="22" t="str">
        <f ca="1">IF(B807="","",IF(LEFT(B807,2)="13",C806,IF(MONTH(B807)=1,C806*(1+PREMISSAS!$C$58),C806)))</f>
        <v/>
      </c>
      <c r="E807" s="18">
        <v>803</v>
      </c>
      <c r="F807" s="21" t="str">
        <f t="shared" ca="1" si="129"/>
        <v/>
      </c>
      <c r="G807" s="22" t="str">
        <f ca="1">IFERROR(VLOOKUP(F807,RESULTADOS!$O$5:$P$543,2,FALSE),VLOOKUP(F807,$B$5:$C$842,2,FALSE))</f>
        <v/>
      </c>
      <c r="H807" s="4" t="e">
        <f ca="1">IF(F807&lt;PREMISSAS!$D$7,0,IFERROR(VLOOKUP(IF(LEFT(F807,2)="13",DATE(YEAR(F806),12,31),F807),IPCA!$A:$D,4,FALSE),1)*G807)</f>
        <v>#VALUE!</v>
      </c>
      <c r="J807" s="21" t="str">
        <f t="shared" ca="1" si="137"/>
        <v/>
      </c>
      <c r="K807" s="4" t="str">
        <f t="shared" ca="1" si="138"/>
        <v/>
      </c>
      <c r="M807" s="21" t="str">
        <f t="shared" ca="1" si="130"/>
        <v/>
      </c>
      <c r="N807" s="37">
        <f t="shared" ca="1" si="139"/>
        <v>0</v>
      </c>
      <c r="O807" s="4">
        <f ca="1">IFERROR(AVERAGEIF(N$5:$N807,"&gt;="&amp;_xlfn.PERCENTILE.EXC(N$5:$N807,0.2)),0)</f>
        <v>0</v>
      </c>
      <c r="Q807" s="21" t="str">
        <f t="shared" ca="1" si="131"/>
        <v/>
      </c>
      <c r="R807" s="37">
        <f t="shared" ca="1" si="140"/>
        <v>0</v>
      </c>
      <c r="S807" s="4">
        <f ca="1">IFERROR(AVERAGE($R$5:R807),0)</f>
        <v>0</v>
      </c>
      <c r="U807" s="21" t="str">
        <f t="shared" ca="1" si="141"/>
        <v/>
      </c>
      <c r="V807" s="4">
        <f ca="1">MIN(S807,PREMISSAS!$C$14)</f>
        <v>0</v>
      </c>
      <c r="W807" s="188"/>
      <c r="X807" s="188"/>
    </row>
    <row r="808" spans="2:24" x14ac:dyDescent="0.3">
      <c r="B808" s="21" t="str">
        <f t="shared" ca="1" si="128"/>
        <v/>
      </c>
      <c r="C808" s="22" t="str">
        <f ca="1">IF(B808="","",IF(LEFT(B808,2)="13",C807,IF(MONTH(B808)=1,C807*(1+PREMISSAS!$C$58),C807)))</f>
        <v/>
      </c>
      <c r="E808" s="18">
        <v>804</v>
      </c>
      <c r="F808" s="21" t="str">
        <f t="shared" ca="1" si="129"/>
        <v/>
      </c>
      <c r="G808" s="22" t="str">
        <f ca="1">IFERROR(VLOOKUP(F808,RESULTADOS!$O$5:$P$543,2,FALSE),VLOOKUP(F808,$B$5:$C$842,2,FALSE))</f>
        <v/>
      </c>
      <c r="H808" s="4" t="e">
        <f ca="1">IF(F808&lt;PREMISSAS!$D$7,0,IFERROR(VLOOKUP(IF(LEFT(F808,2)="13",DATE(YEAR(F807),12,31),F808),IPCA!$A:$D,4,FALSE),1)*G808)</f>
        <v>#VALUE!</v>
      </c>
      <c r="J808" s="21" t="str">
        <f t="shared" ca="1" si="137"/>
        <v/>
      </c>
      <c r="K808" s="4" t="str">
        <f t="shared" ca="1" si="138"/>
        <v/>
      </c>
      <c r="M808" s="21" t="str">
        <f t="shared" ca="1" si="130"/>
        <v/>
      </c>
      <c r="N808" s="37">
        <f t="shared" ca="1" si="139"/>
        <v>0</v>
      </c>
      <c r="O808" s="4">
        <f ca="1">IFERROR(AVERAGEIF(N$5:$N808,"&gt;="&amp;_xlfn.PERCENTILE.EXC(N$5:$N808,0.2)),0)</f>
        <v>0</v>
      </c>
      <c r="Q808" s="21" t="str">
        <f t="shared" ca="1" si="131"/>
        <v/>
      </c>
      <c r="R808" s="37">
        <f t="shared" ca="1" si="140"/>
        <v>0</v>
      </c>
      <c r="S808" s="4">
        <f ca="1">IFERROR(AVERAGE($R$5:R808),0)</f>
        <v>0</v>
      </c>
      <c r="U808" s="21" t="str">
        <f t="shared" ca="1" si="141"/>
        <v/>
      </c>
      <c r="V808" s="4">
        <f ca="1">MIN(S808,PREMISSAS!$C$14)</f>
        <v>0</v>
      </c>
      <c r="W808" s="188"/>
      <c r="X808" s="188"/>
    </row>
    <row r="809" spans="2:24" x14ac:dyDescent="0.3">
      <c r="B809" s="21" t="str">
        <f t="shared" ca="1" si="128"/>
        <v/>
      </c>
      <c r="C809" s="22" t="str">
        <f ca="1">IF(B809="","",IF(LEFT(B809,2)="13",C808,IF(MONTH(B809)=1,C808*(1+PREMISSAS!$C$58),C808)))</f>
        <v/>
      </c>
      <c r="E809" s="18">
        <v>805</v>
      </c>
      <c r="F809" s="21" t="str">
        <f t="shared" ca="1" si="129"/>
        <v/>
      </c>
      <c r="G809" s="22" t="str">
        <f ca="1">IFERROR(VLOOKUP(F809,RESULTADOS!$O$5:$P$543,2,FALSE),VLOOKUP(F809,$B$5:$C$842,2,FALSE))</f>
        <v/>
      </c>
      <c r="H809" s="4" t="e">
        <f ca="1">IF(F809&lt;PREMISSAS!$D$7,0,IFERROR(VLOOKUP(IF(LEFT(F809,2)="13",DATE(YEAR(F808),12,31),F809),IPCA!$A:$D,4,FALSE),1)*G809)</f>
        <v>#VALUE!</v>
      </c>
      <c r="J809" s="21" t="str">
        <f t="shared" ca="1" si="137"/>
        <v/>
      </c>
      <c r="K809" s="4" t="str">
        <f t="shared" ca="1" si="138"/>
        <v/>
      </c>
      <c r="M809" s="21" t="str">
        <f t="shared" ca="1" si="130"/>
        <v/>
      </c>
      <c r="N809" s="37">
        <f t="shared" ca="1" si="139"/>
        <v>0</v>
      </c>
      <c r="O809" s="4">
        <f ca="1">IFERROR(AVERAGEIF(N$5:$N809,"&gt;="&amp;_xlfn.PERCENTILE.EXC(N$5:$N809,0.2)),0)</f>
        <v>0</v>
      </c>
      <c r="Q809" s="21" t="str">
        <f t="shared" ca="1" si="131"/>
        <v/>
      </c>
      <c r="R809" s="37">
        <f t="shared" ca="1" si="140"/>
        <v>0</v>
      </c>
      <c r="S809" s="4">
        <f ca="1">IFERROR(AVERAGE($R$5:R809),0)</f>
        <v>0</v>
      </c>
      <c r="U809" s="21" t="str">
        <f t="shared" ca="1" si="141"/>
        <v/>
      </c>
      <c r="V809" s="4">
        <f ca="1">MIN(S809,PREMISSAS!$C$14)</f>
        <v>0</v>
      </c>
      <c r="W809" s="188"/>
      <c r="X809" s="188"/>
    </row>
    <row r="810" spans="2:24" x14ac:dyDescent="0.3">
      <c r="B810" s="21" t="str">
        <f t="shared" ca="1" si="128"/>
        <v/>
      </c>
      <c r="C810" s="22" t="str">
        <f ca="1">IF(B810="","",IF(LEFT(B810,2)="13",C809,IF(MONTH(B810)=1,C809*(1+PREMISSAS!$C$58),C809)))</f>
        <v/>
      </c>
      <c r="E810" s="18">
        <v>806</v>
      </c>
      <c r="F810" s="21" t="str">
        <f t="shared" ca="1" si="129"/>
        <v/>
      </c>
      <c r="G810" s="22" t="str">
        <f ca="1">IFERROR(VLOOKUP(F810,RESULTADOS!$O$5:$P$543,2,FALSE),VLOOKUP(F810,$B$5:$C$842,2,FALSE))</f>
        <v/>
      </c>
      <c r="H810" s="4" t="e">
        <f ca="1">IF(F810&lt;PREMISSAS!$D$7,0,IFERROR(VLOOKUP(IF(LEFT(F810,2)="13",DATE(YEAR(F809),12,31),F810),IPCA!$A:$D,4,FALSE),1)*G810)</f>
        <v>#VALUE!</v>
      </c>
      <c r="J810" s="21" t="str">
        <f t="shared" ca="1" si="137"/>
        <v/>
      </c>
      <c r="K810" s="4" t="str">
        <f t="shared" ca="1" si="138"/>
        <v/>
      </c>
      <c r="M810" s="21" t="str">
        <f t="shared" ca="1" si="130"/>
        <v/>
      </c>
      <c r="N810" s="37">
        <f t="shared" ca="1" si="139"/>
        <v>0</v>
      </c>
      <c r="O810" s="4">
        <f ca="1">IFERROR(AVERAGEIF(N$5:$N810,"&gt;="&amp;_xlfn.PERCENTILE.EXC(N$5:$N810,0.2)),0)</f>
        <v>0</v>
      </c>
      <c r="Q810" s="21" t="str">
        <f t="shared" ca="1" si="131"/>
        <v/>
      </c>
      <c r="R810" s="37">
        <f t="shared" ca="1" si="140"/>
        <v>0</v>
      </c>
      <c r="S810" s="4">
        <f ca="1">IFERROR(AVERAGE($R$5:R810),0)</f>
        <v>0</v>
      </c>
      <c r="U810" s="21" t="str">
        <f t="shared" ca="1" si="141"/>
        <v/>
      </c>
      <c r="V810" s="4">
        <f ca="1">MIN(S810,PREMISSAS!$C$14)</f>
        <v>0</v>
      </c>
      <c r="W810" s="188"/>
      <c r="X810" s="188"/>
    </row>
    <row r="811" spans="2:24" x14ac:dyDescent="0.3">
      <c r="B811" s="21" t="str">
        <f t="shared" ca="1" si="128"/>
        <v/>
      </c>
      <c r="C811" s="22" t="str">
        <f ca="1">IF(B811="","",IF(LEFT(B811,2)="13",C810,IF(MONTH(B811)=1,C810*(1+PREMISSAS!$C$58),C810)))</f>
        <v/>
      </c>
      <c r="E811" s="18">
        <v>807</v>
      </c>
      <c r="F811" s="21" t="str">
        <f t="shared" ca="1" si="129"/>
        <v/>
      </c>
      <c r="G811" s="22" t="str">
        <f ca="1">IFERROR(VLOOKUP(F811,RESULTADOS!$O$5:$P$543,2,FALSE),VLOOKUP(F811,$B$5:$C$842,2,FALSE))</f>
        <v/>
      </c>
      <c r="H811" s="4" t="e">
        <f ca="1">IF(F811&lt;PREMISSAS!$D$7,0,IFERROR(VLOOKUP(IF(LEFT(F811,2)="13",DATE(YEAR(F810),12,31),F811),IPCA!$A:$D,4,FALSE),1)*G811)</f>
        <v>#VALUE!</v>
      </c>
      <c r="J811" s="21" t="str">
        <f t="shared" ca="1" si="137"/>
        <v/>
      </c>
      <c r="K811" s="4" t="str">
        <f t="shared" ca="1" si="138"/>
        <v/>
      </c>
      <c r="M811" s="21" t="str">
        <f t="shared" ca="1" si="130"/>
        <v/>
      </c>
      <c r="N811" s="37">
        <f t="shared" ca="1" si="139"/>
        <v>0</v>
      </c>
      <c r="O811" s="4">
        <f ca="1">IFERROR(AVERAGEIF(N$5:$N811,"&gt;="&amp;_xlfn.PERCENTILE.EXC(N$5:$N811,0.2)),0)</f>
        <v>0</v>
      </c>
      <c r="Q811" s="21" t="str">
        <f t="shared" ca="1" si="131"/>
        <v/>
      </c>
      <c r="R811" s="37">
        <f t="shared" ca="1" si="140"/>
        <v>0</v>
      </c>
      <c r="S811" s="4">
        <f ca="1">IFERROR(AVERAGE($R$5:R811),0)</f>
        <v>0</v>
      </c>
      <c r="U811" s="21" t="str">
        <f t="shared" ca="1" si="141"/>
        <v/>
      </c>
      <c r="V811" s="4">
        <f ca="1">MIN(S811,PREMISSAS!$C$14)</f>
        <v>0</v>
      </c>
      <c r="W811" s="188"/>
      <c r="X811" s="188"/>
    </row>
    <row r="812" spans="2:24" x14ac:dyDescent="0.3">
      <c r="B812" s="21" t="str">
        <f t="shared" ca="1" si="128"/>
        <v/>
      </c>
      <c r="C812" s="22" t="str">
        <f ca="1">IF(B812="","",IF(LEFT(B812,2)="13",C811,IF(MONTH(B812)=1,C811*(1+PREMISSAS!$C$58),C811)))</f>
        <v/>
      </c>
      <c r="E812" s="18">
        <v>808</v>
      </c>
      <c r="F812" s="21" t="str">
        <f t="shared" ca="1" si="129"/>
        <v/>
      </c>
      <c r="G812" s="22" t="str">
        <f ca="1">IFERROR(VLOOKUP(F812,RESULTADOS!$O$5:$P$543,2,FALSE),VLOOKUP(F812,$B$5:$C$842,2,FALSE))</f>
        <v/>
      </c>
      <c r="H812" s="4" t="e">
        <f ca="1">IF(F812&lt;PREMISSAS!$D$7,0,IFERROR(VLOOKUP(IF(LEFT(F812,2)="13",DATE(YEAR(F811),12,31),F812),IPCA!$A:$D,4,FALSE),1)*G812)</f>
        <v>#VALUE!</v>
      </c>
      <c r="J812" s="21" t="str">
        <f t="shared" ca="1" si="137"/>
        <v/>
      </c>
      <c r="K812" s="4" t="str">
        <f t="shared" ca="1" si="138"/>
        <v/>
      </c>
      <c r="M812" s="21" t="str">
        <f t="shared" ca="1" si="130"/>
        <v/>
      </c>
      <c r="N812" s="37">
        <f t="shared" ca="1" si="139"/>
        <v>0</v>
      </c>
      <c r="O812" s="4">
        <f ca="1">IFERROR(AVERAGEIF(N$5:$N812,"&gt;="&amp;_xlfn.PERCENTILE.EXC(N$5:$N812,0.2)),0)</f>
        <v>0</v>
      </c>
      <c r="Q812" s="21" t="str">
        <f t="shared" ca="1" si="131"/>
        <v/>
      </c>
      <c r="R812" s="37">
        <f t="shared" ca="1" si="140"/>
        <v>0</v>
      </c>
      <c r="S812" s="4">
        <f ca="1">IFERROR(AVERAGE($R$5:R812),0)</f>
        <v>0</v>
      </c>
      <c r="U812" s="21" t="str">
        <f t="shared" ca="1" si="141"/>
        <v/>
      </c>
      <c r="V812" s="4">
        <f ca="1">MIN(S812,PREMISSAS!$C$14)</f>
        <v>0</v>
      </c>
      <c r="W812" s="188"/>
      <c r="X812" s="188"/>
    </row>
    <row r="813" spans="2:24" x14ac:dyDescent="0.3">
      <c r="B813" s="21" t="str">
        <f t="shared" ca="1" si="128"/>
        <v/>
      </c>
      <c r="C813" s="22" t="str">
        <f ca="1">IF(B813="","",IF(LEFT(B813,2)="13",C812,IF(MONTH(B813)=1,C812*(1+PREMISSAS!$C$58),C812)))</f>
        <v/>
      </c>
      <c r="E813" s="18">
        <v>809</v>
      </c>
      <c r="F813" s="21" t="str">
        <f t="shared" ca="1" si="129"/>
        <v/>
      </c>
      <c r="G813" s="22" t="str">
        <f ca="1">IFERROR(VLOOKUP(F813,RESULTADOS!$O$5:$P$543,2,FALSE),VLOOKUP(F813,$B$5:$C$842,2,FALSE))</f>
        <v/>
      </c>
      <c r="H813" s="4" t="e">
        <f ca="1">IF(F813&lt;PREMISSAS!$D$7,0,IFERROR(VLOOKUP(IF(LEFT(F813,2)="13",DATE(YEAR(F812),12,31),F813),IPCA!$A:$D,4,FALSE),1)*G813)</f>
        <v>#VALUE!</v>
      </c>
      <c r="J813" s="21" t="str">
        <f t="shared" ca="1" si="137"/>
        <v/>
      </c>
      <c r="K813" s="4" t="str">
        <f t="shared" ca="1" si="138"/>
        <v/>
      </c>
      <c r="M813" s="21" t="str">
        <f t="shared" ca="1" si="130"/>
        <v/>
      </c>
      <c r="N813" s="37">
        <f t="shared" ca="1" si="139"/>
        <v>0</v>
      </c>
      <c r="O813" s="4">
        <f ca="1">IFERROR(AVERAGEIF(N$5:$N813,"&gt;="&amp;_xlfn.PERCENTILE.EXC(N$5:$N813,0.2)),0)</f>
        <v>0</v>
      </c>
      <c r="Q813" s="21" t="str">
        <f t="shared" ca="1" si="131"/>
        <v/>
      </c>
      <c r="R813" s="37">
        <f t="shared" ca="1" si="140"/>
        <v>0</v>
      </c>
      <c r="S813" s="4">
        <f ca="1">IFERROR(AVERAGE($R$5:R813),0)</f>
        <v>0</v>
      </c>
      <c r="U813" s="21" t="str">
        <f t="shared" ca="1" si="141"/>
        <v/>
      </c>
      <c r="V813" s="4">
        <f ca="1">MIN(S813,PREMISSAS!$C$14)</f>
        <v>0</v>
      </c>
      <c r="W813" s="188"/>
      <c r="X813" s="188"/>
    </row>
    <row r="814" spans="2:24" x14ac:dyDescent="0.3">
      <c r="B814" s="21" t="str">
        <f t="shared" ca="1" si="128"/>
        <v/>
      </c>
      <c r="C814" s="22" t="str">
        <f ca="1">IF(B814="","",IF(LEFT(B814,2)="13",C813,IF(MONTH(B814)=1,C813*(1+PREMISSAS!$C$58),C813)))</f>
        <v/>
      </c>
      <c r="E814" s="18">
        <v>810</v>
      </c>
      <c r="F814" s="21" t="str">
        <f t="shared" ca="1" si="129"/>
        <v/>
      </c>
      <c r="G814" s="22" t="str">
        <f ca="1">IFERROR(VLOOKUP(F814,RESULTADOS!$O$5:$P$543,2,FALSE),VLOOKUP(F814,$B$5:$C$842,2,FALSE))</f>
        <v/>
      </c>
      <c r="H814" s="4" t="e">
        <f ca="1">IF(F814&lt;PREMISSAS!$D$7,0,IFERROR(VLOOKUP(IF(LEFT(F814,2)="13",DATE(YEAR(F813),12,31),F814),IPCA!$A:$D,4,FALSE),1)*G814)</f>
        <v>#VALUE!</v>
      </c>
      <c r="J814" s="21" t="str">
        <f t="shared" ca="1" si="137"/>
        <v/>
      </c>
      <c r="K814" s="4" t="str">
        <f t="shared" ca="1" si="138"/>
        <v/>
      </c>
      <c r="M814" s="21" t="str">
        <f t="shared" ca="1" si="130"/>
        <v/>
      </c>
      <c r="N814" s="37">
        <f t="shared" ca="1" si="139"/>
        <v>0</v>
      </c>
      <c r="O814" s="4">
        <f ca="1">IFERROR(AVERAGEIF(N$5:$N814,"&gt;="&amp;_xlfn.PERCENTILE.EXC(N$5:$N814,0.2)),0)</f>
        <v>0</v>
      </c>
      <c r="Q814" s="21" t="str">
        <f t="shared" ca="1" si="131"/>
        <v/>
      </c>
      <c r="R814" s="37">
        <f t="shared" ca="1" si="140"/>
        <v>0</v>
      </c>
      <c r="S814" s="4">
        <f ca="1">IFERROR(AVERAGE($R$5:R814),0)</f>
        <v>0</v>
      </c>
      <c r="U814" s="21" t="str">
        <f t="shared" ca="1" si="141"/>
        <v/>
      </c>
      <c r="V814" s="4">
        <f ca="1">MIN(S814,PREMISSAS!$C$14)</f>
        <v>0</v>
      </c>
      <c r="W814" s="188"/>
      <c r="X814" s="188"/>
    </row>
    <row r="815" spans="2:24" x14ac:dyDescent="0.3">
      <c r="B815" s="21" t="str">
        <f t="shared" ca="1" si="128"/>
        <v/>
      </c>
      <c r="C815" s="22" t="str">
        <f ca="1">IF(B815="","",IF(LEFT(B815,2)="13",C814,IF(MONTH(B815)=1,C814*(1+PREMISSAS!$C$58),C814)))</f>
        <v/>
      </c>
      <c r="E815" s="18">
        <v>811</v>
      </c>
      <c r="F815" s="21" t="str">
        <f t="shared" ca="1" si="129"/>
        <v/>
      </c>
      <c r="G815" s="22" t="str">
        <f ca="1">IFERROR(VLOOKUP(F815,RESULTADOS!$O$5:$P$543,2,FALSE),VLOOKUP(F815,$B$5:$C$842,2,FALSE))</f>
        <v/>
      </c>
      <c r="H815" s="4" t="e">
        <f ca="1">IF(F815&lt;PREMISSAS!$D$7,0,IFERROR(VLOOKUP(IF(LEFT(F815,2)="13",DATE(YEAR(F814),12,31),F815),IPCA!$A:$D,4,FALSE),1)*G815)</f>
        <v>#VALUE!</v>
      </c>
      <c r="J815" s="21" t="str">
        <f t="shared" ca="1" si="137"/>
        <v/>
      </c>
      <c r="K815" s="4" t="str">
        <f t="shared" ca="1" si="138"/>
        <v/>
      </c>
      <c r="M815" s="21" t="str">
        <f t="shared" ca="1" si="130"/>
        <v/>
      </c>
      <c r="N815" s="37">
        <f t="shared" ca="1" si="139"/>
        <v>0</v>
      </c>
      <c r="O815" s="4">
        <f ca="1">IFERROR(AVERAGEIF(N$5:$N815,"&gt;="&amp;_xlfn.PERCENTILE.EXC(N$5:$N815,0.2)),0)</f>
        <v>0</v>
      </c>
      <c r="Q815" s="21" t="str">
        <f t="shared" ca="1" si="131"/>
        <v/>
      </c>
      <c r="R815" s="37">
        <f t="shared" ca="1" si="140"/>
        <v>0</v>
      </c>
      <c r="S815" s="4">
        <f ca="1">IFERROR(AVERAGE($R$5:R815),0)</f>
        <v>0</v>
      </c>
      <c r="U815" s="21" t="str">
        <f t="shared" ca="1" si="141"/>
        <v/>
      </c>
      <c r="V815" s="4">
        <f ca="1">MIN(S815,PREMISSAS!$C$14)</f>
        <v>0</v>
      </c>
      <c r="W815" s="188"/>
      <c r="X815" s="188"/>
    </row>
    <row r="816" spans="2:24" x14ac:dyDescent="0.3">
      <c r="B816" s="21" t="str">
        <f t="shared" ca="1" si="128"/>
        <v/>
      </c>
      <c r="C816" s="22" t="str">
        <f ca="1">IF(B816="","",IF(LEFT(B816,2)="13",C815,IF(MONTH(B816)=1,C815*(1+PREMISSAS!$C$58),C815)))</f>
        <v/>
      </c>
      <c r="E816" s="18">
        <v>812</v>
      </c>
      <c r="F816" s="21" t="str">
        <f t="shared" ca="1" si="129"/>
        <v/>
      </c>
      <c r="G816" s="22" t="str">
        <f ca="1">IFERROR(VLOOKUP(F816,RESULTADOS!$O$5:$P$543,2,FALSE),VLOOKUP(F816,$B$5:$C$842,2,FALSE))</f>
        <v/>
      </c>
      <c r="H816" s="4" t="e">
        <f ca="1">IF(F816&lt;PREMISSAS!$D$7,0,IFERROR(VLOOKUP(IF(LEFT(F816,2)="13",DATE(YEAR(F815),12,31),F816),IPCA!$A:$D,4,FALSE),1)*G816)</f>
        <v>#VALUE!</v>
      </c>
      <c r="J816" s="21" t="str">
        <f t="shared" ca="1" si="137"/>
        <v/>
      </c>
      <c r="K816" s="4" t="str">
        <f t="shared" ca="1" si="138"/>
        <v/>
      </c>
      <c r="M816" s="21" t="str">
        <f t="shared" ca="1" si="130"/>
        <v/>
      </c>
      <c r="N816" s="37">
        <f t="shared" ca="1" si="139"/>
        <v>0</v>
      </c>
      <c r="O816" s="4">
        <f ca="1">IFERROR(AVERAGEIF(N$5:$N816,"&gt;="&amp;_xlfn.PERCENTILE.EXC(N$5:$N816,0.2)),0)</f>
        <v>0</v>
      </c>
      <c r="Q816" s="21" t="str">
        <f t="shared" ca="1" si="131"/>
        <v/>
      </c>
      <c r="R816" s="37">
        <f t="shared" ca="1" si="140"/>
        <v>0</v>
      </c>
      <c r="S816" s="4">
        <f ca="1">IFERROR(AVERAGE($R$5:R816),0)</f>
        <v>0</v>
      </c>
      <c r="U816" s="21" t="str">
        <f t="shared" ca="1" si="141"/>
        <v/>
      </c>
      <c r="V816" s="4">
        <f ca="1">MIN(S816,PREMISSAS!$C$14)</f>
        <v>0</v>
      </c>
      <c r="W816" s="188"/>
      <c r="X816" s="188"/>
    </row>
    <row r="817" spans="2:24" x14ac:dyDescent="0.3">
      <c r="B817" s="21" t="str">
        <f t="shared" ca="1" si="128"/>
        <v/>
      </c>
      <c r="C817" s="22" t="str">
        <f ca="1">IF(B817="","",IF(LEFT(B817,2)="13",C816,IF(MONTH(B817)=1,C816*(1+PREMISSAS!$C$58),C816)))</f>
        <v/>
      </c>
      <c r="E817" s="18">
        <v>813</v>
      </c>
      <c r="F817" s="21" t="str">
        <f t="shared" ca="1" si="129"/>
        <v/>
      </c>
      <c r="G817" s="22" t="str">
        <f ca="1">IFERROR(VLOOKUP(F817,RESULTADOS!$O$5:$P$543,2,FALSE),VLOOKUP(F817,$B$5:$C$842,2,FALSE))</f>
        <v/>
      </c>
      <c r="H817" s="4" t="e">
        <f ca="1">IF(F817&lt;PREMISSAS!$D$7,0,IFERROR(VLOOKUP(IF(LEFT(F817,2)="13",DATE(YEAR(F816),12,31),F817),IPCA!$A:$D,4,FALSE),1)*G817)</f>
        <v>#VALUE!</v>
      </c>
      <c r="J817" s="21" t="str">
        <f t="shared" ca="1" si="137"/>
        <v/>
      </c>
      <c r="K817" s="4" t="str">
        <f t="shared" ca="1" si="138"/>
        <v/>
      </c>
      <c r="M817" s="21" t="str">
        <f t="shared" ca="1" si="130"/>
        <v/>
      </c>
      <c r="N817" s="37">
        <f t="shared" ca="1" si="139"/>
        <v>0</v>
      </c>
      <c r="O817" s="4">
        <f ca="1">IFERROR(AVERAGEIF(N$5:$N817,"&gt;="&amp;_xlfn.PERCENTILE.EXC(N$5:$N817,0.2)),0)</f>
        <v>0</v>
      </c>
      <c r="Q817" s="21" t="str">
        <f t="shared" ca="1" si="131"/>
        <v/>
      </c>
      <c r="R817" s="37">
        <f t="shared" ca="1" si="140"/>
        <v>0</v>
      </c>
      <c r="S817" s="4">
        <f ca="1">IFERROR(AVERAGE($R$5:R817),0)</f>
        <v>0</v>
      </c>
      <c r="U817" s="21" t="str">
        <f t="shared" ca="1" si="141"/>
        <v/>
      </c>
      <c r="V817" s="4">
        <f ca="1">MIN(S817,PREMISSAS!$C$14)</f>
        <v>0</v>
      </c>
      <c r="W817" s="188"/>
      <c r="X817" s="188"/>
    </row>
    <row r="818" spans="2:24" x14ac:dyDescent="0.3">
      <c r="B818" s="21" t="str">
        <f t="shared" ca="1" si="128"/>
        <v/>
      </c>
      <c r="C818" s="22" t="str">
        <f ca="1">IF(B818="","",IF(LEFT(B818,2)="13",C817,IF(MONTH(B818)=1,C817*(1+PREMISSAS!$C$58),C817)))</f>
        <v/>
      </c>
      <c r="E818" s="18">
        <v>814</v>
      </c>
      <c r="F818" s="21" t="str">
        <f t="shared" ca="1" si="129"/>
        <v/>
      </c>
      <c r="G818" s="22" t="str">
        <f ca="1">IFERROR(VLOOKUP(F818,RESULTADOS!$O$5:$P$543,2,FALSE),VLOOKUP(F818,$B$5:$C$842,2,FALSE))</f>
        <v/>
      </c>
      <c r="H818" s="4" t="e">
        <f ca="1">IF(F818&lt;PREMISSAS!$D$7,0,IFERROR(VLOOKUP(IF(LEFT(F818,2)="13",DATE(YEAR(F817),12,31),F818),IPCA!$A:$D,4,FALSE),1)*G818)</f>
        <v>#VALUE!</v>
      </c>
      <c r="J818" s="21" t="str">
        <f t="shared" ca="1" si="137"/>
        <v/>
      </c>
      <c r="K818" s="4" t="str">
        <f t="shared" ca="1" si="138"/>
        <v/>
      </c>
      <c r="M818" s="21" t="str">
        <f t="shared" ca="1" si="130"/>
        <v/>
      </c>
      <c r="N818" s="37">
        <f t="shared" ca="1" si="139"/>
        <v>0</v>
      </c>
      <c r="O818" s="4">
        <f ca="1">IFERROR(AVERAGEIF(N$5:$N818,"&gt;="&amp;_xlfn.PERCENTILE.EXC(N$5:$N818,0.2)),0)</f>
        <v>0</v>
      </c>
      <c r="Q818" s="21" t="str">
        <f t="shared" ca="1" si="131"/>
        <v/>
      </c>
      <c r="R818" s="37">
        <f t="shared" ca="1" si="140"/>
        <v>0</v>
      </c>
      <c r="S818" s="4">
        <f ca="1">IFERROR(AVERAGE($R$5:R818),0)</f>
        <v>0</v>
      </c>
      <c r="U818" s="21" t="str">
        <f t="shared" ca="1" si="141"/>
        <v/>
      </c>
      <c r="V818" s="4">
        <f ca="1">MIN(S818,PREMISSAS!$C$14)</f>
        <v>0</v>
      </c>
      <c r="W818" s="188"/>
      <c r="X818" s="188"/>
    </row>
    <row r="819" spans="2:24" x14ac:dyDescent="0.3">
      <c r="B819" s="21" t="str">
        <f t="shared" ca="1" si="128"/>
        <v/>
      </c>
      <c r="C819" s="22" t="str">
        <f ca="1">IF(B819="","",IF(LEFT(B819,2)="13",C818,IF(MONTH(B819)=1,C818*(1+PREMISSAS!$C$58),C818)))</f>
        <v/>
      </c>
      <c r="E819" s="18">
        <v>815</v>
      </c>
      <c r="F819" s="21" t="str">
        <f t="shared" ca="1" si="129"/>
        <v/>
      </c>
      <c r="G819" s="22" t="str">
        <f ca="1">IFERROR(VLOOKUP(F819,RESULTADOS!$O$5:$P$543,2,FALSE),VLOOKUP(F819,$B$5:$C$842,2,FALSE))</f>
        <v/>
      </c>
      <c r="H819" s="4" t="e">
        <f ca="1">IF(F819&lt;PREMISSAS!$D$7,0,IFERROR(VLOOKUP(IF(LEFT(F819,2)="13",DATE(YEAR(F818),12,31),F819),IPCA!$A:$D,4,FALSE),1)*G819)</f>
        <v>#VALUE!</v>
      </c>
      <c r="J819" s="21" t="str">
        <f t="shared" ca="1" si="137"/>
        <v/>
      </c>
      <c r="K819" s="4" t="str">
        <f t="shared" ca="1" si="138"/>
        <v/>
      </c>
      <c r="M819" s="21" t="str">
        <f t="shared" ca="1" si="130"/>
        <v/>
      </c>
      <c r="N819" s="37">
        <f t="shared" ca="1" si="139"/>
        <v>0</v>
      </c>
      <c r="O819" s="4">
        <f ca="1">IFERROR(AVERAGEIF(N$5:$N819,"&gt;="&amp;_xlfn.PERCENTILE.EXC(N$5:$N819,0.2)),0)</f>
        <v>0</v>
      </c>
      <c r="Q819" s="21" t="str">
        <f t="shared" ca="1" si="131"/>
        <v/>
      </c>
      <c r="R819" s="37">
        <f t="shared" ca="1" si="140"/>
        <v>0</v>
      </c>
      <c r="S819" s="4">
        <f ca="1">IFERROR(AVERAGE($R$5:R819),0)</f>
        <v>0</v>
      </c>
      <c r="U819" s="21" t="str">
        <f t="shared" ca="1" si="141"/>
        <v/>
      </c>
      <c r="V819" s="4">
        <f ca="1">MIN(S819,PREMISSAS!$C$14)</f>
        <v>0</v>
      </c>
      <c r="W819" s="188"/>
      <c r="X819" s="188"/>
    </row>
    <row r="820" spans="2:24" x14ac:dyDescent="0.3">
      <c r="B820" s="21" t="str">
        <f t="shared" ca="1" si="128"/>
        <v/>
      </c>
      <c r="C820" s="22" t="str">
        <f ca="1">IF(B820="","",IF(LEFT(B820,2)="13",C819,IF(MONTH(B820)=1,C819*(1+PREMISSAS!$C$58),C819)))</f>
        <v/>
      </c>
      <c r="E820" s="18">
        <v>816</v>
      </c>
      <c r="F820" s="21" t="str">
        <f t="shared" ca="1" si="129"/>
        <v/>
      </c>
      <c r="G820" s="22" t="str">
        <f ca="1">IFERROR(VLOOKUP(F820,RESULTADOS!$O$5:$P$543,2,FALSE),VLOOKUP(F820,$B$5:$C$842,2,FALSE))</f>
        <v/>
      </c>
      <c r="H820" s="4" t="e">
        <f ca="1">IF(F820&lt;PREMISSAS!$D$7,0,IFERROR(VLOOKUP(IF(LEFT(F820,2)="13",DATE(YEAR(F819),12,31),F820),IPCA!$A:$D,4,FALSE),1)*G820)</f>
        <v>#VALUE!</v>
      </c>
      <c r="J820" s="21" t="str">
        <f t="shared" ca="1" si="137"/>
        <v/>
      </c>
      <c r="K820" s="4" t="str">
        <f t="shared" ca="1" si="138"/>
        <v/>
      </c>
      <c r="M820" s="21" t="str">
        <f t="shared" ca="1" si="130"/>
        <v/>
      </c>
      <c r="N820" s="37">
        <f t="shared" ca="1" si="139"/>
        <v>0</v>
      </c>
      <c r="O820" s="4">
        <f ca="1">IFERROR(AVERAGEIF(N$5:$N820,"&gt;="&amp;_xlfn.PERCENTILE.EXC(N$5:$N820,0.2)),0)</f>
        <v>0</v>
      </c>
      <c r="Q820" s="21" t="str">
        <f t="shared" ca="1" si="131"/>
        <v/>
      </c>
      <c r="R820" s="37">
        <f t="shared" ca="1" si="140"/>
        <v>0</v>
      </c>
      <c r="S820" s="4">
        <f ca="1">IFERROR(AVERAGE($R$5:R820),0)</f>
        <v>0</v>
      </c>
      <c r="U820" s="21" t="str">
        <f t="shared" ca="1" si="141"/>
        <v/>
      </c>
      <c r="V820" s="4">
        <f ca="1">MIN(S820,PREMISSAS!$C$14)</f>
        <v>0</v>
      </c>
      <c r="W820" s="188"/>
      <c r="X820" s="188"/>
    </row>
    <row r="821" spans="2:24" x14ac:dyDescent="0.3">
      <c r="B821" s="21" t="str">
        <f t="shared" ca="1" si="128"/>
        <v/>
      </c>
      <c r="C821" s="22" t="str">
        <f ca="1">IF(B821="","",IF(LEFT(B821,2)="13",C820,IF(MONTH(B821)=1,C820*(1+PREMISSAS!$C$58),C820)))</f>
        <v/>
      </c>
      <c r="E821" s="18">
        <v>817</v>
      </c>
      <c r="F821" s="21" t="str">
        <f t="shared" ca="1" si="129"/>
        <v/>
      </c>
      <c r="G821" s="22" t="str">
        <f ca="1">IFERROR(VLOOKUP(F821,RESULTADOS!$O$5:$P$543,2,FALSE),VLOOKUP(F821,$B$5:$C$842,2,FALSE))</f>
        <v/>
      </c>
      <c r="H821" s="4" t="e">
        <f ca="1">IF(F821&lt;PREMISSAS!$D$7,0,IFERROR(VLOOKUP(IF(LEFT(F821,2)="13",DATE(YEAR(F820),12,31),F821),IPCA!$A:$D,4,FALSE),1)*G821)</f>
        <v>#VALUE!</v>
      </c>
      <c r="J821" s="21" t="str">
        <f t="shared" ca="1" si="137"/>
        <v/>
      </c>
      <c r="K821" s="4" t="str">
        <f t="shared" ca="1" si="138"/>
        <v/>
      </c>
      <c r="M821" s="21" t="str">
        <f t="shared" ca="1" si="130"/>
        <v/>
      </c>
      <c r="N821" s="37">
        <f t="shared" ca="1" si="139"/>
        <v>0</v>
      </c>
      <c r="O821" s="4">
        <f ca="1">IFERROR(AVERAGEIF(N$5:$N821,"&gt;="&amp;_xlfn.PERCENTILE.EXC(N$5:$N821,0.2)),0)</f>
        <v>0</v>
      </c>
      <c r="Q821" s="21" t="str">
        <f t="shared" ca="1" si="131"/>
        <v/>
      </c>
      <c r="R821" s="37">
        <f t="shared" ca="1" si="140"/>
        <v>0</v>
      </c>
      <c r="S821" s="4">
        <f ca="1">IFERROR(AVERAGE($R$5:R821),0)</f>
        <v>0</v>
      </c>
      <c r="U821" s="21" t="str">
        <f t="shared" ca="1" si="141"/>
        <v/>
      </c>
      <c r="V821" s="4">
        <f ca="1">MIN(S821,PREMISSAS!$C$14)</f>
        <v>0</v>
      </c>
      <c r="W821" s="188"/>
      <c r="X821" s="188"/>
    </row>
    <row r="822" spans="2:24" x14ac:dyDescent="0.3">
      <c r="B822" s="21" t="str">
        <f t="shared" ca="1" si="128"/>
        <v/>
      </c>
      <c r="C822" s="22" t="str">
        <f ca="1">IF(B822="","",IF(LEFT(B822,2)="13",C821,IF(MONTH(B822)=1,C821*(1+PREMISSAS!$C$58),C821)))</f>
        <v/>
      </c>
      <c r="E822" s="18">
        <v>818</v>
      </c>
      <c r="F822" s="21" t="str">
        <f t="shared" ca="1" si="129"/>
        <v/>
      </c>
      <c r="G822" s="22" t="str">
        <f ca="1">IFERROR(VLOOKUP(F822,RESULTADOS!$O$5:$P$543,2,FALSE),VLOOKUP(F822,$B$5:$C$842,2,FALSE))</f>
        <v/>
      </c>
      <c r="H822" s="4" t="e">
        <f ca="1">IF(F822&lt;PREMISSAS!$D$7,0,IFERROR(VLOOKUP(IF(LEFT(F822,2)="13",DATE(YEAR(F821),12,31),F822),IPCA!$A:$D,4,FALSE),1)*G822)</f>
        <v>#VALUE!</v>
      </c>
      <c r="J822" s="21" t="str">
        <f t="shared" ref="J822:J842" ca="1" si="142">F822</f>
        <v/>
      </c>
      <c r="K822" s="4" t="str">
        <f t="shared" ref="K822:K842" ca="1" si="143">G822</f>
        <v/>
      </c>
      <c r="M822" s="21" t="str">
        <f t="shared" ca="1" si="130"/>
        <v/>
      </c>
      <c r="N822" s="37">
        <f t="shared" ref="N822:N842" ca="1" si="144">IFERROR(VLOOKUP(M822,$F$5:$H$628,3,FALSE),0)</f>
        <v>0</v>
      </c>
      <c r="O822" s="4">
        <f ca="1">IFERROR(AVERAGEIF(N$5:$N822,"&gt;="&amp;_xlfn.PERCENTILE.EXC(N$5:$N822,0.2)),0)</f>
        <v>0</v>
      </c>
      <c r="Q822" s="21" t="str">
        <f t="shared" ca="1" si="131"/>
        <v/>
      </c>
      <c r="R822" s="37">
        <f t="shared" ref="R822:R842" ca="1" si="145">IFERROR(VLOOKUP(Q822,$F$5:$H$628,3,FALSE),0)</f>
        <v>0</v>
      </c>
      <c r="S822" s="4">
        <f ca="1">IFERROR(AVERAGE($R$5:R822),0)</f>
        <v>0</v>
      </c>
      <c r="U822" s="21" t="str">
        <f t="shared" ref="U822:U842" ca="1" si="146">M822</f>
        <v/>
      </c>
      <c r="V822" s="4">
        <f ca="1">MIN(S822,PREMISSAS!$C$14)</f>
        <v>0</v>
      </c>
      <c r="W822" s="188"/>
      <c r="X822" s="188"/>
    </row>
    <row r="823" spans="2:24" x14ac:dyDescent="0.3">
      <c r="B823" s="21" t="str">
        <f t="shared" ca="1" si="128"/>
        <v/>
      </c>
      <c r="C823" s="22" t="str">
        <f ca="1">IF(B823="","",IF(LEFT(B823,2)="13",C822,IF(MONTH(B823)=1,C822*(1+PREMISSAS!$C$58),C822)))</f>
        <v/>
      </c>
      <c r="E823" s="18">
        <v>819</v>
      </c>
      <c r="F823" s="21" t="str">
        <f t="shared" ca="1" si="129"/>
        <v/>
      </c>
      <c r="G823" s="22" t="str">
        <f ca="1">IFERROR(VLOOKUP(F823,RESULTADOS!$O$5:$P$543,2,FALSE),VLOOKUP(F823,$B$5:$C$842,2,FALSE))</f>
        <v/>
      </c>
      <c r="H823" s="4" t="e">
        <f ca="1">IF(F823&lt;PREMISSAS!$D$7,0,IFERROR(VLOOKUP(IF(LEFT(F823,2)="13",DATE(YEAR(F822),12,31),F823),IPCA!$A:$D,4,FALSE),1)*G823)</f>
        <v>#VALUE!</v>
      </c>
      <c r="J823" s="21" t="str">
        <f t="shared" ca="1" si="142"/>
        <v/>
      </c>
      <c r="K823" s="4" t="str">
        <f t="shared" ca="1" si="143"/>
        <v/>
      </c>
      <c r="M823" s="21" t="str">
        <f t="shared" ca="1" si="130"/>
        <v/>
      </c>
      <c r="N823" s="37">
        <f t="shared" ca="1" si="144"/>
        <v>0</v>
      </c>
      <c r="O823" s="4">
        <f ca="1">IFERROR(AVERAGEIF(N$5:$N823,"&gt;="&amp;_xlfn.PERCENTILE.EXC(N$5:$N823,0.2)),0)</f>
        <v>0</v>
      </c>
      <c r="Q823" s="21" t="str">
        <f t="shared" ca="1" si="131"/>
        <v/>
      </c>
      <c r="R823" s="37">
        <f t="shared" ca="1" si="145"/>
        <v>0</v>
      </c>
      <c r="S823" s="4">
        <f ca="1">IFERROR(AVERAGE($R$5:R823),0)</f>
        <v>0</v>
      </c>
      <c r="U823" s="21" t="str">
        <f t="shared" ca="1" si="146"/>
        <v/>
      </c>
      <c r="V823" s="4">
        <f ca="1">MIN(S823,PREMISSAS!$C$14)</f>
        <v>0</v>
      </c>
      <c r="W823" s="188"/>
      <c r="X823" s="188"/>
    </row>
    <row r="824" spans="2:24" x14ac:dyDescent="0.3">
      <c r="B824" s="21" t="str">
        <f t="shared" ca="1" si="128"/>
        <v/>
      </c>
      <c r="C824" s="22" t="str">
        <f ca="1">IF(B824="","",IF(LEFT(B824,2)="13",C823,IF(MONTH(B824)=1,C823*(1+PREMISSAS!$C$58),C823)))</f>
        <v/>
      </c>
      <c r="E824" s="18">
        <v>820</v>
      </c>
      <c r="F824" s="21" t="str">
        <f t="shared" ca="1" si="129"/>
        <v/>
      </c>
      <c r="G824" s="22" t="str">
        <f ca="1">IFERROR(VLOOKUP(F824,RESULTADOS!$O$5:$P$543,2,FALSE),VLOOKUP(F824,$B$5:$C$842,2,FALSE))</f>
        <v/>
      </c>
      <c r="H824" s="4" t="e">
        <f ca="1">IF(F824&lt;PREMISSAS!$D$7,0,IFERROR(VLOOKUP(IF(LEFT(F824,2)="13",DATE(YEAR(F823),12,31),F824),IPCA!$A:$D,4,FALSE),1)*G824)</f>
        <v>#VALUE!</v>
      </c>
      <c r="J824" s="21" t="str">
        <f t="shared" ca="1" si="142"/>
        <v/>
      </c>
      <c r="K824" s="4" t="str">
        <f t="shared" ca="1" si="143"/>
        <v/>
      </c>
      <c r="M824" s="21" t="str">
        <f t="shared" ca="1" si="130"/>
        <v/>
      </c>
      <c r="N824" s="37">
        <f t="shared" ca="1" si="144"/>
        <v>0</v>
      </c>
      <c r="O824" s="4">
        <f ca="1">IFERROR(AVERAGEIF(N$5:$N824,"&gt;="&amp;_xlfn.PERCENTILE.EXC(N$5:$N824,0.2)),0)</f>
        <v>0</v>
      </c>
      <c r="Q824" s="21" t="str">
        <f t="shared" ca="1" si="131"/>
        <v/>
      </c>
      <c r="R824" s="37">
        <f t="shared" ca="1" si="145"/>
        <v>0</v>
      </c>
      <c r="S824" s="4">
        <f ca="1">IFERROR(AVERAGE($R$5:R824),0)</f>
        <v>0</v>
      </c>
      <c r="U824" s="21" t="str">
        <f t="shared" ca="1" si="146"/>
        <v/>
      </c>
      <c r="V824" s="4">
        <f ca="1">MIN(S824,PREMISSAS!$C$14)</f>
        <v>0</v>
      </c>
      <c r="W824" s="188"/>
      <c r="X824" s="188"/>
    </row>
    <row r="825" spans="2:24" x14ac:dyDescent="0.3">
      <c r="B825" s="21" t="str">
        <f t="shared" ca="1" si="128"/>
        <v/>
      </c>
      <c r="C825" s="22" t="str">
        <f ca="1">IF(B825="","",IF(LEFT(B825,2)="13",C824,IF(MONTH(B825)=1,C824*(1+PREMISSAS!$C$58),C824)))</f>
        <v/>
      </c>
      <c r="E825" s="18">
        <v>821</v>
      </c>
      <c r="F825" s="21" t="str">
        <f t="shared" ca="1" si="129"/>
        <v/>
      </c>
      <c r="G825" s="22" t="str">
        <f ca="1">IFERROR(VLOOKUP(F825,RESULTADOS!$O$5:$P$543,2,FALSE),VLOOKUP(F825,$B$5:$C$842,2,FALSE))</f>
        <v/>
      </c>
      <c r="H825" s="4" t="e">
        <f ca="1">IF(F825&lt;PREMISSAS!$D$7,0,IFERROR(VLOOKUP(IF(LEFT(F825,2)="13",DATE(YEAR(F824),12,31),F825),IPCA!$A:$D,4,FALSE),1)*G825)</f>
        <v>#VALUE!</v>
      </c>
      <c r="J825" s="21" t="str">
        <f t="shared" ca="1" si="142"/>
        <v/>
      </c>
      <c r="K825" s="4" t="str">
        <f t="shared" ca="1" si="143"/>
        <v/>
      </c>
      <c r="M825" s="21" t="str">
        <f t="shared" ca="1" si="130"/>
        <v/>
      </c>
      <c r="N825" s="37">
        <f t="shared" ca="1" si="144"/>
        <v>0</v>
      </c>
      <c r="O825" s="4">
        <f ca="1">IFERROR(AVERAGEIF(N$5:$N825,"&gt;="&amp;_xlfn.PERCENTILE.EXC(N$5:$N825,0.2)),0)</f>
        <v>0</v>
      </c>
      <c r="Q825" s="21" t="str">
        <f t="shared" ca="1" si="131"/>
        <v/>
      </c>
      <c r="R825" s="37">
        <f t="shared" ca="1" si="145"/>
        <v>0</v>
      </c>
      <c r="S825" s="4">
        <f ca="1">IFERROR(AVERAGE($R$5:R825),0)</f>
        <v>0</v>
      </c>
      <c r="U825" s="21" t="str">
        <f t="shared" ca="1" si="146"/>
        <v/>
      </c>
      <c r="V825" s="4">
        <f ca="1">MIN(S825,PREMISSAS!$C$14)</f>
        <v>0</v>
      </c>
      <c r="W825" s="188"/>
      <c r="X825" s="188"/>
    </row>
    <row r="826" spans="2:24" x14ac:dyDescent="0.3">
      <c r="B826" s="21" t="str">
        <f t="shared" ca="1" si="128"/>
        <v/>
      </c>
      <c r="C826" s="22" t="str">
        <f ca="1">IF(B826="","",IF(LEFT(B826,2)="13",C825,IF(MONTH(B826)=1,C825*(1+PREMISSAS!$C$58),C825)))</f>
        <v/>
      </c>
      <c r="E826" s="18">
        <v>822</v>
      </c>
      <c r="F826" s="21" t="str">
        <f t="shared" ca="1" si="129"/>
        <v/>
      </c>
      <c r="G826" s="22" t="str">
        <f ca="1">IFERROR(VLOOKUP(F826,RESULTADOS!$O$5:$P$543,2,FALSE),VLOOKUP(F826,$B$5:$C$842,2,FALSE))</f>
        <v/>
      </c>
      <c r="H826" s="4" t="e">
        <f ca="1">IF(F826&lt;PREMISSAS!$D$7,0,IFERROR(VLOOKUP(IF(LEFT(F826,2)="13",DATE(YEAR(F825),12,31),F826),IPCA!$A:$D,4,FALSE),1)*G826)</f>
        <v>#VALUE!</v>
      </c>
      <c r="J826" s="21" t="str">
        <f t="shared" ca="1" si="142"/>
        <v/>
      </c>
      <c r="K826" s="4" t="str">
        <f t="shared" ca="1" si="143"/>
        <v/>
      </c>
      <c r="M826" s="21" t="str">
        <f t="shared" ca="1" si="130"/>
        <v/>
      </c>
      <c r="N826" s="37">
        <f t="shared" ca="1" si="144"/>
        <v>0</v>
      </c>
      <c r="O826" s="4">
        <f ca="1">IFERROR(AVERAGEIF(N$5:$N826,"&gt;="&amp;_xlfn.PERCENTILE.EXC(N$5:$N826,0.2)),0)</f>
        <v>0</v>
      </c>
      <c r="Q826" s="21" t="str">
        <f t="shared" ca="1" si="131"/>
        <v/>
      </c>
      <c r="R826" s="37">
        <f t="shared" ca="1" si="145"/>
        <v>0</v>
      </c>
      <c r="S826" s="4">
        <f ca="1">IFERROR(AVERAGE($R$5:R826),0)</f>
        <v>0</v>
      </c>
      <c r="U826" s="21" t="str">
        <f t="shared" ca="1" si="146"/>
        <v/>
      </c>
      <c r="V826" s="4">
        <f ca="1">MIN(S826,PREMISSAS!$C$14)</f>
        <v>0</v>
      </c>
      <c r="W826" s="188"/>
      <c r="X826" s="188"/>
    </row>
    <row r="827" spans="2:24" x14ac:dyDescent="0.3">
      <c r="B827" s="21" t="str">
        <f t="shared" ca="1" si="128"/>
        <v/>
      </c>
      <c r="C827" s="22" t="str">
        <f ca="1">IF(B827="","",IF(LEFT(B827,2)="13",C826,IF(MONTH(B827)=1,C826*(1+PREMISSAS!$C$58),C826)))</f>
        <v/>
      </c>
      <c r="E827" s="18">
        <v>823</v>
      </c>
      <c r="F827" s="21" t="str">
        <f t="shared" ca="1" si="129"/>
        <v/>
      </c>
      <c r="G827" s="22" t="str">
        <f ca="1">IFERROR(VLOOKUP(F827,RESULTADOS!$O$5:$P$543,2,FALSE),VLOOKUP(F827,$B$5:$C$842,2,FALSE))</f>
        <v/>
      </c>
      <c r="H827" s="4" t="e">
        <f ca="1">IF(F827&lt;PREMISSAS!$D$7,0,IFERROR(VLOOKUP(IF(LEFT(F827,2)="13",DATE(YEAR(F826),12,31),F827),IPCA!$A:$D,4,FALSE),1)*G827)</f>
        <v>#VALUE!</v>
      </c>
      <c r="J827" s="21" t="str">
        <f t="shared" ca="1" si="142"/>
        <v/>
      </c>
      <c r="K827" s="4" t="str">
        <f t="shared" ca="1" si="143"/>
        <v/>
      </c>
      <c r="M827" s="21" t="str">
        <f t="shared" ca="1" si="130"/>
        <v/>
      </c>
      <c r="N827" s="37">
        <f t="shared" ca="1" si="144"/>
        <v>0</v>
      </c>
      <c r="O827" s="4">
        <f ca="1">IFERROR(AVERAGEIF(N$5:$N827,"&gt;="&amp;_xlfn.PERCENTILE.EXC(N$5:$N827,0.2)),0)</f>
        <v>0</v>
      </c>
      <c r="Q827" s="21" t="str">
        <f t="shared" ca="1" si="131"/>
        <v/>
      </c>
      <c r="R827" s="37">
        <f t="shared" ca="1" si="145"/>
        <v>0</v>
      </c>
      <c r="S827" s="4">
        <f ca="1">IFERROR(AVERAGE($R$5:R827),0)</f>
        <v>0</v>
      </c>
      <c r="U827" s="21" t="str">
        <f t="shared" ca="1" si="146"/>
        <v/>
      </c>
      <c r="V827" s="4">
        <f ca="1">MIN(S827,PREMISSAS!$C$14)</f>
        <v>0</v>
      </c>
      <c r="W827" s="188"/>
      <c r="X827" s="188"/>
    </row>
    <row r="828" spans="2:24" x14ac:dyDescent="0.3">
      <c r="B828" s="21" t="str">
        <f t="shared" ca="1" si="128"/>
        <v/>
      </c>
      <c r="C828" s="22" t="str">
        <f ca="1">IF(B828="","",IF(LEFT(B828,2)="13",C827,IF(MONTH(B828)=1,C827*(1+PREMISSAS!$C$58),C827)))</f>
        <v/>
      </c>
      <c r="E828" s="18">
        <v>824</v>
      </c>
      <c r="F828" s="21" t="str">
        <f t="shared" ca="1" si="129"/>
        <v/>
      </c>
      <c r="G828" s="22" t="str">
        <f ca="1">IFERROR(VLOOKUP(F828,RESULTADOS!$O$5:$P$543,2,FALSE),VLOOKUP(F828,$B$5:$C$842,2,FALSE))</f>
        <v/>
      </c>
      <c r="H828" s="4" t="e">
        <f ca="1">IF(F828&lt;PREMISSAS!$D$7,0,IFERROR(VLOOKUP(IF(LEFT(F828,2)="13",DATE(YEAR(F827),12,31),F828),IPCA!$A:$D,4,FALSE),1)*G828)</f>
        <v>#VALUE!</v>
      </c>
      <c r="J828" s="21" t="str">
        <f t="shared" ca="1" si="142"/>
        <v/>
      </c>
      <c r="K828" s="4" t="str">
        <f t="shared" ca="1" si="143"/>
        <v/>
      </c>
      <c r="M828" s="21" t="str">
        <f t="shared" ca="1" si="130"/>
        <v/>
      </c>
      <c r="N828" s="37">
        <f t="shared" ca="1" si="144"/>
        <v>0</v>
      </c>
      <c r="O828" s="4">
        <f ca="1">IFERROR(AVERAGEIF(N$5:$N828,"&gt;="&amp;_xlfn.PERCENTILE.EXC(N$5:$N828,0.2)),0)</f>
        <v>0</v>
      </c>
      <c r="Q828" s="21" t="str">
        <f t="shared" ca="1" si="131"/>
        <v/>
      </c>
      <c r="R828" s="37">
        <f t="shared" ca="1" si="145"/>
        <v>0</v>
      </c>
      <c r="S828" s="4">
        <f ca="1">IFERROR(AVERAGE($R$5:R828),0)</f>
        <v>0</v>
      </c>
      <c r="U828" s="21" t="str">
        <f t="shared" ca="1" si="146"/>
        <v/>
      </c>
      <c r="V828" s="4">
        <f ca="1">MIN(S828,PREMISSAS!$C$14)</f>
        <v>0</v>
      </c>
      <c r="W828" s="188"/>
      <c r="X828" s="188"/>
    </row>
    <row r="829" spans="2:24" x14ac:dyDescent="0.3">
      <c r="B829" s="21" t="str">
        <f t="shared" ca="1" si="128"/>
        <v/>
      </c>
      <c r="C829" s="22" t="str">
        <f ca="1">IF(B829="","",IF(LEFT(B829,2)="13",C828,IF(MONTH(B829)=1,C828*(1+PREMISSAS!$C$58),C828)))</f>
        <v/>
      </c>
      <c r="E829" s="18">
        <v>825</v>
      </c>
      <c r="F829" s="21" t="str">
        <f t="shared" ca="1" si="129"/>
        <v/>
      </c>
      <c r="G829" s="22" t="str">
        <f ca="1">IFERROR(VLOOKUP(F829,RESULTADOS!$O$5:$P$543,2,FALSE),VLOOKUP(F829,$B$5:$C$842,2,FALSE))</f>
        <v/>
      </c>
      <c r="H829" s="4" t="e">
        <f ca="1">IF(F829&lt;PREMISSAS!$D$7,0,IFERROR(VLOOKUP(IF(LEFT(F829,2)="13",DATE(YEAR(F828),12,31),F829),IPCA!$A:$D,4,FALSE),1)*G829)</f>
        <v>#VALUE!</v>
      </c>
      <c r="J829" s="21" t="str">
        <f t="shared" ca="1" si="142"/>
        <v/>
      </c>
      <c r="K829" s="4" t="str">
        <f t="shared" ca="1" si="143"/>
        <v/>
      </c>
      <c r="M829" s="21" t="str">
        <f t="shared" ca="1" si="130"/>
        <v/>
      </c>
      <c r="N829" s="37">
        <f t="shared" ca="1" si="144"/>
        <v>0</v>
      </c>
      <c r="O829" s="4">
        <f ca="1">IFERROR(AVERAGEIF(N$5:$N829,"&gt;="&amp;_xlfn.PERCENTILE.EXC(N$5:$N829,0.2)),0)</f>
        <v>0</v>
      </c>
      <c r="Q829" s="21" t="str">
        <f t="shared" ca="1" si="131"/>
        <v/>
      </c>
      <c r="R829" s="37">
        <f t="shared" ca="1" si="145"/>
        <v>0</v>
      </c>
      <c r="S829" s="4">
        <f ca="1">IFERROR(AVERAGE($R$5:R829),0)</f>
        <v>0</v>
      </c>
      <c r="U829" s="21" t="str">
        <f t="shared" ca="1" si="146"/>
        <v/>
      </c>
      <c r="V829" s="4">
        <f ca="1">MIN(S829,PREMISSAS!$C$14)</f>
        <v>0</v>
      </c>
      <c r="W829" s="188"/>
      <c r="X829" s="188"/>
    </row>
    <row r="830" spans="2:24" x14ac:dyDescent="0.3">
      <c r="B830" s="21" t="str">
        <f t="shared" ca="1" si="128"/>
        <v/>
      </c>
      <c r="C830" s="22" t="str">
        <f ca="1">IF(B830="","",IF(LEFT(B830,2)="13",C829,IF(MONTH(B830)=1,C829*(1+PREMISSAS!$C$58),C829)))</f>
        <v/>
      </c>
      <c r="E830" s="18">
        <v>826</v>
      </c>
      <c r="F830" s="21" t="str">
        <f t="shared" ca="1" si="129"/>
        <v/>
      </c>
      <c r="G830" s="22" t="str">
        <f ca="1">IFERROR(VLOOKUP(F830,RESULTADOS!$O$5:$P$543,2,FALSE),VLOOKUP(F830,$B$5:$C$842,2,FALSE))</f>
        <v/>
      </c>
      <c r="H830" s="4" t="e">
        <f ca="1">IF(F830&lt;PREMISSAS!$D$7,0,IFERROR(VLOOKUP(IF(LEFT(F830,2)="13",DATE(YEAR(F829),12,31),F830),IPCA!$A:$D,4,FALSE),1)*G830)</f>
        <v>#VALUE!</v>
      </c>
      <c r="J830" s="21" t="str">
        <f t="shared" ca="1" si="142"/>
        <v/>
      </c>
      <c r="K830" s="4" t="str">
        <f t="shared" ca="1" si="143"/>
        <v/>
      </c>
      <c r="M830" s="21" t="str">
        <f t="shared" ca="1" si="130"/>
        <v/>
      </c>
      <c r="N830" s="37">
        <f t="shared" ca="1" si="144"/>
        <v>0</v>
      </c>
      <c r="O830" s="4">
        <f ca="1">IFERROR(AVERAGEIF(N$5:$N830,"&gt;="&amp;_xlfn.PERCENTILE.EXC(N$5:$N830,0.2)),0)</f>
        <v>0</v>
      </c>
      <c r="Q830" s="21" t="str">
        <f t="shared" ca="1" si="131"/>
        <v/>
      </c>
      <c r="R830" s="37">
        <f t="shared" ca="1" si="145"/>
        <v>0</v>
      </c>
      <c r="S830" s="4">
        <f ca="1">IFERROR(AVERAGE($R$5:R830),0)</f>
        <v>0</v>
      </c>
      <c r="U830" s="21" t="str">
        <f t="shared" ca="1" si="146"/>
        <v/>
      </c>
      <c r="V830" s="4">
        <f ca="1">MIN(S830,PREMISSAS!$C$14)</f>
        <v>0</v>
      </c>
      <c r="W830" s="188"/>
      <c r="X830" s="188"/>
    </row>
    <row r="831" spans="2:24" x14ac:dyDescent="0.3">
      <c r="B831" s="21" t="str">
        <f t="shared" ca="1" si="128"/>
        <v/>
      </c>
      <c r="C831" s="22" t="str">
        <f ca="1">IF(B831="","",IF(LEFT(B831,2)="13",C830,IF(MONTH(B831)=1,C830*(1+PREMISSAS!$C$58),C830)))</f>
        <v/>
      </c>
      <c r="E831" s="18">
        <v>827</v>
      </c>
      <c r="F831" s="21" t="str">
        <f t="shared" ca="1" si="129"/>
        <v/>
      </c>
      <c r="G831" s="22" t="str">
        <f ca="1">IFERROR(VLOOKUP(F831,RESULTADOS!$O$5:$P$543,2,FALSE),VLOOKUP(F831,$B$5:$C$842,2,FALSE))</f>
        <v/>
      </c>
      <c r="H831" s="4" t="e">
        <f ca="1">IF(F831&lt;PREMISSAS!$D$7,0,IFERROR(VLOOKUP(IF(LEFT(F831,2)="13",DATE(YEAR(F830),12,31),F831),IPCA!$A:$D,4,FALSE),1)*G831)</f>
        <v>#VALUE!</v>
      </c>
      <c r="J831" s="21" t="str">
        <f t="shared" ca="1" si="142"/>
        <v/>
      </c>
      <c r="K831" s="4" t="str">
        <f t="shared" ca="1" si="143"/>
        <v/>
      </c>
      <c r="M831" s="21" t="str">
        <f t="shared" ca="1" si="130"/>
        <v/>
      </c>
      <c r="N831" s="37">
        <f t="shared" ca="1" si="144"/>
        <v>0</v>
      </c>
      <c r="O831" s="4">
        <f ca="1">IFERROR(AVERAGEIF(N$5:$N831,"&gt;="&amp;_xlfn.PERCENTILE.EXC(N$5:$N831,0.2)),0)</f>
        <v>0</v>
      </c>
      <c r="Q831" s="21" t="str">
        <f t="shared" ca="1" si="131"/>
        <v/>
      </c>
      <c r="R831" s="37">
        <f t="shared" ca="1" si="145"/>
        <v>0</v>
      </c>
      <c r="S831" s="4">
        <f ca="1">IFERROR(AVERAGE($R$5:R831),0)</f>
        <v>0</v>
      </c>
      <c r="U831" s="21" t="str">
        <f t="shared" ca="1" si="146"/>
        <v/>
      </c>
      <c r="V831" s="4">
        <f ca="1">MIN(S831,PREMISSAS!$C$14)</f>
        <v>0</v>
      </c>
      <c r="W831" s="188"/>
      <c r="X831" s="188"/>
    </row>
    <row r="832" spans="2:24" x14ac:dyDescent="0.3">
      <c r="B832" s="21" t="str">
        <f t="shared" ca="1" si="128"/>
        <v/>
      </c>
      <c r="C832" s="22" t="str">
        <f ca="1">IF(B832="","",IF(LEFT(B832,2)="13",C831,IF(MONTH(B832)=1,C831*(1+PREMISSAS!$C$58),C831)))</f>
        <v/>
      </c>
      <c r="E832" s="18">
        <v>828</v>
      </c>
      <c r="F832" s="21" t="str">
        <f t="shared" ca="1" si="129"/>
        <v/>
      </c>
      <c r="G832" s="22" t="str">
        <f ca="1">IFERROR(VLOOKUP(F832,RESULTADOS!$O$5:$P$543,2,FALSE),VLOOKUP(F832,$B$5:$C$842,2,FALSE))</f>
        <v/>
      </c>
      <c r="H832" s="4" t="e">
        <f ca="1">IF(F832&lt;PREMISSAS!$D$7,0,IFERROR(VLOOKUP(IF(LEFT(F832,2)="13",DATE(YEAR(F831),12,31),F832),IPCA!$A:$D,4,FALSE),1)*G832)</f>
        <v>#VALUE!</v>
      </c>
      <c r="J832" s="21" t="str">
        <f t="shared" ca="1" si="142"/>
        <v/>
      </c>
      <c r="K832" s="4" t="str">
        <f t="shared" ca="1" si="143"/>
        <v/>
      </c>
      <c r="M832" s="21" t="str">
        <f t="shared" ca="1" si="130"/>
        <v/>
      </c>
      <c r="N832" s="37">
        <f t="shared" ca="1" si="144"/>
        <v>0</v>
      </c>
      <c r="O832" s="4">
        <f ca="1">IFERROR(AVERAGEIF(N$5:$N832,"&gt;="&amp;_xlfn.PERCENTILE.EXC(N$5:$N832,0.2)),0)</f>
        <v>0</v>
      </c>
      <c r="Q832" s="21" t="str">
        <f t="shared" ca="1" si="131"/>
        <v/>
      </c>
      <c r="R832" s="37">
        <f t="shared" ca="1" si="145"/>
        <v>0</v>
      </c>
      <c r="S832" s="4">
        <f ca="1">IFERROR(AVERAGE($R$5:R832),0)</f>
        <v>0</v>
      </c>
      <c r="U832" s="21" t="str">
        <f t="shared" ca="1" si="146"/>
        <v/>
      </c>
      <c r="V832" s="4">
        <f ca="1">MIN(S832,PREMISSAS!$C$14)</f>
        <v>0</v>
      </c>
      <c r="W832" s="188"/>
      <c r="X832" s="188"/>
    </row>
    <row r="833" spans="2:24" x14ac:dyDescent="0.3">
      <c r="B833" s="21" t="str">
        <f t="shared" ca="1" si="128"/>
        <v/>
      </c>
      <c r="C833" s="22" t="str">
        <f ca="1">IF(B833="","",IF(LEFT(B833,2)="13",C832,IF(MONTH(B833)=1,C832*(1+PREMISSAS!$C$58),C832)))</f>
        <v/>
      </c>
      <c r="E833" s="18">
        <v>829</v>
      </c>
      <c r="F833" s="21" t="str">
        <f t="shared" ca="1" si="129"/>
        <v/>
      </c>
      <c r="G833" s="22" t="str">
        <f ca="1">IFERROR(VLOOKUP(F833,RESULTADOS!$O$5:$P$543,2,FALSE),VLOOKUP(F833,$B$5:$C$842,2,FALSE))</f>
        <v/>
      </c>
      <c r="H833" s="4" t="e">
        <f ca="1">IF(F833&lt;PREMISSAS!$D$7,0,IFERROR(VLOOKUP(IF(LEFT(F833,2)="13",DATE(YEAR(F832),12,31),F833),IPCA!$A:$D,4,FALSE),1)*G833)</f>
        <v>#VALUE!</v>
      </c>
      <c r="J833" s="21" t="str">
        <f t="shared" ca="1" si="142"/>
        <v/>
      </c>
      <c r="K833" s="4" t="str">
        <f t="shared" ca="1" si="143"/>
        <v/>
      </c>
      <c r="M833" s="21" t="str">
        <f t="shared" ca="1" si="130"/>
        <v/>
      </c>
      <c r="N833" s="37">
        <f t="shared" ca="1" si="144"/>
        <v>0</v>
      </c>
      <c r="O833" s="4">
        <f ca="1">IFERROR(AVERAGEIF(N$5:$N833,"&gt;="&amp;_xlfn.PERCENTILE.EXC(N$5:$N833,0.2)),0)</f>
        <v>0</v>
      </c>
      <c r="Q833" s="21" t="str">
        <f t="shared" ca="1" si="131"/>
        <v/>
      </c>
      <c r="R833" s="37">
        <f t="shared" ca="1" si="145"/>
        <v>0</v>
      </c>
      <c r="S833" s="4">
        <f ca="1">IFERROR(AVERAGE($R$5:R833),0)</f>
        <v>0</v>
      </c>
      <c r="U833" s="21" t="str">
        <f t="shared" ca="1" si="146"/>
        <v/>
      </c>
      <c r="V833" s="4">
        <f ca="1">MIN(S833,PREMISSAS!$C$14)</f>
        <v>0</v>
      </c>
      <c r="W833" s="188"/>
      <c r="X833" s="188"/>
    </row>
    <row r="834" spans="2:24" x14ac:dyDescent="0.3">
      <c r="B834" s="21" t="str">
        <f t="shared" ca="1" si="128"/>
        <v/>
      </c>
      <c r="C834" s="22" t="str">
        <f ca="1">IF(B834="","",IF(LEFT(B834,2)="13",C833,IF(MONTH(B834)=1,C833*(1+PREMISSAS!$C$58),C833)))</f>
        <v/>
      </c>
      <c r="E834" s="18">
        <v>830</v>
      </c>
      <c r="F834" s="21" t="str">
        <f t="shared" ca="1" si="129"/>
        <v/>
      </c>
      <c r="G834" s="22" t="str">
        <f ca="1">IFERROR(VLOOKUP(F834,RESULTADOS!$O$5:$P$543,2,FALSE),VLOOKUP(F834,$B$5:$C$842,2,FALSE))</f>
        <v/>
      </c>
      <c r="H834" s="4" t="e">
        <f ca="1">IF(F834&lt;PREMISSAS!$D$7,0,IFERROR(VLOOKUP(IF(LEFT(F834,2)="13",DATE(YEAR(F833),12,31),F834),IPCA!$A:$D,4,FALSE),1)*G834)</f>
        <v>#VALUE!</v>
      </c>
      <c r="J834" s="21" t="str">
        <f t="shared" ca="1" si="142"/>
        <v/>
      </c>
      <c r="K834" s="4" t="str">
        <f t="shared" ca="1" si="143"/>
        <v/>
      </c>
      <c r="M834" s="21" t="str">
        <f t="shared" ca="1" si="130"/>
        <v/>
      </c>
      <c r="N834" s="37">
        <f t="shared" ca="1" si="144"/>
        <v>0</v>
      </c>
      <c r="O834" s="4">
        <f ca="1">IFERROR(AVERAGEIF(N$5:$N834,"&gt;="&amp;_xlfn.PERCENTILE.EXC(N$5:$N834,0.2)),0)</f>
        <v>0</v>
      </c>
      <c r="Q834" s="21" t="str">
        <f t="shared" ca="1" si="131"/>
        <v/>
      </c>
      <c r="R834" s="37">
        <f t="shared" ca="1" si="145"/>
        <v>0</v>
      </c>
      <c r="S834" s="4">
        <f ca="1">IFERROR(AVERAGE($R$5:R834),0)</f>
        <v>0</v>
      </c>
      <c r="U834" s="21" t="str">
        <f t="shared" ca="1" si="146"/>
        <v/>
      </c>
      <c r="V834" s="4">
        <f ca="1">MIN(S834,PREMISSAS!$C$14)</f>
        <v>0</v>
      </c>
      <c r="W834" s="188"/>
      <c r="X834" s="188"/>
    </row>
    <row r="835" spans="2:24" x14ac:dyDescent="0.3">
      <c r="B835" s="21" t="str">
        <f t="shared" ca="1" si="128"/>
        <v/>
      </c>
      <c r="C835" s="22" t="str">
        <f ca="1">IF(B835="","",IF(LEFT(B835,2)="13",C834,IF(MONTH(B835)=1,C834*(1+PREMISSAS!$C$58),C834)))</f>
        <v/>
      </c>
      <c r="E835" s="18">
        <v>831</v>
      </c>
      <c r="F835" s="21" t="str">
        <f t="shared" ca="1" si="129"/>
        <v/>
      </c>
      <c r="G835" s="22" t="str">
        <f ca="1">IFERROR(VLOOKUP(F835,RESULTADOS!$O$5:$P$543,2,FALSE),VLOOKUP(F835,$B$5:$C$842,2,FALSE))</f>
        <v/>
      </c>
      <c r="H835" s="4" t="e">
        <f ca="1">IF(F835&lt;PREMISSAS!$D$7,0,IFERROR(VLOOKUP(IF(LEFT(F835,2)="13",DATE(YEAR(F834),12,31),F835),IPCA!$A:$D,4,FALSE),1)*G835)</f>
        <v>#VALUE!</v>
      </c>
      <c r="J835" s="21" t="str">
        <f t="shared" ca="1" si="142"/>
        <v/>
      </c>
      <c r="K835" s="4" t="str">
        <f t="shared" ca="1" si="143"/>
        <v/>
      </c>
      <c r="M835" s="21" t="str">
        <f t="shared" ca="1" si="130"/>
        <v/>
      </c>
      <c r="N835" s="37">
        <f t="shared" ca="1" si="144"/>
        <v>0</v>
      </c>
      <c r="O835" s="4">
        <f ca="1">IFERROR(AVERAGEIF(N$5:$N835,"&gt;="&amp;_xlfn.PERCENTILE.EXC(N$5:$N835,0.2)),0)</f>
        <v>0</v>
      </c>
      <c r="Q835" s="21" t="str">
        <f t="shared" ca="1" si="131"/>
        <v/>
      </c>
      <c r="R835" s="37">
        <f t="shared" ca="1" si="145"/>
        <v>0</v>
      </c>
      <c r="S835" s="4">
        <f ca="1">IFERROR(AVERAGE($R$5:R835),0)</f>
        <v>0</v>
      </c>
      <c r="U835" s="21" t="str">
        <f t="shared" ca="1" si="146"/>
        <v/>
      </c>
      <c r="V835" s="4">
        <f ca="1">MIN(S835,PREMISSAS!$C$14)</f>
        <v>0</v>
      </c>
      <c r="W835" s="188"/>
      <c r="X835" s="188"/>
    </row>
    <row r="836" spans="2:24" x14ac:dyDescent="0.3">
      <c r="B836" s="21" t="str">
        <f t="shared" ca="1" si="128"/>
        <v/>
      </c>
      <c r="C836" s="22" t="str">
        <f ca="1">IF(B836="","",IF(LEFT(B836,2)="13",C835,IF(MONTH(B836)=1,C835*(1+PREMISSAS!$C$58),C835)))</f>
        <v/>
      </c>
      <c r="E836" s="18">
        <v>832</v>
      </c>
      <c r="F836" s="21" t="str">
        <f t="shared" ca="1" si="129"/>
        <v/>
      </c>
      <c r="G836" s="22" t="str">
        <f ca="1">IFERROR(VLOOKUP(F836,RESULTADOS!$O$5:$P$543,2,FALSE),VLOOKUP(F836,$B$5:$C$842,2,FALSE))</f>
        <v/>
      </c>
      <c r="H836" s="4" t="e">
        <f ca="1">IF(F836&lt;PREMISSAS!$D$7,0,IFERROR(VLOOKUP(IF(LEFT(F836,2)="13",DATE(YEAR(F835),12,31),F836),IPCA!$A:$D,4,FALSE),1)*G836)</f>
        <v>#VALUE!</v>
      </c>
      <c r="J836" s="21" t="str">
        <f t="shared" ca="1" si="142"/>
        <v/>
      </c>
      <c r="K836" s="4" t="str">
        <f t="shared" ca="1" si="143"/>
        <v/>
      </c>
      <c r="M836" s="21" t="str">
        <f t="shared" ca="1" si="130"/>
        <v/>
      </c>
      <c r="N836" s="37">
        <f t="shared" ca="1" si="144"/>
        <v>0</v>
      </c>
      <c r="O836" s="4">
        <f ca="1">IFERROR(AVERAGEIF(N$5:$N836,"&gt;="&amp;_xlfn.PERCENTILE.EXC(N$5:$N836,0.2)),0)</f>
        <v>0</v>
      </c>
      <c r="Q836" s="21" t="str">
        <f t="shared" ca="1" si="131"/>
        <v/>
      </c>
      <c r="R836" s="37">
        <f t="shared" ca="1" si="145"/>
        <v>0</v>
      </c>
      <c r="S836" s="4">
        <f ca="1">IFERROR(AVERAGE($R$5:R836),0)</f>
        <v>0</v>
      </c>
      <c r="U836" s="21" t="str">
        <f t="shared" ca="1" si="146"/>
        <v/>
      </c>
      <c r="V836" s="4">
        <f ca="1">MIN(S836,PREMISSAS!$C$14)</f>
        <v>0</v>
      </c>
      <c r="W836" s="188"/>
      <c r="X836" s="188"/>
    </row>
    <row r="837" spans="2:24" x14ac:dyDescent="0.3">
      <c r="B837" s="21" t="str">
        <f t="shared" ca="1" si="128"/>
        <v/>
      </c>
      <c r="C837" s="22" t="str">
        <f ca="1">IF(B837="","",IF(LEFT(B837,2)="13",C836,IF(MONTH(B837)=1,C836*(1+PREMISSAS!$C$58),C836)))</f>
        <v/>
      </c>
      <c r="E837" s="18">
        <v>833</v>
      </c>
      <c r="F837" s="21" t="str">
        <f t="shared" ca="1" si="129"/>
        <v/>
      </c>
      <c r="G837" s="22" t="str">
        <f ca="1">IFERROR(VLOOKUP(F837,RESULTADOS!$O$5:$P$543,2,FALSE),VLOOKUP(F837,$B$5:$C$842,2,FALSE))</f>
        <v/>
      </c>
      <c r="H837" s="4" t="e">
        <f ca="1">IF(F837&lt;PREMISSAS!$D$7,0,IFERROR(VLOOKUP(IF(LEFT(F837,2)="13",DATE(YEAR(F836),12,31),F837),IPCA!$A:$D,4,FALSE),1)*G837)</f>
        <v>#VALUE!</v>
      </c>
      <c r="J837" s="21" t="str">
        <f t="shared" ca="1" si="142"/>
        <v/>
      </c>
      <c r="K837" s="4" t="str">
        <f t="shared" ca="1" si="143"/>
        <v/>
      </c>
      <c r="M837" s="21" t="str">
        <f t="shared" ca="1" si="130"/>
        <v/>
      </c>
      <c r="N837" s="37">
        <f t="shared" ca="1" si="144"/>
        <v>0</v>
      </c>
      <c r="O837" s="4">
        <f ca="1">IFERROR(AVERAGEIF(N$5:$N837,"&gt;="&amp;_xlfn.PERCENTILE.EXC(N$5:$N837,0.2)),0)</f>
        <v>0</v>
      </c>
      <c r="Q837" s="21" t="str">
        <f t="shared" ca="1" si="131"/>
        <v/>
      </c>
      <c r="R837" s="37">
        <f t="shared" ca="1" si="145"/>
        <v>0</v>
      </c>
      <c r="S837" s="4">
        <f ca="1">IFERROR(AVERAGE($R$5:R837),0)</f>
        <v>0</v>
      </c>
      <c r="U837" s="21" t="str">
        <f t="shared" ca="1" si="146"/>
        <v/>
      </c>
      <c r="V837" s="4">
        <f ca="1">MIN(S837,PREMISSAS!$C$14)</f>
        <v>0</v>
      </c>
      <c r="W837" s="188"/>
      <c r="X837" s="188"/>
    </row>
    <row r="838" spans="2:24" x14ac:dyDescent="0.3">
      <c r="B838" s="21" t="str">
        <f t="shared" ca="1" si="128"/>
        <v/>
      </c>
      <c r="C838" s="22" t="str">
        <f ca="1">IF(B838="","",IF(LEFT(B838,2)="13",C837,IF(MONTH(B838)=1,C837*(1+PREMISSAS!$C$58),C837)))</f>
        <v/>
      </c>
      <c r="E838" s="18">
        <v>834</v>
      </c>
      <c r="F838" s="21" t="str">
        <f t="shared" ca="1" si="129"/>
        <v/>
      </c>
      <c r="G838" s="22" t="str">
        <f ca="1">IFERROR(VLOOKUP(F838,RESULTADOS!$O$5:$P$543,2,FALSE),VLOOKUP(F838,$B$5:$C$842,2,FALSE))</f>
        <v/>
      </c>
      <c r="H838" s="4" t="e">
        <f ca="1">IF(F838&lt;PREMISSAS!$D$7,0,IFERROR(VLOOKUP(IF(LEFT(F838,2)="13",DATE(YEAR(F837),12,31),F838),IPCA!$A:$D,4,FALSE),1)*G838)</f>
        <v>#VALUE!</v>
      </c>
      <c r="J838" s="21" t="str">
        <f t="shared" ca="1" si="142"/>
        <v/>
      </c>
      <c r="K838" s="4" t="str">
        <f t="shared" ca="1" si="143"/>
        <v/>
      </c>
      <c r="M838" s="21" t="str">
        <f t="shared" ca="1" si="130"/>
        <v/>
      </c>
      <c r="N838" s="37">
        <f t="shared" ca="1" si="144"/>
        <v>0</v>
      </c>
      <c r="O838" s="4">
        <f ca="1">IFERROR(AVERAGEIF(N$5:$N838,"&gt;="&amp;_xlfn.PERCENTILE.EXC(N$5:$N838,0.2)),0)</f>
        <v>0</v>
      </c>
      <c r="Q838" s="21" t="str">
        <f t="shared" ca="1" si="131"/>
        <v/>
      </c>
      <c r="R838" s="37">
        <f t="shared" ca="1" si="145"/>
        <v>0</v>
      </c>
      <c r="S838" s="4">
        <f ca="1">IFERROR(AVERAGE($R$5:R838),0)</f>
        <v>0</v>
      </c>
      <c r="U838" s="21" t="str">
        <f t="shared" ca="1" si="146"/>
        <v/>
      </c>
      <c r="V838" s="4">
        <f ca="1">MIN(S838,PREMISSAS!$C$14)</f>
        <v>0</v>
      </c>
      <c r="W838" s="188"/>
      <c r="X838" s="188"/>
    </row>
    <row r="839" spans="2:24" x14ac:dyDescent="0.3">
      <c r="B839" s="21" t="str">
        <f t="shared" ref="B839:B842" ca="1" si="147">IFERROR(IF(LEFT(B838,2)="13",DATE(RIGHT(B838,4),12,31),IF(EOMONTH(B838,0)&gt;$F$1,"",IF(MONTH(B838)=11,"13º "&amp;YEAR(B838),EOMONTH(B838,1)))),"")</f>
        <v/>
      </c>
      <c r="C839" s="22" t="str">
        <f ca="1">IF(B839="","",IF(LEFT(B839,2)="13",C838,IF(MONTH(B839)=1,C838*(1+PREMISSAS!$C$58),C838)))</f>
        <v/>
      </c>
      <c r="E839" s="18">
        <v>835</v>
      </c>
      <c r="F839" s="21" t="str">
        <f t="shared" ref="F839:F842" ca="1" si="148">IFERROR(IF(LEFT(F838,2)="13",DATE(RIGHT(F838,4),12,31),IF(EOMONTH(F838,0)&gt;$F$1,"",IF(MONTH(F838)=11,"13º "&amp;YEAR(F838),EOMONTH(F838,1)))),"")</f>
        <v/>
      </c>
      <c r="G839" s="22" t="str">
        <f ca="1">IFERROR(VLOOKUP(F839,RESULTADOS!$O$5:$P$543,2,FALSE),VLOOKUP(F839,$B$5:$C$842,2,FALSE))</f>
        <v/>
      </c>
      <c r="H839" s="4" t="e">
        <f ca="1">IF(F839&lt;PREMISSAS!$D$7,0,IFERROR(VLOOKUP(IF(LEFT(F839,2)="13",DATE(YEAR(F838),12,31),F839),IPCA!$A:$D,4,FALSE),1)*G839)</f>
        <v>#VALUE!</v>
      </c>
      <c r="J839" s="21" t="str">
        <f t="shared" ca="1" si="142"/>
        <v/>
      </c>
      <c r="K839" s="4" t="str">
        <f t="shared" ca="1" si="143"/>
        <v/>
      </c>
      <c r="M839" s="21" t="str">
        <f t="shared" ref="M839:M842" ca="1" si="149">IFERROR(IF(LEFT(M838,2)="13",DATE(RIGHT(M838,4),12,31),IF(EOMONTH(M838,0)&gt;$F$1,"",IF(MONTH(M838)=11,"13º "&amp;YEAR(M838),EOMONTH(M838,1)))),"")</f>
        <v/>
      </c>
      <c r="N839" s="37">
        <f t="shared" ca="1" si="144"/>
        <v>0</v>
      </c>
      <c r="O839" s="4">
        <f ca="1">IFERROR(AVERAGEIF(N$5:$N839,"&gt;="&amp;_xlfn.PERCENTILE.EXC(N$5:$N839,0.2)),0)</f>
        <v>0</v>
      </c>
      <c r="Q839" s="21" t="str">
        <f t="shared" ref="Q839:Q842" ca="1" si="150">IFERROR(IF(LEFT(Q838,2)="13",DATE(RIGHT(Q838,4),12,31),IF(EOMONTH(Q838,0)&gt;$F$1,"",IF(MONTH(Q838)=11,"13º "&amp;YEAR(Q838),EOMONTH(Q838,1)))),"")</f>
        <v/>
      </c>
      <c r="R839" s="37">
        <f t="shared" ca="1" si="145"/>
        <v>0</v>
      </c>
      <c r="S839" s="4">
        <f ca="1">IFERROR(AVERAGE($R$5:R839),0)</f>
        <v>0</v>
      </c>
      <c r="U839" s="21" t="str">
        <f t="shared" ca="1" si="146"/>
        <v/>
      </c>
      <c r="V839" s="4">
        <f ca="1">MIN(S839,PREMISSAS!$C$14)</f>
        <v>0</v>
      </c>
      <c r="W839" s="188"/>
      <c r="X839" s="188"/>
    </row>
    <row r="840" spans="2:24" x14ac:dyDescent="0.3">
      <c r="B840" s="21" t="str">
        <f t="shared" ca="1" si="147"/>
        <v/>
      </c>
      <c r="C840" s="22" t="str">
        <f ca="1">IF(B840="","",IF(LEFT(B840,2)="13",C839,IF(MONTH(B840)=1,C839*(1+PREMISSAS!$C$58),C839)))</f>
        <v/>
      </c>
      <c r="E840" s="18">
        <v>836</v>
      </c>
      <c r="F840" s="21" t="str">
        <f t="shared" ca="1" si="148"/>
        <v/>
      </c>
      <c r="G840" s="22" t="str">
        <f ca="1">IFERROR(VLOOKUP(F840,RESULTADOS!$O$5:$P$543,2,FALSE),VLOOKUP(F840,$B$5:$C$842,2,FALSE))</f>
        <v/>
      </c>
      <c r="H840" s="4" t="e">
        <f ca="1">IF(F840&lt;PREMISSAS!$D$7,0,IFERROR(VLOOKUP(IF(LEFT(F840,2)="13",DATE(YEAR(F839),12,31),F840),IPCA!$A:$D,4,FALSE),1)*G840)</f>
        <v>#VALUE!</v>
      </c>
      <c r="J840" s="21" t="str">
        <f t="shared" ca="1" si="142"/>
        <v/>
      </c>
      <c r="K840" s="4" t="str">
        <f t="shared" ca="1" si="143"/>
        <v/>
      </c>
      <c r="M840" s="21" t="str">
        <f t="shared" ca="1" si="149"/>
        <v/>
      </c>
      <c r="N840" s="37">
        <f t="shared" ca="1" si="144"/>
        <v>0</v>
      </c>
      <c r="O840" s="4">
        <f ca="1">IFERROR(AVERAGEIF(N$5:$N840,"&gt;="&amp;_xlfn.PERCENTILE.EXC(N$5:$N840,0.2)),0)</f>
        <v>0</v>
      </c>
      <c r="Q840" s="21" t="str">
        <f t="shared" ca="1" si="150"/>
        <v/>
      </c>
      <c r="R840" s="37">
        <f t="shared" ca="1" si="145"/>
        <v>0</v>
      </c>
      <c r="S840" s="4">
        <f ca="1">IFERROR(AVERAGE($R$5:R840),0)</f>
        <v>0</v>
      </c>
      <c r="U840" s="21" t="str">
        <f t="shared" ca="1" si="146"/>
        <v/>
      </c>
      <c r="V840" s="4">
        <f ca="1">MIN(S840,PREMISSAS!$C$14)</f>
        <v>0</v>
      </c>
      <c r="W840" s="188"/>
      <c r="X840" s="188">
        <f>75-18</f>
        <v>57</v>
      </c>
    </row>
    <row r="841" spans="2:24" x14ac:dyDescent="0.3">
      <c r="B841" s="21" t="str">
        <f t="shared" ca="1" si="147"/>
        <v/>
      </c>
      <c r="C841" s="22" t="str">
        <f ca="1">IF(B841="","",IF(LEFT(B841,2)="13",C840,IF(MONTH(B841)=1,C840*(1+PREMISSAS!$C$58),C840)))</f>
        <v/>
      </c>
      <c r="E841" s="18">
        <v>837</v>
      </c>
      <c r="F841" s="21" t="str">
        <f t="shared" ca="1" si="148"/>
        <v/>
      </c>
      <c r="G841" s="22" t="str">
        <f ca="1">IFERROR(VLOOKUP(F841,RESULTADOS!$O$5:$P$543,2,FALSE),VLOOKUP(F841,$B$5:$C$842,2,FALSE))</f>
        <v/>
      </c>
      <c r="H841" s="4" t="e">
        <f ca="1">IF(F841&lt;PREMISSAS!$D$7,0,IFERROR(VLOOKUP(IF(LEFT(F841,2)="13",DATE(YEAR(F840),12,31),F841),IPCA!$A:$D,4,FALSE),1)*G841)</f>
        <v>#VALUE!</v>
      </c>
      <c r="J841" s="21" t="str">
        <f t="shared" ca="1" si="142"/>
        <v/>
      </c>
      <c r="K841" s="4" t="str">
        <f t="shared" ca="1" si="143"/>
        <v/>
      </c>
      <c r="M841" s="21" t="str">
        <f t="shared" ca="1" si="149"/>
        <v/>
      </c>
      <c r="N841" s="37">
        <f t="shared" ca="1" si="144"/>
        <v>0</v>
      </c>
      <c r="O841" s="4">
        <f ca="1">IFERROR(AVERAGEIF(N$5:$N841,"&gt;="&amp;_xlfn.PERCENTILE.EXC(N$5:$N841,0.2)),0)</f>
        <v>0</v>
      </c>
      <c r="Q841" s="21" t="str">
        <f t="shared" ca="1" si="150"/>
        <v/>
      </c>
      <c r="R841" s="37">
        <f t="shared" ca="1" si="145"/>
        <v>0</v>
      </c>
      <c r="S841" s="4">
        <f ca="1">IFERROR(AVERAGE($R$5:R841),0)</f>
        <v>0</v>
      </c>
      <c r="U841" s="21" t="str">
        <f t="shared" ca="1" si="146"/>
        <v/>
      </c>
      <c r="V841" s="4">
        <f ca="1">MIN(S841,PREMISSAS!$C$14)</f>
        <v>0</v>
      </c>
      <c r="W841" s="188"/>
      <c r="X841" s="188">
        <f>X840*13</f>
        <v>741</v>
      </c>
    </row>
    <row r="842" spans="2:24" x14ac:dyDescent="0.3">
      <c r="B842" s="21" t="str">
        <f t="shared" ca="1" si="147"/>
        <v/>
      </c>
      <c r="C842" s="22" t="str">
        <f ca="1">IF(B842="","",IF(LEFT(B842,2)="13",C841,IF(MONTH(B842)=1,C841*(1+PREMISSAS!$C$58),C841)))</f>
        <v/>
      </c>
      <c r="E842" s="18">
        <v>838</v>
      </c>
      <c r="F842" s="21" t="str">
        <f t="shared" ca="1" si="148"/>
        <v/>
      </c>
      <c r="G842" s="22" t="str">
        <f ca="1">IFERROR(VLOOKUP(F842,RESULTADOS!$O$5:$P$543,2,FALSE),VLOOKUP(F842,$B$5:$C$842,2,FALSE))</f>
        <v/>
      </c>
      <c r="H842" s="4" t="e">
        <f ca="1">IF(F842&lt;PREMISSAS!$D$7,0,IFERROR(VLOOKUP(IF(LEFT(F842,2)="13",DATE(YEAR(F841),12,31),F842),IPCA!$A:$D,4,FALSE),1)*G842)</f>
        <v>#VALUE!</v>
      </c>
      <c r="J842" s="21" t="str">
        <f t="shared" ca="1" si="142"/>
        <v/>
      </c>
      <c r="K842" s="4" t="str">
        <f t="shared" ca="1" si="143"/>
        <v/>
      </c>
      <c r="M842" s="21" t="str">
        <f t="shared" ca="1" si="149"/>
        <v/>
      </c>
      <c r="N842" s="37">
        <f t="shared" ca="1" si="144"/>
        <v>0</v>
      </c>
      <c r="O842" s="4">
        <f ca="1">IFERROR(AVERAGEIF(N$5:$N842,"&gt;="&amp;_xlfn.PERCENTILE.EXC(N$5:$N842,0.2)),0)</f>
        <v>0</v>
      </c>
      <c r="Q842" s="21" t="str">
        <f t="shared" ca="1" si="150"/>
        <v/>
      </c>
      <c r="R842" s="37">
        <f t="shared" ca="1" si="145"/>
        <v>0</v>
      </c>
      <c r="S842" s="4">
        <f ca="1">IFERROR(AVERAGE($R$5:R842),0)</f>
        <v>0</v>
      </c>
      <c r="U842" s="21" t="str">
        <f t="shared" ca="1" si="146"/>
        <v/>
      </c>
      <c r="V842" s="4">
        <f ca="1">MIN(S842,PREMISSAS!$C$14)</f>
        <v>0</v>
      </c>
      <c r="W842" s="188"/>
      <c r="X842" s="188"/>
    </row>
  </sheetData>
  <mergeCells count="5">
    <mergeCell ref="B3:C3"/>
    <mergeCell ref="E3:H3"/>
    <mergeCell ref="N3:O3"/>
    <mergeCell ref="J2:V2"/>
    <mergeCell ref="R3:S3"/>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11</vt:i4>
      </vt:variant>
    </vt:vector>
  </HeadingPairs>
  <TitlesOfParts>
    <vt:vector size="31" baseType="lpstr">
      <vt:lpstr>REGRAS RPPS</vt:lpstr>
      <vt:lpstr>TabelaPontuação</vt:lpstr>
      <vt:lpstr>IPCA</vt:lpstr>
      <vt:lpstr>Tabua(fem)</vt:lpstr>
      <vt:lpstr>Tabua(masc)</vt:lpstr>
      <vt:lpstr>PREMISSAS</vt:lpstr>
      <vt:lpstr>ELEGIBILIDADE</vt:lpstr>
      <vt:lpstr>RESULTADOS</vt:lpstr>
      <vt:lpstr>CÁLCULO RPPS</vt:lpstr>
      <vt:lpstr>CÁLCULO RPPS ESPECIAL</vt:lpstr>
      <vt:lpstr>CÁLCULO FUNPRESP</vt:lpstr>
      <vt:lpstr>Info Graf</vt:lpstr>
      <vt:lpstr>Tutorial_para_Simulação</vt:lpstr>
      <vt:lpstr>Preencher_Dados</vt:lpstr>
      <vt:lpstr>Preencher_Salários</vt:lpstr>
      <vt:lpstr>Resultado_Salário</vt:lpstr>
      <vt:lpstr>Projeção_Aposentadoria</vt:lpstr>
      <vt:lpstr>Projeção_Invalidez</vt:lpstr>
      <vt:lpstr>Projeção_Pensão</vt:lpstr>
      <vt:lpstr>TETO</vt:lpstr>
      <vt:lpstr>Preencher_Dados!Area_de_impressao</vt:lpstr>
      <vt:lpstr>Projeção_Aposentadoria!Area_de_impressao</vt:lpstr>
      <vt:lpstr>Projeção_Invalidez!Area_de_impressao</vt:lpstr>
      <vt:lpstr>Projeção_Pensão!Area_de_impressao</vt:lpstr>
      <vt:lpstr>Resultado_Salário!Area_de_impressao</vt:lpstr>
      <vt:lpstr>Tutorial_para_Simulação!Area_de_impressao</vt:lpstr>
      <vt:lpstr>PREMISSA_TETO</vt:lpstr>
      <vt:lpstr>PREMISSA_URP</vt:lpstr>
      <vt:lpstr>TabFem</vt:lpstr>
      <vt:lpstr>TabMasc</vt:lpstr>
      <vt:lpstr>Preencher_Salários!Titulos_de_impressao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2022-11-24T13:01:24Z</dcterms:modified>
</cp:coreProperties>
</file>